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filterPrivacy="1" codeName="ThisWorkbook" defaultThemeVersion="124226"/>
  <bookViews>
    <workbookView xWindow="-120" yWindow="-120" windowWidth="20730" windowHeight="11760" tabRatio="789" firstSheet="7" activeTab="15"/>
  </bookViews>
  <sheets>
    <sheet name="Maj Production Summ" sheetId="35" r:id="rId1"/>
    <sheet name="Maj Despatch Summ" sheetId="21" r:id="rId2"/>
    <sheet name="Maj Techno Summ" sheetId="36" r:id="rId3"/>
    <sheet name="Major techno all dept" sheetId="59" r:id="rId4"/>
    <sheet name="Direct sales IPT details" sheetId="73" r:id="rId5"/>
    <sheet name="Coal to Hot Metal" sheetId="49" r:id="rId6"/>
    <sheet name="DETAIL DESP  " sheetId="28" r:id="rId7"/>
    <sheet name="Raw Mat Received" sheetId="77" r:id="rId8"/>
    <sheet name="COKE OVENS" sheetId="6" r:id="rId9"/>
    <sheet name="RMHP" sheetId="39" r:id="rId10"/>
    <sheet name="SINTER" sheetId="7" r:id="rId11"/>
    <sheet name="B-FCE" sheetId="8" r:id="rId12"/>
    <sheet name="SMS" sheetId="9" r:id="rId13"/>
    <sheet name="WRM" sheetId="10" r:id="rId14"/>
    <sheet name="BM" sheetId="11" r:id="rId15"/>
    <sheet name="USM" sheetId="45" r:id="rId16"/>
    <sheet name="GRD SUMM RCL 150X150 " sheetId="71" r:id="rId17"/>
    <sheet name="GRD SUMM RCL CASTER 3" sheetId="72" r:id="rId18"/>
    <sheet name="Special -Value added steel " sheetId="50" r:id="rId19"/>
    <sheet name="POWER DISTRIBUTION" sheetId="38" r:id="rId20"/>
    <sheet name="PBS" sheetId="17" r:id="rId21"/>
    <sheet name="ECD" sheetId="15" r:id="rId22"/>
    <sheet name="EMD" sheetId="26" r:id="rId23"/>
    <sheet name="LDCP" sheetId="22" r:id="rId24"/>
    <sheet name="OXY PL" sheetId="27" r:id="rId25"/>
    <sheet name="SEQR  Prod &amp; Dispatch" sheetId="52" r:id="rId26"/>
    <sheet name="High carbon grades" sheetId="61" r:id="rId27"/>
    <sheet name="SHOPS" sheetId="24" r:id="rId28"/>
    <sheet name="Capital Repair" sheetId="79" r:id="rId29"/>
    <sheet name="Quality" sheetId="82" r:id="rId30"/>
    <sheet name="Slag Rate and IOF" sheetId="85" state="hidden" r:id="rId31"/>
    <sheet name="Special steel " sheetId="83" state="hidden" r:id="rId32"/>
    <sheet name="Delay Analysis" sheetId="87" r:id="rId33"/>
  </sheets>
  <definedNames>
    <definedName name="_1" localSheetId="28">#REF!</definedName>
    <definedName name="_1" localSheetId="4">#REF!</definedName>
    <definedName name="_1" localSheetId="16">#REF!</definedName>
    <definedName name="_1" localSheetId="17">#REF!</definedName>
    <definedName name="_1" localSheetId="29">#REF!</definedName>
    <definedName name="_1" localSheetId="7">#REF!</definedName>
    <definedName name="_1" localSheetId="31">#REF!</definedName>
    <definedName name="_1">#REF!</definedName>
    <definedName name="_2" localSheetId="28">#REF!</definedName>
    <definedName name="_2" localSheetId="4">#REF!</definedName>
    <definedName name="_2" localSheetId="16">#REF!</definedName>
    <definedName name="_2" localSheetId="17">#REF!</definedName>
    <definedName name="_2" localSheetId="29">#REF!</definedName>
    <definedName name="_2" localSheetId="7">#REF!</definedName>
    <definedName name="_2" localSheetId="31">#REF!</definedName>
    <definedName name="_2">#REF!</definedName>
    <definedName name="_3" localSheetId="28">#REF!</definedName>
    <definedName name="_3" localSheetId="16">#REF!</definedName>
    <definedName name="_3" localSheetId="17">#REF!</definedName>
    <definedName name="_3" localSheetId="29">#REF!</definedName>
    <definedName name="_3" localSheetId="7">#REF!</definedName>
    <definedName name="_3" localSheetId="31">#REF!</definedName>
    <definedName name="_3">#REF!</definedName>
    <definedName name="_4" localSheetId="31">#REF!</definedName>
    <definedName name="_4">#REF!</definedName>
    <definedName name="_xlnm._FilterDatabase" localSheetId="14" hidden="1">BM!$C$5:$C$71</definedName>
    <definedName name="_xlnm._FilterDatabase" localSheetId="6" hidden="1">'DETAIL DESP  '!$C$200:$C$241</definedName>
    <definedName name="_xlnm._FilterDatabase" localSheetId="4" hidden="1">'Direct sales IPT details'!$B$131:$AA$131</definedName>
    <definedName name="_xlnm._FilterDatabase" localSheetId="16" hidden="1">'GRD SUMM RCL 150X150 '!$D$5:$DA$77</definedName>
    <definedName name="_xlnm._FilterDatabase" localSheetId="15" hidden="1">USM!$C$5:$C$92</definedName>
    <definedName name="_xlnm._FilterDatabase" localSheetId="13" hidden="1">WRM!$C$6:$C$143</definedName>
    <definedName name="a" localSheetId="28">#REF!</definedName>
    <definedName name="a" localSheetId="4">#REF!</definedName>
    <definedName name="a" localSheetId="7">#REF!</definedName>
    <definedName name="a" localSheetId="31">#REF!</definedName>
    <definedName name="a">#REF!</definedName>
    <definedName name="AA" localSheetId="4">#REF!</definedName>
    <definedName name="AA" localSheetId="31">#REF!</definedName>
    <definedName name="AA">#REF!</definedName>
    <definedName name="AB" localSheetId="4">#REF!</definedName>
    <definedName name="AB" localSheetId="31">#REF!</definedName>
    <definedName name="AB">#REF!</definedName>
    <definedName name="AC" localSheetId="31">#REF!</definedName>
    <definedName name="AC">#REF!</definedName>
    <definedName name="AD" localSheetId="31">#REF!</definedName>
    <definedName name="AD">#REF!</definedName>
    <definedName name="AE" localSheetId="31">#REF!</definedName>
    <definedName name="AE">#REF!</definedName>
    <definedName name="AF" localSheetId="31">#REF!</definedName>
    <definedName name="AF">#REF!</definedName>
    <definedName name="AG" localSheetId="31">#REF!</definedName>
    <definedName name="AG">#REF!</definedName>
    <definedName name="AH" localSheetId="31">#REF!</definedName>
    <definedName name="AH">#REF!</definedName>
    <definedName name="AI" localSheetId="31">#REF!</definedName>
    <definedName name="AI">#REF!</definedName>
    <definedName name="AK" localSheetId="31">#REF!</definedName>
    <definedName name="AK">#REF!</definedName>
    <definedName name="AL" localSheetId="31">#REF!</definedName>
    <definedName name="AL">#REF!</definedName>
    <definedName name="AM" localSheetId="31">#REF!</definedName>
    <definedName name="AM">#REF!</definedName>
    <definedName name="AN" localSheetId="31">#REF!</definedName>
    <definedName name="AN">#REF!</definedName>
    <definedName name="AS" localSheetId="31">#REF!</definedName>
    <definedName name="AS">#REF!</definedName>
    <definedName name="CL" localSheetId="31">#REF!</definedName>
    <definedName name="CL">#REF!</definedName>
    <definedName name="D" localSheetId="31">#REF!</definedName>
    <definedName name="D">#REF!</definedName>
    <definedName name="E" localSheetId="31">#REF!</definedName>
    <definedName name="E">#REF!</definedName>
    <definedName name="F" localSheetId="31">#REF!</definedName>
    <definedName name="F">#REF!</definedName>
    <definedName name="G" localSheetId="31">#REF!</definedName>
    <definedName name="G">#REF!</definedName>
    <definedName name="H" localSheetId="31">#REF!</definedName>
    <definedName name="H">#REF!</definedName>
    <definedName name="I" localSheetId="31">#REF!</definedName>
    <definedName name="I">#REF!</definedName>
    <definedName name="J" localSheetId="31">#REF!</definedName>
    <definedName name="J">#REF!</definedName>
    <definedName name="K" localSheetId="31">#REF!</definedName>
    <definedName name="K">#REF!</definedName>
    <definedName name="L" localSheetId="31">#REF!</definedName>
    <definedName name="L">#REF!</definedName>
    <definedName name="M" localSheetId="31">#REF!</definedName>
    <definedName name="M">#REF!</definedName>
    <definedName name="N" localSheetId="31">#REF!</definedName>
    <definedName name="N">#REF!</definedName>
    <definedName name="O" localSheetId="31">#REF!</definedName>
    <definedName name="O">#REF!</definedName>
    <definedName name="P" localSheetId="31">#REF!</definedName>
    <definedName name="P">#REF!</definedName>
    <definedName name="_xlnm.Print_Area" localSheetId="11">'B-FCE'!$B$1:$AT$127</definedName>
    <definedName name="_xlnm.Print_Area" localSheetId="14">BM!$B$1:$V$88</definedName>
    <definedName name="_xlnm.Print_Area" localSheetId="5">'Coal to Hot Metal'!$B$2:$AB$20</definedName>
    <definedName name="_xlnm.Print_Area" localSheetId="8">'COKE OVENS'!$AJ$177:$AU$177</definedName>
    <definedName name="_xlnm.Print_Area" localSheetId="6">'DETAIL DESP  '!$B$3:$F$84</definedName>
    <definedName name="_xlnm.Print_Area" localSheetId="4">'Direct sales IPT details'!$B$2:$U$126</definedName>
    <definedName name="_xlnm.Print_Area" localSheetId="21">ECD!#REF!</definedName>
    <definedName name="_xlnm.Print_Area" localSheetId="22">EMD!$B$1:$M$123</definedName>
    <definedName name="_xlnm.Print_Area" localSheetId="16">'GRD SUMM RCL 150X150 '!$E$2:$CU$77</definedName>
    <definedName name="_xlnm.Print_Area" localSheetId="17">'GRD SUMM RCL CASTER 3'!$A$2:$Y$43</definedName>
    <definedName name="_xlnm.Print_Area" localSheetId="23">LDCP!$C$2:$N$33</definedName>
    <definedName name="_xlnm.Print_Area" localSheetId="1">'Maj Despatch Summ'!$B$1:$BN$28</definedName>
    <definedName name="_xlnm.Print_Area" localSheetId="0">'Maj Production Summ'!$B$3:$AB$49</definedName>
    <definedName name="_xlnm.Print_Area" localSheetId="2">'Maj Techno Summ'!$B$1:$BO$30</definedName>
    <definedName name="_xlnm.Print_Area" localSheetId="3">'Major techno all dept'!$C$3:$AE$73</definedName>
    <definedName name="_xlnm.Print_Area" localSheetId="24">'OXY PL'!$B$1:$M$39</definedName>
    <definedName name="_xlnm.Print_Area" localSheetId="20">PBS!$B$1:$M$115</definedName>
    <definedName name="_xlnm.Print_Area" localSheetId="19">'POWER DISTRIBUTION'!$B$46:$C$83</definedName>
    <definedName name="_xlnm.Print_Area" localSheetId="29">Quality!$D$5:$U$33</definedName>
    <definedName name="_xlnm.Print_Area" localSheetId="9">RMHP!$C$1:$AF$46</definedName>
    <definedName name="_xlnm.Print_Area" localSheetId="25">'SEQR  Prod &amp; Dispatch'!$C$1:$T$31</definedName>
    <definedName name="_xlnm.Print_Area" localSheetId="27">SHOPS!$C$2:$N$8</definedName>
    <definedName name="_xlnm.Print_Area" localSheetId="10">SINTER!$B$1:$V$106</definedName>
    <definedName name="_xlnm.Print_Area" localSheetId="12">SMS!$B$1:$V$139</definedName>
    <definedName name="_xlnm.Print_Area" localSheetId="31">'Special steel '!$C$1:$O$71</definedName>
    <definedName name="_xlnm.Print_Area" localSheetId="18">'Special -Value added steel '!$C$1:$O$83</definedName>
    <definedName name="_xlnm.Print_Area" localSheetId="15">USM!$B$1:$O$92</definedName>
    <definedName name="_xlnm.Print_Area" localSheetId="13">WRM!$B$1:$N$160</definedName>
    <definedName name="Q" localSheetId="28">#REF!</definedName>
    <definedName name="Q" localSheetId="4">#REF!</definedName>
    <definedName name="Q" localSheetId="7">#REF!</definedName>
    <definedName name="Q" localSheetId="31">#REF!</definedName>
    <definedName name="Q">#REF!</definedName>
    <definedName name="RL" localSheetId="28">#REF!</definedName>
    <definedName name="RL" localSheetId="4">#REF!</definedName>
    <definedName name="RL" localSheetId="31">#REF!</definedName>
    <definedName name="RL">#REF!</definedName>
    <definedName name="RM" localSheetId="28">#REF!</definedName>
    <definedName name="RM" localSheetId="4">#REF!</definedName>
    <definedName name="RM" localSheetId="31">#REF!</definedName>
    <definedName name="RM">#REF!</definedName>
    <definedName name="rmisp" localSheetId="31">#REF!</definedName>
    <definedName name="rmisp">#REF!</definedName>
    <definedName name="S" localSheetId="31">#REF!</definedName>
    <definedName name="S">#REF!</definedName>
    <definedName name="T" localSheetId="31">#REF!</definedName>
    <definedName name="T">#REF!</definedName>
    <definedName name="U" localSheetId="31">#REF!</definedName>
    <definedName name="U">#REF!</definedName>
    <definedName name="V" localSheetId="31">#REF!</definedName>
    <definedName name="V">#REF!</definedName>
    <definedName name="W" localSheetId="31">#REF!</definedName>
    <definedName name="W">#REF!</definedName>
    <definedName name="X" localSheetId="31">#REF!</definedName>
    <definedName name="X">#REF!</definedName>
    <definedName name="Y" localSheetId="31">#REF!</definedName>
    <definedName name="Y">#REF!</definedName>
    <definedName name="Z" localSheetId="31">#REF!</definedName>
    <definedName name="Z">#REF!</definedName>
  </definedNames>
  <calcPr calcId="144525"/>
</workbook>
</file>

<file path=xl/calcChain.xml><?xml version="1.0" encoding="utf-8"?>
<calcChain xmlns="http://schemas.openxmlformats.org/spreadsheetml/2006/main">
  <c r="AZ91" i="45" l="1"/>
  <c r="AV91" i="45"/>
  <c r="AR91" i="45"/>
  <c r="AL91" i="45"/>
  <c r="AH91" i="45"/>
  <c r="AD91" i="45"/>
  <c r="X91" i="45"/>
  <c r="T91" i="45"/>
  <c r="P91" i="45"/>
  <c r="L91" i="45"/>
  <c r="H91" i="45"/>
  <c r="F91" i="45"/>
  <c r="AY142" i="10"/>
  <c r="AU142" i="10"/>
  <c r="AQ142" i="10"/>
  <c r="AK142" i="10"/>
  <c r="AG142" i="10"/>
  <c r="AC142" i="10"/>
  <c r="W142" i="10"/>
  <c r="S142" i="10"/>
  <c r="O142" i="10"/>
  <c r="K142" i="10"/>
  <c r="G142" i="10"/>
  <c r="E142" i="10"/>
  <c r="M350" i="87" l="1"/>
  <c r="L350" i="87"/>
  <c r="K350" i="87"/>
  <c r="I350" i="87"/>
  <c r="G350" i="87"/>
  <c r="E350" i="87"/>
  <c r="D350" i="87"/>
  <c r="L327" i="87"/>
  <c r="K327" i="87"/>
  <c r="I327" i="87"/>
  <c r="M326" i="87"/>
  <c r="L326" i="87"/>
  <c r="K326" i="87"/>
  <c r="I326" i="87"/>
  <c r="G326" i="87"/>
  <c r="E326" i="87"/>
  <c r="D326" i="87"/>
  <c r="L303" i="87"/>
  <c r="K303" i="87"/>
  <c r="M302" i="87"/>
  <c r="L302" i="87"/>
  <c r="K302" i="87"/>
  <c r="I302" i="87"/>
  <c r="G302" i="87"/>
  <c r="E302" i="87"/>
  <c r="D302" i="87"/>
  <c r="L278" i="87"/>
  <c r="K278" i="87"/>
  <c r="I278" i="87"/>
  <c r="G278" i="87"/>
  <c r="M277" i="87"/>
  <c r="M278" i="87" s="1"/>
  <c r="L277" i="87"/>
  <c r="K277" i="87"/>
  <c r="I277" i="87"/>
  <c r="G277" i="87"/>
  <c r="E277" i="87"/>
  <c r="D277" i="87"/>
  <c r="D278" i="87" s="1"/>
  <c r="L253" i="87"/>
  <c r="K253" i="87"/>
  <c r="I253" i="87"/>
  <c r="M252" i="87"/>
  <c r="L252" i="87"/>
  <c r="K252" i="87"/>
  <c r="I252" i="87"/>
  <c r="G252" i="87"/>
  <c r="G253" i="87" s="1"/>
  <c r="E252" i="87"/>
  <c r="E253" i="87" s="1"/>
  <c r="D252" i="87"/>
  <c r="D253" i="87" s="1"/>
  <c r="L229" i="87"/>
  <c r="M228" i="87"/>
  <c r="L228" i="87"/>
  <c r="K228" i="87"/>
  <c r="I228" i="87"/>
  <c r="I351" i="87" s="1"/>
  <c r="G228" i="87"/>
  <c r="G351" i="87" s="1"/>
  <c r="E228" i="87"/>
  <c r="E278" i="87" s="1"/>
  <c r="D228" i="87"/>
  <c r="L204" i="87"/>
  <c r="L205" i="87" s="1"/>
  <c r="K204" i="87"/>
  <c r="K205" i="87" s="1"/>
  <c r="I204" i="87"/>
  <c r="I205" i="87" s="1"/>
  <c r="G204" i="87"/>
  <c r="G205" i="87" s="1"/>
  <c r="M203" i="87"/>
  <c r="L203" i="87"/>
  <c r="K203" i="87"/>
  <c r="I203" i="87"/>
  <c r="G203" i="87"/>
  <c r="E203" i="87"/>
  <c r="E204" i="87" s="1"/>
  <c r="E205" i="87" s="1"/>
  <c r="D203" i="87"/>
  <c r="D204" i="87" s="1"/>
  <c r="D205" i="87" s="1"/>
  <c r="L180" i="87"/>
  <c r="K180" i="87"/>
  <c r="M179" i="87"/>
  <c r="L179" i="87"/>
  <c r="K179" i="87"/>
  <c r="I179" i="87"/>
  <c r="G179" i="87"/>
  <c r="G327" i="87" s="1"/>
  <c r="E179" i="87"/>
  <c r="D179" i="87"/>
  <c r="M156" i="87"/>
  <c r="M204" i="87" s="1"/>
  <c r="L156" i="87"/>
  <c r="K156" i="87"/>
  <c r="I156" i="87"/>
  <c r="G156" i="87"/>
  <c r="E156" i="87"/>
  <c r="D156" i="87"/>
  <c r="L133" i="87"/>
  <c r="K133" i="87"/>
  <c r="I133" i="87"/>
  <c r="G133" i="87"/>
  <c r="E133" i="87"/>
  <c r="M132" i="87"/>
  <c r="L132" i="87"/>
  <c r="K132" i="87"/>
  <c r="K351" i="87" s="1"/>
  <c r="I132" i="87"/>
  <c r="G132" i="87"/>
  <c r="E132" i="87"/>
  <c r="D132" i="87"/>
  <c r="L110" i="87"/>
  <c r="K110" i="87"/>
  <c r="I110" i="87"/>
  <c r="L109" i="87"/>
  <c r="K109" i="87"/>
  <c r="I109" i="87"/>
  <c r="G109" i="87"/>
  <c r="E109" i="87"/>
  <c r="E110" i="87" s="1"/>
  <c r="D109" i="87"/>
  <c r="D351" i="87" s="1"/>
  <c r="M89" i="87"/>
  <c r="M109" i="87" s="1"/>
  <c r="M86" i="87"/>
  <c r="L86" i="87"/>
  <c r="L351" i="87" s="1"/>
  <c r="K86" i="87"/>
  <c r="K229" i="87" s="1"/>
  <c r="I86" i="87"/>
  <c r="I303" i="87" s="1"/>
  <c r="G86" i="87"/>
  <c r="G110" i="87" s="1"/>
  <c r="E86" i="87"/>
  <c r="E327" i="87" s="1"/>
  <c r="D86" i="87"/>
  <c r="D133" i="87" s="1"/>
  <c r="M66" i="87"/>
  <c r="M59" i="87"/>
  <c r="L59" i="87"/>
  <c r="K59" i="87"/>
  <c r="E59" i="87"/>
  <c r="D59" i="87"/>
  <c r="L58" i="87"/>
  <c r="K58" i="87"/>
  <c r="G58" i="87"/>
  <c r="E58" i="87"/>
  <c r="D58" i="87"/>
  <c r="D60" i="87" s="1"/>
  <c r="M57" i="87"/>
  <c r="M60" i="87" s="1"/>
  <c r="K57" i="87"/>
  <c r="K60" i="87" s="1"/>
  <c r="I57" i="87"/>
  <c r="G57" i="87"/>
  <c r="G60" i="87" s="1"/>
  <c r="D57" i="87"/>
  <c r="E56" i="87"/>
  <c r="M55" i="87"/>
  <c r="L55" i="87"/>
  <c r="K55" i="87"/>
  <c r="G55" i="87"/>
  <c r="E55" i="87"/>
  <c r="D55" i="87"/>
  <c r="M54" i="87"/>
  <c r="L54" i="87"/>
  <c r="K54" i="87"/>
  <c r="K56" i="87" s="1"/>
  <c r="I54" i="87"/>
  <c r="I56" i="87" s="1"/>
  <c r="E54" i="87"/>
  <c r="D54" i="87"/>
  <c r="M53" i="87"/>
  <c r="M56" i="87" s="1"/>
  <c r="K53" i="87"/>
  <c r="I53" i="87"/>
  <c r="G53" i="87"/>
  <c r="E53" i="87"/>
  <c r="D53" i="87"/>
  <c r="D56" i="87" s="1"/>
  <c r="L52" i="87"/>
  <c r="M51" i="87"/>
  <c r="L51" i="87"/>
  <c r="K51" i="87"/>
  <c r="I51" i="87"/>
  <c r="G51" i="87"/>
  <c r="E51" i="87"/>
  <c r="D51" i="87"/>
  <c r="L50" i="87"/>
  <c r="K50" i="87"/>
  <c r="I50" i="87"/>
  <c r="E50" i="87"/>
  <c r="D50" i="87"/>
  <c r="M49" i="87"/>
  <c r="L49" i="87"/>
  <c r="K49" i="87"/>
  <c r="K52" i="87" s="1"/>
  <c r="I49" i="87"/>
  <c r="I52" i="87" s="1"/>
  <c r="G49" i="87"/>
  <c r="G52" i="87" s="1"/>
  <c r="D49" i="87"/>
  <c r="D52" i="87" s="1"/>
  <c r="M47" i="87"/>
  <c r="L47" i="87"/>
  <c r="K47" i="87"/>
  <c r="E46" i="87"/>
  <c r="D46" i="87"/>
  <c r="M45" i="87"/>
  <c r="M48" i="87" s="1"/>
  <c r="M39" i="87"/>
  <c r="L39" i="87"/>
  <c r="K39" i="87"/>
  <c r="K40" i="87" s="1"/>
  <c r="I39" i="87"/>
  <c r="I59" i="87" s="1"/>
  <c r="E39" i="87"/>
  <c r="D39" i="87"/>
  <c r="M38" i="87"/>
  <c r="M58" i="87" s="1"/>
  <c r="L38" i="87"/>
  <c r="K38" i="87"/>
  <c r="G38" i="87"/>
  <c r="E38" i="87"/>
  <c r="D38" i="87"/>
  <c r="D40" i="87" s="1"/>
  <c r="M37" i="87"/>
  <c r="M40" i="87" s="1"/>
  <c r="L37" i="87"/>
  <c r="L57" i="87" s="1"/>
  <c r="L60" i="87" s="1"/>
  <c r="L61" i="87" s="1"/>
  <c r="K37" i="87"/>
  <c r="I37" i="87"/>
  <c r="I40" i="87" s="1"/>
  <c r="G37" i="87"/>
  <c r="G40" i="87" s="1"/>
  <c r="E37" i="87"/>
  <c r="E57" i="87" s="1"/>
  <c r="E60" i="87" s="1"/>
  <c r="D37" i="87"/>
  <c r="E36" i="87"/>
  <c r="D36" i="87"/>
  <c r="M35" i="87"/>
  <c r="L35" i="87"/>
  <c r="K35" i="87"/>
  <c r="I35" i="87"/>
  <c r="I55" i="87" s="1"/>
  <c r="G35" i="87"/>
  <c r="E35" i="87"/>
  <c r="D35" i="87"/>
  <c r="M34" i="87"/>
  <c r="L34" i="87"/>
  <c r="K34" i="87"/>
  <c r="K36" i="87" s="1"/>
  <c r="I34" i="87"/>
  <c r="I36" i="87" s="1"/>
  <c r="G34" i="87"/>
  <c r="G36" i="87" s="1"/>
  <c r="E34" i="87"/>
  <c r="D34" i="87"/>
  <c r="M33" i="87"/>
  <c r="M36" i="87" s="1"/>
  <c r="L33" i="87"/>
  <c r="L53" i="87" s="1"/>
  <c r="L56" i="87" s="1"/>
  <c r="K33" i="87"/>
  <c r="I33" i="87"/>
  <c r="G33" i="87"/>
  <c r="E33" i="87"/>
  <c r="D33" i="87"/>
  <c r="L32" i="87"/>
  <c r="K32" i="87"/>
  <c r="M31" i="87"/>
  <c r="L31" i="87"/>
  <c r="K31" i="87"/>
  <c r="I31" i="87"/>
  <c r="G31" i="87"/>
  <c r="E31" i="87"/>
  <c r="D31" i="87"/>
  <c r="D32" i="87" s="1"/>
  <c r="M30" i="87"/>
  <c r="M50" i="87" s="1"/>
  <c r="M52" i="87" s="1"/>
  <c r="L30" i="87"/>
  <c r="K30" i="87"/>
  <c r="I30" i="87"/>
  <c r="G30" i="87"/>
  <c r="G50" i="87" s="1"/>
  <c r="E30" i="87"/>
  <c r="D30" i="87"/>
  <c r="M29" i="87"/>
  <c r="L29" i="87"/>
  <c r="K29" i="87"/>
  <c r="I29" i="87"/>
  <c r="I32" i="87" s="1"/>
  <c r="G29" i="87"/>
  <c r="G32" i="87" s="1"/>
  <c r="E29" i="87"/>
  <c r="E49" i="87" s="1"/>
  <c r="E52" i="87" s="1"/>
  <c r="D29" i="87"/>
  <c r="M27" i="87"/>
  <c r="L27" i="87"/>
  <c r="K27" i="87"/>
  <c r="I27" i="87"/>
  <c r="I47" i="87" s="1"/>
  <c r="E26" i="87"/>
  <c r="D26" i="87"/>
  <c r="M25" i="87"/>
  <c r="M28" i="87" s="1"/>
  <c r="L25" i="87"/>
  <c r="L45" i="87" s="1"/>
  <c r="L48" i="87" s="1"/>
  <c r="E20" i="87"/>
  <c r="D20" i="87"/>
  <c r="M19" i="87"/>
  <c r="M20" i="87" s="1"/>
  <c r="M21" i="87" s="1"/>
  <c r="L19" i="87"/>
  <c r="L20" i="87" s="1"/>
  <c r="L21" i="87" s="1"/>
  <c r="K19" i="87"/>
  <c r="K20" i="87" s="1"/>
  <c r="I19" i="87"/>
  <c r="I20" i="87" s="1"/>
  <c r="G19" i="87"/>
  <c r="G39" i="87" s="1"/>
  <c r="G59" i="87" s="1"/>
  <c r="E19" i="87"/>
  <c r="D19" i="87"/>
  <c r="I18" i="87"/>
  <c r="I38" i="87" s="1"/>
  <c r="I58" i="87" s="1"/>
  <c r="M16" i="87"/>
  <c r="L16" i="87"/>
  <c r="K16" i="87"/>
  <c r="I16" i="87"/>
  <c r="G16" i="87"/>
  <c r="E16" i="87"/>
  <c r="D16" i="87"/>
  <c r="M12" i="87"/>
  <c r="L12" i="87"/>
  <c r="K12" i="87"/>
  <c r="I12" i="87"/>
  <c r="G12" i="87"/>
  <c r="E12" i="87"/>
  <c r="D12" i="87"/>
  <c r="E8" i="87"/>
  <c r="E21" i="87" s="1"/>
  <c r="D8" i="87"/>
  <c r="D21" i="87" s="1"/>
  <c r="M7" i="87"/>
  <c r="L7" i="87"/>
  <c r="K7" i="87"/>
  <c r="I7" i="87"/>
  <c r="G7" i="87"/>
  <c r="G27" i="87" s="1"/>
  <c r="G47" i="87" s="1"/>
  <c r="E7" i="87"/>
  <c r="E27" i="87" s="1"/>
  <c r="E47" i="87" s="1"/>
  <c r="D7" i="87"/>
  <c r="D27" i="87" s="1"/>
  <c r="D47" i="87" s="1"/>
  <c r="M6" i="87"/>
  <c r="M26" i="87" s="1"/>
  <c r="M46" i="87" s="1"/>
  <c r="L6" i="87"/>
  <c r="L26" i="87" s="1"/>
  <c r="L46" i="87" s="1"/>
  <c r="K6" i="87"/>
  <c r="K26" i="87" s="1"/>
  <c r="K46" i="87" s="1"/>
  <c r="I6" i="87"/>
  <c r="I8" i="87" s="1"/>
  <c r="G6" i="87"/>
  <c r="G8" i="87" s="1"/>
  <c r="E6" i="87"/>
  <c r="D6" i="87"/>
  <c r="M5" i="87"/>
  <c r="M8" i="87" s="1"/>
  <c r="L5" i="87"/>
  <c r="L8" i="87" s="1"/>
  <c r="K5" i="87"/>
  <c r="K25" i="87" s="1"/>
  <c r="I5" i="87"/>
  <c r="I25" i="87" s="1"/>
  <c r="G5" i="87"/>
  <c r="G25" i="87" s="1"/>
  <c r="E5" i="87"/>
  <c r="E25" i="87" s="1"/>
  <c r="D5" i="87"/>
  <c r="D25" i="87" s="1"/>
  <c r="K41" i="87" l="1"/>
  <c r="D28" i="87"/>
  <c r="D45" i="87"/>
  <c r="D48" i="87" s="1"/>
  <c r="D61" i="87" s="1"/>
  <c r="D41" i="87"/>
  <c r="E28" i="87"/>
  <c r="E45" i="87"/>
  <c r="E48" i="87" s="1"/>
  <c r="G45" i="87"/>
  <c r="I45" i="87"/>
  <c r="I48" i="87" s="1"/>
  <c r="I28" i="87"/>
  <c r="I41" i="87" s="1"/>
  <c r="I60" i="87"/>
  <c r="M61" i="87"/>
  <c r="K45" i="87"/>
  <c r="K48" i="87" s="1"/>
  <c r="K61" i="87" s="1"/>
  <c r="K28" i="87"/>
  <c r="I21" i="87"/>
  <c r="E61" i="87"/>
  <c r="M133" i="87"/>
  <c r="M205" i="87" s="1"/>
  <c r="M180" i="87"/>
  <c r="M303" i="87"/>
  <c r="M253" i="87"/>
  <c r="K8" i="87"/>
  <c r="K21" i="87" s="1"/>
  <c r="G26" i="87"/>
  <c r="G46" i="87" s="1"/>
  <c r="M327" i="87"/>
  <c r="I26" i="87"/>
  <c r="I46" i="87" s="1"/>
  <c r="L36" i="87"/>
  <c r="E40" i="87"/>
  <c r="D279" i="87"/>
  <c r="M351" i="87"/>
  <c r="G20" i="87"/>
  <c r="G21" i="87" s="1"/>
  <c r="D229" i="87"/>
  <c r="E279" i="87"/>
  <c r="M229" i="87"/>
  <c r="M110" i="87"/>
  <c r="G279" i="87"/>
  <c r="G229" i="87"/>
  <c r="K279" i="87"/>
  <c r="G303" i="87"/>
  <c r="D327" i="87"/>
  <c r="E351" i="87"/>
  <c r="M32" i="87"/>
  <c r="M41" i="87" s="1"/>
  <c r="D180" i="87"/>
  <c r="E229" i="87"/>
  <c r="D303" i="87"/>
  <c r="L28" i="87"/>
  <c r="E32" i="87"/>
  <c r="L40" i="87"/>
  <c r="L41" i="87" s="1"/>
  <c r="D110" i="87"/>
  <c r="E180" i="87"/>
  <c r="I279" i="87"/>
  <c r="E303" i="87"/>
  <c r="G180" i="87"/>
  <c r="I229" i="87"/>
  <c r="G54" i="87"/>
  <c r="G56" i="87" s="1"/>
  <c r="I180" i="87"/>
  <c r="L279" i="87"/>
  <c r="M279" i="87"/>
  <c r="G61" i="87" l="1"/>
  <c r="G28" i="87"/>
  <c r="G41" i="87" s="1"/>
  <c r="E41" i="87"/>
  <c r="G48" i="87"/>
  <c r="I61" i="87"/>
  <c r="AC74" i="77" l="1"/>
  <c r="O114" i="77"/>
  <c r="S114" i="77"/>
  <c r="G114" i="77"/>
  <c r="K114" i="77"/>
  <c r="L114" i="77"/>
  <c r="N114" i="77"/>
  <c r="R114" i="77"/>
  <c r="V114" i="77"/>
  <c r="W114" i="77"/>
  <c r="Z114" i="77"/>
  <c r="AC114" i="77"/>
  <c r="AF114" i="77"/>
  <c r="AG114" i="77"/>
  <c r="AJ114" i="77"/>
  <c r="AK114" i="77"/>
  <c r="AL114" i="77"/>
  <c r="AP114" i="77"/>
  <c r="AQ114" i="77"/>
  <c r="AT114" i="77"/>
  <c r="AU114" i="77"/>
  <c r="AX114" i="77"/>
  <c r="AY114" i="77"/>
  <c r="AZ114" i="77"/>
  <c r="BB114" i="77"/>
  <c r="BD114" i="77"/>
  <c r="E114" i="77"/>
  <c r="G108" i="77"/>
  <c r="K108" i="77"/>
  <c r="O108" i="77"/>
  <c r="AC108" i="77"/>
  <c r="AG108" i="77"/>
  <c r="AK108" i="77"/>
  <c r="AQ108" i="77"/>
  <c r="AU108" i="77"/>
  <c r="AY108" i="77"/>
  <c r="G109" i="77"/>
  <c r="K109" i="77"/>
  <c r="O109" i="77"/>
  <c r="S109" i="77"/>
  <c r="W109" i="77"/>
  <c r="AC109" i="77"/>
  <c r="AG109" i="77"/>
  <c r="AK109" i="77"/>
  <c r="AU109" i="77"/>
  <c r="AY109" i="77"/>
  <c r="G110" i="77"/>
  <c r="K110" i="77"/>
  <c r="O110" i="77"/>
  <c r="S110" i="77"/>
  <c r="W110" i="77"/>
  <c r="AC110" i="77"/>
  <c r="AG110" i="77"/>
  <c r="AK110" i="77"/>
  <c r="AQ110" i="77"/>
  <c r="AU110" i="77"/>
  <c r="AY110" i="77"/>
  <c r="G111" i="77"/>
  <c r="K111" i="77"/>
  <c r="O111" i="77"/>
  <c r="S111" i="77"/>
  <c r="W111" i="77"/>
  <c r="AC111" i="77"/>
  <c r="AG111" i="77"/>
  <c r="AK111" i="77"/>
  <c r="AQ111" i="77"/>
  <c r="AU111" i="77"/>
  <c r="AY111" i="77"/>
  <c r="G112" i="77"/>
  <c r="H112" i="77"/>
  <c r="I112" i="77"/>
  <c r="K112" i="77"/>
  <c r="O112" i="77"/>
  <c r="S112" i="77"/>
  <c r="W112" i="77"/>
  <c r="AC112" i="77"/>
  <c r="AG112" i="77"/>
  <c r="AK112" i="77"/>
  <c r="AQ112" i="77"/>
  <c r="AU112" i="77"/>
  <c r="AY112" i="77"/>
  <c r="H113" i="77"/>
  <c r="L113" i="77"/>
  <c r="N113" i="77"/>
  <c r="R113" i="77"/>
  <c r="V113" i="77"/>
  <c r="Z113" i="77"/>
  <c r="AF113" i="77"/>
  <c r="AJ113" i="77"/>
  <c r="AL113" i="77"/>
  <c r="AP113" i="77"/>
  <c r="AT113" i="77"/>
  <c r="AX113" i="77"/>
  <c r="AZ113" i="77"/>
  <c r="BB113" i="77"/>
  <c r="BD113" i="77"/>
  <c r="L115" i="77"/>
  <c r="N115" i="77"/>
  <c r="R115" i="77"/>
  <c r="V115" i="77"/>
  <c r="Z115" i="77"/>
  <c r="AF115" i="77"/>
  <c r="AJ115" i="77"/>
  <c r="AL115" i="77"/>
  <c r="AP115" i="77"/>
  <c r="AT115" i="77"/>
  <c r="AX115" i="77"/>
  <c r="AZ115" i="77"/>
  <c r="BB115" i="77"/>
  <c r="BD115" i="77"/>
  <c r="E112" i="77"/>
  <c r="E111" i="77"/>
  <c r="E110" i="77"/>
  <c r="E109" i="77"/>
  <c r="E108" i="77"/>
  <c r="I16" i="7" l="1"/>
  <c r="J16" i="7"/>
  <c r="F92" i="7" l="1"/>
  <c r="G92" i="7"/>
  <c r="I92" i="7"/>
  <c r="K92" i="7"/>
  <c r="M92" i="7"/>
  <c r="O92" i="7"/>
  <c r="P92" i="7"/>
  <c r="Q92" i="7"/>
  <c r="S92" i="7"/>
  <c r="U92" i="7"/>
  <c r="W92" i="7"/>
  <c r="Y92" i="7"/>
  <c r="AA92" i="7"/>
  <c r="AC92" i="7"/>
  <c r="AD92" i="7"/>
  <c r="AE92" i="7"/>
  <c r="AG92" i="7"/>
  <c r="AI92" i="7"/>
  <c r="AK92" i="7"/>
  <c r="AL92" i="7"/>
  <c r="AM92" i="7"/>
  <c r="AO92" i="7"/>
  <c r="AQ92" i="7"/>
  <c r="AS92" i="7"/>
  <c r="AU92" i="7"/>
  <c r="AW92" i="7"/>
  <c r="AY92" i="7"/>
  <c r="BA92" i="7"/>
  <c r="BC92" i="7"/>
  <c r="BE92" i="7"/>
  <c r="E92" i="7"/>
  <c r="AZ31" i="7"/>
  <c r="AZ92" i="7" s="1"/>
  <c r="AV31" i="7"/>
  <c r="AV92" i="7" s="1"/>
  <c r="AR31" i="7"/>
  <c r="AR92" i="7" s="1"/>
  <c r="AL31" i="7"/>
  <c r="AH31" i="7"/>
  <c r="AH92" i="7" s="1"/>
  <c r="AD31" i="7"/>
  <c r="X31" i="7"/>
  <c r="X92" i="7" s="1"/>
  <c r="T31" i="7"/>
  <c r="T92" i="7" s="1"/>
  <c r="P31" i="7"/>
  <c r="L31" i="7"/>
  <c r="L92" i="7" s="1"/>
  <c r="J31" i="7"/>
  <c r="J92" i="7" s="1"/>
  <c r="H31" i="7"/>
  <c r="H92" i="7" s="1"/>
  <c r="F31" i="7"/>
  <c r="D30" i="7"/>
  <c r="BA16" i="7"/>
  <c r="BB16" i="7"/>
  <c r="BB31" i="7" s="1"/>
  <c r="BB92" i="7" s="1"/>
  <c r="AM16" i="7"/>
  <c r="AN16" i="7"/>
  <c r="AN31" i="7" s="1"/>
  <c r="AN92" i="7" s="1"/>
  <c r="Y16" i="7"/>
  <c r="Z16" i="7"/>
  <c r="Z31" i="7" s="1"/>
  <c r="Z92" i="7" s="1"/>
  <c r="M16" i="7"/>
  <c r="Q16" i="7" s="1"/>
  <c r="U16" i="7" s="1"/>
  <c r="N16" i="7"/>
  <c r="N31" i="7" s="1"/>
  <c r="N92" i="7" s="1"/>
  <c r="F24" i="36"/>
  <c r="G24" i="36"/>
  <c r="H24" i="36"/>
  <c r="I24" i="36"/>
  <c r="J24" i="36"/>
  <c r="K24" i="36"/>
  <c r="L24" i="36"/>
  <c r="M24" i="36"/>
  <c r="N24" i="36"/>
  <c r="O24" i="36"/>
  <c r="P24" i="36"/>
  <c r="Q24" i="36"/>
  <c r="R24" i="36"/>
  <c r="S24" i="36"/>
  <c r="T24" i="36"/>
  <c r="U24" i="36"/>
  <c r="V24" i="36"/>
  <c r="W24" i="36"/>
  <c r="X24" i="36"/>
  <c r="Y24" i="36"/>
  <c r="Z24" i="36"/>
  <c r="AA24" i="36"/>
  <c r="AB24" i="36"/>
  <c r="AC24" i="36"/>
  <c r="AD24" i="36"/>
  <c r="AE24" i="36"/>
  <c r="AF24" i="36"/>
  <c r="AG24" i="36"/>
  <c r="AH24" i="36"/>
  <c r="AI24" i="36"/>
  <c r="AJ24" i="36"/>
  <c r="AK24" i="36"/>
  <c r="AL24" i="36"/>
  <c r="AM24" i="36"/>
  <c r="AN24" i="36"/>
  <c r="AO24" i="36"/>
  <c r="AP24" i="36"/>
  <c r="AQ24" i="36"/>
  <c r="AR24" i="36"/>
  <c r="AS24" i="36"/>
  <c r="AT24" i="36"/>
  <c r="AU24" i="36"/>
  <c r="AV24" i="36"/>
  <c r="AW24" i="36"/>
  <c r="AX24" i="36"/>
  <c r="AY24" i="36"/>
  <c r="AZ24" i="36"/>
  <c r="BA24" i="36"/>
  <c r="BB24" i="36"/>
  <c r="BC24" i="36"/>
  <c r="BD24" i="36"/>
  <c r="BE24" i="36"/>
  <c r="BF24" i="36"/>
  <c r="E24" i="36"/>
  <c r="BC16" i="7" l="1"/>
  <c r="BD16" i="7"/>
  <c r="AB16" i="7"/>
  <c r="AB31" i="7" s="1"/>
  <c r="AB92" i="7" s="1"/>
  <c r="AA16" i="7"/>
  <c r="AE16" i="7" s="1"/>
  <c r="AI16" i="7" s="1"/>
  <c r="AO16" i="7" s="1"/>
  <c r="AS16" i="7" s="1"/>
  <c r="BE16" i="7" s="1"/>
  <c r="R16" i="7"/>
  <c r="V16" i="7" s="1"/>
  <c r="V31" i="7" s="1"/>
  <c r="V92" i="7" s="1"/>
  <c r="R31" i="7"/>
  <c r="R92" i="7" s="1"/>
  <c r="L32" i="35"/>
  <c r="M65" i="45"/>
  <c r="AF16" i="7" l="1"/>
  <c r="AF31" i="7" s="1"/>
  <c r="AF92" i="7" s="1"/>
  <c r="O95" i="77"/>
  <c r="M58" i="45"/>
  <c r="S88" i="77"/>
  <c r="S87" i="77"/>
  <c r="AJ16" i="7" l="1"/>
  <c r="AP16" i="7" s="1"/>
  <c r="AQ91" i="77"/>
  <c r="AQ109" i="77" s="1"/>
  <c r="AJ31" i="7" l="1"/>
  <c r="AJ92" i="7" s="1"/>
  <c r="AP31" i="7"/>
  <c r="AP92" i="7" s="1"/>
  <c r="AT16" i="7"/>
  <c r="AY89" i="77"/>
  <c r="AU89" i="77"/>
  <c r="AQ89" i="77"/>
  <c r="AY86" i="77"/>
  <c r="AU86" i="77"/>
  <c r="AQ86" i="77"/>
  <c r="AK89" i="77"/>
  <c r="AG89" i="77"/>
  <c r="AC89" i="77"/>
  <c r="AK86" i="77"/>
  <c r="AG86" i="77"/>
  <c r="AC86" i="77"/>
  <c r="BA83" i="77"/>
  <c r="BA84" i="77"/>
  <c r="BA85" i="77"/>
  <c r="BA87" i="77"/>
  <c r="BA88" i="77"/>
  <c r="BA90" i="77"/>
  <c r="BA91" i="77"/>
  <c r="BA92" i="77"/>
  <c r="BA93" i="77"/>
  <c r="BA94" i="77"/>
  <c r="BA95" i="77"/>
  <c r="BA96" i="77"/>
  <c r="BA97" i="77"/>
  <c r="BA82" i="77"/>
  <c r="AM82" i="77"/>
  <c r="AM83" i="77"/>
  <c r="AM84" i="77"/>
  <c r="AM85" i="77"/>
  <c r="AM87" i="77"/>
  <c r="AM88" i="77"/>
  <c r="AM90" i="77"/>
  <c r="AM91" i="77"/>
  <c r="AM92" i="77"/>
  <c r="AM93" i="77"/>
  <c r="AM94" i="77"/>
  <c r="AM95" i="77"/>
  <c r="AM96" i="77"/>
  <c r="W90" i="77"/>
  <c r="W108" i="77" s="1"/>
  <c r="S90" i="77"/>
  <c r="W89" i="77"/>
  <c r="S89" i="77"/>
  <c r="O89" i="77"/>
  <c r="W86" i="77"/>
  <c r="S86" i="77"/>
  <c r="O86" i="77"/>
  <c r="Y83" i="77"/>
  <c r="Y84" i="77"/>
  <c r="Y85" i="77"/>
  <c r="Y87" i="77"/>
  <c r="Y88" i="77"/>
  <c r="Y91" i="77"/>
  <c r="Y92" i="77"/>
  <c r="Y93" i="77"/>
  <c r="Y94" i="77"/>
  <c r="Y95" i="77"/>
  <c r="Y96" i="77"/>
  <c r="Y97" i="77"/>
  <c r="Y82" i="77"/>
  <c r="M83" i="77"/>
  <c r="M84" i="77"/>
  <c r="M85" i="77"/>
  <c r="M87" i="77"/>
  <c r="M88" i="77"/>
  <c r="M90" i="77"/>
  <c r="M91" i="77"/>
  <c r="M92" i="77"/>
  <c r="M93" i="77"/>
  <c r="M94" i="77"/>
  <c r="M95" i="77"/>
  <c r="M96" i="77"/>
  <c r="M97" i="77"/>
  <c r="M82" i="77"/>
  <c r="K89" i="77"/>
  <c r="G89" i="77"/>
  <c r="K86" i="77"/>
  <c r="G86" i="77"/>
  <c r="E89" i="77"/>
  <c r="E86" i="77"/>
  <c r="M86" i="77" s="1"/>
  <c r="Y90" i="77" l="1"/>
  <c r="S108" i="77"/>
  <c r="AA84" i="77"/>
  <c r="AA87" i="77"/>
  <c r="AA88" i="77"/>
  <c r="BC93" i="77"/>
  <c r="AT31" i="7"/>
  <c r="AT92" i="7" s="1"/>
  <c r="M89" i="77"/>
  <c r="AA82" i="77"/>
  <c r="AA92" i="77"/>
  <c r="AA95" i="77"/>
  <c r="AA96" i="77"/>
  <c r="AA94" i="77"/>
  <c r="AA91" i="77"/>
  <c r="AA93" i="77"/>
  <c r="AA85" i="77"/>
  <c r="AA83" i="77"/>
  <c r="BC82" i="77"/>
  <c r="BC92" i="77"/>
  <c r="BC90" i="77"/>
  <c r="BC88" i="77"/>
  <c r="BC96" i="77"/>
  <c r="BC83" i="77"/>
  <c r="BC94" i="77"/>
  <c r="BC95" i="77"/>
  <c r="BC91" i="77"/>
  <c r="BC87" i="77"/>
  <c r="BA89" i="77"/>
  <c r="BA86" i="77"/>
  <c r="BC85" i="77"/>
  <c r="BC84" i="77"/>
  <c r="AM89" i="77"/>
  <c r="AM86" i="77"/>
  <c r="Y86" i="77"/>
  <c r="AA86" i="77" s="1"/>
  <c r="Y89" i="77"/>
  <c r="BE84" i="77" l="1"/>
  <c r="BE87" i="77"/>
  <c r="BE93" i="77"/>
  <c r="BE91" i="77"/>
  <c r="AA90" i="77"/>
  <c r="AA89" i="77"/>
  <c r="BE83" i="77"/>
  <c r="BE96" i="77"/>
  <c r="BE88" i="77"/>
  <c r="AX31" i="7"/>
  <c r="AX92" i="7" s="1"/>
  <c r="BF16" i="7"/>
  <c r="BF31" i="7" s="1"/>
  <c r="BF92" i="7" s="1"/>
  <c r="BE92" i="77"/>
  <c r="BE94" i="77"/>
  <c r="BE82" i="77"/>
  <c r="BE95" i="77"/>
  <c r="BE85" i="77"/>
  <c r="BC89" i="77"/>
  <c r="BC86" i="77"/>
  <c r="BE86" i="77" s="1"/>
  <c r="AN97" i="77"/>
  <c r="H97" i="77"/>
  <c r="AN96" i="77"/>
  <c r="I96" i="77"/>
  <c r="H96" i="77"/>
  <c r="AN95" i="77"/>
  <c r="I93" i="77"/>
  <c r="H93" i="77"/>
  <c r="I92" i="77"/>
  <c r="H92" i="77"/>
  <c r="I84" i="77"/>
  <c r="I82" i="77"/>
  <c r="H82" i="77"/>
  <c r="BE89" i="77" l="1"/>
  <c r="BE90" i="77"/>
  <c r="I85" i="77"/>
  <c r="H85" i="77"/>
  <c r="H84" i="77"/>
  <c r="I87" i="77"/>
  <c r="H88" i="77"/>
  <c r="T84" i="77"/>
  <c r="H83" i="77"/>
  <c r="H87" i="77"/>
  <c r="I88" i="77"/>
  <c r="AO92" i="77"/>
  <c r="AN94" i="77"/>
  <c r="AM97" i="77"/>
  <c r="AO94" i="77"/>
  <c r="I83" i="77"/>
  <c r="AO96" i="77"/>
  <c r="P84" i="77"/>
  <c r="P82" i="77"/>
  <c r="T82" i="77"/>
  <c r="Q84" i="77"/>
  <c r="U84" i="77"/>
  <c r="H90" i="77"/>
  <c r="I90" i="77"/>
  <c r="AN92" i="77"/>
  <c r="AO93" i="77"/>
  <c r="AN93" i="77"/>
  <c r="I97" i="77"/>
  <c r="AY123" i="26"/>
  <c r="BC97" i="77" l="1"/>
  <c r="AA97" i="77"/>
  <c r="AO95" i="77"/>
  <c r="AD88" i="77"/>
  <c r="P83" i="77"/>
  <c r="I95" i="77"/>
  <c r="AD85" i="77"/>
  <c r="AD83" i="77"/>
  <c r="P87" i="77"/>
  <c r="T87" i="77"/>
  <c r="T85" i="77"/>
  <c r="P85" i="77"/>
  <c r="AD87" i="77"/>
  <c r="AE85" i="77"/>
  <c r="T83" i="77"/>
  <c r="AD82" i="77"/>
  <c r="Q85" i="77"/>
  <c r="U85" i="77"/>
  <c r="AO85" i="77"/>
  <c r="AE82" i="77"/>
  <c r="AI85" i="77"/>
  <c r="AD84" i="77"/>
  <c r="U87" i="77"/>
  <c r="Q87" i="77"/>
  <c r="Q83" i="77"/>
  <c r="U83" i="77"/>
  <c r="U82" i="77"/>
  <c r="Q82" i="77"/>
  <c r="C175" i="10"/>
  <c r="C177" i="10" s="1"/>
  <c r="C173" i="10"/>
  <c r="C172" i="10"/>
  <c r="AR81" i="10"/>
  <c r="AD21" i="10"/>
  <c r="AO97" i="77" l="1"/>
  <c r="BE97" i="77"/>
  <c r="AE88" i="77"/>
  <c r="AE84" i="77"/>
  <c r="AE87" i="77"/>
  <c r="AH82" i="77"/>
  <c r="AE83" i="77"/>
  <c r="AI88" i="77"/>
  <c r="AS85" i="77"/>
  <c r="AH87" i="77"/>
  <c r="AD90" i="77"/>
  <c r="AH83" i="77"/>
  <c r="AH85" i="77"/>
  <c r="AH84" i="77"/>
  <c r="AI82" i="77"/>
  <c r="AE90" i="77"/>
  <c r="E31" i="15"/>
  <c r="J34" i="15"/>
  <c r="N34" i="15"/>
  <c r="AV34" i="15"/>
  <c r="BE27" i="15"/>
  <c r="BE29" i="15"/>
  <c r="BE30" i="15"/>
  <c r="BE32" i="15"/>
  <c r="BE33" i="15"/>
  <c r="BC26" i="15"/>
  <c r="BC27" i="15"/>
  <c r="BC29" i="15"/>
  <c r="BC30" i="15"/>
  <c r="BA21" i="15"/>
  <c r="BC21" i="15" s="1"/>
  <c r="BA22" i="15"/>
  <c r="BA23" i="15"/>
  <c r="BC23" i="15" s="1"/>
  <c r="BA24" i="15"/>
  <c r="BC24" i="15" s="1"/>
  <c r="BA26" i="15"/>
  <c r="BA27" i="15"/>
  <c r="BA29" i="15"/>
  <c r="BA30" i="15"/>
  <c r="BA32" i="15"/>
  <c r="BC32" i="15" s="1"/>
  <c r="BA33" i="15"/>
  <c r="BC33" i="15" s="1"/>
  <c r="AW27" i="15"/>
  <c r="AW29" i="15"/>
  <c r="AW30" i="15"/>
  <c r="AW32" i="15"/>
  <c r="AW33" i="15"/>
  <c r="AS27" i="15"/>
  <c r="AS29" i="15"/>
  <c r="AS30" i="15"/>
  <c r="AS32" i="15"/>
  <c r="AS33" i="15"/>
  <c r="AO27" i="15"/>
  <c r="AO29" i="15"/>
  <c r="AO30" i="15"/>
  <c r="AO32" i="15"/>
  <c r="AO33" i="15"/>
  <c r="AM21" i="15"/>
  <c r="AM22" i="15"/>
  <c r="AM23" i="15"/>
  <c r="AM24" i="15"/>
  <c r="AM26" i="15"/>
  <c r="AM27" i="15"/>
  <c r="AM29" i="15"/>
  <c r="AM30" i="15"/>
  <c r="AM32" i="15"/>
  <c r="AM33" i="15"/>
  <c r="AI27" i="15"/>
  <c r="AI29" i="15"/>
  <c r="AI30" i="15"/>
  <c r="AI32" i="15"/>
  <c r="AI33" i="15"/>
  <c r="AE27" i="15"/>
  <c r="AE29" i="15"/>
  <c r="AE30" i="15"/>
  <c r="AE32" i="15"/>
  <c r="AE33" i="15"/>
  <c r="AA27" i="15"/>
  <c r="AA29" i="15"/>
  <c r="AA30" i="15"/>
  <c r="AA32" i="15"/>
  <c r="AA33" i="15"/>
  <c r="Y21" i="15"/>
  <c r="Y22" i="15"/>
  <c r="AA22" i="15" s="1"/>
  <c r="AE22" i="15" s="1"/>
  <c r="AI22" i="15" s="1"/>
  <c r="AO22" i="15" s="1"/>
  <c r="AS22" i="15" s="1"/>
  <c r="AW22" i="15" s="1"/>
  <c r="BE22" i="15" s="1"/>
  <c r="Y23" i="15"/>
  <c r="Y24" i="15"/>
  <c r="AA24" i="15" s="1"/>
  <c r="AE24" i="15" s="1"/>
  <c r="AI24" i="15" s="1"/>
  <c r="AO24" i="15" s="1"/>
  <c r="AS24" i="15" s="1"/>
  <c r="AW24" i="15" s="1"/>
  <c r="BE24" i="15" s="1"/>
  <c r="Y26" i="15"/>
  <c r="Y27" i="15"/>
  <c r="Y29" i="15"/>
  <c r="Y30" i="15"/>
  <c r="Y32" i="15"/>
  <c r="Y33" i="15"/>
  <c r="U26" i="15"/>
  <c r="U27" i="15"/>
  <c r="U29" i="15"/>
  <c r="U30" i="15"/>
  <c r="U32" i="15"/>
  <c r="U33" i="15"/>
  <c r="Q26" i="15"/>
  <c r="Q27" i="15"/>
  <c r="Q29" i="15"/>
  <c r="Q30" i="15"/>
  <c r="Q32" i="15"/>
  <c r="Q33" i="15"/>
  <c r="M21" i="15"/>
  <c r="Q21" i="15" s="1"/>
  <c r="U21" i="15" s="1"/>
  <c r="M22" i="15"/>
  <c r="Q22" i="15" s="1"/>
  <c r="U22" i="15" s="1"/>
  <c r="M23" i="15"/>
  <c r="Q23" i="15" s="1"/>
  <c r="U23" i="15" s="1"/>
  <c r="M24" i="15"/>
  <c r="Q24" i="15" s="1"/>
  <c r="U24" i="15" s="1"/>
  <c r="M26" i="15"/>
  <c r="AA26" i="15" s="1"/>
  <c r="AE26" i="15" s="1"/>
  <c r="AI26" i="15" s="1"/>
  <c r="AO26" i="15" s="1"/>
  <c r="AS26" i="15" s="1"/>
  <c r="AW26" i="15" s="1"/>
  <c r="BE26" i="15" s="1"/>
  <c r="M27" i="15"/>
  <c r="M29" i="15"/>
  <c r="M30" i="15"/>
  <c r="M32" i="15"/>
  <c r="M33" i="15"/>
  <c r="I21" i="15"/>
  <c r="I22" i="15"/>
  <c r="I23" i="15"/>
  <c r="I24" i="15"/>
  <c r="I26" i="15"/>
  <c r="I27" i="15"/>
  <c r="I29" i="15"/>
  <c r="I30" i="15"/>
  <c r="I32" i="15"/>
  <c r="I33" i="15"/>
  <c r="H16" i="15"/>
  <c r="AH88" i="77" l="1"/>
  <c r="AI84" i="77"/>
  <c r="AN85" i="77"/>
  <c r="AW85" i="77"/>
  <c r="AI83" i="77"/>
  <c r="AN87" i="77"/>
  <c r="AO82" i="77"/>
  <c r="AI90" i="77"/>
  <c r="AN88" i="77"/>
  <c r="AN82" i="77"/>
  <c r="AN84" i="77"/>
  <c r="AN83" i="77"/>
  <c r="AO88" i="77"/>
  <c r="AH90" i="77"/>
  <c r="AI87" i="77"/>
  <c r="AA21" i="15"/>
  <c r="AE21" i="15" s="1"/>
  <c r="AI21" i="15" s="1"/>
  <c r="AO21" i="15" s="1"/>
  <c r="AS21" i="15" s="1"/>
  <c r="AW21" i="15" s="1"/>
  <c r="BE21" i="15" s="1"/>
  <c r="BC22" i="15"/>
  <c r="AA23" i="15"/>
  <c r="AE23" i="15" s="1"/>
  <c r="AI23" i="15" s="1"/>
  <c r="AO23" i="15" s="1"/>
  <c r="AS23" i="15" s="1"/>
  <c r="AW23" i="15" s="1"/>
  <c r="BE23" i="15" s="1"/>
  <c r="AO84" i="77" l="1"/>
  <c r="AR82" i="77"/>
  <c r="AS82" i="77"/>
  <c r="AN90" i="77"/>
  <c r="AR88" i="77"/>
  <c r="AR87" i="77"/>
  <c r="AR83" i="77"/>
  <c r="AO87" i="77"/>
  <c r="AS88" i="77"/>
  <c r="AR84" i="77"/>
  <c r="AO90" i="77"/>
  <c r="AO83" i="77"/>
  <c r="AR85" i="77"/>
  <c r="AS84" i="77" l="1"/>
  <c r="AS90" i="77"/>
  <c r="AV85" i="77"/>
  <c r="AV84" i="77"/>
  <c r="AR90" i="77"/>
  <c r="AV83" i="77"/>
  <c r="AS83" i="77"/>
  <c r="AW88" i="77"/>
  <c r="AV87" i="77"/>
  <c r="AW82" i="77"/>
  <c r="AS87" i="77"/>
  <c r="AV88" i="77"/>
  <c r="AV82" i="77"/>
  <c r="BB65" i="8"/>
  <c r="AN65" i="8"/>
  <c r="AN217" i="6"/>
  <c r="BD217" i="6"/>
  <c r="AW84" i="77" l="1"/>
  <c r="AW90" i="77"/>
  <c r="AW83" i="77"/>
  <c r="AW87" i="77"/>
  <c r="AV90" i="77"/>
  <c r="AY17" i="49"/>
  <c r="AZ17" i="49"/>
  <c r="AS192" i="73"/>
  <c r="AS193" i="73"/>
  <c r="AS167" i="73"/>
  <c r="AW192" i="73"/>
  <c r="BE192" i="73" s="1"/>
  <c r="AW193" i="73"/>
  <c r="M192" i="73"/>
  <c r="AA192" i="73" s="1"/>
  <c r="M193" i="73"/>
  <c r="AA193" i="73" s="1"/>
  <c r="Y192" i="73"/>
  <c r="Y193" i="73"/>
  <c r="AM193" i="73"/>
  <c r="AM194" i="73"/>
  <c r="AM192" i="73"/>
  <c r="BC192" i="73"/>
  <c r="BA192" i="73"/>
  <c r="BE91" i="45" l="1"/>
  <c r="BE90" i="45"/>
  <c r="BD90" i="45"/>
  <c r="BD89" i="45"/>
  <c r="BE89" i="45"/>
  <c r="BE80" i="45"/>
  <c r="BE81" i="45" s="1"/>
  <c r="BD80" i="45"/>
  <c r="BD81" i="45" s="1"/>
  <c r="BF76" i="6" l="1"/>
  <c r="BF79" i="6"/>
  <c r="BF77" i="6" l="1"/>
  <c r="BF80" i="6"/>
  <c r="BD172" i="6" l="1"/>
  <c r="BD171" i="6"/>
  <c r="BD170" i="6"/>
  <c r="AZ14" i="35" l="1"/>
  <c r="AZ13" i="35"/>
  <c r="AV14" i="35"/>
  <c r="AV13" i="35"/>
  <c r="AR14" i="35"/>
  <c r="AR13" i="35"/>
  <c r="AL14" i="35"/>
  <c r="AL13" i="35"/>
  <c r="AH14" i="35"/>
  <c r="AH13" i="35"/>
  <c r="AD14" i="35"/>
  <c r="AD13" i="35"/>
  <c r="X14" i="35"/>
  <c r="X13" i="35"/>
  <c r="T14" i="35"/>
  <c r="T13" i="35"/>
  <c r="P14" i="35"/>
  <c r="P13" i="35"/>
  <c r="L14" i="35"/>
  <c r="L13" i="35"/>
  <c r="H14" i="35"/>
  <c r="H13" i="35"/>
  <c r="F14" i="35"/>
  <c r="F13" i="35"/>
  <c r="E190" i="73" l="1"/>
  <c r="G190" i="73"/>
  <c r="K190" i="73"/>
  <c r="O190" i="73"/>
  <c r="S190" i="73"/>
  <c r="W190" i="73"/>
  <c r="AG190" i="73"/>
  <c r="AC190" i="73"/>
  <c r="AK190" i="73"/>
  <c r="AY190" i="73"/>
  <c r="AU190" i="73"/>
  <c r="AQ190" i="73"/>
  <c r="AD190" i="73"/>
  <c r="AF190" i="73"/>
  <c r="AH190" i="73"/>
  <c r="AJ190" i="73"/>
  <c r="P190" i="73"/>
  <c r="R190" i="73"/>
  <c r="T190" i="73"/>
  <c r="V190" i="73"/>
  <c r="F190" i="73"/>
  <c r="H190" i="73"/>
  <c r="J190" i="73"/>
  <c r="BA193" i="73"/>
  <c r="BC193" i="73" s="1"/>
  <c r="BE193" i="73"/>
  <c r="L66" i="36" l="1"/>
  <c r="L65" i="36"/>
  <c r="L64" i="36"/>
  <c r="L63" i="36"/>
  <c r="D99" i="9" l="1"/>
  <c r="BF99" i="9" l="1"/>
  <c r="BE99" i="9"/>
  <c r="BD99" i="9"/>
  <c r="BC99" i="9"/>
  <c r="BB99" i="9"/>
  <c r="BA99" i="9"/>
  <c r="BF82" i="8" l="1"/>
  <c r="BE82" i="8"/>
  <c r="BD82" i="8"/>
  <c r="BC82" i="8"/>
  <c r="BB82" i="8"/>
  <c r="BA82" i="8"/>
  <c r="BF83" i="8"/>
  <c r="BE83" i="8"/>
  <c r="BD83" i="8"/>
  <c r="BC83" i="8"/>
  <c r="BB83" i="8"/>
  <c r="BA83" i="8"/>
  <c r="BG12" i="38"/>
  <c r="BH12" i="38"/>
  <c r="BH33" i="38"/>
  <c r="BH32" i="38"/>
  <c r="BH31" i="38"/>
  <c r="BH30" i="38"/>
  <c r="BH29" i="38"/>
  <c r="BH28" i="38"/>
  <c r="BH27" i="38"/>
  <c r="BH26" i="38"/>
  <c r="BH25" i="38"/>
  <c r="BH24" i="38"/>
  <c r="BH23" i="38"/>
  <c r="BH22" i="38"/>
  <c r="BH21" i="38"/>
  <c r="BH20" i="38"/>
  <c r="BH19" i="38"/>
  <c r="BH18" i="38"/>
  <c r="BH17" i="38"/>
  <c r="BH16" i="38"/>
  <c r="BH15" i="38"/>
  <c r="BH14" i="38"/>
  <c r="BH13" i="38"/>
  <c r="BH11" i="38"/>
  <c r="BH10" i="38"/>
  <c r="BH9" i="38"/>
  <c r="BH8" i="38"/>
  <c r="BH7" i="38"/>
  <c r="BH6" i="38"/>
  <c r="BG47" i="38"/>
  <c r="BG46" i="38"/>
  <c r="BG45" i="38"/>
  <c r="BG44" i="38"/>
  <c r="BG42" i="38"/>
  <c r="BG37" i="38"/>
  <c r="BG38" i="38"/>
  <c r="BG39" i="38"/>
  <c r="BG36" i="38"/>
  <c r="BG21" i="38"/>
  <c r="BG22" i="38"/>
  <c r="BG23" i="38"/>
  <c r="BG24" i="38"/>
  <c r="BG25" i="38"/>
  <c r="BG26" i="38"/>
  <c r="BG27" i="38"/>
  <c r="BG28" i="38"/>
  <c r="BG29" i="38"/>
  <c r="BG30" i="38"/>
  <c r="BG31" i="38"/>
  <c r="BG32" i="38"/>
  <c r="BG33" i="38"/>
  <c r="BG20" i="38"/>
  <c r="BG15" i="38"/>
  <c r="BG14" i="38"/>
  <c r="BG8" i="38"/>
  <c r="BG9" i="38"/>
  <c r="BG10" i="38"/>
  <c r="BG11" i="38"/>
  <c r="BB217" i="6"/>
  <c r="BF81" i="6"/>
  <c r="BF78" i="6"/>
  <c r="BD76" i="6"/>
  <c r="BB81" i="6"/>
  <c r="BB80" i="6"/>
  <c r="BB79" i="6"/>
  <c r="BB78" i="6"/>
  <c r="BB76" i="6"/>
  <c r="AX81" i="6"/>
  <c r="AX80" i="6"/>
  <c r="AT80" i="6"/>
  <c r="AX79" i="6"/>
  <c r="AX78" i="6"/>
  <c r="AX77" i="6"/>
  <c r="AX76" i="6"/>
  <c r="AX75" i="6"/>
  <c r="BF75" i="6"/>
  <c r="BB75" i="6"/>
  <c r="H47" i="50" l="1"/>
  <c r="J47" i="50"/>
  <c r="L47" i="50"/>
  <c r="N47" i="50"/>
  <c r="P47" i="50"/>
  <c r="Q47" i="50"/>
  <c r="R47" i="50"/>
  <c r="T47" i="50"/>
  <c r="U47" i="50"/>
  <c r="V47" i="50"/>
  <c r="X47" i="50"/>
  <c r="Y47" i="50"/>
  <c r="Z47" i="50"/>
  <c r="AA47" i="50"/>
  <c r="AB47" i="50"/>
  <c r="AD47" i="50"/>
  <c r="AE47" i="50"/>
  <c r="AF47" i="50"/>
  <c r="AH47" i="50"/>
  <c r="AI47" i="50"/>
  <c r="AJ47" i="50"/>
  <c r="AL47" i="50"/>
  <c r="AL80" i="50" s="1"/>
  <c r="AN47" i="50"/>
  <c r="AN80" i="50" s="1"/>
  <c r="AP47" i="50"/>
  <c r="AR47" i="50"/>
  <c r="AS47" i="50"/>
  <c r="AT47" i="50"/>
  <c r="AV47" i="50"/>
  <c r="AW47" i="50"/>
  <c r="AX47" i="50"/>
  <c r="AZ47" i="50"/>
  <c r="BA47" i="50"/>
  <c r="BB47" i="50"/>
  <c r="BC47" i="50"/>
  <c r="BD47" i="50"/>
  <c r="BF47" i="50"/>
  <c r="G47" i="50"/>
  <c r="BA46" i="50"/>
  <c r="BA45" i="50"/>
  <c r="BA44" i="50"/>
  <c r="BA43" i="50"/>
  <c r="BA42" i="50"/>
  <c r="BA41" i="50"/>
  <c r="AW46" i="50"/>
  <c r="AW45" i="50"/>
  <c r="AW44" i="50"/>
  <c r="AW43" i="50"/>
  <c r="AW42" i="50"/>
  <c r="AW41" i="50"/>
  <c r="AS46" i="50"/>
  <c r="AS45" i="50"/>
  <c r="AS44" i="50"/>
  <c r="AS43" i="50"/>
  <c r="AS42" i="50"/>
  <c r="AS41" i="50"/>
  <c r="AM46" i="50"/>
  <c r="AM45" i="50"/>
  <c r="AM44" i="50"/>
  <c r="AM43" i="50"/>
  <c r="AM42" i="50"/>
  <c r="AM41" i="50"/>
  <c r="AI46" i="50"/>
  <c r="AI45" i="50"/>
  <c r="AI44" i="50"/>
  <c r="AI43" i="50"/>
  <c r="AI42" i="50"/>
  <c r="AI41" i="50"/>
  <c r="AE46" i="50"/>
  <c r="AE45" i="50"/>
  <c r="AE44" i="50"/>
  <c r="AE43" i="50"/>
  <c r="AE42" i="50"/>
  <c r="AE41" i="50"/>
  <c r="Y46" i="50"/>
  <c r="Y45" i="50"/>
  <c r="Y44" i="50"/>
  <c r="Y43" i="50"/>
  <c r="Y42" i="50"/>
  <c r="Y41" i="50"/>
  <c r="U46" i="50"/>
  <c r="U45" i="50"/>
  <c r="U44" i="50"/>
  <c r="U43" i="50"/>
  <c r="U42" i="50"/>
  <c r="U41" i="50"/>
  <c r="Q46" i="50"/>
  <c r="Q45" i="50"/>
  <c r="Q44" i="50"/>
  <c r="Q43" i="50"/>
  <c r="Q42" i="50"/>
  <c r="Q41" i="50"/>
  <c r="M46" i="50"/>
  <c r="M45" i="50"/>
  <c r="M44" i="50"/>
  <c r="M43" i="50"/>
  <c r="M42" i="50"/>
  <c r="M41" i="50"/>
  <c r="I46" i="50"/>
  <c r="I45" i="50"/>
  <c r="I44" i="50"/>
  <c r="I43" i="50"/>
  <c r="I42" i="50"/>
  <c r="I41" i="50"/>
  <c r="G46" i="50"/>
  <c r="G45" i="50"/>
  <c r="G44" i="50"/>
  <c r="G43" i="50"/>
  <c r="G42" i="50"/>
  <c r="G41" i="50"/>
  <c r="BG120" i="50"/>
  <c r="BE120" i="50"/>
  <c r="BE110" i="50"/>
  <c r="BC120" i="50"/>
  <c r="BC110" i="50"/>
  <c r="BC106" i="50"/>
  <c r="BC102" i="50"/>
  <c r="AY120" i="50"/>
  <c r="AU120" i="50"/>
  <c r="AQ120" i="50"/>
  <c r="AO120" i="50"/>
  <c r="AO110" i="50"/>
  <c r="AK120" i="50"/>
  <c r="AG120" i="50"/>
  <c r="AG102" i="50"/>
  <c r="AC120" i="50"/>
  <c r="AC102" i="50"/>
  <c r="AA120" i="50"/>
  <c r="AA110" i="50"/>
  <c r="AA106" i="50"/>
  <c r="AA102" i="50"/>
  <c r="W120" i="50"/>
  <c r="W102" i="50"/>
  <c r="BA127" i="50"/>
  <c r="AW127" i="50"/>
  <c r="AS127" i="50"/>
  <c r="AM127" i="50"/>
  <c r="AI127" i="50"/>
  <c r="AE127" i="50"/>
  <c r="Y127" i="50"/>
  <c r="U127" i="50"/>
  <c r="Q127" i="50"/>
  <c r="M127" i="50"/>
  <c r="I127" i="50"/>
  <c r="BA126" i="50"/>
  <c r="AW126" i="50"/>
  <c r="AS126" i="50"/>
  <c r="AM126" i="50"/>
  <c r="AI126" i="50"/>
  <c r="AE126" i="50"/>
  <c r="Y126" i="50"/>
  <c r="U126" i="50"/>
  <c r="Q126" i="50"/>
  <c r="M126" i="50"/>
  <c r="I126" i="50"/>
  <c r="BA125" i="50"/>
  <c r="AW125" i="50"/>
  <c r="AS125" i="50"/>
  <c r="BC125" i="50" s="1"/>
  <c r="AM125" i="50"/>
  <c r="AI125" i="50"/>
  <c r="AE125" i="50"/>
  <c r="Y125" i="50"/>
  <c r="U125" i="50"/>
  <c r="Q125" i="50"/>
  <c r="M125" i="50"/>
  <c r="I125" i="50"/>
  <c r="BA124" i="50"/>
  <c r="AW124" i="50"/>
  <c r="AS124" i="50"/>
  <c r="AM124" i="50"/>
  <c r="AI124" i="50"/>
  <c r="AE124" i="50"/>
  <c r="Y124" i="50"/>
  <c r="U124" i="50"/>
  <c r="Q124" i="50"/>
  <c r="M124" i="50"/>
  <c r="I124" i="50"/>
  <c r="BA120" i="50"/>
  <c r="AW120" i="50"/>
  <c r="AS120" i="50"/>
  <c r="AM120" i="50"/>
  <c r="AI120" i="50"/>
  <c r="AE120" i="50"/>
  <c r="Y120" i="50"/>
  <c r="U120" i="50"/>
  <c r="S120" i="50"/>
  <c r="Q120" i="50"/>
  <c r="O120" i="50"/>
  <c r="M120" i="50"/>
  <c r="K120" i="50"/>
  <c r="I120" i="50"/>
  <c r="BA116" i="50"/>
  <c r="AW116" i="50"/>
  <c r="AS116" i="50"/>
  <c r="BC116" i="50" s="1"/>
  <c r="AM116" i="50"/>
  <c r="AI116" i="50"/>
  <c r="AE116" i="50"/>
  <c r="Y116" i="50"/>
  <c r="U116" i="50"/>
  <c r="Q116" i="50"/>
  <c r="M116" i="50"/>
  <c r="I116" i="50"/>
  <c r="BA115" i="50"/>
  <c r="AW115" i="50"/>
  <c r="AS115" i="50"/>
  <c r="AM115" i="50"/>
  <c r="AI115" i="50"/>
  <c r="AE115" i="50"/>
  <c r="Y115" i="50"/>
  <c r="U115" i="50"/>
  <c r="Q115" i="50"/>
  <c r="M115" i="50"/>
  <c r="I115" i="50"/>
  <c r="BA114" i="50"/>
  <c r="AW114" i="50"/>
  <c r="AS114" i="50"/>
  <c r="AM114" i="50"/>
  <c r="AI114" i="50"/>
  <c r="AE114" i="50"/>
  <c r="Y114" i="50"/>
  <c r="U114" i="50"/>
  <c r="Q114" i="50"/>
  <c r="M114" i="50"/>
  <c r="I114" i="50"/>
  <c r="BA112" i="50"/>
  <c r="U112" i="50"/>
  <c r="BA111" i="50"/>
  <c r="AW111" i="50"/>
  <c r="AW112" i="50" s="1"/>
  <c r="Y111" i="50"/>
  <c r="U111" i="50"/>
  <c r="I111" i="50"/>
  <c r="I112" i="50" s="1"/>
  <c r="BA110" i="50"/>
  <c r="BA113" i="50" s="1"/>
  <c r="AW110" i="50"/>
  <c r="AS110" i="50"/>
  <c r="AM110" i="50"/>
  <c r="AI110" i="50"/>
  <c r="AE110" i="50"/>
  <c r="Y110" i="50"/>
  <c r="Y113" i="50" s="1"/>
  <c r="U110" i="50"/>
  <c r="Q110" i="50"/>
  <c r="M110" i="50"/>
  <c r="K110" i="50"/>
  <c r="I110" i="50"/>
  <c r="BA106" i="50"/>
  <c r="AW106" i="50"/>
  <c r="AS106" i="50"/>
  <c r="AI106" i="50"/>
  <c r="AE106" i="50"/>
  <c r="Y106" i="50"/>
  <c r="U106" i="50"/>
  <c r="Q106" i="50"/>
  <c r="BA102" i="50"/>
  <c r="AW102" i="50"/>
  <c r="AS102" i="50"/>
  <c r="AM102" i="50"/>
  <c r="AE102" i="50"/>
  <c r="Y102" i="50"/>
  <c r="U102" i="50"/>
  <c r="S102" i="50"/>
  <c r="Q102" i="50"/>
  <c r="O102" i="50"/>
  <c r="M102" i="50"/>
  <c r="K102" i="50"/>
  <c r="I102" i="50"/>
  <c r="BA99" i="50"/>
  <c r="AW99" i="50"/>
  <c r="AS99" i="50"/>
  <c r="AM99" i="50"/>
  <c r="AI99" i="50"/>
  <c r="AE99" i="50"/>
  <c r="Y99" i="50"/>
  <c r="U99" i="50"/>
  <c r="M99" i="50"/>
  <c r="I99" i="50"/>
  <c r="BA98" i="50"/>
  <c r="AS98" i="50"/>
  <c r="AI98" i="50"/>
  <c r="AE98" i="50"/>
  <c r="Y98" i="50"/>
  <c r="I98" i="50"/>
  <c r="BA97" i="50"/>
  <c r="AE97" i="50"/>
  <c r="Y97" i="50"/>
  <c r="U97" i="50"/>
  <c r="Q97" i="50"/>
  <c r="G126" i="50"/>
  <c r="G125" i="50"/>
  <c r="O125" i="50" s="1"/>
  <c r="G124" i="50"/>
  <c r="G116" i="50"/>
  <c r="G115" i="50"/>
  <c r="G114" i="50"/>
  <c r="K114" i="50" s="1"/>
  <c r="G99" i="50"/>
  <c r="K99" i="50" s="1"/>
  <c r="G98" i="50"/>
  <c r="H79" i="50"/>
  <c r="J79" i="50"/>
  <c r="L79" i="50"/>
  <c r="N79" i="50"/>
  <c r="P79" i="50"/>
  <c r="R79" i="50"/>
  <c r="T79" i="50"/>
  <c r="V79" i="50"/>
  <c r="X79" i="50"/>
  <c r="X80" i="50" s="1"/>
  <c r="Z79" i="50"/>
  <c r="AB79" i="50"/>
  <c r="AB80" i="50" s="1"/>
  <c r="AD79" i="50"/>
  <c r="AF79" i="50"/>
  <c r="AH79" i="50"/>
  <c r="AJ79" i="50"/>
  <c r="AL79" i="50"/>
  <c r="AN79" i="50"/>
  <c r="AP79" i="50"/>
  <c r="AR79" i="50"/>
  <c r="AT79" i="50"/>
  <c r="AV79" i="50"/>
  <c r="AV80" i="50" s="1"/>
  <c r="AX79" i="50"/>
  <c r="AX80" i="50" s="1"/>
  <c r="AZ79" i="50"/>
  <c r="BB79" i="50"/>
  <c r="BD79" i="50"/>
  <c r="BF79" i="50"/>
  <c r="AR80" i="50"/>
  <c r="AT80" i="50"/>
  <c r="H67" i="50"/>
  <c r="I67" i="50"/>
  <c r="J67" i="50"/>
  <c r="L67" i="50"/>
  <c r="M67" i="50"/>
  <c r="M111" i="50" s="1"/>
  <c r="M112" i="50" s="1"/>
  <c r="N67" i="50"/>
  <c r="N80" i="50" s="1"/>
  <c r="P67" i="50"/>
  <c r="P80" i="50" s="1"/>
  <c r="Q67" i="50"/>
  <c r="Q111" i="50" s="1"/>
  <c r="Q112" i="50" s="1"/>
  <c r="R67" i="50"/>
  <c r="T67" i="50"/>
  <c r="U67" i="50"/>
  <c r="V67" i="50"/>
  <c r="X67" i="50"/>
  <c r="Y67" i="50"/>
  <c r="Z67" i="50"/>
  <c r="Z80" i="50" s="1"/>
  <c r="AB67" i="50"/>
  <c r="AD67" i="50"/>
  <c r="AF67" i="50"/>
  <c r="AH67" i="50"/>
  <c r="AI67" i="50"/>
  <c r="AI111" i="50" s="1"/>
  <c r="AJ67" i="50"/>
  <c r="AL67" i="50"/>
  <c r="AM67" i="50"/>
  <c r="AM111" i="50" s="1"/>
  <c r="AM112" i="50" s="1"/>
  <c r="AN67" i="50"/>
  <c r="AP67" i="50"/>
  <c r="AR67" i="50"/>
  <c r="AS67" i="50"/>
  <c r="AS111" i="50" s="1"/>
  <c r="AS112" i="50" s="1"/>
  <c r="AT67" i="50"/>
  <c r="AV67" i="50"/>
  <c r="AW67" i="50"/>
  <c r="AX67" i="50"/>
  <c r="AZ67" i="50"/>
  <c r="BA67" i="50"/>
  <c r="BB67" i="50"/>
  <c r="BD67" i="50"/>
  <c r="BD80" i="50" s="1"/>
  <c r="BF67" i="50"/>
  <c r="V80" i="50"/>
  <c r="H40" i="50"/>
  <c r="J40" i="50"/>
  <c r="L40" i="50"/>
  <c r="N40" i="50"/>
  <c r="P40" i="50"/>
  <c r="R40" i="50"/>
  <c r="T40" i="50"/>
  <c r="V40" i="50"/>
  <c r="X40" i="50"/>
  <c r="Z40" i="50"/>
  <c r="AB40" i="50"/>
  <c r="AD40" i="50"/>
  <c r="AF40" i="50"/>
  <c r="AH40" i="50"/>
  <c r="AJ40" i="50"/>
  <c r="AL40" i="50"/>
  <c r="AN40" i="50"/>
  <c r="AP40" i="50"/>
  <c r="AR40" i="50"/>
  <c r="AT40" i="50"/>
  <c r="AV40" i="50"/>
  <c r="AX40" i="50"/>
  <c r="AZ40" i="50"/>
  <c r="BB40" i="50"/>
  <c r="BD40" i="50"/>
  <c r="BF40" i="50"/>
  <c r="BF80" i="50" s="1"/>
  <c r="H32" i="50"/>
  <c r="J32" i="50"/>
  <c r="L32" i="50"/>
  <c r="N32" i="50"/>
  <c r="P32" i="50"/>
  <c r="R32" i="50"/>
  <c r="T32" i="50"/>
  <c r="V32" i="50"/>
  <c r="X32" i="50"/>
  <c r="Z32" i="50"/>
  <c r="AB32" i="50"/>
  <c r="AD32" i="50"/>
  <c r="AF32" i="50"/>
  <c r="AH32" i="50"/>
  <c r="AJ32" i="50"/>
  <c r="AL32" i="50"/>
  <c r="AN32" i="50"/>
  <c r="AP32" i="50"/>
  <c r="AR32" i="50"/>
  <c r="AT32" i="50"/>
  <c r="AV32" i="50"/>
  <c r="AX32" i="50"/>
  <c r="AZ32" i="50"/>
  <c r="BB32" i="50"/>
  <c r="BD32" i="50"/>
  <c r="BF32" i="50"/>
  <c r="L83" i="50"/>
  <c r="P83" i="50"/>
  <c r="T83" i="50"/>
  <c r="X83" i="50"/>
  <c r="Y83" i="50"/>
  <c r="Z83" i="50"/>
  <c r="AD83" i="50"/>
  <c r="AE83" i="50"/>
  <c r="AH83" i="50"/>
  <c r="AI83" i="50"/>
  <c r="AL83" i="50"/>
  <c r="AM83" i="50"/>
  <c r="AN83" i="50"/>
  <c r="AO83" i="50"/>
  <c r="AR83" i="50"/>
  <c r="AS83" i="50"/>
  <c r="AV83" i="50"/>
  <c r="AW83" i="50"/>
  <c r="AZ83" i="50"/>
  <c r="BA83" i="50"/>
  <c r="BB83" i="50"/>
  <c r="BC83" i="50"/>
  <c r="BD83" i="50"/>
  <c r="BE83" i="50"/>
  <c r="AO49" i="50"/>
  <c r="AO50" i="50"/>
  <c r="AO51" i="50"/>
  <c r="BE51" i="50" s="1"/>
  <c r="AO52" i="50"/>
  <c r="BE52" i="50" s="1"/>
  <c r="AO53" i="50"/>
  <c r="AO54" i="50"/>
  <c r="BE54" i="50" s="1"/>
  <c r="AO55" i="50"/>
  <c r="AO57" i="50"/>
  <c r="AO58" i="50"/>
  <c r="BE58" i="50" s="1"/>
  <c r="AO59" i="50"/>
  <c r="AO60" i="50"/>
  <c r="AO61" i="50"/>
  <c r="AO62" i="50"/>
  <c r="AO63" i="50"/>
  <c r="AO64" i="50"/>
  <c r="AO65" i="50"/>
  <c r="AO66" i="50"/>
  <c r="AO69" i="50"/>
  <c r="AO70" i="50"/>
  <c r="AO71" i="50"/>
  <c r="AO72" i="50"/>
  <c r="AO73" i="50"/>
  <c r="AO74" i="50"/>
  <c r="AO75" i="50"/>
  <c r="AO76" i="50"/>
  <c r="BE76" i="50" s="1"/>
  <c r="AO77" i="50"/>
  <c r="AO78" i="50"/>
  <c r="AK63" i="50"/>
  <c r="AQ63" i="50" s="1"/>
  <c r="AU63" i="50" s="1"/>
  <c r="AY63" i="50" s="1"/>
  <c r="AG63" i="50"/>
  <c r="AG71" i="50"/>
  <c r="AK71" i="50" s="1"/>
  <c r="AQ71" i="50" s="1"/>
  <c r="AU71" i="50" s="1"/>
  <c r="AY71" i="50" s="1"/>
  <c r="AA48" i="50"/>
  <c r="AC48" i="50" s="1"/>
  <c r="AA49" i="50"/>
  <c r="AC49" i="50" s="1"/>
  <c r="AG49" i="50" s="1"/>
  <c r="AK49" i="50" s="1"/>
  <c r="AQ49" i="50" s="1"/>
  <c r="AU49" i="50" s="1"/>
  <c r="AY49" i="50" s="1"/>
  <c r="AA50" i="50"/>
  <c r="AA51" i="50"/>
  <c r="AC51" i="50"/>
  <c r="AG51" i="50" s="1"/>
  <c r="AK51" i="50" s="1"/>
  <c r="AQ51" i="50" s="1"/>
  <c r="AU51" i="50" s="1"/>
  <c r="AY51" i="50" s="1"/>
  <c r="AA52" i="50"/>
  <c r="AA53" i="50"/>
  <c r="AA54" i="50"/>
  <c r="AA55" i="50"/>
  <c r="AA56" i="50"/>
  <c r="AA57" i="50"/>
  <c r="AC57" i="50"/>
  <c r="AG57" i="50" s="1"/>
  <c r="AK57" i="50" s="1"/>
  <c r="AQ57" i="50" s="1"/>
  <c r="AU57" i="50" s="1"/>
  <c r="AY57" i="50" s="1"/>
  <c r="AA58" i="50"/>
  <c r="AA59" i="50"/>
  <c r="AC59" i="50" s="1"/>
  <c r="AG59" i="50" s="1"/>
  <c r="AK59" i="50" s="1"/>
  <c r="AQ59" i="50" s="1"/>
  <c r="AU59" i="50" s="1"/>
  <c r="AY59" i="50" s="1"/>
  <c r="AA60" i="50"/>
  <c r="AC60" i="50" s="1"/>
  <c r="AG60" i="50" s="1"/>
  <c r="AK60" i="50" s="1"/>
  <c r="AQ60" i="50" s="1"/>
  <c r="AU60" i="50" s="1"/>
  <c r="AY60" i="50" s="1"/>
  <c r="AA61" i="50"/>
  <c r="AC61" i="50" s="1"/>
  <c r="AG61" i="50" s="1"/>
  <c r="AK61" i="50" s="1"/>
  <c r="AQ61" i="50" s="1"/>
  <c r="AU61" i="50" s="1"/>
  <c r="AY61" i="50" s="1"/>
  <c r="AA62" i="50"/>
  <c r="AA63" i="50"/>
  <c r="AA64" i="50"/>
  <c r="AA65" i="50"/>
  <c r="AA66" i="50"/>
  <c r="AC66" i="50" s="1"/>
  <c r="AG66" i="50" s="1"/>
  <c r="AK66" i="50" s="1"/>
  <c r="AQ66" i="50" s="1"/>
  <c r="AU66" i="50" s="1"/>
  <c r="AY66" i="50" s="1"/>
  <c r="AA69" i="50"/>
  <c r="AA70" i="50"/>
  <c r="AC70" i="50" s="1"/>
  <c r="AG70" i="50" s="1"/>
  <c r="AK70" i="50" s="1"/>
  <c r="AQ70" i="50" s="1"/>
  <c r="AU70" i="50" s="1"/>
  <c r="AY70" i="50" s="1"/>
  <c r="AA71" i="50"/>
  <c r="AC71" i="50" s="1"/>
  <c r="AA72" i="50"/>
  <c r="AC72" i="50" s="1"/>
  <c r="AG72" i="50" s="1"/>
  <c r="AK72" i="50" s="1"/>
  <c r="AQ72" i="50" s="1"/>
  <c r="AU72" i="50" s="1"/>
  <c r="AY72" i="50" s="1"/>
  <c r="AA73" i="50"/>
  <c r="AA74" i="50"/>
  <c r="AC74" i="50" s="1"/>
  <c r="AG74" i="50" s="1"/>
  <c r="AK74" i="50" s="1"/>
  <c r="AQ74" i="50" s="1"/>
  <c r="AU74" i="50" s="1"/>
  <c r="AY74" i="50" s="1"/>
  <c r="AA75" i="50"/>
  <c r="AA76" i="50"/>
  <c r="AA77" i="50"/>
  <c r="AA78" i="50"/>
  <c r="W56" i="50"/>
  <c r="W60" i="50"/>
  <c r="W63" i="50"/>
  <c r="W74" i="50"/>
  <c r="S48" i="50"/>
  <c r="W48" i="50" s="1"/>
  <c r="S49" i="50"/>
  <c r="S51" i="50"/>
  <c r="W51" i="50" s="1"/>
  <c r="S56" i="50"/>
  <c r="S59" i="50"/>
  <c r="W59" i="50" s="1"/>
  <c r="S60" i="50"/>
  <c r="S61" i="50"/>
  <c r="W61" i="50" s="1"/>
  <c r="S63" i="50"/>
  <c r="S70" i="50"/>
  <c r="W70" i="50" s="1"/>
  <c r="S73" i="50"/>
  <c r="W73" i="50" s="1"/>
  <c r="S74" i="50"/>
  <c r="S75" i="50"/>
  <c r="W75" i="50" s="1"/>
  <c r="S77" i="50"/>
  <c r="W77" i="50" s="1"/>
  <c r="O48" i="50"/>
  <c r="O49" i="50"/>
  <c r="O50" i="50"/>
  <c r="S50" i="50" s="1"/>
  <c r="W50" i="50" s="1"/>
  <c r="O51" i="50"/>
  <c r="O52" i="50"/>
  <c r="S52" i="50" s="1"/>
  <c r="W52" i="50" s="1"/>
  <c r="O53" i="50"/>
  <c r="S53" i="50" s="1"/>
  <c r="W53" i="50" s="1"/>
  <c r="O54" i="50"/>
  <c r="S54" i="50" s="1"/>
  <c r="W54" i="50" s="1"/>
  <c r="O55" i="50"/>
  <c r="S55" i="50" s="1"/>
  <c r="W55" i="50" s="1"/>
  <c r="O56" i="50"/>
  <c r="O57" i="50"/>
  <c r="S57" i="50" s="1"/>
  <c r="W57" i="50" s="1"/>
  <c r="O58" i="50"/>
  <c r="S58" i="50" s="1"/>
  <c r="W58" i="50" s="1"/>
  <c r="O59" i="50"/>
  <c r="O60" i="50"/>
  <c r="O61" i="50"/>
  <c r="O62" i="50"/>
  <c r="S62" i="50" s="1"/>
  <c r="W62" i="50" s="1"/>
  <c r="O63" i="50"/>
  <c r="AC63" i="50" s="1"/>
  <c r="O64" i="50"/>
  <c r="S64" i="50" s="1"/>
  <c r="W64" i="50" s="1"/>
  <c r="O65" i="50"/>
  <c r="S65" i="50" s="1"/>
  <c r="W65" i="50" s="1"/>
  <c r="O66" i="50"/>
  <c r="S66" i="50" s="1"/>
  <c r="W66" i="50" s="1"/>
  <c r="O69" i="50"/>
  <c r="S69" i="50" s="1"/>
  <c r="W69" i="50" s="1"/>
  <c r="O70" i="50"/>
  <c r="O71" i="50"/>
  <c r="S71" i="50" s="1"/>
  <c r="W71" i="50" s="1"/>
  <c r="O72" i="50"/>
  <c r="S72" i="50" s="1"/>
  <c r="W72" i="50" s="1"/>
  <c r="O73" i="50"/>
  <c r="O74" i="50"/>
  <c r="O75" i="50"/>
  <c r="O76" i="50"/>
  <c r="S76" i="50" s="1"/>
  <c r="W76" i="50" s="1"/>
  <c r="O77" i="50"/>
  <c r="O78" i="50"/>
  <c r="S78" i="50" s="1"/>
  <c r="W78" i="50" s="1"/>
  <c r="K48" i="50"/>
  <c r="K49" i="50"/>
  <c r="K67" i="50" s="1"/>
  <c r="K111" i="50" s="1"/>
  <c r="K50" i="50"/>
  <c r="K51" i="50"/>
  <c r="K52" i="50"/>
  <c r="K53" i="50"/>
  <c r="K54" i="50"/>
  <c r="K55" i="50"/>
  <c r="K56" i="50"/>
  <c r="K57" i="50"/>
  <c r="K58" i="50"/>
  <c r="K59" i="50"/>
  <c r="K60" i="50"/>
  <c r="K61" i="50"/>
  <c r="K62" i="50"/>
  <c r="K63" i="50"/>
  <c r="K64" i="50"/>
  <c r="K65" i="50"/>
  <c r="K66" i="50"/>
  <c r="K69" i="50"/>
  <c r="K70" i="50"/>
  <c r="K71" i="50"/>
  <c r="K72" i="50"/>
  <c r="K73" i="50"/>
  <c r="K74" i="50"/>
  <c r="K75" i="50"/>
  <c r="K76" i="50"/>
  <c r="K77" i="50"/>
  <c r="K78" i="50"/>
  <c r="BE50" i="50"/>
  <c r="BE57" i="50"/>
  <c r="BE63" i="50"/>
  <c r="BE65" i="50"/>
  <c r="BE66" i="50"/>
  <c r="BE69" i="50"/>
  <c r="BE71" i="50"/>
  <c r="BE77" i="50"/>
  <c r="BC48" i="50"/>
  <c r="BC49" i="50"/>
  <c r="BC50" i="50"/>
  <c r="BC51" i="50"/>
  <c r="BC52" i="50"/>
  <c r="BC53" i="50"/>
  <c r="BE53" i="50" s="1"/>
  <c r="BC54" i="50"/>
  <c r="BC55" i="50"/>
  <c r="BC56" i="50"/>
  <c r="BC57" i="50"/>
  <c r="BC58" i="50"/>
  <c r="BC59" i="50"/>
  <c r="BE59" i="50" s="1"/>
  <c r="BC60" i="50"/>
  <c r="BC61" i="50"/>
  <c r="BC62" i="50"/>
  <c r="BE62" i="50" s="1"/>
  <c r="BC63" i="50"/>
  <c r="BC64" i="50"/>
  <c r="BE64" i="50" s="1"/>
  <c r="BC65" i="50"/>
  <c r="BC66" i="50"/>
  <c r="BC69" i="50"/>
  <c r="BC70" i="50"/>
  <c r="BC71" i="50"/>
  <c r="BC72" i="50"/>
  <c r="BC73" i="50"/>
  <c r="BC74" i="50"/>
  <c r="BE74" i="50" s="1"/>
  <c r="BC75" i="50"/>
  <c r="BE75" i="50" s="1"/>
  <c r="BC76" i="50"/>
  <c r="BC77" i="50"/>
  <c r="BC78" i="50"/>
  <c r="BE78" i="50" s="1"/>
  <c r="BA5" i="50"/>
  <c r="BA6" i="50"/>
  <c r="BA7" i="50"/>
  <c r="BA8" i="50"/>
  <c r="BA10" i="50"/>
  <c r="BA11" i="50"/>
  <c r="BA12" i="50"/>
  <c r="BA13" i="50"/>
  <c r="BA14" i="50"/>
  <c r="BA15" i="50"/>
  <c r="BA16" i="50"/>
  <c r="BA17" i="50"/>
  <c r="BA18" i="50"/>
  <c r="BA19" i="50"/>
  <c r="BA21" i="50"/>
  <c r="BA22" i="50"/>
  <c r="BA23" i="50"/>
  <c r="BA24" i="50"/>
  <c r="BA25" i="50"/>
  <c r="BA26" i="50"/>
  <c r="BA27" i="50"/>
  <c r="BA28" i="50"/>
  <c r="BA29" i="50"/>
  <c r="BA30" i="50"/>
  <c r="BA31" i="50"/>
  <c r="AW5" i="50"/>
  <c r="AW6" i="50"/>
  <c r="AW7" i="50"/>
  <c r="AW8" i="50"/>
  <c r="AW10" i="50"/>
  <c r="AW11" i="50"/>
  <c r="AW12" i="50"/>
  <c r="AW13" i="50"/>
  <c r="AW14" i="50"/>
  <c r="AW15" i="50"/>
  <c r="AW16" i="50"/>
  <c r="AW17" i="50"/>
  <c r="AW18" i="50"/>
  <c r="AW19" i="50"/>
  <c r="AW21" i="50"/>
  <c r="AW22" i="50"/>
  <c r="AW25" i="50"/>
  <c r="AW26" i="50"/>
  <c r="AW28" i="50"/>
  <c r="AW29" i="50"/>
  <c r="AW30" i="50"/>
  <c r="AS5" i="50"/>
  <c r="BC5" i="50" s="1"/>
  <c r="AS6" i="50"/>
  <c r="BC6" i="50" s="1"/>
  <c r="AS7" i="50"/>
  <c r="AS8" i="50"/>
  <c r="AS9" i="50"/>
  <c r="AS10" i="50"/>
  <c r="BC10" i="50" s="1"/>
  <c r="AS11" i="50"/>
  <c r="BC11" i="50" s="1"/>
  <c r="AS12" i="50"/>
  <c r="BC12" i="50" s="1"/>
  <c r="AS13" i="50"/>
  <c r="BC13" i="50" s="1"/>
  <c r="AS14" i="50"/>
  <c r="BC14" i="50" s="1"/>
  <c r="AS15" i="50"/>
  <c r="BC15" i="50" s="1"/>
  <c r="AS16" i="50"/>
  <c r="AS17" i="50"/>
  <c r="BC17" i="50" s="1"/>
  <c r="AS18" i="50"/>
  <c r="BC18" i="50" s="1"/>
  <c r="AS19" i="50"/>
  <c r="AS21" i="50"/>
  <c r="BC21" i="50" s="1"/>
  <c r="AS24" i="50"/>
  <c r="AS25" i="50"/>
  <c r="BC25" i="50" s="1"/>
  <c r="AS26" i="50"/>
  <c r="BC26" i="50" s="1"/>
  <c r="AS27" i="50"/>
  <c r="AS28" i="50"/>
  <c r="AS29" i="50"/>
  <c r="BC29" i="50" s="1"/>
  <c r="AS30" i="50"/>
  <c r="BC30" i="50" s="1"/>
  <c r="AS31" i="50"/>
  <c r="AM5" i="50"/>
  <c r="AM6" i="50"/>
  <c r="AM7" i="50"/>
  <c r="AM8" i="50"/>
  <c r="AM10" i="50"/>
  <c r="AM11" i="50"/>
  <c r="AM12" i="50"/>
  <c r="AM13" i="50"/>
  <c r="AM15" i="50"/>
  <c r="AM16" i="50"/>
  <c r="AM17" i="50"/>
  <c r="AM18" i="50"/>
  <c r="AM19" i="50"/>
  <c r="AM22" i="50"/>
  <c r="AM24" i="50"/>
  <c r="AM25" i="50"/>
  <c r="AM28" i="50"/>
  <c r="AM29" i="50"/>
  <c r="AM30" i="50"/>
  <c r="AM31" i="50"/>
  <c r="AI5" i="50"/>
  <c r="AI6" i="50"/>
  <c r="AI7" i="50"/>
  <c r="AI8" i="50"/>
  <c r="AI9" i="50"/>
  <c r="AI10" i="50"/>
  <c r="AI11" i="50"/>
  <c r="AI12" i="50"/>
  <c r="AI13" i="50"/>
  <c r="AI14" i="50"/>
  <c r="AI15" i="50"/>
  <c r="AI16" i="50"/>
  <c r="AI17" i="50"/>
  <c r="AI18" i="50"/>
  <c r="AI19" i="50"/>
  <c r="AI21" i="50"/>
  <c r="AI22" i="50"/>
  <c r="AI24" i="50"/>
  <c r="AI25" i="50"/>
  <c r="AI26" i="50"/>
  <c r="AI28" i="50"/>
  <c r="AI30" i="50"/>
  <c r="AE5" i="50"/>
  <c r="AE6" i="50"/>
  <c r="AE7" i="50"/>
  <c r="AE8" i="50"/>
  <c r="AE10" i="50"/>
  <c r="AE11" i="50"/>
  <c r="AE12" i="50"/>
  <c r="AE13" i="50"/>
  <c r="AE14" i="50"/>
  <c r="AE15" i="50"/>
  <c r="AE16" i="50"/>
  <c r="AE17" i="50"/>
  <c r="AE18" i="50"/>
  <c r="AE21" i="50"/>
  <c r="AE23" i="50"/>
  <c r="AE24" i="50"/>
  <c r="AE25" i="50"/>
  <c r="AE27" i="50"/>
  <c r="AE28" i="50"/>
  <c r="AE29" i="50"/>
  <c r="AE30" i="50"/>
  <c r="Y5" i="50"/>
  <c r="Y6" i="50"/>
  <c r="Y7" i="50"/>
  <c r="Y8" i="50"/>
  <c r="Y9" i="50"/>
  <c r="Y10" i="50"/>
  <c r="Y11" i="50"/>
  <c r="Y12" i="50"/>
  <c r="Y13" i="50"/>
  <c r="Y14" i="50"/>
  <c r="Y15" i="50"/>
  <c r="Y16" i="50"/>
  <c r="Y17" i="50"/>
  <c r="Y18" i="50"/>
  <c r="Y19" i="50"/>
  <c r="Y21" i="50"/>
  <c r="Y22" i="50"/>
  <c r="Y24" i="50"/>
  <c r="Y25" i="50"/>
  <c r="Y26" i="50"/>
  <c r="Y27" i="50"/>
  <c r="Y28" i="50"/>
  <c r="Y29" i="50"/>
  <c r="Y30" i="50"/>
  <c r="Y31" i="50"/>
  <c r="U5" i="50"/>
  <c r="U6" i="50"/>
  <c r="U7" i="50"/>
  <c r="U8" i="50"/>
  <c r="U9" i="50"/>
  <c r="U10" i="50"/>
  <c r="U11" i="50"/>
  <c r="U12" i="50"/>
  <c r="U13" i="50"/>
  <c r="U14" i="50"/>
  <c r="U15" i="50"/>
  <c r="U16" i="50"/>
  <c r="U17" i="50"/>
  <c r="U18" i="50"/>
  <c r="U19" i="50"/>
  <c r="U20" i="50"/>
  <c r="U23" i="50"/>
  <c r="U24" i="50"/>
  <c r="U25" i="50"/>
  <c r="U26" i="50"/>
  <c r="U27" i="50"/>
  <c r="U28" i="50"/>
  <c r="U29" i="50"/>
  <c r="U30" i="50"/>
  <c r="U31" i="50"/>
  <c r="Q5" i="50"/>
  <c r="AA5" i="50" s="1"/>
  <c r="Q6" i="50"/>
  <c r="Q7" i="50"/>
  <c r="AA7" i="50" s="1"/>
  <c r="Q8" i="50"/>
  <c r="AA8" i="50" s="1"/>
  <c r="Q9" i="50"/>
  <c r="AA9" i="50" s="1"/>
  <c r="Q10" i="50"/>
  <c r="Q11" i="50"/>
  <c r="AA11" i="50" s="1"/>
  <c r="Q12" i="50"/>
  <c r="AA12" i="50" s="1"/>
  <c r="Q13" i="50"/>
  <c r="Q14" i="50"/>
  <c r="Q15" i="50"/>
  <c r="Q16" i="50"/>
  <c r="Q17" i="50"/>
  <c r="Q18" i="50"/>
  <c r="Q19" i="50"/>
  <c r="AA19" i="50" s="1"/>
  <c r="Q21" i="50"/>
  <c r="Q22" i="50"/>
  <c r="Q24" i="50"/>
  <c r="AA24" i="50" s="1"/>
  <c r="Q25" i="50"/>
  <c r="Q27" i="50"/>
  <c r="Q28" i="50"/>
  <c r="Q30" i="50"/>
  <c r="Q31" i="50"/>
  <c r="AA31" i="50" s="1"/>
  <c r="M5" i="50"/>
  <c r="M6" i="50"/>
  <c r="M7" i="50"/>
  <c r="M8" i="50"/>
  <c r="M10" i="50"/>
  <c r="M11" i="50"/>
  <c r="M12" i="50"/>
  <c r="M13" i="50"/>
  <c r="M14" i="50"/>
  <c r="M15" i="50"/>
  <c r="M16" i="50"/>
  <c r="M17" i="50"/>
  <c r="M18" i="50"/>
  <c r="M19" i="50"/>
  <c r="M21" i="50"/>
  <c r="M24" i="50"/>
  <c r="M25" i="50"/>
  <c r="M26" i="50"/>
  <c r="M27" i="50"/>
  <c r="M28" i="50"/>
  <c r="M29" i="50"/>
  <c r="M30" i="50"/>
  <c r="M31" i="50"/>
  <c r="I5" i="50"/>
  <c r="I6" i="50"/>
  <c r="I7" i="50"/>
  <c r="I8" i="50"/>
  <c r="I10" i="50"/>
  <c r="I11" i="50"/>
  <c r="I12" i="50"/>
  <c r="I13" i="50"/>
  <c r="I14" i="50"/>
  <c r="I15" i="50"/>
  <c r="I16" i="50"/>
  <c r="I17" i="50"/>
  <c r="I18" i="50"/>
  <c r="I19" i="50"/>
  <c r="I22" i="50"/>
  <c r="I24" i="50"/>
  <c r="I25" i="50"/>
  <c r="I27" i="50"/>
  <c r="I28" i="50"/>
  <c r="I29" i="50"/>
  <c r="I30" i="50"/>
  <c r="I31" i="50"/>
  <c r="G5" i="50"/>
  <c r="G6" i="50"/>
  <c r="G7" i="50"/>
  <c r="G8" i="50"/>
  <c r="K8" i="50" s="1"/>
  <c r="G10" i="50"/>
  <c r="G11" i="50"/>
  <c r="K11" i="50" s="1"/>
  <c r="G12" i="50"/>
  <c r="G13" i="50"/>
  <c r="G14" i="50"/>
  <c r="O14" i="50" s="1"/>
  <c r="S14" i="50" s="1"/>
  <c r="W14" i="50" s="1"/>
  <c r="G15" i="50"/>
  <c r="G16" i="50"/>
  <c r="G17" i="50"/>
  <c r="G18" i="50"/>
  <c r="G19" i="50"/>
  <c r="G21" i="50"/>
  <c r="G25" i="50"/>
  <c r="G27" i="50"/>
  <c r="G28" i="50"/>
  <c r="G29" i="50"/>
  <c r="G30" i="50"/>
  <c r="G31" i="50"/>
  <c r="BB8" i="10"/>
  <c r="BB9" i="10"/>
  <c r="BB10" i="10"/>
  <c r="BB11" i="10"/>
  <c r="BB12" i="10"/>
  <c r="BB13" i="10"/>
  <c r="BB14" i="10"/>
  <c r="BB15" i="10"/>
  <c r="BB16" i="10"/>
  <c r="BB17" i="10"/>
  <c r="BB18" i="10"/>
  <c r="BB22" i="10"/>
  <c r="BB23" i="10"/>
  <c r="BB24" i="10"/>
  <c r="BB27" i="10"/>
  <c r="BB28" i="10"/>
  <c r="BB29" i="10"/>
  <c r="BB30" i="10"/>
  <c r="BB32" i="10"/>
  <c r="BB33" i="10"/>
  <c r="BB34" i="10"/>
  <c r="BB35" i="10"/>
  <c r="BB36" i="10"/>
  <c r="BB39" i="10"/>
  <c r="BB40" i="10"/>
  <c r="BB43" i="10"/>
  <c r="BB47" i="10"/>
  <c r="BB48" i="10"/>
  <c r="BB49" i="10"/>
  <c r="BB51" i="10"/>
  <c r="BB52" i="10"/>
  <c r="BB53" i="10"/>
  <c r="BB54" i="10"/>
  <c r="BB56" i="10"/>
  <c r="BB57" i="10"/>
  <c r="BB58" i="10"/>
  <c r="BB59" i="10"/>
  <c r="BB60" i="10"/>
  <c r="BB61" i="10"/>
  <c r="BB62" i="10"/>
  <c r="BB64" i="10"/>
  <c r="BB65" i="10"/>
  <c r="BB66" i="10"/>
  <c r="BB67" i="10"/>
  <c r="BB68" i="10"/>
  <c r="BB70" i="10"/>
  <c r="BB71" i="10"/>
  <c r="BB72" i="10"/>
  <c r="BB73" i="10"/>
  <c r="BB74" i="10"/>
  <c r="BB75" i="10"/>
  <c r="BB76" i="10"/>
  <c r="BB77" i="10"/>
  <c r="BB78" i="10"/>
  <c r="BB79" i="10"/>
  <c r="BB80" i="10"/>
  <c r="BB81" i="10"/>
  <c r="BB82" i="10"/>
  <c r="BB83" i="10"/>
  <c r="BB84" i="10"/>
  <c r="BB85" i="10"/>
  <c r="BB86" i="10"/>
  <c r="BD86" i="10" s="1"/>
  <c r="BB87" i="10"/>
  <c r="BB89" i="10"/>
  <c r="BB90" i="10"/>
  <c r="BB91" i="10"/>
  <c r="BB94" i="10"/>
  <c r="BB95" i="10"/>
  <c r="BB96" i="10"/>
  <c r="BB97" i="10"/>
  <c r="BB98" i="10"/>
  <c r="BB99" i="10"/>
  <c r="BB100" i="10"/>
  <c r="BB101" i="10"/>
  <c r="BB102" i="10"/>
  <c r="BB103" i="10"/>
  <c r="BB104" i="10"/>
  <c r="BB105" i="10"/>
  <c r="BB106" i="10"/>
  <c r="BB107" i="10"/>
  <c r="BB108" i="10"/>
  <c r="BB109" i="10"/>
  <c r="BB110" i="10"/>
  <c r="BB111" i="10"/>
  <c r="BB113" i="10"/>
  <c r="BB114" i="10"/>
  <c r="BB115" i="10"/>
  <c r="BB116" i="10"/>
  <c r="BB117" i="10"/>
  <c r="BB118" i="10"/>
  <c r="BB119" i="10"/>
  <c r="BB120" i="10"/>
  <c r="BB121" i="10"/>
  <c r="BB122" i="10"/>
  <c r="BB123" i="10"/>
  <c r="AN8" i="10"/>
  <c r="AN9" i="10"/>
  <c r="AN10" i="10"/>
  <c r="AN13" i="10"/>
  <c r="AN14" i="10"/>
  <c r="AN15" i="10"/>
  <c r="BD15" i="10" s="1"/>
  <c r="AN17" i="10"/>
  <c r="AN18" i="10"/>
  <c r="AN22" i="10"/>
  <c r="AN23" i="10"/>
  <c r="BD23" i="10" s="1"/>
  <c r="AN24" i="10"/>
  <c r="AN25" i="10"/>
  <c r="AN27" i="10"/>
  <c r="BD27" i="10" s="1"/>
  <c r="AN28" i="10"/>
  <c r="AN29" i="10"/>
  <c r="AN30" i="10"/>
  <c r="AN31" i="10"/>
  <c r="AN33" i="10"/>
  <c r="AN34" i="10"/>
  <c r="AN35" i="10"/>
  <c r="AN36" i="10"/>
  <c r="AN37" i="10"/>
  <c r="AN38" i="10"/>
  <c r="AN39" i="10"/>
  <c r="BD39" i="10" s="1"/>
  <c r="AN40" i="10"/>
  <c r="AN41" i="10"/>
  <c r="AN42" i="10"/>
  <c r="AN43" i="10"/>
  <c r="BD43" i="10" s="1"/>
  <c r="AN44" i="10"/>
  <c r="AN45" i="10"/>
  <c r="AN46" i="10"/>
  <c r="AN47" i="10"/>
  <c r="AN48" i="10"/>
  <c r="AN49" i="10"/>
  <c r="AN51" i="10"/>
  <c r="BD51" i="10" s="1"/>
  <c r="AN52" i="10"/>
  <c r="AN53" i="10"/>
  <c r="AN54" i="10"/>
  <c r="AN56" i="10"/>
  <c r="AN57" i="10"/>
  <c r="AN58" i="10"/>
  <c r="AN59" i="10"/>
  <c r="BD59" i="10" s="1"/>
  <c r="AN60" i="10"/>
  <c r="AN61" i="10"/>
  <c r="AN62" i="10"/>
  <c r="AN64" i="10"/>
  <c r="AN66" i="10"/>
  <c r="AN70" i="10"/>
  <c r="AN71" i="10"/>
  <c r="BD71" i="10" s="1"/>
  <c r="AN72" i="10"/>
  <c r="AN73" i="10"/>
  <c r="AN74" i="10"/>
  <c r="AN75" i="10"/>
  <c r="BD75" i="10" s="1"/>
  <c r="AN77" i="10"/>
  <c r="AN78" i="10"/>
  <c r="AN79" i="10"/>
  <c r="BD79" i="10" s="1"/>
  <c r="AN80" i="10"/>
  <c r="AN83" i="10"/>
  <c r="BD83" i="10" s="1"/>
  <c r="AN84" i="10"/>
  <c r="AN85" i="10"/>
  <c r="AN86" i="10"/>
  <c r="AN89" i="10"/>
  <c r="AN91" i="10"/>
  <c r="BD91" i="10" s="1"/>
  <c r="AN94" i="10"/>
  <c r="AN95" i="10"/>
  <c r="BD95" i="10" s="1"/>
  <c r="AN96" i="10"/>
  <c r="AN97" i="10"/>
  <c r="AN98" i="10"/>
  <c r="AN99" i="10"/>
  <c r="BD99" i="10" s="1"/>
  <c r="AN100" i="10"/>
  <c r="AN101" i="10"/>
  <c r="AN102" i="10"/>
  <c r="AN103" i="10"/>
  <c r="BD103" i="10" s="1"/>
  <c r="AN104" i="10"/>
  <c r="AN105" i="10"/>
  <c r="AN106" i="10"/>
  <c r="AN107" i="10"/>
  <c r="BD107" i="10" s="1"/>
  <c r="AN108" i="10"/>
  <c r="AN109" i="10"/>
  <c r="AN110" i="10"/>
  <c r="AN111" i="10"/>
  <c r="BD111" i="10" s="1"/>
  <c r="AN112" i="10"/>
  <c r="AN114" i="10"/>
  <c r="AN115" i="10"/>
  <c r="BD115" i="10" s="1"/>
  <c r="AN116" i="10"/>
  <c r="AN117" i="10"/>
  <c r="AN118" i="10"/>
  <c r="AN119" i="10"/>
  <c r="BD119" i="10" s="1"/>
  <c r="AN120" i="10"/>
  <c r="AN121" i="10"/>
  <c r="AN122" i="10"/>
  <c r="AN123" i="10"/>
  <c r="BD123" i="10" s="1"/>
  <c r="Z8" i="10"/>
  <c r="Z9" i="10"/>
  <c r="Z10" i="10"/>
  <c r="Z11" i="10"/>
  <c r="Z13" i="10"/>
  <c r="Z14" i="10"/>
  <c r="Z15" i="10"/>
  <c r="Z16" i="10"/>
  <c r="Z17" i="10"/>
  <c r="Z18" i="10"/>
  <c r="Z19" i="10"/>
  <c r="Z22" i="10"/>
  <c r="Z23" i="10"/>
  <c r="Z24" i="10"/>
  <c r="Z25" i="10"/>
  <c r="Z26" i="10"/>
  <c r="Z27" i="10"/>
  <c r="Z28" i="10"/>
  <c r="Z29" i="10"/>
  <c r="Z30" i="10"/>
  <c r="Z31" i="10"/>
  <c r="Z32" i="10"/>
  <c r="Z33" i="10"/>
  <c r="Z34" i="10"/>
  <c r="Z35" i="10"/>
  <c r="Z36" i="10"/>
  <c r="Z37" i="10"/>
  <c r="Z38" i="10"/>
  <c r="Z39" i="10"/>
  <c r="Z40" i="10"/>
  <c r="Z41" i="10"/>
  <c r="Z42" i="10"/>
  <c r="Z43" i="10"/>
  <c r="Z44" i="10"/>
  <c r="Z45" i="10"/>
  <c r="Z47" i="10"/>
  <c r="Z49" i="10"/>
  <c r="Z50" i="10"/>
  <c r="Z51" i="10"/>
  <c r="Z52" i="10"/>
  <c r="Z53" i="10"/>
  <c r="Z54" i="10"/>
  <c r="Z56" i="10"/>
  <c r="Z57" i="10"/>
  <c r="Z58" i="10"/>
  <c r="Z59" i="10"/>
  <c r="Z60" i="10"/>
  <c r="Z63" i="10"/>
  <c r="Z64" i="10"/>
  <c r="Z65" i="10"/>
  <c r="Z66" i="10"/>
  <c r="Z67" i="10"/>
  <c r="Z68" i="10"/>
  <c r="Z69" i="10"/>
  <c r="Z70" i="10"/>
  <c r="Z71" i="10"/>
  <c r="Z72" i="10"/>
  <c r="Z73" i="10"/>
  <c r="Z74" i="10"/>
  <c r="Z75" i="10"/>
  <c r="Z76" i="10"/>
  <c r="Z77" i="10"/>
  <c r="Z78" i="10"/>
  <c r="Z79" i="10"/>
  <c r="Z80" i="10"/>
  <c r="Z81" i="10"/>
  <c r="Z82" i="10"/>
  <c r="Z83" i="10"/>
  <c r="Z84" i="10"/>
  <c r="Z85" i="10"/>
  <c r="Z86" i="10"/>
  <c r="Z88" i="10"/>
  <c r="Z89" i="10"/>
  <c r="Z90" i="10"/>
  <c r="Z91" i="10"/>
  <c r="Z92" i="10"/>
  <c r="Z93" i="10"/>
  <c r="Z94" i="10"/>
  <c r="Z95" i="10"/>
  <c r="Z96" i="10"/>
  <c r="Z97" i="10"/>
  <c r="Z99" i="10"/>
  <c r="Z100" i="10"/>
  <c r="Z101" i="10"/>
  <c r="Z102" i="10"/>
  <c r="Z103" i="10"/>
  <c r="Z104" i="10"/>
  <c r="Z105" i="10"/>
  <c r="Z106" i="10"/>
  <c r="Z108" i="10"/>
  <c r="Z109" i="10"/>
  <c r="Z114" i="10"/>
  <c r="Z115" i="10"/>
  <c r="Z116" i="10"/>
  <c r="Z117" i="10"/>
  <c r="Z118" i="10"/>
  <c r="Z119" i="10"/>
  <c r="Z120" i="10"/>
  <c r="Z121" i="10"/>
  <c r="Z122" i="10"/>
  <c r="Z123" i="10"/>
  <c r="N8" i="10"/>
  <c r="N13" i="10"/>
  <c r="R13" i="10" s="1"/>
  <c r="V13" i="10" s="1"/>
  <c r="N14" i="10"/>
  <c r="R14" i="10" s="1"/>
  <c r="V14" i="10" s="1"/>
  <c r="N15" i="10"/>
  <c r="AB15" i="10" s="1"/>
  <c r="AF15" i="10" s="1"/>
  <c r="AJ15" i="10" s="1"/>
  <c r="AP15" i="10" s="1"/>
  <c r="AT15" i="10" s="1"/>
  <c r="AX15" i="10" s="1"/>
  <c r="BF15" i="10" s="1"/>
  <c r="N16" i="10"/>
  <c r="R16" i="10" s="1"/>
  <c r="V16" i="10" s="1"/>
  <c r="N17" i="10"/>
  <c r="R17" i="10" s="1"/>
  <c r="V17" i="10" s="1"/>
  <c r="N18" i="10"/>
  <c r="AB18" i="10" s="1"/>
  <c r="AF18" i="10" s="1"/>
  <c r="AJ18" i="10" s="1"/>
  <c r="AP18" i="10" s="1"/>
  <c r="AT18" i="10" s="1"/>
  <c r="AX18" i="10" s="1"/>
  <c r="BF18" i="10" s="1"/>
  <c r="N22" i="10"/>
  <c r="R22" i="10" s="1"/>
  <c r="V22" i="10" s="1"/>
  <c r="N23" i="10"/>
  <c r="R23" i="10" s="1"/>
  <c r="V23" i="10" s="1"/>
  <c r="N24" i="10"/>
  <c r="AB24" i="10" s="1"/>
  <c r="AF24" i="10" s="1"/>
  <c r="AJ24" i="10" s="1"/>
  <c r="AP24" i="10" s="1"/>
  <c r="AT24" i="10" s="1"/>
  <c r="AX24" i="10" s="1"/>
  <c r="BF24" i="10" s="1"/>
  <c r="N27" i="10"/>
  <c r="AB27" i="10" s="1"/>
  <c r="AF27" i="10" s="1"/>
  <c r="AJ27" i="10" s="1"/>
  <c r="AP27" i="10" s="1"/>
  <c r="AT27" i="10" s="1"/>
  <c r="AX27" i="10" s="1"/>
  <c r="BF27" i="10" s="1"/>
  <c r="N28" i="10"/>
  <c r="R28" i="10" s="1"/>
  <c r="V28" i="10" s="1"/>
  <c r="N29" i="10"/>
  <c r="R29" i="10" s="1"/>
  <c r="V29" i="10" s="1"/>
  <c r="N30" i="10"/>
  <c r="AB30" i="10" s="1"/>
  <c r="AF30" i="10" s="1"/>
  <c r="AJ30" i="10" s="1"/>
  <c r="AP30" i="10" s="1"/>
  <c r="AT30" i="10" s="1"/>
  <c r="AX30" i="10" s="1"/>
  <c r="BF30" i="10" s="1"/>
  <c r="N31" i="10"/>
  <c r="R31" i="10" s="1"/>
  <c r="V31" i="10" s="1"/>
  <c r="N32" i="10"/>
  <c r="R32" i="10" s="1"/>
  <c r="V32" i="10" s="1"/>
  <c r="N33" i="10"/>
  <c r="AB33" i="10" s="1"/>
  <c r="AF33" i="10" s="1"/>
  <c r="AJ33" i="10" s="1"/>
  <c r="AP33" i="10" s="1"/>
  <c r="AT33" i="10" s="1"/>
  <c r="AX33" i="10" s="1"/>
  <c r="BF33" i="10" s="1"/>
  <c r="N34" i="10"/>
  <c r="R34" i="10" s="1"/>
  <c r="V34" i="10" s="1"/>
  <c r="N35" i="10"/>
  <c r="R35" i="10" s="1"/>
  <c r="V35" i="10" s="1"/>
  <c r="N36" i="10"/>
  <c r="AB36" i="10" s="1"/>
  <c r="AF36" i="10" s="1"/>
  <c r="AJ36" i="10" s="1"/>
  <c r="AP36" i="10" s="1"/>
  <c r="AT36" i="10" s="1"/>
  <c r="AX36" i="10" s="1"/>
  <c r="BF36" i="10" s="1"/>
  <c r="N38" i="10"/>
  <c r="R38" i="10" s="1"/>
  <c r="V38" i="10" s="1"/>
  <c r="N39" i="10"/>
  <c r="AB39" i="10" s="1"/>
  <c r="AF39" i="10" s="1"/>
  <c r="AJ39" i="10" s="1"/>
  <c r="AP39" i="10" s="1"/>
  <c r="AT39" i="10" s="1"/>
  <c r="AX39" i="10" s="1"/>
  <c r="BF39" i="10" s="1"/>
  <c r="N40" i="10"/>
  <c r="R40" i="10" s="1"/>
  <c r="V40" i="10" s="1"/>
  <c r="N41" i="10"/>
  <c r="R41" i="10" s="1"/>
  <c r="V41" i="10" s="1"/>
  <c r="N42" i="10"/>
  <c r="AB42" i="10" s="1"/>
  <c r="AF42" i="10" s="1"/>
  <c r="AJ42" i="10" s="1"/>
  <c r="AP42" i="10" s="1"/>
  <c r="AT42" i="10" s="1"/>
  <c r="N43" i="10"/>
  <c r="R43" i="10" s="1"/>
  <c r="V43" i="10" s="1"/>
  <c r="N44" i="10"/>
  <c r="R44" i="10" s="1"/>
  <c r="V44" i="10" s="1"/>
  <c r="N45" i="10"/>
  <c r="AB45" i="10" s="1"/>
  <c r="AF45" i="10" s="1"/>
  <c r="AJ45" i="10" s="1"/>
  <c r="AP45" i="10" s="1"/>
  <c r="N47" i="10"/>
  <c r="R47" i="10" s="1"/>
  <c r="V47" i="10" s="1"/>
  <c r="N48" i="10"/>
  <c r="N49" i="10"/>
  <c r="R49" i="10" s="1"/>
  <c r="V49" i="10" s="1"/>
  <c r="N50" i="10"/>
  <c r="R50" i="10" s="1"/>
  <c r="V50" i="10" s="1"/>
  <c r="N51" i="10"/>
  <c r="AB51" i="10" s="1"/>
  <c r="AF51" i="10" s="1"/>
  <c r="AJ51" i="10" s="1"/>
  <c r="AP51" i="10" s="1"/>
  <c r="AT51" i="10" s="1"/>
  <c r="AX51" i="10" s="1"/>
  <c r="BF51" i="10" s="1"/>
  <c r="N52" i="10"/>
  <c r="R52" i="10" s="1"/>
  <c r="V52" i="10" s="1"/>
  <c r="N53" i="10"/>
  <c r="R53" i="10" s="1"/>
  <c r="V53" i="10" s="1"/>
  <c r="N54" i="10"/>
  <c r="AB54" i="10" s="1"/>
  <c r="AF54" i="10" s="1"/>
  <c r="AJ54" i="10" s="1"/>
  <c r="AP54" i="10" s="1"/>
  <c r="AT54" i="10" s="1"/>
  <c r="AX54" i="10" s="1"/>
  <c r="BF54" i="10" s="1"/>
  <c r="N56" i="10"/>
  <c r="R56" i="10" s="1"/>
  <c r="V56" i="10" s="1"/>
  <c r="N58" i="10"/>
  <c r="R58" i="10" s="1"/>
  <c r="V58" i="10" s="1"/>
  <c r="N59" i="10"/>
  <c r="R59" i="10" s="1"/>
  <c r="V59" i="10" s="1"/>
  <c r="N60" i="10"/>
  <c r="AB60" i="10" s="1"/>
  <c r="AF60" i="10" s="1"/>
  <c r="AJ60" i="10" s="1"/>
  <c r="AP60" i="10" s="1"/>
  <c r="AT60" i="10" s="1"/>
  <c r="AX60" i="10" s="1"/>
  <c r="BF60" i="10" s="1"/>
  <c r="N61" i="10"/>
  <c r="N62" i="10"/>
  <c r="N63" i="10"/>
  <c r="AB63" i="10" s="1"/>
  <c r="AF63" i="10" s="1"/>
  <c r="N64" i="10"/>
  <c r="R64" i="10" s="1"/>
  <c r="V64" i="10" s="1"/>
  <c r="N65" i="10"/>
  <c r="R65" i="10" s="1"/>
  <c r="V65" i="10" s="1"/>
  <c r="N66" i="10"/>
  <c r="AB66" i="10" s="1"/>
  <c r="AF66" i="10" s="1"/>
  <c r="AJ66" i="10" s="1"/>
  <c r="AP66" i="10" s="1"/>
  <c r="AT66" i="10" s="1"/>
  <c r="AX66" i="10" s="1"/>
  <c r="BF66" i="10" s="1"/>
  <c r="N67" i="10"/>
  <c r="R67" i="10" s="1"/>
  <c r="V67" i="10" s="1"/>
  <c r="N70" i="10"/>
  <c r="R70" i="10" s="1"/>
  <c r="V70" i="10" s="1"/>
  <c r="N71" i="10"/>
  <c r="R71" i="10" s="1"/>
  <c r="V71" i="10" s="1"/>
  <c r="N72" i="10"/>
  <c r="AB72" i="10" s="1"/>
  <c r="AF72" i="10" s="1"/>
  <c r="AJ72" i="10" s="1"/>
  <c r="AP72" i="10" s="1"/>
  <c r="AT72" i="10" s="1"/>
  <c r="AX72" i="10" s="1"/>
  <c r="BF72" i="10" s="1"/>
  <c r="N73" i="10"/>
  <c r="R73" i="10" s="1"/>
  <c r="V73" i="10" s="1"/>
  <c r="N74" i="10"/>
  <c r="R74" i="10" s="1"/>
  <c r="V74" i="10" s="1"/>
  <c r="N75" i="10"/>
  <c r="AB75" i="10" s="1"/>
  <c r="AF75" i="10" s="1"/>
  <c r="AJ75" i="10" s="1"/>
  <c r="AP75" i="10" s="1"/>
  <c r="AT75" i="10" s="1"/>
  <c r="AX75" i="10" s="1"/>
  <c r="BF75" i="10" s="1"/>
  <c r="N76" i="10"/>
  <c r="R76" i="10" s="1"/>
  <c r="V76" i="10" s="1"/>
  <c r="N78" i="10"/>
  <c r="AB78" i="10" s="1"/>
  <c r="AF78" i="10" s="1"/>
  <c r="AJ78" i="10" s="1"/>
  <c r="AP78" i="10" s="1"/>
  <c r="AT78" i="10" s="1"/>
  <c r="AX78" i="10" s="1"/>
  <c r="BF78" i="10" s="1"/>
  <c r="N79" i="10"/>
  <c r="R79" i="10" s="1"/>
  <c r="V79" i="10" s="1"/>
  <c r="N80" i="10"/>
  <c r="R80" i="10" s="1"/>
  <c r="V80" i="10" s="1"/>
  <c r="N81" i="10"/>
  <c r="AB81" i="10" s="1"/>
  <c r="AF81" i="10" s="1"/>
  <c r="AJ81" i="10" s="1"/>
  <c r="N82" i="10"/>
  <c r="R82" i="10" s="1"/>
  <c r="V82" i="10" s="1"/>
  <c r="N83" i="10"/>
  <c r="R83" i="10" s="1"/>
  <c r="V83" i="10" s="1"/>
  <c r="N84" i="10"/>
  <c r="AB84" i="10" s="1"/>
  <c r="AF84" i="10" s="1"/>
  <c r="AJ84" i="10" s="1"/>
  <c r="AP84" i="10" s="1"/>
  <c r="AT84" i="10" s="1"/>
  <c r="AX84" i="10" s="1"/>
  <c r="BF84" i="10" s="1"/>
  <c r="N86" i="10"/>
  <c r="R86" i="10" s="1"/>
  <c r="V86" i="10" s="1"/>
  <c r="N88" i="10"/>
  <c r="R88" i="10" s="1"/>
  <c r="V88" i="10" s="1"/>
  <c r="N89" i="10"/>
  <c r="R89" i="10" s="1"/>
  <c r="V89" i="10" s="1"/>
  <c r="N90" i="10"/>
  <c r="AB90" i="10" s="1"/>
  <c r="N91" i="10"/>
  <c r="R91" i="10" s="1"/>
  <c r="V91" i="10" s="1"/>
  <c r="N92" i="10"/>
  <c r="R92" i="10" s="1"/>
  <c r="V92" i="10" s="1"/>
  <c r="N93" i="10"/>
  <c r="AB93" i="10" s="1"/>
  <c r="N94" i="10"/>
  <c r="R94" i="10" s="1"/>
  <c r="V94" i="10" s="1"/>
  <c r="N95" i="10"/>
  <c r="R95" i="10" s="1"/>
  <c r="V95" i="10" s="1"/>
  <c r="N96" i="10"/>
  <c r="AB96" i="10" s="1"/>
  <c r="AF96" i="10" s="1"/>
  <c r="AJ96" i="10" s="1"/>
  <c r="AP96" i="10" s="1"/>
  <c r="AT96" i="10" s="1"/>
  <c r="AX96" i="10" s="1"/>
  <c r="BF96" i="10" s="1"/>
  <c r="N97" i="10"/>
  <c r="R97" i="10" s="1"/>
  <c r="V97" i="10" s="1"/>
  <c r="N98" i="10"/>
  <c r="N99" i="10"/>
  <c r="AB99" i="10" s="1"/>
  <c r="AF99" i="10" s="1"/>
  <c r="AJ99" i="10" s="1"/>
  <c r="AP99" i="10" s="1"/>
  <c r="AT99" i="10" s="1"/>
  <c r="AX99" i="10" s="1"/>
  <c r="BF99" i="10" s="1"/>
  <c r="N100" i="10"/>
  <c r="R100" i="10" s="1"/>
  <c r="V100" i="10" s="1"/>
  <c r="N101" i="10"/>
  <c r="R101" i="10" s="1"/>
  <c r="V101" i="10" s="1"/>
  <c r="N102" i="10"/>
  <c r="AB102" i="10" s="1"/>
  <c r="AF102" i="10" s="1"/>
  <c r="AJ102" i="10" s="1"/>
  <c r="AP102" i="10" s="1"/>
  <c r="AT102" i="10" s="1"/>
  <c r="AX102" i="10" s="1"/>
  <c r="BF102" i="10" s="1"/>
  <c r="N103" i="10"/>
  <c r="R103" i="10" s="1"/>
  <c r="V103" i="10" s="1"/>
  <c r="N104" i="10"/>
  <c r="R104" i="10" s="1"/>
  <c r="V104" i="10" s="1"/>
  <c r="N105" i="10"/>
  <c r="AB105" i="10" s="1"/>
  <c r="AF105" i="10" s="1"/>
  <c r="AJ105" i="10" s="1"/>
  <c r="AP105" i="10" s="1"/>
  <c r="AT105" i="10" s="1"/>
  <c r="AX105" i="10" s="1"/>
  <c r="BF105" i="10" s="1"/>
  <c r="N106" i="10"/>
  <c r="R106" i="10" s="1"/>
  <c r="V106" i="10" s="1"/>
  <c r="N107" i="10"/>
  <c r="N108" i="10"/>
  <c r="AB108" i="10" s="1"/>
  <c r="AF108" i="10" s="1"/>
  <c r="AJ108" i="10" s="1"/>
  <c r="AP108" i="10" s="1"/>
  <c r="AT108" i="10" s="1"/>
  <c r="AX108" i="10" s="1"/>
  <c r="BF108" i="10" s="1"/>
  <c r="N109" i="10"/>
  <c r="R109" i="10" s="1"/>
  <c r="V109" i="10" s="1"/>
  <c r="N110" i="10"/>
  <c r="N112" i="10"/>
  <c r="R112" i="10" s="1"/>
  <c r="N115" i="10"/>
  <c r="R115" i="10" s="1"/>
  <c r="V115" i="10" s="1"/>
  <c r="N116" i="10"/>
  <c r="R116" i="10" s="1"/>
  <c r="V116" i="10" s="1"/>
  <c r="N117" i="10"/>
  <c r="AB117" i="10" s="1"/>
  <c r="AF117" i="10" s="1"/>
  <c r="AJ117" i="10" s="1"/>
  <c r="AP117" i="10" s="1"/>
  <c r="AT117" i="10" s="1"/>
  <c r="AX117" i="10" s="1"/>
  <c r="BF117" i="10" s="1"/>
  <c r="N118" i="10"/>
  <c r="R118" i="10" s="1"/>
  <c r="V118" i="10" s="1"/>
  <c r="N119" i="10"/>
  <c r="R119" i="10" s="1"/>
  <c r="V119" i="10" s="1"/>
  <c r="N120" i="10"/>
  <c r="AB120" i="10" s="1"/>
  <c r="AF120" i="10" s="1"/>
  <c r="AJ120" i="10" s="1"/>
  <c r="AP120" i="10" s="1"/>
  <c r="AT120" i="10" s="1"/>
  <c r="AX120" i="10" s="1"/>
  <c r="BF120" i="10" s="1"/>
  <c r="N121" i="10"/>
  <c r="R121" i="10" s="1"/>
  <c r="V121" i="10" s="1"/>
  <c r="N122" i="10"/>
  <c r="R122" i="10" s="1"/>
  <c r="V122" i="10" s="1"/>
  <c r="N123" i="10"/>
  <c r="AB123" i="10" s="1"/>
  <c r="AF123" i="10" s="1"/>
  <c r="AJ123" i="10" s="1"/>
  <c r="AP123" i="10" s="1"/>
  <c r="AT123" i="10" s="1"/>
  <c r="AX123" i="10" s="1"/>
  <c r="BF123" i="10" s="1"/>
  <c r="J8" i="10"/>
  <c r="J13" i="10"/>
  <c r="J14" i="10"/>
  <c r="J15" i="10"/>
  <c r="J16" i="10"/>
  <c r="J17" i="10"/>
  <c r="J18" i="10"/>
  <c r="J22" i="10"/>
  <c r="J23" i="10"/>
  <c r="J24" i="10"/>
  <c r="J27" i="10"/>
  <c r="J28" i="10"/>
  <c r="J29" i="10"/>
  <c r="J30" i="10"/>
  <c r="J31" i="10"/>
  <c r="J32" i="10"/>
  <c r="J33" i="10"/>
  <c r="J34" i="10"/>
  <c r="J35" i="10"/>
  <c r="J36" i="10"/>
  <c r="J37" i="10"/>
  <c r="J38" i="10"/>
  <c r="J39" i="10"/>
  <c r="J40" i="10"/>
  <c r="J41" i="10"/>
  <c r="J42" i="10"/>
  <c r="J43" i="10"/>
  <c r="J44" i="10"/>
  <c r="J45" i="10"/>
  <c r="J47" i="10"/>
  <c r="J48" i="10"/>
  <c r="J49" i="10"/>
  <c r="J50" i="10"/>
  <c r="J51" i="10"/>
  <c r="J52" i="10"/>
  <c r="J53" i="10"/>
  <c r="J54" i="10"/>
  <c r="J56" i="10"/>
  <c r="J58" i="10"/>
  <c r="J59" i="10"/>
  <c r="J60" i="10"/>
  <c r="J61" i="10"/>
  <c r="J62" i="10"/>
  <c r="J63" i="10"/>
  <c r="J64" i="10"/>
  <c r="J65" i="10"/>
  <c r="J66" i="10"/>
  <c r="J67" i="10"/>
  <c r="J68" i="10"/>
  <c r="J70" i="10"/>
  <c r="J71" i="10"/>
  <c r="J72" i="10"/>
  <c r="J73" i="10"/>
  <c r="J74" i="10"/>
  <c r="J75" i="10"/>
  <c r="J76" i="10"/>
  <c r="J78" i="10"/>
  <c r="J79" i="10"/>
  <c r="J80" i="10"/>
  <c r="J81" i="10"/>
  <c r="J82" i="10"/>
  <c r="J83" i="10"/>
  <c r="J84" i="10"/>
  <c r="J86" i="10"/>
  <c r="J88" i="10"/>
  <c r="J89" i="10"/>
  <c r="J90" i="10"/>
  <c r="J91" i="10"/>
  <c r="J92" i="10"/>
  <c r="J93" i="10"/>
  <c r="J94" i="10"/>
  <c r="J95" i="10"/>
  <c r="J96" i="10"/>
  <c r="J97" i="10"/>
  <c r="J98" i="10"/>
  <c r="J99" i="10"/>
  <c r="J100" i="10"/>
  <c r="J101" i="10"/>
  <c r="J102" i="10"/>
  <c r="J103" i="10"/>
  <c r="J104" i="10"/>
  <c r="J105" i="10"/>
  <c r="J106" i="10"/>
  <c r="J107" i="10"/>
  <c r="J108" i="10"/>
  <c r="J109" i="10"/>
  <c r="J110" i="10"/>
  <c r="J111" i="10"/>
  <c r="J112" i="10"/>
  <c r="J115" i="10"/>
  <c r="J116" i="10"/>
  <c r="J117" i="10"/>
  <c r="J118" i="10"/>
  <c r="J119" i="10"/>
  <c r="J120" i="10"/>
  <c r="J121" i="10"/>
  <c r="J122" i="10"/>
  <c r="J123" i="10"/>
  <c r="AZ126" i="10"/>
  <c r="AV126" i="10"/>
  <c r="AL126" i="10"/>
  <c r="AH126" i="10"/>
  <c r="BC125" i="10"/>
  <c r="BA125" i="10"/>
  <c r="BA124" i="10" s="1"/>
  <c r="AY125" i="10"/>
  <c r="AY127" i="10" s="1"/>
  <c r="AU125" i="10"/>
  <c r="AU127" i="10" s="1"/>
  <c r="AQ125" i="10"/>
  <c r="AQ124" i="10" s="1"/>
  <c r="AM125" i="10"/>
  <c r="AM124" i="10" s="1"/>
  <c r="AK125" i="10"/>
  <c r="AK127" i="10" s="1"/>
  <c r="AG125" i="10"/>
  <c r="AG124" i="10" s="1"/>
  <c r="AC125" i="10"/>
  <c r="AC124" i="10" s="1"/>
  <c r="Y125" i="10"/>
  <c r="Y124" i="10" s="1"/>
  <c r="W125" i="10"/>
  <c r="W124" i="10" s="1"/>
  <c r="S125" i="10"/>
  <c r="S127" i="10" s="1"/>
  <c r="O125" i="10"/>
  <c r="O124" i="10" s="1"/>
  <c r="K125" i="10"/>
  <c r="K127" i="10" s="1"/>
  <c r="BF184" i="6"/>
  <c r="BE184" i="6"/>
  <c r="BD184" i="6"/>
  <c r="BC184" i="6"/>
  <c r="BB184" i="6"/>
  <c r="BA184" i="6"/>
  <c r="BF185" i="6"/>
  <c r="BE185" i="6"/>
  <c r="BD185" i="6"/>
  <c r="BC185" i="6"/>
  <c r="BB185" i="6"/>
  <c r="BA185" i="6"/>
  <c r="BF186" i="6"/>
  <c r="BE186" i="6"/>
  <c r="BD186" i="6"/>
  <c r="BC186" i="6"/>
  <c r="BB186" i="6"/>
  <c r="BA186" i="6"/>
  <c r="BF159" i="6"/>
  <c r="BE159" i="6"/>
  <c r="BD159" i="6"/>
  <c r="BC159" i="6"/>
  <c r="BB159" i="6"/>
  <c r="BA159" i="6"/>
  <c r="BF160" i="6"/>
  <c r="BE160" i="6"/>
  <c r="BD160" i="6"/>
  <c r="BC160" i="6"/>
  <c r="BB160" i="6"/>
  <c r="BA160" i="6"/>
  <c r="AY47" i="39"/>
  <c r="AY46" i="39"/>
  <c r="AY45" i="39"/>
  <c r="AU47" i="39"/>
  <c r="AU46" i="39"/>
  <c r="AU45" i="39"/>
  <c r="AQ47" i="39"/>
  <c r="AQ46" i="39"/>
  <c r="AQ45" i="39"/>
  <c r="AK47" i="39"/>
  <c r="AK46" i="39"/>
  <c r="AK45" i="39"/>
  <c r="AG47" i="39"/>
  <c r="AG46" i="39"/>
  <c r="AG45" i="39"/>
  <c r="AC47" i="39"/>
  <c r="AC46" i="39"/>
  <c r="AC45" i="39"/>
  <c r="W47" i="39"/>
  <c r="W46" i="39"/>
  <c r="W45" i="39"/>
  <c r="S47" i="39"/>
  <c r="S46" i="39"/>
  <c r="S45" i="39"/>
  <c r="O47" i="39"/>
  <c r="O46" i="39"/>
  <c r="O45" i="39"/>
  <c r="K47" i="39"/>
  <c r="K46" i="39"/>
  <c r="K45" i="39"/>
  <c r="G47" i="39"/>
  <c r="G46" i="39"/>
  <c r="G45" i="39"/>
  <c r="E47" i="39"/>
  <c r="E46" i="39"/>
  <c r="E45" i="39"/>
  <c r="P52" i="39"/>
  <c r="R52" i="39"/>
  <c r="N348" i="28"/>
  <c r="Z348" i="28"/>
  <c r="AB348" i="28"/>
  <c r="AF348" i="28"/>
  <c r="AJ348" i="28"/>
  <c r="AN348" i="28"/>
  <c r="AP348" i="28"/>
  <c r="AT348" i="28" s="1"/>
  <c r="AX348" i="28" s="1"/>
  <c r="BF348" i="28" s="1"/>
  <c r="BB348" i="28"/>
  <c r="AN344" i="28"/>
  <c r="AP344" i="28"/>
  <c r="BE47" i="28"/>
  <c r="BE40" i="28"/>
  <c r="F16" i="73"/>
  <c r="G16" i="73"/>
  <c r="H16" i="73"/>
  <c r="J16" i="73"/>
  <c r="K16" i="73"/>
  <c r="L16" i="73"/>
  <c r="N16" i="73"/>
  <c r="O16" i="73"/>
  <c r="P16" i="73"/>
  <c r="R16" i="73"/>
  <c r="S16" i="73"/>
  <c r="T16" i="73"/>
  <c r="V16" i="73"/>
  <c r="W16" i="73"/>
  <c r="X16" i="73"/>
  <c r="Z16" i="73"/>
  <c r="AB16" i="73"/>
  <c r="AC16" i="73"/>
  <c r="AD16" i="73"/>
  <c r="AF16" i="73"/>
  <c r="AG16" i="73"/>
  <c r="AH16" i="73"/>
  <c r="AJ16" i="73"/>
  <c r="AK16" i="73"/>
  <c r="AL16" i="73"/>
  <c r="AN16" i="73"/>
  <c r="AP16" i="73"/>
  <c r="AQ16" i="73"/>
  <c r="AR16" i="73"/>
  <c r="AT16" i="73"/>
  <c r="AU16" i="73"/>
  <c r="AV16" i="73"/>
  <c r="AX16" i="73"/>
  <c r="AY16" i="73"/>
  <c r="AZ16" i="73"/>
  <c r="BB16" i="73"/>
  <c r="BD16" i="73"/>
  <c r="E16" i="73"/>
  <c r="M47" i="50" l="1"/>
  <c r="R120" i="10"/>
  <c r="V120" i="10" s="1"/>
  <c r="R93" i="10"/>
  <c r="V93" i="10" s="1"/>
  <c r="R78" i="10"/>
  <c r="V78" i="10" s="1"/>
  <c r="R42" i="10"/>
  <c r="V42" i="10" s="1"/>
  <c r="R99" i="10"/>
  <c r="V99" i="10" s="1"/>
  <c r="R84" i="10"/>
  <c r="V84" i="10" s="1"/>
  <c r="R63" i="10"/>
  <c r="V63" i="10" s="1"/>
  <c r="R27" i="10"/>
  <c r="V27" i="10" s="1"/>
  <c r="S124" i="10"/>
  <c r="R105" i="10"/>
  <c r="V105" i="10" s="1"/>
  <c r="R90" i="10"/>
  <c r="V90" i="10" s="1"/>
  <c r="R54" i="10"/>
  <c r="V54" i="10" s="1"/>
  <c r="R33" i="10"/>
  <c r="V33" i="10" s="1"/>
  <c r="R18" i="10"/>
  <c r="V18" i="10" s="1"/>
  <c r="K124" i="10"/>
  <c r="R123" i="10"/>
  <c r="V123" i="10" s="1"/>
  <c r="R117" i="10"/>
  <c r="V117" i="10" s="1"/>
  <c r="R96" i="10"/>
  <c r="V96" i="10" s="1"/>
  <c r="R75" i="10"/>
  <c r="V75" i="10" s="1"/>
  <c r="R60" i="10"/>
  <c r="V60" i="10" s="1"/>
  <c r="R39" i="10"/>
  <c r="V39" i="10" s="1"/>
  <c r="R24" i="10"/>
  <c r="V24" i="10" s="1"/>
  <c r="R110" i="10"/>
  <c r="R102" i="10"/>
  <c r="V102" i="10" s="1"/>
  <c r="R81" i="10"/>
  <c r="V81" i="10" s="1"/>
  <c r="R66" i="10"/>
  <c r="V66" i="10" s="1"/>
  <c r="R45" i="10"/>
  <c r="V45" i="10" s="1"/>
  <c r="R30" i="10"/>
  <c r="V30" i="10" s="1"/>
  <c r="R108" i="10"/>
  <c r="V108" i="10" s="1"/>
  <c r="R72" i="10"/>
  <c r="V72" i="10" s="1"/>
  <c r="R51" i="10"/>
  <c r="V51" i="10" s="1"/>
  <c r="R36" i="10"/>
  <c r="V36" i="10" s="1"/>
  <c r="R15" i="10"/>
  <c r="V15" i="10" s="1"/>
  <c r="R8" i="10"/>
  <c r="V8" i="10" s="1"/>
  <c r="AB122" i="10"/>
  <c r="AF122" i="10" s="1"/>
  <c r="AJ122" i="10" s="1"/>
  <c r="AP122" i="10" s="1"/>
  <c r="AT122" i="10" s="1"/>
  <c r="AX122" i="10" s="1"/>
  <c r="BF122" i="10" s="1"/>
  <c r="AB115" i="10"/>
  <c r="AF115" i="10" s="1"/>
  <c r="AJ115" i="10" s="1"/>
  <c r="AP115" i="10" s="1"/>
  <c r="AT115" i="10" s="1"/>
  <c r="AX115" i="10" s="1"/>
  <c r="BF115" i="10" s="1"/>
  <c r="AB106" i="10"/>
  <c r="AF106" i="10" s="1"/>
  <c r="AJ106" i="10" s="1"/>
  <c r="AP106" i="10" s="1"/>
  <c r="AT106" i="10" s="1"/>
  <c r="AX106" i="10" s="1"/>
  <c r="BF106" i="10" s="1"/>
  <c r="AB97" i="10"/>
  <c r="AF97" i="10" s="1"/>
  <c r="AJ97" i="10" s="1"/>
  <c r="AP97" i="10" s="1"/>
  <c r="AT97" i="10" s="1"/>
  <c r="AX97" i="10" s="1"/>
  <c r="BF97" i="10" s="1"/>
  <c r="AB88" i="10"/>
  <c r="AF88" i="10" s="1"/>
  <c r="AJ88" i="10" s="1"/>
  <c r="AB79" i="10"/>
  <c r="AF79" i="10" s="1"/>
  <c r="AJ79" i="10" s="1"/>
  <c r="AP79" i="10" s="1"/>
  <c r="AT79" i="10" s="1"/>
  <c r="AX79" i="10" s="1"/>
  <c r="BF79" i="10" s="1"/>
  <c r="AB70" i="10"/>
  <c r="AF70" i="10" s="1"/>
  <c r="AJ70" i="10" s="1"/>
  <c r="AP70" i="10" s="1"/>
  <c r="AT70" i="10" s="1"/>
  <c r="AX70" i="10" s="1"/>
  <c r="BF70" i="10" s="1"/>
  <c r="AB52" i="10"/>
  <c r="AF52" i="10" s="1"/>
  <c r="AJ52" i="10" s="1"/>
  <c r="AP52" i="10" s="1"/>
  <c r="AT52" i="10" s="1"/>
  <c r="AX52" i="10" s="1"/>
  <c r="BF52" i="10" s="1"/>
  <c r="AB43" i="10"/>
  <c r="AF43" i="10" s="1"/>
  <c r="AJ43" i="10" s="1"/>
  <c r="AP43" i="10" s="1"/>
  <c r="AT43" i="10" s="1"/>
  <c r="AX43" i="10" s="1"/>
  <c r="BF43" i="10" s="1"/>
  <c r="AB34" i="10"/>
  <c r="AF34" i="10" s="1"/>
  <c r="AJ34" i="10" s="1"/>
  <c r="AP34" i="10" s="1"/>
  <c r="AT34" i="10" s="1"/>
  <c r="AX34" i="10" s="1"/>
  <c r="BF34" i="10" s="1"/>
  <c r="AB16" i="10"/>
  <c r="AF16" i="10" s="1"/>
  <c r="AJ16" i="10" s="1"/>
  <c r="AB119" i="10"/>
  <c r="AF119" i="10" s="1"/>
  <c r="AJ119" i="10" s="1"/>
  <c r="AP119" i="10" s="1"/>
  <c r="AT119" i="10" s="1"/>
  <c r="AX119" i="10" s="1"/>
  <c r="BF119" i="10" s="1"/>
  <c r="AB101" i="10"/>
  <c r="AF101" i="10" s="1"/>
  <c r="AJ101" i="10" s="1"/>
  <c r="AP101" i="10" s="1"/>
  <c r="AT101" i="10" s="1"/>
  <c r="AX101" i="10" s="1"/>
  <c r="BF101" i="10" s="1"/>
  <c r="AB92" i="10"/>
  <c r="AF92" i="10" s="1"/>
  <c r="AJ92" i="10" s="1"/>
  <c r="AB83" i="10"/>
  <c r="AF83" i="10" s="1"/>
  <c r="AJ83" i="10" s="1"/>
  <c r="AP83" i="10" s="1"/>
  <c r="AT83" i="10" s="1"/>
  <c r="AX83" i="10" s="1"/>
  <c r="BF83" i="10" s="1"/>
  <c r="AB74" i="10"/>
  <c r="AF74" i="10" s="1"/>
  <c r="AJ74" i="10" s="1"/>
  <c r="AP74" i="10" s="1"/>
  <c r="AT74" i="10" s="1"/>
  <c r="AX74" i="10" s="1"/>
  <c r="BF74" i="10" s="1"/>
  <c r="AB65" i="10"/>
  <c r="AF65" i="10" s="1"/>
  <c r="AB56" i="10"/>
  <c r="AF56" i="10" s="1"/>
  <c r="AJ56" i="10" s="1"/>
  <c r="AP56" i="10" s="1"/>
  <c r="AT56" i="10" s="1"/>
  <c r="AX56" i="10" s="1"/>
  <c r="BF56" i="10" s="1"/>
  <c r="AB47" i="10"/>
  <c r="AF47" i="10" s="1"/>
  <c r="AJ47" i="10" s="1"/>
  <c r="AP47" i="10" s="1"/>
  <c r="AT47" i="10" s="1"/>
  <c r="AX47" i="10" s="1"/>
  <c r="BF47" i="10" s="1"/>
  <c r="AB38" i="10"/>
  <c r="AF38" i="10" s="1"/>
  <c r="AJ38" i="10" s="1"/>
  <c r="AP38" i="10" s="1"/>
  <c r="AB29" i="10"/>
  <c r="AF29" i="10" s="1"/>
  <c r="AJ29" i="10" s="1"/>
  <c r="AP29" i="10" s="1"/>
  <c r="AT29" i="10" s="1"/>
  <c r="AX29" i="10" s="1"/>
  <c r="BF29" i="10" s="1"/>
  <c r="AB118" i="10"/>
  <c r="AF118" i="10" s="1"/>
  <c r="AJ118" i="10" s="1"/>
  <c r="AP118" i="10" s="1"/>
  <c r="AT118" i="10" s="1"/>
  <c r="AX118" i="10" s="1"/>
  <c r="BF118" i="10" s="1"/>
  <c r="AB109" i="10"/>
  <c r="AF109" i="10" s="1"/>
  <c r="AJ109" i="10" s="1"/>
  <c r="AP109" i="10" s="1"/>
  <c r="AT109" i="10" s="1"/>
  <c r="AX109" i="10" s="1"/>
  <c r="BF109" i="10" s="1"/>
  <c r="AB100" i="10"/>
  <c r="AF100" i="10" s="1"/>
  <c r="AJ100" i="10" s="1"/>
  <c r="AP100" i="10" s="1"/>
  <c r="AT100" i="10" s="1"/>
  <c r="AX100" i="10" s="1"/>
  <c r="BF100" i="10" s="1"/>
  <c r="AB91" i="10"/>
  <c r="AF91" i="10" s="1"/>
  <c r="AJ91" i="10" s="1"/>
  <c r="AP91" i="10" s="1"/>
  <c r="AT91" i="10" s="1"/>
  <c r="AX91" i="10" s="1"/>
  <c r="BF91" i="10" s="1"/>
  <c r="AB82" i="10"/>
  <c r="AF82" i="10" s="1"/>
  <c r="AB73" i="10"/>
  <c r="AF73" i="10" s="1"/>
  <c r="AJ73" i="10" s="1"/>
  <c r="AP73" i="10" s="1"/>
  <c r="AT73" i="10" s="1"/>
  <c r="AX73" i="10" s="1"/>
  <c r="BF73" i="10" s="1"/>
  <c r="AB64" i="10"/>
  <c r="AF64" i="10" s="1"/>
  <c r="AJ64" i="10" s="1"/>
  <c r="AP64" i="10" s="1"/>
  <c r="AT64" i="10" s="1"/>
  <c r="AX64" i="10" s="1"/>
  <c r="BF64" i="10" s="1"/>
  <c r="AB28" i="10"/>
  <c r="AF28" i="10" s="1"/>
  <c r="AJ28" i="10" s="1"/>
  <c r="AP28" i="10" s="1"/>
  <c r="AT28" i="10" s="1"/>
  <c r="AX28" i="10" s="1"/>
  <c r="BF28" i="10" s="1"/>
  <c r="AB104" i="10"/>
  <c r="AF104" i="10" s="1"/>
  <c r="AJ104" i="10" s="1"/>
  <c r="AP104" i="10" s="1"/>
  <c r="AT104" i="10" s="1"/>
  <c r="AX104" i="10" s="1"/>
  <c r="BF104" i="10" s="1"/>
  <c r="AB95" i="10"/>
  <c r="AF95" i="10" s="1"/>
  <c r="AJ95" i="10" s="1"/>
  <c r="AP95" i="10" s="1"/>
  <c r="AT95" i="10" s="1"/>
  <c r="AX95" i="10" s="1"/>
  <c r="BF95" i="10" s="1"/>
  <c r="AB86" i="10"/>
  <c r="AF86" i="10" s="1"/>
  <c r="AJ86" i="10" s="1"/>
  <c r="AP86" i="10" s="1"/>
  <c r="AT86" i="10" s="1"/>
  <c r="AX86" i="10" s="1"/>
  <c r="BF86" i="10" s="1"/>
  <c r="AB59" i="10"/>
  <c r="AF59" i="10" s="1"/>
  <c r="AJ59" i="10" s="1"/>
  <c r="AP59" i="10" s="1"/>
  <c r="AT59" i="10" s="1"/>
  <c r="AX59" i="10" s="1"/>
  <c r="BF59" i="10" s="1"/>
  <c r="AB50" i="10"/>
  <c r="AB41" i="10"/>
  <c r="AF41" i="10" s="1"/>
  <c r="AJ41" i="10" s="1"/>
  <c r="AP41" i="10" s="1"/>
  <c r="AT41" i="10" s="1"/>
  <c r="AB32" i="10"/>
  <c r="AB23" i="10"/>
  <c r="AF23" i="10" s="1"/>
  <c r="AJ23" i="10" s="1"/>
  <c r="AP23" i="10" s="1"/>
  <c r="AT23" i="10" s="1"/>
  <c r="AX23" i="10" s="1"/>
  <c r="BF23" i="10" s="1"/>
  <c r="AB14" i="10"/>
  <c r="AF14" i="10" s="1"/>
  <c r="AJ14" i="10" s="1"/>
  <c r="AP14" i="10" s="1"/>
  <c r="AT14" i="10" s="1"/>
  <c r="AX14" i="10" s="1"/>
  <c r="BF14" i="10" s="1"/>
  <c r="AB121" i="10"/>
  <c r="AF121" i="10" s="1"/>
  <c r="AJ121" i="10" s="1"/>
  <c r="AP121" i="10" s="1"/>
  <c r="AT121" i="10" s="1"/>
  <c r="AX121" i="10" s="1"/>
  <c r="BF121" i="10" s="1"/>
  <c r="AB103" i="10"/>
  <c r="AF103" i="10" s="1"/>
  <c r="AJ103" i="10" s="1"/>
  <c r="AP103" i="10" s="1"/>
  <c r="AT103" i="10" s="1"/>
  <c r="AX103" i="10" s="1"/>
  <c r="BF103" i="10" s="1"/>
  <c r="AB94" i="10"/>
  <c r="AF94" i="10" s="1"/>
  <c r="AJ94" i="10" s="1"/>
  <c r="AP94" i="10" s="1"/>
  <c r="AT94" i="10" s="1"/>
  <c r="AX94" i="10" s="1"/>
  <c r="BF94" i="10" s="1"/>
  <c r="AB76" i="10"/>
  <c r="AF76" i="10" s="1"/>
  <c r="AB67" i="10"/>
  <c r="AF67" i="10" s="1"/>
  <c r="AB58" i="10"/>
  <c r="AF58" i="10" s="1"/>
  <c r="AJ58" i="10" s="1"/>
  <c r="AP58" i="10" s="1"/>
  <c r="AT58" i="10" s="1"/>
  <c r="AX58" i="10" s="1"/>
  <c r="BF58" i="10" s="1"/>
  <c r="AB49" i="10"/>
  <c r="AF49" i="10" s="1"/>
  <c r="AJ49" i="10" s="1"/>
  <c r="AP49" i="10" s="1"/>
  <c r="AT49" i="10" s="1"/>
  <c r="AX49" i="10" s="1"/>
  <c r="BF49" i="10" s="1"/>
  <c r="AB40" i="10"/>
  <c r="AF40" i="10" s="1"/>
  <c r="AJ40" i="10" s="1"/>
  <c r="AP40" i="10" s="1"/>
  <c r="AT40" i="10" s="1"/>
  <c r="AX40" i="10" s="1"/>
  <c r="BF40" i="10" s="1"/>
  <c r="AB31" i="10"/>
  <c r="AF31" i="10" s="1"/>
  <c r="AJ31" i="10" s="1"/>
  <c r="AP31" i="10" s="1"/>
  <c r="AT31" i="10" s="1"/>
  <c r="AB22" i="10"/>
  <c r="AF22" i="10" s="1"/>
  <c r="AJ22" i="10" s="1"/>
  <c r="AP22" i="10" s="1"/>
  <c r="AT22" i="10" s="1"/>
  <c r="AX22" i="10" s="1"/>
  <c r="BF22" i="10" s="1"/>
  <c r="AB13" i="10"/>
  <c r="AF13" i="10" s="1"/>
  <c r="AJ13" i="10" s="1"/>
  <c r="AP13" i="10" s="1"/>
  <c r="AT13" i="10" s="1"/>
  <c r="AX13" i="10" s="1"/>
  <c r="BF13" i="10" s="1"/>
  <c r="AB116" i="10"/>
  <c r="AF116" i="10" s="1"/>
  <c r="AJ116" i="10" s="1"/>
  <c r="AP116" i="10" s="1"/>
  <c r="AT116" i="10" s="1"/>
  <c r="AX116" i="10" s="1"/>
  <c r="BF116" i="10" s="1"/>
  <c r="AB89" i="10"/>
  <c r="AF89" i="10" s="1"/>
  <c r="AJ89" i="10" s="1"/>
  <c r="AP89" i="10" s="1"/>
  <c r="AT89" i="10" s="1"/>
  <c r="AX89" i="10" s="1"/>
  <c r="BF89" i="10" s="1"/>
  <c r="AB80" i="10"/>
  <c r="AF80" i="10" s="1"/>
  <c r="AJ80" i="10" s="1"/>
  <c r="AP80" i="10" s="1"/>
  <c r="AT80" i="10" s="1"/>
  <c r="AX80" i="10" s="1"/>
  <c r="BF80" i="10" s="1"/>
  <c r="AB71" i="10"/>
  <c r="AF71" i="10" s="1"/>
  <c r="AJ71" i="10" s="1"/>
  <c r="AP71" i="10" s="1"/>
  <c r="AT71" i="10" s="1"/>
  <c r="AX71" i="10" s="1"/>
  <c r="BF71" i="10" s="1"/>
  <c r="AB53" i="10"/>
  <c r="AF53" i="10" s="1"/>
  <c r="AJ53" i="10" s="1"/>
  <c r="AP53" i="10" s="1"/>
  <c r="AT53" i="10" s="1"/>
  <c r="AX53" i="10" s="1"/>
  <c r="BF53" i="10" s="1"/>
  <c r="AB44" i="10"/>
  <c r="AF44" i="10" s="1"/>
  <c r="AJ44" i="10" s="1"/>
  <c r="AP44" i="10" s="1"/>
  <c r="AB35" i="10"/>
  <c r="AF35" i="10" s="1"/>
  <c r="AJ35" i="10" s="1"/>
  <c r="AP35" i="10" s="1"/>
  <c r="AT35" i="10" s="1"/>
  <c r="AX35" i="10" s="1"/>
  <c r="BF35" i="10" s="1"/>
  <c r="AB17" i="10"/>
  <c r="AF17" i="10" s="1"/>
  <c r="AJ17" i="10" s="1"/>
  <c r="AP17" i="10" s="1"/>
  <c r="AT17" i="10" s="1"/>
  <c r="AX17" i="10" s="1"/>
  <c r="BF17" i="10" s="1"/>
  <c r="AB8" i="10"/>
  <c r="AF8" i="10" s="1"/>
  <c r="AJ8" i="10" s="1"/>
  <c r="AP8" i="10" s="1"/>
  <c r="AT8" i="10" s="1"/>
  <c r="AX8" i="10" s="1"/>
  <c r="BF8" i="10" s="1"/>
  <c r="BD116" i="10"/>
  <c r="BD64" i="10"/>
  <c r="BD61" i="10"/>
  <c r="BD13" i="10"/>
  <c r="BD10" i="10"/>
  <c r="BD109" i="10"/>
  <c r="BD105" i="10"/>
  <c r="BD96" i="10"/>
  <c r="BD60" i="10"/>
  <c r="BD57" i="10"/>
  <c r="BD9" i="10"/>
  <c r="BD108" i="10"/>
  <c r="BD102" i="10"/>
  <c r="BD80" i="10"/>
  <c r="BD77" i="10"/>
  <c r="BD56" i="10"/>
  <c r="BD53" i="10"/>
  <c r="BD49" i="10"/>
  <c r="BD24" i="10"/>
  <c r="BD101" i="10"/>
  <c r="BD84" i="10"/>
  <c r="BD73" i="10"/>
  <c r="BD52" i="10"/>
  <c r="BD48" i="10"/>
  <c r="BD40" i="10"/>
  <c r="BD36" i="10"/>
  <c r="BD29" i="10"/>
  <c r="BD47" i="10"/>
  <c r="BD35" i="10"/>
  <c r="BD121" i="10"/>
  <c r="BD94" i="10"/>
  <c r="BD72" i="10"/>
  <c r="BD28" i="10"/>
  <c r="BD18" i="10"/>
  <c r="BD120" i="10"/>
  <c r="BD117" i="10"/>
  <c r="BD17" i="10"/>
  <c r="O11" i="50"/>
  <c r="BD118" i="10"/>
  <c r="BD110" i="10"/>
  <c r="BD104" i="10"/>
  <c r="BD85" i="10"/>
  <c r="BD74" i="10"/>
  <c r="BD66" i="10"/>
  <c r="BD58" i="10"/>
  <c r="BD34" i="10"/>
  <c r="BD33" i="10"/>
  <c r="BD14" i="10"/>
  <c r="BD122" i="10"/>
  <c r="BD114" i="10"/>
  <c r="BD106" i="10"/>
  <c r="BD100" i="10"/>
  <c r="BD97" i="10"/>
  <c r="BD89" i="10"/>
  <c r="BD78" i="10"/>
  <c r="BD70" i="10"/>
  <c r="BD62" i="10"/>
  <c r="BD54" i="10"/>
  <c r="BD30" i="10"/>
  <c r="BD22" i="10"/>
  <c r="BD8" i="10"/>
  <c r="AC11" i="50"/>
  <c r="AG11" i="50" s="1"/>
  <c r="AK11" i="50" s="1"/>
  <c r="AQ11" i="50" s="1"/>
  <c r="AU11" i="50" s="1"/>
  <c r="AY11" i="50" s="1"/>
  <c r="AA14" i="50"/>
  <c r="BC8" i="50"/>
  <c r="BC7" i="50"/>
  <c r="AO17" i="50"/>
  <c r="BE17" i="50" s="1"/>
  <c r="AO11" i="50"/>
  <c r="BE11" i="50" s="1"/>
  <c r="AO5" i="50"/>
  <c r="BE5" i="50" s="1"/>
  <c r="AO10" i="50"/>
  <c r="BE10" i="50" s="1"/>
  <c r="AO24" i="50"/>
  <c r="AO15" i="50"/>
  <c r="BE15" i="50" s="1"/>
  <c r="AO99" i="50"/>
  <c r="BD98" i="10"/>
  <c r="AM47" i="50"/>
  <c r="I47" i="50"/>
  <c r="M128" i="50"/>
  <c r="AM128" i="50"/>
  <c r="Q128" i="50"/>
  <c r="AA124" i="50"/>
  <c r="AO125" i="50"/>
  <c r="BE125" i="50" s="1"/>
  <c r="AS128" i="50"/>
  <c r="U128" i="50"/>
  <c r="AW128" i="50"/>
  <c r="AO116" i="50"/>
  <c r="BC115" i="50"/>
  <c r="AA116" i="50"/>
  <c r="BA128" i="50"/>
  <c r="Y128" i="50"/>
  <c r="T80" i="50"/>
  <c r="L80" i="50"/>
  <c r="AH80" i="50"/>
  <c r="J80" i="50"/>
  <c r="K7" i="50"/>
  <c r="O7" i="50"/>
  <c r="S7" i="50" s="1"/>
  <c r="W7" i="50" s="1"/>
  <c r="K30" i="50"/>
  <c r="O30" i="50"/>
  <c r="S30" i="50" s="1"/>
  <c r="W30" i="50" s="1"/>
  <c r="K18" i="50"/>
  <c r="O18" i="50"/>
  <c r="S18" i="50" s="1"/>
  <c r="W18" i="50" s="1"/>
  <c r="K6" i="50"/>
  <c r="O6" i="50"/>
  <c r="S6" i="50" s="1"/>
  <c r="W6" i="50" s="1"/>
  <c r="AA27" i="50"/>
  <c r="AO30" i="50"/>
  <c r="BE30" i="50" s="1"/>
  <c r="AO18" i="50"/>
  <c r="BE18" i="50" s="1"/>
  <c r="AO6" i="50"/>
  <c r="BE6" i="50" s="1"/>
  <c r="K29" i="50"/>
  <c r="K17" i="50"/>
  <c r="K5" i="50"/>
  <c r="S11" i="50"/>
  <c r="W11" i="50" s="1"/>
  <c r="S67" i="50"/>
  <c r="S111" i="50" s="1"/>
  <c r="K31" i="50"/>
  <c r="O31" i="50"/>
  <c r="S31" i="50" s="1"/>
  <c r="W31" i="50" s="1"/>
  <c r="AA28" i="50"/>
  <c r="AA16" i="50"/>
  <c r="K28" i="50"/>
  <c r="K16" i="50"/>
  <c r="AA13" i="50"/>
  <c r="AO28" i="50"/>
  <c r="M113" i="50"/>
  <c r="K27" i="50"/>
  <c r="O27" i="50"/>
  <c r="AC14" i="50"/>
  <c r="AG14" i="50" s="1"/>
  <c r="AK14" i="50" s="1"/>
  <c r="BC67" i="50"/>
  <c r="BC111" i="50" s="1"/>
  <c r="BC112" i="50" s="1"/>
  <c r="AA10" i="50"/>
  <c r="AC10" i="50" s="1"/>
  <c r="AG10" i="50" s="1"/>
  <c r="AK10" i="50" s="1"/>
  <c r="AQ10" i="50" s="1"/>
  <c r="AU10" i="50" s="1"/>
  <c r="AY10" i="50" s="1"/>
  <c r="AO25" i="50"/>
  <c r="BE25" i="50" s="1"/>
  <c r="AO13" i="50"/>
  <c r="BE13" i="50" s="1"/>
  <c r="BC28" i="50"/>
  <c r="BC16" i="50"/>
  <c r="BC19" i="50"/>
  <c r="K14" i="50"/>
  <c r="O13" i="50"/>
  <c r="S13" i="50" s="1"/>
  <c r="W13" i="50" s="1"/>
  <c r="K13" i="50"/>
  <c r="O12" i="50"/>
  <c r="S12" i="50" s="1"/>
  <c r="W12" i="50" s="1"/>
  <c r="K12" i="50"/>
  <c r="AO12" i="50"/>
  <c r="BE12" i="50" s="1"/>
  <c r="AA18" i="50"/>
  <c r="AA6" i="50"/>
  <c r="AC6" i="50" s="1"/>
  <c r="AG6" i="50" s="1"/>
  <c r="AK6" i="50" s="1"/>
  <c r="AQ6" i="50" s="1"/>
  <c r="AU6" i="50" s="1"/>
  <c r="AY6" i="50" s="1"/>
  <c r="AC31" i="50"/>
  <c r="AC7" i="50"/>
  <c r="AG7" i="50" s="1"/>
  <c r="AK7" i="50" s="1"/>
  <c r="AQ7" i="50" s="1"/>
  <c r="AU7" i="50" s="1"/>
  <c r="AY7" i="50" s="1"/>
  <c r="AA17" i="50"/>
  <c r="O67" i="50"/>
  <c r="O111" i="50" s="1"/>
  <c r="K15" i="50"/>
  <c r="O15" i="50"/>
  <c r="O25" i="50"/>
  <c r="S25" i="50" s="1"/>
  <c r="W25" i="50" s="1"/>
  <c r="K25" i="50"/>
  <c r="K10" i="50"/>
  <c r="O10" i="50"/>
  <c r="S10" i="50" s="1"/>
  <c r="W10" i="50" s="1"/>
  <c r="K19" i="50"/>
  <c r="O19" i="50"/>
  <c r="S19" i="50" s="1"/>
  <c r="W19" i="50" s="1"/>
  <c r="AO16" i="50"/>
  <c r="AO7" i="50"/>
  <c r="AA97" i="50"/>
  <c r="AM113" i="50"/>
  <c r="AA114" i="50"/>
  <c r="AA30" i="50"/>
  <c r="AC75" i="50"/>
  <c r="AG75" i="50" s="1"/>
  <c r="AK75" i="50" s="1"/>
  <c r="AQ75" i="50" s="1"/>
  <c r="AU75" i="50" s="1"/>
  <c r="AY75" i="50" s="1"/>
  <c r="W49" i="50"/>
  <c r="W67" i="50" s="1"/>
  <c r="W111" i="50" s="1"/>
  <c r="AC69" i="50"/>
  <c r="AG69" i="50" s="1"/>
  <c r="AK69" i="50" s="1"/>
  <c r="AQ69" i="50" s="1"/>
  <c r="AU69" i="50" s="1"/>
  <c r="AY69" i="50" s="1"/>
  <c r="O115" i="50"/>
  <c r="K115" i="50"/>
  <c r="AS113" i="50"/>
  <c r="AO8" i="50"/>
  <c r="BE8" i="50" s="1"/>
  <c r="AC56" i="50"/>
  <c r="O116" i="50"/>
  <c r="K116" i="50"/>
  <c r="BE116" i="50"/>
  <c r="O8" i="50"/>
  <c r="S8" i="50" s="1"/>
  <c r="W8" i="50" s="1"/>
  <c r="AC55" i="50"/>
  <c r="AG55" i="50" s="1"/>
  <c r="AK55" i="50" s="1"/>
  <c r="AQ55" i="50" s="1"/>
  <c r="AU55" i="50" s="1"/>
  <c r="AY55" i="50" s="1"/>
  <c r="BE49" i="50"/>
  <c r="AP80" i="50"/>
  <c r="R80" i="50"/>
  <c r="O124" i="50"/>
  <c r="K124" i="50"/>
  <c r="AC78" i="50"/>
  <c r="AG78" i="50" s="1"/>
  <c r="AK78" i="50" s="1"/>
  <c r="AQ78" i="50" s="1"/>
  <c r="AU78" i="50" s="1"/>
  <c r="AY78" i="50" s="1"/>
  <c r="AC65" i="50"/>
  <c r="AG65" i="50" s="1"/>
  <c r="AK65" i="50" s="1"/>
  <c r="AQ65" i="50" s="1"/>
  <c r="AU65" i="50" s="1"/>
  <c r="AY65" i="50" s="1"/>
  <c r="AC54" i="50"/>
  <c r="AG54" i="50" s="1"/>
  <c r="AK54" i="50" s="1"/>
  <c r="AQ54" i="50" s="1"/>
  <c r="AU54" i="50" s="1"/>
  <c r="AY54" i="50" s="1"/>
  <c r="BE72" i="50"/>
  <c r="S125" i="50"/>
  <c r="W125" i="50" s="1"/>
  <c r="AO114" i="50"/>
  <c r="AC77" i="50"/>
  <c r="AG77" i="50" s="1"/>
  <c r="AK77" i="50" s="1"/>
  <c r="AQ77" i="50" s="1"/>
  <c r="AU77" i="50" s="1"/>
  <c r="AY77" i="50" s="1"/>
  <c r="AC64" i="50"/>
  <c r="AG64" i="50" s="1"/>
  <c r="AK64" i="50" s="1"/>
  <c r="AQ64" i="50" s="1"/>
  <c r="AU64" i="50" s="1"/>
  <c r="AY64" i="50" s="1"/>
  <c r="BE55" i="50"/>
  <c r="BC114" i="50"/>
  <c r="AA15" i="50"/>
  <c r="AA25" i="50"/>
  <c r="O29" i="50"/>
  <c r="O17" i="50"/>
  <c r="S17" i="50" s="1"/>
  <c r="W17" i="50" s="1"/>
  <c r="O5" i="50"/>
  <c r="S5" i="50" s="1"/>
  <c r="W5" i="50" s="1"/>
  <c r="AC76" i="50"/>
  <c r="AG76" i="50" s="1"/>
  <c r="AK76" i="50" s="1"/>
  <c r="AQ76" i="50" s="1"/>
  <c r="AU76" i="50" s="1"/>
  <c r="AY76" i="50" s="1"/>
  <c r="AC52" i="50"/>
  <c r="AG52" i="50" s="1"/>
  <c r="AK52" i="50" s="1"/>
  <c r="AQ52" i="50" s="1"/>
  <c r="AU52" i="50" s="1"/>
  <c r="AY52" i="50" s="1"/>
  <c r="AJ80" i="50"/>
  <c r="Q113" i="50"/>
  <c r="O28" i="50"/>
  <c r="S28" i="50" s="1"/>
  <c r="W28" i="50" s="1"/>
  <c r="O16" i="50"/>
  <c r="S16" i="50" s="1"/>
  <c r="W16" i="50" s="1"/>
  <c r="AC62" i="50"/>
  <c r="AG62" i="50" s="1"/>
  <c r="AK62" i="50" s="1"/>
  <c r="AQ62" i="50" s="1"/>
  <c r="AU62" i="50" s="1"/>
  <c r="AY62" i="50" s="1"/>
  <c r="BE61" i="50"/>
  <c r="BE70" i="50"/>
  <c r="AF80" i="50"/>
  <c r="H80" i="50"/>
  <c r="AC73" i="50"/>
  <c r="AG73" i="50" s="1"/>
  <c r="AK73" i="50" s="1"/>
  <c r="AQ73" i="50" s="1"/>
  <c r="AU73" i="50" s="1"/>
  <c r="AY73" i="50" s="1"/>
  <c r="AC50" i="50"/>
  <c r="AG50" i="50" s="1"/>
  <c r="AK50" i="50" s="1"/>
  <c r="AQ50" i="50" s="1"/>
  <c r="AU50" i="50" s="1"/>
  <c r="AY50" i="50" s="1"/>
  <c r="BE60" i="50"/>
  <c r="BB80" i="50"/>
  <c r="AD80" i="50"/>
  <c r="Y112" i="50"/>
  <c r="AZ80" i="50"/>
  <c r="K98" i="50"/>
  <c r="AC58" i="50"/>
  <c r="AG58" i="50" s="1"/>
  <c r="AK58" i="50" s="1"/>
  <c r="AQ58" i="50" s="1"/>
  <c r="AU58" i="50" s="1"/>
  <c r="AY58" i="50" s="1"/>
  <c r="AA67" i="50"/>
  <c r="AA111" i="50" s="1"/>
  <c r="AI113" i="50"/>
  <c r="K113" i="50"/>
  <c r="AI128" i="50"/>
  <c r="AA115" i="50"/>
  <c r="BC99" i="50"/>
  <c r="K125" i="50"/>
  <c r="BC113" i="50"/>
  <c r="AA125" i="50"/>
  <c r="AC125" i="50" s="1"/>
  <c r="AG125" i="50" s="1"/>
  <c r="AK125" i="50" s="1"/>
  <c r="AQ125" i="50" s="1"/>
  <c r="AU125" i="50" s="1"/>
  <c r="AY125" i="50" s="1"/>
  <c r="BG125" i="50" s="1"/>
  <c r="BE73" i="50"/>
  <c r="BA100" i="50"/>
  <c r="AC53" i="50"/>
  <c r="AG53" i="50" s="1"/>
  <c r="AK53" i="50" s="1"/>
  <c r="AQ53" i="50" s="1"/>
  <c r="AU53" i="50" s="1"/>
  <c r="AY53" i="50" s="1"/>
  <c r="U113" i="50"/>
  <c r="I128" i="50"/>
  <c r="O99" i="50"/>
  <c r="BC124" i="50"/>
  <c r="O114" i="50"/>
  <c r="AO115" i="50"/>
  <c r="AO124" i="50"/>
  <c r="I113" i="50"/>
  <c r="AE128" i="50"/>
  <c r="AE100" i="50"/>
  <c r="K112" i="50"/>
  <c r="AI112" i="50"/>
  <c r="Y100" i="50"/>
  <c r="AW113" i="50"/>
  <c r="BC124" i="10"/>
  <c r="AY124" i="10"/>
  <c r="AU124" i="10"/>
  <c r="AQ127" i="10"/>
  <c r="AK124" i="10"/>
  <c r="AG127" i="10"/>
  <c r="AC127" i="10"/>
  <c r="W127" i="10"/>
  <c r="O127" i="10"/>
  <c r="BD348" i="28"/>
  <c r="AZ3" i="8"/>
  <c r="AC25" i="50" l="1"/>
  <c r="AG25" i="50" s="1"/>
  <c r="AK25" i="50" s="1"/>
  <c r="AQ25" i="50" s="1"/>
  <c r="AU25" i="50" s="1"/>
  <c r="AY25" i="50" s="1"/>
  <c r="AC8" i="50"/>
  <c r="AG8" i="50" s="1"/>
  <c r="AK8" i="50" s="1"/>
  <c r="AQ8" i="50" s="1"/>
  <c r="AU8" i="50" s="1"/>
  <c r="AY8" i="50" s="1"/>
  <c r="AC30" i="50"/>
  <c r="AG30" i="50" s="1"/>
  <c r="AK30" i="50" s="1"/>
  <c r="AQ30" i="50" s="1"/>
  <c r="AU30" i="50" s="1"/>
  <c r="AY30" i="50" s="1"/>
  <c r="AC5" i="50"/>
  <c r="AG5" i="50" s="1"/>
  <c r="AK5" i="50" s="1"/>
  <c r="AQ5" i="50" s="1"/>
  <c r="AU5" i="50" s="1"/>
  <c r="AY5" i="50" s="1"/>
  <c r="BE7" i="50"/>
  <c r="BE16" i="50"/>
  <c r="BE99" i="50"/>
  <c r="BE115" i="50"/>
  <c r="BE114" i="50"/>
  <c r="AC114" i="50"/>
  <c r="S114" i="50"/>
  <c r="AA112" i="50"/>
  <c r="AA113" i="50"/>
  <c r="AC17" i="50"/>
  <c r="AG17" i="50" s="1"/>
  <c r="AK17" i="50" s="1"/>
  <c r="AQ17" i="50" s="1"/>
  <c r="AU17" i="50" s="1"/>
  <c r="AY17" i="50" s="1"/>
  <c r="BE28" i="50"/>
  <c r="AC13" i="50"/>
  <c r="AG13" i="50" s="1"/>
  <c r="AK13" i="50" s="1"/>
  <c r="AQ13" i="50" s="1"/>
  <c r="AU13" i="50" s="1"/>
  <c r="AY13" i="50" s="1"/>
  <c r="AC19" i="50"/>
  <c r="BE124" i="50"/>
  <c r="AC16" i="50"/>
  <c r="AG16" i="50" s="1"/>
  <c r="AK16" i="50" s="1"/>
  <c r="AQ16" i="50" s="1"/>
  <c r="AU16" i="50" s="1"/>
  <c r="AY16" i="50" s="1"/>
  <c r="AC18" i="50"/>
  <c r="AG18" i="50" s="1"/>
  <c r="AK18" i="50" s="1"/>
  <c r="AQ18" i="50" s="1"/>
  <c r="AU18" i="50" s="1"/>
  <c r="AY18" i="50" s="1"/>
  <c r="AC12" i="50"/>
  <c r="AG12" i="50" s="1"/>
  <c r="AK12" i="50" s="1"/>
  <c r="AQ12" i="50" s="1"/>
  <c r="AU12" i="50" s="1"/>
  <c r="AY12" i="50" s="1"/>
  <c r="AC28" i="50"/>
  <c r="AG28" i="50" s="1"/>
  <c r="AK28" i="50" s="1"/>
  <c r="AQ28" i="50" s="1"/>
  <c r="AU28" i="50" s="1"/>
  <c r="AY28" i="50" s="1"/>
  <c r="AC115" i="50"/>
  <c r="AG115" i="50" s="1"/>
  <c r="S115" i="50"/>
  <c r="W115" i="50" s="1"/>
  <c r="AC15" i="50"/>
  <c r="AG15" i="50" s="1"/>
  <c r="AK15" i="50" s="1"/>
  <c r="AQ15" i="50" s="1"/>
  <c r="AU15" i="50" s="1"/>
  <c r="AY15" i="50" s="1"/>
  <c r="S15" i="50"/>
  <c r="W15" i="50" s="1"/>
  <c r="AC116" i="50"/>
  <c r="AG116" i="50" s="1"/>
  <c r="AK116" i="50" s="1"/>
  <c r="AQ116" i="50" s="1"/>
  <c r="AU116" i="50" s="1"/>
  <c r="AY116" i="50" s="1"/>
  <c r="BG116" i="50" s="1"/>
  <c r="S116" i="50"/>
  <c r="W116" i="50" s="1"/>
  <c r="AC27" i="50"/>
  <c r="AG27" i="50" s="1"/>
  <c r="S27" i="50"/>
  <c r="W27" i="50" s="1"/>
  <c r="AC67" i="50"/>
  <c r="AC111" i="50" s="1"/>
  <c r="AC124" i="50"/>
  <c r="S124" i="50"/>
  <c r="AG114" i="50" l="1"/>
  <c r="AK114" i="50" s="1"/>
  <c r="W124" i="50"/>
  <c r="AG124" i="50"/>
  <c r="AK115" i="50"/>
  <c r="AQ115" i="50" s="1"/>
  <c r="AU115" i="50" s="1"/>
  <c r="AY115" i="50" s="1"/>
  <c r="BG115" i="50" s="1"/>
  <c r="W114" i="50"/>
  <c r="AQ114" i="50" l="1"/>
  <c r="AK124" i="50"/>
  <c r="AQ124" i="50" l="1"/>
  <c r="AU114" i="50"/>
  <c r="AY114" i="50" l="1"/>
  <c r="AU124" i="50"/>
  <c r="AY124" i="50" l="1"/>
  <c r="BG114" i="50"/>
  <c r="BG124" i="50" l="1"/>
  <c r="AZ50" i="10" l="1"/>
  <c r="AZ55" i="10"/>
  <c r="AZ37" i="10"/>
  <c r="BB37" i="10" s="1"/>
  <c r="BD37" i="10" s="1"/>
  <c r="AZ44" i="10"/>
  <c r="BA20" i="50" s="1"/>
  <c r="AZ26" i="10"/>
  <c r="BA9" i="50" l="1"/>
  <c r="AZ125" i="10"/>
  <c r="AZ124" i="10"/>
  <c r="AY26" i="21"/>
  <c r="AU26" i="21"/>
  <c r="AQ26" i="21"/>
  <c r="AK26" i="21"/>
  <c r="AG26" i="21"/>
  <c r="AC26" i="21"/>
  <c r="W26" i="21"/>
  <c r="S26" i="21"/>
  <c r="O26" i="21"/>
  <c r="K26" i="21"/>
  <c r="G26" i="21"/>
  <c r="E26" i="21"/>
  <c r="BH72" i="59"/>
  <c r="BF72" i="59"/>
  <c r="BD72" i="59"/>
  <c r="BH71" i="59"/>
  <c r="BF71" i="59"/>
  <c r="BD71" i="59"/>
  <c r="BH70" i="59"/>
  <c r="BF70" i="59"/>
  <c r="BD70" i="59"/>
  <c r="BF69" i="59"/>
  <c r="BE69" i="59"/>
  <c r="BD69" i="59"/>
  <c r="BH67" i="59"/>
  <c r="BF67" i="59"/>
  <c r="BE67" i="59"/>
  <c r="BD67" i="59"/>
  <c r="BI66" i="59"/>
  <c r="BH66" i="59"/>
  <c r="BG66" i="59"/>
  <c r="BF66" i="59"/>
  <c r="BE66" i="59"/>
  <c r="BD66" i="59"/>
  <c r="BH65" i="59"/>
  <c r="BF65" i="59"/>
  <c r="BE65" i="59"/>
  <c r="BD65" i="59"/>
  <c r="BH63" i="59"/>
  <c r="BF63" i="59"/>
  <c r="BE63" i="59"/>
  <c r="BD63" i="59"/>
  <c r="BI62" i="59"/>
  <c r="BH62" i="59"/>
  <c r="BG62" i="59"/>
  <c r="BF62" i="59"/>
  <c r="BE62" i="59"/>
  <c r="BD62" i="59"/>
  <c r="BH61" i="59"/>
  <c r="BF61" i="59"/>
  <c r="BE61" i="59"/>
  <c r="BD61" i="59"/>
  <c r="BH50" i="59"/>
  <c r="BF50" i="59"/>
  <c r="BD50" i="59"/>
  <c r="BH49" i="59"/>
  <c r="BF49" i="59"/>
  <c r="BD49" i="59"/>
  <c r="BH47" i="59"/>
  <c r="BF47" i="59"/>
  <c r="BD47" i="59"/>
  <c r="BF46" i="59"/>
  <c r="BD46" i="59"/>
  <c r="BI45" i="59"/>
  <c r="BH45" i="59"/>
  <c r="BG45" i="59"/>
  <c r="BF45" i="59"/>
  <c r="BE45" i="59"/>
  <c r="BD45" i="59"/>
  <c r="BI44" i="59"/>
  <c r="BH44" i="59"/>
  <c r="BG44" i="59"/>
  <c r="BF44" i="59"/>
  <c r="BE44" i="59"/>
  <c r="BD44" i="59"/>
  <c r="BI43" i="59"/>
  <c r="BH43" i="59"/>
  <c r="BG43" i="59"/>
  <c r="BF43" i="59"/>
  <c r="BE43" i="59"/>
  <c r="BD43" i="59"/>
  <c r="BH42" i="59"/>
  <c r="BF42" i="59"/>
  <c r="BD42" i="59"/>
  <c r="BI41" i="59"/>
  <c r="BH41" i="59"/>
  <c r="BG41" i="59"/>
  <c r="BF41" i="59"/>
  <c r="BE41" i="59"/>
  <c r="BD41" i="59"/>
  <c r="BH40" i="59"/>
  <c r="BF40" i="59"/>
  <c r="BD40" i="59"/>
  <c r="BH39" i="59"/>
  <c r="BG39" i="59"/>
  <c r="BF39" i="59"/>
  <c r="BE39" i="59"/>
  <c r="BD39" i="59"/>
  <c r="BH38" i="59"/>
  <c r="BF38" i="59"/>
  <c r="BD38" i="59"/>
  <c r="BH37" i="59"/>
  <c r="BG37" i="59"/>
  <c r="BF37" i="59"/>
  <c r="BE37" i="59"/>
  <c r="BD37" i="59"/>
  <c r="BH35" i="59"/>
  <c r="BF35" i="59"/>
  <c r="BD35" i="59"/>
  <c r="BH34" i="59"/>
  <c r="BF34" i="59"/>
  <c r="BD34" i="59"/>
  <c r="BI28" i="59"/>
  <c r="BH28" i="59"/>
  <c r="BE28" i="59"/>
  <c r="BD28" i="59"/>
  <c r="BH27" i="59"/>
  <c r="BF27" i="59"/>
  <c r="BD27" i="59"/>
  <c r="BH26" i="59"/>
  <c r="BF26" i="59"/>
  <c r="BD26" i="59"/>
  <c r="BH25" i="59"/>
  <c r="BF25" i="59"/>
  <c r="BD25" i="59"/>
  <c r="BH24" i="59"/>
  <c r="BF24" i="59"/>
  <c r="BD24" i="59"/>
  <c r="BH23" i="59"/>
  <c r="BE23" i="59"/>
  <c r="BD23" i="59"/>
  <c r="BI22" i="59"/>
  <c r="BH22" i="59"/>
  <c r="BG22" i="59"/>
  <c r="BF22" i="59"/>
  <c r="BE22" i="59"/>
  <c r="BD22" i="59"/>
  <c r="BH20" i="59"/>
  <c r="BF20" i="59"/>
  <c r="BD20" i="59"/>
  <c r="BH19" i="59"/>
  <c r="BF19" i="59"/>
  <c r="BD19" i="59"/>
  <c r="BH18" i="59"/>
  <c r="BF18" i="59"/>
  <c r="BD18" i="59"/>
  <c r="BH17" i="59"/>
  <c r="BF17" i="59"/>
  <c r="BD17" i="59"/>
  <c r="BH16" i="59"/>
  <c r="BE16" i="59"/>
  <c r="BD16" i="59"/>
  <c r="BI15" i="59"/>
  <c r="BH15" i="59"/>
  <c r="BG15" i="59"/>
  <c r="BF15" i="59"/>
  <c r="BE15" i="59"/>
  <c r="BD15" i="59"/>
  <c r="BH12" i="59"/>
  <c r="BE12" i="59"/>
  <c r="BD12" i="59"/>
  <c r="BI11" i="59"/>
  <c r="BH11" i="59"/>
  <c r="BG11" i="59"/>
  <c r="BF11" i="59"/>
  <c r="BE11" i="59"/>
  <c r="BD11" i="59"/>
  <c r="BI10" i="59"/>
  <c r="BH10" i="59"/>
  <c r="BG10" i="59"/>
  <c r="BF10" i="59"/>
  <c r="BE10" i="59"/>
  <c r="BD10" i="59"/>
  <c r="BI9" i="59"/>
  <c r="BH9" i="59"/>
  <c r="BG9" i="59"/>
  <c r="BF9" i="59"/>
  <c r="BE9" i="59"/>
  <c r="BD9" i="59"/>
  <c r="BI8" i="59"/>
  <c r="BH8" i="59"/>
  <c r="BG8" i="59"/>
  <c r="BF8" i="59"/>
  <c r="BE8" i="59"/>
  <c r="BD8" i="59"/>
  <c r="BH6" i="59"/>
  <c r="BF6" i="59"/>
  <c r="BD6" i="59"/>
  <c r="BA20" i="39"/>
  <c r="BC20" i="39" s="1"/>
  <c r="BC65" i="39"/>
  <c r="BC64" i="39"/>
  <c r="BC9" i="39"/>
  <c r="BC10" i="39"/>
  <c r="BC11" i="39"/>
  <c r="BC13" i="39"/>
  <c r="BC14" i="39"/>
  <c r="BC15" i="39"/>
  <c r="BC16" i="39"/>
  <c r="BC17" i="39"/>
  <c r="BC27" i="39"/>
  <c r="BC28" i="39"/>
  <c r="BC30" i="39"/>
  <c r="BC37" i="39"/>
  <c r="BC38" i="39"/>
  <c r="BC41" i="39"/>
  <c r="BC42" i="39"/>
  <c r="BC53" i="39"/>
  <c r="BC54" i="39"/>
  <c r="BC55" i="39"/>
  <c r="BC56" i="39"/>
  <c r="BC57" i="39"/>
  <c r="BC58" i="39"/>
  <c r="BC59" i="39"/>
  <c r="BC60" i="39"/>
  <c r="BC61" i="39"/>
  <c r="BC62" i="39"/>
  <c r="BA65" i="39"/>
  <c r="BA64" i="39"/>
  <c r="BA62" i="39"/>
  <c r="BA60" i="39"/>
  <c r="BA59" i="39"/>
  <c r="BA58" i="39"/>
  <c r="BA57" i="39"/>
  <c r="BA56" i="39"/>
  <c r="BA55" i="39"/>
  <c r="BA54" i="39"/>
  <c r="BA53" i="39"/>
  <c r="BA47" i="39"/>
  <c r="BA46" i="39"/>
  <c r="BA45" i="39"/>
  <c r="BA42" i="39"/>
  <c r="BA41" i="39"/>
  <c r="BA38" i="39"/>
  <c r="BA37" i="39"/>
  <c r="BA36" i="39"/>
  <c r="BC36" i="39" s="1"/>
  <c r="BA30" i="39"/>
  <c r="BA29" i="39"/>
  <c r="BA28" i="39"/>
  <c r="BA27" i="39"/>
  <c r="BA19" i="39"/>
  <c r="BA18" i="39"/>
  <c r="BC18" i="39" s="1"/>
  <c r="BA17" i="39"/>
  <c r="BA16" i="39"/>
  <c r="BA15" i="39"/>
  <c r="BA14" i="39"/>
  <c r="BA13" i="39"/>
  <c r="BA12" i="39"/>
  <c r="BC12" i="39" s="1"/>
  <c r="BA11" i="39"/>
  <c r="BA10" i="39"/>
  <c r="BA9" i="39"/>
  <c r="BA7" i="39"/>
  <c r="BA6" i="39"/>
  <c r="BA5" i="39"/>
  <c r="Z12" i="85"/>
  <c r="Z14" i="85"/>
  <c r="BE71" i="83"/>
  <c r="BA60" i="83"/>
  <c r="BA61" i="83"/>
  <c r="BA62" i="83"/>
  <c r="BA63" i="83"/>
  <c r="BA64" i="83"/>
  <c r="BA65" i="83"/>
  <c r="BA66" i="83"/>
  <c r="BA59" i="83"/>
  <c r="BA44" i="83"/>
  <c r="BA45" i="83"/>
  <c r="BA46" i="83"/>
  <c r="BA47" i="83"/>
  <c r="BA48" i="83"/>
  <c r="BA49" i="83"/>
  <c r="BA50" i="83"/>
  <c r="BA51" i="83"/>
  <c r="BA52" i="83"/>
  <c r="BA53" i="83"/>
  <c r="BA54" i="83"/>
  <c r="BA55" i="83"/>
  <c r="BA56" i="83"/>
  <c r="BA57" i="83"/>
  <c r="BA43" i="83"/>
  <c r="BA40" i="83"/>
  <c r="BA41" i="83"/>
  <c r="BC41" i="83" s="1"/>
  <c r="BA39" i="83"/>
  <c r="BC39" i="83" s="1"/>
  <c r="BA33" i="83"/>
  <c r="BA34" i="83"/>
  <c r="BA35" i="83"/>
  <c r="BC35" i="83" s="1"/>
  <c r="BA36" i="83"/>
  <c r="BA37" i="83"/>
  <c r="BC37" i="83" s="1"/>
  <c r="BA32" i="83"/>
  <c r="BC32" i="83" s="1"/>
  <c r="BA5" i="83"/>
  <c r="BA6" i="83"/>
  <c r="BA7" i="83"/>
  <c r="BA8" i="83"/>
  <c r="BA9" i="83"/>
  <c r="BA10" i="83"/>
  <c r="BA11" i="83"/>
  <c r="BA12" i="83"/>
  <c r="BA13" i="83"/>
  <c r="BA14" i="83"/>
  <c r="BA15" i="83"/>
  <c r="BA16" i="83"/>
  <c r="BA17" i="83"/>
  <c r="BA18" i="83"/>
  <c r="BA19" i="83"/>
  <c r="BA20" i="83"/>
  <c r="BA21" i="83"/>
  <c r="BA22" i="83"/>
  <c r="BA23" i="83"/>
  <c r="BA24" i="83"/>
  <c r="BA25" i="83"/>
  <c r="BA26" i="83"/>
  <c r="BA27" i="83"/>
  <c r="BA28" i="83"/>
  <c r="BA29" i="83"/>
  <c r="BA30" i="83"/>
  <c r="BA4" i="83"/>
  <c r="BC71" i="83"/>
  <c r="BC40" i="83"/>
  <c r="BC36" i="83"/>
  <c r="BC34" i="83"/>
  <c r="BC33" i="83"/>
  <c r="BA71" i="83"/>
  <c r="AZ127" i="10" l="1"/>
  <c r="BA93" i="50"/>
  <c r="BA67" i="83"/>
  <c r="BC38" i="83"/>
  <c r="BC42" i="83"/>
  <c r="BA38" i="83"/>
  <c r="BA42" i="83"/>
  <c r="BA31" i="83"/>
  <c r="BA58" i="83"/>
  <c r="BA68" i="83" l="1"/>
  <c r="BA69" i="83" l="1"/>
  <c r="H35" i="82" l="1"/>
  <c r="G35" i="82"/>
  <c r="F35" i="82"/>
  <c r="R35" i="82"/>
  <c r="S35" i="82"/>
  <c r="T35" i="82"/>
  <c r="U35" i="82"/>
  <c r="M35" i="82"/>
  <c r="N35" i="82"/>
  <c r="L35" i="82"/>
  <c r="BD8" i="24"/>
  <c r="BC8" i="24"/>
  <c r="BD7" i="24"/>
  <c r="BC7" i="24"/>
  <c r="BD6" i="24"/>
  <c r="BC6" i="24"/>
  <c r="BB8" i="24" l="1"/>
  <c r="BA8" i="24"/>
  <c r="BB7" i="24"/>
  <c r="BA7" i="24"/>
  <c r="BB6" i="24"/>
  <c r="BA6" i="24"/>
  <c r="BF8" i="24"/>
  <c r="BE8" i="24"/>
  <c r="BF7" i="24"/>
  <c r="BE7" i="24"/>
  <c r="BF6" i="24"/>
  <c r="BE6" i="24"/>
  <c r="BD17" i="61"/>
  <c r="BB17" i="61"/>
  <c r="BF17" i="61"/>
  <c r="AZ17" i="61"/>
  <c r="BD15" i="52" l="1"/>
  <c r="BC14" i="52"/>
  <c r="BD12" i="52"/>
  <c r="BC10" i="52"/>
  <c r="BD9" i="52"/>
  <c r="BC6" i="52"/>
  <c r="BB15" i="52"/>
  <c r="BA15" i="52"/>
  <c r="BC15" i="52" s="1"/>
  <c r="BB14" i="52"/>
  <c r="BD14" i="52" s="1"/>
  <c r="BA14" i="52"/>
  <c r="BB13" i="52"/>
  <c r="BD13" i="52" s="1"/>
  <c r="BA13" i="52"/>
  <c r="BC13" i="52" s="1"/>
  <c r="BB12" i="52"/>
  <c r="BA12" i="52"/>
  <c r="BC12" i="52" s="1"/>
  <c r="BB11" i="52"/>
  <c r="BD11" i="52" s="1"/>
  <c r="BA11" i="52"/>
  <c r="BC11" i="52" s="1"/>
  <c r="BB10" i="52"/>
  <c r="BD10" i="52" s="1"/>
  <c r="BA10" i="52"/>
  <c r="BB9" i="52"/>
  <c r="BA9" i="52"/>
  <c r="BC9" i="52" s="1"/>
  <c r="BB7" i="52"/>
  <c r="BD7" i="52" s="1"/>
  <c r="BA7" i="52"/>
  <c r="BC7" i="52" s="1"/>
  <c r="BB6" i="52"/>
  <c r="BD6" i="52" s="1"/>
  <c r="BA6" i="52"/>
  <c r="BB5" i="52"/>
  <c r="BD5" i="52" s="1"/>
  <c r="BA5" i="52"/>
  <c r="AZ16" i="52"/>
  <c r="AY16" i="52"/>
  <c r="AZ8" i="52"/>
  <c r="AY8" i="52"/>
  <c r="AY37" i="27"/>
  <c r="AY35" i="27"/>
  <c r="AY27" i="27"/>
  <c r="AY29" i="27"/>
  <c r="AY28" i="27"/>
  <c r="AY20" i="27"/>
  <c r="AY19" i="27"/>
  <c r="AY18" i="27"/>
  <c r="AZ17" i="52" l="1"/>
  <c r="BA8" i="52"/>
  <c r="BC5" i="52"/>
  <c r="AY17" i="52"/>
  <c r="BB16" i="52"/>
  <c r="BA16" i="52"/>
  <c r="BC16" i="52"/>
  <c r="BD8" i="52"/>
  <c r="BB8" i="52"/>
  <c r="BC8" i="52"/>
  <c r="BD16" i="52"/>
  <c r="AX20" i="27"/>
  <c r="BD17" i="52" l="1"/>
  <c r="BA17" i="52"/>
  <c r="BC17" i="52"/>
  <c r="BB17" i="52"/>
  <c r="BC36" i="27" l="1"/>
  <c r="BC35" i="27"/>
  <c r="BB32" i="27"/>
  <c r="BC31" i="27"/>
  <c r="BC26" i="27"/>
  <c r="BC22" i="27"/>
  <c r="BC21" i="27"/>
  <c r="BC20" i="27"/>
  <c r="BC15" i="27"/>
  <c r="BB13" i="27"/>
  <c r="BB12" i="27"/>
  <c r="BC9" i="27"/>
  <c r="BB6" i="27"/>
  <c r="BC2" i="27"/>
  <c r="BB2" i="27"/>
  <c r="BA38" i="27"/>
  <c r="BC38" i="27" s="1"/>
  <c r="AZ38" i="27"/>
  <c r="BB38" i="27" s="1"/>
  <c r="BA37" i="27"/>
  <c r="BC37" i="27" s="1"/>
  <c r="BA36" i="27"/>
  <c r="AZ36" i="27"/>
  <c r="BB36" i="27" s="1"/>
  <c r="BA35" i="27"/>
  <c r="AZ35" i="27"/>
  <c r="BA32" i="27"/>
  <c r="BC32" i="27" s="1"/>
  <c r="AZ32" i="27"/>
  <c r="BA31" i="27"/>
  <c r="AZ31" i="27"/>
  <c r="BB31" i="27" s="1"/>
  <c r="AZ30" i="27"/>
  <c r="BB30" i="27" s="1"/>
  <c r="BA28" i="27"/>
  <c r="BC28" i="27" s="1"/>
  <c r="AZ28" i="27"/>
  <c r="BB28" i="27" s="1"/>
  <c r="BA27" i="27"/>
  <c r="BC27" i="27" s="1"/>
  <c r="AZ27" i="27"/>
  <c r="BB27" i="27" s="1"/>
  <c r="BA23" i="27"/>
  <c r="BC23" i="27" s="1"/>
  <c r="AZ23" i="27"/>
  <c r="BB23" i="27" s="1"/>
  <c r="BA21" i="27"/>
  <c r="AZ21" i="27"/>
  <c r="BB21" i="27" s="1"/>
  <c r="BA20" i="27"/>
  <c r="AZ20" i="27"/>
  <c r="BB20" i="27" s="1"/>
  <c r="BA18" i="27"/>
  <c r="BC18" i="27" s="1"/>
  <c r="AZ18" i="27"/>
  <c r="BB18" i="27" s="1"/>
  <c r="BA15" i="27"/>
  <c r="AZ15" i="27"/>
  <c r="BB15" i="27" s="1"/>
  <c r="BA14" i="27"/>
  <c r="BC14" i="27" s="1"/>
  <c r="AZ14" i="27"/>
  <c r="BB14" i="27" s="1"/>
  <c r="BA13" i="27"/>
  <c r="BC13" i="27" s="1"/>
  <c r="AZ13" i="27"/>
  <c r="BA12" i="27"/>
  <c r="BC12" i="27" s="1"/>
  <c r="AZ12" i="27"/>
  <c r="BA11" i="27"/>
  <c r="BC11" i="27" s="1"/>
  <c r="AZ11" i="27"/>
  <c r="BB11" i="27" s="1"/>
  <c r="BA10" i="27"/>
  <c r="BC10" i="27" s="1"/>
  <c r="AZ10" i="27"/>
  <c r="BB10" i="27" s="1"/>
  <c r="BA9" i="27"/>
  <c r="AZ9" i="27"/>
  <c r="BB9" i="27" s="1"/>
  <c r="BA8" i="27"/>
  <c r="BC8" i="27" s="1"/>
  <c r="AZ8" i="27"/>
  <c r="BB8" i="27" s="1"/>
  <c r="BA7" i="27"/>
  <c r="BC7" i="27" s="1"/>
  <c r="AZ7" i="27"/>
  <c r="BB7" i="27" s="1"/>
  <c r="BA6" i="27"/>
  <c r="BC6" i="27" s="1"/>
  <c r="AZ6" i="27"/>
  <c r="BA2" i="27"/>
  <c r="BA29" i="27" s="1"/>
  <c r="BC29" i="27" s="1"/>
  <c r="AZ2" i="27"/>
  <c r="AZ37" i="27" s="1"/>
  <c r="BB37" i="27" s="1"/>
  <c r="AX39" i="27"/>
  <c r="BE38" i="27"/>
  <c r="BD38" i="27"/>
  <c r="AY36" i="27"/>
  <c r="AX33" i="27"/>
  <c r="BE32" i="27"/>
  <c r="BD32" i="27"/>
  <c r="AY26" i="27"/>
  <c r="AY33" i="27" s="1"/>
  <c r="AX24" i="27"/>
  <c r="BE23" i="27"/>
  <c r="BD23" i="27"/>
  <c r="AY21" i="27"/>
  <c r="AY24" i="27"/>
  <c r="BE15" i="27"/>
  <c r="BD15" i="27"/>
  <c r="BE14" i="27"/>
  <c r="BD14" i="27"/>
  <c r="BE13" i="27"/>
  <c r="BD13" i="27"/>
  <c r="BE12" i="27"/>
  <c r="BD12" i="27"/>
  <c r="BE11" i="27"/>
  <c r="BD11" i="27"/>
  <c r="BE10" i="27"/>
  <c r="BD10" i="27"/>
  <c r="BE9" i="27"/>
  <c r="BD9" i="27"/>
  <c r="BE8" i="27"/>
  <c r="BD8" i="27"/>
  <c r="BE7" i="27"/>
  <c r="BD7" i="27"/>
  <c r="BE6" i="27"/>
  <c r="BD6" i="27"/>
  <c r="BE2" i="27"/>
  <c r="BD2" i="27"/>
  <c r="AZ11" i="15"/>
  <c r="BD10" i="15"/>
  <c r="BB10" i="15"/>
  <c r="AZ10" i="15"/>
  <c r="BE9" i="15"/>
  <c r="BD9" i="15"/>
  <c r="BC9" i="15"/>
  <c r="BB9" i="15"/>
  <c r="BA9" i="15"/>
  <c r="AZ9" i="15"/>
  <c r="BE8" i="15"/>
  <c r="BD8" i="15"/>
  <c r="BC8" i="15"/>
  <c r="BB8" i="15"/>
  <c r="BA8" i="15"/>
  <c r="AZ8" i="15"/>
  <c r="BD7" i="15"/>
  <c r="BB7" i="15"/>
  <c r="AZ7" i="15"/>
  <c r="BD6" i="15"/>
  <c r="BB6" i="15"/>
  <c r="AZ6" i="15"/>
  <c r="BD5" i="15"/>
  <c r="BB5" i="15"/>
  <c r="AZ5" i="15"/>
  <c r="AZ21" i="15"/>
  <c r="BC17" i="15"/>
  <c r="BB17" i="15"/>
  <c r="BA17" i="15"/>
  <c r="AZ17" i="15"/>
  <c r="AY30" i="15"/>
  <c r="AY29" i="15"/>
  <c r="AY28" i="15"/>
  <c r="AY24" i="15"/>
  <c r="AY23" i="15"/>
  <c r="AY22" i="15"/>
  <c r="AY21" i="15"/>
  <c r="AY20" i="15"/>
  <c r="AX18" i="15"/>
  <c r="BE17" i="15"/>
  <c r="BD17" i="15"/>
  <c r="AY17" i="15"/>
  <c r="AX17" i="15"/>
  <c r="AY14" i="15"/>
  <c r="AX11" i="15"/>
  <c r="AX12" i="15" s="1"/>
  <c r="AY10" i="15"/>
  <c r="AY9" i="15"/>
  <c r="AX9" i="15"/>
  <c r="AY8" i="15"/>
  <c r="AX8" i="15"/>
  <c r="AY7" i="15"/>
  <c r="AX7" i="15"/>
  <c r="AY6" i="15"/>
  <c r="AX6" i="15"/>
  <c r="AY5" i="15"/>
  <c r="AX5" i="15"/>
  <c r="AZ12" i="15" l="1"/>
  <c r="BB11" i="15"/>
  <c r="BA39" i="27"/>
  <c r="AZ39" i="27"/>
  <c r="BB35" i="27"/>
  <c r="BB39" i="27" s="1"/>
  <c r="BC39" i="27"/>
  <c r="BC33" i="27"/>
  <c r="AZ19" i="27"/>
  <c r="BB19" i="27" s="1"/>
  <c r="BB24" i="27" s="1"/>
  <c r="AZ22" i="27"/>
  <c r="BB22" i="27" s="1"/>
  <c r="AZ26" i="27"/>
  <c r="AZ29" i="27"/>
  <c r="BB29" i="27" s="1"/>
  <c r="BA19" i="27"/>
  <c r="BA22" i="27"/>
  <c r="BA26" i="27"/>
  <c r="BA33" i="27" s="1"/>
  <c r="BE27" i="27"/>
  <c r="BE29" i="27"/>
  <c r="BE26" i="27"/>
  <c r="BE28" i="27"/>
  <c r="AY39" i="27"/>
  <c r="BB12" i="15"/>
  <c r="AX14" i="15"/>
  <c r="AX15" i="15" s="1"/>
  <c r="AY31" i="15"/>
  <c r="BD3" i="22"/>
  <c r="BC3" i="22"/>
  <c r="BD31" i="22"/>
  <c r="BD30" i="22"/>
  <c r="BD27" i="22"/>
  <c r="BD25" i="22"/>
  <c r="BD24" i="22"/>
  <c r="BD22" i="22"/>
  <c r="BD21" i="22"/>
  <c r="BD19" i="22"/>
  <c r="BD18" i="22"/>
  <c r="BD17" i="22"/>
  <c r="BD16" i="22"/>
  <c r="BD15" i="22"/>
  <c r="BD13" i="22"/>
  <c r="BD11" i="22"/>
  <c r="BD10" i="22"/>
  <c r="BD8" i="22"/>
  <c r="BD7" i="22"/>
  <c r="BD23" i="22"/>
  <c r="BD14" i="22"/>
  <c r="BB31" i="22"/>
  <c r="BB30" i="22"/>
  <c r="BB27" i="22"/>
  <c r="BB28" i="22" s="1"/>
  <c r="BB25" i="22"/>
  <c r="BB26" i="22" s="1"/>
  <c r="BB24" i="22"/>
  <c r="BB22" i="22"/>
  <c r="BB23" i="22" s="1"/>
  <c r="BB21" i="22"/>
  <c r="BB15" i="22"/>
  <c r="BB13" i="22"/>
  <c r="BB11" i="22"/>
  <c r="BB19" i="22" s="1"/>
  <c r="BB10" i="22"/>
  <c r="BB8" i="22"/>
  <c r="BB9" i="22" s="1"/>
  <c r="BB7" i="22"/>
  <c r="BB3" i="22"/>
  <c r="BA3" i="22"/>
  <c r="AY34" i="15" l="1"/>
  <c r="AY15" i="15" s="1"/>
  <c r="AY16" i="15" s="1"/>
  <c r="BA24" i="27"/>
  <c r="BC19" i="27"/>
  <c r="AZ24" i="27"/>
  <c r="AZ33" i="27"/>
  <c r="BB26" i="27"/>
  <c r="BC24" i="27"/>
  <c r="BB33" i="27"/>
  <c r="BD9" i="22"/>
  <c r="BD28" i="22"/>
  <c r="BD26" i="22"/>
  <c r="BD12" i="22"/>
  <c r="BB14" i="22"/>
  <c r="BB17" i="22"/>
  <c r="BB12" i="22"/>
  <c r="BB18" i="22"/>
  <c r="BB16" i="22"/>
  <c r="BF31" i="22"/>
  <c r="BF30" i="22"/>
  <c r="AZ28" i="22"/>
  <c r="BF27" i="22"/>
  <c r="BF25" i="22"/>
  <c r="AZ24" i="22"/>
  <c r="AZ26" i="22" s="1"/>
  <c r="AZ23" i="22"/>
  <c r="BF22" i="22"/>
  <c r="BF21" i="22"/>
  <c r="BF19" i="22"/>
  <c r="BF18" i="22"/>
  <c r="BF17" i="22"/>
  <c r="BF16" i="22"/>
  <c r="AZ14" i="22"/>
  <c r="BF13" i="22"/>
  <c r="BF11" i="22"/>
  <c r="AZ10" i="22"/>
  <c r="BF15" i="22" s="1"/>
  <c r="AZ9" i="22"/>
  <c r="BF8" i="22"/>
  <c r="BF7" i="22"/>
  <c r="BF3" i="22"/>
  <c r="BE3" i="22"/>
  <c r="BE89" i="17"/>
  <c r="AC9" i="17"/>
  <c r="BC97" i="17"/>
  <c r="BC102" i="17"/>
  <c r="BC103" i="17"/>
  <c r="BC104" i="17"/>
  <c r="BC105" i="17"/>
  <c r="BC106" i="17"/>
  <c r="BC107" i="17"/>
  <c r="BC108" i="17"/>
  <c r="BE85" i="17"/>
  <c r="BD85" i="17"/>
  <c r="BC85" i="17"/>
  <c r="BB85" i="17"/>
  <c r="BA85" i="17"/>
  <c r="AZ85" i="17"/>
  <c r="BE84" i="17"/>
  <c r="BD84" i="17"/>
  <c r="BC84" i="17"/>
  <c r="BB84" i="17"/>
  <c r="BA84" i="17"/>
  <c r="AZ84" i="17"/>
  <c r="BE83" i="17"/>
  <c r="BD83" i="17"/>
  <c r="BC83" i="17"/>
  <c r="BB83" i="17"/>
  <c r="BA83" i="17"/>
  <c r="AZ83" i="17"/>
  <c r="BE82" i="17"/>
  <c r="BD82" i="17"/>
  <c r="BC82" i="17"/>
  <c r="BB82" i="17"/>
  <c r="BA82" i="17"/>
  <c r="AZ82" i="17"/>
  <c r="BB64" i="17"/>
  <c r="BB56" i="17"/>
  <c r="BC51" i="17"/>
  <c r="BB51" i="17"/>
  <c r="BB47" i="17"/>
  <c r="BC45" i="17"/>
  <c r="BB45" i="17"/>
  <c r="BB43" i="17"/>
  <c r="BC26" i="17"/>
  <c r="BB26" i="17"/>
  <c r="BC25" i="17"/>
  <c r="BB25" i="17"/>
  <c r="BB24" i="17"/>
  <c r="BB23" i="17"/>
  <c r="BF28" i="22" l="1"/>
  <c r="BF23" i="22"/>
  <c r="BF14" i="22"/>
  <c r="BF9" i="22"/>
  <c r="BF24" i="22"/>
  <c r="BF26" i="22"/>
  <c r="AZ12" i="22"/>
  <c r="BF10" i="22"/>
  <c r="BF12" i="22" s="1"/>
  <c r="BF217" i="6" l="1"/>
  <c r="BB20" i="17" l="1"/>
  <c r="BB18" i="17"/>
  <c r="BB17" i="17"/>
  <c r="BB15" i="17"/>
  <c r="BC8" i="17"/>
  <c r="BC7" i="17"/>
  <c r="BC2" i="17"/>
  <c r="BB2" i="17"/>
  <c r="BC46" i="17"/>
  <c r="BB46" i="17"/>
  <c r="BB29" i="17"/>
  <c r="BC112" i="17"/>
  <c r="BA108" i="17"/>
  <c r="BA107" i="17"/>
  <c r="BA106" i="17"/>
  <c r="BA105" i="17"/>
  <c r="BA104" i="17"/>
  <c r="BA103" i="17"/>
  <c r="BA102" i="17"/>
  <c r="BA101" i="17"/>
  <c r="BC101" i="17" s="1"/>
  <c r="BA100" i="17"/>
  <c r="BC100" i="17" s="1"/>
  <c r="BA99" i="17"/>
  <c r="BC99" i="17" s="1"/>
  <c r="BA98" i="17"/>
  <c r="BC98" i="17" s="1"/>
  <c r="BA97" i="17"/>
  <c r="BA96" i="17"/>
  <c r="BC96" i="17" s="1"/>
  <c r="BA95" i="17"/>
  <c r="BC95" i="17" s="1"/>
  <c r="BA94" i="17"/>
  <c r="BC94" i="17" s="1"/>
  <c r="BA93" i="17"/>
  <c r="BC93" i="17" s="1"/>
  <c r="BA92" i="17"/>
  <c r="BC92" i="17" s="1"/>
  <c r="BA91" i="17"/>
  <c r="BC91" i="17" s="1"/>
  <c r="BA88" i="17"/>
  <c r="BC88" i="17" s="1"/>
  <c r="AZ88" i="17"/>
  <c r="BA87" i="17"/>
  <c r="BC87" i="17" s="1"/>
  <c r="AZ87" i="17"/>
  <c r="BB87" i="17" s="1"/>
  <c r="BA86" i="17"/>
  <c r="BC86" i="17" s="1"/>
  <c r="AZ86" i="17"/>
  <c r="AZ80" i="17"/>
  <c r="BB80" i="17" s="1"/>
  <c r="AZ79" i="17"/>
  <c r="AZ76" i="17"/>
  <c r="BB76" i="17" s="1"/>
  <c r="AZ75" i="17"/>
  <c r="BB75" i="17" s="1"/>
  <c r="AZ73" i="17"/>
  <c r="BB73" i="17" s="1"/>
  <c r="AZ72" i="17"/>
  <c r="BB72" i="17" s="1"/>
  <c r="AZ70" i="17"/>
  <c r="BB70" i="17" s="1"/>
  <c r="AZ65" i="17"/>
  <c r="BB65" i="17" s="1"/>
  <c r="AZ64" i="17"/>
  <c r="AZ66" i="17" s="1"/>
  <c r="AZ68" i="17" s="1"/>
  <c r="BA60" i="17"/>
  <c r="BC60" i="17" s="1"/>
  <c r="BA57" i="17"/>
  <c r="BC57" i="17" s="1"/>
  <c r="BA56" i="17"/>
  <c r="BA51" i="17"/>
  <c r="BA47" i="17"/>
  <c r="AZ46" i="17"/>
  <c r="BA45" i="17"/>
  <c r="AZ45" i="17"/>
  <c r="BA41" i="17"/>
  <c r="BA39" i="17"/>
  <c r="BA37" i="17"/>
  <c r="AZ29" i="17"/>
  <c r="BA26" i="17"/>
  <c r="AZ26" i="17"/>
  <c r="BA25" i="17"/>
  <c r="AZ25" i="17"/>
  <c r="BA24" i="17"/>
  <c r="BC24" i="17" s="1"/>
  <c r="AZ24" i="17"/>
  <c r="BA23" i="17"/>
  <c r="BC23" i="17" s="1"/>
  <c r="AZ23" i="17"/>
  <c r="BA20" i="17"/>
  <c r="BC20" i="17" s="1"/>
  <c r="AZ20" i="17"/>
  <c r="BA19" i="17"/>
  <c r="BC19" i="17" s="1"/>
  <c r="AZ19" i="17"/>
  <c r="BA18" i="17"/>
  <c r="BC18" i="17" s="1"/>
  <c r="AZ18" i="17"/>
  <c r="BA17" i="17"/>
  <c r="AZ17" i="17"/>
  <c r="AZ21" i="17" s="1"/>
  <c r="AZ15" i="17"/>
  <c r="AZ12" i="17"/>
  <c r="BA9" i="17"/>
  <c r="BA13" i="17" s="1"/>
  <c r="AZ9" i="17"/>
  <c r="BB9" i="17" s="1"/>
  <c r="BB13" i="17" s="1"/>
  <c r="BA8" i="17"/>
  <c r="BA12" i="17" s="1"/>
  <c r="BA7" i="17"/>
  <c r="BA11" i="17" s="1"/>
  <c r="AZ7" i="17"/>
  <c r="BB7" i="17" s="1"/>
  <c r="BA2" i="17"/>
  <c r="BA70" i="17" s="1"/>
  <c r="BC70" i="17" s="1"/>
  <c r="AZ2" i="17"/>
  <c r="AZ74" i="17" s="1"/>
  <c r="BB74" i="17" s="1"/>
  <c r="AX113" i="17"/>
  <c r="BE108" i="17"/>
  <c r="BE107" i="17"/>
  <c r="BE106" i="17"/>
  <c r="BE105" i="17"/>
  <c r="BE104" i="17"/>
  <c r="BE103" i="17"/>
  <c r="BE102" i="17"/>
  <c r="BE101" i="17"/>
  <c r="BE100" i="17"/>
  <c r="BE99" i="17"/>
  <c r="BE98" i="17"/>
  <c r="BE97" i="17"/>
  <c r="BE96" i="17"/>
  <c r="BE95" i="17"/>
  <c r="BE94" i="17"/>
  <c r="BE93" i="17"/>
  <c r="BE92" i="17"/>
  <c r="BE91" i="17"/>
  <c r="BE88" i="17"/>
  <c r="BD88" i="17"/>
  <c r="AY85" i="17"/>
  <c r="AX85" i="17"/>
  <c r="AY84" i="17"/>
  <c r="AX84" i="17"/>
  <c r="AY83" i="17"/>
  <c r="AX83" i="17"/>
  <c r="AY82" i="17"/>
  <c r="AX82" i="17"/>
  <c r="AY81" i="17"/>
  <c r="AX81" i="17"/>
  <c r="AY77" i="17"/>
  <c r="AX77" i="17"/>
  <c r="AY66" i="17"/>
  <c r="AY68" i="17" s="1"/>
  <c r="AX66" i="17"/>
  <c r="AX68" i="17" s="1"/>
  <c r="AX60" i="17"/>
  <c r="AZ60" i="17" s="1"/>
  <c r="BB60" i="17" s="1"/>
  <c r="AY58" i="17"/>
  <c r="AX57" i="17"/>
  <c r="AZ57" i="17" s="1"/>
  <c r="BB57" i="17" s="1"/>
  <c r="AX56" i="17"/>
  <c r="AY51" i="17"/>
  <c r="AX51" i="17"/>
  <c r="AZ51" i="17" s="1"/>
  <c r="AX50" i="17"/>
  <c r="AX54" i="17" s="1"/>
  <c r="AY48" i="17"/>
  <c r="AX47" i="17"/>
  <c r="AZ47" i="17" s="1"/>
  <c r="AY46" i="17"/>
  <c r="BE45" i="17"/>
  <c r="AX45" i="17"/>
  <c r="AY43" i="17"/>
  <c r="AY44" i="17" s="1"/>
  <c r="AX43" i="17"/>
  <c r="BD43" i="17" s="1"/>
  <c r="BD44" i="17" s="1"/>
  <c r="AY42" i="17"/>
  <c r="BE41" i="17"/>
  <c r="AY40" i="17"/>
  <c r="BE39" i="17"/>
  <c r="AY38" i="17"/>
  <c r="BE37" i="17"/>
  <c r="AY25" i="17"/>
  <c r="AX25" i="17"/>
  <c r="AY21" i="17"/>
  <c r="AY15" i="17" s="1"/>
  <c r="AY30" i="17" s="1"/>
  <c r="AX20" i="17"/>
  <c r="AX18" i="17"/>
  <c r="BD18" i="17" s="1"/>
  <c r="BE17" i="17"/>
  <c r="AX17" i="17"/>
  <c r="BD17" i="17" s="1"/>
  <c r="AX15" i="17"/>
  <c r="AX29" i="17" s="1"/>
  <c r="AX14" i="17"/>
  <c r="AY13" i="17"/>
  <c r="AY11" i="17"/>
  <c r="AY8" i="17"/>
  <c r="AY10" i="17" s="1"/>
  <c r="AX8" i="17"/>
  <c r="AZ8" i="17" s="1"/>
  <c r="BE2" i="17"/>
  <c r="BD2" i="17"/>
  <c r="BD65" i="17" s="1"/>
  <c r="BA21" i="17" l="1"/>
  <c r="BA34" i="17" s="1"/>
  <c r="BC17" i="17"/>
  <c r="BC21" i="17"/>
  <c r="BA15" i="17"/>
  <c r="BA29" i="17" s="1"/>
  <c r="BA31" i="17"/>
  <c r="BA48" i="17"/>
  <c r="BC47" i="17"/>
  <c r="BA42" i="17"/>
  <c r="BC41" i="17"/>
  <c r="BA40" i="17"/>
  <c r="BC39" i="17"/>
  <c r="BA38" i="17"/>
  <c r="BC37" i="17"/>
  <c r="BC38" i="17" s="1"/>
  <c r="BA58" i="17"/>
  <c r="BC56" i="17"/>
  <c r="BC58" i="17" s="1"/>
  <c r="BC59" i="17" s="1"/>
  <c r="AZ81" i="17"/>
  <c r="BB79" i="17"/>
  <c r="AX58" i="17"/>
  <c r="AZ56" i="17"/>
  <c r="BB52" i="17"/>
  <c r="AZ52" i="17"/>
  <c r="AZ113" i="17"/>
  <c r="AZ48" i="17"/>
  <c r="BB48" i="17"/>
  <c r="AZ43" i="17"/>
  <c r="AX49" i="17"/>
  <c r="AX110" i="17" s="1"/>
  <c r="AZ112" i="17"/>
  <c r="BB8" i="17"/>
  <c r="BB112" i="17" s="1"/>
  <c r="BB12" i="17"/>
  <c r="BB113" i="17" s="1"/>
  <c r="AX112" i="17"/>
  <c r="AZ13" i="17"/>
  <c r="AZ14" i="17" s="1"/>
  <c r="BB21" i="17"/>
  <c r="BB33" i="17" s="1"/>
  <c r="BC42" i="17"/>
  <c r="BC40" i="17"/>
  <c r="BC11" i="17"/>
  <c r="BC48" i="17"/>
  <c r="BC52" i="17"/>
  <c r="BB32" i="17"/>
  <c r="BB31" i="17"/>
  <c r="BB30" i="17"/>
  <c r="BC12" i="17"/>
  <c r="BB66" i="17"/>
  <c r="BB68" i="17" s="1"/>
  <c r="BB81" i="17"/>
  <c r="BB10" i="17"/>
  <c r="BB14" i="17"/>
  <c r="BC61" i="17"/>
  <c r="AZ34" i="17"/>
  <c r="BB34" i="17" s="1"/>
  <c r="AZ33" i="17"/>
  <c r="AZ30" i="17"/>
  <c r="AZ32" i="17"/>
  <c r="BA14" i="17"/>
  <c r="BA59" i="17"/>
  <c r="BA61" i="17"/>
  <c r="BA89" i="17"/>
  <c r="BC89" i="17" s="1"/>
  <c r="AZ31" i="17"/>
  <c r="BA67" i="17"/>
  <c r="BC67" i="17" s="1"/>
  <c r="BA71" i="17"/>
  <c r="BC71" i="17" s="1"/>
  <c r="AZ10" i="17"/>
  <c r="BA43" i="17"/>
  <c r="BC43" i="17" s="1"/>
  <c r="BC44" i="17" s="1"/>
  <c r="BA46" i="17"/>
  <c r="BA52" i="17"/>
  <c r="BA113" i="17" s="1"/>
  <c r="BA64" i="17"/>
  <c r="BC64" i="17" s="1"/>
  <c r="BA10" i="17"/>
  <c r="AZ44" i="17"/>
  <c r="AZ50" i="17" s="1"/>
  <c r="BA72" i="17"/>
  <c r="BA75" i="17"/>
  <c r="BC75" i="17" s="1"/>
  <c r="BA79" i="17"/>
  <c r="BA65" i="17"/>
  <c r="BC65" i="17" s="1"/>
  <c r="BA73" i="17"/>
  <c r="BC73" i="17" s="1"/>
  <c r="BA76" i="17"/>
  <c r="BC76" i="17" s="1"/>
  <c r="BA80" i="17"/>
  <c r="BC80" i="17" s="1"/>
  <c r="BA112" i="17"/>
  <c r="AZ71" i="17"/>
  <c r="BA74" i="17"/>
  <c r="BC74" i="17" s="1"/>
  <c r="AY12" i="17"/>
  <c r="AY112" i="17"/>
  <c r="AY52" i="17"/>
  <c r="AX111" i="17"/>
  <c r="AX115" i="17" s="1"/>
  <c r="AY32" i="17"/>
  <c r="BE40" i="17"/>
  <c r="BE64" i="17"/>
  <c r="BE42" i="17"/>
  <c r="BE46" i="17"/>
  <c r="BE38" i="17"/>
  <c r="BD12" i="17"/>
  <c r="BD64" i="17"/>
  <c r="BD66" i="17"/>
  <c r="BD68" i="17" s="1"/>
  <c r="AX61" i="17"/>
  <c r="AX59" i="17"/>
  <c r="AY31" i="17"/>
  <c r="BD45" i="17"/>
  <c r="BD46" i="17" s="1"/>
  <c r="AY49" i="17"/>
  <c r="AX10" i="17"/>
  <c r="AX21" i="17"/>
  <c r="AX32" i="17" s="1"/>
  <c r="BE43" i="17"/>
  <c r="AY33" i="17"/>
  <c r="AY29" i="17"/>
  <c r="AY61" i="17"/>
  <c r="BE65" i="17"/>
  <c r="BD15" i="17"/>
  <c r="BD29" i="17" s="1"/>
  <c r="AY59" i="17"/>
  <c r="BE67" i="17"/>
  <c r="BB329" i="28"/>
  <c r="BD329" i="28" s="1"/>
  <c r="AX329" i="28"/>
  <c r="BF329" i="28" s="1"/>
  <c r="BB341" i="28"/>
  <c r="BB338" i="28"/>
  <c r="BB339" i="28"/>
  <c r="BD339" i="28" s="1"/>
  <c r="BB340" i="28"/>
  <c r="AX339" i="28"/>
  <c r="BF339" i="28" s="1"/>
  <c r="BB250" i="28"/>
  <c r="BD250" i="28" s="1"/>
  <c r="AX250" i="28"/>
  <c r="BF250" i="28" s="1"/>
  <c r="BB290" i="28"/>
  <c r="BD290" i="28" s="1"/>
  <c r="BB291" i="28"/>
  <c r="AX290" i="28"/>
  <c r="BF290" i="28" s="1"/>
  <c r="BB103" i="28"/>
  <c r="BD103" i="28" s="1"/>
  <c r="AX103" i="28"/>
  <c r="BF103" i="28" s="1"/>
  <c r="BB145" i="28"/>
  <c r="BD145" i="28" s="1"/>
  <c r="AX145" i="28"/>
  <c r="BF145" i="28" s="1"/>
  <c r="BB104" i="28"/>
  <c r="BD104" i="28" s="1"/>
  <c r="AX104" i="28"/>
  <c r="BF104" i="28" s="1"/>
  <c r="BB117" i="28"/>
  <c r="BD117" i="28" s="1"/>
  <c r="AX117" i="28"/>
  <c r="BF117" i="28" s="1"/>
  <c r="BA30" i="17" l="1"/>
  <c r="BC15" i="17"/>
  <c r="BA33" i="17"/>
  <c r="BA32" i="17"/>
  <c r="BC34" i="17"/>
  <c r="BC49" i="17"/>
  <c r="BA81" i="17"/>
  <c r="BC79" i="17"/>
  <c r="BC81" i="17" s="1"/>
  <c r="BA77" i="17"/>
  <c r="BC72" i="17"/>
  <c r="BC66" i="17"/>
  <c r="BC68" i="17" s="1"/>
  <c r="AZ77" i="17"/>
  <c r="BB71" i="17"/>
  <c r="BC113" i="17"/>
  <c r="AZ58" i="17"/>
  <c r="BB58" i="17"/>
  <c r="AX53" i="17"/>
  <c r="AZ49" i="17"/>
  <c r="AX114" i="17"/>
  <c r="BC77" i="17"/>
  <c r="BB77" i="17"/>
  <c r="BC110" i="17"/>
  <c r="BC114" i="17" s="1"/>
  <c r="BC53" i="17"/>
  <c r="BC54" i="17" s="1"/>
  <c r="BC50" i="17"/>
  <c r="BC111" i="17" s="1"/>
  <c r="BC115" i="17" s="1"/>
  <c r="BA66" i="17"/>
  <c r="BA68" i="17" s="1"/>
  <c r="BA44" i="17"/>
  <c r="BA49" i="17"/>
  <c r="AZ111" i="17"/>
  <c r="AZ115" i="17" s="1"/>
  <c r="AZ54" i="17"/>
  <c r="AY113" i="17"/>
  <c r="AY14" i="17"/>
  <c r="BE66" i="17"/>
  <c r="BE68" i="17" s="1"/>
  <c r="AY53" i="17"/>
  <c r="AY54" i="17" s="1"/>
  <c r="AY110" i="17"/>
  <c r="AY114" i="17" s="1"/>
  <c r="AY50" i="17"/>
  <c r="AY111" i="17" s="1"/>
  <c r="AY115" i="17" s="1"/>
  <c r="AX33" i="17"/>
  <c r="AX30" i="17"/>
  <c r="AX31" i="17"/>
  <c r="BE44" i="17"/>
  <c r="BG86" i="45"/>
  <c r="BF84" i="8"/>
  <c r="AZ103" i="9"/>
  <c r="AA129" i="73"/>
  <c r="AA130" i="73"/>
  <c r="AA172" i="73"/>
  <c r="AA182" i="73"/>
  <c r="BA216" i="73"/>
  <c r="BA214" i="73"/>
  <c r="BA213" i="73"/>
  <c r="BA212" i="73"/>
  <c r="BA211" i="73"/>
  <c r="BA209" i="73"/>
  <c r="BA207" i="73"/>
  <c r="BA205" i="73"/>
  <c r="BA203" i="73"/>
  <c r="BA202" i="73"/>
  <c r="BA201" i="73"/>
  <c r="BA200" i="73"/>
  <c r="BA198" i="73"/>
  <c r="BA197" i="73"/>
  <c r="BA196" i="73"/>
  <c r="BA194" i="73"/>
  <c r="BA191" i="73"/>
  <c r="BA189" i="73"/>
  <c r="BA187" i="73"/>
  <c r="BA186" i="73"/>
  <c r="BA185" i="73"/>
  <c r="BA181" i="73"/>
  <c r="BA180" i="73"/>
  <c r="BA179" i="73"/>
  <c r="BA178" i="73"/>
  <c r="BA177" i="73"/>
  <c r="BA176" i="73"/>
  <c r="BA175" i="73"/>
  <c r="BA174" i="73"/>
  <c r="BA170" i="73"/>
  <c r="BA169" i="73"/>
  <c r="BA168" i="73"/>
  <c r="BA167" i="73"/>
  <c r="BA166" i="73"/>
  <c r="BA165" i="73"/>
  <c r="BA164" i="73"/>
  <c r="BA163" i="73"/>
  <c r="BA161" i="73"/>
  <c r="BA160" i="73"/>
  <c r="BA159" i="73"/>
  <c r="BA158" i="73"/>
  <c r="BA157" i="73"/>
  <c r="BA156" i="73"/>
  <c r="BA155" i="73"/>
  <c r="BA154" i="73"/>
  <c r="BA153" i="73"/>
  <c r="BA152" i="73"/>
  <c r="BA151" i="73"/>
  <c r="BA150" i="73"/>
  <c r="BA149" i="73"/>
  <c r="BA148" i="73"/>
  <c r="BA147" i="73"/>
  <c r="BA146" i="73"/>
  <c r="BA145" i="73"/>
  <c r="BA144" i="73"/>
  <c r="BA143" i="73"/>
  <c r="BA142" i="73"/>
  <c r="BA141" i="73"/>
  <c r="BA140" i="73"/>
  <c r="BA139" i="73"/>
  <c r="BA138" i="73"/>
  <c r="BA137" i="73"/>
  <c r="BA136" i="73"/>
  <c r="BA135" i="73"/>
  <c r="BA134" i="73"/>
  <c r="BA133" i="73"/>
  <c r="BA132" i="73"/>
  <c r="BA131" i="73"/>
  <c r="BA127" i="73"/>
  <c r="BA126" i="73"/>
  <c r="BA124" i="73"/>
  <c r="BA122" i="73"/>
  <c r="BA121" i="73"/>
  <c r="BA119" i="73"/>
  <c r="BA118" i="73"/>
  <c r="BA117" i="73"/>
  <c r="BA112" i="73"/>
  <c r="BA111" i="73"/>
  <c r="BA109" i="73"/>
  <c r="BA10" i="15" s="1"/>
  <c r="BA108" i="73"/>
  <c r="BA107" i="73"/>
  <c r="BA106" i="73"/>
  <c r="BA105" i="73"/>
  <c r="BA103" i="73"/>
  <c r="BA102" i="73"/>
  <c r="BA101" i="73"/>
  <c r="BA100" i="73"/>
  <c r="BA99" i="73"/>
  <c r="BA97" i="73"/>
  <c r="BA96" i="73"/>
  <c r="BA95" i="73"/>
  <c r="BA94" i="73"/>
  <c r="BA93" i="73"/>
  <c r="BA92" i="73"/>
  <c r="BA91" i="73"/>
  <c r="BA90" i="73"/>
  <c r="BA89" i="73"/>
  <c r="BA88" i="73"/>
  <c r="BA87" i="73"/>
  <c r="BA86" i="73"/>
  <c r="BA85" i="73"/>
  <c r="BA84" i="73"/>
  <c r="BA83" i="73"/>
  <c r="BA82" i="73"/>
  <c r="BA81" i="73"/>
  <c r="BA80" i="73"/>
  <c r="BA79" i="73"/>
  <c r="BA78" i="73"/>
  <c r="BA77" i="73"/>
  <c r="BA76" i="73"/>
  <c r="BA75" i="73"/>
  <c r="BA74" i="73"/>
  <c r="BA73" i="73"/>
  <c r="BA72" i="73"/>
  <c r="BA71" i="73"/>
  <c r="BA70" i="73"/>
  <c r="BA69" i="73"/>
  <c r="BA68" i="73"/>
  <c r="BA67" i="73"/>
  <c r="BA66" i="73"/>
  <c r="BA64" i="73"/>
  <c r="BA63" i="73"/>
  <c r="BA62" i="73"/>
  <c r="BA61" i="73"/>
  <c r="BA60" i="73"/>
  <c r="BA59" i="73"/>
  <c r="BA57" i="73"/>
  <c r="BA56" i="73"/>
  <c r="BA55" i="73"/>
  <c r="BA54" i="73"/>
  <c r="BA52" i="73"/>
  <c r="BA51" i="73"/>
  <c r="BA50" i="73"/>
  <c r="BA49" i="73"/>
  <c r="BA47" i="73"/>
  <c r="BA46" i="73"/>
  <c r="BA45" i="73"/>
  <c r="BA44" i="73"/>
  <c r="BA43" i="73"/>
  <c r="BA42" i="73"/>
  <c r="BA41" i="73"/>
  <c r="BA40" i="73"/>
  <c r="BA39" i="73"/>
  <c r="BA38" i="73"/>
  <c r="BA37" i="73"/>
  <c r="BA36" i="73"/>
  <c r="BA35" i="73"/>
  <c r="BA33" i="73"/>
  <c r="BA32" i="73"/>
  <c r="BA31" i="73"/>
  <c r="BA30" i="73"/>
  <c r="BA29" i="73"/>
  <c r="BA28" i="73"/>
  <c r="BA27" i="73"/>
  <c r="BA26" i="73"/>
  <c r="BA25" i="73"/>
  <c r="BA24" i="73"/>
  <c r="BA19" i="73"/>
  <c r="BA18" i="73"/>
  <c r="BA16" i="73" s="1"/>
  <c r="BA17" i="73"/>
  <c r="BA15" i="73"/>
  <c r="BA12" i="73"/>
  <c r="BA10" i="73"/>
  <c r="BA9" i="73"/>
  <c r="BA7" i="73"/>
  <c r="AM216" i="73"/>
  <c r="AM214" i="73"/>
  <c r="BC214" i="73" s="1"/>
  <c r="AM213" i="73"/>
  <c r="AM212" i="73"/>
  <c r="AM211" i="73"/>
  <c r="AM209" i="73"/>
  <c r="AM207" i="73"/>
  <c r="AM205" i="73"/>
  <c r="AM203" i="73"/>
  <c r="AM202" i="73"/>
  <c r="AM200" i="73"/>
  <c r="AM198" i="73"/>
  <c r="AM197" i="73"/>
  <c r="AM196" i="73"/>
  <c r="AM191" i="73"/>
  <c r="AM189" i="73"/>
  <c r="AM187" i="73"/>
  <c r="AM186" i="73"/>
  <c r="AM185" i="73"/>
  <c r="AM181" i="73"/>
  <c r="AM180" i="73"/>
  <c r="AM179" i="73"/>
  <c r="AM178" i="73"/>
  <c r="AM177" i="73"/>
  <c r="AM176" i="73"/>
  <c r="AM175" i="73"/>
  <c r="AM174" i="73"/>
  <c r="AM170" i="73"/>
  <c r="AM169" i="73"/>
  <c r="AM168" i="73"/>
  <c r="AM167" i="73"/>
  <c r="BC167" i="73" s="1"/>
  <c r="AM166" i="73"/>
  <c r="AM165" i="73"/>
  <c r="AM164" i="73"/>
  <c r="AM163" i="73"/>
  <c r="AM161" i="73"/>
  <c r="AM160" i="73"/>
  <c r="AM159" i="73"/>
  <c r="AM158" i="73"/>
  <c r="AM157" i="73"/>
  <c r="AM156" i="73"/>
  <c r="AM155" i="73"/>
  <c r="AM154" i="73"/>
  <c r="AM153" i="73"/>
  <c r="AM152" i="73"/>
  <c r="AM151" i="73"/>
  <c r="AM150" i="73"/>
  <c r="AM149" i="73"/>
  <c r="AM148" i="73"/>
  <c r="AM147" i="73"/>
  <c r="AM146" i="73"/>
  <c r="AM145" i="73"/>
  <c r="AM144" i="73"/>
  <c r="AM143" i="73"/>
  <c r="AM142" i="73"/>
  <c r="AM141" i="73"/>
  <c r="AM140" i="73"/>
  <c r="AM139" i="73"/>
  <c r="AM138" i="73"/>
  <c r="AM137" i="73"/>
  <c r="AM136" i="73"/>
  <c r="AM135" i="73"/>
  <c r="AM134" i="73"/>
  <c r="AM133" i="73"/>
  <c r="AM132" i="73"/>
  <c r="AM131" i="73"/>
  <c r="AM127" i="73"/>
  <c r="AM126" i="73"/>
  <c r="AM124" i="73"/>
  <c r="AM122" i="73"/>
  <c r="AM121" i="73"/>
  <c r="AM119" i="73"/>
  <c r="AM118" i="73"/>
  <c r="AM117" i="73"/>
  <c r="AM112" i="73"/>
  <c r="AM111" i="73"/>
  <c r="AM109" i="73"/>
  <c r="AM108" i="73"/>
  <c r="AM107" i="73"/>
  <c r="AM106" i="73"/>
  <c r="AM105" i="73"/>
  <c r="AM103" i="73"/>
  <c r="AM102" i="73"/>
  <c r="AM101" i="73"/>
  <c r="AM100" i="73"/>
  <c r="AM99" i="73"/>
  <c r="AM97" i="73"/>
  <c r="AM96" i="73"/>
  <c r="AM95" i="73"/>
  <c r="AM94" i="73"/>
  <c r="AM93" i="73"/>
  <c r="AM92" i="73"/>
  <c r="AM91" i="73"/>
  <c r="AM90" i="73"/>
  <c r="AM89" i="73"/>
  <c r="AM88" i="73"/>
  <c r="AM87" i="73"/>
  <c r="AM86" i="73"/>
  <c r="AM85" i="73"/>
  <c r="AM84" i="73"/>
  <c r="AM83" i="73"/>
  <c r="AM82" i="73"/>
  <c r="AM81" i="73"/>
  <c r="AM80" i="73"/>
  <c r="AM79" i="73"/>
  <c r="AM78" i="73"/>
  <c r="AM77" i="73"/>
  <c r="AM76" i="73"/>
  <c r="AM75" i="73"/>
  <c r="AM74" i="73"/>
  <c r="AM73" i="73"/>
  <c r="AM72" i="73"/>
  <c r="AM71" i="73"/>
  <c r="AM70" i="73"/>
  <c r="AM69" i="73"/>
  <c r="AM68" i="73"/>
  <c r="AM67" i="73"/>
  <c r="AM66" i="73"/>
  <c r="AM64" i="73"/>
  <c r="AM63" i="73"/>
  <c r="AM62" i="73"/>
  <c r="AM61" i="73"/>
  <c r="AM60" i="73"/>
  <c r="AM59" i="73"/>
  <c r="AM57" i="73"/>
  <c r="AM56" i="73"/>
  <c r="AM55" i="73"/>
  <c r="AM54" i="73"/>
  <c r="AM52" i="73"/>
  <c r="AM51" i="73"/>
  <c r="AM50" i="73"/>
  <c r="AM49" i="73"/>
  <c r="AM47" i="73"/>
  <c r="AM46" i="73"/>
  <c r="AM45" i="73"/>
  <c r="AM44" i="73"/>
  <c r="AM43" i="73"/>
  <c r="AM42" i="73"/>
  <c r="AM41" i="73"/>
  <c r="AM40" i="73"/>
  <c r="AM39" i="73"/>
  <c r="AM38" i="73"/>
  <c r="AM37" i="73"/>
  <c r="AM36" i="73"/>
  <c r="AM35" i="73"/>
  <c r="AM33" i="73"/>
  <c r="AM32" i="73"/>
  <c r="AM31" i="73"/>
  <c r="AM30" i="73"/>
  <c r="AM29" i="73"/>
  <c r="AM28" i="73"/>
  <c r="AM27" i="73"/>
  <c r="AM26" i="73"/>
  <c r="AM25" i="73"/>
  <c r="AM24" i="73"/>
  <c r="AM19" i="73"/>
  <c r="AM18" i="73"/>
  <c r="AM17" i="73"/>
  <c r="AM15" i="73"/>
  <c r="AM12" i="73"/>
  <c r="AM10" i="73"/>
  <c r="AM9" i="73"/>
  <c r="AM7" i="73"/>
  <c r="Y7" i="73"/>
  <c r="Y9" i="73"/>
  <c r="Y10" i="73"/>
  <c r="Y12" i="73"/>
  <c r="Y15" i="73"/>
  <c r="Y17" i="73"/>
  <c r="Y18" i="73"/>
  <c r="Y19" i="73"/>
  <c r="Y24" i="73"/>
  <c r="Y25" i="73"/>
  <c r="Y26" i="73"/>
  <c r="Y27" i="73"/>
  <c r="Y28" i="73"/>
  <c r="Y29" i="73"/>
  <c r="Y30" i="73"/>
  <c r="Y31" i="73"/>
  <c r="Y32" i="73"/>
  <c r="Y33" i="73"/>
  <c r="Y35" i="73"/>
  <c r="Y36" i="73"/>
  <c r="Y37" i="73"/>
  <c r="Y38" i="73"/>
  <c r="Y39" i="73"/>
  <c r="Y40" i="73"/>
  <c r="Y41" i="73"/>
  <c r="Y42" i="73"/>
  <c r="Y43" i="73"/>
  <c r="Y44" i="73"/>
  <c r="AA44" i="73" s="1"/>
  <c r="Y45" i="73"/>
  <c r="Y46" i="73"/>
  <c r="Y47" i="73"/>
  <c r="Y49" i="73"/>
  <c r="Y50" i="73"/>
  <c r="Y51" i="73"/>
  <c r="Y52" i="73"/>
  <c r="Y54" i="73"/>
  <c r="Y55" i="73"/>
  <c r="Y56" i="73"/>
  <c r="Y57" i="73"/>
  <c r="Y59" i="73"/>
  <c r="Y60" i="73"/>
  <c r="Y61" i="73"/>
  <c r="Y62" i="73"/>
  <c r="Y63" i="73"/>
  <c r="Y64" i="73"/>
  <c r="Y66" i="73"/>
  <c r="Y67" i="73"/>
  <c r="Y68" i="73"/>
  <c r="Y69" i="73"/>
  <c r="Y70" i="73"/>
  <c r="Y71" i="73"/>
  <c r="AA71" i="73" s="1"/>
  <c r="Y72" i="73"/>
  <c r="Y73" i="73"/>
  <c r="Y74" i="73"/>
  <c r="Y75" i="73"/>
  <c r="Y76" i="73"/>
  <c r="Y77" i="73"/>
  <c r="Y78" i="73"/>
  <c r="Y79" i="73"/>
  <c r="Y80" i="73"/>
  <c r="Y81" i="73"/>
  <c r="Y82" i="73"/>
  <c r="AA82" i="73" s="1"/>
  <c r="Y83" i="73"/>
  <c r="AA83" i="73" s="1"/>
  <c r="Y84" i="73"/>
  <c r="Y85" i="73"/>
  <c r="Y86" i="73"/>
  <c r="Y87" i="73"/>
  <c r="Y88" i="73"/>
  <c r="AA88" i="73" s="1"/>
  <c r="Y89" i="73"/>
  <c r="Y90" i="73"/>
  <c r="Y91" i="73"/>
  <c r="Y92" i="73"/>
  <c r="Y93" i="73"/>
  <c r="Y94" i="73"/>
  <c r="Y95" i="73"/>
  <c r="Y96" i="73"/>
  <c r="Y97" i="73"/>
  <c r="Y99" i="73"/>
  <c r="Y100" i="73"/>
  <c r="Y101" i="73"/>
  <c r="AA101" i="73" s="1"/>
  <c r="Y102" i="73"/>
  <c r="Y103" i="73"/>
  <c r="Y105" i="73"/>
  <c r="Y106" i="73"/>
  <c r="Y107" i="73"/>
  <c r="Y108" i="73"/>
  <c r="Y109" i="73"/>
  <c r="Y111" i="73"/>
  <c r="Y112" i="73"/>
  <c r="Y117" i="73"/>
  <c r="Y118" i="73"/>
  <c r="Y119" i="73"/>
  <c r="Y121" i="73"/>
  <c r="Y122" i="73"/>
  <c r="Y124" i="73"/>
  <c r="Y126" i="73"/>
  <c r="Y127" i="73"/>
  <c r="Y131" i="73"/>
  <c r="AA131" i="73" s="1"/>
  <c r="Y132" i="73"/>
  <c r="Y133" i="73"/>
  <c r="Y134" i="73"/>
  <c r="Y135" i="73"/>
  <c r="Y136" i="73"/>
  <c r="Y137" i="73"/>
  <c r="Y138" i="73"/>
  <c r="Y139" i="73"/>
  <c r="Y140" i="73"/>
  <c r="AA140" i="73" s="1"/>
  <c r="Y141" i="73"/>
  <c r="Y142" i="73"/>
  <c r="Y143" i="73"/>
  <c r="Y144" i="73"/>
  <c r="Y145" i="73"/>
  <c r="Y146" i="73"/>
  <c r="AA146" i="73" s="1"/>
  <c r="Y147" i="73"/>
  <c r="AA147" i="73" s="1"/>
  <c r="Y148" i="73"/>
  <c r="Y149" i="73"/>
  <c r="Y150" i="73"/>
  <c r="Y151" i="73"/>
  <c r="Y152" i="73"/>
  <c r="Y153" i="73"/>
  <c r="AA153" i="73" s="1"/>
  <c r="Y154" i="73"/>
  <c r="Y155" i="73"/>
  <c r="Y156" i="73"/>
  <c r="Y157" i="73"/>
  <c r="Y158" i="73"/>
  <c r="Y159" i="73"/>
  <c r="Y160" i="73"/>
  <c r="Y161" i="73"/>
  <c r="Y163" i="73"/>
  <c r="Y164" i="73"/>
  <c r="Y165" i="73"/>
  <c r="Y166" i="73"/>
  <c r="Y167" i="73"/>
  <c r="AA167" i="73" s="1"/>
  <c r="Y168" i="73"/>
  <c r="Y169" i="73"/>
  <c r="Y170" i="73"/>
  <c r="Y174" i="73"/>
  <c r="Y175" i="73"/>
  <c r="Y176" i="73"/>
  <c r="AA176" i="73" s="1"/>
  <c r="Y177" i="73"/>
  <c r="Y178" i="73"/>
  <c r="Y179" i="73"/>
  <c r="AA179" i="73" s="1"/>
  <c r="Y180" i="73"/>
  <c r="AA180" i="73" s="1"/>
  <c r="Y181" i="73"/>
  <c r="AA181" i="73" s="1"/>
  <c r="Y185" i="73"/>
  <c r="Y186" i="73"/>
  <c r="Y187" i="73"/>
  <c r="Y189" i="73"/>
  <c r="Y191" i="73"/>
  <c r="Y194" i="73"/>
  <c r="Y196" i="73"/>
  <c r="Y197" i="73"/>
  <c r="Y198" i="73"/>
  <c r="Y200" i="73"/>
  <c r="Y202" i="73"/>
  <c r="Y203" i="73"/>
  <c r="Y205" i="73"/>
  <c r="Y207" i="73"/>
  <c r="Y209" i="73"/>
  <c r="Y211" i="73"/>
  <c r="Y212" i="73"/>
  <c r="Y213" i="73"/>
  <c r="Y214" i="73"/>
  <c r="Y216" i="73"/>
  <c r="AU14" i="73"/>
  <c r="AQ14" i="73"/>
  <c r="AK14" i="73"/>
  <c r="AG14" i="73"/>
  <c r="AC14" i="73"/>
  <c r="AM14" i="73" s="1"/>
  <c r="AO126" i="50" s="1"/>
  <c r="W14" i="73"/>
  <c r="S14" i="73"/>
  <c r="O14" i="73"/>
  <c r="Y14" i="73" s="1"/>
  <c r="AA126" i="50" s="1"/>
  <c r="K14" i="73"/>
  <c r="G14" i="73"/>
  <c r="E14" i="73"/>
  <c r="AY14" i="73"/>
  <c r="BA14" i="73" s="1"/>
  <c r="BC126" i="50" s="1"/>
  <c r="AW167" i="73"/>
  <c r="BE167" i="73" s="1"/>
  <c r="AW147" i="73"/>
  <c r="BE147" i="73" s="1"/>
  <c r="BB213" i="73"/>
  <c r="BB171" i="73"/>
  <c r="BB125" i="73"/>
  <c r="BB123" i="73"/>
  <c r="BB120" i="73"/>
  <c r="BB113" i="73"/>
  <c r="AZ171" i="73"/>
  <c r="AZ125" i="73"/>
  <c r="AZ123" i="73"/>
  <c r="AZ120" i="73"/>
  <c r="AZ113" i="73"/>
  <c r="AY215" i="73"/>
  <c r="AY210" i="73"/>
  <c r="AY208" i="73"/>
  <c r="AY206" i="73"/>
  <c r="AY204" i="73"/>
  <c r="AY199" i="73"/>
  <c r="AY195" i="73"/>
  <c r="AY188" i="73"/>
  <c r="AY184" i="73"/>
  <c r="AY173" i="73"/>
  <c r="BD171" i="73"/>
  <c r="AX171" i="73"/>
  <c r="AY162" i="73"/>
  <c r="BD125" i="73"/>
  <c r="AY125" i="73"/>
  <c r="AX125" i="73"/>
  <c r="BD123" i="73"/>
  <c r="AY123" i="73"/>
  <c r="AX123" i="73"/>
  <c r="BD120" i="73"/>
  <c r="AY120" i="73"/>
  <c r="AX120" i="73"/>
  <c r="AY116" i="73"/>
  <c r="AX113" i="73"/>
  <c r="AX115" i="73" s="1"/>
  <c r="AY110" i="73"/>
  <c r="AY11" i="15" s="1"/>
  <c r="AY12" i="15" s="1"/>
  <c r="AY13" i="15" s="1"/>
  <c r="BD104" i="73"/>
  <c r="BD113" i="73" s="1"/>
  <c r="AY104" i="73"/>
  <c r="AY98" i="73"/>
  <c r="AY65" i="73"/>
  <c r="AY58" i="73"/>
  <c r="AY53" i="73"/>
  <c r="AY48" i="73"/>
  <c r="AY34" i="73"/>
  <c r="AY23" i="73"/>
  <c r="AY8" i="73"/>
  <c r="AY6" i="73" s="1"/>
  <c r="AX8" i="73"/>
  <c r="AX6" i="73" s="1"/>
  <c r="BC179" i="73" l="1"/>
  <c r="AA18" i="73"/>
  <c r="Y16" i="73"/>
  <c r="AM16" i="73"/>
  <c r="BC176" i="73"/>
  <c r="BC180" i="73"/>
  <c r="BC148" i="73"/>
  <c r="BC18" i="73"/>
  <c r="BC32" i="17"/>
  <c r="BC31" i="17"/>
  <c r="BC33" i="17"/>
  <c r="BC30" i="17"/>
  <c r="BC29" i="17"/>
  <c r="BB59" i="17"/>
  <c r="BB61" i="17"/>
  <c r="AZ89" i="17"/>
  <c r="BB89" i="17" s="1"/>
  <c r="AZ61" i="17"/>
  <c r="AZ59" i="17"/>
  <c r="BB49" i="17"/>
  <c r="BB44" i="17"/>
  <c r="BB50" i="17" s="1"/>
  <c r="AZ53" i="17"/>
  <c r="AZ110" i="17"/>
  <c r="AZ114" i="17" s="1"/>
  <c r="BA53" i="17"/>
  <c r="BA54" i="17" s="1"/>
  <c r="BA110" i="17"/>
  <c r="BA114" i="17" s="1"/>
  <c r="BA50" i="17"/>
  <c r="BA111" i="17" s="1"/>
  <c r="BA115" i="17" s="1"/>
  <c r="BC213" i="73"/>
  <c r="BC147" i="73"/>
  <c r="BB128" i="73"/>
  <c r="BC146" i="73"/>
  <c r="AZ128" i="73"/>
  <c r="AY128" i="73"/>
  <c r="BD128" i="73"/>
  <c r="AX128" i="73"/>
  <c r="AY171" i="73"/>
  <c r="AY5" i="73"/>
  <c r="AY113" i="73"/>
  <c r="AY115" i="73" s="1"/>
  <c r="BC72" i="59"/>
  <c r="BB72" i="59"/>
  <c r="BC71" i="59"/>
  <c r="BB71" i="59"/>
  <c r="BC70" i="59"/>
  <c r="BB70" i="59"/>
  <c r="BC69" i="59"/>
  <c r="BB69" i="59"/>
  <c r="BC68" i="59"/>
  <c r="BB68" i="59"/>
  <c r="BC67" i="59"/>
  <c r="BB67" i="59"/>
  <c r="BC66" i="59"/>
  <c r="BB66" i="59"/>
  <c r="BC65" i="59"/>
  <c r="BB65" i="59"/>
  <c r="BC63" i="59"/>
  <c r="BB63" i="59"/>
  <c r="BC62" i="59"/>
  <c r="BB62" i="59"/>
  <c r="BC61" i="59"/>
  <c r="BB61" i="59"/>
  <c r="BB55" i="59"/>
  <c r="BB54" i="59"/>
  <c r="BB53" i="59"/>
  <c r="BC52" i="59"/>
  <c r="BB50" i="59"/>
  <c r="BB49" i="59"/>
  <c r="BB48" i="59"/>
  <c r="BB47" i="59"/>
  <c r="BB46" i="59"/>
  <c r="BC45" i="59"/>
  <c r="BB45" i="59"/>
  <c r="BC44" i="59"/>
  <c r="BB44" i="59"/>
  <c r="BC43" i="59"/>
  <c r="BB43" i="59"/>
  <c r="BC42" i="59"/>
  <c r="BB42" i="59"/>
  <c r="BC41" i="59"/>
  <c r="BB41" i="59"/>
  <c r="BB40" i="59"/>
  <c r="BC39" i="59"/>
  <c r="BB39" i="59"/>
  <c r="BB38" i="59"/>
  <c r="BC37" i="59"/>
  <c r="BB37" i="59"/>
  <c r="BB34" i="59"/>
  <c r="BB33" i="59"/>
  <c r="BB31" i="59"/>
  <c r="BB30" i="59"/>
  <c r="BB29" i="59"/>
  <c r="BC28" i="59"/>
  <c r="BB28" i="59"/>
  <c r="BC27" i="59"/>
  <c r="BB27" i="59"/>
  <c r="BC26" i="59"/>
  <c r="BB26" i="59"/>
  <c r="BC25" i="59"/>
  <c r="BB25" i="59"/>
  <c r="BC24" i="59"/>
  <c r="BB24" i="59"/>
  <c r="BC23" i="59"/>
  <c r="BB23" i="59"/>
  <c r="BC22" i="59"/>
  <c r="BB22" i="59"/>
  <c r="BC20" i="59"/>
  <c r="BB20" i="59"/>
  <c r="BC19" i="59"/>
  <c r="BB19" i="59"/>
  <c r="BC18" i="59"/>
  <c r="BB18" i="59"/>
  <c r="BC17" i="59"/>
  <c r="BB17" i="59"/>
  <c r="BC16" i="59"/>
  <c r="BB16" i="59"/>
  <c r="BC15" i="59"/>
  <c r="BB15" i="59"/>
  <c r="BC12" i="59"/>
  <c r="BB12" i="59"/>
  <c r="BC11" i="59"/>
  <c r="BC10" i="59"/>
  <c r="BB10" i="59"/>
  <c r="BC9" i="59"/>
  <c r="BB9" i="59"/>
  <c r="BC8" i="59"/>
  <c r="BB8" i="59"/>
  <c r="BB6" i="59"/>
  <c r="BB54" i="17" l="1"/>
  <c r="BB111" i="17"/>
  <c r="BB115" i="17" s="1"/>
  <c r="BB53" i="17"/>
  <c r="BB110" i="17"/>
  <c r="BB114" i="17" s="1"/>
  <c r="BC106" i="26"/>
  <c r="BB106" i="26"/>
  <c r="BC104" i="26"/>
  <c r="BB104" i="26"/>
  <c r="BC102" i="26"/>
  <c r="BB102" i="26"/>
  <c r="BC100" i="26"/>
  <c r="BB100" i="26"/>
  <c r="BC98" i="26"/>
  <c r="BB98" i="26"/>
  <c r="BC96" i="26"/>
  <c r="BB96" i="26"/>
  <c r="BC94" i="26"/>
  <c r="BB94" i="26"/>
  <c r="BB88" i="26"/>
  <c r="BB87" i="26"/>
  <c r="BB86" i="26"/>
  <c r="BB85" i="26"/>
  <c r="BB71" i="26"/>
  <c r="BB69" i="26"/>
  <c r="BB67" i="26"/>
  <c r="BB65" i="26"/>
  <c r="BB63" i="26"/>
  <c r="BB61" i="26"/>
  <c r="BB59" i="26"/>
  <c r="BC52" i="26"/>
  <c r="BC41" i="26"/>
  <c r="BB41" i="26"/>
  <c r="BC39" i="26"/>
  <c r="BB39" i="26"/>
  <c r="BC37" i="26"/>
  <c r="BB37" i="26"/>
  <c r="BC35" i="26"/>
  <c r="BB35" i="26"/>
  <c r="BC33" i="26"/>
  <c r="BB33" i="26"/>
  <c r="BC31" i="26"/>
  <c r="BB31" i="26"/>
  <c r="BC29" i="26"/>
  <c r="BB29" i="26"/>
  <c r="BC27" i="26"/>
  <c r="BB27" i="26"/>
  <c r="BC25" i="26"/>
  <c r="BB25" i="26"/>
  <c r="BC23" i="26"/>
  <c r="BB23" i="26"/>
  <c r="BC21" i="26"/>
  <c r="BB21" i="26"/>
  <c r="BB20" i="26"/>
  <c r="BC15" i="26"/>
  <c r="BB15" i="26"/>
  <c r="BC9" i="26"/>
  <c r="BB9" i="26"/>
  <c r="BC5" i="26"/>
  <c r="BC2" i="26"/>
  <c r="BB2" i="26"/>
  <c r="BA107" i="26" l="1"/>
  <c r="BA105" i="26"/>
  <c r="BA103" i="26"/>
  <c r="BA101" i="26"/>
  <c r="BA99" i="26"/>
  <c r="BA97" i="26"/>
  <c r="BA95" i="26"/>
  <c r="BA93" i="26"/>
  <c r="BA88" i="26"/>
  <c r="BC88" i="26" s="1"/>
  <c r="AZ88" i="26"/>
  <c r="BA87" i="26"/>
  <c r="BC87" i="26" s="1"/>
  <c r="BA86" i="26"/>
  <c r="BC86" i="26" s="1"/>
  <c r="BA85" i="26"/>
  <c r="BA84" i="26"/>
  <c r="BC84" i="26" s="1"/>
  <c r="BA79" i="26"/>
  <c r="BA77" i="26"/>
  <c r="BA76" i="26" s="1"/>
  <c r="BA73" i="26"/>
  <c r="BA72" i="26"/>
  <c r="BA71" i="26"/>
  <c r="BA70" i="26"/>
  <c r="BA69" i="26"/>
  <c r="BA68" i="26"/>
  <c r="BA67" i="26"/>
  <c r="BA66" i="26"/>
  <c r="BA65" i="26"/>
  <c r="BA64" i="26"/>
  <c r="BA63" i="26"/>
  <c r="BA62" i="26"/>
  <c r="BA61" i="26"/>
  <c r="BA60" i="26"/>
  <c r="BA59" i="26"/>
  <c r="BA58" i="26"/>
  <c r="BA53" i="26"/>
  <c r="AZ52" i="26"/>
  <c r="BA51" i="26"/>
  <c r="BA47" i="26"/>
  <c r="BA49" i="26" s="1"/>
  <c r="BA50" i="26" s="1"/>
  <c r="BA42" i="26"/>
  <c r="BA40" i="26"/>
  <c r="BA38" i="26"/>
  <c r="BA36" i="26"/>
  <c r="BA34" i="26"/>
  <c r="BA32" i="26"/>
  <c r="BA30" i="26"/>
  <c r="BA28" i="26"/>
  <c r="BA26" i="26"/>
  <c r="BA24" i="26"/>
  <c r="AZ24" i="26"/>
  <c r="BA22" i="26"/>
  <c r="BA20" i="26"/>
  <c r="BC20" i="26" s="1"/>
  <c r="AZ20" i="26"/>
  <c r="BA16" i="26"/>
  <c r="BA14" i="26"/>
  <c r="BA10" i="26"/>
  <c r="BA8" i="26"/>
  <c r="BA5" i="26"/>
  <c r="BA2" i="26"/>
  <c r="AZ2" i="26"/>
  <c r="AX123" i="26"/>
  <c r="AY109" i="26"/>
  <c r="AX107" i="26"/>
  <c r="AX105" i="26"/>
  <c r="AX103" i="26"/>
  <c r="AX101" i="26"/>
  <c r="AX99" i="26"/>
  <c r="AX97" i="26"/>
  <c r="AX95" i="26"/>
  <c r="AX93" i="26"/>
  <c r="AY89" i="26"/>
  <c r="BE88" i="26"/>
  <c r="BD88" i="26"/>
  <c r="BE87" i="26"/>
  <c r="BE86" i="26"/>
  <c r="BE85" i="26"/>
  <c r="BE84" i="26"/>
  <c r="AY82" i="26"/>
  <c r="AY81" i="26"/>
  <c r="AX79" i="26"/>
  <c r="AX77" i="26"/>
  <c r="AX84" i="26" s="1"/>
  <c r="AY74" i="26"/>
  <c r="AX72" i="26"/>
  <c r="AX70" i="26"/>
  <c r="AX68" i="26"/>
  <c r="AX66" i="26"/>
  <c r="AX64" i="26"/>
  <c r="AX62" i="26"/>
  <c r="AX60" i="26"/>
  <c r="AX58" i="26"/>
  <c r="AX53" i="26"/>
  <c r="AX51" i="26"/>
  <c r="AY49" i="26"/>
  <c r="AY56" i="26" s="1"/>
  <c r="AX47" i="26"/>
  <c r="AX49" i="26" s="1"/>
  <c r="AY44" i="26"/>
  <c r="AX42" i="26"/>
  <c r="AX40" i="26"/>
  <c r="AX38" i="26"/>
  <c r="AX36" i="26"/>
  <c r="AX34" i="26"/>
  <c r="AX32" i="26"/>
  <c r="AX30" i="26"/>
  <c r="AX28" i="26"/>
  <c r="AX26" i="26"/>
  <c r="AX24" i="26"/>
  <c r="AX22" i="26"/>
  <c r="AX20" i="26"/>
  <c r="AX16" i="26"/>
  <c r="AX14" i="26"/>
  <c r="AY11" i="26"/>
  <c r="AY18" i="26" s="1"/>
  <c r="AX10" i="26"/>
  <c r="AX8" i="26"/>
  <c r="AY5" i="26"/>
  <c r="BE2" i="26"/>
  <c r="BD2" i="26"/>
  <c r="BA74" i="77"/>
  <c r="BA72" i="77"/>
  <c r="BA114" i="77" s="1"/>
  <c r="BA70" i="77"/>
  <c r="BA69" i="77"/>
  <c r="BA68" i="77"/>
  <c r="BA67" i="77"/>
  <c r="BA66" i="77"/>
  <c r="BA65" i="77"/>
  <c r="BA63" i="77"/>
  <c r="AZ63" i="77"/>
  <c r="BA62" i="77"/>
  <c r="AZ62" i="77"/>
  <c r="BA61" i="77"/>
  <c r="AZ61" i="77"/>
  <c r="BA60" i="77"/>
  <c r="AZ60" i="77"/>
  <c r="BA59" i="77"/>
  <c r="AZ59" i="77"/>
  <c r="BA57" i="77"/>
  <c r="AZ57" i="77"/>
  <c r="BA56" i="77"/>
  <c r="AZ56" i="77"/>
  <c r="BA55" i="77"/>
  <c r="AZ55" i="77"/>
  <c r="BA54" i="77"/>
  <c r="AZ54" i="77"/>
  <c r="BA53" i="77"/>
  <c r="AZ53" i="77"/>
  <c r="BA52" i="77"/>
  <c r="AZ52" i="77"/>
  <c r="BA51" i="77"/>
  <c r="AZ51" i="77"/>
  <c r="BA50" i="77"/>
  <c r="AZ50" i="77"/>
  <c r="BA49" i="77"/>
  <c r="AZ49" i="77"/>
  <c r="BA48" i="77"/>
  <c r="AZ48" i="77"/>
  <c r="BA47" i="77"/>
  <c r="AZ47" i="77"/>
  <c r="BA46" i="77"/>
  <c r="AZ46" i="77"/>
  <c r="BA45" i="77"/>
  <c r="AZ45" i="77"/>
  <c r="BA44" i="77"/>
  <c r="AZ44" i="77"/>
  <c r="BA42" i="77"/>
  <c r="AZ42" i="77"/>
  <c r="BA41" i="77"/>
  <c r="AZ41" i="77"/>
  <c r="BA40" i="77"/>
  <c r="AZ40" i="77"/>
  <c r="BA39" i="77"/>
  <c r="AZ39" i="77"/>
  <c r="BA38" i="77"/>
  <c r="AZ38" i="77"/>
  <c r="BA37" i="77"/>
  <c r="AZ37" i="77"/>
  <c r="BA36" i="77"/>
  <c r="AZ36" i="77"/>
  <c r="BA35" i="77"/>
  <c r="AZ35" i="77"/>
  <c r="BA34" i="77"/>
  <c r="AZ34" i="77"/>
  <c r="BA32" i="77"/>
  <c r="AZ32" i="77"/>
  <c r="BA31" i="77"/>
  <c r="AZ31" i="77"/>
  <c r="BA30" i="77"/>
  <c r="AZ30" i="77"/>
  <c r="BA28" i="77"/>
  <c r="AZ28" i="77"/>
  <c r="BA27" i="77"/>
  <c r="AZ27" i="77"/>
  <c r="BA26" i="77"/>
  <c r="AZ26" i="77"/>
  <c r="BA25" i="77"/>
  <c r="AZ25" i="77"/>
  <c r="BA24" i="77"/>
  <c r="AZ24" i="77"/>
  <c r="BA22" i="77"/>
  <c r="AZ22" i="77"/>
  <c r="BA21" i="77"/>
  <c r="AZ21" i="77"/>
  <c r="BA20" i="77"/>
  <c r="AZ20" i="77"/>
  <c r="BA19" i="77"/>
  <c r="AZ19" i="77"/>
  <c r="BA17" i="77"/>
  <c r="AZ17" i="77"/>
  <c r="BA16" i="77"/>
  <c r="AZ16" i="77"/>
  <c r="AZ18" i="77" s="1"/>
  <c r="BA15" i="77"/>
  <c r="AZ15" i="77"/>
  <c r="BA14" i="77"/>
  <c r="AZ14" i="77"/>
  <c r="BA12" i="77"/>
  <c r="AZ12" i="77"/>
  <c r="BA11" i="77"/>
  <c r="AZ11" i="77"/>
  <c r="BA10" i="77"/>
  <c r="AZ10" i="77"/>
  <c r="BA9" i="77"/>
  <c r="AZ9" i="77"/>
  <c r="BA8" i="77"/>
  <c r="AZ8" i="77"/>
  <c r="BA6" i="77"/>
  <c r="AZ6" i="77"/>
  <c r="BA5" i="77"/>
  <c r="AZ5" i="77"/>
  <c r="BA4" i="77"/>
  <c r="AZ4" i="77"/>
  <c r="AY73" i="77"/>
  <c r="AY115" i="77" s="1"/>
  <c r="AY64" i="77"/>
  <c r="AY71" i="77" s="1"/>
  <c r="AY113" i="77" s="1"/>
  <c r="AY58" i="77"/>
  <c r="AX58" i="77"/>
  <c r="AY43" i="77"/>
  <c r="AX43" i="77"/>
  <c r="AY33" i="77"/>
  <c r="AY106" i="77" s="1"/>
  <c r="AX33" i="77"/>
  <c r="AY29" i="77"/>
  <c r="AX29" i="77"/>
  <c r="AY23" i="77"/>
  <c r="AY103" i="77" s="1"/>
  <c r="AX23" i="77"/>
  <c r="AY18" i="77"/>
  <c r="AX18" i="77"/>
  <c r="AY13" i="77"/>
  <c r="AY101" i="77" s="1"/>
  <c r="AX13" i="77"/>
  <c r="AY7" i="77"/>
  <c r="AY100" i="77" s="1"/>
  <c r="AX7" i="77"/>
  <c r="AY104" i="77" l="1"/>
  <c r="AY102" i="77"/>
  <c r="AY105" i="77"/>
  <c r="AY107" i="77" s="1"/>
  <c r="BA13" i="77"/>
  <c r="BA23" i="77"/>
  <c r="BA7" i="77"/>
  <c r="AZ23" i="77"/>
  <c r="BA58" i="77"/>
  <c r="AZ29" i="77"/>
  <c r="BA29" i="77"/>
  <c r="BA43" i="77"/>
  <c r="BA18" i="77"/>
  <c r="BA109" i="26"/>
  <c r="BA89" i="26"/>
  <c r="BC85" i="26"/>
  <c r="BA81" i="26"/>
  <c r="BA82" i="26"/>
  <c r="BA74" i="26"/>
  <c r="BA44" i="26"/>
  <c r="AX11" i="26"/>
  <c r="BA11" i="26"/>
  <c r="BA12" i="26" s="1"/>
  <c r="BA17" i="26"/>
  <c r="BA55" i="26"/>
  <c r="BC89" i="26"/>
  <c r="AY12" i="26"/>
  <c r="BE89" i="26"/>
  <c r="AY50" i="26"/>
  <c r="AY55" i="26"/>
  <c r="AY17" i="26"/>
  <c r="AX109" i="26"/>
  <c r="AX18" i="26"/>
  <c r="AX12" i="26"/>
  <c r="AX89" i="26"/>
  <c r="AX50" i="26"/>
  <c r="AX55" i="26"/>
  <c r="AX56" i="26"/>
  <c r="AX17" i="26"/>
  <c r="AX82" i="26"/>
  <c r="AX44" i="26"/>
  <c r="AX81" i="26"/>
  <c r="AX74" i="26"/>
  <c r="AZ7" i="77"/>
  <c r="AZ13" i="77"/>
  <c r="AZ43" i="77"/>
  <c r="AZ58" i="77"/>
  <c r="AZ33" i="77"/>
  <c r="BA33" i="77"/>
  <c r="BF112" i="45"/>
  <c r="BF73" i="45"/>
  <c r="BE90" i="11"/>
  <c r="BE52" i="11"/>
  <c r="BE51" i="11"/>
  <c r="BA18" i="26" l="1"/>
  <c r="G136" i="50"/>
  <c r="BE7" i="72"/>
  <c r="G120" i="50"/>
  <c r="BA79" i="50"/>
  <c r="AW79" i="50"/>
  <c r="AI79" i="50"/>
  <c r="AE79" i="50"/>
  <c r="Y79" i="50"/>
  <c r="U79" i="50"/>
  <c r="M79" i="50"/>
  <c r="I79" i="50"/>
  <c r="BA121" i="50" l="1"/>
  <c r="AW121" i="50"/>
  <c r="AI121" i="50"/>
  <c r="AE121" i="50"/>
  <c r="Y121" i="50"/>
  <c r="U121" i="50"/>
  <c r="M121" i="50"/>
  <c r="I121" i="50"/>
  <c r="BC68" i="50"/>
  <c r="AS79" i="50"/>
  <c r="AO68" i="50"/>
  <c r="AM79" i="50"/>
  <c r="K68" i="50"/>
  <c r="O68" i="50"/>
  <c r="Q79" i="50"/>
  <c r="AA68" i="50"/>
  <c r="G138" i="50"/>
  <c r="BG58" i="50"/>
  <c r="BA107" i="50"/>
  <c r="BA108" i="50" s="1"/>
  <c r="BA34" i="50"/>
  <c r="BA35" i="50"/>
  <c r="BA36" i="50"/>
  <c r="BA37" i="50"/>
  <c r="BA38" i="50"/>
  <c r="BA39" i="50"/>
  <c r="BA33" i="50"/>
  <c r="BA40" i="50" s="1"/>
  <c r="BA103" i="50" s="1"/>
  <c r="BA104" i="50" s="1"/>
  <c r="BA9" i="61"/>
  <c r="BA10" i="61"/>
  <c r="BA11" i="61"/>
  <c r="BA12" i="61"/>
  <c r="BA13" i="61"/>
  <c r="BA14" i="61"/>
  <c r="BA15" i="61"/>
  <c r="BA16" i="61"/>
  <c r="BA4" i="50"/>
  <c r="BA32" i="50" s="1"/>
  <c r="BA94" i="50" s="1"/>
  <c r="BB286" i="28"/>
  <c r="BB287" i="28"/>
  <c r="BB288" i="28"/>
  <c r="BB281" i="28"/>
  <c r="BB282" i="28"/>
  <c r="BB279" i="28"/>
  <c r="BD279" i="28" s="1"/>
  <c r="BB264" i="28"/>
  <c r="BB253" i="28"/>
  <c r="BB223" i="28"/>
  <c r="BB173" i="28"/>
  <c r="BB174" i="28"/>
  <c r="BB170" i="28"/>
  <c r="BB168" i="28"/>
  <c r="BB169" i="28"/>
  <c r="BB171" i="28"/>
  <c r="BB172" i="28"/>
  <c r="BB175" i="28"/>
  <c r="BB176" i="28"/>
  <c r="BB177" i="28"/>
  <c r="BB178" i="28"/>
  <c r="BB179" i="28"/>
  <c r="BB180" i="28"/>
  <c r="BD338" i="28"/>
  <c r="BB191" i="28"/>
  <c r="BA95" i="50" l="1"/>
  <c r="BA96" i="50"/>
  <c r="BA80" i="50"/>
  <c r="BA122" i="50"/>
  <c r="BA123" i="50"/>
  <c r="BA129" i="50" s="1"/>
  <c r="AW122" i="50"/>
  <c r="AW123" i="50"/>
  <c r="AW129" i="50" s="1"/>
  <c r="AS121" i="50"/>
  <c r="BC79" i="50"/>
  <c r="AM121" i="50"/>
  <c r="AI122" i="50"/>
  <c r="AI123" i="50"/>
  <c r="AI129" i="50" s="1"/>
  <c r="AE122" i="50"/>
  <c r="AE123" i="50"/>
  <c r="AE129" i="50" s="1"/>
  <c r="Y122" i="50"/>
  <c r="Y123" i="50"/>
  <c r="Y129" i="50" s="1"/>
  <c r="U122" i="50"/>
  <c r="U123" i="50"/>
  <c r="U129" i="50" s="1"/>
  <c r="Q121" i="50"/>
  <c r="M122" i="50"/>
  <c r="M123" i="50"/>
  <c r="M129" i="50" s="1"/>
  <c r="K79" i="50"/>
  <c r="I122" i="50"/>
  <c r="I123" i="50"/>
  <c r="I129" i="50" s="1"/>
  <c r="O79" i="50"/>
  <c r="S68" i="50"/>
  <c r="AC68" i="50"/>
  <c r="AA79" i="50"/>
  <c r="BE68" i="50"/>
  <c r="AO79" i="50"/>
  <c r="BA17" i="61"/>
  <c r="BC393" i="28"/>
  <c r="BA393" i="28"/>
  <c r="BC392" i="28"/>
  <c r="BA392" i="28"/>
  <c r="BB359" i="28"/>
  <c r="BB358" i="28"/>
  <c r="BB357" i="28"/>
  <c r="BB356" i="28"/>
  <c r="BB355" i="28"/>
  <c r="BB354" i="28"/>
  <c r="BB353" i="28"/>
  <c r="BB352" i="28"/>
  <c r="BB351" i="28"/>
  <c r="BB350" i="28"/>
  <c r="BB347" i="28"/>
  <c r="BB346" i="28"/>
  <c r="BB342" i="28"/>
  <c r="BB337" i="28"/>
  <c r="BB336" i="28"/>
  <c r="BB335" i="28"/>
  <c r="BB334" i="28"/>
  <c r="BB333" i="28"/>
  <c r="BB332" i="28"/>
  <c r="BB331" i="28"/>
  <c r="BB330" i="28"/>
  <c r="BB328" i="28"/>
  <c r="BB327" i="28"/>
  <c r="BB326" i="28"/>
  <c r="BB325" i="28"/>
  <c r="BB324" i="28"/>
  <c r="BB323" i="28"/>
  <c r="BB322" i="28"/>
  <c r="BB321" i="28"/>
  <c r="BB320" i="28"/>
  <c r="BB319" i="28"/>
  <c r="BB316" i="28"/>
  <c r="BB309" i="28"/>
  <c r="BB308" i="28"/>
  <c r="BB307" i="28"/>
  <c r="BB306" i="28"/>
  <c r="BB305" i="28"/>
  <c r="BB304" i="28"/>
  <c r="BB303" i="28"/>
  <c r="BB302" i="28"/>
  <c r="BB298" i="28"/>
  <c r="BB297" i="28"/>
  <c r="BB296" i="28"/>
  <c r="BB295" i="28"/>
  <c r="BB294" i="28"/>
  <c r="BB293" i="28"/>
  <c r="BB292" i="28"/>
  <c r="BB289" i="28"/>
  <c r="BB285" i="28"/>
  <c r="BB284" i="28"/>
  <c r="BB283" i="28"/>
  <c r="BB280" i="28"/>
  <c r="BB278" i="28"/>
  <c r="BB277" i="28"/>
  <c r="BB276" i="28"/>
  <c r="BB275" i="28"/>
  <c r="BB274" i="28"/>
  <c r="BB273" i="28"/>
  <c r="BB272" i="28"/>
  <c r="BB271" i="28"/>
  <c r="BB270" i="28"/>
  <c r="BB269" i="28"/>
  <c r="BB268" i="28"/>
  <c r="BB267" i="28"/>
  <c r="BB266" i="28"/>
  <c r="BB265" i="28"/>
  <c r="BB263" i="28"/>
  <c r="BB262" i="28"/>
  <c r="BB261" i="28"/>
  <c r="BB260" i="28"/>
  <c r="BB259" i="28"/>
  <c r="BB258" i="28"/>
  <c r="BB257" i="28"/>
  <c r="BB256" i="28"/>
  <c r="BB255" i="28"/>
  <c r="BB254" i="28"/>
  <c r="BB252" i="28"/>
  <c r="BB251" i="28"/>
  <c r="BB249" i="28"/>
  <c r="BB248" i="28"/>
  <c r="BB247" i="28"/>
  <c r="BB246" i="28"/>
  <c r="BB245" i="28"/>
  <c r="BB244" i="28"/>
  <c r="BB240" i="28"/>
  <c r="BB239" i="28"/>
  <c r="BB238" i="28"/>
  <c r="BB233" i="28"/>
  <c r="BB232" i="28"/>
  <c r="BB231" i="28"/>
  <c r="BB230" i="28"/>
  <c r="BB229" i="28"/>
  <c r="BB228" i="28"/>
  <c r="BB227" i="28"/>
  <c r="BB226" i="28"/>
  <c r="BB225" i="28"/>
  <c r="BB224" i="28"/>
  <c r="BB222" i="28"/>
  <c r="BB221" i="28"/>
  <c r="BB220" i="28"/>
  <c r="BB219" i="28"/>
  <c r="BB218" i="28"/>
  <c r="BB217" i="28"/>
  <c r="BB216" i="28"/>
  <c r="BB215" i="28"/>
  <c r="BB214" i="28"/>
  <c r="BB213" i="28"/>
  <c r="BB212" i="28"/>
  <c r="BB211" i="28"/>
  <c r="BB210" i="28"/>
  <c r="BB209" i="28"/>
  <c r="BB208" i="28"/>
  <c r="BB207" i="28"/>
  <c r="BB206" i="28"/>
  <c r="BB205" i="28"/>
  <c r="BB204" i="28"/>
  <c r="BB203" i="28"/>
  <c r="BB202" i="28"/>
  <c r="BB201" i="28"/>
  <c r="BB197" i="28"/>
  <c r="BB195" i="28"/>
  <c r="BB193" i="28"/>
  <c r="BB189" i="28"/>
  <c r="BB184" i="28"/>
  <c r="BB183" i="28"/>
  <c r="BB182" i="28"/>
  <c r="BB181" i="28"/>
  <c r="BB167" i="28"/>
  <c r="BB166" i="28"/>
  <c r="BB165" i="28"/>
  <c r="BB164" i="28"/>
  <c r="BB163" i="28"/>
  <c r="BB162" i="28"/>
  <c r="BB161" i="28"/>
  <c r="BB160" i="28"/>
  <c r="BB159" i="28"/>
  <c r="BB158" i="28"/>
  <c r="BB157" i="28"/>
  <c r="BB156" i="28"/>
  <c r="BB155" i="28"/>
  <c r="BB154" i="28"/>
  <c r="BB153" i="28"/>
  <c r="BB152" i="28"/>
  <c r="BB151" i="28"/>
  <c r="BB150" i="28"/>
  <c r="BB149" i="28"/>
  <c r="BB148" i="28"/>
  <c r="BB147" i="28"/>
  <c r="BB146" i="28"/>
  <c r="BB144" i="28"/>
  <c r="BB143" i="28"/>
  <c r="BB142" i="28"/>
  <c r="BB141" i="28"/>
  <c r="BB140" i="28"/>
  <c r="BB139" i="28"/>
  <c r="BB138" i="28"/>
  <c r="BB137" i="28"/>
  <c r="BB136" i="28"/>
  <c r="BB135" i="28"/>
  <c r="BB134" i="28"/>
  <c r="BB133" i="28"/>
  <c r="BB132" i="28"/>
  <c r="BB131" i="28"/>
  <c r="BB130" i="28"/>
  <c r="BB129" i="28"/>
  <c r="BB128" i="28"/>
  <c r="BB127" i="28"/>
  <c r="BB126" i="28"/>
  <c r="BB125" i="28"/>
  <c r="BB124" i="28"/>
  <c r="BB123" i="28"/>
  <c r="BB122" i="28"/>
  <c r="BB121" i="28"/>
  <c r="BB120" i="28"/>
  <c r="BB119" i="28"/>
  <c r="BB118" i="28"/>
  <c r="BB116" i="28"/>
  <c r="BB115" i="28"/>
  <c r="BB114" i="28"/>
  <c r="BB113" i="28"/>
  <c r="BB112" i="28"/>
  <c r="BB111" i="28"/>
  <c r="BB110" i="28"/>
  <c r="BB109" i="28"/>
  <c r="BB108" i="28"/>
  <c r="BB107" i="28"/>
  <c r="BB106" i="28"/>
  <c r="BB105" i="28"/>
  <c r="BB102" i="28"/>
  <c r="BB101" i="28"/>
  <c r="BB100" i="28"/>
  <c r="BB99" i="28"/>
  <c r="BB98" i="28"/>
  <c r="BB97" i="28"/>
  <c r="BB96" i="28"/>
  <c r="BB95" i="28"/>
  <c r="BB94" i="28"/>
  <c r="BB93" i="28"/>
  <c r="BB92" i="28"/>
  <c r="BB91" i="28"/>
  <c r="BB90" i="28"/>
  <c r="BB89" i="28"/>
  <c r="BB88" i="28"/>
  <c r="BB87" i="28"/>
  <c r="BB86" i="28"/>
  <c r="BA83" i="28"/>
  <c r="BA82" i="28"/>
  <c r="BA79" i="28"/>
  <c r="BB78" i="28"/>
  <c r="BA78" i="28"/>
  <c r="BB77" i="28"/>
  <c r="BA75" i="28"/>
  <c r="BB74" i="28"/>
  <c r="BA74" i="28"/>
  <c r="BB73" i="28"/>
  <c r="BA71" i="28"/>
  <c r="BB70" i="28"/>
  <c r="BA70" i="28"/>
  <c r="BB69" i="28"/>
  <c r="BA67" i="28"/>
  <c r="BB66" i="28"/>
  <c r="BA66" i="28"/>
  <c r="BB65" i="28"/>
  <c r="BA51" i="28"/>
  <c r="BB45" i="28"/>
  <c r="BB44" i="28"/>
  <c r="BB43" i="28"/>
  <c r="BB42" i="28"/>
  <c r="BB39" i="28"/>
  <c r="BB38" i="28"/>
  <c r="BB37" i="28"/>
  <c r="BB36" i="28"/>
  <c r="BB35" i="28"/>
  <c r="BA32" i="28"/>
  <c r="BA31" i="28"/>
  <c r="BA30" i="28"/>
  <c r="BB25" i="28"/>
  <c r="BA25" i="28"/>
  <c r="BB24" i="28"/>
  <c r="BA24" i="28"/>
  <c r="BB23" i="28"/>
  <c r="BA23" i="28"/>
  <c r="BB22" i="28"/>
  <c r="BB21" i="28"/>
  <c r="BB18" i="28"/>
  <c r="BA18" i="28"/>
  <c r="BB17" i="28"/>
  <c r="BA17" i="28"/>
  <c r="BB16" i="28"/>
  <c r="BA16" i="28"/>
  <c r="BA241" i="28" s="1"/>
  <c r="BB15" i="28"/>
  <c r="BA15" i="28"/>
  <c r="BB14" i="28"/>
  <c r="BB11" i="28"/>
  <c r="BA11" i="28"/>
  <c r="BB10" i="28"/>
  <c r="BA10" i="28"/>
  <c r="BB9" i="28"/>
  <c r="BA9" i="28"/>
  <c r="BB8" i="28"/>
  <c r="BB7" i="28"/>
  <c r="AZ28" i="28"/>
  <c r="AZ50" i="28" s="1"/>
  <c r="AY393" i="28"/>
  <c r="AY392" i="28"/>
  <c r="AZ349" i="28"/>
  <c r="AZ345" i="28"/>
  <c r="AZ318" i="28"/>
  <c r="AZ317" i="28"/>
  <c r="AZ310" i="28"/>
  <c r="AZ384" i="28" s="1"/>
  <c r="AY310" i="28"/>
  <c r="AZ299" i="28"/>
  <c r="AZ241" i="28"/>
  <c r="AY241" i="28"/>
  <c r="AZ235" i="28"/>
  <c r="AZ234" i="28"/>
  <c r="AY234" i="28"/>
  <c r="AZ198" i="28"/>
  <c r="AY198" i="28"/>
  <c r="AZ185" i="28"/>
  <c r="AZ186" i="28" s="1"/>
  <c r="AZ82" i="28"/>
  <c r="AZ81" i="28"/>
  <c r="AZ79" i="28"/>
  <c r="AZ75" i="28"/>
  <c r="AZ71" i="28"/>
  <c r="AZ67" i="28"/>
  <c r="AY54" i="28"/>
  <c r="AY53" i="28"/>
  <c r="AY52" i="28"/>
  <c r="AZ46" i="28"/>
  <c r="AZ47" i="28" s="1"/>
  <c r="AZ40" i="28"/>
  <c r="AZ31" i="28"/>
  <c r="AZ53" i="28" s="1"/>
  <c r="AZ30" i="28"/>
  <c r="AZ29" i="28"/>
  <c r="AZ51" i="28" s="1"/>
  <c r="AY28" i="28"/>
  <c r="AZ26" i="28"/>
  <c r="AZ60" i="28" s="1"/>
  <c r="AY21" i="28"/>
  <c r="AY26" i="28" s="1"/>
  <c r="AZ19" i="28"/>
  <c r="AZ377" i="28" s="1"/>
  <c r="AY14" i="28"/>
  <c r="AY235" i="28" s="1"/>
  <c r="AZ12" i="28"/>
  <c r="AY7" i="28"/>
  <c r="K121" i="50" l="1"/>
  <c r="BC121" i="50"/>
  <c r="AS122" i="50"/>
  <c r="AS123" i="50"/>
  <c r="AS129" i="50" s="1"/>
  <c r="AM122" i="50"/>
  <c r="AM123" i="50"/>
  <c r="AM129" i="50" s="1"/>
  <c r="AO121" i="50"/>
  <c r="BE79" i="50"/>
  <c r="AA121" i="50"/>
  <c r="Q122" i="50"/>
  <c r="Q123" i="50"/>
  <c r="Q129" i="50" s="1"/>
  <c r="O121" i="50"/>
  <c r="K122" i="50"/>
  <c r="K123" i="50"/>
  <c r="AG68" i="50"/>
  <c r="AC79" i="50"/>
  <c r="S79" i="50"/>
  <c r="W68" i="50"/>
  <c r="AZ343" i="28"/>
  <c r="AZ393" i="28" s="1"/>
  <c r="AZ380" i="28"/>
  <c r="AZ376" i="28"/>
  <c r="AY19" i="28"/>
  <c r="AY59" i="28" s="1"/>
  <c r="AY69" i="28" s="1"/>
  <c r="AY377" i="28" s="1"/>
  <c r="AZ32" i="28"/>
  <c r="AZ52" i="28"/>
  <c r="AZ300" i="28"/>
  <c r="AZ236" i="28"/>
  <c r="AY12" i="28"/>
  <c r="AY186" i="28" s="1"/>
  <c r="AZ375" i="28"/>
  <c r="AY60" i="28"/>
  <c r="AY300" i="28"/>
  <c r="AZ33" i="28"/>
  <c r="AZ373" i="28"/>
  <c r="AZ360" i="28"/>
  <c r="AY33" i="28"/>
  <c r="AZ59" i="28"/>
  <c r="AZ374" i="28"/>
  <c r="AZ381" i="28"/>
  <c r="AZ58" i="28"/>
  <c r="AZ83" i="28"/>
  <c r="AY50" i="28"/>
  <c r="BC15" i="36"/>
  <c r="BA15" i="36"/>
  <c r="AY25" i="36"/>
  <c r="AY26" i="36"/>
  <c r="BC122" i="50" l="1"/>
  <c r="BC123" i="50"/>
  <c r="BE121" i="50"/>
  <c r="AO123" i="50"/>
  <c r="AO122" i="50"/>
  <c r="AA123" i="50"/>
  <c r="AA122" i="50"/>
  <c r="W79" i="50"/>
  <c r="AC121" i="50"/>
  <c r="O122" i="50"/>
  <c r="O123" i="50"/>
  <c r="S121" i="50"/>
  <c r="AK68" i="50"/>
  <c r="AG79" i="50"/>
  <c r="AY236" i="28"/>
  <c r="AY371" i="28" s="1"/>
  <c r="AZ54" i="28"/>
  <c r="AZ370" i="28"/>
  <c r="AZ371" i="28"/>
  <c r="AZ84" i="28"/>
  <c r="AZ383" i="28"/>
  <c r="AZ382" i="28"/>
  <c r="AZ379" i="28"/>
  <c r="AZ378" i="28"/>
  <c r="AY58" i="28"/>
  <c r="AY65" i="28" s="1"/>
  <c r="AY383" i="28"/>
  <c r="AY55" i="28"/>
  <c r="AY375" i="28"/>
  <c r="AY378" i="28"/>
  <c r="AZ385" i="28"/>
  <c r="AZ61" i="28"/>
  <c r="AY73" i="28"/>
  <c r="AZ392" i="28"/>
  <c r="AY61" i="28"/>
  <c r="AY361" i="28"/>
  <c r="AY387" i="28" s="1"/>
  <c r="AZ361" i="28"/>
  <c r="W121" i="50" l="1"/>
  <c r="BE123" i="50"/>
  <c r="BE122" i="50"/>
  <c r="AG121" i="50"/>
  <c r="S122" i="50"/>
  <c r="S123" i="50"/>
  <c r="AC123" i="50"/>
  <c r="AC122" i="50"/>
  <c r="W123" i="50"/>
  <c r="W122" i="50"/>
  <c r="AK79" i="50"/>
  <c r="AQ68" i="50"/>
  <c r="AY370" i="28"/>
  <c r="AY379" i="28"/>
  <c r="AZ55" i="28"/>
  <c r="AZ387" i="28"/>
  <c r="AY62" i="28"/>
  <c r="AY391" i="28" s="1"/>
  <c r="AY374" i="28"/>
  <c r="AY373" i="28"/>
  <c r="AY364" i="28"/>
  <c r="AY390" i="28"/>
  <c r="AY77" i="28"/>
  <c r="AZ62" i="28"/>
  <c r="AZ364" i="28"/>
  <c r="AZ365" i="28"/>
  <c r="AZ386" i="28"/>
  <c r="AY382" i="28"/>
  <c r="AY381" i="28"/>
  <c r="AG123" i="50" l="1"/>
  <c r="AG122" i="50"/>
  <c r="AK121" i="50"/>
  <c r="AQ79" i="50"/>
  <c r="AU68" i="50"/>
  <c r="AZ56" i="28"/>
  <c r="AY386" i="28"/>
  <c r="AY385" i="28"/>
  <c r="AY365" i="28"/>
  <c r="AY81" i="28"/>
  <c r="AK123" i="50" l="1"/>
  <c r="AK122" i="50"/>
  <c r="AQ121" i="50"/>
  <c r="AY68" i="50"/>
  <c r="AU79" i="50"/>
  <c r="BF18" i="49"/>
  <c r="BE18" i="49"/>
  <c r="BC18" i="49"/>
  <c r="BB18" i="49"/>
  <c r="BA18" i="49"/>
  <c r="BE17" i="49"/>
  <c r="BC17" i="49"/>
  <c r="BA17" i="49"/>
  <c r="BF17" i="49"/>
  <c r="BD17" i="49"/>
  <c r="BD18" i="49" s="1"/>
  <c r="BB17" i="49"/>
  <c r="BC16" i="49"/>
  <c r="BA16" i="49"/>
  <c r="BC15" i="49"/>
  <c r="BA15" i="49"/>
  <c r="BE13" i="49"/>
  <c r="BC13" i="49"/>
  <c r="BA13" i="49"/>
  <c r="BF11" i="49"/>
  <c r="BE11" i="49"/>
  <c r="BD11" i="49"/>
  <c r="BC11" i="49"/>
  <c r="BB11" i="49"/>
  <c r="BA11" i="49"/>
  <c r="BA12" i="49" s="1"/>
  <c r="BA14" i="49" s="1"/>
  <c r="BC10" i="49"/>
  <c r="BA10" i="49"/>
  <c r="BE9" i="49"/>
  <c r="BC9" i="49"/>
  <c r="BA9" i="49"/>
  <c r="BE8" i="49"/>
  <c r="BD8" i="49"/>
  <c r="BC8" i="49"/>
  <c r="BB8" i="49"/>
  <c r="BA8" i="49"/>
  <c r="BF6" i="49"/>
  <c r="BE6" i="49"/>
  <c r="BD6" i="49"/>
  <c r="BC6" i="49"/>
  <c r="BB6" i="49"/>
  <c r="BA6" i="49"/>
  <c r="AZ18" i="49"/>
  <c r="AY18" i="49"/>
  <c r="AY13" i="49"/>
  <c r="AZ11" i="49"/>
  <c r="AY11" i="49"/>
  <c r="AY10" i="49"/>
  <c r="AZ9" i="49"/>
  <c r="AY9" i="49"/>
  <c r="AZ8" i="49"/>
  <c r="AY8" i="49"/>
  <c r="AZ6" i="49"/>
  <c r="AY6" i="49"/>
  <c r="AY79" i="50" l="1"/>
  <c r="AQ122" i="50"/>
  <c r="AQ123" i="50"/>
  <c r="AU121" i="50"/>
  <c r="AY121" i="50"/>
  <c r="BA19" i="49"/>
  <c r="BC12" i="49"/>
  <c r="BC14" i="49" s="1"/>
  <c r="BC19" i="49" s="1"/>
  <c r="BC20" i="49" s="1"/>
  <c r="BA20" i="49"/>
  <c r="AY12" i="49"/>
  <c r="AY14" i="49" s="1"/>
  <c r="AY15" i="49" s="1"/>
  <c r="AY16" i="49" s="1"/>
  <c r="AY19" i="49" s="1"/>
  <c r="AY20" i="49" s="1"/>
  <c r="AY123" i="50" l="1"/>
  <c r="AY122" i="50"/>
  <c r="AU122" i="50"/>
  <c r="AU123" i="50"/>
  <c r="BB89" i="50"/>
  <c r="BB90" i="50" s="1"/>
  <c r="BF89" i="50"/>
  <c r="BF90" i="50" s="1"/>
  <c r="AZ89" i="50"/>
  <c r="AZ90" i="50" s="1"/>
  <c r="BA88" i="50"/>
  <c r="BG88" i="50" s="1"/>
  <c r="BA87" i="50"/>
  <c r="BG87" i="50" s="1"/>
  <c r="BA86" i="50"/>
  <c r="BA37" i="72"/>
  <c r="BA39" i="72"/>
  <c r="BA40" i="72"/>
  <c r="BA36" i="72"/>
  <c r="BA28" i="72"/>
  <c r="BA30" i="72"/>
  <c r="BA26" i="72"/>
  <c r="BA20" i="72"/>
  <c r="BA9" i="72"/>
  <c r="BA10" i="72"/>
  <c r="BA11" i="72"/>
  <c r="BA12" i="72"/>
  <c r="BA13" i="72"/>
  <c r="BA14" i="72"/>
  <c r="BA7" i="72"/>
  <c r="AY42" i="72"/>
  <c r="BA42" i="72" s="1"/>
  <c r="AY40" i="72"/>
  <c r="AY39" i="72"/>
  <c r="AY38" i="72"/>
  <c r="BA38" i="72" s="1"/>
  <c r="AY37" i="72"/>
  <c r="AY36" i="72"/>
  <c r="AY32" i="72"/>
  <c r="BA32" i="72" s="1"/>
  <c r="AY31" i="72"/>
  <c r="BA31" i="72" s="1"/>
  <c r="AY30" i="72"/>
  <c r="AY29" i="72"/>
  <c r="BA29" i="72" s="1"/>
  <c r="AY28" i="72"/>
  <c r="AY27" i="72"/>
  <c r="BA27" i="72" s="1"/>
  <c r="AY26" i="72"/>
  <c r="AY22" i="72"/>
  <c r="BA22" i="72" s="1"/>
  <c r="AY21" i="72"/>
  <c r="BA21" i="72" s="1"/>
  <c r="AY20" i="72"/>
  <c r="AY16" i="72"/>
  <c r="BA16" i="72" s="1"/>
  <c r="AY15" i="72"/>
  <c r="BA15" i="72" s="1"/>
  <c r="AY14" i="72"/>
  <c r="AY13" i="72"/>
  <c r="AY12" i="72"/>
  <c r="AY11" i="72"/>
  <c r="AY10" i="72"/>
  <c r="AY9" i="72"/>
  <c r="AY8" i="72"/>
  <c r="BA8" i="72" s="1"/>
  <c r="AY7" i="72"/>
  <c r="AW41" i="72"/>
  <c r="AW33" i="72"/>
  <c r="AW23" i="72"/>
  <c r="AW17" i="72"/>
  <c r="AP76" i="71"/>
  <c r="AP75" i="71"/>
  <c r="AP74" i="71"/>
  <c r="AO75" i="71"/>
  <c r="AO76" i="71"/>
  <c r="AO74" i="71"/>
  <c r="AO46" i="71"/>
  <c r="AP46" i="71"/>
  <c r="AQ46" i="71"/>
  <c r="AR46" i="71"/>
  <c r="AO47" i="71"/>
  <c r="AP47" i="71" s="1"/>
  <c r="AQ47" i="71"/>
  <c r="AR47" i="71"/>
  <c r="AO48" i="71"/>
  <c r="AP48" i="71"/>
  <c r="AQ48" i="71"/>
  <c r="AR48" i="71" s="1"/>
  <c r="AU46" i="71"/>
  <c r="AW46" i="71"/>
  <c r="CU46" i="71" s="1"/>
  <c r="BA46" i="71"/>
  <c r="BE46" i="71"/>
  <c r="BI46" i="71"/>
  <c r="BM46" i="71"/>
  <c r="BS46" i="71"/>
  <c r="BW46" i="71"/>
  <c r="CA46" i="71"/>
  <c r="CG46" i="71"/>
  <c r="CK46" i="71"/>
  <c r="CO46" i="71"/>
  <c r="AU47" i="71"/>
  <c r="AW47" i="71"/>
  <c r="BA47" i="71"/>
  <c r="CU47" i="71" s="1"/>
  <c r="BE47" i="71"/>
  <c r="BI47" i="71"/>
  <c r="BM47" i="71"/>
  <c r="BS47" i="71"/>
  <c r="BW47" i="71"/>
  <c r="CA47" i="71"/>
  <c r="CG47" i="71"/>
  <c r="CK47" i="71"/>
  <c r="CO47" i="71"/>
  <c r="V46" i="71"/>
  <c r="W46" i="71" s="1"/>
  <c r="X46" i="71"/>
  <c r="V47" i="71"/>
  <c r="W47" i="71" s="1"/>
  <c r="X47" i="71"/>
  <c r="R46" i="71"/>
  <c r="R47" i="71"/>
  <c r="M46" i="71"/>
  <c r="N46" i="71"/>
  <c r="M47" i="71"/>
  <c r="N47" i="71"/>
  <c r="CO8" i="71"/>
  <c r="CO9" i="71"/>
  <c r="CO10" i="71"/>
  <c r="CO11" i="71"/>
  <c r="CO12" i="71"/>
  <c r="CO13" i="71"/>
  <c r="CO14" i="71"/>
  <c r="CO15" i="71"/>
  <c r="CO16" i="71"/>
  <c r="CO17" i="71"/>
  <c r="CO18" i="71"/>
  <c r="CO19" i="71"/>
  <c r="CO20" i="71"/>
  <c r="CO21" i="71"/>
  <c r="CO22" i="71"/>
  <c r="CO23" i="71"/>
  <c r="CO24" i="71"/>
  <c r="CO25" i="71"/>
  <c r="CO26" i="71"/>
  <c r="CO27" i="71"/>
  <c r="CO28" i="71"/>
  <c r="CO29" i="71"/>
  <c r="CO30" i="71"/>
  <c r="CO31" i="71"/>
  <c r="CO32" i="71"/>
  <c r="CO33" i="71"/>
  <c r="CO34" i="71"/>
  <c r="CO35" i="71"/>
  <c r="CO36" i="71"/>
  <c r="CO37" i="71"/>
  <c r="CO38" i="71"/>
  <c r="CO39" i="71"/>
  <c r="CO40" i="71"/>
  <c r="CO41" i="71"/>
  <c r="CO42" i="71"/>
  <c r="CO43" i="71"/>
  <c r="CO44" i="71"/>
  <c r="CO45" i="71"/>
  <c r="CO48" i="71"/>
  <c r="CO49" i="71"/>
  <c r="CO50" i="71"/>
  <c r="CO51" i="71"/>
  <c r="CO52" i="71"/>
  <c r="CO53" i="71"/>
  <c r="CO54" i="71"/>
  <c r="CO55" i="71"/>
  <c r="CO56" i="71"/>
  <c r="CO57" i="71"/>
  <c r="CO58" i="71"/>
  <c r="CO59" i="71"/>
  <c r="CO60" i="71"/>
  <c r="CO61" i="71"/>
  <c r="CO62" i="71"/>
  <c r="CO63" i="71"/>
  <c r="CO64" i="71"/>
  <c r="CO65" i="71"/>
  <c r="CO66" i="71"/>
  <c r="CO67" i="71"/>
  <c r="CO68" i="71"/>
  <c r="CO69" i="71"/>
  <c r="CO70" i="71"/>
  <c r="CO71" i="71"/>
  <c r="BA89" i="50" l="1"/>
  <c r="BA90" i="50" s="1"/>
  <c r="BG86" i="50"/>
  <c r="BG89" i="50" s="1"/>
  <c r="AZ128" i="10"/>
  <c r="AZ129" i="10" s="1"/>
  <c r="AY17" i="72"/>
  <c r="AY23" i="72"/>
  <c r="AY33" i="72"/>
  <c r="AY41" i="72"/>
  <c r="AW43" i="72"/>
  <c r="AY44" i="45"/>
  <c r="AY45" i="45"/>
  <c r="AY46" i="45"/>
  <c r="AY47" i="45"/>
  <c r="AY48" i="45"/>
  <c r="AY49" i="45"/>
  <c r="AY50" i="45"/>
  <c r="AY51" i="45"/>
  <c r="AY52" i="45"/>
  <c r="AY53" i="45"/>
  <c r="AY54" i="45"/>
  <c r="AY55" i="45"/>
  <c r="AY56" i="45"/>
  <c r="AY57" i="45"/>
  <c r="BG57" i="45" s="1"/>
  <c r="BG44" i="45"/>
  <c r="BC44" i="45"/>
  <c r="BE44" i="45" s="1"/>
  <c r="BC57" i="45"/>
  <c r="BE57" i="45" s="1"/>
  <c r="BG23" i="45"/>
  <c r="BC23" i="45"/>
  <c r="BE23" i="45" s="1"/>
  <c r="AY43" i="72" l="1"/>
  <c r="BF26" i="36"/>
  <c r="BE26" i="36"/>
  <c r="BD26" i="36"/>
  <c r="BC26" i="36"/>
  <c r="BB26" i="36"/>
  <c r="BA26" i="36"/>
  <c r="BC25" i="36"/>
  <c r="BA25" i="36"/>
  <c r="BE62" i="39" l="1"/>
  <c r="BE60" i="39"/>
  <c r="BE59" i="39"/>
  <c r="BE58" i="39"/>
  <c r="BE57" i="39"/>
  <c r="BE56" i="39"/>
  <c r="BE55" i="39"/>
  <c r="BE54" i="39"/>
  <c r="BE53" i="39"/>
  <c r="AY49" i="39"/>
  <c r="AY44" i="39"/>
  <c r="AX44" i="39"/>
  <c r="BE42" i="39"/>
  <c r="BE41" i="39"/>
  <c r="BE38" i="39"/>
  <c r="BE37" i="39"/>
  <c r="BE30" i="39"/>
  <c r="BE28" i="39"/>
  <c r="BE27" i="39"/>
  <c r="AY22" i="39"/>
  <c r="AX21" i="39"/>
  <c r="BE20" i="39"/>
  <c r="BE17" i="39"/>
  <c r="BE16" i="39"/>
  <c r="BE15" i="39"/>
  <c r="BE14" i="39"/>
  <c r="BE13" i="39"/>
  <c r="BE12" i="39"/>
  <c r="BE11" i="39"/>
  <c r="BE10" i="39"/>
  <c r="BE9" i="39"/>
  <c r="AY8" i="39"/>
  <c r="AX8" i="39"/>
  <c r="AY21" i="39" l="1"/>
  <c r="BD50" i="11"/>
  <c r="AC38" i="45"/>
  <c r="O7" i="45"/>
  <c r="O8" i="45"/>
  <c r="O9" i="45"/>
  <c r="O10" i="45"/>
  <c r="O11" i="45"/>
  <c r="O12" i="45"/>
  <c r="O13" i="45"/>
  <c r="O14" i="45"/>
  <c r="O15" i="45"/>
  <c r="O16" i="45"/>
  <c r="O17" i="45"/>
  <c r="O18" i="45"/>
  <c r="O19" i="45"/>
  <c r="O20" i="45"/>
  <c r="O21" i="45"/>
  <c r="O22" i="45"/>
  <c r="O24" i="45"/>
  <c r="O25" i="45"/>
  <c r="O26" i="45"/>
  <c r="O27" i="45"/>
  <c r="O28" i="45"/>
  <c r="O29" i="45"/>
  <c r="O30" i="45"/>
  <c r="O31" i="45"/>
  <c r="O32" i="45"/>
  <c r="O33" i="45"/>
  <c r="O34" i="45"/>
  <c r="O35" i="45"/>
  <c r="AC35" i="45" s="1"/>
  <c r="O36" i="45"/>
  <c r="AC36" i="45" s="1"/>
  <c r="O37" i="45"/>
  <c r="O38" i="45"/>
  <c r="O39" i="45"/>
  <c r="O40" i="45"/>
  <c r="O41" i="45"/>
  <c r="AC41" i="45" s="1"/>
  <c r="O42" i="45"/>
  <c r="O43" i="45"/>
  <c r="O45" i="45"/>
  <c r="O46" i="45"/>
  <c r="O47" i="45"/>
  <c r="O48" i="45"/>
  <c r="O49" i="45"/>
  <c r="O50" i="45"/>
  <c r="O51" i="45"/>
  <c r="O52" i="45"/>
  <c r="O53" i="45"/>
  <c r="O54" i="45"/>
  <c r="O55" i="45"/>
  <c r="O56" i="45"/>
  <c r="O58" i="45"/>
  <c r="O59" i="45"/>
  <c r="O60" i="45"/>
  <c r="O61" i="45"/>
  <c r="O62" i="45"/>
  <c r="O63" i="45"/>
  <c r="O64" i="45"/>
  <c r="O65" i="45"/>
  <c r="O66" i="45"/>
  <c r="O67" i="45"/>
  <c r="O68" i="45"/>
  <c r="O69" i="45"/>
  <c r="O70" i="45"/>
  <c r="O71" i="45"/>
  <c r="BC7" i="45"/>
  <c r="BC8" i="45"/>
  <c r="BC9" i="45"/>
  <c r="BC10" i="45"/>
  <c r="BC11" i="45"/>
  <c r="BC12" i="45"/>
  <c r="BC13" i="45"/>
  <c r="BC14" i="45"/>
  <c r="BC15" i="45"/>
  <c r="BC16" i="45"/>
  <c r="BC17" i="45"/>
  <c r="BC18" i="45"/>
  <c r="BC19" i="45"/>
  <c r="BC20" i="45"/>
  <c r="BC21" i="45"/>
  <c r="BC22" i="45"/>
  <c r="BC24" i="45"/>
  <c r="BC25" i="45"/>
  <c r="BC26" i="45"/>
  <c r="BC27" i="45"/>
  <c r="BC28" i="45"/>
  <c r="BC29" i="45"/>
  <c r="BC30" i="45"/>
  <c r="BC31" i="45"/>
  <c r="BC32" i="45"/>
  <c r="BC33" i="45"/>
  <c r="BC34" i="45"/>
  <c r="BC35" i="45"/>
  <c r="BC36" i="45"/>
  <c r="BC37" i="45"/>
  <c r="BC38" i="45"/>
  <c r="BE38" i="45" s="1"/>
  <c r="BC39" i="45"/>
  <c r="BC40" i="45"/>
  <c r="BC41" i="45"/>
  <c r="BC42" i="45"/>
  <c r="BC43" i="45"/>
  <c r="BC45" i="45"/>
  <c r="BC46" i="45"/>
  <c r="BC47" i="45"/>
  <c r="BC48" i="45"/>
  <c r="BC49" i="45"/>
  <c r="BC50" i="45"/>
  <c r="BC51" i="45"/>
  <c r="BC52" i="45"/>
  <c r="BC53" i="45"/>
  <c r="BC54" i="45"/>
  <c r="BC55" i="45"/>
  <c r="BC56" i="45"/>
  <c r="BC58" i="45"/>
  <c r="BC59" i="45"/>
  <c r="BC60" i="45"/>
  <c r="BC61" i="45"/>
  <c r="BC62" i="45"/>
  <c r="BC63" i="45"/>
  <c r="BC64" i="45"/>
  <c r="BC65" i="45"/>
  <c r="BC66" i="45"/>
  <c r="BC67" i="45"/>
  <c r="BC68" i="45"/>
  <c r="BC69" i="45"/>
  <c r="BC70" i="45"/>
  <c r="BC71" i="45"/>
  <c r="BC100" i="45"/>
  <c r="BC99" i="45"/>
  <c r="BC104" i="45" s="1"/>
  <c r="BC95" i="45"/>
  <c r="BC94" i="45"/>
  <c r="BC84" i="45"/>
  <c r="BB84" i="45"/>
  <c r="BC82" i="45"/>
  <c r="BB82" i="45"/>
  <c r="BD73" i="45"/>
  <c r="BD112" i="45" s="1"/>
  <c r="BB73" i="45"/>
  <c r="BC6" i="45"/>
  <c r="BC5" i="45"/>
  <c r="BC86" i="45" s="1"/>
  <c r="BB5" i="45"/>
  <c r="BC2" i="45"/>
  <c r="BB2" i="45"/>
  <c r="BA105" i="45"/>
  <c r="BA104" i="45"/>
  <c r="BA102" i="45"/>
  <c r="BA96" i="45"/>
  <c r="BA97" i="45" s="1"/>
  <c r="BA91" i="45"/>
  <c r="BA90" i="45"/>
  <c r="AZ90" i="45"/>
  <c r="BA89" i="45"/>
  <c r="AZ89" i="45"/>
  <c r="BA87" i="45"/>
  <c r="BA88" i="45" s="1"/>
  <c r="AZ87" i="45"/>
  <c r="AZ88" i="45" s="1"/>
  <c r="AZ86" i="45"/>
  <c r="BA85" i="45"/>
  <c r="AZ85" i="45"/>
  <c r="BA83" i="45"/>
  <c r="AZ83" i="45"/>
  <c r="BA81" i="45"/>
  <c r="BA80" i="45"/>
  <c r="AZ80" i="45"/>
  <c r="AZ81" i="45" s="1"/>
  <c r="BA74" i="45"/>
  <c r="BA107" i="45" s="1"/>
  <c r="BA73" i="45"/>
  <c r="BA112" i="45" s="1"/>
  <c r="AZ73" i="45"/>
  <c r="AZ72" i="45" s="1"/>
  <c r="BA72" i="45"/>
  <c r="BA106" i="45" s="1"/>
  <c r="BD66" i="11"/>
  <c r="BC66" i="11"/>
  <c r="BC63" i="11"/>
  <c r="BC71" i="11" s="1"/>
  <c r="BC59" i="11"/>
  <c r="BD59" i="11"/>
  <c r="BB42" i="11"/>
  <c r="BB43" i="11"/>
  <c r="BB44" i="11"/>
  <c r="BB45" i="11"/>
  <c r="BD45" i="11" s="1"/>
  <c r="BB46" i="11"/>
  <c r="BD46" i="11" s="1"/>
  <c r="BB47" i="11"/>
  <c r="BB48" i="11"/>
  <c r="BB49" i="11"/>
  <c r="BD42" i="11"/>
  <c r="BD43" i="11"/>
  <c r="BD44" i="11"/>
  <c r="BD47" i="11"/>
  <c r="BD48" i="11"/>
  <c r="BD49" i="11"/>
  <c r="BD41" i="11"/>
  <c r="BB8" i="11"/>
  <c r="BB9" i="11"/>
  <c r="BB10" i="11"/>
  <c r="BB11" i="11"/>
  <c r="BD11" i="11" s="1"/>
  <c r="BB12" i="11"/>
  <c r="BD12" i="11" s="1"/>
  <c r="BB13" i="11"/>
  <c r="BB14" i="11"/>
  <c r="BB15" i="11"/>
  <c r="BB16" i="11"/>
  <c r="BB17" i="11"/>
  <c r="BD17" i="11" s="1"/>
  <c r="BB18" i="11"/>
  <c r="BD18" i="11" s="1"/>
  <c r="BB19" i="11"/>
  <c r="BD19" i="11" s="1"/>
  <c r="BB20" i="11"/>
  <c r="BD20" i="11" s="1"/>
  <c r="BB21" i="11"/>
  <c r="BB22" i="11"/>
  <c r="BB23" i="11"/>
  <c r="BD23" i="11" s="1"/>
  <c r="BB24" i="11"/>
  <c r="BD24" i="11" s="1"/>
  <c r="BB25" i="11"/>
  <c r="BD25" i="11" s="1"/>
  <c r="BB26" i="11"/>
  <c r="BD26" i="11" s="1"/>
  <c r="BB27" i="11"/>
  <c r="BB28" i="11"/>
  <c r="BB29" i="11"/>
  <c r="BD29" i="11" s="1"/>
  <c r="BB30" i="11"/>
  <c r="BD30" i="11" s="1"/>
  <c r="BB31" i="11"/>
  <c r="BB32" i="11"/>
  <c r="BB33" i="11"/>
  <c r="BB34" i="11"/>
  <c r="BB35" i="11"/>
  <c r="BD35" i="11" s="1"/>
  <c r="BB36" i="11"/>
  <c r="BD36" i="11" s="1"/>
  <c r="BB37" i="11"/>
  <c r="BD37" i="11" s="1"/>
  <c r="BB38" i="11"/>
  <c r="BB39" i="11"/>
  <c r="BD8" i="11"/>
  <c r="BD9" i="11"/>
  <c r="BD10" i="11"/>
  <c r="BD13" i="11"/>
  <c r="BD14" i="11"/>
  <c r="BD15" i="11"/>
  <c r="BD16" i="11"/>
  <c r="BD21" i="11"/>
  <c r="BD22" i="11"/>
  <c r="BD27" i="11"/>
  <c r="BD28" i="11"/>
  <c r="BD31" i="11"/>
  <c r="BD33" i="11"/>
  <c r="BD34" i="11"/>
  <c r="BD38" i="11"/>
  <c r="BD39" i="11"/>
  <c r="BC2" i="11"/>
  <c r="BD2" i="11"/>
  <c r="BD7" i="11"/>
  <c r="BC90" i="11"/>
  <c r="BA90" i="11"/>
  <c r="BB78" i="11"/>
  <c r="BD78" i="11" s="1"/>
  <c r="BD83" i="11" s="1"/>
  <c r="BB74" i="11"/>
  <c r="BD74" i="11" s="1"/>
  <c r="BB73" i="11"/>
  <c r="BD73" i="11" s="1"/>
  <c r="BB66" i="11"/>
  <c r="BA66" i="11"/>
  <c r="BB63" i="11"/>
  <c r="BD63" i="11" s="1"/>
  <c r="BA63" i="11"/>
  <c r="BA71" i="11" s="1"/>
  <c r="BB61" i="11"/>
  <c r="BD61" i="11" s="1"/>
  <c r="BA61" i="11"/>
  <c r="BB59" i="11"/>
  <c r="BA59" i="11"/>
  <c r="BC52" i="11"/>
  <c r="BA52" i="11"/>
  <c r="BC51" i="11"/>
  <c r="BB50" i="11"/>
  <c r="BB41" i="11"/>
  <c r="BB7" i="11"/>
  <c r="BB5" i="11"/>
  <c r="BB65" i="11" s="1"/>
  <c r="BA5" i="11"/>
  <c r="BA67" i="11" s="1"/>
  <c r="BB2" i="11"/>
  <c r="BA2" i="11"/>
  <c r="AZ83" i="11"/>
  <c r="AZ81" i="11"/>
  <c r="BF78" i="11"/>
  <c r="BF83" i="11" s="1"/>
  <c r="AZ75" i="11"/>
  <c r="AZ82" i="11" s="1"/>
  <c r="BF74" i="11"/>
  <c r="BF73" i="11"/>
  <c r="AZ70" i="11"/>
  <c r="AY70" i="11"/>
  <c r="AZ69" i="11"/>
  <c r="AY69" i="11"/>
  <c r="AZ68" i="11"/>
  <c r="AY68" i="11"/>
  <c r="AZ66" i="11"/>
  <c r="AY66" i="11"/>
  <c r="AY65" i="11"/>
  <c r="AZ64" i="11"/>
  <c r="AY64" i="11"/>
  <c r="AZ62" i="11"/>
  <c r="AY62" i="11"/>
  <c r="BF61" i="11"/>
  <c r="BE61" i="11"/>
  <c r="AZ60" i="11"/>
  <c r="AZ59" i="11"/>
  <c r="BF59" i="11" s="1"/>
  <c r="AY59" i="11"/>
  <c r="BE59" i="11" s="1"/>
  <c r="BE60" i="11" s="1"/>
  <c r="AZ55" i="11"/>
  <c r="AZ53" i="11"/>
  <c r="AZ85" i="11" s="1"/>
  <c r="AZ52" i="11"/>
  <c r="AZ54" i="11" s="1"/>
  <c r="AY52" i="11"/>
  <c r="AY51" i="11" s="1"/>
  <c r="AZ51" i="11"/>
  <c r="AZ84" i="11" s="1"/>
  <c r="BF50" i="11"/>
  <c r="BF49" i="11"/>
  <c r="BF48" i="11"/>
  <c r="BF47" i="11"/>
  <c r="BF46" i="11"/>
  <c r="BF45" i="11"/>
  <c r="BF44" i="11"/>
  <c r="BF43" i="11"/>
  <c r="BF42" i="11"/>
  <c r="BF41" i="11"/>
  <c r="BF39" i="11"/>
  <c r="BF38" i="11"/>
  <c r="BF37" i="11"/>
  <c r="BF36" i="11"/>
  <c r="BF35" i="11"/>
  <c r="BF34" i="11"/>
  <c r="BF33" i="11"/>
  <c r="BF31" i="11"/>
  <c r="BF30" i="11"/>
  <c r="BF29" i="11"/>
  <c r="BF28" i="11"/>
  <c r="BF27" i="11"/>
  <c r="BF26" i="11"/>
  <c r="BF25" i="11"/>
  <c r="BF24" i="11"/>
  <c r="BF23" i="11"/>
  <c r="BF22" i="11"/>
  <c r="BF21" i="11"/>
  <c r="BF20" i="11"/>
  <c r="BF19" i="11"/>
  <c r="BF18" i="11"/>
  <c r="BF17" i="11"/>
  <c r="BF16" i="11"/>
  <c r="BF15" i="11"/>
  <c r="BF14" i="11"/>
  <c r="BF13" i="11"/>
  <c r="BF12" i="11"/>
  <c r="BF11" i="11"/>
  <c r="BF10" i="11"/>
  <c r="BF9" i="11"/>
  <c r="BF8" i="11"/>
  <c r="BF7" i="11"/>
  <c r="BF5" i="11"/>
  <c r="BE5" i="11"/>
  <c r="BE65" i="11" s="1"/>
  <c r="BF2" i="11"/>
  <c r="BE2" i="11"/>
  <c r="BB150" i="10"/>
  <c r="BB155" i="10" s="1"/>
  <c r="BB146" i="10"/>
  <c r="BB145" i="10"/>
  <c r="BB135" i="10"/>
  <c r="BA135" i="10"/>
  <c r="BB133" i="10"/>
  <c r="BA133" i="10"/>
  <c r="BB7" i="10"/>
  <c r="BB5" i="10"/>
  <c r="BB153" i="10" s="1"/>
  <c r="BA5" i="10"/>
  <c r="BB2" i="10"/>
  <c r="BA2" i="10"/>
  <c r="AZ155" i="10"/>
  <c r="AZ153" i="10"/>
  <c r="AZ147" i="10"/>
  <c r="AZ154" i="10" s="1"/>
  <c r="AZ142" i="10"/>
  <c r="AZ141" i="10"/>
  <c r="AY141" i="10"/>
  <c r="AZ140" i="10"/>
  <c r="AY140" i="10"/>
  <c r="AZ138" i="10"/>
  <c r="AZ139" i="10" s="1"/>
  <c r="AY138" i="10"/>
  <c r="AY139" i="10" s="1"/>
  <c r="AY137" i="10"/>
  <c r="AZ136" i="10"/>
  <c r="AY136" i="10"/>
  <c r="AZ134" i="10"/>
  <c r="BC58" i="59" s="1"/>
  <c r="AY134" i="10"/>
  <c r="BB58" i="59" s="1"/>
  <c r="AZ131" i="10"/>
  <c r="AZ132" i="10" s="1"/>
  <c r="AY131" i="10"/>
  <c r="AZ149" i="10"/>
  <c r="BB57" i="59"/>
  <c r="BB137" i="10" l="1"/>
  <c r="BA127" i="10"/>
  <c r="AY23" i="39"/>
  <c r="BB92" i="45"/>
  <c r="BB83" i="45"/>
  <c r="BA64" i="11"/>
  <c r="BA62" i="11"/>
  <c r="BC61" i="11"/>
  <c r="BC64" i="11" s="1"/>
  <c r="BA65" i="11"/>
  <c r="BC65" i="11" s="1"/>
  <c r="BC5" i="11"/>
  <c r="BC67" i="11" s="1"/>
  <c r="BA54" i="11"/>
  <c r="BC54" i="11"/>
  <c r="BA143" i="10"/>
  <c r="BD59" i="59" s="1"/>
  <c r="BA136" i="10"/>
  <c r="BD76" i="45"/>
  <c r="BD72" i="45"/>
  <c r="BA103" i="45"/>
  <c r="BA110" i="45" s="1"/>
  <c r="BB76" i="45"/>
  <c r="BF75" i="11"/>
  <c r="AZ76" i="11"/>
  <c r="BB75" i="11"/>
  <c r="BB64" i="11"/>
  <c r="BB60" i="11"/>
  <c r="BD5" i="11"/>
  <c r="BD81" i="11" s="1"/>
  <c r="BB67" i="11"/>
  <c r="BF53" i="11"/>
  <c r="BB147" i="10"/>
  <c r="BB148" i="10" s="1"/>
  <c r="BC73" i="45"/>
  <c r="BC92" i="45" s="1"/>
  <c r="BB72" i="45"/>
  <c r="BB85" i="45"/>
  <c r="BC96" i="45"/>
  <c r="BC72" i="45"/>
  <c r="BC106" i="45" s="1"/>
  <c r="BC85" i="45"/>
  <c r="BC74" i="45"/>
  <c r="BB112" i="45"/>
  <c r="BC102" i="45"/>
  <c r="BB75" i="45"/>
  <c r="BC83" i="45"/>
  <c r="AZ76" i="45"/>
  <c r="BF72" i="45"/>
  <c r="BA108" i="45"/>
  <c r="BA98" i="45"/>
  <c r="BA76" i="45"/>
  <c r="BA77" i="45" s="1"/>
  <c r="AZ75" i="45"/>
  <c r="BF76" i="45"/>
  <c r="AZ92" i="45"/>
  <c r="AZ112" i="45"/>
  <c r="BA75" i="45"/>
  <c r="BA92" i="45"/>
  <c r="BB51" i="11"/>
  <c r="BB84" i="11" s="1"/>
  <c r="BB52" i="11"/>
  <c r="BB54" i="11" s="1"/>
  <c r="BB22" i="36" s="1"/>
  <c r="BD60" i="11"/>
  <c r="BD75" i="11"/>
  <c r="BD82" i="11" s="1"/>
  <c r="BB76" i="11"/>
  <c r="BB82" i="11"/>
  <c r="BD53" i="11"/>
  <c r="BB62" i="11"/>
  <c r="BA51" i="11"/>
  <c r="BB57" i="11"/>
  <c r="BD57" i="11" s="1"/>
  <c r="BA60" i="11"/>
  <c r="BC60" i="11"/>
  <c r="BB81" i="11"/>
  <c r="BB53" i="11"/>
  <c r="BB55" i="11"/>
  <c r="BD67" i="11"/>
  <c r="BB83" i="11"/>
  <c r="AY67" i="11"/>
  <c r="AZ67" i="11"/>
  <c r="AZ77" i="11"/>
  <c r="AZ86" i="11"/>
  <c r="BF60" i="11"/>
  <c r="AY60" i="11"/>
  <c r="BF82" i="11"/>
  <c r="BF76" i="11"/>
  <c r="AZ88" i="11"/>
  <c r="BF85" i="11"/>
  <c r="BF77" i="11"/>
  <c r="BE54" i="11"/>
  <c r="AY71" i="11"/>
  <c r="AZ71" i="11"/>
  <c r="AY54" i="11"/>
  <c r="AZ56" i="11"/>
  <c r="BF81" i="11"/>
  <c r="BF65" i="11"/>
  <c r="AY90" i="11"/>
  <c r="AZ90" i="11"/>
  <c r="BB154" i="10"/>
  <c r="BB134" i="10"/>
  <c r="BE58" i="59" s="1"/>
  <c r="BB136" i="10"/>
  <c r="BD57" i="59"/>
  <c r="BA134" i="10"/>
  <c r="BD58" i="59" s="1"/>
  <c r="AY143" i="10"/>
  <c r="BB59" i="59" s="1"/>
  <c r="AY132" i="10"/>
  <c r="BC57" i="59"/>
  <c r="AZ143" i="10"/>
  <c r="BC59" i="59" s="1"/>
  <c r="AZ148" i="10"/>
  <c r="AZ157" i="10"/>
  <c r="BE12" i="36"/>
  <c r="BD12" i="36"/>
  <c r="BC12" i="36"/>
  <c r="BB12" i="36"/>
  <c r="BA12" i="36"/>
  <c r="BE11" i="36"/>
  <c r="BC11" i="36"/>
  <c r="BA11" i="36"/>
  <c r="BE10" i="36"/>
  <c r="BD10" i="36"/>
  <c r="BC10" i="36"/>
  <c r="BB10" i="36"/>
  <c r="BA10" i="36"/>
  <c r="BF9" i="36"/>
  <c r="BD9" i="36"/>
  <c r="BB9" i="36"/>
  <c r="BF8" i="36"/>
  <c r="BD8" i="36"/>
  <c r="BB8" i="36"/>
  <c r="BF7" i="36"/>
  <c r="BD7" i="36"/>
  <c r="BB7" i="36"/>
  <c r="BC75" i="45" l="1"/>
  <c r="BB23" i="36" s="1"/>
  <c r="BD65" i="11"/>
  <c r="BB71" i="11"/>
  <c r="BD85" i="11"/>
  <c r="BC76" i="45"/>
  <c r="BC77" i="45" s="1"/>
  <c r="BC97" i="45"/>
  <c r="BC103" i="45"/>
  <c r="BC98" i="45"/>
  <c r="BC107" i="45"/>
  <c r="BC108" i="45" s="1"/>
  <c r="BB56" i="11"/>
  <c r="BD62" i="11"/>
  <c r="BD64" i="11"/>
  <c r="BD76" i="11"/>
  <c r="BB85" i="11"/>
  <c r="BB86" i="11" s="1"/>
  <c r="BB77" i="11"/>
  <c r="BD77" i="11"/>
  <c r="BC62" i="11"/>
  <c r="BB88" i="11"/>
  <c r="AZ162" i="10"/>
  <c r="AZ156" i="10"/>
  <c r="BF85" i="8"/>
  <c r="BE85" i="8"/>
  <c r="BD85" i="8"/>
  <c r="BC85" i="8"/>
  <c r="BB85" i="8"/>
  <c r="BA85" i="8"/>
  <c r="AZ1" i="35"/>
  <c r="AZ158" i="10" l="1"/>
  <c r="AZ160" i="10"/>
  <c r="BD157" i="9"/>
  <c r="BF157" i="9" s="1"/>
  <c r="BB157" i="9"/>
  <c r="BF159" i="9"/>
  <c r="BD159" i="9"/>
  <c r="BB159" i="9"/>
  <c r="BF158" i="9"/>
  <c r="BD158" i="9"/>
  <c r="BB158" i="9"/>
  <c r="AZ95" i="9"/>
  <c r="J60" i="38" l="1"/>
  <c r="L60" i="38"/>
  <c r="N60" i="38"/>
  <c r="P60" i="38"/>
  <c r="R60" i="38"/>
  <c r="T60" i="38"/>
  <c r="V60" i="38"/>
  <c r="X60" i="38"/>
  <c r="Z60" i="38"/>
  <c r="AB60" i="38"/>
  <c r="AD60" i="38"/>
  <c r="AF60" i="38"/>
  <c r="AH60" i="38"/>
  <c r="AJ60" i="38"/>
  <c r="AL60" i="38"/>
  <c r="AN60" i="38"/>
  <c r="AP60" i="38"/>
  <c r="AR60" i="38"/>
  <c r="AT60" i="38"/>
  <c r="AV60" i="38"/>
  <c r="AX60" i="38"/>
  <c r="AZ60" i="38"/>
  <c r="BB60" i="38"/>
  <c r="BD60" i="38"/>
  <c r="BF60" i="38"/>
  <c r="BH60" i="38"/>
  <c r="BJ60" i="38"/>
  <c r="J61" i="38"/>
  <c r="L61" i="38"/>
  <c r="M61" i="38"/>
  <c r="N61" i="38"/>
  <c r="P61" i="38"/>
  <c r="Q61" i="38"/>
  <c r="R61" i="38"/>
  <c r="T61" i="38"/>
  <c r="U61" i="38"/>
  <c r="V61" i="38"/>
  <c r="X61" i="38"/>
  <c r="Y61" i="38"/>
  <c r="Z61" i="38"/>
  <c r="AB61" i="38"/>
  <c r="AC61" i="38"/>
  <c r="AD61" i="38"/>
  <c r="AE61" i="38"/>
  <c r="AF61" i="38"/>
  <c r="AH61" i="38"/>
  <c r="AI61" i="38"/>
  <c r="AJ61" i="38"/>
  <c r="AL61" i="38"/>
  <c r="AM61" i="38"/>
  <c r="AN61" i="38"/>
  <c r="AP61" i="38"/>
  <c r="AQ61" i="38"/>
  <c r="AR61" i="38"/>
  <c r="AS61" i="38"/>
  <c r="AT61" i="38"/>
  <c r="AV61" i="38"/>
  <c r="AW61" i="38"/>
  <c r="AX61" i="38"/>
  <c r="AZ61" i="38"/>
  <c r="BA61" i="38"/>
  <c r="BB61" i="38"/>
  <c r="BD61" i="38"/>
  <c r="BE61" i="38"/>
  <c r="BF61" i="38"/>
  <c r="BG61" i="38"/>
  <c r="BH61" i="38"/>
  <c r="BJ61" i="38"/>
  <c r="BI12" i="38"/>
  <c r="BH3" i="38"/>
  <c r="BG3" i="38"/>
  <c r="BG52" i="38" s="1"/>
  <c r="BE53" i="38"/>
  <c r="BF47" i="38"/>
  <c r="BF96" i="38" s="1"/>
  <c r="BF46" i="38"/>
  <c r="BF45" i="38"/>
  <c r="BF94" i="38" s="1"/>
  <c r="BF44" i="38"/>
  <c r="BF93" i="38" s="1"/>
  <c r="BF42" i="38"/>
  <c r="BF91" i="38" s="1"/>
  <c r="BE41" i="38"/>
  <c r="BF39" i="38"/>
  <c r="BF88" i="38" s="1"/>
  <c r="BF38" i="38"/>
  <c r="BF87" i="38" s="1"/>
  <c r="BF37" i="38"/>
  <c r="BE37" i="38"/>
  <c r="BF36" i="38"/>
  <c r="BF85" i="38" s="1"/>
  <c r="BF33" i="38"/>
  <c r="BF32" i="38"/>
  <c r="BF81" i="38" s="1"/>
  <c r="BF31" i="38"/>
  <c r="BF80" i="38" s="1"/>
  <c r="BF30" i="38"/>
  <c r="BF29" i="38"/>
  <c r="BF78" i="38" s="1"/>
  <c r="BF28" i="38"/>
  <c r="BF77" i="38" s="1"/>
  <c r="BF27" i="38"/>
  <c r="BF26" i="38"/>
  <c r="BF75" i="38" s="1"/>
  <c r="BF25" i="38"/>
  <c r="BF74" i="38" s="1"/>
  <c r="BF24" i="38"/>
  <c r="BF23" i="38"/>
  <c r="BF72" i="38" s="1"/>
  <c r="BF22" i="38"/>
  <c r="BF71" i="38" s="1"/>
  <c r="BF21" i="38"/>
  <c r="BF20" i="38"/>
  <c r="BF69" i="38" s="1"/>
  <c r="BF15" i="38"/>
  <c r="BF14" i="38"/>
  <c r="BF63" i="38" s="1"/>
  <c r="BE14" i="38"/>
  <c r="BE63" i="38" s="1"/>
  <c r="BF12" i="38"/>
  <c r="BF11" i="38"/>
  <c r="BF10" i="38"/>
  <c r="BF9" i="38"/>
  <c r="BF8" i="38"/>
  <c r="BF57" i="38" s="1"/>
  <c r="BF7" i="38"/>
  <c r="BH52" i="38"/>
  <c r="BF3" i="38"/>
  <c r="BF52" i="38" s="1"/>
  <c r="BE3" i="38"/>
  <c r="BD96" i="38"/>
  <c r="BD95" i="38"/>
  <c r="BD94" i="38"/>
  <c r="BD93" i="38"/>
  <c r="BC92" i="38"/>
  <c r="BD91" i="38"/>
  <c r="BC90" i="38"/>
  <c r="BC89" i="38"/>
  <c r="BD88" i="38"/>
  <c r="BD87" i="38"/>
  <c r="BD86" i="38"/>
  <c r="BD85" i="38"/>
  <c r="BC84" i="38"/>
  <c r="BD82" i="38"/>
  <c r="BD81" i="38"/>
  <c r="BD80" i="38"/>
  <c r="BD79" i="38"/>
  <c r="BD78" i="38"/>
  <c r="BD77" i="38"/>
  <c r="BD76" i="38"/>
  <c r="BD75" i="38"/>
  <c r="BD74" i="38"/>
  <c r="BD73" i="38"/>
  <c r="BD72" i="38"/>
  <c r="BD71" i="38"/>
  <c r="BD70" i="38"/>
  <c r="BD69" i="38"/>
  <c r="BC68" i="38"/>
  <c r="BD64" i="38"/>
  <c r="BD63" i="38"/>
  <c r="BC62" i="38"/>
  <c r="BD59" i="38"/>
  <c r="BD58" i="38"/>
  <c r="BD57" i="38"/>
  <c r="BD56" i="38"/>
  <c r="BC55" i="38"/>
  <c r="BC65" i="38" s="1"/>
  <c r="BI53" i="38"/>
  <c r="BC53" i="38"/>
  <c r="BD52" i="38"/>
  <c r="BC52" i="38"/>
  <c r="BC47" i="38"/>
  <c r="BE47" i="38" s="1"/>
  <c r="BC46" i="38"/>
  <c r="BE46" i="38" s="1"/>
  <c r="BC45" i="38"/>
  <c r="BE45" i="38" s="1"/>
  <c r="BC44" i="38"/>
  <c r="BE44" i="38" s="1"/>
  <c r="BD43" i="38"/>
  <c r="BC42" i="38"/>
  <c r="BE42" i="38" s="1"/>
  <c r="BD41" i="38"/>
  <c r="BC41" i="38"/>
  <c r="BC39" i="38"/>
  <c r="BE39" i="38" s="1"/>
  <c r="BC38" i="38"/>
  <c r="BE38" i="38" s="1"/>
  <c r="BC37" i="38"/>
  <c r="BC36" i="38"/>
  <c r="BE36" i="38" s="1"/>
  <c r="BD35" i="38"/>
  <c r="BD84" i="38" s="1"/>
  <c r="BC33" i="38"/>
  <c r="BC32" i="38"/>
  <c r="BC31" i="38"/>
  <c r="BC30" i="38"/>
  <c r="BC29" i="38"/>
  <c r="BC28" i="38"/>
  <c r="BC27" i="38"/>
  <c r="BC26" i="38"/>
  <c r="BC25" i="38"/>
  <c r="BC24" i="38"/>
  <c r="BC23" i="38"/>
  <c r="BC22" i="38"/>
  <c r="BC21" i="38"/>
  <c r="BC20" i="38"/>
  <c r="BD19" i="38"/>
  <c r="BC15" i="38"/>
  <c r="BE15" i="38" s="1"/>
  <c r="BC14" i="38"/>
  <c r="BD13" i="38"/>
  <c r="BD62" i="38" s="1"/>
  <c r="BC11" i="38"/>
  <c r="BC10" i="38"/>
  <c r="BE10" i="38" s="1"/>
  <c r="BC9" i="38"/>
  <c r="BE9" i="38" s="1"/>
  <c r="BC8" i="38"/>
  <c r="BE8" i="38" s="1"/>
  <c r="BC7" i="38"/>
  <c r="BD6" i="38"/>
  <c r="BD55" i="38" s="1"/>
  <c r="BI61" i="38" l="1"/>
  <c r="BC67" i="38"/>
  <c r="BC66" i="38" s="1"/>
  <c r="BC6" i="38"/>
  <c r="BD92" i="38"/>
  <c r="BD90" i="38"/>
  <c r="BE7" i="38"/>
  <c r="BG7" i="38" s="1"/>
  <c r="BG56" i="38" s="1"/>
  <c r="BG92" i="38"/>
  <c r="BF82" i="38"/>
  <c r="BE87" i="38"/>
  <c r="BE96" i="38"/>
  <c r="BF70" i="38"/>
  <c r="BE91" i="38"/>
  <c r="BE62" i="38"/>
  <c r="BF79" i="38"/>
  <c r="BE52" i="38"/>
  <c r="BE59" i="38"/>
  <c r="BE86" i="38"/>
  <c r="BE88" i="38"/>
  <c r="BE95" i="38"/>
  <c r="BE58" i="38"/>
  <c r="BF56" i="38"/>
  <c r="BF76" i="38"/>
  <c r="BF86" i="38"/>
  <c r="BE90" i="38"/>
  <c r="BF95" i="38"/>
  <c r="BF64" i="38"/>
  <c r="BF73" i="38"/>
  <c r="BE57" i="38"/>
  <c r="BE93" i="38"/>
  <c r="BF59" i="38"/>
  <c r="BE64" i="38"/>
  <c r="BE85" i="38"/>
  <c r="BE92" i="38"/>
  <c r="BE94" i="38"/>
  <c r="BF58" i="38"/>
  <c r="BC19" i="38"/>
  <c r="BD68" i="38"/>
  <c r="BC43" i="38"/>
  <c r="BE43" i="38" s="1"/>
  <c r="BG43" i="38" s="1"/>
  <c r="BC13" i="38"/>
  <c r="BE13" i="38" s="1"/>
  <c r="BG13" i="38" s="1"/>
  <c r="BG62" i="38" s="1"/>
  <c r="BD16" i="38"/>
  <c r="BD18" i="38"/>
  <c r="BD40" i="38"/>
  <c r="BC35" i="38"/>
  <c r="BE35" i="38" s="1"/>
  <c r="BG35" i="38" s="1"/>
  <c r="BG84" i="38" s="1"/>
  <c r="BE56" i="38" l="1"/>
  <c r="BE84" i="38"/>
  <c r="BC16" i="38"/>
  <c r="BC40" i="38"/>
  <c r="BE40" i="38" s="1"/>
  <c r="BD67" i="38"/>
  <c r="BD17" i="38"/>
  <c r="BD89" i="38"/>
  <c r="BC18" i="38"/>
  <c r="BD65" i="38"/>
  <c r="BE89" i="38" l="1"/>
  <c r="BC17" i="38"/>
  <c r="BD66" i="38"/>
  <c r="AY125" i="6" l="1"/>
  <c r="AY124" i="6"/>
  <c r="AY123" i="6"/>
  <c r="AY122" i="6"/>
  <c r="AY121" i="6"/>
  <c r="AU125" i="6"/>
  <c r="AU124" i="6"/>
  <c r="AU123" i="6"/>
  <c r="AU122" i="6"/>
  <c r="AU121" i="6"/>
  <c r="AQ125" i="6"/>
  <c r="AQ124" i="6"/>
  <c r="AQ123" i="6"/>
  <c r="AQ122" i="6"/>
  <c r="AQ121" i="6"/>
  <c r="AK125" i="6"/>
  <c r="AK124" i="6"/>
  <c r="AK123" i="6"/>
  <c r="AK122" i="6"/>
  <c r="AK121" i="6"/>
  <c r="AG125" i="6"/>
  <c r="AG124" i="6"/>
  <c r="AG123" i="6"/>
  <c r="AG122" i="6"/>
  <c r="AG121" i="6"/>
  <c r="AC125" i="6"/>
  <c r="AC124" i="6"/>
  <c r="AC123" i="6"/>
  <c r="AC122" i="6"/>
  <c r="AC121" i="6"/>
  <c r="W125" i="6"/>
  <c r="W124" i="6"/>
  <c r="W123" i="6"/>
  <c r="W122" i="6"/>
  <c r="W121" i="6"/>
  <c r="S125" i="6"/>
  <c r="S124" i="6"/>
  <c r="S123" i="6"/>
  <c r="S122" i="6"/>
  <c r="S121" i="6"/>
  <c r="O125" i="6"/>
  <c r="O124" i="6"/>
  <c r="O123" i="6"/>
  <c r="O122" i="6"/>
  <c r="O121" i="6"/>
  <c r="K125" i="6"/>
  <c r="K124" i="6"/>
  <c r="K123" i="6"/>
  <c r="K122" i="6"/>
  <c r="K121" i="6"/>
  <c r="G125" i="6"/>
  <c r="G124" i="6"/>
  <c r="G123" i="6"/>
  <c r="G122" i="6"/>
  <c r="G121" i="6"/>
  <c r="BE54" i="36" l="1"/>
  <c r="BE53" i="36"/>
  <c r="BC54" i="36"/>
  <c r="BC53" i="36"/>
  <c r="BA54" i="36"/>
  <c r="BA53" i="36"/>
  <c r="BF31" i="36"/>
  <c r="BC31" i="36"/>
  <c r="BD31" i="36"/>
  <c r="BC14" i="36"/>
  <c r="BE14" i="36"/>
  <c r="BA14" i="36"/>
  <c r="BD135" i="6"/>
  <c r="BD130" i="6"/>
  <c r="BD118" i="6"/>
  <c r="BD117" i="6"/>
  <c r="BD113" i="6"/>
  <c r="BC113" i="6"/>
  <c r="BD112" i="6"/>
  <c r="BC111" i="6"/>
  <c r="BC108" i="6"/>
  <c r="BC107" i="6"/>
  <c r="BD106" i="6"/>
  <c r="BD101" i="6"/>
  <c r="BD96" i="6"/>
  <c r="BC94" i="6"/>
  <c r="BC91" i="6"/>
  <c r="BC90" i="6"/>
  <c r="BC84" i="6"/>
  <c r="BC83" i="6"/>
  <c r="BC82" i="6"/>
  <c r="BC24" i="6"/>
  <c r="BC23" i="6"/>
  <c r="BC21" i="6"/>
  <c r="BC20" i="6"/>
  <c r="BC18" i="6"/>
  <c r="BC17" i="6"/>
  <c r="BC14" i="6"/>
  <c r="BC13" i="6"/>
  <c r="BD2" i="6"/>
  <c r="BC2" i="6"/>
  <c r="BE6" i="6"/>
  <c r="BE5" i="6"/>
  <c r="BC192" i="6"/>
  <c r="BA192" i="6"/>
  <c r="BC191" i="6"/>
  <c r="BA191" i="6"/>
  <c r="BC190" i="6"/>
  <c r="BA190" i="6"/>
  <c r="BC188" i="6"/>
  <c r="BA188" i="6"/>
  <c r="BC183" i="6"/>
  <c r="BA183" i="6"/>
  <c r="BC182" i="6"/>
  <c r="BA182" i="6"/>
  <c r="BA181" i="6" s="1"/>
  <c r="BB181" i="6"/>
  <c r="BC179" i="6"/>
  <c r="BA179" i="6"/>
  <c r="BC178" i="6"/>
  <c r="BA178" i="6"/>
  <c r="BC177" i="6"/>
  <c r="BA177" i="6"/>
  <c r="BC176" i="6"/>
  <c r="BA176" i="6"/>
  <c r="BC175" i="6"/>
  <c r="BA175" i="6"/>
  <c r="BC174" i="6"/>
  <c r="BA174" i="6"/>
  <c r="BC172" i="6"/>
  <c r="BA172" i="6"/>
  <c r="BC171" i="6"/>
  <c r="BA171" i="6"/>
  <c r="BC170" i="6"/>
  <c r="BA170" i="6"/>
  <c r="BC162" i="6"/>
  <c r="BA162" i="6"/>
  <c r="BC158" i="6"/>
  <c r="BA158" i="6"/>
  <c r="BC157" i="6"/>
  <c r="BA157" i="6"/>
  <c r="BA156" i="6" s="1"/>
  <c r="BB156" i="6"/>
  <c r="BB158" i="6" s="1"/>
  <c r="BC154" i="6"/>
  <c r="BA154" i="6"/>
  <c r="BC153" i="6"/>
  <c r="BA153" i="6"/>
  <c r="BC152" i="6"/>
  <c r="BA152" i="6"/>
  <c r="BC151" i="6"/>
  <c r="BA151" i="6"/>
  <c r="BC150" i="6"/>
  <c r="BA150" i="6"/>
  <c r="BC149" i="6"/>
  <c r="BA149" i="6"/>
  <c r="BC147" i="6"/>
  <c r="BA147" i="6"/>
  <c r="BC146" i="6"/>
  <c r="BA146" i="6"/>
  <c r="BC145" i="6"/>
  <c r="BA145" i="6"/>
  <c r="BB135" i="6"/>
  <c r="BB130" i="6"/>
  <c r="BA128" i="6"/>
  <c r="BC128" i="6" s="1"/>
  <c r="BA124" i="6"/>
  <c r="BA123" i="6"/>
  <c r="BB118" i="6"/>
  <c r="BB117" i="6"/>
  <c r="BB116" i="6"/>
  <c r="BD116" i="6" s="1"/>
  <c r="BA116" i="6"/>
  <c r="BC116" i="6" s="1"/>
  <c r="BB113" i="6"/>
  <c r="BA113" i="6"/>
  <c r="BB112" i="6"/>
  <c r="BA112" i="6"/>
  <c r="BC112" i="6" s="1"/>
  <c r="BB111" i="6"/>
  <c r="BD111" i="6" s="1"/>
  <c r="BA111" i="6"/>
  <c r="BB110" i="6"/>
  <c r="BA110" i="6"/>
  <c r="BC110" i="6" s="1"/>
  <c r="BB108" i="6"/>
  <c r="BD108" i="6" s="1"/>
  <c r="BA108" i="6"/>
  <c r="BB107" i="6"/>
  <c r="BD107" i="6" s="1"/>
  <c r="BA107" i="6"/>
  <c r="BB106" i="6"/>
  <c r="BA106" i="6"/>
  <c r="BC106" i="6" s="1"/>
  <c r="BB105" i="6"/>
  <c r="BD105" i="6" s="1"/>
  <c r="BA105" i="6"/>
  <c r="BC105" i="6" s="1"/>
  <c r="BB104" i="6"/>
  <c r="BA104" i="6"/>
  <c r="BC104" i="6" s="1"/>
  <c r="BB101" i="6"/>
  <c r="BB100" i="6"/>
  <c r="BD100" i="6" s="1"/>
  <c r="BB99" i="6"/>
  <c r="BD99" i="6" s="1"/>
  <c r="BA99" i="6"/>
  <c r="BC99" i="6" s="1"/>
  <c r="BB96" i="6"/>
  <c r="BA96" i="6"/>
  <c r="BC96" i="6" s="1"/>
  <c r="BB95" i="6"/>
  <c r="BD95" i="6" s="1"/>
  <c r="BA95" i="6"/>
  <c r="BB94" i="6"/>
  <c r="BD94" i="6" s="1"/>
  <c r="BA94" i="6"/>
  <c r="BB93" i="6"/>
  <c r="BA93" i="6"/>
  <c r="BC93" i="6" s="1"/>
  <c r="BB91" i="6"/>
  <c r="BD91" i="6" s="1"/>
  <c r="BA91" i="6"/>
  <c r="BB90" i="6"/>
  <c r="BD90" i="6" s="1"/>
  <c r="BA90" i="6"/>
  <c r="BB89" i="6"/>
  <c r="BD89" i="6" s="1"/>
  <c r="BA89" i="6"/>
  <c r="BB88" i="6"/>
  <c r="BD88" i="6" s="1"/>
  <c r="BA88" i="6"/>
  <c r="BC88" i="6" s="1"/>
  <c r="BB87" i="6"/>
  <c r="BA87" i="6"/>
  <c r="BC87" i="6" s="1"/>
  <c r="BB84" i="6"/>
  <c r="BD84" i="6" s="1"/>
  <c r="BA84" i="6"/>
  <c r="BB83" i="6"/>
  <c r="BD83" i="6" s="1"/>
  <c r="BA83" i="6"/>
  <c r="BB82" i="6"/>
  <c r="BD82" i="6" s="1"/>
  <c r="BA82" i="6"/>
  <c r="BC81" i="6"/>
  <c r="BA81" i="6"/>
  <c r="BC79" i="6"/>
  <c r="BA79" i="6"/>
  <c r="BC78" i="6"/>
  <c r="BA78" i="6"/>
  <c r="BC76" i="6"/>
  <c r="BA76" i="6"/>
  <c r="BC75" i="6"/>
  <c r="BA75" i="6"/>
  <c r="BB72" i="6"/>
  <c r="BD72" i="6" s="1"/>
  <c r="BA72" i="6"/>
  <c r="BC72" i="6" s="1"/>
  <c r="BB71" i="6"/>
  <c r="BD71" i="6" s="1"/>
  <c r="BA71" i="6"/>
  <c r="BC71" i="6" s="1"/>
  <c r="BB70" i="6"/>
  <c r="BD70" i="6" s="1"/>
  <c r="BA70" i="6"/>
  <c r="BC70" i="6" s="1"/>
  <c r="BB69" i="6"/>
  <c r="BD69" i="6" s="1"/>
  <c r="BA69" i="6"/>
  <c r="BC69" i="6" s="1"/>
  <c r="BB68" i="6"/>
  <c r="BD68" i="6" s="1"/>
  <c r="BA68" i="6"/>
  <c r="BC68" i="6" s="1"/>
  <c r="BB66" i="6"/>
  <c r="BD66" i="6" s="1"/>
  <c r="BA66" i="6"/>
  <c r="BC66" i="6" s="1"/>
  <c r="BB64" i="6"/>
  <c r="BD64" i="6" s="1"/>
  <c r="BA64" i="6"/>
  <c r="BC64" i="6" s="1"/>
  <c r="BB63" i="6"/>
  <c r="BD63" i="6" s="1"/>
  <c r="BA63" i="6"/>
  <c r="BB61" i="6"/>
  <c r="BD61" i="6" s="1"/>
  <c r="BA61" i="6"/>
  <c r="BC61" i="6" s="1"/>
  <c r="BB60" i="6"/>
  <c r="BD60" i="6" s="1"/>
  <c r="BA60" i="6"/>
  <c r="BC60" i="6" s="1"/>
  <c r="BA58" i="6"/>
  <c r="BA57" i="6"/>
  <c r="BA56" i="6"/>
  <c r="BB49" i="6"/>
  <c r="BB48" i="6"/>
  <c r="BB46" i="6"/>
  <c r="BB45" i="6"/>
  <c r="BB43" i="6"/>
  <c r="BB42" i="6"/>
  <c r="BB40" i="6"/>
  <c r="BB39" i="6"/>
  <c r="BC37" i="6"/>
  <c r="BC36" i="6"/>
  <c r="BA36" i="6"/>
  <c r="BC35" i="6"/>
  <c r="BA35" i="6"/>
  <c r="BC34" i="6"/>
  <c r="BA34" i="6"/>
  <c r="BC33" i="6"/>
  <c r="BA33" i="6"/>
  <c r="BB27" i="6"/>
  <c r="BB26" i="6"/>
  <c r="BB24" i="6"/>
  <c r="BA24" i="6"/>
  <c r="BB23" i="6"/>
  <c r="BA23" i="6"/>
  <c r="BB21" i="6"/>
  <c r="BA21" i="6"/>
  <c r="BB20" i="6"/>
  <c r="BA20" i="6"/>
  <c r="BB18" i="6"/>
  <c r="BA18" i="6"/>
  <c r="BB17" i="6"/>
  <c r="BA17" i="6"/>
  <c r="BC19" i="6" s="1"/>
  <c r="BA15" i="6"/>
  <c r="BA14" i="6"/>
  <c r="BA13" i="6"/>
  <c r="BC9" i="6"/>
  <c r="BA9" i="6"/>
  <c r="BC8" i="6"/>
  <c r="BA8" i="6"/>
  <c r="BB2" i="6"/>
  <c r="BA2" i="6"/>
  <c r="BE192" i="6"/>
  <c r="AY192" i="6"/>
  <c r="BE191" i="6"/>
  <c r="AZ191" i="6"/>
  <c r="AY191" i="6"/>
  <c r="BE190" i="6"/>
  <c r="AY190" i="6"/>
  <c r="BE188" i="6"/>
  <c r="AY188" i="6"/>
  <c r="AZ186" i="6"/>
  <c r="AY186" i="6"/>
  <c r="AZ185" i="6"/>
  <c r="AY185" i="6"/>
  <c r="AZ184" i="6"/>
  <c r="AY184" i="6"/>
  <c r="BE183" i="6"/>
  <c r="AY183" i="6"/>
  <c r="BE182" i="6"/>
  <c r="AY182" i="6"/>
  <c r="BF181" i="6"/>
  <c r="BF183" i="6" s="1"/>
  <c r="BE179" i="6"/>
  <c r="AY179" i="6"/>
  <c r="BE178" i="6"/>
  <c r="AY178" i="6"/>
  <c r="BE177" i="6"/>
  <c r="AY177" i="6"/>
  <c r="BE176" i="6"/>
  <c r="AY176" i="6"/>
  <c r="BE175" i="6"/>
  <c r="AY175" i="6"/>
  <c r="BE174" i="6"/>
  <c r="AY174" i="6"/>
  <c r="BE172" i="6"/>
  <c r="AY172" i="6"/>
  <c r="BE171" i="6"/>
  <c r="AY171" i="6"/>
  <c r="BE170" i="6"/>
  <c r="AY170" i="6"/>
  <c r="BE162" i="6"/>
  <c r="AY162" i="6"/>
  <c r="AZ160" i="6"/>
  <c r="AY160" i="6"/>
  <c r="AZ159" i="6"/>
  <c r="AY159" i="6"/>
  <c r="BE158" i="6"/>
  <c r="AY158" i="6"/>
  <c r="BE157" i="6"/>
  <c r="AY157" i="6"/>
  <c r="BF156" i="6"/>
  <c r="BF158" i="6" s="1"/>
  <c r="BE154" i="6"/>
  <c r="AY154" i="6"/>
  <c r="BE153" i="6"/>
  <c r="AY153" i="6"/>
  <c r="BE152" i="6"/>
  <c r="AY152" i="6"/>
  <c r="BE151" i="6"/>
  <c r="AY151" i="6"/>
  <c r="BE150" i="6"/>
  <c r="AY150" i="6"/>
  <c r="BE149" i="6"/>
  <c r="AY149" i="6"/>
  <c r="BE147" i="6"/>
  <c r="AY147" i="6"/>
  <c r="BE146" i="6"/>
  <c r="AY146" i="6"/>
  <c r="BE145" i="6"/>
  <c r="AY145" i="6"/>
  <c r="BF135" i="6"/>
  <c r="AZ135" i="6"/>
  <c r="AZ134" i="6"/>
  <c r="BB134" i="6" s="1"/>
  <c r="BD134" i="6" s="1"/>
  <c r="AZ133" i="6"/>
  <c r="BB133" i="6" s="1"/>
  <c r="BD133" i="6" s="1"/>
  <c r="AY133" i="6"/>
  <c r="BE133" i="6" s="1"/>
  <c r="AZ130" i="6"/>
  <c r="AY130" i="6"/>
  <c r="BA130" i="6" s="1"/>
  <c r="BC130" i="6" s="1"/>
  <c r="AZ129" i="6"/>
  <c r="BB129" i="6" s="1"/>
  <c r="BD129" i="6" s="1"/>
  <c r="AY129" i="6"/>
  <c r="BA129" i="6" s="1"/>
  <c r="BC129" i="6" s="1"/>
  <c r="AZ128" i="6"/>
  <c r="BB128" i="6" s="1"/>
  <c r="BD128" i="6" s="1"/>
  <c r="AY128" i="6"/>
  <c r="AZ127" i="6"/>
  <c r="BB127" i="6" s="1"/>
  <c r="AY127" i="6"/>
  <c r="BA127" i="6" s="1"/>
  <c r="BC127" i="6" s="1"/>
  <c r="AZ125" i="6"/>
  <c r="BB125" i="6" s="1"/>
  <c r="BD125" i="6" s="1"/>
  <c r="BA125" i="6"/>
  <c r="AZ124" i="6"/>
  <c r="BB124" i="6" s="1"/>
  <c r="BD124" i="6" s="1"/>
  <c r="AZ123" i="6"/>
  <c r="BB123" i="6" s="1"/>
  <c r="BD123" i="6" s="1"/>
  <c r="AZ122" i="6"/>
  <c r="BB122" i="6" s="1"/>
  <c r="BD122" i="6" s="1"/>
  <c r="BA122" i="6"/>
  <c r="AZ121" i="6"/>
  <c r="BB121" i="6" s="1"/>
  <c r="BD121" i="6" s="1"/>
  <c r="BA121" i="6"/>
  <c r="BF118" i="6"/>
  <c r="BF117" i="6"/>
  <c r="BF116" i="6"/>
  <c r="BE116" i="6"/>
  <c r="AZ114" i="6"/>
  <c r="AY114" i="6"/>
  <c r="BE112" i="6"/>
  <c r="AZ109" i="6"/>
  <c r="AY109" i="6"/>
  <c r="BF101" i="6"/>
  <c r="BF100" i="6"/>
  <c r="BF99" i="6"/>
  <c r="BE99" i="6"/>
  <c r="AZ97" i="6"/>
  <c r="AY97" i="6"/>
  <c r="BF95" i="6"/>
  <c r="BE95" i="6"/>
  <c r="AZ92" i="6"/>
  <c r="AY92" i="6"/>
  <c r="AY83" i="6"/>
  <c r="AY82" i="6"/>
  <c r="BE81" i="6"/>
  <c r="AY81" i="6"/>
  <c r="BE79" i="6"/>
  <c r="AY79" i="6"/>
  <c r="BE78" i="6"/>
  <c r="AY78" i="6"/>
  <c r="BE76" i="6"/>
  <c r="AY76" i="6"/>
  <c r="BE75" i="6"/>
  <c r="AY75" i="6"/>
  <c r="AZ73" i="6"/>
  <c r="AY73" i="6"/>
  <c r="BF66" i="6"/>
  <c r="BE66" i="6"/>
  <c r="AZ65" i="6"/>
  <c r="AY65" i="6"/>
  <c r="BF64" i="6"/>
  <c r="BE64" i="6"/>
  <c r="BF63" i="6"/>
  <c r="BE63" i="6"/>
  <c r="AZ62" i="6"/>
  <c r="AY62" i="6"/>
  <c r="BF61" i="6"/>
  <c r="BE61" i="6"/>
  <c r="BF60" i="6"/>
  <c r="BE60" i="6"/>
  <c r="AZ52" i="6"/>
  <c r="AZ51" i="6"/>
  <c r="AZ50" i="6"/>
  <c r="AZ47" i="6"/>
  <c r="AZ44" i="6"/>
  <c r="AY33" i="39" s="1"/>
  <c r="AZ41" i="6"/>
  <c r="BE36" i="6"/>
  <c r="AY36" i="6"/>
  <c r="BE35" i="6"/>
  <c r="AY35" i="6"/>
  <c r="BE34" i="6"/>
  <c r="AY34" i="6"/>
  <c r="AY37" i="6" s="1"/>
  <c r="BE33" i="6"/>
  <c r="BE37" i="6" s="1"/>
  <c r="AY33" i="6"/>
  <c r="AZ30" i="6"/>
  <c r="AZ29" i="6"/>
  <c r="AZ28" i="6"/>
  <c r="AZ25" i="6"/>
  <c r="AZ22" i="6"/>
  <c r="AZ19" i="6"/>
  <c r="BE9" i="6"/>
  <c r="AY9" i="6"/>
  <c r="BF8" i="6"/>
  <c r="BE8" i="6"/>
  <c r="AY8" i="6"/>
  <c r="BE12" i="6"/>
  <c r="AY6" i="6"/>
  <c r="AY12" i="6" s="1"/>
  <c r="AY5" i="6"/>
  <c r="BF2" i="6"/>
  <c r="BE2" i="6"/>
  <c r="BB114" i="6" l="1"/>
  <c r="BD114" i="6" s="1"/>
  <c r="BB109" i="6"/>
  <c r="BB97" i="6"/>
  <c r="BB92" i="6"/>
  <c r="BB50" i="6"/>
  <c r="BB41" i="6"/>
  <c r="BD62" i="6"/>
  <c r="BA97" i="6"/>
  <c r="BA92" i="6"/>
  <c r="BD181" i="6"/>
  <c r="BD110" i="6"/>
  <c r="BD104" i="6"/>
  <c r="BB131" i="6"/>
  <c r="BD131" i="6" s="1"/>
  <c r="BD93" i="6"/>
  <c r="BD97" i="6" s="1"/>
  <c r="BD127" i="6"/>
  <c r="BD87" i="6"/>
  <c r="BD92" i="6" s="1"/>
  <c r="BD156" i="6"/>
  <c r="BD158" i="6" s="1"/>
  <c r="BA114" i="6"/>
  <c r="BC114" i="6" s="1"/>
  <c r="BA133" i="6"/>
  <c r="BC133" i="6" s="1"/>
  <c r="BA131" i="6"/>
  <c r="BC131" i="6" s="1"/>
  <c r="BC95" i="6"/>
  <c r="BC97" i="6" s="1"/>
  <c r="BC89" i="6"/>
  <c r="BF65" i="6"/>
  <c r="BA65" i="6"/>
  <c r="BC63" i="6"/>
  <c r="BC65" i="6" s="1"/>
  <c r="BD65" i="6"/>
  <c r="BE65" i="6"/>
  <c r="BE62" i="6"/>
  <c r="BF62" i="6"/>
  <c r="BA62" i="6"/>
  <c r="AZ53" i="6"/>
  <c r="BB47" i="6"/>
  <c r="BB44" i="6"/>
  <c r="AZ31" i="6"/>
  <c r="BC161" i="6"/>
  <c r="BC15" i="6"/>
  <c r="BC80" i="6" s="1"/>
  <c r="BA19" i="6"/>
  <c r="BB28" i="6"/>
  <c r="BB8" i="6"/>
  <c r="BD8" i="6" s="1"/>
  <c r="BB9" i="6"/>
  <c r="BD9" i="6" s="1"/>
  <c r="BC187" i="6"/>
  <c r="BC181" i="6"/>
  <c r="BA37" i="6"/>
  <c r="BC109" i="6"/>
  <c r="BC22" i="6"/>
  <c r="BA22" i="6"/>
  <c r="BB62" i="6"/>
  <c r="BA77" i="6"/>
  <c r="BB22" i="6"/>
  <c r="BC25" i="6"/>
  <c r="BA25" i="6"/>
  <c r="BB65" i="6"/>
  <c r="BC73" i="6"/>
  <c r="BA73" i="6"/>
  <c r="BA80" i="6"/>
  <c r="BA98" i="6"/>
  <c r="BA102" i="6" s="1"/>
  <c r="BA140" i="6" s="1"/>
  <c r="BC156" i="6"/>
  <c r="BB73" i="6"/>
  <c r="BD73" i="6"/>
  <c r="BB98" i="6"/>
  <c r="BB102" i="6" s="1"/>
  <c r="BB140" i="6" s="1"/>
  <c r="BB178" i="6"/>
  <c r="BE26" i="59" s="1"/>
  <c r="BB175" i="6"/>
  <c r="BB179" i="6"/>
  <c r="BE27" i="59" s="1"/>
  <c r="BB176" i="6"/>
  <c r="BE24" i="59" s="1"/>
  <c r="BB177" i="6"/>
  <c r="BE25" i="59" s="1"/>
  <c r="BB174" i="6"/>
  <c r="BB25" i="6"/>
  <c r="BB152" i="6"/>
  <c r="BE18" i="59" s="1"/>
  <c r="BB149" i="6"/>
  <c r="BB153" i="6"/>
  <c r="BE19" i="59" s="1"/>
  <c r="BB150" i="6"/>
  <c r="BB154" i="6"/>
  <c r="BE20" i="59" s="1"/>
  <c r="BB151" i="6"/>
  <c r="BE17" i="59" s="1"/>
  <c r="BB19" i="6"/>
  <c r="BB115" i="6"/>
  <c r="BD115" i="6" s="1"/>
  <c r="BC92" i="6"/>
  <c r="BC62" i="6"/>
  <c r="BA109" i="6"/>
  <c r="BA126" i="6"/>
  <c r="BD109" i="6"/>
  <c r="BB126" i="6"/>
  <c r="BB183" i="6"/>
  <c r="AZ131" i="6"/>
  <c r="AY7" i="6"/>
  <c r="BE7" i="6"/>
  <c r="AY98" i="6"/>
  <c r="AY102" i="6" s="1"/>
  <c r="AY143" i="6" s="1"/>
  <c r="AY131" i="6"/>
  <c r="AZ98" i="6"/>
  <c r="AZ102" i="6" s="1"/>
  <c r="AY13" i="6"/>
  <c r="AY23" i="6" s="1"/>
  <c r="BF9" i="6"/>
  <c r="AY14" i="6"/>
  <c r="AY15" i="6" s="1"/>
  <c r="BF134" i="6"/>
  <c r="AY115" i="6"/>
  <c r="AY119" i="6" s="1"/>
  <c r="AY168" i="6" s="1"/>
  <c r="BE11" i="6"/>
  <c r="AZ115" i="6"/>
  <c r="AZ119" i="6" s="1"/>
  <c r="AY17" i="6"/>
  <c r="AY126" i="6"/>
  <c r="AZ126" i="6"/>
  <c r="BF133" i="6"/>
  <c r="AY26" i="6"/>
  <c r="AY11" i="6"/>
  <c r="BE5" i="9"/>
  <c r="BB132" i="9"/>
  <c r="BB131" i="9"/>
  <c r="BB130" i="9"/>
  <c r="BB129" i="9"/>
  <c r="BB128" i="9"/>
  <c r="BB127" i="9"/>
  <c r="BB126" i="9"/>
  <c r="BB125" i="9"/>
  <c r="BB124" i="9"/>
  <c r="BB123" i="9"/>
  <c r="BB122" i="9"/>
  <c r="BB121" i="9"/>
  <c r="BB120" i="9"/>
  <c r="BB119" i="9"/>
  <c r="BB118" i="9"/>
  <c r="BB117" i="9"/>
  <c r="BB116" i="9"/>
  <c r="BB115" i="9"/>
  <c r="BB114" i="9"/>
  <c r="BB113" i="9"/>
  <c r="BB112" i="9"/>
  <c r="BB111" i="9"/>
  <c r="BB109" i="9"/>
  <c r="BB108" i="9"/>
  <c r="BB107" i="9"/>
  <c r="BB106" i="9"/>
  <c r="BB105" i="9"/>
  <c r="BA105" i="9"/>
  <c r="BB95" i="9"/>
  <c r="BB92" i="9"/>
  <c r="BB88" i="9"/>
  <c r="BB70" i="9"/>
  <c r="BB69" i="9"/>
  <c r="BB68" i="9"/>
  <c r="BB67" i="9"/>
  <c r="BB66" i="9"/>
  <c r="BB65" i="9"/>
  <c r="BB64" i="9"/>
  <c r="BB63" i="9"/>
  <c r="BB61" i="9"/>
  <c r="BB59" i="9"/>
  <c r="BB44" i="36" s="1"/>
  <c r="BB58" i="9"/>
  <c r="BB56" i="9"/>
  <c r="BB55" i="9"/>
  <c r="BB45" i="9"/>
  <c r="BB44" i="9"/>
  <c r="BB43" i="9"/>
  <c r="BB42" i="9"/>
  <c r="BC127" i="50" s="1"/>
  <c r="BC128" i="50" s="1"/>
  <c r="BC129" i="50" s="1"/>
  <c r="BB41" i="9"/>
  <c r="BB40" i="9"/>
  <c r="BB39" i="9"/>
  <c r="BB38" i="9"/>
  <c r="BA38" i="9"/>
  <c r="BB33" i="9"/>
  <c r="BB32" i="9"/>
  <c r="BB30" i="9"/>
  <c r="BB29" i="9"/>
  <c r="BA29" i="9"/>
  <c r="BB27" i="9"/>
  <c r="BB24" i="9"/>
  <c r="BB23" i="9"/>
  <c r="BB22" i="9"/>
  <c r="BB20" i="9"/>
  <c r="BA20" i="9"/>
  <c r="BB18" i="9"/>
  <c r="BB17" i="9"/>
  <c r="BB16" i="9"/>
  <c r="BB15" i="9"/>
  <c r="BA15" i="9"/>
  <c r="BB13" i="9"/>
  <c r="BB12" i="9"/>
  <c r="BB11" i="9"/>
  <c r="BB9" i="9"/>
  <c r="BB136" i="9" s="1"/>
  <c r="BB8" i="9"/>
  <c r="BB135" i="9" s="1"/>
  <c r="BB7" i="9"/>
  <c r="BC5" i="9"/>
  <c r="BA5" i="9"/>
  <c r="BB2" i="9"/>
  <c r="BA2" i="9"/>
  <c r="BA103" i="9" s="1"/>
  <c r="AY104" i="9"/>
  <c r="BB52" i="59" s="1"/>
  <c r="AY102" i="9"/>
  <c r="AY101" i="9"/>
  <c r="AZ99" i="9"/>
  <c r="AY99" i="9"/>
  <c r="AZ98" i="9"/>
  <c r="AY98" i="9"/>
  <c r="AZ97" i="9"/>
  <c r="AY97" i="9"/>
  <c r="AZ93" i="9"/>
  <c r="AY90" i="9"/>
  <c r="AY89" i="9"/>
  <c r="AY76" i="9"/>
  <c r="AZ60" i="9"/>
  <c r="AZ57" i="9"/>
  <c r="AY53" i="9"/>
  <c r="AY52" i="9"/>
  <c r="BB51" i="59" s="1"/>
  <c r="AY51" i="9"/>
  <c r="AY47" i="9"/>
  <c r="AZ46" i="9"/>
  <c r="AZ36" i="9"/>
  <c r="BA117" i="50" s="1"/>
  <c r="BA118" i="50" s="1"/>
  <c r="AZ35" i="9"/>
  <c r="AZ34" i="9"/>
  <c r="AZ31" i="9"/>
  <c r="AZ25" i="9"/>
  <c r="AY24" i="9"/>
  <c r="AY22" i="9"/>
  <c r="AZ19" i="9"/>
  <c r="AZ10" i="9"/>
  <c r="AZ5" i="9"/>
  <c r="AY5" i="9"/>
  <c r="BH53" i="59" l="1"/>
  <c r="BE33" i="22"/>
  <c r="BD125" i="26"/>
  <c r="AZ89" i="9"/>
  <c r="AZ33" i="22"/>
  <c r="BC53" i="59"/>
  <c r="AY125" i="26"/>
  <c r="BB93" i="9"/>
  <c r="BD53" i="59"/>
  <c r="BA33" i="22"/>
  <c r="AZ125" i="26"/>
  <c r="BB101" i="9"/>
  <c r="AZ48" i="9"/>
  <c r="BF53" i="59"/>
  <c r="BC33" i="22"/>
  <c r="BB125" i="26"/>
  <c r="AY69" i="9"/>
  <c r="AY33" i="22"/>
  <c r="AX125" i="26"/>
  <c r="BD183" i="6"/>
  <c r="BB46" i="9"/>
  <c r="BB34" i="9"/>
  <c r="BB35" i="9"/>
  <c r="BB31" i="9"/>
  <c r="BB138" i="9"/>
  <c r="BB25" i="9"/>
  <c r="BB51" i="9"/>
  <c r="BB10" i="9"/>
  <c r="BA132" i="6"/>
  <c r="AZ132" i="6"/>
  <c r="AZ136" i="6" s="1"/>
  <c r="AZ192" i="6" s="1"/>
  <c r="BB132" i="6"/>
  <c r="BD132" i="6" s="1"/>
  <c r="BB143" i="6"/>
  <c r="BA141" i="6"/>
  <c r="BA142" i="6"/>
  <c r="BB191" i="6"/>
  <c r="BC77" i="6"/>
  <c r="BC98" i="6"/>
  <c r="BC102" i="6" s="1"/>
  <c r="BC143" i="6" s="1"/>
  <c r="BA143" i="6"/>
  <c r="AZ141" i="6"/>
  <c r="BB145" i="6"/>
  <c r="BB146" i="6"/>
  <c r="BB147" i="6"/>
  <c r="BB136" i="6"/>
  <c r="BB192" i="6" s="1"/>
  <c r="BD119" i="6"/>
  <c r="BD165" i="6" s="1"/>
  <c r="BB119" i="6"/>
  <c r="BB171" i="6" s="1"/>
  <c r="BB141" i="6"/>
  <c r="BB142" i="6" s="1"/>
  <c r="BA115" i="6"/>
  <c r="BC115" i="6" s="1"/>
  <c r="BD98" i="6"/>
  <c r="BD102" i="6" s="1"/>
  <c r="BD143" i="6" s="1"/>
  <c r="BD126" i="6"/>
  <c r="BA136" i="6"/>
  <c r="AY161" i="6"/>
  <c r="AZ140" i="6"/>
  <c r="AY141" i="6"/>
  <c r="AY20" i="6"/>
  <c r="AZ143" i="6"/>
  <c r="AY140" i="6"/>
  <c r="AY132" i="6"/>
  <c r="AY136" i="6" s="1"/>
  <c r="AY203" i="6" s="1"/>
  <c r="AY156" i="6"/>
  <c r="AY29" i="6"/>
  <c r="AY18" i="6"/>
  <c r="AY19" i="6" s="1"/>
  <c r="AY21" i="6"/>
  <c r="AY27" i="6"/>
  <c r="AY181" i="6"/>
  <c r="AY187" i="6"/>
  <c r="AY24" i="6"/>
  <c r="AZ168" i="6"/>
  <c r="AY166" i="6"/>
  <c r="AZ165" i="6"/>
  <c r="AY80" i="6"/>
  <c r="AZ166" i="6"/>
  <c r="AY77" i="6"/>
  <c r="AY165" i="6"/>
  <c r="BA89" i="9"/>
  <c r="BB139" i="9"/>
  <c r="BB137" i="9"/>
  <c r="BB134" i="9"/>
  <c r="BB36" i="9"/>
  <c r="BC117" i="50" s="1"/>
  <c r="BC118" i="50" s="1"/>
  <c r="AZ14" i="9"/>
  <c r="AY25" i="9"/>
  <c r="AY88" i="9" s="1"/>
  <c r="AY7" i="9"/>
  <c r="AY100" i="9"/>
  <c r="AZ100" i="9"/>
  <c r="AY91" i="9"/>
  <c r="AY92" i="9"/>
  <c r="AY27" i="9"/>
  <c r="AY66" i="9"/>
  <c r="AY70" i="9"/>
  <c r="AY59" i="9"/>
  <c r="AY64" i="9"/>
  <c r="AY68" i="9"/>
  <c r="AY95" i="9"/>
  <c r="AZ90" i="9"/>
  <c r="AZ91" i="9" s="1"/>
  <c r="AZ62" i="9"/>
  <c r="AZ47" i="9"/>
  <c r="AZ94" i="9"/>
  <c r="AY18" i="15" s="1"/>
  <c r="AZ96" i="9"/>
  <c r="AY19" i="9"/>
  <c r="AY63" i="9"/>
  <c r="AY65" i="9"/>
  <c r="AY67" i="9"/>
  <c r="AZ37" i="9"/>
  <c r="BD65" i="7"/>
  <c r="BC65" i="7"/>
  <c r="BD60" i="7"/>
  <c r="BC59" i="7"/>
  <c r="BD2" i="7"/>
  <c r="BC2" i="7"/>
  <c r="BC104" i="7"/>
  <c r="BA104" i="7"/>
  <c r="BC103" i="7"/>
  <c r="BA103" i="7"/>
  <c r="BC102" i="7"/>
  <c r="BA102" i="7"/>
  <c r="BC101" i="7"/>
  <c r="BA101" i="7"/>
  <c r="BC100" i="7"/>
  <c r="BA100" i="7"/>
  <c r="BC99" i="7"/>
  <c r="BA99" i="7"/>
  <c r="BC98" i="7"/>
  <c r="BA98" i="7"/>
  <c r="BC97" i="7"/>
  <c r="BA97" i="7"/>
  <c r="BA94" i="7"/>
  <c r="BC91" i="7"/>
  <c r="BC89" i="7"/>
  <c r="BC88" i="7"/>
  <c r="BA88" i="7"/>
  <c r="BC85" i="7"/>
  <c r="BA85" i="7"/>
  <c r="BA84" i="7"/>
  <c r="BC79" i="7"/>
  <c r="BA79" i="7"/>
  <c r="BB68" i="7"/>
  <c r="BD68" i="7" s="1"/>
  <c r="BD1" i="7" s="1"/>
  <c r="BA68" i="7"/>
  <c r="BC68" i="7" s="1"/>
  <c r="BB66" i="7"/>
  <c r="BD66" i="7" s="1"/>
  <c r="BA66" i="7"/>
  <c r="BA67" i="7" s="1"/>
  <c r="BB65" i="7"/>
  <c r="BA65" i="7"/>
  <c r="BB62" i="7"/>
  <c r="BD62" i="7" s="1"/>
  <c r="BB60" i="7"/>
  <c r="BA60" i="7"/>
  <c r="BA61" i="7" s="1"/>
  <c r="BA75" i="7" s="1"/>
  <c r="BB59" i="7"/>
  <c r="BD59" i="7" s="1"/>
  <c r="BA59" i="7"/>
  <c r="BC56" i="7"/>
  <c r="BA56" i="7"/>
  <c r="BC55" i="7"/>
  <c r="BA55" i="7"/>
  <c r="BC54" i="7"/>
  <c r="BA54" i="7"/>
  <c r="BC53" i="7"/>
  <c r="BA53" i="7"/>
  <c r="BC52" i="7"/>
  <c r="BA52" i="7"/>
  <c r="BC51" i="7"/>
  <c r="BC90" i="7" s="1"/>
  <c r="BA51" i="7"/>
  <c r="BA90" i="7" s="1"/>
  <c r="BC50" i="7"/>
  <c r="BA50" i="7"/>
  <c r="BC49" i="7"/>
  <c r="BA49" i="7"/>
  <c r="BB45" i="7"/>
  <c r="BA45" i="7"/>
  <c r="BB44" i="7"/>
  <c r="BA44" i="7"/>
  <c r="BB43" i="7"/>
  <c r="BA43" i="7"/>
  <c r="BB42" i="7"/>
  <c r="BA42" i="7"/>
  <c r="BB41" i="7"/>
  <c r="BA41" i="7"/>
  <c r="BB40" i="7"/>
  <c r="BA40" i="7"/>
  <c r="BB39" i="7"/>
  <c r="BA39" i="7"/>
  <c r="BB38" i="7"/>
  <c r="BA38" i="7"/>
  <c r="BC32" i="7"/>
  <c r="BC84" i="7" s="1"/>
  <c r="BA32" i="7"/>
  <c r="BC30" i="7"/>
  <c r="BA30" i="7"/>
  <c r="BA91" i="7" s="1"/>
  <c r="BC29" i="7"/>
  <c r="BA29" i="7"/>
  <c r="BA89" i="7" s="1"/>
  <c r="BB18" i="7"/>
  <c r="BA18" i="7"/>
  <c r="BB17" i="7"/>
  <c r="BA17" i="7"/>
  <c r="BB15" i="7"/>
  <c r="BA15" i="7"/>
  <c r="BB14" i="7"/>
  <c r="BA14" i="7"/>
  <c r="BB13" i="7"/>
  <c r="BA13" i="7"/>
  <c r="BB12" i="7"/>
  <c r="BA12" i="7"/>
  <c r="BB11" i="7"/>
  <c r="BA11" i="7"/>
  <c r="BB10" i="7"/>
  <c r="BA10" i="7"/>
  <c r="BB9" i="7"/>
  <c r="BA9" i="7"/>
  <c r="BB8" i="7"/>
  <c r="BA8" i="7"/>
  <c r="BB7" i="7"/>
  <c r="BA7" i="7"/>
  <c r="BB6" i="7"/>
  <c r="BD6" i="7" s="1"/>
  <c r="BA6" i="7"/>
  <c r="BC6" i="7" s="1"/>
  <c r="BB2" i="7"/>
  <c r="BA2" i="7"/>
  <c r="BE104" i="7"/>
  <c r="AY104" i="7"/>
  <c r="BE103" i="7"/>
  <c r="AY103" i="7"/>
  <c r="BE102" i="7"/>
  <c r="AY102" i="7"/>
  <c r="BE101" i="7"/>
  <c r="AY101" i="7"/>
  <c r="BE100" i="7"/>
  <c r="AY100" i="7"/>
  <c r="BE99" i="7"/>
  <c r="AY99" i="7"/>
  <c r="BE98" i="7"/>
  <c r="AY98" i="7"/>
  <c r="BE97" i="7"/>
  <c r="AY97" i="7"/>
  <c r="BE94" i="7"/>
  <c r="AY94" i="7"/>
  <c r="BE85" i="7"/>
  <c r="BE79" i="7"/>
  <c r="AY79" i="7"/>
  <c r="AZ78" i="7"/>
  <c r="AY78" i="7"/>
  <c r="AZ76" i="7"/>
  <c r="AY76" i="7"/>
  <c r="AZ69" i="7"/>
  <c r="AY69" i="7"/>
  <c r="BF68" i="7"/>
  <c r="BE68" i="7"/>
  <c r="BE1" i="7" s="1"/>
  <c r="BF66" i="7"/>
  <c r="BE66" i="7"/>
  <c r="AZ65" i="7"/>
  <c r="BF65" i="7" s="1"/>
  <c r="AY65" i="7"/>
  <c r="AY67" i="7" s="1"/>
  <c r="BF62" i="7"/>
  <c r="AZ61" i="7"/>
  <c r="AZ75" i="7" s="1"/>
  <c r="AY61" i="7"/>
  <c r="AY25" i="7" s="1"/>
  <c r="AY85" i="7" s="1"/>
  <c r="BF60" i="7"/>
  <c r="BE60" i="7"/>
  <c r="BF59" i="7"/>
  <c r="BE59" i="7"/>
  <c r="BE61" i="7" s="1"/>
  <c r="BE56" i="7"/>
  <c r="AY56" i="7"/>
  <c r="BE55" i="7"/>
  <c r="AY55" i="7"/>
  <c r="BE54" i="7"/>
  <c r="AY54" i="7"/>
  <c r="BE53" i="7"/>
  <c r="AY53" i="7"/>
  <c r="BE52" i="7"/>
  <c r="AY52" i="7"/>
  <c r="BE51" i="7"/>
  <c r="BE90" i="7" s="1"/>
  <c r="AY51" i="7"/>
  <c r="AY90" i="7" s="1"/>
  <c r="BE50" i="7"/>
  <c r="AZ50" i="7"/>
  <c r="AY50" i="7"/>
  <c r="BE49" i="7"/>
  <c r="AY49" i="7"/>
  <c r="BE28" i="7"/>
  <c r="BE88" i="7" s="1"/>
  <c r="AZ19" i="7"/>
  <c r="AY19" i="7"/>
  <c r="AY37" i="7" s="1"/>
  <c r="BE6" i="7"/>
  <c r="BF2" i="7"/>
  <c r="BE2" i="7"/>
  <c r="BF1" i="7"/>
  <c r="AZ1" i="7"/>
  <c r="BB1" i="7" s="1"/>
  <c r="AY1" i="7"/>
  <c r="BA1" i="7" s="1"/>
  <c r="AZ37" i="7" l="1"/>
  <c r="AZ46" i="7" s="1"/>
  <c r="AY48" i="39"/>
  <c r="BB37" i="9"/>
  <c r="AY7" i="22"/>
  <c r="AY8" i="22" s="1"/>
  <c r="AY10" i="22" s="1"/>
  <c r="AY11" i="22" s="1"/>
  <c r="AY13" i="22" s="1"/>
  <c r="AY21" i="22"/>
  <c r="AY22" i="22" s="1"/>
  <c r="AY24" i="22" s="1"/>
  <c r="AY25" i="22" s="1"/>
  <c r="AY27" i="22" s="1"/>
  <c r="BF69" i="7"/>
  <c r="BB69" i="7"/>
  <c r="BD61" i="7"/>
  <c r="BD31" i="7" s="1"/>
  <c r="BD92" i="7" s="1"/>
  <c r="BF61" i="7"/>
  <c r="BB61" i="7"/>
  <c r="BB99" i="7" s="1"/>
  <c r="BD99" i="7" s="1"/>
  <c r="BB52" i="7"/>
  <c r="BF63" i="7"/>
  <c r="BB51" i="7"/>
  <c r="BB90" i="7" s="1"/>
  <c r="BB53" i="7"/>
  <c r="BD166" i="6"/>
  <c r="AZ142" i="6"/>
  <c r="BD146" i="6"/>
  <c r="BD145" i="6"/>
  <c r="AZ190" i="6"/>
  <c r="BD147" i="6"/>
  <c r="BD167" i="6"/>
  <c r="BD140" i="6"/>
  <c r="BC119" i="6"/>
  <c r="BA119" i="6"/>
  <c r="BD136" i="6"/>
  <c r="BD192" i="6" s="1"/>
  <c r="BA208" i="6"/>
  <c r="BA211" i="6" s="1"/>
  <c r="BA205" i="6"/>
  <c r="BA202" i="6"/>
  <c r="BA199" i="6"/>
  <c r="BA196" i="6"/>
  <c r="BA204" i="6"/>
  <c r="BA197" i="6"/>
  <c r="BA200" i="6"/>
  <c r="BA203" i="6"/>
  <c r="BA198" i="6"/>
  <c r="BB165" i="6"/>
  <c r="BB166" i="6"/>
  <c r="BB168" i="6"/>
  <c r="BB170" i="6"/>
  <c r="BB190" i="6" s="1"/>
  <c r="BD168" i="6"/>
  <c r="BC141" i="6"/>
  <c r="BB172" i="6"/>
  <c r="BD141" i="6"/>
  <c r="BB210" i="6"/>
  <c r="BB203" i="6"/>
  <c r="BB200" i="6"/>
  <c r="BB197" i="6"/>
  <c r="BB196" i="6"/>
  <c r="BB198" i="6"/>
  <c r="BB208" i="6"/>
  <c r="BB199" i="6"/>
  <c r="BB205" i="6"/>
  <c r="BB204" i="6"/>
  <c r="BB202" i="6"/>
  <c r="BB209" i="6"/>
  <c r="BC140" i="6"/>
  <c r="AY142" i="6"/>
  <c r="AY167" i="6"/>
  <c r="AY204" i="6"/>
  <c r="AY198" i="6"/>
  <c r="AY197" i="6"/>
  <c r="AY200" i="6"/>
  <c r="AY196" i="6"/>
  <c r="AY199" i="6"/>
  <c r="AY208" i="6"/>
  <c r="AY211" i="6" s="1"/>
  <c r="AY202" i="6"/>
  <c r="AY205" i="6"/>
  <c r="AY22" i="6"/>
  <c r="AY28" i="6"/>
  <c r="AZ210" i="6"/>
  <c r="AZ203" i="6"/>
  <c r="AZ200" i="6"/>
  <c r="AZ197" i="6"/>
  <c r="AZ205" i="6"/>
  <c r="AZ199" i="6"/>
  <c r="AZ204" i="6"/>
  <c r="AZ196" i="6"/>
  <c r="AZ198" i="6"/>
  <c r="AZ202" i="6"/>
  <c r="AZ208" i="6"/>
  <c r="AZ209" i="6"/>
  <c r="AY30" i="6"/>
  <c r="AY25" i="6"/>
  <c r="AZ167" i="6"/>
  <c r="AZ49" i="9"/>
  <c r="BC66" i="7"/>
  <c r="BA69" i="7"/>
  <c r="BC60" i="7"/>
  <c r="BC61" i="7" s="1"/>
  <c r="BA19" i="7"/>
  <c r="BB23" i="7"/>
  <c r="BB33" i="7"/>
  <c r="BB94" i="7" s="1"/>
  <c r="BD63" i="7"/>
  <c r="BB67" i="7"/>
  <c r="BD69" i="7"/>
  <c r="BB19" i="7"/>
  <c r="BA72" i="7"/>
  <c r="BB79" i="7"/>
  <c r="BD79" i="7" s="1"/>
  <c r="BB103" i="7"/>
  <c r="BD103" i="7" s="1"/>
  <c r="BB100" i="7"/>
  <c r="BD100" i="7" s="1"/>
  <c r="BB97" i="7"/>
  <c r="BD97" i="7" s="1"/>
  <c r="BB74" i="7"/>
  <c r="BB22" i="7"/>
  <c r="BB49" i="7"/>
  <c r="BB72" i="7"/>
  <c r="BA70" i="7"/>
  <c r="BB98" i="7"/>
  <c r="BD98" i="7" s="1"/>
  <c r="BD67" i="7"/>
  <c r="BD21" i="7"/>
  <c r="BB26" i="7"/>
  <c r="BB86" i="7" s="1"/>
  <c r="BD74" i="7"/>
  <c r="BD70" i="7"/>
  <c r="BD75" i="7"/>
  <c r="BG28" i="59" s="1"/>
  <c r="BB70" i="7"/>
  <c r="BA74" i="7"/>
  <c r="BB102" i="7"/>
  <c r="BD102" i="7" s="1"/>
  <c r="BB29" i="7"/>
  <c r="BB89" i="7" s="1"/>
  <c r="BE35" i="59" s="1"/>
  <c r="BB55" i="7"/>
  <c r="BB54" i="7"/>
  <c r="BC67" i="7"/>
  <c r="BC70" i="7"/>
  <c r="BB104" i="7"/>
  <c r="BD104" i="7" s="1"/>
  <c r="AY30" i="7"/>
  <c r="AY91" i="7" s="1"/>
  <c r="AY27" i="7"/>
  <c r="AY87" i="7" s="1"/>
  <c r="AY23" i="7"/>
  <c r="AY83" i="7" s="1"/>
  <c r="AY32" i="7"/>
  <c r="AY84" i="7" s="1"/>
  <c r="AZ23" i="7"/>
  <c r="AZ83" i="7" s="1"/>
  <c r="BC31" i="59" s="1"/>
  <c r="AY28" i="7"/>
  <c r="AY88" i="7" s="1"/>
  <c r="BE69" i="7"/>
  <c r="BF67" i="7"/>
  <c r="AZ21" i="7"/>
  <c r="AZ81" i="7" s="1"/>
  <c r="BC29" i="59" s="1"/>
  <c r="AZ32" i="7"/>
  <c r="AZ84" i="7" s="1"/>
  <c r="AZ24" i="7"/>
  <c r="AZ22" i="7"/>
  <c r="AZ33" i="7"/>
  <c r="AZ94" i="7" s="1"/>
  <c r="AZ51" i="7"/>
  <c r="AZ90" i="7" s="1"/>
  <c r="AZ26" i="7"/>
  <c r="AZ86" i="7" s="1"/>
  <c r="AZ28" i="7"/>
  <c r="AZ88" i="7" s="1"/>
  <c r="BC34" i="59" s="1"/>
  <c r="AZ56" i="7"/>
  <c r="AZ52" i="7"/>
  <c r="AZ72" i="7"/>
  <c r="AZ54" i="7"/>
  <c r="AZ29" i="7"/>
  <c r="AZ89" i="7" s="1"/>
  <c r="BC35" i="59" s="1"/>
  <c r="AZ27" i="7"/>
  <c r="AZ87" i="7" s="1"/>
  <c r="BC33" i="59" s="1"/>
  <c r="AZ49" i="7"/>
  <c r="AZ53" i="7"/>
  <c r="AZ25" i="7"/>
  <c r="AZ85" i="7" s="1"/>
  <c r="AZ30" i="7"/>
  <c r="AZ91" i="7" s="1"/>
  <c r="BE65" i="7"/>
  <c r="BE67" i="7" s="1"/>
  <c r="AY46" i="7"/>
  <c r="BE74" i="7"/>
  <c r="BE70" i="7"/>
  <c r="BE75" i="7"/>
  <c r="BF74" i="7"/>
  <c r="BF75" i="7"/>
  <c r="BF70" i="7"/>
  <c r="AY70" i="7"/>
  <c r="AY74" i="7"/>
  <c r="AY77" i="7"/>
  <c r="BB36" i="59" s="1"/>
  <c r="AY21" i="7"/>
  <c r="AY24" i="7"/>
  <c r="AY93" i="7" s="1"/>
  <c r="BB32" i="59" s="1"/>
  <c r="AZ55" i="7"/>
  <c r="AZ70" i="7"/>
  <c r="AZ74" i="7"/>
  <c r="AZ77" i="7"/>
  <c r="BC36" i="59" s="1"/>
  <c r="AY26" i="7"/>
  <c r="AY86" i="7" s="1"/>
  <c r="AY29" i="7"/>
  <c r="AY89" i="7" s="1"/>
  <c r="BB35" i="59" s="1"/>
  <c r="AY62" i="7"/>
  <c r="BA62" i="7" s="1"/>
  <c r="BC62" i="7" s="1"/>
  <c r="BC63" i="7" s="1"/>
  <c r="AY72" i="7"/>
  <c r="AZ67" i="7"/>
  <c r="AY75" i="7"/>
  <c r="AY22" i="7"/>
  <c r="AY82" i="7" s="1"/>
  <c r="AZ63" i="7"/>
  <c r="AY50" i="39" l="1"/>
  <c r="BB30" i="7"/>
  <c r="BB91" i="7" s="1"/>
  <c r="BB27" i="7"/>
  <c r="BB87" i="7" s="1"/>
  <c r="BE33" i="59" s="1"/>
  <c r="BB50" i="7"/>
  <c r="BB25" i="7"/>
  <c r="BB85" i="7" s="1"/>
  <c r="BB63" i="7"/>
  <c r="BB75" i="7"/>
  <c r="BB56" i="7"/>
  <c r="BB101" i="7"/>
  <c r="BD101" i="7" s="1"/>
  <c r="BB83" i="7"/>
  <c r="BE31" i="59" s="1"/>
  <c r="BB28" i="7"/>
  <c r="BB88" i="7" s="1"/>
  <c r="BE34" i="59" s="1"/>
  <c r="BB24" i="7"/>
  <c r="BB93" i="7" s="1"/>
  <c r="BE32" i="59" s="1"/>
  <c r="BB32" i="7"/>
  <c r="BB84" i="7" s="1"/>
  <c r="BB21" i="7"/>
  <c r="BB81" i="7" s="1"/>
  <c r="BE29" i="59" s="1"/>
  <c r="AZ34" i="7"/>
  <c r="AZ48" i="7" s="1"/>
  <c r="AZ71" i="7" s="1"/>
  <c r="BB206" i="6"/>
  <c r="BA201" i="6"/>
  <c r="BD142" i="6"/>
  <c r="BD190" i="6"/>
  <c r="BB201" i="6"/>
  <c r="BD210" i="6"/>
  <c r="BD209" i="6"/>
  <c r="BD200" i="6"/>
  <c r="BD197" i="6"/>
  <c r="BD203" i="6"/>
  <c r="BD202" i="6"/>
  <c r="BD198" i="6"/>
  <c r="BD196" i="6"/>
  <c r="BD208" i="6"/>
  <c r="BD204" i="6"/>
  <c r="BD199" i="6"/>
  <c r="BD205" i="6"/>
  <c r="BA168" i="6"/>
  <c r="BA166" i="6"/>
  <c r="BA165" i="6"/>
  <c r="BA206" i="6"/>
  <c r="BC168" i="6"/>
  <c r="BC165" i="6"/>
  <c r="BC166" i="6"/>
  <c r="BB167" i="6"/>
  <c r="BC142" i="6"/>
  <c r="BB211" i="6"/>
  <c r="AY201" i="6"/>
  <c r="AY206" i="6"/>
  <c r="AZ206" i="6"/>
  <c r="AZ211" i="6"/>
  <c r="AY31" i="6"/>
  <c r="AZ201" i="6"/>
  <c r="AZ86" i="9"/>
  <c r="AZ84" i="9"/>
  <c r="AZ82" i="9"/>
  <c r="BC55" i="59" s="1"/>
  <c r="AZ80" i="9"/>
  <c r="AZ52" i="9"/>
  <c r="BC51" i="59" s="1"/>
  <c r="AZ78" i="9"/>
  <c r="AZ75" i="9"/>
  <c r="AZ72" i="9"/>
  <c r="AZ53" i="9"/>
  <c r="AZ87" i="9"/>
  <c r="BC54" i="59" s="1"/>
  <c r="AZ85" i="9"/>
  <c r="AZ83" i="9"/>
  <c r="AZ81" i="9"/>
  <c r="AZ76" i="9"/>
  <c r="AZ73" i="9"/>
  <c r="BA63" i="7"/>
  <c r="BD81" i="7"/>
  <c r="BB82" i="7"/>
  <c r="BE30" i="59" s="1"/>
  <c r="BC1" i="7"/>
  <c r="BC74" i="7" s="1"/>
  <c r="BC69" i="7"/>
  <c r="BC75" i="7"/>
  <c r="BF28" i="59" s="1"/>
  <c r="AZ82" i="7"/>
  <c r="BC30" i="59" s="1"/>
  <c r="AZ93" i="7"/>
  <c r="BC32" i="59" s="1"/>
  <c r="AY81" i="7"/>
  <c r="AY95" i="7" s="1"/>
  <c r="AY34" i="7"/>
  <c r="AY48" i="7" s="1"/>
  <c r="AZ95" i="7" l="1"/>
  <c r="BG29" i="59"/>
  <c r="BB34" i="7"/>
  <c r="BB48" i="7" s="1"/>
  <c r="BB71" i="7" s="1"/>
  <c r="BB95" i="7"/>
  <c r="AZ57" i="7"/>
  <c r="BA167" i="6"/>
  <c r="BB207" i="6"/>
  <c r="BB212" i="6" s="1"/>
  <c r="BD211" i="6"/>
  <c r="BA207" i="6"/>
  <c r="BA212" i="6" s="1"/>
  <c r="AY207" i="6"/>
  <c r="AY212" i="6" s="1"/>
  <c r="BD201" i="6"/>
  <c r="BC167" i="6"/>
  <c r="BD206" i="6"/>
  <c r="AZ207" i="6"/>
  <c r="AZ212" i="6" s="1"/>
  <c r="AZ74" i="9"/>
  <c r="AZ77" i="9"/>
  <c r="AY71" i="7"/>
  <c r="AY57" i="7"/>
  <c r="BB57" i="7" l="1"/>
  <c r="BD207" i="6"/>
  <c r="BD212" i="6" s="1"/>
  <c r="AZ79" i="9"/>
  <c r="BC79" i="8" l="1"/>
  <c r="BC75" i="8"/>
  <c r="BD124" i="8" l="1"/>
  <c r="BD122" i="8"/>
  <c r="BD121" i="8"/>
  <c r="BD119" i="8"/>
  <c r="BD118" i="8"/>
  <c r="BD116" i="8"/>
  <c r="BD115" i="8"/>
  <c r="BD112" i="8"/>
  <c r="BD110" i="8"/>
  <c r="BD109" i="8"/>
  <c r="BD107" i="8"/>
  <c r="BD106" i="8"/>
  <c r="BD104" i="8"/>
  <c r="BD103" i="8"/>
  <c r="BD99" i="8"/>
  <c r="BD94" i="8"/>
  <c r="BF87" i="8"/>
  <c r="BD87" i="8"/>
  <c r="BC67" i="8"/>
  <c r="BC65" i="8"/>
  <c r="BC61" i="8"/>
  <c r="AA59" i="8"/>
  <c r="BC59" i="8"/>
  <c r="BC57" i="8"/>
  <c r="BC35" i="8"/>
  <c r="BC34" i="8"/>
  <c r="BD32" i="8"/>
  <c r="BC32" i="8"/>
  <c r="BC29" i="8"/>
  <c r="BC28" i="8"/>
  <c r="BC27" i="8"/>
  <c r="BC26" i="8"/>
  <c r="BC20" i="8" l="1"/>
  <c r="BD19" i="8"/>
  <c r="BC16" i="8"/>
  <c r="BC14" i="8"/>
  <c r="BC13" i="8"/>
  <c r="BC12" i="8"/>
  <c r="BD9" i="8"/>
  <c r="BC6" i="8"/>
  <c r="BB127" i="8"/>
  <c r="BD127" i="8" s="1"/>
  <c r="BB123" i="8"/>
  <c r="BD123" i="8" s="1"/>
  <c r="BB120" i="8"/>
  <c r="BD120" i="8" s="1"/>
  <c r="BB117" i="8"/>
  <c r="BD117" i="8" s="1"/>
  <c r="BB111" i="8"/>
  <c r="BD111" i="8" s="1"/>
  <c r="BB108" i="8"/>
  <c r="BB105" i="8"/>
  <c r="BD105" i="8" s="1"/>
  <c r="BB102" i="8"/>
  <c r="BD102" i="8" s="1"/>
  <c r="BB101" i="8"/>
  <c r="BD101" i="8" s="1"/>
  <c r="BB100" i="8"/>
  <c r="BD100" i="8" s="1"/>
  <c r="BB98" i="8"/>
  <c r="BD98" i="8" s="1"/>
  <c r="BB96" i="8"/>
  <c r="BD96" i="8" s="1"/>
  <c r="BB95" i="8"/>
  <c r="BD95" i="8" s="1"/>
  <c r="BB93" i="8"/>
  <c r="BD93" i="8" s="1"/>
  <c r="BB92" i="8"/>
  <c r="BB87" i="8"/>
  <c r="BB79" i="8"/>
  <c r="BA79" i="8"/>
  <c r="BA75" i="8"/>
  <c r="BA71" i="8"/>
  <c r="BA67" i="8"/>
  <c r="BA65" i="8"/>
  <c r="BA61" i="8"/>
  <c r="BA59" i="8"/>
  <c r="BB58" i="8"/>
  <c r="BA57" i="8"/>
  <c r="BA69" i="8" s="1"/>
  <c r="BA35" i="8"/>
  <c r="BA34" i="8"/>
  <c r="BB32" i="8"/>
  <c r="BA32" i="8"/>
  <c r="BB30" i="8"/>
  <c r="BD30" i="8" s="1"/>
  <c r="BB29" i="8"/>
  <c r="BD29" i="8" s="1"/>
  <c r="BA29" i="8"/>
  <c r="BA45" i="8" s="1"/>
  <c r="BB28" i="8"/>
  <c r="BD28" i="8" s="1"/>
  <c r="BA28" i="8"/>
  <c r="BB27" i="8"/>
  <c r="BD27" i="8" s="1"/>
  <c r="BA27" i="8"/>
  <c r="BB26" i="8"/>
  <c r="BD26" i="8" s="1"/>
  <c r="BA26" i="8"/>
  <c r="BB24" i="8"/>
  <c r="BB23" i="8"/>
  <c r="BB22" i="8"/>
  <c r="BA20" i="8"/>
  <c r="BB19" i="8"/>
  <c r="BA19" i="8"/>
  <c r="BC19" i="8" s="1"/>
  <c r="BB18" i="8"/>
  <c r="BD18" i="8" s="1"/>
  <c r="BA18" i="8"/>
  <c r="BC18" i="8" s="1"/>
  <c r="BB17" i="8"/>
  <c r="BD17" i="8" s="1"/>
  <c r="BA17" i="8"/>
  <c r="BC17" i="8" s="1"/>
  <c r="BA16" i="8"/>
  <c r="BA14" i="8"/>
  <c r="BB13" i="8"/>
  <c r="BD13" i="8" s="1"/>
  <c r="BA13" i="8"/>
  <c r="BA12" i="8"/>
  <c r="BA15" i="8" s="1"/>
  <c r="BB10" i="8"/>
  <c r="BD10" i="8" s="1"/>
  <c r="BA10" i="8"/>
  <c r="BC10" i="8" s="1"/>
  <c r="BB9" i="8"/>
  <c r="BA9" i="8"/>
  <c r="BC9" i="8" s="1"/>
  <c r="BB8" i="8"/>
  <c r="BD8" i="8" s="1"/>
  <c r="BA8" i="8"/>
  <c r="BC8" i="8" s="1"/>
  <c r="BB6" i="8"/>
  <c r="BB84" i="8" s="1"/>
  <c r="BA6" i="8"/>
  <c r="BB3" i="8"/>
  <c r="BB2" i="8"/>
  <c r="BA2" i="8"/>
  <c r="AZ129" i="8"/>
  <c r="AZ131" i="8" s="1"/>
  <c r="BF126" i="8"/>
  <c r="BF123" i="8"/>
  <c r="BF125" i="8" s="1"/>
  <c r="BF120" i="8"/>
  <c r="BF117" i="8"/>
  <c r="BF111" i="8"/>
  <c r="BF113" i="8" s="1"/>
  <c r="BF114" i="8" s="1"/>
  <c r="BF109" i="8"/>
  <c r="BF107" i="8"/>
  <c r="BF106" i="8"/>
  <c r="BF104" i="8"/>
  <c r="BF103" i="8"/>
  <c r="BF102" i="8"/>
  <c r="BF101" i="8"/>
  <c r="BF100" i="8"/>
  <c r="BF98" i="8"/>
  <c r="BF96" i="8"/>
  <c r="BF95" i="8"/>
  <c r="BF93" i="8"/>
  <c r="BF92" i="8"/>
  <c r="BF97" i="8" s="1"/>
  <c r="AZ88" i="8"/>
  <c r="AZ85" i="8"/>
  <c r="AZ86" i="8" s="1"/>
  <c r="AY85" i="8"/>
  <c r="AZ83" i="8"/>
  <c r="AY83" i="8"/>
  <c r="AZ82" i="8"/>
  <c r="AY82" i="8"/>
  <c r="AY81" i="8"/>
  <c r="AZ80" i="8"/>
  <c r="BF79" i="8"/>
  <c r="BF81" i="8" s="1"/>
  <c r="AY78" i="8"/>
  <c r="AY77" i="8"/>
  <c r="AZ76" i="8"/>
  <c r="AY76" i="8"/>
  <c r="BE75" i="8"/>
  <c r="AY75" i="8"/>
  <c r="AY73" i="8"/>
  <c r="AY72" i="8"/>
  <c r="BE71" i="8"/>
  <c r="AY71" i="8"/>
  <c r="AY70" i="8"/>
  <c r="AY69" i="8"/>
  <c r="AZ66" i="8"/>
  <c r="AZ64" i="8"/>
  <c r="AZ65" i="8" s="1"/>
  <c r="AZ62" i="8"/>
  <c r="AZ59" i="8"/>
  <c r="BB59" i="8" s="1"/>
  <c r="BD59" i="8" s="1"/>
  <c r="AZ56" i="8"/>
  <c r="AZ57" i="8" s="1"/>
  <c r="BE50" i="8"/>
  <c r="AY50" i="8"/>
  <c r="AZ48" i="8"/>
  <c r="AZ49" i="8" s="1"/>
  <c r="BB49" i="8" s="1"/>
  <c r="AY48" i="8"/>
  <c r="AZ46" i="8"/>
  <c r="AZ45" i="8"/>
  <c r="AY45" i="8"/>
  <c r="AZ44" i="8"/>
  <c r="AY44" i="8"/>
  <c r="AZ43" i="8"/>
  <c r="AY43" i="8"/>
  <c r="AZ42" i="8"/>
  <c r="AY42" i="8"/>
  <c r="AZ40" i="8"/>
  <c r="AY40" i="8"/>
  <c r="AZ39" i="8"/>
  <c r="AY39" i="8"/>
  <c r="AZ38" i="8"/>
  <c r="AY38" i="8"/>
  <c r="AZ25" i="8"/>
  <c r="AZ20" i="8"/>
  <c r="BB20" i="8" s="1"/>
  <c r="BD20" i="8" s="1"/>
  <c r="AY20" i="8"/>
  <c r="BF19" i="8"/>
  <c r="BF18" i="8"/>
  <c r="AZ16" i="8"/>
  <c r="BB16" i="8" s="1"/>
  <c r="AY16" i="8"/>
  <c r="AZ14" i="8"/>
  <c r="BB14" i="8" s="1"/>
  <c r="BD14" i="8" s="1"/>
  <c r="AY14" i="8"/>
  <c r="AZ13" i="8"/>
  <c r="AY13" i="8"/>
  <c r="AZ12" i="8"/>
  <c r="BB12" i="8" s="1"/>
  <c r="BD12" i="8" s="1"/>
  <c r="AY12" i="8"/>
  <c r="BF10" i="8"/>
  <c r="BF9" i="8"/>
  <c r="AY6" i="8"/>
  <c r="AY29" i="8" s="1"/>
  <c r="BB9" i="49" l="1"/>
  <c r="BB11" i="36"/>
  <c r="BE38" i="59" s="1"/>
  <c r="BB39" i="8"/>
  <c r="BB45" i="8"/>
  <c r="BD6" i="8"/>
  <c r="BD48" i="8" s="1"/>
  <c r="BB75" i="8"/>
  <c r="BE42" i="59" s="1"/>
  <c r="BB97" i="8"/>
  <c r="BD97" i="8" s="1"/>
  <c r="BD92" i="8"/>
  <c r="BB125" i="8"/>
  <c r="BB81" i="8"/>
  <c r="BD79" i="8"/>
  <c r="AZ130" i="8"/>
  <c r="AZ50" i="8" s="1"/>
  <c r="BB42" i="8"/>
  <c r="BB40" i="8"/>
  <c r="BD24" i="8"/>
  <c r="BB25" i="8"/>
  <c r="BD22" i="8"/>
  <c r="BD49" i="8"/>
  <c r="BD15" i="8"/>
  <c r="BC15" i="8"/>
  <c r="BD43" i="8"/>
  <c r="BA76" i="8"/>
  <c r="BD129" i="8"/>
  <c r="BD131" i="8" s="1"/>
  <c r="BD42" i="8"/>
  <c r="BA48" i="8"/>
  <c r="BA80" i="8"/>
  <c r="BA84" i="8"/>
  <c r="BC84" i="8" s="1"/>
  <c r="BA44" i="8"/>
  <c r="BB15" i="8"/>
  <c r="BD76" i="8"/>
  <c r="BB38" i="8"/>
  <c r="BA131" i="8"/>
  <c r="BA43" i="8"/>
  <c r="BA72" i="8"/>
  <c r="BA129" i="8"/>
  <c r="BB44" i="8"/>
  <c r="BD46" i="8"/>
  <c r="BC80" i="8"/>
  <c r="BC44" i="8"/>
  <c r="BC86" i="8"/>
  <c r="BB113" i="8"/>
  <c r="BB43" i="8"/>
  <c r="BB46" i="8"/>
  <c r="BB77" i="8"/>
  <c r="BD77" i="8" s="1"/>
  <c r="BC45" i="8"/>
  <c r="BA42" i="8"/>
  <c r="BA50" i="8" s="1"/>
  <c r="BB74" i="8"/>
  <c r="BA130" i="8"/>
  <c r="BB78" i="8"/>
  <c r="BD78" i="8" s="1"/>
  <c r="BB76" i="8"/>
  <c r="BB80" i="8"/>
  <c r="BB129" i="8"/>
  <c r="BB130" i="8" s="1"/>
  <c r="BB48" i="8"/>
  <c r="BD40" i="8"/>
  <c r="AY28" i="8"/>
  <c r="AY41" i="8"/>
  <c r="AZ41" i="8"/>
  <c r="AZ60" i="8"/>
  <c r="AY26" i="8"/>
  <c r="AY57" i="8" s="1"/>
  <c r="AY30" i="8"/>
  <c r="BA30" i="8" s="1"/>
  <c r="BC30" i="8" s="1"/>
  <c r="BC46" i="8" s="1"/>
  <c r="AY86" i="8"/>
  <c r="AY15" i="8"/>
  <c r="AY49" i="8"/>
  <c r="AY79" i="8"/>
  <c r="AZ71" i="8"/>
  <c r="AZ36" i="8"/>
  <c r="AZ15" i="8"/>
  <c r="AY65" i="8"/>
  <c r="AY23" i="8"/>
  <c r="BA23" i="8" s="1"/>
  <c r="AY27" i="8"/>
  <c r="AZ61" i="8"/>
  <c r="AZ63" i="8"/>
  <c r="AZ10" i="49" s="1"/>
  <c r="AZ12" i="49" s="1"/>
  <c r="AZ67" i="8"/>
  <c r="AY22" i="8"/>
  <c r="BA22" i="8" s="1"/>
  <c r="AY24" i="8"/>
  <c r="BA24" i="8" s="1"/>
  <c r="AZ132" i="8" l="1"/>
  <c r="AZ51" i="8" s="1"/>
  <c r="BD44" i="8"/>
  <c r="BB41" i="8"/>
  <c r="BD80" i="8"/>
  <c r="BD45" i="8"/>
  <c r="AY74" i="8"/>
  <c r="BA49" i="8"/>
  <c r="BC24" i="8"/>
  <c r="BA40" i="8"/>
  <c r="BA25" i="8"/>
  <c r="BC22" i="8"/>
  <c r="BA39" i="8"/>
  <c r="BC23" i="8"/>
  <c r="BA38" i="8"/>
  <c r="BA41" i="8" s="1"/>
  <c r="BB114" i="8"/>
  <c r="BD114" i="8" s="1"/>
  <c r="BD113" i="8"/>
  <c r="BB126" i="8"/>
  <c r="BD126" i="8" s="1"/>
  <c r="BD125" i="8"/>
  <c r="BD81" i="8"/>
  <c r="BA46" i="8"/>
  <c r="BD130" i="8"/>
  <c r="BD132" i="8" s="1"/>
  <c r="BD51" i="8" s="1"/>
  <c r="BC43" i="8"/>
  <c r="BC42" i="8"/>
  <c r="BC50" i="8" s="1"/>
  <c r="BC129" i="8"/>
  <c r="BC131" i="8" s="1"/>
  <c r="BB50" i="8"/>
  <c r="BA132" i="8"/>
  <c r="BA51" i="8" s="1"/>
  <c r="BC69" i="8"/>
  <c r="BD38" i="8"/>
  <c r="BB131" i="8"/>
  <c r="BB132" i="8" s="1"/>
  <c r="BB51" i="8" s="1"/>
  <c r="BC72" i="8"/>
  <c r="BC76" i="8"/>
  <c r="AZ70" i="8"/>
  <c r="AZ33" i="8"/>
  <c r="AY67" i="8"/>
  <c r="AY35" i="8"/>
  <c r="AZ68" i="8"/>
  <c r="AZ34" i="8"/>
  <c r="AY36" i="8"/>
  <c r="AY129" i="8"/>
  <c r="AY130" i="8" s="1"/>
  <c r="AZ35" i="8"/>
  <c r="AZ72" i="8"/>
  <c r="AY63" i="8"/>
  <c r="BA63" i="8" s="1"/>
  <c r="AY25" i="8"/>
  <c r="AZ69" i="8"/>
  <c r="AY61" i="8"/>
  <c r="AY54" i="36"/>
  <c r="AY46" i="36" s="1"/>
  <c r="AY53" i="36"/>
  <c r="AY51" i="36"/>
  <c r="AY49" i="36"/>
  <c r="AY48" i="36"/>
  <c r="AY50" i="36" s="1"/>
  <c r="AZ46" i="36"/>
  <c r="AZ54" i="36" s="1"/>
  <c r="AZ44" i="36"/>
  <c r="AZ52" i="36" s="1"/>
  <c r="AZ43" i="36"/>
  <c r="AZ51" i="36" s="1"/>
  <c r="AY43" i="36"/>
  <c r="AY45" i="36" s="1"/>
  <c r="AZ41" i="36"/>
  <c r="AZ49" i="36" s="1"/>
  <c r="AZ40" i="36"/>
  <c r="AZ48" i="36" s="1"/>
  <c r="AY40" i="36"/>
  <c r="AY42" i="36" s="1"/>
  <c r="AZ39" i="36"/>
  <c r="AZ17" i="36" s="1"/>
  <c r="BC48" i="59" s="1"/>
  <c r="AZ38" i="36"/>
  <c r="AZ16" i="36" s="1"/>
  <c r="BC47" i="59" s="1"/>
  <c r="AY34" i="36"/>
  <c r="AY33" i="36"/>
  <c r="AZ32" i="36"/>
  <c r="AY32" i="36"/>
  <c r="AY29" i="36"/>
  <c r="AY28" i="36"/>
  <c r="AY27" i="36"/>
  <c r="AZ26" i="36"/>
  <c r="AZ23" i="36"/>
  <c r="AY23" i="36"/>
  <c r="AZ22" i="36"/>
  <c r="AY22" i="36"/>
  <c r="AZ21" i="36"/>
  <c r="AY21" i="36"/>
  <c r="AY19" i="36"/>
  <c r="AY18" i="36"/>
  <c r="AY17" i="36"/>
  <c r="AY39" i="36" s="1"/>
  <c r="AY16" i="36"/>
  <c r="AY38" i="36" s="1"/>
  <c r="AY13" i="36"/>
  <c r="AZ12" i="36"/>
  <c r="AZ11" i="36"/>
  <c r="BC38" i="59" s="1"/>
  <c r="AZ10" i="36"/>
  <c r="AZ9" i="36"/>
  <c r="AY9" i="36"/>
  <c r="AZ8" i="36"/>
  <c r="AY8" i="36"/>
  <c r="AZ7" i="36"/>
  <c r="AY7" i="36"/>
  <c r="AZ5" i="36"/>
  <c r="AY5" i="36"/>
  <c r="AZ13" i="49" l="1"/>
  <c r="AZ14" i="49" s="1"/>
  <c r="AZ15" i="49" s="1"/>
  <c r="AZ16" i="49" s="1"/>
  <c r="AZ19" i="49" s="1"/>
  <c r="AZ20" i="49" s="1"/>
  <c r="AZ15" i="36" s="1"/>
  <c r="AZ73" i="8" s="1"/>
  <c r="BC6" i="59"/>
  <c r="AZ53" i="36"/>
  <c r="BC46" i="59"/>
  <c r="AY35" i="36"/>
  <c r="AY36" i="36" s="1"/>
  <c r="AY30" i="36" s="1"/>
  <c r="BB73" i="59" s="1"/>
  <c r="AZ13" i="36"/>
  <c r="BC40" i="59" s="1"/>
  <c r="AZ50" i="36"/>
  <c r="AZ18" i="36"/>
  <c r="BC49" i="59" s="1"/>
  <c r="BC48" i="8"/>
  <c r="BC49" i="8"/>
  <c r="BA74" i="8"/>
  <c r="BC25" i="8"/>
  <c r="BC38" i="8"/>
  <c r="BC39" i="8"/>
  <c r="BC63" i="8"/>
  <c r="BC70" i="8" s="1"/>
  <c r="BA70" i="8"/>
  <c r="BC40" i="8"/>
  <c r="BD50" i="8"/>
  <c r="BC130" i="8"/>
  <c r="BC132" i="8" s="1"/>
  <c r="BC51" i="8" s="1"/>
  <c r="AY33" i="8"/>
  <c r="BA33" i="8" s="1"/>
  <c r="BC33" i="8" s="1"/>
  <c r="AY34" i="8"/>
  <c r="AY131" i="8"/>
  <c r="AY132" i="8" s="1"/>
  <c r="AZ45" i="36"/>
  <c r="AZ42" i="36"/>
  <c r="BC27" i="21"/>
  <c r="BD27" i="21"/>
  <c r="BD26" i="21"/>
  <c r="BD16" i="21"/>
  <c r="BC9" i="21"/>
  <c r="BD8" i="21"/>
  <c r="BD2" i="21"/>
  <c r="BC2" i="21"/>
  <c r="BB27" i="21"/>
  <c r="BA27" i="21"/>
  <c r="BB26" i="21"/>
  <c r="BB28" i="21" s="1"/>
  <c r="BD28" i="21" s="1"/>
  <c r="BA26" i="21"/>
  <c r="BB23" i="21"/>
  <c r="BD23" i="21" s="1"/>
  <c r="BB22" i="21"/>
  <c r="BB19" i="21"/>
  <c r="BD19" i="21" s="1"/>
  <c r="BB17" i="21"/>
  <c r="BD17" i="21" s="1"/>
  <c r="BB16" i="21"/>
  <c r="BB15" i="21"/>
  <c r="BD15" i="21" s="1"/>
  <c r="BB11" i="21"/>
  <c r="BD11" i="21" s="1"/>
  <c r="BA11" i="21"/>
  <c r="BC11" i="21" s="1"/>
  <c r="BB10" i="21"/>
  <c r="BD10" i="21" s="1"/>
  <c r="BA10" i="21"/>
  <c r="BC10" i="21" s="1"/>
  <c r="BB9" i="21"/>
  <c r="BD9" i="21" s="1"/>
  <c r="BA9" i="21"/>
  <c r="BB8" i="21"/>
  <c r="BA8" i="21"/>
  <c r="BC8" i="21" s="1"/>
  <c r="BB7" i="21"/>
  <c r="BD7" i="21" s="1"/>
  <c r="BA7" i="21"/>
  <c r="BC7" i="21" s="1"/>
  <c r="BB6" i="21"/>
  <c r="BA6" i="21"/>
  <c r="BC6" i="21" s="1"/>
  <c r="BB2" i="21"/>
  <c r="BA2" i="21"/>
  <c r="AY12" i="21"/>
  <c r="AY15" i="21" s="1"/>
  <c r="BA15" i="21" s="1"/>
  <c r="BC15" i="21" s="1"/>
  <c r="AZ12" i="21"/>
  <c r="AZ15" i="21"/>
  <c r="BF15" i="21" s="1"/>
  <c r="AZ18" i="21"/>
  <c r="AZ20" i="21" s="1"/>
  <c r="AZ24" i="21"/>
  <c r="AZ25" i="21" s="1"/>
  <c r="AY28" i="21"/>
  <c r="AY27" i="21"/>
  <c r="AZ28" i="21"/>
  <c r="BF16" i="21"/>
  <c r="BE2" i="21"/>
  <c r="BF22" i="21"/>
  <c r="BF19" i="21"/>
  <c r="BF23" i="21"/>
  <c r="BF17" i="21"/>
  <c r="BF2" i="21"/>
  <c r="AZ19" i="36" l="1"/>
  <c r="BC50" i="59" s="1"/>
  <c r="BA28" i="21"/>
  <c r="BB24" i="21"/>
  <c r="BD22" i="21"/>
  <c r="BD24" i="21" s="1"/>
  <c r="BD25" i="21" s="1"/>
  <c r="BB12" i="21"/>
  <c r="BD6" i="21"/>
  <c r="BD12" i="21" s="1"/>
  <c r="BD20" i="21" s="1"/>
  <c r="BB18" i="21"/>
  <c r="BD18" i="21" s="1"/>
  <c r="AZ390" i="28"/>
  <c r="AZ391" i="28"/>
  <c r="BC41" i="8"/>
  <c r="AY22" i="21"/>
  <c r="BA12" i="21"/>
  <c r="BA22" i="21" s="1"/>
  <c r="BC12" i="21"/>
  <c r="BC22" i="21" s="1"/>
  <c r="BB25" i="21"/>
  <c r="BF24" i="21"/>
  <c r="BF18" i="21"/>
  <c r="BF25" i="21"/>
  <c r="AY33" i="35"/>
  <c r="AY32" i="35"/>
  <c r="AY30" i="35"/>
  <c r="AY21" i="35"/>
  <c r="AY18" i="35"/>
  <c r="BB20" i="21" l="1"/>
  <c r="BE7" i="35"/>
  <c r="BE6" i="35"/>
  <c r="BD49" i="35"/>
  <c r="BD22" i="35"/>
  <c r="BC47" i="35"/>
  <c r="BC46" i="35"/>
  <c r="BC30" i="35"/>
  <c r="BC23" i="35"/>
  <c r="BC22" i="35"/>
  <c r="BF49" i="35"/>
  <c r="BE49" i="35"/>
  <c r="BF47" i="35"/>
  <c r="BE47" i="35"/>
  <c r="BF46" i="35"/>
  <c r="BE46" i="35"/>
  <c r="BE43" i="35"/>
  <c r="BE42" i="35"/>
  <c r="BE41" i="35"/>
  <c r="BE33" i="35"/>
  <c r="BF26" i="35"/>
  <c r="BF10" i="35"/>
  <c r="BF9" i="35"/>
  <c r="AY40" i="35"/>
  <c r="AY39" i="35"/>
  <c r="AY37" i="35"/>
  <c r="AZ34" i="35"/>
  <c r="AZ44" i="35" s="1"/>
  <c r="AZ45" i="35" s="1"/>
  <c r="AY34" i="35"/>
  <c r="AY44" i="35" s="1"/>
  <c r="AZ31" i="35"/>
  <c r="AY31" i="35"/>
  <c r="AZ24" i="35"/>
  <c r="AY24" i="35"/>
  <c r="AY19" i="35"/>
  <c r="AY26" i="9" s="1"/>
  <c r="AZ15" i="35"/>
  <c r="AZ11" i="35"/>
  <c r="AY10" i="35"/>
  <c r="AY9" i="35"/>
  <c r="AY8" i="35"/>
  <c r="AZ7" i="35"/>
  <c r="AZ6" i="6" s="1"/>
  <c r="AZ6" i="35"/>
  <c r="AZ5" i="6" s="1"/>
  <c r="AZ19" i="35"/>
  <c r="AZ26" i="9" s="1"/>
  <c r="BB49" i="35"/>
  <c r="BA49" i="35"/>
  <c r="BC49" i="35" s="1"/>
  <c r="BB47" i="35"/>
  <c r="BD47" i="35" s="1"/>
  <c r="BA47" i="35"/>
  <c r="BB46" i="35"/>
  <c r="BD46" i="35" s="1"/>
  <c r="BA46" i="35"/>
  <c r="BB43" i="35"/>
  <c r="BD43" i="35" s="1"/>
  <c r="BB42" i="35"/>
  <c r="BD42" i="35" s="1"/>
  <c r="BB41" i="35"/>
  <c r="BD41" i="35" s="1"/>
  <c r="BB40" i="35"/>
  <c r="BD40" i="35" s="1"/>
  <c r="BB38" i="35"/>
  <c r="BB37" i="35"/>
  <c r="BB33" i="35"/>
  <c r="BA33" i="35"/>
  <c r="BC33" i="35" s="1"/>
  <c r="BB32" i="35"/>
  <c r="BD32" i="35" s="1"/>
  <c r="BA32" i="35"/>
  <c r="BC32" i="35" s="1"/>
  <c r="BB30" i="35"/>
  <c r="BC112" i="45" s="1"/>
  <c r="BA30" i="35"/>
  <c r="BB29" i="35"/>
  <c r="BD29" i="35" s="1"/>
  <c r="BA29" i="35"/>
  <c r="BC29" i="35" s="1"/>
  <c r="BB28" i="35"/>
  <c r="BD28" i="35" s="1"/>
  <c r="BA28" i="35"/>
  <c r="BC28" i="35" s="1"/>
  <c r="BB26" i="35"/>
  <c r="BD26" i="35" s="1"/>
  <c r="BA26" i="35"/>
  <c r="BC26" i="35" s="1"/>
  <c r="BB25" i="35"/>
  <c r="BA25" i="35"/>
  <c r="BC25" i="35" s="1"/>
  <c r="BB23" i="35"/>
  <c r="BD23" i="35" s="1"/>
  <c r="BA23" i="35"/>
  <c r="BB22" i="35"/>
  <c r="BA22" i="35"/>
  <c r="BB21" i="35"/>
  <c r="BD21" i="35" s="1"/>
  <c r="BA21" i="35"/>
  <c r="BC21" i="35" s="1"/>
  <c r="BB18" i="35"/>
  <c r="BD18" i="35" s="1"/>
  <c r="BA18" i="35"/>
  <c r="BC18" i="35" s="1"/>
  <c r="BB17" i="35"/>
  <c r="BD17" i="35" s="1"/>
  <c r="BA17" i="35"/>
  <c r="BC17" i="35" s="1"/>
  <c r="BB16" i="35"/>
  <c r="BD16" i="35" s="1"/>
  <c r="BA16" i="35"/>
  <c r="BC16" i="35" s="1"/>
  <c r="BB14" i="35"/>
  <c r="BB10" i="35"/>
  <c r="BB9" i="35"/>
  <c r="BD9" i="35" s="1"/>
  <c r="BB2" i="35"/>
  <c r="BA2" i="35"/>
  <c r="BD30" i="35" l="1"/>
  <c r="BD31" i="35"/>
  <c r="BB90" i="11"/>
  <c r="BD24" i="35"/>
  <c r="AZ33" i="36"/>
  <c r="AZ34" i="36" s="1"/>
  <c r="AZ35" i="36" s="1"/>
  <c r="AZ36" i="36" s="1"/>
  <c r="AZ30" i="36" s="1"/>
  <c r="BC73" i="59" s="1"/>
  <c r="BD14" i="36"/>
  <c r="BB14" i="36"/>
  <c r="BD5" i="9"/>
  <c r="BB52" i="36"/>
  <c r="BB5" i="9"/>
  <c r="BB5" i="36"/>
  <c r="AZ12" i="6"/>
  <c r="AZ14" i="6"/>
  <c r="BD10" i="35"/>
  <c r="BD11" i="35" s="1"/>
  <c r="AZ13" i="6"/>
  <c r="BB57" i="6"/>
  <c r="BB56" i="6"/>
  <c r="BB58" i="6"/>
  <c r="AZ11" i="6"/>
  <c r="AZ7" i="6"/>
  <c r="BF11" i="35"/>
  <c r="AY35" i="35"/>
  <c r="BC34" i="35"/>
  <c r="BC44" i="35" s="1"/>
  <c r="BC31" i="35"/>
  <c r="BC24" i="35"/>
  <c r="AY14" i="35"/>
  <c r="AY11" i="35"/>
  <c r="AZ35" i="35"/>
  <c r="BB34" i="35"/>
  <c r="BB44" i="35" s="1"/>
  <c r="AY45" i="35"/>
  <c r="AY51" i="35" s="1"/>
  <c r="BB24" i="35"/>
  <c r="AZ8" i="35"/>
  <c r="AY13" i="35"/>
  <c r="BA31" i="35"/>
  <c r="BB31" i="35"/>
  <c r="BB11" i="35"/>
  <c r="BA1" i="35"/>
  <c r="BA19" i="35" s="1"/>
  <c r="BA26" i="9" s="1"/>
  <c r="BA24" i="35"/>
  <c r="BB13" i="35"/>
  <c r="BB39" i="35"/>
  <c r="BD39" i="35" s="1"/>
  <c r="BA34" i="35"/>
  <c r="BA44" i="35" s="1"/>
  <c r="L20" i="10"/>
  <c r="M22" i="50" s="1"/>
  <c r="L111" i="10"/>
  <c r="L55" i="10"/>
  <c r="M20" i="50" s="1"/>
  <c r="L113" i="10"/>
  <c r="AD50" i="10"/>
  <c r="AD55" i="10"/>
  <c r="AD113" i="10"/>
  <c r="AL55" i="10"/>
  <c r="AM20" i="50" s="1"/>
  <c r="AN113" i="10" l="1"/>
  <c r="AD126" i="10"/>
  <c r="AE20" i="50"/>
  <c r="AN50" i="10"/>
  <c r="AF50" i="10"/>
  <c r="AJ50" i="10" s="1"/>
  <c r="AP50" i="10" s="1"/>
  <c r="AT50" i="10" s="1"/>
  <c r="L126" i="10"/>
  <c r="N111" i="10"/>
  <c r="BB13" i="49"/>
  <c r="BE6" i="59"/>
  <c r="BB33" i="22"/>
  <c r="BA125" i="26"/>
  <c r="BE53" i="59"/>
  <c r="BD33" i="22"/>
  <c r="BC125" i="26"/>
  <c r="AZ51" i="35"/>
  <c r="BB35" i="35"/>
  <c r="BB25" i="36"/>
  <c r="AZ25" i="36"/>
  <c r="BB73" i="9"/>
  <c r="BB89" i="9"/>
  <c r="BB76" i="9"/>
  <c r="BB72" i="9"/>
  <c r="BB75" i="9"/>
  <c r="BB78" i="9"/>
  <c r="BB96" i="9"/>
  <c r="BB94" i="9"/>
  <c r="BB14" i="6"/>
  <c r="BB188" i="6"/>
  <c r="AZ182" i="6"/>
  <c r="AZ187" i="6"/>
  <c r="AZ157" i="6"/>
  <c r="BB13" i="6"/>
  <c r="BB162" i="6"/>
  <c r="AZ161" i="6"/>
  <c r="AZ15" i="6"/>
  <c r="AZ80" i="6" s="1"/>
  <c r="BC35" i="35"/>
  <c r="BA7" i="35"/>
  <c r="AY15" i="35"/>
  <c r="BA6" i="35"/>
  <c r="BA35" i="35"/>
  <c r="BB15" i="35"/>
  <c r="BB45" i="35"/>
  <c r="R111" i="10" l="1"/>
  <c r="AN126" i="10"/>
  <c r="BD113" i="10"/>
  <c r="BA18" i="15"/>
  <c r="BE18" i="15"/>
  <c r="BA8" i="35"/>
  <c r="BA5" i="6"/>
  <c r="BC7" i="35"/>
  <c r="BC6" i="6" s="1"/>
  <c r="BC12" i="6" s="1"/>
  <c r="BA6" i="6"/>
  <c r="BA12" i="6" s="1"/>
  <c r="BB51" i="35"/>
  <c r="BA81" i="50"/>
  <c r="BD14" i="6"/>
  <c r="BD79" i="6"/>
  <c r="BB182" i="6"/>
  <c r="BD188" i="6"/>
  <c r="BD13" i="6"/>
  <c r="BD81" i="6" s="1"/>
  <c r="BD78" i="6"/>
  <c r="BD75" i="6"/>
  <c r="BB157" i="6"/>
  <c r="BB15" i="6"/>
  <c r="BD162" i="6"/>
  <c r="AZ77" i="6"/>
  <c r="BB77" i="6" s="1"/>
  <c r="AZ35" i="6"/>
  <c r="AZ34" i="6"/>
  <c r="AZ36" i="6"/>
  <c r="AZ33" i="6"/>
  <c r="BC58" i="6" l="1"/>
  <c r="BF12" i="59" s="1"/>
  <c r="BC56" i="6"/>
  <c r="BF16" i="59" s="1"/>
  <c r="BA7" i="6"/>
  <c r="BC57" i="6"/>
  <c r="BF23" i="59" s="1"/>
  <c r="BA11" i="6"/>
  <c r="BD182" i="6"/>
  <c r="AZ37" i="6"/>
  <c r="BB33" i="6"/>
  <c r="BB34" i="6"/>
  <c r="BB36" i="6"/>
  <c r="BB35" i="6"/>
  <c r="BD15" i="6"/>
  <c r="BD157" i="6"/>
  <c r="AN270" i="28"/>
  <c r="BD270" i="28" s="1"/>
  <c r="Z270" i="28"/>
  <c r="N270" i="28"/>
  <c r="J270" i="28"/>
  <c r="AB270" i="28" l="1"/>
  <c r="AF270" i="28" s="1"/>
  <c r="AJ270" i="28" s="1"/>
  <c r="AP270" i="28" s="1"/>
  <c r="AT270" i="28" s="1"/>
  <c r="AX270" i="28" s="1"/>
  <c r="BF270" i="28" s="1"/>
  <c r="BB37" i="6"/>
  <c r="BD80" i="6"/>
  <c r="BD77" i="6"/>
  <c r="R270" i="28"/>
  <c r="V270" i="28" s="1"/>
  <c r="AS176" i="73" l="1"/>
  <c r="U14" i="85" l="1"/>
  <c r="V14" i="85"/>
  <c r="W14" i="85"/>
  <c r="X14" i="85"/>
  <c r="Y14" i="85"/>
  <c r="U12" i="85"/>
  <c r="V12" i="85"/>
  <c r="W12" i="85"/>
  <c r="X12" i="85"/>
  <c r="Y12" i="85"/>
  <c r="BA53" i="38" l="1"/>
  <c r="BJ53" i="36"/>
  <c r="BH53" i="36"/>
  <c r="BG53" i="36"/>
  <c r="AV1" i="35"/>
  <c r="AR1" i="35"/>
  <c r="AL1" i="35"/>
  <c r="AH1" i="35"/>
  <c r="AD1" i="35"/>
  <c r="X1" i="35"/>
  <c r="T1" i="35"/>
  <c r="P1" i="35"/>
  <c r="L1" i="35"/>
  <c r="H1" i="35"/>
  <c r="F1" i="35"/>
  <c r="F19" i="35" s="1"/>
  <c r="AX3" i="8"/>
  <c r="AN3" i="8"/>
  <c r="BD3" i="8" s="1"/>
  <c r="AL3" i="8"/>
  <c r="Z3" i="8"/>
  <c r="X3" i="8"/>
  <c r="N3" i="8"/>
  <c r="AB3" i="8" s="1"/>
  <c r="BF3" i="8" s="1"/>
  <c r="L3" i="8"/>
  <c r="H3" i="8"/>
  <c r="BB1" i="35" l="1"/>
  <c r="BB19" i="35" s="1"/>
  <c r="BB26" i="9" s="1"/>
  <c r="E19" i="35"/>
  <c r="I211" i="73" l="1"/>
  <c r="M211" i="73"/>
  <c r="AA211" i="73" s="1"/>
  <c r="BC211" i="73"/>
  <c r="AE211" i="73" l="1"/>
  <c r="AI211" i="73" s="1"/>
  <c r="AO211" i="73" s="1"/>
  <c r="AS211" i="73" s="1"/>
  <c r="AW211" i="73" s="1"/>
  <c r="BE211" i="73" s="1"/>
  <c r="T10" i="11" l="1"/>
  <c r="AV50" i="10"/>
  <c r="AV46" i="10"/>
  <c r="AW23" i="50" s="1"/>
  <c r="AV44" i="10"/>
  <c r="AV42" i="10"/>
  <c r="AV41" i="10"/>
  <c r="AV31" i="10"/>
  <c r="AV26" i="10"/>
  <c r="AV92" i="10"/>
  <c r="BB92" i="10" s="1"/>
  <c r="AV93" i="10"/>
  <c r="AV88" i="10"/>
  <c r="AV63" i="10"/>
  <c r="AW97" i="50" l="1"/>
  <c r="AW24" i="50"/>
  <c r="BC24" i="50" s="1"/>
  <c r="BE24" i="50" s="1"/>
  <c r="BB41" i="10"/>
  <c r="BD41" i="10" s="1"/>
  <c r="AX41" i="10"/>
  <c r="BF41" i="10" s="1"/>
  <c r="AW27" i="50"/>
  <c r="BC27" i="50" s="1"/>
  <c r="BB88" i="10"/>
  <c r="AW98" i="50"/>
  <c r="BC98" i="50" s="1"/>
  <c r="BB42" i="10"/>
  <c r="BD42" i="10" s="1"/>
  <c r="AX42" i="10"/>
  <c r="BF42" i="10" s="1"/>
  <c r="BB93" i="10"/>
  <c r="AW31" i="50"/>
  <c r="BC31" i="50" s="1"/>
  <c r="AW9" i="50"/>
  <c r="BC9" i="50" s="1"/>
  <c r="BB26" i="10"/>
  <c r="AV124" i="10"/>
  <c r="BB50" i="10"/>
  <c r="BD50" i="10" s="1"/>
  <c r="AX50" i="10"/>
  <c r="BF50" i="10" s="1"/>
  <c r="AW20" i="50"/>
  <c r="BB31" i="10"/>
  <c r="BD31" i="10" s="1"/>
  <c r="AX31" i="10"/>
  <c r="BF31" i="10" s="1"/>
  <c r="AV69" i="10"/>
  <c r="AV125" i="10" s="1"/>
  <c r="AV127" i="10" l="1"/>
  <c r="AW93" i="50"/>
  <c r="AW100" i="50"/>
  <c r="AR44" i="10"/>
  <c r="X55" i="10"/>
  <c r="Y20" i="50" s="1"/>
  <c r="T12" i="10"/>
  <c r="T20" i="10"/>
  <c r="T48" i="10"/>
  <c r="U98" i="50" s="1"/>
  <c r="U100" i="50" s="1"/>
  <c r="P55" i="10"/>
  <c r="L46" i="10"/>
  <c r="M23" i="50" s="1"/>
  <c r="H55" i="10"/>
  <c r="I20" i="50" s="1"/>
  <c r="F57" i="10"/>
  <c r="F55" i="10"/>
  <c r="AR112" i="10"/>
  <c r="X113" i="10"/>
  <c r="X126" i="10" s="1"/>
  <c r="T113" i="10"/>
  <c r="T111" i="10"/>
  <c r="T110" i="10"/>
  <c r="P113" i="10"/>
  <c r="F114" i="10"/>
  <c r="H113" i="10"/>
  <c r="H126" i="10" s="1"/>
  <c r="F113" i="10"/>
  <c r="Z111" i="10" l="1"/>
  <c r="AB111" i="10" s="1"/>
  <c r="AF111" i="10" s="1"/>
  <c r="AJ111" i="10" s="1"/>
  <c r="AP111" i="10" s="1"/>
  <c r="AT111" i="10" s="1"/>
  <c r="AX111" i="10" s="1"/>
  <c r="BF111" i="10" s="1"/>
  <c r="V111" i="10"/>
  <c r="N113" i="10"/>
  <c r="J113" i="10"/>
  <c r="J126" i="10" s="1"/>
  <c r="F126" i="10"/>
  <c r="Q20" i="50"/>
  <c r="AA20" i="50" s="1"/>
  <c r="Z55" i="10"/>
  <c r="N114" i="10"/>
  <c r="J114" i="10"/>
  <c r="BB112" i="10"/>
  <c r="AR126" i="10"/>
  <c r="Z113" i="10"/>
  <c r="AB113" i="10" s="1"/>
  <c r="AF113" i="10" s="1"/>
  <c r="AJ113" i="10" s="1"/>
  <c r="AP113" i="10" s="1"/>
  <c r="AT113" i="10" s="1"/>
  <c r="AX113" i="10" s="1"/>
  <c r="BF113" i="10" s="1"/>
  <c r="P126" i="10"/>
  <c r="G20" i="50"/>
  <c r="N55" i="10"/>
  <c r="R55" i="10" s="1"/>
  <c r="V55" i="10" s="1"/>
  <c r="J55" i="10"/>
  <c r="U22" i="50"/>
  <c r="AA22" i="50" s="1"/>
  <c r="Z20" i="10"/>
  <c r="Z110" i="10"/>
  <c r="V110" i="10"/>
  <c r="J57" i="10"/>
  <c r="N57" i="10"/>
  <c r="U21" i="50"/>
  <c r="AA21" i="50" s="1"/>
  <c r="Z12" i="10"/>
  <c r="T125" i="10"/>
  <c r="BB44" i="10"/>
  <c r="BD44" i="10" s="1"/>
  <c r="AT44" i="10"/>
  <c r="AX44" i="10" s="1"/>
  <c r="BF44" i="10" s="1"/>
  <c r="AU75" i="77"/>
  <c r="BA75" i="77" s="1"/>
  <c r="BD112" i="10" l="1"/>
  <c r="BD126" i="10" s="1"/>
  <c r="BB126" i="10"/>
  <c r="R113" i="10"/>
  <c r="V113" i="10" s="1"/>
  <c r="N126" i="10"/>
  <c r="K20" i="50"/>
  <c r="O20" i="50"/>
  <c r="AB114" i="10"/>
  <c r="AF114" i="10" s="1"/>
  <c r="AJ114" i="10" s="1"/>
  <c r="AP114" i="10" s="1"/>
  <c r="AT114" i="10" s="1"/>
  <c r="AX114" i="10" s="1"/>
  <c r="BF114" i="10" s="1"/>
  <c r="R114" i="10"/>
  <c r="V114" i="10" s="1"/>
  <c r="AB57" i="10"/>
  <c r="AF57" i="10" s="1"/>
  <c r="AJ57" i="10" s="1"/>
  <c r="AP57" i="10" s="1"/>
  <c r="AT57" i="10" s="1"/>
  <c r="AX57" i="10" s="1"/>
  <c r="BF57" i="10" s="1"/>
  <c r="R57" i="10"/>
  <c r="V57" i="10" s="1"/>
  <c r="T127" i="10"/>
  <c r="U93" i="50"/>
  <c r="AB110" i="10"/>
  <c r="AF110" i="10" s="1"/>
  <c r="AJ110" i="10" s="1"/>
  <c r="AP110" i="10" s="1"/>
  <c r="AT110" i="10" s="1"/>
  <c r="AX110" i="10" s="1"/>
  <c r="BF110" i="10" s="1"/>
  <c r="AB55" i="10"/>
  <c r="AF55" i="10" s="1"/>
  <c r="BA12" i="38"/>
  <c r="R12" i="38"/>
  <c r="AF12" i="38" s="1"/>
  <c r="AD12" i="38"/>
  <c r="AR12" i="38"/>
  <c r="AT12" i="38"/>
  <c r="K170" i="6"/>
  <c r="K171" i="6"/>
  <c r="K172" i="6"/>
  <c r="K174" i="6"/>
  <c r="K175" i="6"/>
  <c r="S20" i="50" l="1"/>
  <c r="W20" i="50" s="1"/>
  <c r="AC20" i="50"/>
  <c r="AG20" i="50" s="1"/>
  <c r="BB157" i="10"/>
  <c r="BB149" i="10"/>
  <c r="BD149" i="10"/>
  <c r="BD157" i="10"/>
  <c r="AX12" i="38"/>
  <c r="BB12" i="38" s="1"/>
  <c r="BJ12" i="38" s="1"/>
  <c r="AW60" i="83"/>
  <c r="AW61" i="83"/>
  <c r="AW62" i="83"/>
  <c r="AW63" i="83"/>
  <c r="AW64" i="83"/>
  <c r="AW65" i="83"/>
  <c r="AW66" i="83"/>
  <c r="AW59" i="83"/>
  <c r="AW44" i="83"/>
  <c r="AW45" i="83"/>
  <c r="AW46" i="83"/>
  <c r="AW47" i="83"/>
  <c r="AW48" i="83"/>
  <c r="AW49" i="83"/>
  <c r="AW50" i="83"/>
  <c r="AW51" i="83"/>
  <c r="AW52" i="83"/>
  <c r="AW53" i="83"/>
  <c r="AW54" i="83"/>
  <c r="AW55" i="83"/>
  <c r="AW56" i="83"/>
  <c r="AW57" i="83"/>
  <c r="AW43" i="83"/>
  <c r="AW40" i="83"/>
  <c r="AW41" i="83"/>
  <c r="AW39" i="83"/>
  <c r="AW33" i="83"/>
  <c r="AW34" i="83"/>
  <c r="AW35" i="83"/>
  <c r="AW36" i="83"/>
  <c r="AW37" i="83"/>
  <c r="AW32" i="83"/>
  <c r="AW5" i="83"/>
  <c r="AW6" i="83"/>
  <c r="AW7" i="83"/>
  <c r="AW8" i="83"/>
  <c r="AW9" i="83"/>
  <c r="AW10" i="83"/>
  <c r="AW11" i="83"/>
  <c r="AW12" i="83"/>
  <c r="AW13" i="83"/>
  <c r="AW14" i="83"/>
  <c r="AW15" i="83"/>
  <c r="AW16" i="83"/>
  <c r="AW17" i="83"/>
  <c r="AW18" i="83"/>
  <c r="AW19" i="83"/>
  <c r="AW20" i="83"/>
  <c r="AW21" i="83"/>
  <c r="AW22" i="83"/>
  <c r="AW23" i="83"/>
  <c r="AW24" i="83"/>
  <c r="AW25" i="83"/>
  <c r="AW26" i="83"/>
  <c r="AW27" i="83"/>
  <c r="AW28" i="83"/>
  <c r="AW29" i="83"/>
  <c r="AW30" i="83"/>
  <c r="AW4" i="83"/>
  <c r="AW67" i="83" l="1"/>
  <c r="AW38" i="83"/>
  <c r="AW42" i="83"/>
  <c r="AW31" i="83"/>
  <c r="AW58" i="83"/>
  <c r="AX159" i="9"/>
  <c r="AX158" i="9"/>
  <c r="AX157" i="9"/>
  <c r="M194" i="73"/>
  <c r="AA194" i="73" s="1"/>
  <c r="BC194" i="73"/>
  <c r="AE194" i="73" l="1"/>
  <c r="AI194" i="73" s="1"/>
  <c r="AO194" i="73" s="1"/>
  <c r="AS194" i="73" s="1"/>
  <c r="AW194" i="73" s="1"/>
  <c r="BE194" i="73" s="1"/>
  <c r="AW68" i="83"/>
  <c r="AQ64" i="77"/>
  <c r="AU37" i="27" l="1"/>
  <c r="AU35" i="27"/>
  <c r="AU29" i="27"/>
  <c r="AU28" i="27"/>
  <c r="AU27" i="27"/>
  <c r="AU20" i="27"/>
  <c r="AU19" i="27"/>
  <c r="AU18" i="27"/>
  <c r="AV103" i="9" l="1"/>
  <c r="AX338" i="28" l="1"/>
  <c r="BF338" i="28" s="1"/>
  <c r="AX279" i="28"/>
  <c r="BF279" i="28" s="1"/>
  <c r="AW179" i="73" l="1"/>
  <c r="BE179" i="73" s="1"/>
  <c r="AW180" i="73"/>
  <c r="BE180" i="73" s="1"/>
  <c r="AW176" i="73"/>
  <c r="BE176" i="73" s="1"/>
  <c r="BC82" i="73"/>
  <c r="AS82" i="73"/>
  <c r="AW82" i="73" s="1"/>
  <c r="BE82" i="73" s="1"/>
  <c r="BC83" i="73"/>
  <c r="BC84" i="73"/>
  <c r="AS44" i="73"/>
  <c r="AW44" i="73" s="1"/>
  <c r="BE44" i="73" s="1"/>
  <c r="BC44" i="73"/>
  <c r="BC45" i="73"/>
  <c r="M27" i="73"/>
  <c r="AA27" i="73" s="1"/>
  <c r="AS27" i="73"/>
  <c r="AW27" i="73" s="1"/>
  <c r="BE27" i="73" s="1"/>
  <c r="BC27" i="73"/>
  <c r="AZ6" i="38" l="1"/>
  <c r="AU29" i="71" l="1"/>
  <c r="AW29" i="71"/>
  <c r="BA29" i="71"/>
  <c r="BE29" i="71"/>
  <c r="BI29" i="71"/>
  <c r="BM29" i="71"/>
  <c r="BS29" i="71"/>
  <c r="BW29" i="71"/>
  <c r="CA29" i="71"/>
  <c r="CG29" i="71"/>
  <c r="CK29" i="71"/>
  <c r="AU30" i="71"/>
  <c r="AW30" i="71"/>
  <c r="BA30" i="71"/>
  <c r="BE30" i="71"/>
  <c r="BI30" i="71"/>
  <c r="BM30" i="71"/>
  <c r="BS30" i="71"/>
  <c r="BW30" i="71"/>
  <c r="CA30" i="71"/>
  <c r="CG30" i="71"/>
  <c r="CK30" i="71"/>
  <c r="AK29" i="71"/>
  <c r="AK30" i="71"/>
  <c r="AK31" i="71"/>
  <c r="AK32" i="71"/>
  <c r="AQ29" i="71"/>
  <c r="AQ30" i="71"/>
  <c r="AQ31" i="71"/>
  <c r="AF29" i="71"/>
  <c r="AF30" i="71"/>
  <c r="AF31" i="71"/>
  <c r="AB29" i="71"/>
  <c r="AG29" i="71" s="1"/>
  <c r="AB30" i="71"/>
  <c r="AG30" i="71" s="1"/>
  <c r="AB31" i="71"/>
  <c r="X29" i="71"/>
  <c r="X30" i="71"/>
  <c r="R29" i="71"/>
  <c r="R30" i="71"/>
  <c r="M29" i="71"/>
  <c r="M30" i="71"/>
  <c r="I29" i="71"/>
  <c r="I30" i="71"/>
  <c r="N30" i="71" s="1"/>
  <c r="AD21" i="39"/>
  <c r="AF21" i="39"/>
  <c r="AH21" i="39"/>
  <c r="AJ21" i="39"/>
  <c r="AR21" i="39"/>
  <c r="AT21" i="39"/>
  <c r="AM20" i="39"/>
  <c r="AW20" i="39"/>
  <c r="CU30" i="71" l="1"/>
  <c r="N29" i="71"/>
  <c r="AR29" i="71"/>
  <c r="AR30" i="71"/>
  <c r="CU29" i="71"/>
  <c r="AG31" i="71"/>
  <c r="AU38" i="45"/>
  <c r="AY38" i="45" s="1"/>
  <c r="BG38" i="45" s="1"/>
  <c r="AX8" i="24" l="1"/>
  <c r="AW8" i="24"/>
  <c r="AX7" i="24"/>
  <c r="AW7" i="24"/>
  <c r="AX6" i="24"/>
  <c r="AW6" i="24"/>
  <c r="AX17" i="61"/>
  <c r="AV17" i="61"/>
  <c r="AV16" i="52"/>
  <c r="AU16" i="52"/>
  <c r="AV8" i="52"/>
  <c r="AU8" i="52"/>
  <c r="AV17" i="52" l="1"/>
  <c r="AU17" i="52"/>
  <c r="AT39" i="27"/>
  <c r="AW38" i="27"/>
  <c r="AV38" i="27"/>
  <c r="AU36" i="27"/>
  <c r="AU39" i="27" s="1"/>
  <c r="AT33" i="27"/>
  <c r="AW32" i="27"/>
  <c r="AV32" i="27"/>
  <c r="AW29" i="27"/>
  <c r="AW28" i="27"/>
  <c r="AU26" i="27"/>
  <c r="AT24" i="27"/>
  <c r="AW23" i="27"/>
  <c r="AV23" i="27"/>
  <c r="AU21" i="27"/>
  <c r="AW15" i="27"/>
  <c r="AV15" i="27"/>
  <c r="AW14" i="27"/>
  <c r="AV14" i="27"/>
  <c r="AW13" i="27"/>
  <c r="AV13" i="27"/>
  <c r="AW12" i="27"/>
  <c r="AV12" i="27"/>
  <c r="AW11" i="27"/>
  <c r="AV11" i="27"/>
  <c r="AW10" i="27"/>
  <c r="AV10" i="27"/>
  <c r="AW9" i="27"/>
  <c r="AV9" i="27"/>
  <c r="AW8" i="27"/>
  <c r="AV8" i="27"/>
  <c r="AW7" i="27"/>
  <c r="AV7" i="27"/>
  <c r="AW6" i="27"/>
  <c r="AV6" i="27"/>
  <c r="AW2" i="27"/>
  <c r="AV2" i="27"/>
  <c r="AX31" i="22"/>
  <c r="AX30" i="22"/>
  <c r="AV28" i="22"/>
  <c r="AX27" i="22"/>
  <c r="AX25" i="22"/>
  <c r="AV24" i="22"/>
  <c r="AV26" i="22" s="1"/>
  <c r="AV23" i="22"/>
  <c r="AX21" i="22"/>
  <c r="AX19" i="22"/>
  <c r="AX18" i="22"/>
  <c r="AX17" i="22"/>
  <c r="AX16" i="22"/>
  <c r="AV14" i="22"/>
  <c r="AX13" i="22"/>
  <c r="AX11" i="22"/>
  <c r="AV10" i="22"/>
  <c r="AX10" i="22" s="1"/>
  <c r="AV9" i="22"/>
  <c r="AX8" i="22"/>
  <c r="AX7" i="22"/>
  <c r="AX3" i="22"/>
  <c r="AW3" i="22"/>
  <c r="AX15" i="22" l="1"/>
  <c r="AU24" i="27"/>
  <c r="AU33" i="27"/>
  <c r="AW27" i="27"/>
  <c r="AW26" i="27"/>
  <c r="AX28" i="22"/>
  <c r="AX14" i="22"/>
  <c r="AX9" i="22"/>
  <c r="AX12" i="22"/>
  <c r="AV12" i="22"/>
  <c r="AT123" i="26"/>
  <c r="AU109" i="26"/>
  <c r="AT107" i="26"/>
  <c r="AT105" i="26"/>
  <c r="AT103" i="26"/>
  <c r="AT101" i="26"/>
  <c r="AT99" i="26"/>
  <c r="AT97" i="26"/>
  <c r="AT95" i="26"/>
  <c r="AT93" i="26"/>
  <c r="AU89" i="26"/>
  <c r="AW88" i="26"/>
  <c r="AV88" i="26"/>
  <c r="AW87" i="26"/>
  <c r="AW86" i="26"/>
  <c r="AW85" i="26"/>
  <c r="AW84" i="26"/>
  <c r="AU82" i="26"/>
  <c r="AU81" i="26"/>
  <c r="AT79" i="26"/>
  <c r="AT77" i="26"/>
  <c r="AU74" i="26"/>
  <c r="AT72" i="26"/>
  <c r="AT70" i="26"/>
  <c r="AT68" i="26"/>
  <c r="AT66" i="26"/>
  <c r="AT64" i="26"/>
  <c r="AT62" i="26"/>
  <c r="AT60" i="26"/>
  <c r="AT58" i="26"/>
  <c r="AT53" i="26"/>
  <c r="AT51" i="26"/>
  <c r="AU49" i="26"/>
  <c r="AU56" i="26" s="1"/>
  <c r="AT47" i="26"/>
  <c r="AU44" i="26"/>
  <c r="AT42" i="26"/>
  <c r="AT40" i="26"/>
  <c r="AT38" i="26"/>
  <c r="AT36" i="26"/>
  <c r="AT34" i="26"/>
  <c r="AT32" i="26"/>
  <c r="AT30" i="26"/>
  <c r="AT28" i="26"/>
  <c r="AT26" i="26"/>
  <c r="AT24" i="26"/>
  <c r="AT22" i="26"/>
  <c r="AT20" i="26"/>
  <c r="AT16" i="26"/>
  <c r="AT14" i="26"/>
  <c r="AU11" i="26"/>
  <c r="AU18" i="26" s="1"/>
  <c r="AT10" i="26"/>
  <c r="AT8" i="26"/>
  <c r="AW2" i="26"/>
  <c r="AV2" i="26"/>
  <c r="AU30" i="15"/>
  <c r="AU29" i="15"/>
  <c r="AU28" i="15"/>
  <c r="AU24" i="15"/>
  <c r="AU23" i="15"/>
  <c r="AU22" i="15"/>
  <c r="AU21" i="15"/>
  <c r="AU20" i="15"/>
  <c r="AT18" i="15"/>
  <c r="AU17" i="15"/>
  <c r="AT17" i="15"/>
  <c r="AU14" i="15"/>
  <c r="AT11" i="15"/>
  <c r="AT12" i="15" s="1"/>
  <c r="AU10" i="15"/>
  <c r="AU9" i="15"/>
  <c r="AT9" i="15"/>
  <c r="AU8" i="15"/>
  <c r="AT8" i="15"/>
  <c r="AU7" i="15"/>
  <c r="AU6" i="15"/>
  <c r="AU5" i="15"/>
  <c r="AT14" i="15" l="1"/>
  <c r="AU31" i="15"/>
  <c r="AW89" i="26"/>
  <c r="AU55" i="26"/>
  <c r="AU50" i="26"/>
  <c r="AT109" i="26"/>
  <c r="AU17" i="26"/>
  <c r="AU12" i="26"/>
  <c r="AT74" i="26"/>
  <c r="AT82" i="26"/>
  <c r="AT44" i="26"/>
  <c r="AT81" i="26"/>
  <c r="AT11" i="26"/>
  <c r="AT49" i="26"/>
  <c r="AT84" i="26"/>
  <c r="AT15" i="15"/>
  <c r="AT113" i="17"/>
  <c r="AW108" i="17"/>
  <c r="AW107" i="17"/>
  <c r="AW106" i="17"/>
  <c r="AW105" i="17"/>
  <c r="AW104" i="17"/>
  <c r="AW103" i="17"/>
  <c r="AW102" i="17"/>
  <c r="AW101" i="17"/>
  <c r="AW100" i="17"/>
  <c r="AW99" i="17"/>
  <c r="AW98" i="17"/>
  <c r="AW97" i="17"/>
  <c r="AW96" i="17"/>
  <c r="AW95" i="17"/>
  <c r="AW94" i="17"/>
  <c r="AW93" i="17"/>
  <c r="AW92" i="17"/>
  <c r="AW91" i="17"/>
  <c r="AW88" i="17"/>
  <c r="AV88" i="17"/>
  <c r="AU85" i="17"/>
  <c r="AT85" i="17"/>
  <c r="AW84" i="17"/>
  <c r="AU84" i="17"/>
  <c r="AU83" i="17"/>
  <c r="AT83" i="17"/>
  <c r="AU82" i="17"/>
  <c r="AT82" i="17"/>
  <c r="AU81" i="17"/>
  <c r="AT81" i="17"/>
  <c r="AU77" i="17"/>
  <c r="AT77" i="17"/>
  <c r="AW67" i="17"/>
  <c r="AU66" i="17"/>
  <c r="AU68" i="17" s="1"/>
  <c r="AT66" i="17"/>
  <c r="AT68" i="17" s="1"/>
  <c r="AT60" i="17"/>
  <c r="AU58" i="17"/>
  <c r="AU61" i="17" s="1"/>
  <c r="AT57" i="17"/>
  <c r="AT56" i="17"/>
  <c r="AU51" i="17"/>
  <c r="AT51" i="17"/>
  <c r="AT50" i="17"/>
  <c r="AT111" i="17" s="1"/>
  <c r="AU48" i="17"/>
  <c r="AT47" i="17"/>
  <c r="AU46" i="17"/>
  <c r="AW45" i="17"/>
  <c r="AT45" i="17"/>
  <c r="AV45" i="17" s="1"/>
  <c r="AU43" i="17"/>
  <c r="AU44" i="17" s="1"/>
  <c r="AT43" i="17"/>
  <c r="AV43" i="17" s="1"/>
  <c r="AU42" i="17"/>
  <c r="AW41" i="17"/>
  <c r="AW42" i="17" s="1"/>
  <c r="AU40" i="17"/>
  <c r="AW39" i="17"/>
  <c r="AU38" i="17"/>
  <c r="AW37" i="17"/>
  <c r="AW38" i="17" s="1"/>
  <c r="AU25" i="17"/>
  <c r="AT25" i="17"/>
  <c r="AU21" i="17"/>
  <c r="AU15" i="17" s="1"/>
  <c r="AT20" i="17"/>
  <c r="AT18" i="17"/>
  <c r="AT21" i="17" s="1"/>
  <c r="AW17" i="17"/>
  <c r="AT17" i="17"/>
  <c r="AV17" i="17" s="1"/>
  <c r="AT15" i="17"/>
  <c r="AV15" i="17" s="1"/>
  <c r="AT14" i="17"/>
  <c r="AU13" i="17"/>
  <c r="AV12" i="17"/>
  <c r="AU11" i="17"/>
  <c r="AU8" i="17"/>
  <c r="AT8" i="17"/>
  <c r="AT10" i="17" s="1"/>
  <c r="AW2" i="17"/>
  <c r="AW65" i="17" s="1"/>
  <c r="AV2" i="17"/>
  <c r="AZ96" i="38"/>
  <c r="AZ95" i="38"/>
  <c r="AZ94" i="38"/>
  <c r="AZ93" i="38"/>
  <c r="AY92" i="38"/>
  <c r="AZ91" i="38"/>
  <c r="AY90" i="38"/>
  <c r="AZ88" i="38"/>
  <c r="AZ87" i="38"/>
  <c r="AZ86" i="38"/>
  <c r="AZ85" i="38"/>
  <c r="AY84" i="38"/>
  <c r="AZ82" i="38"/>
  <c r="AZ81" i="38"/>
  <c r="AZ80" i="38"/>
  <c r="AZ79" i="38"/>
  <c r="AZ78" i="38"/>
  <c r="AZ77" i="38"/>
  <c r="AZ76" i="38"/>
  <c r="AZ75" i="38"/>
  <c r="AZ74" i="38"/>
  <c r="AZ73" i="38"/>
  <c r="AZ72" i="38"/>
  <c r="AZ71" i="38"/>
  <c r="AZ70" i="38"/>
  <c r="AZ69" i="38"/>
  <c r="AY68" i="38"/>
  <c r="AZ64" i="38"/>
  <c r="AZ63" i="38"/>
  <c r="AY62" i="38"/>
  <c r="AZ59" i="38"/>
  <c r="AZ58" i="38"/>
  <c r="AZ57" i="38"/>
  <c r="AZ56" i="38"/>
  <c r="AY55" i="38"/>
  <c r="AY53" i="38"/>
  <c r="AZ52" i="38"/>
  <c r="AY52" i="38"/>
  <c r="AY47" i="38"/>
  <c r="AY46" i="38"/>
  <c r="AY45" i="38"/>
  <c r="AY44" i="38"/>
  <c r="AZ43" i="38"/>
  <c r="AZ92" i="38" s="1"/>
  <c r="AY42" i="38"/>
  <c r="AY41" i="38" s="1"/>
  <c r="AZ41" i="38"/>
  <c r="AZ90" i="38" s="1"/>
  <c r="AY39" i="38"/>
  <c r="AY38" i="38"/>
  <c r="AY37" i="38"/>
  <c r="AY36" i="38"/>
  <c r="AZ35" i="38"/>
  <c r="AZ84" i="38" s="1"/>
  <c r="AY33" i="38"/>
  <c r="AY32" i="38"/>
  <c r="AY31" i="38"/>
  <c r="AY30" i="38"/>
  <c r="AY29" i="38"/>
  <c r="AY28" i="38"/>
  <c r="AY27" i="38"/>
  <c r="AY26" i="38"/>
  <c r="AY25" i="38"/>
  <c r="AY24" i="38"/>
  <c r="AY23" i="38"/>
  <c r="AY22" i="38"/>
  <c r="AY21" i="38"/>
  <c r="AY20" i="38"/>
  <c r="AZ19" i="38"/>
  <c r="AY15" i="38"/>
  <c r="AY14" i="38"/>
  <c r="AZ13" i="38"/>
  <c r="AZ62" i="38" s="1"/>
  <c r="AY11" i="38"/>
  <c r="AY10" i="38"/>
  <c r="AY9" i="38"/>
  <c r="AY8" i="38"/>
  <c r="AY7" i="38"/>
  <c r="AU34" i="15" l="1"/>
  <c r="AU15" i="15" s="1"/>
  <c r="AU16" i="15" s="1"/>
  <c r="AT32" i="17"/>
  <c r="AT84" i="17"/>
  <c r="AU112" i="17"/>
  <c r="AZ18" i="38"/>
  <c r="AU12" i="17"/>
  <c r="AU52" i="17"/>
  <c r="AT89" i="26"/>
  <c r="AT50" i="26"/>
  <c r="AT55" i="26"/>
  <c r="AT56" i="26"/>
  <c r="AT12" i="26"/>
  <c r="AT17" i="26"/>
  <c r="AT18" i="26"/>
  <c r="AU32" i="17"/>
  <c r="AT115" i="17"/>
  <c r="AT54" i="17"/>
  <c r="AW64" i="17"/>
  <c r="AW66" i="17" s="1"/>
  <c r="AW68" i="17" s="1"/>
  <c r="AW40" i="17"/>
  <c r="AW46" i="17"/>
  <c r="AV64" i="17"/>
  <c r="AV29" i="17"/>
  <c r="AT58" i="17"/>
  <c r="AT61" i="17" s="1"/>
  <c r="AV46" i="17"/>
  <c r="AT30" i="17"/>
  <c r="AT31" i="17"/>
  <c r="AT33" i="17"/>
  <c r="AV18" i="17"/>
  <c r="AU10" i="17"/>
  <c r="AU30" i="17"/>
  <c r="AU33" i="17"/>
  <c r="AT29" i="17"/>
  <c r="AV44" i="17"/>
  <c r="AU59" i="17"/>
  <c r="AV65" i="17"/>
  <c r="AU29" i="17"/>
  <c r="AT49" i="17"/>
  <c r="AT112" i="17"/>
  <c r="AW43" i="17"/>
  <c r="AU31" i="17"/>
  <c r="AU49" i="17"/>
  <c r="AZ68" i="38"/>
  <c r="AZ16" i="38"/>
  <c r="AZ65" i="38" s="1"/>
  <c r="AY89" i="38"/>
  <c r="AY43" i="38"/>
  <c r="AY40" i="38" s="1"/>
  <c r="AY67" i="38"/>
  <c r="AY65" i="38"/>
  <c r="AY13" i="38"/>
  <c r="AY6" i="38"/>
  <c r="AY35" i="38"/>
  <c r="AZ40" i="38"/>
  <c r="AZ17" i="38" s="1"/>
  <c r="AZ55" i="38"/>
  <c r="AY19" i="38"/>
  <c r="AZ67" i="38" l="1"/>
  <c r="AU113" i="17"/>
  <c r="AU14" i="17"/>
  <c r="AT59" i="17"/>
  <c r="AV66" i="17"/>
  <c r="AV68" i="17" s="1"/>
  <c r="AU53" i="17"/>
  <c r="AU54" i="17" s="1"/>
  <c r="AU110" i="17"/>
  <c r="AU114" i="17" s="1"/>
  <c r="AU50" i="17"/>
  <c r="AU111" i="17" s="1"/>
  <c r="AW44" i="17"/>
  <c r="AT53" i="17"/>
  <c r="AT110" i="17"/>
  <c r="AT114" i="17" s="1"/>
  <c r="AY66" i="38"/>
  <c r="AY16" i="38"/>
  <c r="AY18" i="38"/>
  <c r="AZ89" i="38"/>
  <c r="AZ66" i="38"/>
  <c r="AU115" i="17" l="1"/>
  <c r="AY17" i="38"/>
  <c r="AW34" i="50" l="1"/>
  <c r="AW35" i="50"/>
  <c r="AW36" i="50"/>
  <c r="AW37" i="50"/>
  <c r="AW38" i="50"/>
  <c r="AW39" i="50"/>
  <c r="AW33" i="50"/>
  <c r="AW9" i="61"/>
  <c r="AW10" i="61"/>
  <c r="AW13" i="61"/>
  <c r="AW14" i="61"/>
  <c r="AW15" i="61"/>
  <c r="AW4" i="50"/>
  <c r="AW32" i="50" s="1"/>
  <c r="AW94" i="50" s="1"/>
  <c r="AX89" i="50"/>
  <c r="AX90" i="50" s="1"/>
  <c r="AV89" i="50"/>
  <c r="AV90" i="50" s="1"/>
  <c r="AW88" i="50"/>
  <c r="AY88" i="50" s="1"/>
  <c r="AW87" i="50"/>
  <c r="AY87" i="50" s="1"/>
  <c r="AS41" i="72"/>
  <c r="AS33" i="72"/>
  <c r="AS23" i="72"/>
  <c r="AS17" i="72"/>
  <c r="CK7" i="71"/>
  <c r="CK8" i="71"/>
  <c r="CK9" i="71"/>
  <c r="CK10" i="71"/>
  <c r="CK11" i="71"/>
  <c r="CK12" i="71"/>
  <c r="CK13" i="71"/>
  <c r="CK14" i="71"/>
  <c r="CK15" i="71"/>
  <c r="CK16" i="71"/>
  <c r="CK17" i="71"/>
  <c r="CK18" i="71"/>
  <c r="CK19" i="71"/>
  <c r="CK20" i="71"/>
  <c r="CK21" i="71"/>
  <c r="CK22" i="71"/>
  <c r="CK23" i="71"/>
  <c r="CK24" i="71"/>
  <c r="CK25" i="71"/>
  <c r="CK26" i="71"/>
  <c r="CK27" i="71"/>
  <c r="CK28" i="71"/>
  <c r="CK31" i="71"/>
  <c r="CK32" i="71"/>
  <c r="CK33" i="71"/>
  <c r="CK34" i="71"/>
  <c r="CK35" i="71"/>
  <c r="CK36" i="71"/>
  <c r="CK37" i="71"/>
  <c r="CK38" i="71"/>
  <c r="CK39" i="71"/>
  <c r="CK40" i="71"/>
  <c r="CK41" i="71"/>
  <c r="CK42" i="71"/>
  <c r="CK43" i="71"/>
  <c r="CK44" i="71"/>
  <c r="CK45" i="71"/>
  <c r="CK48" i="71"/>
  <c r="CK49" i="71"/>
  <c r="CK50" i="71"/>
  <c r="CK51" i="71"/>
  <c r="CK52" i="71"/>
  <c r="CK53" i="71"/>
  <c r="CK54" i="71"/>
  <c r="CK55" i="71"/>
  <c r="CK56" i="71"/>
  <c r="CK57" i="71"/>
  <c r="CK58" i="71"/>
  <c r="CK59" i="71"/>
  <c r="CK60" i="71"/>
  <c r="CK61" i="71"/>
  <c r="CK62" i="71"/>
  <c r="CK63" i="71"/>
  <c r="CK64" i="71"/>
  <c r="CK65" i="71"/>
  <c r="CK66" i="71"/>
  <c r="CK67" i="71"/>
  <c r="CK68" i="71"/>
  <c r="CK69" i="71"/>
  <c r="CK70" i="71"/>
  <c r="CK71" i="71"/>
  <c r="CK72" i="71"/>
  <c r="AW105" i="45"/>
  <c r="AW104" i="45"/>
  <c r="AW102" i="45"/>
  <c r="AW96" i="45"/>
  <c r="AW103" i="45" s="1"/>
  <c r="AW91" i="45"/>
  <c r="AW90" i="45"/>
  <c r="AV90" i="45"/>
  <c r="AW89" i="45"/>
  <c r="AV89" i="45"/>
  <c r="AW87" i="45"/>
  <c r="AV87" i="45"/>
  <c r="AV88" i="45" s="1"/>
  <c r="AV86" i="45"/>
  <c r="AW85" i="45"/>
  <c r="AV85" i="45"/>
  <c r="AW83" i="45"/>
  <c r="AV83" i="45"/>
  <c r="AW80" i="45"/>
  <c r="AW81" i="45" s="1"/>
  <c r="AV80" i="45"/>
  <c r="AW74" i="45"/>
  <c r="AW98" i="45" s="1"/>
  <c r="AW73" i="45"/>
  <c r="AW92" i="45" s="1"/>
  <c r="AV73" i="45"/>
  <c r="AV75" i="45" s="1"/>
  <c r="AW72" i="45"/>
  <c r="AW106" i="45" s="1"/>
  <c r="AV83" i="11"/>
  <c r="AV81" i="11"/>
  <c r="AX78" i="11"/>
  <c r="AX83" i="11" s="1"/>
  <c r="AV75" i="11"/>
  <c r="AV76" i="11" s="1"/>
  <c r="AX74" i="11"/>
  <c r="AX73" i="11"/>
  <c r="AV70" i="11"/>
  <c r="AU70" i="11"/>
  <c r="AV69" i="11"/>
  <c r="AU69" i="11"/>
  <c r="AV68" i="11"/>
  <c r="AU68" i="11"/>
  <c r="AV66" i="11"/>
  <c r="AU66" i="11"/>
  <c r="AU67" i="11" s="1"/>
  <c r="AU65" i="11"/>
  <c r="AV64" i="11"/>
  <c r="AU64" i="11"/>
  <c r="AV62" i="11"/>
  <c r="AU62" i="11"/>
  <c r="AV59" i="11"/>
  <c r="AU59" i="11"/>
  <c r="AV55" i="11"/>
  <c r="AV53" i="11"/>
  <c r="AV77" i="11" s="1"/>
  <c r="AV52" i="11"/>
  <c r="AV54" i="11" s="1"/>
  <c r="AU52" i="11"/>
  <c r="AU54" i="11" s="1"/>
  <c r="AV51" i="11"/>
  <c r="AV84" i="11" s="1"/>
  <c r="AX5" i="11"/>
  <c r="AX81" i="11" s="1"/>
  <c r="AW5" i="11"/>
  <c r="AX2" i="11"/>
  <c r="AW2" i="11"/>
  <c r="AV155" i="10"/>
  <c r="AV153" i="10"/>
  <c r="AV147" i="10"/>
  <c r="AV148" i="10" s="1"/>
  <c r="AV142" i="10"/>
  <c r="AV141" i="10"/>
  <c r="AU141" i="10"/>
  <c r="AV140" i="10"/>
  <c r="AU140" i="10"/>
  <c r="AV138" i="10"/>
  <c r="AV139" i="10" s="1"/>
  <c r="AU138" i="10"/>
  <c r="AU137" i="10"/>
  <c r="AV136" i="10"/>
  <c r="AU136" i="10"/>
  <c r="AV134" i="10"/>
  <c r="AU134" i="10"/>
  <c r="AV131" i="10"/>
  <c r="AV132" i="10" s="1"/>
  <c r="AU131" i="10"/>
  <c r="AU132" i="10" s="1"/>
  <c r="AV149" i="10"/>
  <c r="AU143" i="10"/>
  <c r="AW95" i="50" l="1"/>
  <c r="AW96" i="50"/>
  <c r="AW40" i="50"/>
  <c r="AW103" i="50" s="1"/>
  <c r="AW104" i="50" s="1"/>
  <c r="AU71" i="11"/>
  <c r="AU90" i="11"/>
  <c r="AU51" i="11"/>
  <c r="AV56" i="11"/>
  <c r="AV67" i="11"/>
  <c r="AW110" i="45"/>
  <c r="AW76" i="45"/>
  <c r="AW77" i="45" s="1"/>
  <c r="AX75" i="11"/>
  <c r="AV82" i="11"/>
  <c r="AV154" i="10"/>
  <c r="AW16" i="61"/>
  <c r="AW11" i="61"/>
  <c r="AW12" i="61"/>
  <c r="AV128" i="10"/>
  <c r="AV129" i="10" s="1"/>
  <c r="AS43" i="72"/>
  <c r="AW107" i="45"/>
  <c r="AW108" i="45" s="1"/>
  <c r="AW75" i="45"/>
  <c r="AV72" i="45"/>
  <c r="AW97" i="45"/>
  <c r="AV81" i="45"/>
  <c r="AW88" i="45"/>
  <c r="AV76" i="45"/>
  <c r="AV92" i="45"/>
  <c r="AV112" i="45"/>
  <c r="AW112" i="45"/>
  <c r="AV85" i="11"/>
  <c r="AV86" i="11" s="1"/>
  <c r="AV60" i="11"/>
  <c r="AU60" i="11"/>
  <c r="AV88" i="11"/>
  <c r="AX82" i="11"/>
  <c r="AX76" i="11"/>
  <c r="AV90" i="11"/>
  <c r="AV71" i="11"/>
  <c r="AV156" i="10"/>
  <c r="AV162" i="10"/>
  <c r="AV143" i="10"/>
  <c r="AU139" i="10"/>
  <c r="AV157" i="10"/>
  <c r="AV165" i="10"/>
  <c r="AV166" i="10" s="1"/>
  <c r="AW107" i="50" l="1"/>
  <c r="AW108" i="50" s="1"/>
  <c r="AW80" i="50"/>
  <c r="AV158" i="10"/>
  <c r="AW17" i="61"/>
  <c r="AV160" i="10"/>
  <c r="AU104" i="9" l="1"/>
  <c r="AU102" i="9"/>
  <c r="AU101" i="9"/>
  <c r="AV99" i="9"/>
  <c r="AU99" i="9"/>
  <c r="AV98" i="9"/>
  <c r="AU98" i="9"/>
  <c r="AV97" i="9"/>
  <c r="AU97" i="9"/>
  <c r="AV93" i="9"/>
  <c r="AU76" i="9"/>
  <c r="AV60" i="9"/>
  <c r="AV57" i="9"/>
  <c r="AU53" i="9"/>
  <c r="AU52" i="9"/>
  <c r="AU51" i="9"/>
  <c r="AU47" i="9"/>
  <c r="AV46" i="9"/>
  <c r="AV36" i="9"/>
  <c r="AW117" i="50" s="1"/>
  <c r="AW118" i="50" s="1"/>
  <c r="AV35" i="9"/>
  <c r="AV47" i="9" s="1"/>
  <c r="AV34" i="9"/>
  <c r="AV31" i="9"/>
  <c r="AV25" i="9"/>
  <c r="AU24" i="9"/>
  <c r="AU22" i="9"/>
  <c r="AV19" i="9"/>
  <c r="AV10" i="9"/>
  <c r="AV5" i="9"/>
  <c r="AU5" i="9"/>
  <c r="AU59" i="9" l="1"/>
  <c r="AU92" i="9"/>
  <c r="AU33" i="22"/>
  <c r="AT125" i="26"/>
  <c r="AU100" i="9"/>
  <c r="AU7" i="9"/>
  <c r="AV62" i="9"/>
  <c r="AV37" i="9"/>
  <c r="AV48" i="9"/>
  <c r="AV100" i="9"/>
  <c r="AV33" i="22"/>
  <c r="AU125" i="26"/>
  <c r="AV14" i="9"/>
  <c r="AV90" i="9"/>
  <c r="AU63" i="9"/>
  <c r="AU65" i="9"/>
  <c r="AU67" i="9"/>
  <c r="AU69" i="9"/>
  <c r="AV89" i="9"/>
  <c r="AU25" i="9"/>
  <c r="AU88" i="9" s="1"/>
  <c r="AU95" i="9"/>
  <c r="AU27" i="9"/>
  <c r="AU64" i="9"/>
  <c r="AU66" i="9"/>
  <c r="AU68" i="9"/>
  <c r="AU70" i="9"/>
  <c r="AV94" i="9"/>
  <c r="AU18" i="15" s="1"/>
  <c r="AV96" i="9"/>
  <c r="AX87" i="8"/>
  <c r="AU20" i="8"/>
  <c r="AV129" i="8"/>
  <c r="AV130" i="8" s="1"/>
  <c r="AX126" i="8"/>
  <c r="AX123" i="8"/>
  <c r="AX125" i="8" s="1"/>
  <c r="AX120" i="8"/>
  <c r="AX117" i="8"/>
  <c r="AX111" i="8"/>
  <c r="AX113" i="8" s="1"/>
  <c r="AX109" i="8"/>
  <c r="AX107" i="8"/>
  <c r="AX106" i="8"/>
  <c r="AX104" i="8"/>
  <c r="AX103" i="8"/>
  <c r="AX102" i="8"/>
  <c r="AX101" i="8"/>
  <c r="AX100" i="8"/>
  <c r="AX98" i="8"/>
  <c r="AX96" i="8"/>
  <c r="AX95" i="8"/>
  <c r="AX93" i="8"/>
  <c r="AX92" i="8"/>
  <c r="AX97" i="8" s="1"/>
  <c r="AV88" i="8"/>
  <c r="AV85" i="8"/>
  <c r="AV86" i="8" s="1"/>
  <c r="AU85" i="8"/>
  <c r="AV83" i="8"/>
  <c r="AU83" i="8"/>
  <c r="AV82" i="8"/>
  <c r="AU82" i="8"/>
  <c r="AU81" i="8"/>
  <c r="AV80" i="8"/>
  <c r="AX79" i="8"/>
  <c r="AX81" i="8" s="1"/>
  <c r="AU78" i="8"/>
  <c r="AU77" i="8"/>
  <c r="AV76" i="8"/>
  <c r="AU76" i="8"/>
  <c r="AW75" i="8"/>
  <c r="AU75" i="8"/>
  <c r="AU73" i="8"/>
  <c r="AU72" i="8"/>
  <c r="AW71" i="8"/>
  <c r="AU71" i="8"/>
  <c r="AU70" i="8"/>
  <c r="AU69" i="8"/>
  <c r="AV66" i="8"/>
  <c r="AV67" i="8" s="1"/>
  <c r="AV64" i="8"/>
  <c r="AV65" i="8" s="1"/>
  <c r="AV71" i="8" s="1"/>
  <c r="AV62" i="8"/>
  <c r="AV63" i="8" s="1"/>
  <c r="AV59" i="8"/>
  <c r="AV56" i="8"/>
  <c r="AV60" i="8" s="1"/>
  <c r="AW50" i="8"/>
  <c r="AU50" i="8"/>
  <c r="AV48" i="8"/>
  <c r="AV49" i="8" s="1"/>
  <c r="AU48" i="8"/>
  <c r="AV46" i="8"/>
  <c r="AV45" i="8"/>
  <c r="AU45" i="8"/>
  <c r="AV44" i="8"/>
  <c r="AU44" i="8"/>
  <c r="AV43" i="8"/>
  <c r="AU43" i="8"/>
  <c r="AV42" i="8"/>
  <c r="AU42" i="8"/>
  <c r="AV40" i="8"/>
  <c r="AU40" i="8"/>
  <c r="AV39" i="8"/>
  <c r="AU39" i="8"/>
  <c r="AV38" i="8"/>
  <c r="AU38" i="8"/>
  <c r="AV25" i="8"/>
  <c r="AV20" i="8"/>
  <c r="AX19" i="8"/>
  <c r="AX18" i="8"/>
  <c r="AV16" i="8"/>
  <c r="AU16" i="8"/>
  <c r="AV14" i="8"/>
  <c r="AU14" i="8"/>
  <c r="AV13" i="8"/>
  <c r="AU13" i="8"/>
  <c r="AV12" i="8"/>
  <c r="AU12" i="8"/>
  <c r="AX10" i="8"/>
  <c r="AX9" i="8"/>
  <c r="AU6" i="8"/>
  <c r="AU23" i="8" s="1"/>
  <c r="AW104" i="7"/>
  <c r="AU104" i="7"/>
  <c r="AW103" i="7"/>
  <c r="AU103" i="7"/>
  <c r="AW102" i="7"/>
  <c r="AU102" i="7"/>
  <c r="AW101" i="7"/>
  <c r="AU101" i="7"/>
  <c r="AW100" i="7"/>
  <c r="AU100" i="7"/>
  <c r="AW99" i="7"/>
  <c r="AU99" i="7"/>
  <c r="AW98" i="7"/>
  <c r="AU98" i="7"/>
  <c r="AW97" i="7"/>
  <c r="AU97" i="7"/>
  <c r="AW94" i="7"/>
  <c r="AU94" i="7"/>
  <c r="AW85" i="7"/>
  <c r="AW79" i="7"/>
  <c r="AU79" i="7"/>
  <c r="AV78" i="7"/>
  <c r="AU78" i="7"/>
  <c r="AV76" i="7"/>
  <c r="AU76" i="7"/>
  <c r="AV69" i="7"/>
  <c r="AU69" i="7"/>
  <c r="AX68" i="7"/>
  <c r="AX1" i="7" s="1"/>
  <c r="AW68" i="7"/>
  <c r="AW1" i="7" s="1"/>
  <c r="AX66" i="7"/>
  <c r="AW66" i="7"/>
  <c r="AW65" i="7"/>
  <c r="AW67" i="7" s="1"/>
  <c r="AV65" i="7"/>
  <c r="AX65" i="7" s="1"/>
  <c r="AU65" i="7"/>
  <c r="AU67" i="7" s="1"/>
  <c r="AX62" i="7"/>
  <c r="AV61" i="7"/>
  <c r="AU61" i="7"/>
  <c r="AU32" i="7" s="1"/>
  <c r="AU84" i="7" s="1"/>
  <c r="AX60" i="7"/>
  <c r="AW60" i="7"/>
  <c r="AX59" i="7"/>
  <c r="AX61" i="7" s="1"/>
  <c r="AW59" i="7"/>
  <c r="AW61" i="7" s="1"/>
  <c r="AW56" i="7"/>
  <c r="AU56" i="7"/>
  <c r="AW55" i="7"/>
  <c r="AU55" i="7"/>
  <c r="AW54" i="7"/>
  <c r="AU54" i="7"/>
  <c r="AW53" i="7"/>
  <c r="AU53" i="7"/>
  <c r="AW52" i="7"/>
  <c r="AU52" i="7"/>
  <c r="AW51" i="7"/>
  <c r="AW90" i="7" s="1"/>
  <c r="AU51" i="7"/>
  <c r="AU90" i="7" s="1"/>
  <c r="AW50" i="7"/>
  <c r="AU50" i="7"/>
  <c r="AW49" i="7"/>
  <c r="AU49" i="7"/>
  <c r="AW28" i="7"/>
  <c r="AW88" i="7" s="1"/>
  <c r="AU21" i="7"/>
  <c r="AV19" i="7"/>
  <c r="AV37" i="7" s="1"/>
  <c r="AU19" i="7"/>
  <c r="AU37" i="7" s="1"/>
  <c r="AW6" i="7"/>
  <c r="AX2" i="7"/>
  <c r="AW2" i="7"/>
  <c r="AV1" i="7"/>
  <c r="AU1" i="7"/>
  <c r="AV91" i="9" l="1"/>
  <c r="AU24" i="7"/>
  <c r="AU93" i="7" s="1"/>
  <c r="AU28" i="7"/>
  <c r="AU88" i="7" s="1"/>
  <c r="AU21" i="22"/>
  <c r="AU7" i="22"/>
  <c r="AU41" i="8"/>
  <c r="AU15" i="8"/>
  <c r="AV77" i="7"/>
  <c r="AV35" i="8"/>
  <c r="AV49" i="9"/>
  <c r="AV76" i="9" s="1"/>
  <c r="AV70" i="8"/>
  <c r="AV41" i="8"/>
  <c r="AU5" i="26"/>
  <c r="AV15" i="8"/>
  <c r="AV50" i="8"/>
  <c r="AU27" i="8"/>
  <c r="AV72" i="8"/>
  <c r="AV131" i="8"/>
  <c r="AV132" i="8" s="1"/>
  <c r="AV51" i="8" s="1"/>
  <c r="AU22" i="8"/>
  <c r="AU24" i="8"/>
  <c r="AU26" i="8"/>
  <c r="AU28" i="8"/>
  <c r="AU30" i="8"/>
  <c r="AV33" i="8"/>
  <c r="AV36" i="8"/>
  <c r="AU49" i="8"/>
  <c r="AV57" i="8"/>
  <c r="AX114" i="8"/>
  <c r="AU29" i="8"/>
  <c r="AU86" i="8"/>
  <c r="AU79" i="8"/>
  <c r="AU77" i="7"/>
  <c r="AU74" i="7"/>
  <c r="AW69" i="7"/>
  <c r="AV23" i="7"/>
  <c r="AV26" i="7"/>
  <c r="AV86" i="7" s="1"/>
  <c r="AV32" i="7"/>
  <c r="AV84" i="7" s="1"/>
  <c r="AV70" i="7"/>
  <c r="AV74" i="7"/>
  <c r="AV29" i="7"/>
  <c r="AV89" i="7" s="1"/>
  <c r="AV72" i="7"/>
  <c r="AV21" i="7"/>
  <c r="AV81" i="7" s="1"/>
  <c r="AV27" i="7"/>
  <c r="AV87" i="7" s="1"/>
  <c r="AV33" i="7"/>
  <c r="AV94" i="7" s="1"/>
  <c r="AV49" i="7"/>
  <c r="AV51" i="7"/>
  <c r="AV90" i="7" s="1"/>
  <c r="AV53" i="7"/>
  <c r="AV55" i="7"/>
  <c r="AV24" i="7"/>
  <c r="AV30" i="7"/>
  <c r="AV91" i="7" s="1"/>
  <c r="AV22" i="7"/>
  <c r="AV25" i="7"/>
  <c r="AV85" i="7" s="1"/>
  <c r="AV28" i="7"/>
  <c r="AV88" i="7" s="1"/>
  <c r="AV50" i="7"/>
  <c r="AV52" i="7"/>
  <c r="AV54" i="7"/>
  <c r="AV56" i="7"/>
  <c r="AX74" i="7"/>
  <c r="AX70" i="7"/>
  <c r="AX75" i="7"/>
  <c r="AX63" i="7"/>
  <c r="AU46" i="7"/>
  <c r="AV46" i="7"/>
  <c r="AX67" i="7"/>
  <c r="AW75" i="7"/>
  <c r="AW74" i="7"/>
  <c r="AW70" i="7"/>
  <c r="AU26" i="7"/>
  <c r="AU86" i="7" s="1"/>
  <c r="AU29" i="7"/>
  <c r="AU89" i="7" s="1"/>
  <c r="AU62" i="7"/>
  <c r="AU72" i="7"/>
  <c r="AU23" i="7"/>
  <c r="AU83" i="7" s="1"/>
  <c r="AV67" i="7"/>
  <c r="AU75" i="7"/>
  <c r="AU22" i="7"/>
  <c r="AU82" i="7" s="1"/>
  <c r="AU25" i="7"/>
  <c r="AU85" i="7" s="1"/>
  <c r="AV63" i="7"/>
  <c r="AX69" i="7"/>
  <c r="AV75" i="7"/>
  <c r="AU81" i="7"/>
  <c r="AU27" i="7"/>
  <c r="AU87" i="7" s="1"/>
  <c r="AU30" i="7"/>
  <c r="AU91" i="7" s="1"/>
  <c r="AU70" i="7"/>
  <c r="AU8" i="22" l="1"/>
  <c r="AU10" i="22" s="1"/>
  <c r="AU11" i="22" s="1"/>
  <c r="AU13" i="22" s="1"/>
  <c r="AU22" i="22"/>
  <c r="AU24" i="22" s="1"/>
  <c r="AU25" i="22" s="1"/>
  <c r="AU27" i="22" s="1"/>
  <c r="AV34" i="7"/>
  <c r="AV48" i="7" s="1"/>
  <c r="AV71" i="7" s="1"/>
  <c r="AV72" i="9"/>
  <c r="AV53" i="9"/>
  <c r="AV86" i="9"/>
  <c r="AV81" i="9"/>
  <c r="AV75" i="9"/>
  <c r="AV77" i="9" s="1"/>
  <c r="AV84" i="9"/>
  <c r="AV85" i="9"/>
  <c r="AV78" i="9"/>
  <c r="AV87" i="9"/>
  <c r="AV82" i="9"/>
  <c r="AV83" i="9"/>
  <c r="AV52" i="9"/>
  <c r="AV73" i="9"/>
  <c r="AV80" i="9"/>
  <c r="AU25" i="8"/>
  <c r="AU63" i="8"/>
  <c r="AU67" i="8"/>
  <c r="AU35" i="8" s="1"/>
  <c r="AV61" i="8"/>
  <c r="AU129" i="8"/>
  <c r="AU131" i="8" s="1"/>
  <c r="AU57" i="8"/>
  <c r="AU65" i="8"/>
  <c r="AU36" i="8" s="1"/>
  <c r="AU74" i="8"/>
  <c r="AV82" i="7"/>
  <c r="AV93" i="7"/>
  <c r="AV83" i="7"/>
  <c r="AU34" i="7"/>
  <c r="AU48" i="7" s="1"/>
  <c r="AU95" i="7"/>
  <c r="AV95" i="7" l="1"/>
  <c r="AU130" i="8"/>
  <c r="AV57" i="7"/>
  <c r="AV74" i="9"/>
  <c r="AV79" i="9" s="1"/>
  <c r="AU132" i="8"/>
  <c r="AV34" i="8"/>
  <c r="AV68" i="8"/>
  <c r="AV69" i="8"/>
  <c r="AU61" i="8"/>
  <c r="AU33" i="8"/>
  <c r="AU71" i="7"/>
  <c r="AU57" i="7"/>
  <c r="AU34" i="8" l="1"/>
  <c r="AW192" i="6" l="1"/>
  <c r="AU192" i="6"/>
  <c r="AW191" i="6"/>
  <c r="AV191" i="6"/>
  <c r="AU191" i="6"/>
  <c r="AW190" i="6"/>
  <c r="AU190" i="6"/>
  <c r="AW188" i="6"/>
  <c r="AU188" i="6"/>
  <c r="AV186" i="6"/>
  <c r="AU186" i="6"/>
  <c r="AV185" i="6"/>
  <c r="AU185" i="6"/>
  <c r="AV184" i="6"/>
  <c r="AU184" i="6"/>
  <c r="AW183" i="6"/>
  <c r="AU183" i="6"/>
  <c r="AW182" i="6"/>
  <c r="AU182" i="6"/>
  <c r="AX181" i="6"/>
  <c r="AX183" i="6" s="1"/>
  <c r="AW179" i="6"/>
  <c r="AU179" i="6"/>
  <c r="AW178" i="6"/>
  <c r="AU178" i="6"/>
  <c r="AW177" i="6"/>
  <c r="AU177" i="6"/>
  <c r="AW176" i="6"/>
  <c r="AU176" i="6"/>
  <c r="AW175" i="6"/>
  <c r="AU175" i="6"/>
  <c r="AW174" i="6"/>
  <c r="AU174" i="6"/>
  <c r="AW172" i="6"/>
  <c r="AU172" i="6"/>
  <c r="AW171" i="6"/>
  <c r="AU171" i="6"/>
  <c r="AW170" i="6"/>
  <c r="AU170" i="6"/>
  <c r="AW162" i="6"/>
  <c r="AU162" i="6"/>
  <c r="AV160" i="6"/>
  <c r="AU160" i="6"/>
  <c r="AV159" i="6"/>
  <c r="AU159" i="6"/>
  <c r="AW158" i="6"/>
  <c r="AU158" i="6"/>
  <c r="AW157" i="6"/>
  <c r="AU157" i="6"/>
  <c r="AX156" i="6"/>
  <c r="AX158" i="6" s="1"/>
  <c r="AW154" i="6"/>
  <c r="AU154" i="6"/>
  <c r="AW153" i="6"/>
  <c r="AU153" i="6"/>
  <c r="AW152" i="6"/>
  <c r="AU152" i="6"/>
  <c r="AW151" i="6"/>
  <c r="AU151" i="6"/>
  <c r="AW150" i="6"/>
  <c r="AU150" i="6"/>
  <c r="AW149" i="6"/>
  <c r="AU149" i="6"/>
  <c r="AW147" i="6"/>
  <c r="AU147" i="6"/>
  <c r="AW146" i="6"/>
  <c r="AU146" i="6"/>
  <c r="AW145" i="6"/>
  <c r="AU145" i="6"/>
  <c r="AV135" i="6"/>
  <c r="AX135" i="6" s="1"/>
  <c r="AV134" i="6"/>
  <c r="AV133" i="6"/>
  <c r="AX133" i="6" s="1"/>
  <c r="AU133" i="6"/>
  <c r="AW133" i="6" s="1"/>
  <c r="AV130" i="6"/>
  <c r="AU130" i="6"/>
  <c r="AV129" i="6"/>
  <c r="AU129" i="6"/>
  <c r="AV128" i="6"/>
  <c r="AU128" i="6"/>
  <c r="AV127" i="6"/>
  <c r="AU127" i="6"/>
  <c r="AV126" i="6"/>
  <c r="AV125" i="6"/>
  <c r="AV124" i="6"/>
  <c r="AV123" i="6"/>
  <c r="AV122" i="6"/>
  <c r="AV121" i="6"/>
  <c r="AX118" i="6"/>
  <c r="AX117" i="6"/>
  <c r="AX116" i="6"/>
  <c r="AW116" i="6"/>
  <c r="AV114" i="6"/>
  <c r="AU114" i="6"/>
  <c r="AW112" i="6"/>
  <c r="AV109" i="6"/>
  <c r="AU109" i="6"/>
  <c r="AX101" i="6"/>
  <c r="AX100" i="6"/>
  <c r="AX99" i="6"/>
  <c r="AW99" i="6"/>
  <c r="AV97" i="6"/>
  <c r="AU97" i="6"/>
  <c r="AX95" i="6"/>
  <c r="AW95" i="6"/>
  <c r="AV92" i="6"/>
  <c r="AU92" i="6"/>
  <c r="AU83" i="6"/>
  <c r="AU82" i="6"/>
  <c r="AW81" i="6"/>
  <c r="AU81" i="6"/>
  <c r="AW79" i="6"/>
  <c r="AU79" i="6"/>
  <c r="AW78" i="6"/>
  <c r="AU78" i="6"/>
  <c r="AW76" i="6"/>
  <c r="AU76" i="6"/>
  <c r="AW75" i="6"/>
  <c r="AU75" i="6"/>
  <c r="AV73" i="6"/>
  <c r="AU73" i="6"/>
  <c r="AX66" i="6"/>
  <c r="AW66" i="6"/>
  <c r="AV65" i="6"/>
  <c r="AU65" i="6"/>
  <c r="AX64" i="6"/>
  <c r="AW64" i="6"/>
  <c r="AX63" i="6"/>
  <c r="AW63" i="6"/>
  <c r="AV62" i="6"/>
  <c r="AU62" i="6"/>
  <c r="AW61" i="6"/>
  <c r="AX60" i="6"/>
  <c r="AW60" i="6"/>
  <c r="AV52" i="6"/>
  <c r="AV51" i="6"/>
  <c r="AV50" i="6"/>
  <c r="AV47" i="6"/>
  <c r="AV44" i="6"/>
  <c r="AV41" i="6"/>
  <c r="AW36" i="6"/>
  <c r="AU36" i="6"/>
  <c r="AW35" i="6"/>
  <c r="AU35" i="6"/>
  <c r="AW34" i="6"/>
  <c r="AU34" i="6"/>
  <c r="AU37" i="6" s="1"/>
  <c r="AW33" i="6"/>
  <c r="AU33" i="6"/>
  <c r="AV30" i="6"/>
  <c r="AV29" i="6"/>
  <c r="AV28" i="6"/>
  <c r="AV25" i="6"/>
  <c r="AV22" i="6"/>
  <c r="AV19" i="6"/>
  <c r="AX9" i="6"/>
  <c r="AW9" i="6"/>
  <c r="AU9" i="6"/>
  <c r="AW8" i="6"/>
  <c r="AU8" i="6"/>
  <c r="AU6" i="6"/>
  <c r="AU12" i="6" s="1"/>
  <c r="AU5" i="6"/>
  <c r="AX2" i="6"/>
  <c r="AX8" i="6" s="1"/>
  <c r="AW2" i="6"/>
  <c r="AW37" i="6" l="1"/>
  <c r="AU11" i="6"/>
  <c r="AU14" i="6"/>
  <c r="AU18" i="6" s="1"/>
  <c r="AX65" i="6"/>
  <c r="AW65" i="6"/>
  <c r="AW62" i="6"/>
  <c r="AU115" i="6"/>
  <c r="AU119" i="6" s="1"/>
  <c r="AU168" i="6" s="1"/>
  <c r="AV131" i="6"/>
  <c r="AV132" i="6" s="1"/>
  <c r="AV136" i="6" s="1"/>
  <c r="AV204" i="6" s="1"/>
  <c r="AU98" i="6"/>
  <c r="AU102" i="6" s="1"/>
  <c r="AU141" i="6" s="1"/>
  <c r="AU131" i="6"/>
  <c r="AV98" i="6"/>
  <c r="AV102" i="6" s="1"/>
  <c r="AU21" i="6"/>
  <c r="AV31" i="6"/>
  <c r="AU181" i="6"/>
  <c r="AU13" i="6"/>
  <c r="AU7" i="6"/>
  <c r="AV115" i="6"/>
  <c r="AV119" i="6" s="1"/>
  <c r="AV166" i="6" s="1"/>
  <c r="AU187" i="6"/>
  <c r="AU27" i="6"/>
  <c r="AV53" i="6"/>
  <c r="AU126" i="6"/>
  <c r="AX134" i="6"/>
  <c r="AU73" i="77"/>
  <c r="AU115" i="77" s="1"/>
  <c r="AU64" i="77"/>
  <c r="AU58" i="77"/>
  <c r="AT58" i="77"/>
  <c r="AU43" i="77"/>
  <c r="AT43" i="77"/>
  <c r="AU33" i="77"/>
  <c r="AU106" i="77" s="1"/>
  <c r="AT33" i="77"/>
  <c r="AU29" i="77"/>
  <c r="AT29" i="77"/>
  <c r="AU23" i="77"/>
  <c r="AU103" i="77" s="1"/>
  <c r="AT23" i="77"/>
  <c r="AU18" i="77"/>
  <c r="AT18" i="77"/>
  <c r="AU13" i="77"/>
  <c r="AU101" i="77" s="1"/>
  <c r="AT13" i="77"/>
  <c r="AU7" i="77"/>
  <c r="AU100" i="77" s="1"/>
  <c r="AT7" i="77"/>
  <c r="AU49" i="39"/>
  <c r="AU48" i="39"/>
  <c r="AU44" i="39"/>
  <c r="AT44" i="39"/>
  <c r="AU33" i="39"/>
  <c r="AU22" i="39"/>
  <c r="AU8" i="39"/>
  <c r="AT8" i="39"/>
  <c r="AU105" i="77" l="1"/>
  <c r="AU107" i="77" s="1"/>
  <c r="AU102" i="77"/>
  <c r="AU104" i="77"/>
  <c r="BA64" i="77"/>
  <c r="AU71" i="77"/>
  <c r="AU113" i="77" s="1"/>
  <c r="AU24" i="6"/>
  <c r="AU21" i="39"/>
  <c r="AU23" i="39" s="1"/>
  <c r="AU165" i="6"/>
  <c r="AU143" i="6"/>
  <c r="AU166" i="6"/>
  <c r="AU132" i="6"/>
  <c r="AU136" i="6" s="1"/>
  <c r="AU203" i="6" s="1"/>
  <c r="AU140" i="6"/>
  <c r="AU142" i="6" s="1"/>
  <c r="AV143" i="6"/>
  <c r="AV140" i="6"/>
  <c r="AV141" i="6"/>
  <c r="AV198" i="6"/>
  <c r="AV200" i="6"/>
  <c r="AV168" i="6"/>
  <c r="AV165" i="6"/>
  <c r="AV167" i="6" s="1"/>
  <c r="AV190" i="6"/>
  <c r="AU161" i="6"/>
  <c r="AV208" i="6"/>
  <c r="AV205" i="6"/>
  <c r="AV202" i="6"/>
  <c r="AV199" i="6"/>
  <c r="AV196" i="6"/>
  <c r="AV210" i="6"/>
  <c r="AV203" i="6"/>
  <c r="AU30" i="6"/>
  <c r="AV192" i="6"/>
  <c r="AU26" i="6"/>
  <c r="AU17" i="6"/>
  <c r="AU23" i="6"/>
  <c r="AU15" i="6"/>
  <c r="AU80" i="6" s="1"/>
  <c r="AU20" i="6"/>
  <c r="AV209" i="6"/>
  <c r="AU156" i="6"/>
  <c r="AV197" i="6"/>
  <c r="AU50" i="39"/>
  <c r="AW393" i="28"/>
  <c r="AU393" i="28"/>
  <c r="AW392" i="28"/>
  <c r="AU392" i="28"/>
  <c r="AV349" i="28"/>
  <c r="AV345" i="28"/>
  <c r="AV318" i="28"/>
  <c r="AV317" i="28"/>
  <c r="AV310" i="28"/>
  <c r="AV384" i="28" s="1"/>
  <c r="AU310" i="28"/>
  <c r="AV299" i="28"/>
  <c r="AV241" i="28"/>
  <c r="AV380" i="28" s="1"/>
  <c r="AU241" i="28"/>
  <c r="AV235" i="28"/>
  <c r="AV234" i="28"/>
  <c r="AU234" i="28"/>
  <c r="AV198" i="28"/>
  <c r="AV376" i="28" s="1"/>
  <c r="AU198" i="28"/>
  <c r="AV185" i="28"/>
  <c r="AV82" i="28"/>
  <c r="AV81" i="28"/>
  <c r="AV79" i="28"/>
  <c r="AV75" i="28"/>
  <c r="AV71" i="28"/>
  <c r="AV67" i="28"/>
  <c r="AU54" i="28"/>
  <c r="AU53" i="28"/>
  <c r="AU52" i="28"/>
  <c r="AV46" i="28"/>
  <c r="AV47" i="28" s="1"/>
  <c r="AV40" i="28"/>
  <c r="AV31" i="28"/>
  <c r="AV30" i="28"/>
  <c r="AV29" i="28"/>
  <c r="AV28" i="28"/>
  <c r="AV26" i="28"/>
  <c r="AU21" i="28"/>
  <c r="AV19" i="28"/>
  <c r="AU14" i="28"/>
  <c r="AU235" i="28" s="1"/>
  <c r="AV12" i="28"/>
  <c r="AU7" i="28"/>
  <c r="AX17" i="49"/>
  <c r="AX18" i="49" s="1"/>
  <c r="AV17" i="49"/>
  <c r="AV18" i="49" s="1"/>
  <c r="AU17" i="49"/>
  <c r="AU18" i="49" s="1"/>
  <c r="AV11" i="49"/>
  <c r="AU11" i="49"/>
  <c r="AV10" i="49"/>
  <c r="AU10" i="49"/>
  <c r="AV9" i="49"/>
  <c r="AU9" i="49"/>
  <c r="AV8" i="49"/>
  <c r="AU8" i="49"/>
  <c r="AV6" i="49"/>
  <c r="AU6" i="49"/>
  <c r="AU215" i="73"/>
  <c r="AU210" i="73"/>
  <c r="AU208" i="73"/>
  <c r="AU206" i="73"/>
  <c r="AU204" i="73"/>
  <c r="AU199" i="73"/>
  <c r="AU195" i="73"/>
  <c r="AU188" i="73"/>
  <c r="AU184" i="73"/>
  <c r="AU173" i="73"/>
  <c r="AV171" i="73"/>
  <c r="AT171" i="73"/>
  <c r="AU162" i="73"/>
  <c r="AV125" i="73"/>
  <c r="AU125" i="73"/>
  <c r="AT125" i="73"/>
  <c r="AV123" i="73"/>
  <c r="AU123" i="73"/>
  <c r="AT123" i="73"/>
  <c r="AV120" i="73"/>
  <c r="AU120" i="73"/>
  <c r="AT120" i="73"/>
  <c r="AU116" i="73"/>
  <c r="AT113" i="73"/>
  <c r="AT115" i="73" s="1"/>
  <c r="AU110" i="73"/>
  <c r="AU11" i="15" s="1"/>
  <c r="AU12" i="15" s="1"/>
  <c r="AU13" i="15" s="1"/>
  <c r="AV104" i="73"/>
  <c r="AV113" i="73" s="1"/>
  <c r="AU104" i="73"/>
  <c r="AU98" i="73"/>
  <c r="AU65" i="73"/>
  <c r="AU58" i="73"/>
  <c r="AU53" i="73"/>
  <c r="AU48" i="73"/>
  <c r="AU34" i="73"/>
  <c r="AU23" i="73"/>
  <c r="AU8" i="73"/>
  <c r="AU6" i="73" s="1"/>
  <c r="AT8" i="73"/>
  <c r="AT6" i="73" s="1"/>
  <c r="AY72" i="59"/>
  <c r="AY71" i="59"/>
  <c r="AY70" i="59"/>
  <c r="AX69" i="59"/>
  <c r="AY68" i="59"/>
  <c r="AX68" i="59"/>
  <c r="AY67" i="59"/>
  <c r="AX67" i="59"/>
  <c r="AY66" i="59"/>
  <c r="AX66" i="59"/>
  <c r="AY65" i="59"/>
  <c r="AX65" i="59"/>
  <c r="AY63" i="59"/>
  <c r="AX63" i="59"/>
  <c r="AY62" i="59"/>
  <c r="AX62" i="59"/>
  <c r="AY59" i="59"/>
  <c r="AX59" i="59"/>
  <c r="AY58" i="59"/>
  <c r="AX58" i="59"/>
  <c r="AY57" i="59"/>
  <c r="AX57" i="59"/>
  <c r="AY55" i="59"/>
  <c r="AX55" i="59"/>
  <c r="AY54" i="59"/>
  <c r="AX54" i="59"/>
  <c r="AZ53" i="59"/>
  <c r="AY53" i="59"/>
  <c r="AX53" i="59"/>
  <c r="AY52" i="59"/>
  <c r="AX52" i="59"/>
  <c r="AY51" i="59"/>
  <c r="AX51" i="59"/>
  <c r="AX46" i="59"/>
  <c r="AY45" i="59"/>
  <c r="AX45" i="59"/>
  <c r="AZ44" i="59"/>
  <c r="AY44" i="59"/>
  <c r="AX44" i="59"/>
  <c r="AZ43" i="59"/>
  <c r="AY43" i="59"/>
  <c r="AX43" i="59"/>
  <c r="AZ42" i="59"/>
  <c r="AY42" i="59"/>
  <c r="AX42" i="59"/>
  <c r="AY41" i="59"/>
  <c r="AX41" i="59"/>
  <c r="AX39" i="59"/>
  <c r="AX38" i="59"/>
  <c r="AX37" i="59"/>
  <c r="AY36" i="59"/>
  <c r="AX36" i="59"/>
  <c r="AY35" i="59"/>
  <c r="AX35" i="59"/>
  <c r="AZ34" i="59"/>
  <c r="AY34" i="59"/>
  <c r="AX34" i="59"/>
  <c r="AY33" i="59"/>
  <c r="AX33" i="59"/>
  <c r="AY32" i="59"/>
  <c r="AX32" i="59"/>
  <c r="AY31" i="59"/>
  <c r="AX31" i="59"/>
  <c r="AY30" i="59"/>
  <c r="AX30" i="59"/>
  <c r="AY29" i="59"/>
  <c r="AX29" i="59"/>
  <c r="BA28" i="59"/>
  <c r="AZ28" i="59"/>
  <c r="AY28" i="59"/>
  <c r="AX28" i="59"/>
  <c r="AZ27" i="59"/>
  <c r="AY27" i="59"/>
  <c r="AX27" i="59"/>
  <c r="AZ26" i="59"/>
  <c r="AY26" i="59"/>
  <c r="AX26" i="59"/>
  <c r="AZ25" i="59"/>
  <c r="AY25" i="59"/>
  <c r="AX25" i="59"/>
  <c r="AZ24" i="59"/>
  <c r="AY24" i="59"/>
  <c r="AX24" i="59"/>
  <c r="AY23" i="59"/>
  <c r="AX23" i="59"/>
  <c r="AZ22" i="59"/>
  <c r="AY22" i="59"/>
  <c r="AX22" i="59"/>
  <c r="AZ20" i="59"/>
  <c r="AY20" i="59"/>
  <c r="AX20" i="59"/>
  <c r="AZ19" i="59"/>
  <c r="AY19" i="59"/>
  <c r="AX19" i="59"/>
  <c r="AZ18" i="59"/>
  <c r="AY18" i="59"/>
  <c r="AX18" i="59"/>
  <c r="AZ17" i="59"/>
  <c r="AY17" i="59"/>
  <c r="AX17" i="59"/>
  <c r="AY16" i="59"/>
  <c r="AX16" i="59"/>
  <c r="AZ15" i="59"/>
  <c r="AY15" i="59"/>
  <c r="AX15" i="59"/>
  <c r="AY12" i="59"/>
  <c r="AX12" i="59"/>
  <c r="AX31" i="36"/>
  <c r="AW31" i="36"/>
  <c r="AU167" i="6" l="1"/>
  <c r="AU12" i="49"/>
  <c r="AT128" i="73"/>
  <c r="AV128" i="73"/>
  <c r="AV377" i="28"/>
  <c r="AV32" i="28"/>
  <c r="AV54" i="28" s="1"/>
  <c r="AU5" i="73"/>
  <c r="AV12" i="49"/>
  <c r="AU198" i="6"/>
  <c r="AV201" i="6"/>
  <c r="AU204" i="6"/>
  <c r="AU202" i="6"/>
  <c r="AU208" i="6"/>
  <c r="AU211" i="6" s="1"/>
  <c r="AU199" i="6"/>
  <c r="AU197" i="6"/>
  <c r="AU196" i="6"/>
  <c r="AU200" i="6"/>
  <c r="AU205" i="6"/>
  <c r="AV211" i="6"/>
  <c r="AV142" i="6"/>
  <c r="AU77" i="6"/>
  <c r="AV206" i="6"/>
  <c r="AY11" i="59" s="1"/>
  <c r="AU22" i="6"/>
  <c r="AU25" i="6"/>
  <c r="AU19" i="6"/>
  <c r="AU29" i="6"/>
  <c r="AU28" i="6"/>
  <c r="AV373" i="28"/>
  <c r="AV83" i="28"/>
  <c r="AV343" i="28"/>
  <c r="AV393" i="28" s="1"/>
  <c r="AV51" i="28"/>
  <c r="AU26" i="28"/>
  <c r="AU300" i="28" s="1"/>
  <c r="AV60" i="28"/>
  <c r="AV381" i="28"/>
  <c r="AU19" i="28"/>
  <c r="AU59" i="28" s="1"/>
  <c r="AU69" i="28" s="1"/>
  <c r="AU377" i="28" s="1"/>
  <c r="AV53" i="28"/>
  <c r="AV59" i="28"/>
  <c r="AV186" i="28"/>
  <c r="AV236" i="28"/>
  <c r="AV300" i="28"/>
  <c r="AV360" i="28"/>
  <c r="AU12" i="28"/>
  <c r="AV33" i="28"/>
  <c r="AV50" i="28"/>
  <c r="AV52" i="28"/>
  <c r="AV58" i="28"/>
  <c r="AU113" i="73"/>
  <c r="AU115" i="73" s="1"/>
  <c r="AU128" i="73"/>
  <c r="AU171" i="73"/>
  <c r="AV361" i="28" l="1"/>
  <c r="AV387" i="28" s="1"/>
  <c r="AU236" i="28"/>
  <c r="AU379" i="28" s="1"/>
  <c r="AU206" i="6"/>
  <c r="AU201" i="6"/>
  <c r="AU31" i="6"/>
  <c r="AV207" i="6"/>
  <c r="AV212" i="6" s="1"/>
  <c r="AV84" i="28"/>
  <c r="AU383" i="28"/>
  <c r="AU60" i="28"/>
  <c r="AV385" i="28"/>
  <c r="AV61" i="28"/>
  <c r="AV371" i="28"/>
  <c r="AV378" i="28"/>
  <c r="AV370" i="28"/>
  <c r="AU186" i="28"/>
  <c r="AU58" i="28"/>
  <c r="AV374" i="28"/>
  <c r="AU370" i="28"/>
  <c r="AV392" i="28"/>
  <c r="AU378" i="28"/>
  <c r="AV379" i="28"/>
  <c r="AV375" i="28"/>
  <c r="AV55" i="28"/>
  <c r="AV56" i="28" s="1"/>
  <c r="AV383" i="28"/>
  <c r="AV382" i="28"/>
  <c r="AU371" i="28" l="1"/>
  <c r="AV386" i="28"/>
  <c r="AV365" i="28"/>
  <c r="AV364" i="28"/>
  <c r="AV62" i="28"/>
  <c r="AU207" i="6"/>
  <c r="AU212" i="6" s="1"/>
  <c r="AU73" i="28"/>
  <c r="AU375" i="28"/>
  <c r="AU65" i="28"/>
  <c r="AU382" i="28" l="1"/>
  <c r="AU381" i="28"/>
  <c r="AU374" i="28"/>
  <c r="AU373" i="28"/>
  <c r="AW54" i="36" l="1"/>
  <c r="AU54" i="36"/>
  <c r="AU46" i="36" s="1"/>
  <c r="AW53" i="36"/>
  <c r="AU53" i="36"/>
  <c r="AW51" i="36"/>
  <c r="AU51" i="36"/>
  <c r="AU43" i="36" s="1"/>
  <c r="AU45" i="36" s="1"/>
  <c r="AW49" i="36"/>
  <c r="AU49" i="36"/>
  <c r="AW48" i="36"/>
  <c r="AW50" i="36" s="1"/>
  <c r="AU48" i="36"/>
  <c r="AU50" i="36" s="1"/>
  <c r="AV46" i="36"/>
  <c r="AV54" i="36" s="1"/>
  <c r="AV44" i="36"/>
  <c r="AV52" i="36" s="1"/>
  <c r="AV43" i="36"/>
  <c r="AV41" i="36"/>
  <c r="AV49" i="36" s="1"/>
  <c r="AV40" i="36"/>
  <c r="AV48" i="36" s="1"/>
  <c r="AV39" i="36"/>
  <c r="AV17" i="36" s="1"/>
  <c r="AY48" i="59" s="1"/>
  <c r="AV38" i="36"/>
  <c r="AV16" i="36" s="1"/>
  <c r="AV32" i="36"/>
  <c r="AU32" i="36"/>
  <c r="AW29" i="36"/>
  <c r="AU29" i="36"/>
  <c r="AW28" i="36"/>
  <c r="AU28" i="36"/>
  <c r="AW27" i="36"/>
  <c r="AU27" i="36"/>
  <c r="AV26" i="36"/>
  <c r="AW23" i="36"/>
  <c r="AV23" i="36"/>
  <c r="AU23" i="36"/>
  <c r="AW22" i="36"/>
  <c r="AZ61" i="59" s="1"/>
  <c r="AV22" i="36"/>
  <c r="AY61" i="59" s="1"/>
  <c r="AU22" i="36"/>
  <c r="AX61" i="59" s="1"/>
  <c r="AW21" i="36"/>
  <c r="AV21" i="36"/>
  <c r="AU21" i="36"/>
  <c r="AW17" i="36"/>
  <c r="AZ48" i="59" s="1"/>
  <c r="AU17" i="36"/>
  <c r="AW16" i="36"/>
  <c r="AZ47" i="59" s="1"/>
  <c r="AU16" i="36"/>
  <c r="AU13" i="36"/>
  <c r="AX40" i="59" s="1"/>
  <c r="AV12" i="36"/>
  <c r="AY39" i="59" s="1"/>
  <c r="AV11" i="36"/>
  <c r="AY38" i="59" s="1"/>
  <c r="AV10" i="36"/>
  <c r="AY37" i="59" s="1"/>
  <c r="AW9" i="36"/>
  <c r="AZ10" i="59" s="1"/>
  <c r="AV9" i="36"/>
  <c r="AY10" i="59" s="1"/>
  <c r="AU9" i="36"/>
  <c r="AX10" i="59" s="1"/>
  <c r="AW8" i="36"/>
  <c r="AZ9" i="59" s="1"/>
  <c r="AV8" i="36"/>
  <c r="AY9" i="59" s="1"/>
  <c r="AU8" i="36"/>
  <c r="AX9" i="59" s="1"/>
  <c r="AW7" i="36"/>
  <c r="AZ8" i="59" s="1"/>
  <c r="AV7" i="36"/>
  <c r="AY8" i="59" s="1"/>
  <c r="AU7" i="36"/>
  <c r="AX8" i="59" s="1"/>
  <c r="AW5" i="36"/>
  <c r="AV5" i="36"/>
  <c r="AU5" i="36"/>
  <c r="AV28" i="21"/>
  <c r="AU27" i="21"/>
  <c r="AV24" i="21"/>
  <c r="AV18" i="21"/>
  <c r="AV15" i="21"/>
  <c r="AV12" i="21"/>
  <c r="AU12" i="21"/>
  <c r="AU15" i="21" s="1"/>
  <c r="AU28" i="21" l="1"/>
  <c r="AV50" i="36"/>
  <c r="AV25" i="21"/>
  <c r="AU40" i="36"/>
  <c r="AU42" i="36" s="1"/>
  <c r="AT5" i="15"/>
  <c r="AX70" i="59"/>
  <c r="AV6" i="15"/>
  <c r="AZ71" i="59"/>
  <c r="AX6" i="59"/>
  <c r="AU13" i="49"/>
  <c r="AU14" i="49" s="1"/>
  <c r="AU15" i="49" s="1"/>
  <c r="AU16" i="49" s="1"/>
  <c r="AU19" i="49" s="1"/>
  <c r="AU20" i="49" s="1"/>
  <c r="AT7" i="15"/>
  <c r="AX72" i="59"/>
  <c r="AV7" i="15"/>
  <c r="AZ72" i="59"/>
  <c r="AT6" i="15"/>
  <c r="AX71" i="59"/>
  <c r="AZ6" i="59"/>
  <c r="AW13" i="49"/>
  <c r="AU89" i="9"/>
  <c r="AX47" i="59"/>
  <c r="AV5" i="15"/>
  <c r="AZ70" i="59"/>
  <c r="AU90" i="9"/>
  <c r="AU19" i="9" s="1"/>
  <c r="AX48" i="59"/>
  <c r="AU38" i="36"/>
  <c r="AU39" i="36"/>
  <c r="AV390" i="28"/>
  <c r="AV391" i="28"/>
  <c r="AV13" i="49"/>
  <c r="AV14" i="49" s="1"/>
  <c r="AV15" i="49" s="1"/>
  <c r="AV16" i="49" s="1"/>
  <c r="AV19" i="49" s="1"/>
  <c r="AV20" i="49" s="1"/>
  <c r="AV15" i="36" s="1"/>
  <c r="AY46" i="59" s="1"/>
  <c r="AY6" i="59"/>
  <c r="AV42" i="36"/>
  <c r="AV45" i="36"/>
  <c r="AV18" i="36"/>
  <c r="AY49" i="59" s="1"/>
  <c r="AY47" i="59"/>
  <c r="AV13" i="36"/>
  <c r="AY40" i="59" s="1"/>
  <c r="AV51" i="36"/>
  <c r="AV53" i="36" s="1"/>
  <c r="AV20" i="21"/>
  <c r="AU22" i="21"/>
  <c r="AU91" i="9" l="1"/>
  <c r="AV73" i="8"/>
  <c r="AV19" i="36"/>
  <c r="AY50" i="59" s="1"/>
  <c r="L103" i="9" l="1"/>
  <c r="AH103" i="9"/>
  <c r="AR103" i="9"/>
  <c r="BB103" i="9" s="1"/>
  <c r="F103" i="9"/>
  <c r="X103" i="9"/>
  <c r="AU40" i="35" l="1"/>
  <c r="AU39" i="35"/>
  <c r="AU37" i="35"/>
  <c r="AV34" i="35"/>
  <c r="AV44" i="35" s="1"/>
  <c r="AV45" i="35" s="1"/>
  <c r="AU34" i="35"/>
  <c r="AV31" i="35"/>
  <c r="AU31" i="35"/>
  <c r="AV24" i="35"/>
  <c r="AU24" i="35"/>
  <c r="AU33" i="36" s="1"/>
  <c r="AU34" i="36" s="1"/>
  <c r="AU35" i="36" s="1"/>
  <c r="AU36" i="36" s="1"/>
  <c r="AU30" i="36" s="1"/>
  <c r="AX73" i="59" s="1"/>
  <c r="AV19" i="35"/>
  <c r="AV26" i="9" s="1"/>
  <c r="AU19" i="35"/>
  <c r="AU26" i="9" s="1"/>
  <c r="AV15" i="35"/>
  <c r="AV11" i="35"/>
  <c r="AU10" i="35"/>
  <c r="AU14" i="35" s="1"/>
  <c r="AU9" i="35"/>
  <c r="AU13" i="35" s="1"/>
  <c r="AU8" i="35"/>
  <c r="AV7" i="35"/>
  <c r="AV6" i="35"/>
  <c r="AU44" i="35" l="1"/>
  <c r="AU28" i="28"/>
  <c r="AV6" i="6"/>
  <c r="AV5" i="6"/>
  <c r="AV33" i="36"/>
  <c r="AV34" i="36" s="1"/>
  <c r="AV35" i="36" s="1"/>
  <c r="AU35" i="35"/>
  <c r="AV35" i="35"/>
  <c r="AW71" i="83" s="1"/>
  <c r="AW69" i="83" s="1"/>
  <c r="AU11" i="35"/>
  <c r="AU45" i="35"/>
  <c r="AV8" i="35"/>
  <c r="AU15" i="35"/>
  <c r="AU33" i="28" l="1"/>
  <c r="AU50" i="28"/>
  <c r="AU55" i="28" s="1"/>
  <c r="AU390" i="28" s="1"/>
  <c r="AU51" i="35"/>
  <c r="AV36" i="36"/>
  <c r="AV30" i="36" s="1"/>
  <c r="AY73" i="59" s="1"/>
  <c r="AV12" i="6"/>
  <c r="AV14" i="6"/>
  <c r="AV7" i="6"/>
  <c r="AV13" i="6"/>
  <c r="AV11" i="6"/>
  <c r="AV51" i="35"/>
  <c r="AV25" i="36"/>
  <c r="AY69" i="59" s="1"/>
  <c r="AU361" i="28" l="1"/>
  <c r="AU364" i="28" s="1"/>
  <c r="AU61" i="28"/>
  <c r="AU387" i="28"/>
  <c r="AV182" i="6"/>
  <c r="AV187" i="6"/>
  <c r="AV161" i="6"/>
  <c r="AV15" i="6"/>
  <c r="AV80" i="6" s="1"/>
  <c r="AV157" i="6"/>
  <c r="AW81" i="50"/>
  <c r="AU77" i="28" l="1"/>
  <c r="AU62" i="28"/>
  <c r="AU391" i="28" s="1"/>
  <c r="AV77" i="6"/>
  <c r="AV34" i="6"/>
  <c r="AV36" i="6"/>
  <c r="AV35" i="6"/>
  <c r="AV33" i="6"/>
  <c r="X7" i="71"/>
  <c r="X8" i="71"/>
  <c r="X9" i="71"/>
  <c r="X10" i="71"/>
  <c r="X11" i="71"/>
  <c r="X12" i="71"/>
  <c r="X13" i="71"/>
  <c r="X14" i="71"/>
  <c r="X15" i="71"/>
  <c r="X16" i="71"/>
  <c r="X17" i="71"/>
  <c r="X18" i="71"/>
  <c r="X19" i="71"/>
  <c r="X20" i="71"/>
  <c r="X21" i="71"/>
  <c r="X22" i="71"/>
  <c r="X23" i="71"/>
  <c r="X24" i="71"/>
  <c r="X25" i="71"/>
  <c r="X26" i="71"/>
  <c r="X27" i="71"/>
  <c r="X28" i="71"/>
  <c r="X31" i="71"/>
  <c r="AR31" i="71" s="1"/>
  <c r="X32" i="71"/>
  <c r="X33" i="71"/>
  <c r="X34" i="71"/>
  <c r="X35" i="71"/>
  <c r="X36" i="71"/>
  <c r="X37" i="71"/>
  <c r="X38" i="71"/>
  <c r="X39" i="71"/>
  <c r="X40" i="71"/>
  <c r="X41" i="71"/>
  <c r="X42" i="71"/>
  <c r="X43" i="71"/>
  <c r="X44" i="71"/>
  <c r="X45" i="71"/>
  <c r="X48" i="71"/>
  <c r="X49" i="71"/>
  <c r="X50" i="71"/>
  <c r="X51" i="71"/>
  <c r="X52" i="71"/>
  <c r="X53" i="71"/>
  <c r="X54" i="71"/>
  <c r="X55" i="71"/>
  <c r="X56" i="71"/>
  <c r="X57" i="71"/>
  <c r="X58" i="71"/>
  <c r="X59" i="71"/>
  <c r="X60" i="71"/>
  <c r="X61" i="71"/>
  <c r="X62" i="71"/>
  <c r="X63" i="71"/>
  <c r="X64" i="71"/>
  <c r="X65" i="71"/>
  <c r="X66" i="71"/>
  <c r="X67" i="71"/>
  <c r="X68" i="71"/>
  <c r="X69" i="71"/>
  <c r="X70" i="71"/>
  <c r="X71" i="71"/>
  <c r="X72" i="71"/>
  <c r="X73" i="71"/>
  <c r="X74" i="71"/>
  <c r="X75" i="71"/>
  <c r="X76" i="71"/>
  <c r="AU365" i="28" l="1"/>
  <c r="AU386" i="28"/>
  <c r="AU81" i="28"/>
  <c r="AU385" i="28"/>
  <c r="AV37" i="6"/>
  <c r="T165" i="10"/>
  <c r="AF191" i="28" l="1"/>
  <c r="AN195" i="28"/>
  <c r="BD195" i="28" s="1"/>
  <c r="Z195" i="28"/>
  <c r="N195" i="28"/>
  <c r="J195" i="28"/>
  <c r="I216" i="73"/>
  <c r="M216" i="73"/>
  <c r="AA216" i="73" s="1"/>
  <c r="BC216" i="73"/>
  <c r="AQ215" i="73"/>
  <c r="BA215" i="73" s="1"/>
  <c r="AK215" i="73"/>
  <c r="AG215" i="73"/>
  <c r="AC215" i="73"/>
  <c r="W215" i="73"/>
  <c r="S215" i="73"/>
  <c r="O215" i="73"/>
  <c r="Y215" i="73" s="1"/>
  <c r="K215" i="73"/>
  <c r="G215" i="73"/>
  <c r="E215" i="73"/>
  <c r="AQ208" i="73"/>
  <c r="BA208" i="73" s="1"/>
  <c r="AK208" i="73"/>
  <c r="AJ208" i="73"/>
  <c r="AH208" i="73"/>
  <c r="AG208" i="73"/>
  <c r="AF208" i="73"/>
  <c r="AD208" i="73"/>
  <c r="AC208" i="73"/>
  <c r="W208" i="73"/>
  <c r="V208" i="73"/>
  <c r="T208" i="73"/>
  <c r="S208" i="73"/>
  <c r="R208" i="73"/>
  <c r="P208" i="73"/>
  <c r="O208" i="73"/>
  <c r="Y208" i="73" s="1"/>
  <c r="K208" i="73"/>
  <c r="J208" i="73"/>
  <c r="H208" i="73"/>
  <c r="G208" i="73"/>
  <c r="F208" i="73"/>
  <c r="E208" i="73"/>
  <c r="AQ206" i="73"/>
  <c r="BA206" i="73" s="1"/>
  <c r="AK206" i="73"/>
  <c r="AJ206" i="73"/>
  <c r="AH206" i="73"/>
  <c r="AG206" i="73"/>
  <c r="AF206" i="73"/>
  <c r="AD206" i="73"/>
  <c r="AC206" i="73"/>
  <c r="AM206" i="73" s="1"/>
  <c r="W206" i="73"/>
  <c r="V206" i="73"/>
  <c r="T206" i="73"/>
  <c r="S206" i="73"/>
  <c r="R206" i="73"/>
  <c r="P206" i="73"/>
  <c r="O206" i="73"/>
  <c r="K206" i="73"/>
  <c r="J206" i="73"/>
  <c r="H206" i="73"/>
  <c r="G206" i="73"/>
  <c r="F206" i="73"/>
  <c r="E206" i="73"/>
  <c r="M206" i="73" s="1"/>
  <c r="AQ204" i="73"/>
  <c r="BA204" i="73" s="1"/>
  <c r="AK204" i="73"/>
  <c r="AJ204" i="73"/>
  <c r="AH204" i="73"/>
  <c r="AG204" i="73"/>
  <c r="AF204" i="73"/>
  <c r="AD204" i="73"/>
  <c r="AC204" i="73"/>
  <c r="AM204" i="73" s="1"/>
  <c r="W204" i="73"/>
  <c r="V204" i="73"/>
  <c r="T204" i="73"/>
  <c r="S204" i="73"/>
  <c r="R204" i="73"/>
  <c r="P204" i="73"/>
  <c r="O204" i="73"/>
  <c r="K204" i="73"/>
  <c r="J204" i="73"/>
  <c r="H204" i="73"/>
  <c r="G204" i="73"/>
  <c r="F204" i="73"/>
  <c r="E204" i="73"/>
  <c r="M204" i="73" s="1"/>
  <c r="K199" i="73"/>
  <c r="J199" i="73"/>
  <c r="H199" i="73"/>
  <c r="G199" i="73"/>
  <c r="F199" i="73"/>
  <c r="E199" i="73"/>
  <c r="W199" i="73"/>
  <c r="V199" i="73"/>
  <c r="T199" i="73"/>
  <c r="S199" i="73"/>
  <c r="R199" i="73"/>
  <c r="P199" i="73"/>
  <c r="O199" i="73"/>
  <c r="Y199" i="73" s="1"/>
  <c r="AK199" i="73"/>
  <c r="AJ199" i="73"/>
  <c r="AH199" i="73"/>
  <c r="AG199" i="73"/>
  <c r="AF199" i="73"/>
  <c r="AD199" i="73"/>
  <c r="AC199" i="73"/>
  <c r="AQ199" i="73"/>
  <c r="BA199" i="73" s="1"/>
  <c r="AQ195" i="73"/>
  <c r="BA195" i="73" s="1"/>
  <c r="AK195" i="73"/>
  <c r="AJ195" i="73"/>
  <c r="AH195" i="73"/>
  <c r="AG195" i="73"/>
  <c r="AF195" i="73"/>
  <c r="AD195" i="73"/>
  <c r="AC195" i="73"/>
  <c r="W195" i="73"/>
  <c r="V195" i="73"/>
  <c r="T195" i="73"/>
  <c r="S195" i="73"/>
  <c r="R195" i="73"/>
  <c r="P195" i="73"/>
  <c r="O195" i="73"/>
  <c r="Y195" i="73" s="1"/>
  <c r="K195" i="73"/>
  <c r="J195" i="73"/>
  <c r="H195" i="73"/>
  <c r="G195" i="73"/>
  <c r="F195" i="73"/>
  <c r="E195" i="73"/>
  <c r="K188" i="73"/>
  <c r="J188" i="73"/>
  <c r="H188" i="73"/>
  <c r="G188" i="73"/>
  <c r="F188" i="73"/>
  <c r="E188" i="73"/>
  <c r="W188" i="73"/>
  <c r="V188" i="73"/>
  <c r="T188" i="73"/>
  <c r="S188" i="73"/>
  <c r="R188" i="73"/>
  <c r="P188" i="73"/>
  <c r="O188" i="73"/>
  <c r="AK188" i="73"/>
  <c r="AJ188" i="73"/>
  <c r="AH188" i="73"/>
  <c r="AG188" i="73"/>
  <c r="AF188" i="73"/>
  <c r="AD188" i="73"/>
  <c r="AC188" i="73"/>
  <c r="AM188" i="73" s="1"/>
  <c r="AQ188" i="73"/>
  <c r="BA188" i="73" s="1"/>
  <c r="BC212" i="73"/>
  <c r="BA190" i="73"/>
  <c r="AM215" i="73" l="1"/>
  <c r="AM190" i="73"/>
  <c r="BC190" i="73" s="1"/>
  <c r="Y206" i="73"/>
  <c r="AA206" i="73" s="1"/>
  <c r="Y188" i="73"/>
  <c r="Y204" i="73"/>
  <c r="AA204" i="73" s="1"/>
  <c r="M208" i="73"/>
  <c r="AA208" i="73" s="1"/>
  <c r="AM199" i="73"/>
  <c r="Y190" i="73"/>
  <c r="AM195" i="73"/>
  <c r="AM208" i="73"/>
  <c r="BC208" i="73" s="1"/>
  <c r="AE216" i="73"/>
  <c r="AI216" i="73" s="1"/>
  <c r="AO216" i="73" s="1"/>
  <c r="AS216" i="73" s="1"/>
  <c r="AW216" i="73" s="1"/>
  <c r="BE216" i="73" s="1"/>
  <c r="Q216" i="73"/>
  <c r="U216" i="73" s="1"/>
  <c r="AB195" i="28"/>
  <c r="AF195" i="28" s="1"/>
  <c r="AJ195" i="28" s="1"/>
  <c r="AP195" i="28" s="1"/>
  <c r="AT195" i="28" s="1"/>
  <c r="AX195" i="28" s="1"/>
  <c r="BF195" i="28" s="1"/>
  <c r="M215" i="73"/>
  <c r="I215" i="73"/>
  <c r="BC215" i="73"/>
  <c r="BC206" i="73"/>
  <c r="Q215" i="73" l="1"/>
  <c r="U215" i="73" s="1"/>
  <c r="AA215" i="73"/>
  <c r="AE215" i="73" s="1"/>
  <c r="AI215" i="73" s="1"/>
  <c r="AO215" i="73" s="1"/>
  <c r="AS215" i="73" s="1"/>
  <c r="AW215" i="73" s="1"/>
  <c r="BE215" i="73" s="1"/>
  <c r="AR69" i="10"/>
  <c r="BB69" i="10" s="1"/>
  <c r="AR63" i="10"/>
  <c r="BB63" i="10" s="1"/>
  <c r="AR55" i="10"/>
  <c r="AR45" i="10"/>
  <c r="AR46" i="10"/>
  <c r="BB46" i="10" s="1"/>
  <c r="BD46" i="10" s="1"/>
  <c r="AR38" i="10"/>
  <c r="AR19" i="10"/>
  <c r="AR25" i="10"/>
  <c r="AR20" i="10"/>
  <c r="AR21" i="10"/>
  <c r="BB20" i="10" l="1"/>
  <c r="AS22" i="50"/>
  <c r="BC22" i="50" s="1"/>
  <c r="AS23" i="50"/>
  <c r="BC23" i="50" s="1"/>
  <c r="BB21" i="10"/>
  <c r="BB25" i="10"/>
  <c r="BD25" i="10" s="1"/>
  <c r="AS97" i="50"/>
  <c r="AR165" i="10"/>
  <c r="BB19" i="10"/>
  <c r="AR124" i="10"/>
  <c r="AR125" i="10"/>
  <c r="BB45" i="10"/>
  <c r="BD45" i="10" s="1"/>
  <c r="AT45" i="10"/>
  <c r="AX45" i="10" s="1"/>
  <c r="BF45" i="10" s="1"/>
  <c r="BB55" i="10"/>
  <c r="AS20" i="50"/>
  <c r="BC20" i="50" s="1"/>
  <c r="BB38" i="10"/>
  <c r="BD38" i="10" s="1"/>
  <c r="AT38" i="10"/>
  <c r="AX38" i="10" s="1"/>
  <c r="BF38" i="10" s="1"/>
  <c r="F184" i="73"/>
  <c r="BC97" i="50" l="1"/>
  <c r="BC100" i="50" s="1"/>
  <c r="AS100" i="50"/>
  <c r="AR127" i="10"/>
  <c r="AS93" i="50"/>
  <c r="BB165" i="10"/>
  <c r="BB124" i="10"/>
  <c r="BB125" i="10"/>
  <c r="AW105" i="7"/>
  <c r="AX105" i="7"/>
  <c r="AW106" i="7"/>
  <c r="AX106" i="7"/>
  <c r="AW107" i="7"/>
  <c r="AX107" i="7"/>
  <c r="AW108" i="7"/>
  <c r="AX108" i="7"/>
  <c r="AW109" i="7"/>
  <c r="AX109" i="7"/>
  <c r="AW110" i="7"/>
  <c r="AX110" i="7"/>
  <c r="AW111" i="7"/>
  <c r="AX111" i="7"/>
  <c r="AW112" i="7"/>
  <c r="AX112" i="7"/>
  <c r="AW113" i="7"/>
  <c r="AX113" i="7"/>
  <c r="AW114" i="7"/>
  <c r="AX114" i="7"/>
  <c r="AW115" i="7"/>
  <c r="AX115" i="7"/>
  <c r="AW116" i="7"/>
  <c r="AX116" i="7"/>
  <c r="AW117" i="7"/>
  <c r="AX117" i="7"/>
  <c r="AW118" i="7"/>
  <c r="AX118" i="7"/>
  <c r="AW119" i="7"/>
  <c r="AX119" i="7"/>
  <c r="AW120" i="7"/>
  <c r="AX120" i="7"/>
  <c r="AW121" i="7"/>
  <c r="AX121" i="7"/>
  <c r="AW122" i="7"/>
  <c r="AX122" i="7"/>
  <c r="AW123" i="7"/>
  <c r="AX123" i="7"/>
  <c r="AW124" i="7"/>
  <c r="AX124" i="7"/>
  <c r="AW125" i="7"/>
  <c r="AX125" i="7"/>
  <c r="AW126" i="7"/>
  <c r="AX126" i="7"/>
  <c r="AW127" i="7"/>
  <c r="AX127" i="7"/>
  <c r="AW128" i="7"/>
  <c r="AX128" i="7"/>
  <c r="AW129" i="7"/>
  <c r="AX129" i="7"/>
  <c r="AW130" i="7"/>
  <c r="AX130" i="7"/>
  <c r="AW131" i="7"/>
  <c r="AX131" i="7"/>
  <c r="AW132" i="7"/>
  <c r="AX132" i="7"/>
  <c r="AW133" i="7"/>
  <c r="AX133" i="7"/>
  <c r="AW134" i="7"/>
  <c r="AX134" i="7"/>
  <c r="AW135" i="7"/>
  <c r="AX135" i="7"/>
  <c r="AW136" i="7"/>
  <c r="AX136" i="7"/>
  <c r="AW137" i="7"/>
  <c r="AX137" i="7"/>
  <c r="AW138" i="7"/>
  <c r="AX138" i="7"/>
  <c r="AW139" i="7"/>
  <c r="AX139" i="7"/>
  <c r="AW140" i="7"/>
  <c r="AX140" i="7"/>
  <c r="AW141" i="7"/>
  <c r="AX141" i="7"/>
  <c r="AW142" i="7"/>
  <c r="AX142" i="7"/>
  <c r="AW143" i="7"/>
  <c r="AX143" i="7"/>
  <c r="AW144" i="7"/>
  <c r="AX144" i="7"/>
  <c r="AW145" i="7"/>
  <c r="AX145" i="7"/>
  <c r="BC93" i="50" l="1"/>
  <c r="BB127" i="10"/>
  <c r="BB166" i="10"/>
  <c r="BB143" i="10"/>
  <c r="BE59" i="59" s="1"/>
  <c r="BB156" i="10"/>
  <c r="BB162" i="10"/>
  <c r="AS62" i="83"/>
  <c r="BC62" i="83" s="1"/>
  <c r="AS63" i="83"/>
  <c r="BC63" i="83" s="1"/>
  <c r="AS64" i="83"/>
  <c r="BC64" i="83" s="1"/>
  <c r="AS65" i="83"/>
  <c r="BC65" i="83" s="1"/>
  <c r="AS66" i="83"/>
  <c r="BC66" i="83" s="1"/>
  <c r="AS60" i="83"/>
  <c r="BC60" i="83" s="1"/>
  <c r="AS61" i="83"/>
  <c r="BC61" i="83" s="1"/>
  <c r="AS59" i="83"/>
  <c r="BC59" i="83" s="1"/>
  <c r="AS44" i="83"/>
  <c r="BC44" i="83" s="1"/>
  <c r="AS45" i="83"/>
  <c r="BC45" i="83" s="1"/>
  <c r="AS46" i="83"/>
  <c r="BC46" i="83" s="1"/>
  <c r="AS47" i="83"/>
  <c r="BC47" i="83" s="1"/>
  <c r="AS48" i="83"/>
  <c r="BC48" i="83" s="1"/>
  <c r="AS49" i="83"/>
  <c r="BC49" i="83" s="1"/>
  <c r="AS50" i="83"/>
  <c r="BC50" i="83" s="1"/>
  <c r="AS51" i="83"/>
  <c r="BC51" i="83" s="1"/>
  <c r="AS52" i="83"/>
  <c r="BC52" i="83" s="1"/>
  <c r="AS53" i="83"/>
  <c r="BC53" i="83" s="1"/>
  <c r="AS54" i="83"/>
  <c r="BC54" i="83" s="1"/>
  <c r="AS55" i="83"/>
  <c r="BC55" i="83" s="1"/>
  <c r="AS56" i="83"/>
  <c r="BC56" i="83" s="1"/>
  <c r="AS57" i="83"/>
  <c r="BC57" i="83" s="1"/>
  <c r="AS43" i="83"/>
  <c r="BC43" i="83" s="1"/>
  <c r="BC58" i="83" s="1"/>
  <c r="AS40" i="83"/>
  <c r="AS41" i="83"/>
  <c r="AS39" i="83"/>
  <c r="AS33" i="83"/>
  <c r="AS34" i="83"/>
  <c r="AS35" i="83"/>
  <c r="AS36" i="83"/>
  <c r="AS37" i="83"/>
  <c r="AS32" i="83"/>
  <c r="AS5" i="83"/>
  <c r="BC5" i="83" s="1"/>
  <c r="AS6" i="83"/>
  <c r="BC6" i="83" s="1"/>
  <c r="AS7" i="83"/>
  <c r="BC7" i="83" s="1"/>
  <c r="AS8" i="83"/>
  <c r="BC8" i="83" s="1"/>
  <c r="AS9" i="83"/>
  <c r="BC9" i="83" s="1"/>
  <c r="AS10" i="83"/>
  <c r="BC10" i="83" s="1"/>
  <c r="AS11" i="83"/>
  <c r="BC11" i="83" s="1"/>
  <c r="AS12" i="83"/>
  <c r="BC12" i="83" s="1"/>
  <c r="AS13" i="83"/>
  <c r="BC13" i="83" s="1"/>
  <c r="AS14" i="83"/>
  <c r="BC14" i="83" s="1"/>
  <c r="AS15" i="83"/>
  <c r="BC15" i="83" s="1"/>
  <c r="AS16" i="83"/>
  <c r="BC16" i="83" s="1"/>
  <c r="AS17" i="83"/>
  <c r="BC17" i="83" s="1"/>
  <c r="AS18" i="83"/>
  <c r="BC18" i="83" s="1"/>
  <c r="AS19" i="83"/>
  <c r="BC19" i="83" s="1"/>
  <c r="AS20" i="83"/>
  <c r="BC20" i="83" s="1"/>
  <c r="AS21" i="83"/>
  <c r="BC21" i="83" s="1"/>
  <c r="AS22" i="83"/>
  <c r="BC22" i="83" s="1"/>
  <c r="AS23" i="83"/>
  <c r="BC23" i="83" s="1"/>
  <c r="AS24" i="83"/>
  <c r="BC24" i="83" s="1"/>
  <c r="AS25" i="83"/>
  <c r="BC25" i="83" s="1"/>
  <c r="AS26" i="83"/>
  <c r="BC26" i="83" s="1"/>
  <c r="AS27" i="83"/>
  <c r="BC27" i="83" s="1"/>
  <c r="AS28" i="83"/>
  <c r="BC28" i="83" s="1"/>
  <c r="AS29" i="83"/>
  <c r="BC29" i="83" s="1"/>
  <c r="AS30" i="83"/>
  <c r="BC30" i="83" s="1"/>
  <c r="AS4" i="83"/>
  <c r="BC4" i="83" s="1"/>
  <c r="BB158" i="10" l="1"/>
  <c r="BB160" i="10"/>
  <c r="BB21" i="36"/>
  <c r="BE57" i="59"/>
  <c r="BC67" i="83"/>
  <c r="BC31" i="83"/>
  <c r="AS67" i="83"/>
  <c r="AS58" i="83"/>
  <c r="AS42" i="83"/>
  <c r="AS38" i="83"/>
  <c r="AS31" i="83"/>
  <c r="AQ37" i="27"/>
  <c r="AQ35" i="27"/>
  <c r="AQ27" i="27"/>
  <c r="AQ29" i="27"/>
  <c r="AQ28" i="27"/>
  <c r="AQ21" i="27"/>
  <c r="AQ20" i="27"/>
  <c r="AQ19" i="27"/>
  <c r="AQ18" i="27"/>
  <c r="AS68" i="83" l="1"/>
  <c r="BC68" i="83" s="1"/>
  <c r="BC88" i="73"/>
  <c r="AO88" i="73"/>
  <c r="AS88" i="73" s="1"/>
  <c r="AW88" i="73" s="1"/>
  <c r="BE88" i="73" s="1"/>
  <c r="BC69" i="83" l="1"/>
  <c r="AS52" i="36"/>
  <c r="AQ52" i="36"/>
  <c r="AO52" i="36"/>
  <c r="AI52" i="36"/>
  <c r="AG52" i="36"/>
  <c r="AC52" i="36"/>
  <c r="AA52" i="36"/>
  <c r="Y52" i="36"/>
  <c r="W52" i="36"/>
  <c r="S52" i="36"/>
  <c r="O52" i="36"/>
  <c r="M52" i="36"/>
  <c r="K52" i="36"/>
  <c r="G52" i="36"/>
  <c r="E52" i="36"/>
  <c r="AT158" i="9"/>
  <c r="AR46" i="28" l="1"/>
  <c r="AS393" i="28"/>
  <c r="AQ393" i="28"/>
  <c r="AS392" i="28"/>
  <c r="AQ392" i="28"/>
  <c r="AR349" i="28"/>
  <c r="BB349" i="28" s="1"/>
  <c r="AR345" i="28"/>
  <c r="BB345" i="28" s="1"/>
  <c r="AR318" i="28"/>
  <c r="BB318" i="28" s="1"/>
  <c r="AR317" i="28"/>
  <c r="BB317" i="28" s="1"/>
  <c r="AR310" i="28"/>
  <c r="AQ310" i="28"/>
  <c r="BA310" i="28" s="1"/>
  <c r="AR299" i="28"/>
  <c r="BB299" i="28" s="1"/>
  <c r="AR241" i="28"/>
  <c r="AQ241" i="28"/>
  <c r="AR235" i="28"/>
  <c r="BB235" i="28" s="1"/>
  <c r="AR234" i="28"/>
  <c r="BB234" i="28" s="1"/>
  <c r="AQ234" i="28"/>
  <c r="BA234" i="28" s="1"/>
  <c r="AR198" i="28"/>
  <c r="BB198" i="28" s="1"/>
  <c r="BB376" i="28" s="1"/>
  <c r="AQ198" i="28"/>
  <c r="BA198" i="28" s="1"/>
  <c r="AR185" i="28"/>
  <c r="AR82" i="28"/>
  <c r="BB82" i="28" s="1"/>
  <c r="AR81" i="28"/>
  <c r="BB81" i="28" s="1"/>
  <c r="AR79" i="28"/>
  <c r="BB79" i="28" s="1"/>
  <c r="AR75" i="28"/>
  <c r="BB75" i="28" s="1"/>
  <c r="AR71" i="28"/>
  <c r="BB71" i="28" s="1"/>
  <c r="AR67" i="28"/>
  <c r="BB67" i="28" s="1"/>
  <c r="AQ54" i="28"/>
  <c r="BA54" i="28" s="1"/>
  <c r="AQ53" i="28"/>
  <c r="BA53" i="28" s="1"/>
  <c r="AQ52" i="28"/>
  <c r="BA52" i="28" s="1"/>
  <c r="AR47" i="28"/>
  <c r="BB47" i="28" s="1"/>
  <c r="AR40" i="28"/>
  <c r="BB40" i="28" s="1"/>
  <c r="AR31" i="28"/>
  <c r="BB31" i="28" s="1"/>
  <c r="AR30" i="28"/>
  <c r="BB30" i="28" s="1"/>
  <c r="AR29" i="28"/>
  <c r="BB29" i="28" s="1"/>
  <c r="AR28" i="28"/>
  <c r="AR26" i="28"/>
  <c r="BB26" i="28" s="1"/>
  <c r="AQ21" i="28"/>
  <c r="BA21" i="28" s="1"/>
  <c r="AR19" i="28"/>
  <c r="BB19" i="28" s="1"/>
  <c r="BB377" i="28" s="1"/>
  <c r="AQ14" i="28"/>
  <c r="AR12" i="28"/>
  <c r="BB12" i="28" s="1"/>
  <c r="AQ7" i="28"/>
  <c r="BA7" i="28" s="1"/>
  <c r="AT17" i="61"/>
  <c r="AR17" i="61"/>
  <c r="AR16" i="52"/>
  <c r="AQ16" i="52"/>
  <c r="AR8" i="52"/>
  <c r="AQ8" i="52"/>
  <c r="AR28" i="22"/>
  <c r="AR24" i="22"/>
  <c r="AR26" i="22" s="1"/>
  <c r="AR23" i="22"/>
  <c r="AR14" i="22"/>
  <c r="AR10" i="22"/>
  <c r="AR9" i="22"/>
  <c r="AP123" i="26"/>
  <c r="AQ109" i="26"/>
  <c r="BA91" i="26" s="1"/>
  <c r="AP107" i="26"/>
  <c r="AZ107" i="26" s="1"/>
  <c r="AP105" i="26"/>
  <c r="AZ105" i="26" s="1"/>
  <c r="AP103" i="26"/>
  <c r="AZ103" i="26" s="1"/>
  <c r="AP101" i="26"/>
  <c r="AZ101" i="26" s="1"/>
  <c r="AP99" i="26"/>
  <c r="AZ99" i="26" s="1"/>
  <c r="AP97" i="26"/>
  <c r="AZ97" i="26" s="1"/>
  <c r="AP95" i="26"/>
  <c r="AZ95" i="26" s="1"/>
  <c r="AP93" i="26"/>
  <c r="AZ93" i="26" s="1"/>
  <c r="AQ89" i="26"/>
  <c r="AQ82" i="26"/>
  <c r="AQ81" i="26"/>
  <c r="AP79" i="26"/>
  <c r="AZ79" i="26" s="1"/>
  <c r="AP77" i="26"/>
  <c r="AQ74" i="26"/>
  <c r="AP72" i="26"/>
  <c r="AZ72" i="26" s="1"/>
  <c r="AP70" i="26"/>
  <c r="AZ70" i="26" s="1"/>
  <c r="AP68" i="26"/>
  <c r="AZ68" i="26" s="1"/>
  <c r="AP66" i="26"/>
  <c r="AZ66" i="26" s="1"/>
  <c r="AP64" i="26"/>
  <c r="AZ64" i="26" s="1"/>
  <c r="AP62" i="26"/>
  <c r="AZ62" i="26" s="1"/>
  <c r="AP60" i="26"/>
  <c r="AZ60" i="26" s="1"/>
  <c r="AP58" i="26"/>
  <c r="AZ58" i="26" s="1"/>
  <c r="AP53" i="26"/>
  <c r="AZ53" i="26" s="1"/>
  <c r="AP51" i="26"/>
  <c r="AZ51" i="26" s="1"/>
  <c r="AQ49" i="26"/>
  <c r="AQ56" i="26" s="1"/>
  <c r="BA56" i="26" s="1"/>
  <c r="AP47" i="26"/>
  <c r="AQ44" i="26"/>
  <c r="AP42" i="26"/>
  <c r="AZ42" i="26" s="1"/>
  <c r="AP40" i="26"/>
  <c r="AZ40" i="26" s="1"/>
  <c r="AP38" i="26"/>
  <c r="AZ38" i="26" s="1"/>
  <c r="AP36" i="26"/>
  <c r="AZ36" i="26" s="1"/>
  <c r="AP34" i="26"/>
  <c r="AZ34" i="26" s="1"/>
  <c r="AP32" i="26"/>
  <c r="AZ32" i="26" s="1"/>
  <c r="AP30" i="26"/>
  <c r="AZ30" i="26" s="1"/>
  <c r="AP28" i="26"/>
  <c r="AZ28" i="26" s="1"/>
  <c r="AP26" i="26"/>
  <c r="AZ26" i="26" s="1"/>
  <c r="AP24" i="26"/>
  <c r="AP22" i="26"/>
  <c r="AZ22" i="26" s="1"/>
  <c r="AP20" i="26"/>
  <c r="AP16" i="26"/>
  <c r="AZ16" i="26" s="1"/>
  <c r="AP14" i="26"/>
  <c r="AZ14" i="26" s="1"/>
  <c r="AQ11" i="26"/>
  <c r="AQ17" i="26" s="1"/>
  <c r="AP10" i="26"/>
  <c r="AZ10" i="26" s="1"/>
  <c r="AP8" i="26"/>
  <c r="AZ8" i="26" s="1"/>
  <c r="BB381" i="28" l="1"/>
  <c r="AR186" i="28"/>
  <c r="BB186" i="28" s="1"/>
  <c r="BB374" i="28" s="1"/>
  <c r="BB185" i="28"/>
  <c r="BB373" i="28"/>
  <c r="AR384" i="28"/>
  <c r="BB310" i="28"/>
  <c r="BB384" i="28" s="1"/>
  <c r="AR32" i="28"/>
  <c r="BB46" i="28"/>
  <c r="AR380" i="28"/>
  <c r="BB241" i="28"/>
  <c r="AR50" i="28"/>
  <c r="BB50" i="28" s="1"/>
  <c r="BB28" i="28"/>
  <c r="AQ235" i="28"/>
  <c r="BA235" i="28" s="1"/>
  <c r="BA14" i="28"/>
  <c r="AZ109" i="26"/>
  <c r="AP84" i="26"/>
  <c r="AZ77" i="26"/>
  <c r="AZ74" i="26"/>
  <c r="AP49" i="26"/>
  <c r="AZ47" i="26"/>
  <c r="AZ44" i="26"/>
  <c r="AZ11" i="26"/>
  <c r="AZ18" i="26" s="1"/>
  <c r="AP81" i="26"/>
  <c r="AP55" i="26"/>
  <c r="AP82" i="26"/>
  <c r="AP74" i="26"/>
  <c r="AP109" i="26"/>
  <c r="AR17" i="52"/>
  <c r="AP44" i="26"/>
  <c r="AP11" i="26"/>
  <c r="AP17" i="26" s="1"/>
  <c r="AR83" i="28"/>
  <c r="BB83" i="28" s="1"/>
  <c r="BB84" i="28" s="1"/>
  <c r="AQ26" i="28"/>
  <c r="AR375" i="28"/>
  <c r="AR377" i="28"/>
  <c r="AR51" i="28"/>
  <c r="BB51" i="28" s="1"/>
  <c r="AR60" i="28"/>
  <c r="BB60" i="28" s="1"/>
  <c r="AR300" i="28"/>
  <c r="BB300" i="28" s="1"/>
  <c r="BB383" i="28" s="1"/>
  <c r="AR236" i="28"/>
  <c r="AQ19" i="28"/>
  <c r="BA19" i="28" s="1"/>
  <c r="AR373" i="28"/>
  <c r="AR53" i="28"/>
  <c r="BB53" i="28" s="1"/>
  <c r="AQ12" i="28"/>
  <c r="BA12" i="28" s="1"/>
  <c r="AR33" i="28"/>
  <c r="BB33" i="28" s="1"/>
  <c r="BB385" i="28" s="1"/>
  <c r="AR52" i="28"/>
  <c r="BB52" i="28" s="1"/>
  <c r="AR58" i="28"/>
  <c r="BB58" i="28" s="1"/>
  <c r="AR381" i="28"/>
  <c r="AR376" i="28"/>
  <c r="AR343" i="28"/>
  <c r="BB343" i="28" s="1"/>
  <c r="BB393" i="28" s="1"/>
  <c r="AR360" i="28"/>
  <c r="BB360" i="28" s="1"/>
  <c r="BB392" i="28" s="1"/>
  <c r="AR59" i="28"/>
  <c r="BB59" i="28" s="1"/>
  <c r="AQ17" i="52"/>
  <c r="AR12" i="22"/>
  <c r="AP56" i="26"/>
  <c r="AZ56" i="26" s="1"/>
  <c r="AP50" i="26"/>
  <c r="AQ55" i="26"/>
  <c r="AQ12" i="26"/>
  <c r="BA6" i="26" s="1"/>
  <c r="AQ18" i="26"/>
  <c r="AQ50" i="26"/>
  <c r="BA46" i="26" s="1"/>
  <c r="BB375" i="28" l="1"/>
  <c r="AR374" i="28"/>
  <c r="AR54" i="28"/>
  <c r="BB54" i="28" s="1"/>
  <c r="BB32" i="28"/>
  <c r="BB382" i="28"/>
  <c r="AR370" i="28"/>
  <c r="BB236" i="28"/>
  <c r="BB380" i="28"/>
  <c r="AQ300" i="28"/>
  <c r="BA300" i="28" s="1"/>
  <c r="BA26" i="28"/>
  <c r="AZ82" i="26"/>
  <c r="AZ81" i="26"/>
  <c r="AP89" i="26"/>
  <c r="AZ84" i="26"/>
  <c r="AZ49" i="26"/>
  <c r="AZ17" i="26"/>
  <c r="AZ12" i="26"/>
  <c r="AQ60" i="28"/>
  <c r="AP12" i="26"/>
  <c r="AP18" i="26"/>
  <c r="AR84" i="28"/>
  <c r="AR382" i="28"/>
  <c r="AQ59" i="28"/>
  <c r="AQ236" i="28"/>
  <c r="AR383" i="28"/>
  <c r="AR371" i="28"/>
  <c r="AR379" i="28"/>
  <c r="AR378" i="28"/>
  <c r="AR55" i="28"/>
  <c r="BB55" i="28" s="1"/>
  <c r="AR393" i="28"/>
  <c r="AR361" i="28"/>
  <c r="AR385" i="28"/>
  <c r="AR61" i="28"/>
  <c r="BB61" i="28" s="1"/>
  <c r="AQ58" i="28"/>
  <c r="BA58" i="28" s="1"/>
  <c r="AQ186" i="28"/>
  <c r="BA186" i="28" s="1"/>
  <c r="BA375" i="28" s="1"/>
  <c r="AR392" i="28"/>
  <c r="AQ383" i="28" l="1"/>
  <c r="AR387" i="28"/>
  <c r="BB361" i="28"/>
  <c r="BB379" i="28"/>
  <c r="BB370" i="28"/>
  <c r="BB378" i="28"/>
  <c r="BB371" i="28"/>
  <c r="AQ73" i="28"/>
  <c r="BA73" i="28" s="1"/>
  <c r="BA382" i="28" s="1"/>
  <c r="BA60" i="28"/>
  <c r="AQ379" i="28"/>
  <c r="BA236" i="28"/>
  <c r="AQ69" i="28"/>
  <c r="BA69" i="28" s="1"/>
  <c r="BA59" i="28"/>
  <c r="BB56" i="28"/>
  <c r="BB390" i="28"/>
  <c r="BA383" i="28"/>
  <c r="AZ89" i="26"/>
  <c r="AZ50" i="26"/>
  <c r="AZ55" i="26"/>
  <c r="AR62" i="28"/>
  <c r="BB62" i="28" s="1"/>
  <c r="AQ371" i="28"/>
  <c r="AR56" i="28"/>
  <c r="AQ375" i="28"/>
  <c r="AQ65" i="28"/>
  <c r="BA65" i="28" s="1"/>
  <c r="AR364" i="28"/>
  <c r="AR365" i="28"/>
  <c r="AR386" i="28"/>
  <c r="AQ377" i="28" l="1"/>
  <c r="AQ378" i="28"/>
  <c r="BB391" i="28"/>
  <c r="AQ382" i="28"/>
  <c r="AQ381" i="28"/>
  <c r="BB386" i="28"/>
  <c r="BB365" i="28"/>
  <c r="BB387" i="28"/>
  <c r="BB364" i="28"/>
  <c r="BA381" i="28"/>
  <c r="BA374" i="28"/>
  <c r="BA373" i="28"/>
  <c r="BA377" i="28"/>
  <c r="BA378" i="28"/>
  <c r="BA370" i="28"/>
  <c r="BA371" i="28"/>
  <c r="BA379" i="28"/>
  <c r="AQ370" i="28"/>
  <c r="AQ374" i="28"/>
  <c r="AQ373" i="28"/>
  <c r="AP113" i="17" l="1"/>
  <c r="AQ85" i="17"/>
  <c r="AP85" i="17"/>
  <c r="AQ84" i="17"/>
  <c r="AP84" i="17"/>
  <c r="AQ83" i="17"/>
  <c r="AP83" i="17"/>
  <c r="AQ82" i="17"/>
  <c r="AP82" i="17"/>
  <c r="AQ81" i="17"/>
  <c r="AP81" i="17"/>
  <c r="AQ77" i="17"/>
  <c r="AP77" i="17"/>
  <c r="AQ66" i="17"/>
  <c r="AQ68" i="17" s="1"/>
  <c r="AP66" i="17"/>
  <c r="AP68" i="17" s="1"/>
  <c r="AP60" i="17"/>
  <c r="AQ58" i="17"/>
  <c r="AP57" i="17"/>
  <c r="AP56" i="17"/>
  <c r="AQ51" i="17"/>
  <c r="AQ52" i="17" s="1"/>
  <c r="AP51" i="17"/>
  <c r="AP50" i="17"/>
  <c r="AP111" i="17" s="1"/>
  <c r="AQ48" i="17"/>
  <c r="AP47" i="17"/>
  <c r="AQ46" i="17"/>
  <c r="AP45" i="17"/>
  <c r="AQ43" i="17"/>
  <c r="AQ49" i="17" s="1"/>
  <c r="AP43" i="17"/>
  <c r="AQ42" i="17"/>
  <c r="AQ40" i="17"/>
  <c r="AQ38" i="17"/>
  <c r="AQ25" i="17"/>
  <c r="AP25" i="17"/>
  <c r="AQ21" i="17"/>
  <c r="AQ15" i="17" s="1"/>
  <c r="AP20" i="17"/>
  <c r="AP18" i="17"/>
  <c r="AP17" i="17"/>
  <c r="AP15" i="17"/>
  <c r="AP29" i="17" s="1"/>
  <c r="AP14" i="17"/>
  <c r="AQ11" i="17"/>
  <c r="AQ13" i="17"/>
  <c r="AQ8" i="17"/>
  <c r="AP8" i="17"/>
  <c r="AP10" i="17" s="1"/>
  <c r="AQ53" i="17" l="1"/>
  <c r="AQ54" i="17" s="1"/>
  <c r="AP21" i="17"/>
  <c r="AP58" i="17"/>
  <c r="AP59" i="17" s="1"/>
  <c r="AP115" i="17"/>
  <c r="AP54" i="17"/>
  <c r="AP49" i="17"/>
  <c r="AP110" i="17" s="1"/>
  <c r="AQ44" i="17"/>
  <c r="AP33" i="17"/>
  <c r="AP30" i="17"/>
  <c r="AP31" i="17"/>
  <c r="AP32" i="17"/>
  <c r="AQ32" i="17"/>
  <c r="AQ33" i="17"/>
  <c r="AQ30" i="17"/>
  <c r="AQ31" i="17"/>
  <c r="AQ29" i="17"/>
  <c r="AQ50" i="17"/>
  <c r="AQ111" i="17" s="1"/>
  <c r="AQ61" i="17"/>
  <c r="AQ110" i="17"/>
  <c r="AP112" i="17"/>
  <c r="AQ12" i="17"/>
  <c r="AQ112" i="17"/>
  <c r="AQ10" i="17"/>
  <c r="AQ59" i="17"/>
  <c r="AP61" i="17" l="1"/>
  <c r="AP53" i="17"/>
  <c r="AQ114" i="17"/>
  <c r="AQ113" i="17"/>
  <c r="AQ115" i="17" s="1"/>
  <c r="AQ14" i="17"/>
  <c r="AP114" i="17"/>
  <c r="AP39" i="27"/>
  <c r="AQ36" i="27"/>
  <c r="AP33" i="27"/>
  <c r="AQ26" i="27"/>
  <c r="AP24" i="27"/>
  <c r="AQ30" i="15"/>
  <c r="AQ29" i="15"/>
  <c r="AQ28" i="15"/>
  <c r="AQ24" i="15"/>
  <c r="AQ23" i="15"/>
  <c r="AQ22" i="15"/>
  <c r="AQ21" i="15"/>
  <c r="AQ20" i="15"/>
  <c r="BA20" i="15" s="1"/>
  <c r="AP18" i="15"/>
  <c r="AQ17" i="15"/>
  <c r="AP17" i="15"/>
  <c r="AQ14" i="15"/>
  <c r="BA14" i="15" s="1"/>
  <c r="AP11" i="15"/>
  <c r="AP12" i="15" s="1"/>
  <c r="AQ10" i="15"/>
  <c r="AQ9" i="15"/>
  <c r="AP9" i="15"/>
  <c r="AQ8" i="15"/>
  <c r="AP8" i="15"/>
  <c r="AQ7" i="15"/>
  <c r="AQ6" i="15"/>
  <c r="AQ5" i="15"/>
  <c r="BA28" i="15" l="1"/>
  <c r="AP14" i="15"/>
  <c r="AQ31" i="15"/>
  <c r="AQ24" i="27"/>
  <c r="AQ33" i="27"/>
  <c r="AQ39" i="27"/>
  <c r="AQ34" i="15" l="1"/>
  <c r="AQ15" i="15" s="1"/>
  <c r="AQ16" i="15" s="1"/>
  <c r="BA31" i="15"/>
  <c r="AP15" i="15"/>
  <c r="AZ15" i="15" s="1"/>
  <c r="AZ14" i="15"/>
  <c r="BC42" i="50"/>
  <c r="BC43" i="50"/>
  <c r="BC44" i="50"/>
  <c r="BC45" i="50"/>
  <c r="BC46" i="50"/>
  <c r="AS34" i="50"/>
  <c r="BC34" i="50" s="1"/>
  <c r="AS35" i="50"/>
  <c r="BC35" i="50" s="1"/>
  <c r="AS36" i="50"/>
  <c r="BC36" i="50" s="1"/>
  <c r="AS37" i="50"/>
  <c r="BC37" i="50" s="1"/>
  <c r="AS38" i="50"/>
  <c r="BC38" i="50" s="1"/>
  <c r="AS39" i="50"/>
  <c r="BC39" i="50" s="1"/>
  <c r="AS33" i="50"/>
  <c r="AS9" i="61"/>
  <c r="BC9" i="61" s="1"/>
  <c r="AS10" i="61"/>
  <c r="BC10" i="61" s="1"/>
  <c r="AS12" i="61"/>
  <c r="BC12" i="61" s="1"/>
  <c r="AS13" i="61"/>
  <c r="BC13" i="61" s="1"/>
  <c r="AS14" i="61"/>
  <c r="BC14" i="61" s="1"/>
  <c r="AS15" i="61"/>
  <c r="BC15" i="61" s="1"/>
  <c r="AS4" i="50"/>
  <c r="AT89" i="50"/>
  <c r="AT90" i="50" s="1"/>
  <c r="AR89" i="50"/>
  <c r="AR90" i="50" s="1"/>
  <c r="AS88" i="50"/>
  <c r="AU88" i="50" s="1"/>
  <c r="BC88" i="50" s="1"/>
  <c r="AS87" i="50"/>
  <c r="AU87" i="50" s="1"/>
  <c r="BC87" i="50" s="1"/>
  <c r="AO41" i="72"/>
  <c r="AO33" i="72"/>
  <c r="AO23" i="72"/>
  <c r="AO17" i="72"/>
  <c r="CG7" i="71"/>
  <c r="CG8" i="71"/>
  <c r="CG9" i="71"/>
  <c r="CG10" i="71"/>
  <c r="CG11" i="71"/>
  <c r="CG12" i="71"/>
  <c r="CG13" i="71"/>
  <c r="CG14" i="71"/>
  <c r="CG15" i="71"/>
  <c r="CG16" i="71"/>
  <c r="CG17" i="71"/>
  <c r="CG18" i="71"/>
  <c r="CG19" i="71"/>
  <c r="CG20" i="71"/>
  <c r="CG21" i="71"/>
  <c r="CG22" i="71"/>
  <c r="CG23" i="71"/>
  <c r="CG24" i="71"/>
  <c r="CG25" i="71"/>
  <c r="CG26" i="71"/>
  <c r="CG27" i="71"/>
  <c r="CG28" i="71"/>
  <c r="CG31" i="71"/>
  <c r="CG32" i="71"/>
  <c r="CG33" i="71"/>
  <c r="CG34" i="71"/>
  <c r="CG35" i="71"/>
  <c r="CG36" i="71"/>
  <c r="CG37" i="71"/>
  <c r="CG38" i="71"/>
  <c r="CG39" i="71"/>
  <c r="CG40" i="71"/>
  <c r="CG41" i="71"/>
  <c r="CG42" i="71"/>
  <c r="CG43" i="71"/>
  <c r="CG44" i="71"/>
  <c r="CG45" i="71"/>
  <c r="CG48" i="71"/>
  <c r="CG49" i="71"/>
  <c r="CG50" i="71"/>
  <c r="CG51" i="71"/>
  <c r="CG52" i="71"/>
  <c r="CG53" i="71"/>
  <c r="CG54" i="71"/>
  <c r="CG55" i="71"/>
  <c r="CG56" i="71"/>
  <c r="CG57" i="71"/>
  <c r="CG58" i="71"/>
  <c r="CG59" i="71"/>
  <c r="CG60" i="71"/>
  <c r="CG61" i="71"/>
  <c r="CG62" i="71"/>
  <c r="CG63" i="71"/>
  <c r="CG64" i="71"/>
  <c r="CG65" i="71"/>
  <c r="CG66" i="71"/>
  <c r="CG67" i="71"/>
  <c r="CG68" i="71"/>
  <c r="CG69" i="71"/>
  <c r="CG70" i="71"/>
  <c r="CG71" i="71"/>
  <c r="CG72" i="71"/>
  <c r="B62" i="9"/>
  <c r="B79" i="9"/>
  <c r="D50" i="59"/>
  <c r="D78" i="9"/>
  <c r="D75" i="9"/>
  <c r="D72" i="9"/>
  <c r="D73" i="9"/>
  <c r="BA34" i="15" l="1"/>
  <c r="BC41" i="50"/>
  <c r="AS40" i="50"/>
  <c r="AS103" i="50" s="1"/>
  <c r="AS104" i="50" s="1"/>
  <c r="BC33" i="50"/>
  <c r="BC40" i="50" s="1"/>
  <c r="BC103" i="50" s="1"/>
  <c r="BC104" i="50" s="1"/>
  <c r="AS32" i="50"/>
  <c r="AS94" i="50" s="1"/>
  <c r="BC4" i="50"/>
  <c r="BC32" i="50" s="1"/>
  <c r="BA15" i="15"/>
  <c r="AU72" i="9"/>
  <c r="AU55" i="9" s="1"/>
  <c r="AY72" i="9"/>
  <c r="AU75" i="9"/>
  <c r="AU77" i="9" s="1"/>
  <c r="AY75" i="9"/>
  <c r="AU78" i="9"/>
  <c r="AU61" i="9" s="1"/>
  <c r="AY78" i="9"/>
  <c r="AY61" i="9" s="1"/>
  <c r="AU73" i="9"/>
  <c r="AU56" i="9" s="1"/>
  <c r="AY73" i="9"/>
  <c r="AY56" i="9" s="1"/>
  <c r="AS16" i="61"/>
  <c r="BC16" i="61" s="1"/>
  <c r="AS11" i="61"/>
  <c r="BC11" i="61" s="1"/>
  <c r="BC17" i="61" s="1"/>
  <c r="AR128" i="10"/>
  <c r="AR129" i="10" s="1"/>
  <c r="AO43" i="72"/>
  <c r="AR75" i="11"/>
  <c r="AR147" i="10"/>
  <c r="BC94" i="50" l="1"/>
  <c r="BB128" i="10"/>
  <c r="BB129" i="10" s="1"/>
  <c r="BC107" i="50"/>
  <c r="BC108" i="50" s="1"/>
  <c r="BC80" i="50"/>
  <c r="AS96" i="50"/>
  <c r="AS95" i="50"/>
  <c r="AS107" i="50"/>
  <c r="AS108" i="50" s="1"/>
  <c r="AS80" i="50"/>
  <c r="AU74" i="9"/>
  <c r="BA16" i="15"/>
  <c r="AU58" i="9"/>
  <c r="AU60" i="9" s="1"/>
  <c r="AY74" i="9"/>
  <c r="AY55" i="9"/>
  <c r="AY77" i="9"/>
  <c r="AY58" i="9"/>
  <c r="AU57" i="9"/>
  <c r="AS17" i="61"/>
  <c r="BC81" i="50"/>
  <c r="AS105" i="45"/>
  <c r="BC105" i="45" s="1"/>
  <c r="AS104" i="45"/>
  <c r="AS102" i="45"/>
  <c r="AS96" i="45"/>
  <c r="AS97" i="45" s="1"/>
  <c r="AS91" i="45"/>
  <c r="BC91" i="45" s="1"/>
  <c r="BB91" i="45"/>
  <c r="AS90" i="45"/>
  <c r="BC90" i="45" s="1"/>
  <c r="AR90" i="45"/>
  <c r="BB90" i="45" s="1"/>
  <c r="AS89" i="45"/>
  <c r="BC89" i="45" s="1"/>
  <c r="AR89" i="45"/>
  <c r="BB89" i="45" s="1"/>
  <c r="AS87" i="45"/>
  <c r="AR86" i="45"/>
  <c r="BB86" i="45" s="1"/>
  <c r="AS85" i="45"/>
  <c r="AR85" i="45"/>
  <c r="AS83" i="45"/>
  <c r="AR83" i="45"/>
  <c r="AS80" i="45"/>
  <c r="AR80" i="45"/>
  <c r="AS74" i="45"/>
  <c r="AS98" i="45" s="1"/>
  <c r="AS73" i="45"/>
  <c r="AS112" i="45" s="1"/>
  <c r="AR73" i="45"/>
  <c r="AR76" i="45" s="1"/>
  <c r="AS72" i="45"/>
  <c r="AS106" i="45" s="1"/>
  <c r="AR72" i="45"/>
  <c r="AR83" i="11"/>
  <c r="AR81" i="11"/>
  <c r="AR82" i="11"/>
  <c r="AR70" i="11"/>
  <c r="BB70" i="11" s="1"/>
  <c r="AQ70" i="11"/>
  <c r="BA70" i="11" s="1"/>
  <c r="AR69" i="11"/>
  <c r="BB69" i="11" s="1"/>
  <c r="AQ69" i="11"/>
  <c r="BA69" i="11" s="1"/>
  <c r="AR68" i="11"/>
  <c r="BB68" i="11" s="1"/>
  <c r="AQ68" i="11"/>
  <c r="BA68" i="11" s="1"/>
  <c r="AR66" i="11"/>
  <c r="AR67" i="11" s="1"/>
  <c r="AQ65" i="11"/>
  <c r="AR64" i="11"/>
  <c r="AQ64" i="11"/>
  <c r="AR62" i="11"/>
  <c r="AQ62" i="11"/>
  <c r="AR59" i="11"/>
  <c r="AR60" i="11" s="1"/>
  <c r="AQ59" i="11"/>
  <c r="AR55" i="11"/>
  <c r="AR53" i="11"/>
  <c r="AR85" i="11" s="1"/>
  <c r="AR52" i="11"/>
  <c r="AR54" i="11" s="1"/>
  <c r="AQ52" i="11"/>
  <c r="AQ90" i="11" s="1"/>
  <c r="AR51" i="11"/>
  <c r="AR84" i="11" s="1"/>
  <c r="AR155" i="10"/>
  <c r="AR153" i="10"/>
  <c r="AR154" i="10"/>
  <c r="AR142" i="10"/>
  <c r="BB142" i="10" s="1"/>
  <c r="BA142" i="10"/>
  <c r="AR141" i="10"/>
  <c r="BB141" i="10" s="1"/>
  <c r="AQ141" i="10"/>
  <c r="BA141" i="10" s="1"/>
  <c r="AR140" i="10"/>
  <c r="BB140" i="10" s="1"/>
  <c r="AQ140" i="10"/>
  <c r="BA140" i="10" s="1"/>
  <c r="AR138" i="10"/>
  <c r="AQ137" i="10"/>
  <c r="BA137" i="10" s="1"/>
  <c r="AR136" i="10"/>
  <c r="AQ136" i="10"/>
  <c r="AR134" i="10"/>
  <c r="AQ134" i="10"/>
  <c r="AR131" i="10"/>
  <c r="AQ131" i="10"/>
  <c r="AR157" i="10"/>
  <c r="AR166" i="10"/>
  <c r="AQ132" i="10" l="1"/>
  <c r="BA131" i="10"/>
  <c r="BA132" i="10" s="1"/>
  <c r="AR132" i="10"/>
  <c r="BB131" i="10"/>
  <c r="BB132" i="10" s="1"/>
  <c r="AU62" i="9"/>
  <c r="BC95" i="50"/>
  <c r="BC96" i="50"/>
  <c r="AY60" i="9"/>
  <c r="AR81" i="45"/>
  <c r="BB80" i="45"/>
  <c r="AS81" i="45"/>
  <c r="BC80" i="45"/>
  <c r="AS88" i="45"/>
  <c r="BC87" i="45"/>
  <c r="BC88" i="45" s="1"/>
  <c r="BC110" i="45"/>
  <c r="AR139" i="10"/>
  <c r="BB138" i="10"/>
  <c r="BB139" i="10" s="1"/>
  <c r="AY57" i="9"/>
  <c r="AR92" i="45"/>
  <c r="AS103" i="45"/>
  <c r="AS110" i="45" s="1"/>
  <c r="AR75" i="45"/>
  <c r="AR112" i="45"/>
  <c r="AR56" i="11"/>
  <c r="AR77" i="11"/>
  <c r="AS107" i="45"/>
  <c r="AS108" i="45" s="1"/>
  <c r="AS75" i="45"/>
  <c r="AS92" i="45"/>
  <c r="AS76" i="45"/>
  <c r="AS77" i="45" s="1"/>
  <c r="AR86" i="11"/>
  <c r="AR71" i="11"/>
  <c r="AR90" i="11"/>
  <c r="AQ60" i="11"/>
  <c r="AR88" i="11"/>
  <c r="AQ54" i="11"/>
  <c r="AQ51" i="11"/>
  <c r="AR76" i="11"/>
  <c r="AQ71" i="11"/>
  <c r="AR149" i="10"/>
  <c r="AR143" i="10"/>
  <c r="AR148" i="10"/>
  <c r="AQ143" i="10"/>
  <c r="AY62" i="9" l="1"/>
  <c r="BB81" i="45"/>
  <c r="BC81" i="45"/>
  <c r="AR162" i="10"/>
  <c r="AR156" i="10"/>
  <c r="AR158" i="10" l="1"/>
  <c r="AR160" i="10"/>
  <c r="AV56" i="38"/>
  <c r="AV57" i="38"/>
  <c r="AV58" i="38"/>
  <c r="AV59" i="38"/>
  <c r="AV96" i="38"/>
  <c r="AV95" i="38"/>
  <c r="AV94" i="38"/>
  <c r="AV93" i="38"/>
  <c r="AU92" i="38"/>
  <c r="AV91" i="38"/>
  <c r="AU90" i="38"/>
  <c r="AV88" i="38"/>
  <c r="AV87" i="38"/>
  <c r="AV86" i="38"/>
  <c r="AV85" i="38"/>
  <c r="AU84" i="38"/>
  <c r="AV82" i="38"/>
  <c r="AV81" i="38"/>
  <c r="AV80" i="38"/>
  <c r="AV79" i="38"/>
  <c r="AV78" i="38"/>
  <c r="AV77" i="38"/>
  <c r="AV76" i="38"/>
  <c r="AV75" i="38"/>
  <c r="AV74" i="38"/>
  <c r="AV73" i="38"/>
  <c r="AV72" i="38"/>
  <c r="AV71" i="38"/>
  <c r="AV70" i="38"/>
  <c r="AV69" i="38"/>
  <c r="AU68" i="38"/>
  <c r="AV64" i="38"/>
  <c r="AV63" i="38"/>
  <c r="AU62" i="38"/>
  <c r="AU55" i="38"/>
  <c r="AU53" i="38"/>
  <c r="AV52" i="38"/>
  <c r="AU52" i="38"/>
  <c r="AU47" i="38"/>
  <c r="AU46" i="38"/>
  <c r="AU45" i="38"/>
  <c r="AU44" i="38"/>
  <c r="AV43" i="38"/>
  <c r="AU42" i="38"/>
  <c r="AU41" i="38" s="1"/>
  <c r="AV41" i="38"/>
  <c r="BF41" i="38" s="1"/>
  <c r="BF90" i="38" s="1"/>
  <c r="AU39" i="38"/>
  <c r="AU38" i="38"/>
  <c r="AU37" i="38"/>
  <c r="AU36" i="38"/>
  <c r="AV35" i="38"/>
  <c r="AU33" i="38"/>
  <c r="BE33" i="38" s="1"/>
  <c r="AU32" i="38"/>
  <c r="BE32" i="38" s="1"/>
  <c r="AU31" i="38"/>
  <c r="BE31" i="38" s="1"/>
  <c r="AU30" i="38"/>
  <c r="BE30" i="38" s="1"/>
  <c r="AU29" i="38"/>
  <c r="BE29" i="38" s="1"/>
  <c r="AU28" i="38"/>
  <c r="BE28" i="38" s="1"/>
  <c r="AU27" i="38"/>
  <c r="BE27" i="38" s="1"/>
  <c r="AU26" i="38"/>
  <c r="BE26" i="38" s="1"/>
  <c r="AU25" i="38"/>
  <c r="BE25" i="38" s="1"/>
  <c r="AU24" i="38"/>
  <c r="BE24" i="38" s="1"/>
  <c r="AU23" i="38"/>
  <c r="BE23" i="38" s="1"/>
  <c r="AU22" i="38"/>
  <c r="BE22" i="38" s="1"/>
  <c r="BE71" i="38" s="1"/>
  <c r="AU21" i="38"/>
  <c r="BE21" i="38" s="1"/>
  <c r="AU20" i="38"/>
  <c r="BE20" i="38" s="1"/>
  <c r="AV19" i="38"/>
  <c r="BF19" i="38" s="1"/>
  <c r="BF68" i="38" s="1"/>
  <c r="AU15" i="38"/>
  <c r="AU14" i="38"/>
  <c r="AV13" i="38"/>
  <c r="BF13" i="38" s="1"/>
  <c r="BF62" i="38" s="1"/>
  <c r="AU11" i="38"/>
  <c r="BE11" i="38" s="1"/>
  <c r="BE60" i="38" s="1"/>
  <c r="AU10" i="38"/>
  <c r="AU9" i="38"/>
  <c r="AU8" i="38"/>
  <c r="AU7" i="38"/>
  <c r="AV6" i="38"/>
  <c r="BF6" i="38" s="1"/>
  <c r="BF55" i="38" s="1"/>
  <c r="BE82" i="38" l="1"/>
  <c r="BE77" i="38"/>
  <c r="BE76" i="38"/>
  <c r="BE78" i="38"/>
  <c r="BE70" i="38"/>
  <c r="BE72" i="38"/>
  <c r="BE73" i="38"/>
  <c r="BE79" i="38"/>
  <c r="BE74" i="38"/>
  <c r="BE80" i="38"/>
  <c r="BE69" i="38"/>
  <c r="BE75" i="38"/>
  <c r="BE81" i="38"/>
  <c r="AV92" i="38"/>
  <c r="BF43" i="38"/>
  <c r="BF92" i="38" s="1"/>
  <c r="AV84" i="38"/>
  <c r="BF35" i="38"/>
  <c r="BF84" i="38" s="1"/>
  <c r="AQ138" i="10"/>
  <c r="AR87" i="45"/>
  <c r="AV68" i="38"/>
  <c r="AQ66" i="11"/>
  <c r="AQ67" i="11" s="1"/>
  <c r="AV62" i="38"/>
  <c r="AU89" i="38"/>
  <c r="AU65" i="38"/>
  <c r="AV90" i="38"/>
  <c r="AV16" i="38"/>
  <c r="AU35" i="38"/>
  <c r="AU67" i="38"/>
  <c r="AU6" i="38"/>
  <c r="BE6" i="38" s="1"/>
  <c r="AU19" i="38"/>
  <c r="BE19" i="38" s="1"/>
  <c r="AU43" i="38"/>
  <c r="AU13" i="38"/>
  <c r="AV18" i="38"/>
  <c r="BF18" i="38" s="1"/>
  <c r="BF67" i="38" s="1"/>
  <c r="AV40" i="38"/>
  <c r="BF40" i="38" s="1"/>
  <c r="BF89" i="38" s="1"/>
  <c r="AV55" i="38"/>
  <c r="AR88" i="45" l="1"/>
  <c r="BB87" i="45"/>
  <c r="BB88" i="45" s="1"/>
  <c r="AQ139" i="10"/>
  <c r="BA138" i="10"/>
  <c r="BA139" i="10" s="1"/>
  <c r="BE55" i="38"/>
  <c r="BE68" i="38"/>
  <c r="AV65" i="38"/>
  <c r="BF16" i="38"/>
  <c r="BF65" i="38" s="1"/>
  <c r="AU66" i="38"/>
  <c r="AU18" i="38"/>
  <c r="BE18" i="38" s="1"/>
  <c r="BE67" i="38" s="1"/>
  <c r="AU16" i="38"/>
  <c r="BE16" i="38" s="1"/>
  <c r="BE65" i="38" s="1"/>
  <c r="AU40" i="38"/>
  <c r="AV67" i="38"/>
  <c r="AV17" i="38"/>
  <c r="BF17" i="38" s="1"/>
  <c r="BF66" i="38" s="1"/>
  <c r="AV89" i="38"/>
  <c r="AU17" i="38" l="1"/>
  <c r="BE17" i="38" s="1"/>
  <c r="BE66" i="38" s="1"/>
  <c r="AV66" i="38"/>
  <c r="AT159" i="9" l="1"/>
  <c r="AT157" i="9"/>
  <c r="AT87" i="8" l="1"/>
  <c r="AQ104" i="9"/>
  <c r="AQ102" i="9"/>
  <c r="AQ101" i="9"/>
  <c r="BA101" i="9" s="1"/>
  <c r="AR99" i="9"/>
  <c r="AQ99" i="9"/>
  <c r="AR98" i="9"/>
  <c r="BB98" i="9" s="1"/>
  <c r="AQ98" i="9"/>
  <c r="BA98" i="9" s="1"/>
  <c r="AR97" i="9"/>
  <c r="BB97" i="9" s="1"/>
  <c r="AQ97" i="9"/>
  <c r="BA97" i="9" s="1"/>
  <c r="AR93" i="9"/>
  <c r="AQ78" i="9"/>
  <c r="AQ76" i="9"/>
  <c r="AQ75" i="9"/>
  <c r="AQ73" i="9"/>
  <c r="AQ72" i="9"/>
  <c r="AR60" i="9"/>
  <c r="BB60" i="9" s="1"/>
  <c r="AR57" i="9"/>
  <c r="BB57" i="9" s="1"/>
  <c r="BB74" i="9" s="1"/>
  <c r="AQ53" i="9"/>
  <c r="AQ52" i="9"/>
  <c r="AQ51" i="9"/>
  <c r="BA51" i="9" s="1"/>
  <c r="AQ47" i="9"/>
  <c r="BA47" i="9" s="1"/>
  <c r="AR46" i="9"/>
  <c r="AR36" i="9"/>
  <c r="AS117" i="50" s="1"/>
  <c r="AS118" i="50" s="1"/>
  <c r="AR35" i="9"/>
  <c r="AR34" i="9"/>
  <c r="AR31" i="9"/>
  <c r="AR25" i="9"/>
  <c r="AQ24" i="9"/>
  <c r="BA24" i="9" s="1"/>
  <c r="AQ22" i="9"/>
  <c r="AR19" i="9"/>
  <c r="BB19" i="9" s="1"/>
  <c r="AR10" i="9"/>
  <c r="AR5" i="9"/>
  <c r="AQ5" i="9"/>
  <c r="AQ12" i="8"/>
  <c r="AR129" i="8"/>
  <c r="AR131" i="8" s="1"/>
  <c r="AR88" i="8"/>
  <c r="BB88" i="8" s="1"/>
  <c r="AR85" i="8"/>
  <c r="AR86" i="8" s="1"/>
  <c r="AQ85" i="8"/>
  <c r="AR83" i="8"/>
  <c r="AQ83" i="8"/>
  <c r="AR82" i="8"/>
  <c r="AQ82" i="8"/>
  <c r="AQ81" i="8"/>
  <c r="AR80" i="8"/>
  <c r="AQ78" i="8"/>
  <c r="AQ77" i="8"/>
  <c r="AR76" i="8"/>
  <c r="AQ76" i="8"/>
  <c r="AQ75" i="8"/>
  <c r="AQ73" i="8"/>
  <c r="AQ72" i="8"/>
  <c r="AQ71" i="8"/>
  <c r="AQ70" i="8"/>
  <c r="AQ69" i="8"/>
  <c r="AR66" i="8"/>
  <c r="AR64" i="8"/>
  <c r="AR62" i="8"/>
  <c r="AR59" i="8"/>
  <c r="AR56" i="8"/>
  <c r="AQ50" i="8"/>
  <c r="AR48" i="8"/>
  <c r="AR49" i="8" s="1"/>
  <c r="AQ48" i="8"/>
  <c r="AR46" i="8"/>
  <c r="AR45" i="8"/>
  <c r="AQ45" i="8"/>
  <c r="AR44" i="8"/>
  <c r="AQ44" i="8"/>
  <c r="AR43" i="8"/>
  <c r="AQ43" i="8"/>
  <c r="AR42" i="8"/>
  <c r="AQ42" i="8"/>
  <c r="AR40" i="8"/>
  <c r="AQ40" i="8"/>
  <c r="AR39" i="8"/>
  <c r="AQ39" i="8"/>
  <c r="AR38" i="8"/>
  <c r="AR41" i="8" s="1"/>
  <c r="AQ38" i="8"/>
  <c r="AQ41" i="8" s="1"/>
  <c r="AR25" i="8"/>
  <c r="AR20" i="8"/>
  <c r="AR16" i="8"/>
  <c r="AQ16" i="8"/>
  <c r="AR14" i="8"/>
  <c r="AQ14" i="8"/>
  <c r="AR13" i="8"/>
  <c r="AQ13" i="8"/>
  <c r="AR12" i="8"/>
  <c r="AQ6" i="8"/>
  <c r="AQ29" i="8" s="1"/>
  <c r="AS75" i="8"/>
  <c r="AS71" i="8"/>
  <c r="AS50" i="8"/>
  <c r="BB77" i="9" l="1"/>
  <c r="BA53" i="9"/>
  <c r="AQ25" i="9"/>
  <c r="AQ88" i="9" s="1"/>
  <c r="BA22" i="9"/>
  <c r="BA102" i="9"/>
  <c r="AQ70" i="9"/>
  <c r="BA70" i="9" s="1"/>
  <c r="BA104" i="9"/>
  <c r="BB90" i="9"/>
  <c r="BB91" i="9" s="1"/>
  <c r="BB102" i="9"/>
  <c r="BB104" i="9"/>
  <c r="AR63" i="8"/>
  <c r="BB62" i="8"/>
  <c r="BB53" i="8"/>
  <c r="AR65" i="8"/>
  <c r="BB64" i="8"/>
  <c r="AR57" i="8"/>
  <c r="BB57" i="8" s="1"/>
  <c r="BB56" i="8"/>
  <c r="BB52" i="8"/>
  <c r="AR67" i="8"/>
  <c r="AR35" i="8" s="1"/>
  <c r="BB35" i="8" s="1"/>
  <c r="BB66" i="8"/>
  <c r="BB55" i="8"/>
  <c r="BA100" i="9"/>
  <c r="BB100" i="9"/>
  <c r="AQ7" i="9"/>
  <c r="AQ86" i="8"/>
  <c r="AQ15" i="8"/>
  <c r="AR96" i="9"/>
  <c r="AR33" i="22"/>
  <c r="AQ125" i="26"/>
  <c r="AR90" i="9"/>
  <c r="AQ68" i="9"/>
  <c r="BA68" i="9" s="1"/>
  <c r="AQ56" i="9"/>
  <c r="BA56" i="9" s="1"/>
  <c r="AQ95" i="9"/>
  <c r="BA95" i="9" s="1"/>
  <c r="AQ79" i="8"/>
  <c r="AQ63" i="9"/>
  <c r="BA63" i="9" s="1"/>
  <c r="AQ69" i="9"/>
  <c r="BA69" i="9" s="1"/>
  <c r="AQ100" i="9"/>
  <c r="AQ30" i="8"/>
  <c r="AQ58" i="9"/>
  <c r="BA58" i="9" s="1"/>
  <c r="AQ64" i="9"/>
  <c r="BA64" i="9" s="1"/>
  <c r="AQ5" i="26"/>
  <c r="AQ92" i="9"/>
  <c r="BA92" i="9" s="1"/>
  <c r="AQ33" i="22"/>
  <c r="AP125" i="26"/>
  <c r="AR48" i="9"/>
  <c r="BB48" i="9" s="1"/>
  <c r="AQ59" i="9"/>
  <c r="BA59" i="9" s="1"/>
  <c r="AQ67" i="9"/>
  <c r="BA67" i="9" s="1"/>
  <c r="AQ55" i="9"/>
  <c r="BA55" i="9" s="1"/>
  <c r="AQ61" i="9"/>
  <c r="BA61" i="9" s="1"/>
  <c r="AR94" i="9"/>
  <c r="AQ18" i="15" s="1"/>
  <c r="AQ77" i="9"/>
  <c r="AR15" i="8"/>
  <c r="AR60" i="8"/>
  <c r="BB60" i="8" s="1"/>
  <c r="AR100" i="9"/>
  <c r="AR89" i="9"/>
  <c r="AR62" i="9"/>
  <c r="BB62" i="9" s="1"/>
  <c r="AR37" i="9"/>
  <c r="AR47" i="9"/>
  <c r="AR14" i="9"/>
  <c r="BB14" i="9" s="1"/>
  <c r="AQ65" i="9"/>
  <c r="BA65" i="9" s="1"/>
  <c r="AQ27" i="9"/>
  <c r="BA27" i="9" s="1"/>
  <c r="AQ66" i="9"/>
  <c r="BA66" i="9" s="1"/>
  <c r="AQ74" i="9"/>
  <c r="AQ65" i="8"/>
  <c r="AQ36" i="8" s="1"/>
  <c r="BA36" i="8" s="1"/>
  <c r="AR36" i="8"/>
  <c r="BB36" i="8" s="1"/>
  <c r="AR71" i="8"/>
  <c r="AQ26" i="8"/>
  <c r="AR33" i="8"/>
  <c r="BB33" i="8" s="1"/>
  <c r="AQ27" i="8"/>
  <c r="AR130" i="8"/>
  <c r="AQ23" i="8"/>
  <c r="AQ28" i="8"/>
  <c r="AQ49" i="8"/>
  <c r="AQ74" i="8" s="1"/>
  <c r="AQ22" i="8"/>
  <c r="AQ24" i="8"/>
  <c r="AR91" i="9" l="1"/>
  <c r="BA87" i="9"/>
  <c r="BD54" i="59" s="1"/>
  <c r="BA83" i="9"/>
  <c r="BA25" i="9"/>
  <c r="BA86" i="9"/>
  <c r="BA76" i="9"/>
  <c r="BA80" i="9"/>
  <c r="BE52" i="59"/>
  <c r="BA75" i="9"/>
  <c r="BA82" i="9"/>
  <c r="BD55" i="59" s="1"/>
  <c r="BA96" i="9"/>
  <c r="BA81" i="9"/>
  <c r="BA78" i="9"/>
  <c r="BA84" i="9"/>
  <c r="BA73" i="9"/>
  <c r="BA72" i="9"/>
  <c r="BB79" i="9"/>
  <c r="BA85" i="9"/>
  <c r="AR49" i="9"/>
  <c r="AR82" i="9" s="1"/>
  <c r="BB47" i="9"/>
  <c r="BA93" i="9"/>
  <c r="BA94" i="9"/>
  <c r="BD52" i="59"/>
  <c r="AR61" i="8"/>
  <c r="AR34" i="8"/>
  <c r="BB34" i="8" s="1"/>
  <c r="BB61" i="8"/>
  <c r="AR72" i="8"/>
  <c r="BB67" i="8"/>
  <c r="AR70" i="8"/>
  <c r="BB63" i="8"/>
  <c r="AQ57" i="9"/>
  <c r="BA57" i="9" s="1"/>
  <c r="BA74" i="9" s="1"/>
  <c r="AQ21" i="22"/>
  <c r="BA21" i="22" s="1"/>
  <c r="AQ7" i="22"/>
  <c r="AQ60" i="9"/>
  <c r="AR68" i="8"/>
  <c r="AR78" i="9"/>
  <c r="AR85" i="9"/>
  <c r="AR86" i="9"/>
  <c r="AR83" i="9"/>
  <c r="AR52" i="9"/>
  <c r="AR80" i="9"/>
  <c r="AR72" i="9"/>
  <c r="AR73" i="9"/>
  <c r="AR81" i="9"/>
  <c r="AR75" i="9"/>
  <c r="AR76" i="9"/>
  <c r="AQ63" i="8"/>
  <c r="AQ33" i="8" s="1"/>
  <c r="AQ25" i="8"/>
  <c r="AQ57" i="8"/>
  <c r="AQ61" i="8" s="1"/>
  <c r="AQ34" i="8" s="1"/>
  <c r="AQ129" i="8"/>
  <c r="AQ131" i="8" s="1"/>
  <c r="AQ130" i="8"/>
  <c r="AR132" i="8"/>
  <c r="AR51" i="8" s="1"/>
  <c r="AR50" i="8"/>
  <c r="AQ67" i="8"/>
  <c r="AQ35" i="8" s="1"/>
  <c r="AR69" i="8"/>
  <c r="AR84" i="9" l="1"/>
  <c r="AR87" i="9"/>
  <c r="AR53" i="9"/>
  <c r="AZ18" i="15"/>
  <c r="BD18" i="15"/>
  <c r="AQ62" i="9"/>
  <c r="BA62" i="9" s="1"/>
  <c r="BA60" i="9"/>
  <c r="BB49" i="9"/>
  <c r="BA88" i="9"/>
  <c r="BA52" i="9"/>
  <c r="BA123" i="26"/>
  <c r="BA7" i="22"/>
  <c r="BA15" i="22" s="1"/>
  <c r="AZ123" i="26"/>
  <c r="BB68" i="8"/>
  <c r="BB72" i="8"/>
  <c r="BB10" i="49"/>
  <c r="BB12" i="49" s="1"/>
  <c r="BB14" i="49" s="1"/>
  <c r="BB15" i="49" s="1"/>
  <c r="BB16" i="49" s="1"/>
  <c r="BB19" i="49" s="1"/>
  <c r="BB20" i="49" s="1"/>
  <c r="BB15" i="36" s="1"/>
  <c r="BE46" i="59" s="1"/>
  <c r="BB70" i="8"/>
  <c r="BB54" i="8"/>
  <c r="BB71" i="8" s="1"/>
  <c r="BB69" i="8"/>
  <c r="AQ22" i="22"/>
  <c r="AQ132" i="8"/>
  <c r="AQ8" i="22"/>
  <c r="AR74" i="9"/>
  <c r="AR77" i="9"/>
  <c r="BB85" i="9" l="1"/>
  <c r="BB53" i="9"/>
  <c r="BB84" i="9"/>
  <c r="BB87" i="9"/>
  <c r="BE54" i="59" s="1"/>
  <c r="BB82" i="9"/>
  <c r="BE55" i="59" s="1"/>
  <c r="BB52" i="9"/>
  <c r="BE51" i="59" s="1"/>
  <c r="BB86" i="9"/>
  <c r="BB81" i="9"/>
  <c r="BB80" i="9"/>
  <c r="BB83" i="9"/>
  <c r="BA77" i="9"/>
  <c r="BA7" i="9"/>
  <c r="BD51" i="59"/>
  <c r="BA79" i="9"/>
  <c r="AQ10" i="22"/>
  <c r="BA8" i="22"/>
  <c r="AQ24" i="22"/>
  <c r="BA22" i="22"/>
  <c r="BA23" i="22" s="1"/>
  <c r="BB73" i="8"/>
  <c r="AR79" i="9"/>
  <c r="BA9" i="22" l="1"/>
  <c r="AQ25" i="22"/>
  <c r="BA24" i="22"/>
  <c r="AQ11" i="22"/>
  <c r="BA10" i="22"/>
  <c r="AS104" i="7"/>
  <c r="AQ104" i="7"/>
  <c r="AS103" i="7"/>
  <c r="AQ103" i="7"/>
  <c r="AS102" i="7"/>
  <c r="AQ102" i="7"/>
  <c r="AS101" i="7"/>
  <c r="AQ101" i="7"/>
  <c r="AS100" i="7"/>
  <c r="AQ100" i="7"/>
  <c r="AS99" i="7"/>
  <c r="AQ99" i="7"/>
  <c r="AS98" i="7"/>
  <c r="AQ98" i="7"/>
  <c r="AS97" i="7"/>
  <c r="AQ97" i="7"/>
  <c r="AS94" i="7"/>
  <c r="AQ94" i="7"/>
  <c r="AS85" i="7"/>
  <c r="AS79" i="7"/>
  <c r="AQ79" i="7"/>
  <c r="AR78" i="7"/>
  <c r="BB78" i="7" s="1"/>
  <c r="AQ78" i="7"/>
  <c r="BA78" i="7" s="1"/>
  <c r="AR76" i="7"/>
  <c r="BB76" i="7" s="1"/>
  <c r="AQ76" i="7"/>
  <c r="BA76" i="7" s="1"/>
  <c r="AR69" i="7"/>
  <c r="AQ69" i="7"/>
  <c r="AR65" i="7"/>
  <c r="AR67" i="7" s="1"/>
  <c r="AQ65" i="7"/>
  <c r="AQ67" i="7" s="1"/>
  <c r="AR61" i="7"/>
  <c r="AR30" i="7" s="1"/>
  <c r="AR91" i="7" s="1"/>
  <c r="AQ61" i="7"/>
  <c r="AS56" i="7"/>
  <c r="AQ56" i="7"/>
  <c r="AS55" i="7"/>
  <c r="AQ55" i="7"/>
  <c r="AS54" i="7"/>
  <c r="AQ54" i="7"/>
  <c r="AS53" i="7"/>
  <c r="AQ53" i="7"/>
  <c r="AS52" i="7"/>
  <c r="AQ52" i="7"/>
  <c r="AS51" i="7"/>
  <c r="AS90" i="7" s="1"/>
  <c r="AQ51" i="7"/>
  <c r="AQ90" i="7" s="1"/>
  <c r="AS50" i="7"/>
  <c r="AQ50" i="7"/>
  <c r="AS49" i="7"/>
  <c r="AQ49" i="7"/>
  <c r="AQ32" i="7"/>
  <c r="AQ84" i="7" s="1"/>
  <c r="AS28" i="7"/>
  <c r="AS88" i="7" s="1"/>
  <c r="AQ28" i="7"/>
  <c r="AQ88" i="7" s="1"/>
  <c r="AR19" i="7"/>
  <c r="AR37" i="7" s="1"/>
  <c r="BB37" i="7" s="1"/>
  <c r="AQ19" i="7"/>
  <c r="AQ37" i="7" s="1"/>
  <c r="BA37" i="7" s="1"/>
  <c r="BA46" i="7" s="1"/>
  <c r="AR1" i="7"/>
  <c r="AQ1" i="7"/>
  <c r="BB46" i="7" l="1"/>
  <c r="AQ13" i="22"/>
  <c r="BA13" i="22" s="1"/>
  <c r="BA11" i="22"/>
  <c r="AQ27" i="22"/>
  <c r="BA27" i="22" s="1"/>
  <c r="BA25" i="22"/>
  <c r="BB77" i="7"/>
  <c r="BE36" i="59" s="1"/>
  <c r="BA77" i="7"/>
  <c r="BD36" i="59" s="1"/>
  <c r="AR26" i="7"/>
  <c r="AR86" i="7" s="1"/>
  <c r="AR28" i="7"/>
  <c r="AR88" i="7" s="1"/>
  <c r="AR23" i="7"/>
  <c r="AR83" i="7" s="1"/>
  <c r="AR22" i="7"/>
  <c r="AR29" i="7"/>
  <c r="AR89" i="7" s="1"/>
  <c r="AR32" i="7"/>
  <c r="AR84" i="7" s="1"/>
  <c r="AR53" i="7"/>
  <c r="AR25" i="7"/>
  <c r="AR85" i="7" s="1"/>
  <c r="AR50" i="7"/>
  <c r="AR56" i="7"/>
  <c r="AR77" i="7"/>
  <c r="AQ77" i="7"/>
  <c r="AQ25" i="7"/>
  <c r="AQ85" i="7" s="1"/>
  <c r="AQ23" i="7"/>
  <c r="AQ83" i="7" s="1"/>
  <c r="AR21" i="7"/>
  <c r="AR81" i="7" s="1"/>
  <c r="AR27" i="7"/>
  <c r="AR87" i="7" s="1"/>
  <c r="AR33" i="7"/>
  <c r="AR94" i="7" s="1"/>
  <c r="AR24" i="7"/>
  <c r="AQ46" i="7"/>
  <c r="AR46" i="7"/>
  <c r="AR49" i="7"/>
  <c r="AR52" i="7"/>
  <c r="AR55" i="7"/>
  <c r="AR70" i="7"/>
  <c r="AR74" i="7"/>
  <c r="AQ21" i="7"/>
  <c r="AQ24" i="7"/>
  <c r="AQ93" i="7" s="1"/>
  <c r="AQ26" i="7"/>
  <c r="AQ86" i="7" s="1"/>
  <c r="AQ29" i="7"/>
  <c r="AQ89" i="7" s="1"/>
  <c r="AQ62" i="7"/>
  <c r="AQ72" i="7"/>
  <c r="AR51" i="7"/>
  <c r="AR90" i="7" s="1"/>
  <c r="AR54" i="7"/>
  <c r="AR72" i="7"/>
  <c r="AQ75" i="7"/>
  <c r="AR63" i="7"/>
  <c r="AR75" i="7"/>
  <c r="AQ22" i="7"/>
  <c r="AQ82" i="7" s="1"/>
  <c r="AQ27" i="7"/>
  <c r="AQ87" i="7" s="1"/>
  <c r="AQ30" i="7"/>
  <c r="AQ91" i="7" s="1"/>
  <c r="AQ70" i="7"/>
  <c r="AQ74" i="7"/>
  <c r="BA28" i="22" l="1"/>
  <c r="BA12" i="22"/>
  <c r="BA29" i="22"/>
  <c r="BA26" i="22"/>
  <c r="BA14" i="22"/>
  <c r="AR82" i="7"/>
  <c r="AR93" i="7"/>
  <c r="AR34" i="7"/>
  <c r="AR48" i="7" s="1"/>
  <c r="AR71" i="7" s="1"/>
  <c r="AQ81" i="7"/>
  <c r="AQ95" i="7" s="1"/>
  <c r="AQ34" i="7"/>
  <c r="AQ48" i="7" s="1"/>
  <c r="AR95" i="7" l="1"/>
  <c r="AR57" i="7"/>
  <c r="AQ71" i="7"/>
  <c r="AQ57" i="7"/>
  <c r="AQ192" i="6" l="1"/>
  <c r="AR191" i="6"/>
  <c r="AQ191" i="6"/>
  <c r="AQ190" i="6"/>
  <c r="AQ188" i="6"/>
  <c r="AR186" i="6"/>
  <c r="AQ186" i="6"/>
  <c r="AR185" i="6"/>
  <c r="AQ185" i="6"/>
  <c r="AR184" i="6"/>
  <c r="AQ184" i="6"/>
  <c r="AQ183" i="6"/>
  <c r="AQ182" i="6"/>
  <c r="AQ179" i="6"/>
  <c r="AQ178" i="6"/>
  <c r="AQ177" i="6"/>
  <c r="AQ176" i="6"/>
  <c r="AQ175" i="6"/>
  <c r="AQ174" i="6"/>
  <c r="AQ172" i="6"/>
  <c r="AQ171" i="6"/>
  <c r="AQ170" i="6"/>
  <c r="AQ162" i="6"/>
  <c r="AR160" i="6"/>
  <c r="AQ160" i="6"/>
  <c r="AR159" i="6"/>
  <c r="AQ159" i="6"/>
  <c r="AQ158" i="6"/>
  <c r="AQ157" i="6"/>
  <c r="AQ154" i="6"/>
  <c r="AQ153" i="6"/>
  <c r="AQ152" i="6"/>
  <c r="AQ151" i="6"/>
  <c r="AQ150" i="6"/>
  <c r="AQ149" i="6"/>
  <c r="AQ147" i="6"/>
  <c r="AQ146" i="6"/>
  <c r="AQ145" i="6"/>
  <c r="AR135" i="6"/>
  <c r="AR134" i="6"/>
  <c r="AR133" i="6"/>
  <c r="AQ133" i="6"/>
  <c r="AR130" i="6"/>
  <c r="AQ130" i="6"/>
  <c r="AR129" i="6"/>
  <c r="AQ129" i="6"/>
  <c r="AR128" i="6"/>
  <c r="AQ128" i="6"/>
  <c r="AR127" i="6"/>
  <c r="AQ127" i="6"/>
  <c r="AR125" i="6"/>
  <c r="AR124" i="6"/>
  <c r="AR123" i="6"/>
  <c r="AR122" i="6"/>
  <c r="AR121" i="6"/>
  <c r="AR114" i="6"/>
  <c r="AQ114" i="6"/>
  <c r="AR109" i="6"/>
  <c r="AQ109" i="6"/>
  <c r="AQ115" i="6" s="1"/>
  <c r="AQ119" i="6" s="1"/>
  <c r="AQ168" i="6" s="1"/>
  <c r="AR97" i="6"/>
  <c r="AQ97" i="6"/>
  <c r="AR92" i="6"/>
  <c r="AQ92" i="6"/>
  <c r="AQ83" i="6"/>
  <c r="AQ82" i="6"/>
  <c r="AQ81" i="6"/>
  <c r="AQ79" i="6"/>
  <c r="AQ78" i="6"/>
  <c r="AQ76" i="6"/>
  <c r="AQ75" i="6"/>
  <c r="AR73" i="6"/>
  <c r="AQ73" i="6"/>
  <c r="AR65" i="6"/>
  <c r="AQ65" i="6"/>
  <c r="AR62" i="6"/>
  <c r="AQ62" i="6"/>
  <c r="AR52" i="6"/>
  <c r="BB52" i="6" s="1"/>
  <c r="AR51" i="6"/>
  <c r="AR50" i="6"/>
  <c r="AR47" i="6"/>
  <c r="AR44" i="6"/>
  <c r="AR41" i="6"/>
  <c r="AQ36" i="6"/>
  <c r="AQ35" i="6"/>
  <c r="AQ34" i="6"/>
  <c r="AQ33" i="6"/>
  <c r="AR30" i="6"/>
  <c r="BB30" i="6" s="1"/>
  <c r="AR29" i="6"/>
  <c r="BB29" i="6" s="1"/>
  <c r="AR28" i="6"/>
  <c r="AR25" i="6"/>
  <c r="AR22" i="6"/>
  <c r="AR19" i="6"/>
  <c r="AQ9" i="6"/>
  <c r="AQ8" i="6"/>
  <c r="AQ6" i="6"/>
  <c r="AQ5" i="6"/>
  <c r="AQ13" i="6" s="1"/>
  <c r="AS192" i="6"/>
  <c r="AS191" i="6"/>
  <c r="AS190" i="6"/>
  <c r="AS188" i="6"/>
  <c r="AS183" i="6"/>
  <c r="AS182" i="6"/>
  <c r="AS179" i="6"/>
  <c r="AS178" i="6"/>
  <c r="AS177" i="6"/>
  <c r="AS176" i="6"/>
  <c r="AS175" i="6"/>
  <c r="AS174" i="6"/>
  <c r="AS172" i="6"/>
  <c r="AS171" i="6"/>
  <c r="AS170" i="6"/>
  <c r="AS162" i="6"/>
  <c r="AS158" i="6"/>
  <c r="AS157" i="6"/>
  <c r="AS154" i="6"/>
  <c r="AS153" i="6"/>
  <c r="AS152" i="6"/>
  <c r="AS151" i="6"/>
  <c r="AS150" i="6"/>
  <c r="AS149" i="6"/>
  <c r="AS147" i="6"/>
  <c r="AS146" i="6"/>
  <c r="AS145" i="6"/>
  <c r="AS81" i="6"/>
  <c r="AS79" i="6"/>
  <c r="AS78" i="6"/>
  <c r="AS76" i="6"/>
  <c r="AS75" i="6"/>
  <c r="AS36" i="6"/>
  <c r="AS35" i="6"/>
  <c r="AS34" i="6"/>
  <c r="AS33" i="6"/>
  <c r="AS9" i="6"/>
  <c r="AS8" i="6"/>
  <c r="AQ37" i="6" l="1"/>
  <c r="BB31" i="6"/>
  <c r="AR53" i="6"/>
  <c r="BB51" i="6"/>
  <c r="BB53" i="6" s="1"/>
  <c r="AQ7" i="6"/>
  <c r="AS37" i="6"/>
  <c r="AQ11" i="6"/>
  <c r="AR115" i="6"/>
  <c r="AR119" i="6" s="1"/>
  <c r="AR168" i="6" s="1"/>
  <c r="AQ126" i="6"/>
  <c r="AQ166" i="6"/>
  <c r="AQ131" i="6"/>
  <c r="AR31" i="6"/>
  <c r="AQ23" i="6"/>
  <c r="AQ20" i="6"/>
  <c r="AQ26" i="6"/>
  <c r="BA26" i="6" s="1"/>
  <c r="AQ17" i="6"/>
  <c r="AQ156" i="6"/>
  <c r="AQ161" i="6"/>
  <c r="AQ165" i="6"/>
  <c r="AQ14" i="6"/>
  <c r="AQ187" i="6" s="1"/>
  <c r="AR131" i="6"/>
  <c r="AR126" i="6"/>
  <c r="AQ98" i="6"/>
  <c r="AQ102" i="6" s="1"/>
  <c r="AQ140" i="6" s="1"/>
  <c r="AQ12" i="6"/>
  <c r="AR98" i="6"/>
  <c r="AR102" i="6" s="1"/>
  <c r="AQ73" i="77"/>
  <c r="AQ58" i="77"/>
  <c r="AP58" i="77"/>
  <c r="AQ43" i="77"/>
  <c r="AP43" i="77"/>
  <c r="AQ33" i="77"/>
  <c r="AQ106" i="77" s="1"/>
  <c r="AP33" i="77"/>
  <c r="AQ29" i="77"/>
  <c r="AP29" i="77"/>
  <c r="AQ23" i="77"/>
  <c r="AQ103" i="77" s="1"/>
  <c r="AP23" i="77"/>
  <c r="AQ18" i="77"/>
  <c r="AP18" i="77"/>
  <c r="AQ13" i="77"/>
  <c r="AQ101" i="77" s="1"/>
  <c r="AP13" i="77"/>
  <c r="AQ7" i="77"/>
  <c r="AQ100" i="77" s="1"/>
  <c r="AP7" i="77"/>
  <c r="AQ49" i="39"/>
  <c r="BA49" i="39" s="1"/>
  <c r="AQ48" i="39"/>
  <c r="BA48" i="39" s="1"/>
  <c r="AQ44" i="39"/>
  <c r="BA44" i="39" s="1"/>
  <c r="AP44" i="39"/>
  <c r="AQ33" i="39"/>
  <c r="BA33" i="39" s="1"/>
  <c r="AQ22" i="39"/>
  <c r="BA22" i="39" s="1"/>
  <c r="AQ8" i="39"/>
  <c r="AP8" i="39"/>
  <c r="AP21" i="39" s="1"/>
  <c r="AQ105" i="77" l="1"/>
  <c r="AQ107" i="77" s="1"/>
  <c r="BA73" i="77"/>
  <c r="BA115" i="77" s="1"/>
  <c r="AQ115" i="77"/>
  <c r="AQ104" i="77"/>
  <c r="AQ102" i="77"/>
  <c r="AQ21" i="39"/>
  <c r="BA21" i="39" s="1"/>
  <c r="BA8" i="39"/>
  <c r="AQ132" i="6"/>
  <c r="AQ136" i="6" s="1"/>
  <c r="AQ15" i="6"/>
  <c r="AQ77" i="6" s="1"/>
  <c r="AR166" i="6"/>
  <c r="AR165" i="6"/>
  <c r="AQ167" i="6"/>
  <c r="AR132" i="6"/>
  <c r="AR136" i="6" s="1"/>
  <c r="AQ196" i="6"/>
  <c r="AQ200" i="6"/>
  <c r="AQ197" i="6"/>
  <c r="AQ199" i="6"/>
  <c r="AQ205" i="6"/>
  <c r="AQ198" i="6"/>
  <c r="AQ203" i="6"/>
  <c r="AQ208" i="6"/>
  <c r="AQ211" i="6" s="1"/>
  <c r="AQ202" i="6"/>
  <c r="AQ204" i="6"/>
  <c r="AQ143" i="6"/>
  <c r="AQ141" i="6"/>
  <c r="AQ142" i="6" s="1"/>
  <c r="AR143" i="6"/>
  <c r="AR141" i="6"/>
  <c r="AQ27" i="6"/>
  <c r="AQ18" i="6"/>
  <c r="AQ19" i="6" s="1"/>
  <c r="AQ21" i="6"/>
  <c r="AQ22" i="6" s="1"/>
  <c r="AQ24" i="6"/>
  <c r="AQ25" i="6" s="1"/>
  <c r="AQ181" i="6"/>
  <c r="AR140" i="6"/>
  <c r="AQ29" i="6"/>
  <c r="BA29" i="6" s="1"/>
  <c r="AQ71" i="77"/>
  <c r="AQ50" i="39"/>
  <c r="BA50" i="39" s="1"/>
  <c r="AQ23" i="39"/>
  <c r="BA23" i="39" s="1"/>
  <c r="AR17" i="49"/>
  <c r="AR18" i="49" s="1"/>
  <c r="AQ17" i="49"/>
  <c r="AQ18" i="49" s="1"/>
  <c r="AR11" i="49"/>
  <c r="AQ11" i="49"/>
  <c r="AR10" i="49"/>
  <c r="AQ10" i="49"/>
  <c r="AR9" i="49"/>
  <c r="AQ9" i="49"/>
  <c r="AR8" i="49"/>
  <c r="AQ8" i="49"/>
  <c r="AR6" i="49"/>
  <c r="AQ6" i="49"/>
  <c r="AS18" i="73"/>
  <c r="AQ210" i="73"/>
  <c r="BA210" i="73" s="1"/>
  <c r="AQ184" i="73"/>
  <c r="BA184" i="73" s="1"/>
  <c r="AQ173" i="73"/>
  <c r="BA173" i="73" s="1"/>
  <c r="AR171" i="73"/>
  <c r="AP171" i="73"/>
  <c r="AQ162" i="73"/>
  <c r="BA162" i="73" s="1"/>
  <c r="AR125" i="73"/>
  <c r="AQ125" i="73"/>
  <c r="BA125" i="73" s="1"/>
  <c r="AP125" i="73"/>
  <c r="AR123" i="73"/>
  <c r="AQ123" i="73"/>
  <c r="BA123" i="73" s="1"/>
  <c r="AP123" i="73"/>
  <c r="AR120" i="73"/>
  <c r="AQ120" i="73"/>
  <c r="BA120" i="73" s="1"/>
  <c r="AP120" i="73"/>
  <c r="AQ116" i="73"/>
  <c r="BA116" i="73" s="1"/>
  <c r="AP113" i="73"/>
  <c r="AQ110" i="73"/>
  <c r="BA110" i="73" s="1"/>
  <c r="AR104" i="73"/>
  <c r="AR113" i="73" s="1"/>
  <c r="AR115" i="73" s="1"/>
  <c r="AQ104" i="73"/>
  <c r="BA104" i="73" s="1"/>
  <c r="AQ98" i="73"/>
  <c r="BA98" i="73" s="1"/>
  <c r="AQ65" i="73"/>
  <c r="BA65" i="73" s="1"/>
  <c r="AQ58" i="73"/>
  <c r="BA58" i="73" s="1"/>
  <c r="AQ53" i="73"/>
  <c r="BA53" i="73" s="1"/>
  <c r="AQ48" i="73"/>
  <c r="BA48" i="73" s="1"/>
  <c r="AQ34" i="73"/>
  <c r="BA34" i="73" s="1"/>
  <c r="AQ23" i="73"/>
  <c r="BA23" i="73" s="1"/>
  <c r="AQ8" i="73"/>
  <c r="BA8" i="73" s="1"/>
  <c r="AP8" i="73"/>
  <c r="AP6" i="73" s="1"/>
  <c r="BA71" i="77" l="1"/>
  <c r="BA113" i="77" s="1"/>
  <c r="AQ113" i="77"/>
  <c r="AQ28" i="6"/>
  <c r="BA27" i="6"/>
  <c r="BA28" i="6" s="1"/>
  <c r="AW18" i="73"/>
  <c r="AQ11" i="15"/>
  <c r="AQ171" i="73"/>
  <c r="BA171" i="73" s="1"/>
  <c r="AR12" i="49"/>
  <c r="AQ80" i="6"/>
  <c r="AR128" i="73"/>
  <c r="AP128" i="73"/>
  <c r="AQ30" i="6"/>
  <c r="AQ128" i="73"/>
  <c r="BA128" i="73" s="1"/>
  <c r="AR167" i="6"/>
  <c r="AQ12" i="49"/>
  <c r="AQ206" i="6"/>
  <c r="AQ201" i="6"/>
  <c r="AR142" i="6"/>
  <c r="AR205" i="6"/>
  <c r="AR202" i="6"/>
  <c r="AR199" i="6"/>
  <c r="AR196" i="6"/>
  <c r="AR204" i="6"/>
  <c r="AR208" i="6"/>
  <c r="AR198" i="6"/>
  <c r="AR200" i="6"/>
  <c r="AR203" i="6"/>
  <c r="AR197" i="6"/>
  <c r="AR210" i="6"/>
  <c r="AR209" i="6"/>
  <c r="AR192" i="6"/>
  <c r="AR190" i="6"/>
  <c r="AQ6" i="73"/>
  <c r="BA6" i="73" s="1"/>
  <c r="AQ113" i="73"/>
  <c r="AU65" i="59"/>
  <c r="AT65" i="59"/>
  <c r="AU57" i="59"/>
  <c r="AT57" i="59"/>
  <c r="AU72" i="59"/>
  <c r="AU71" i="59"/>
  <c r="AU70" i="59"/>
  <c r="AT69" i="59"/>
  <c r="AU68" i="59"/>
  <c r="AT68" i="59"/>
  <c r="AU67" i="59"/>
  <c r="AT67" i="59"/>
  <c r="AU66" i="59"/>
  <c r="AT66" i="59"/>
  <c r="AU63" i="59"/>
  <c r="AT63" i="59"/>
  <c r="AU62" i="59"/>
  <c r="AT62" i="59"/>
  <c r="AU59" i="59"/>
  <c r="AT59" i="59"/>
  <c r="AU58" i="59"/>
  <c r="AT58" i="59"/>
  <c r="AU55" i="59"/>
  <c r="AT55" i="59"/>
  <c r="AU54" i="59"/>
  <c r="AT54" i="59"/>
  <c r="AV53" i="59"/>
  <c r="AU53" i="59"/>
  <c r="AT53" i="59"/>
  <c r="AU52" i="59"/>
  <c r="AT52" i="59"/>
  <c r="AU51" i="59"/>
  <c r="AT51" i="59"/>
  <c r="AT46" i="59"/>
  <c r="AU45" i="59"/>
  <c r="AT45" i="59"/>
  <c r="AV44" i="59"/>
  <c r="AU44" i="59"/>
  <c r="AT44" i="59"/>
  <c r="AV43" i="59"/>
  <c r="AU43" i="59"/>
  <c r="AT43" i="59"/>
  <c r="AV42" i="59"/>
  <c r="AU42" i="59"/>
  <c r="AT42" i="59"/>
  <c r="AU41" i="59"/>
  <c r="AT41" i="59"/>
  <c r="AT39" i="59"/>
  <c r="AT38" i="59"/>
  <c r="AT37" i="59"/>
  <c r="AU36" i="59"/>
  <c r="AT36" i="59"/>
  <c r="AU35" i="59"/>
  <c r="AT35" i="59"/>
  <c r="AV34" i="59"/>
  <c r="AU34" i="59"/>
  <c r="AT34" i="59"/>
  <c r="AU33" i="59"/>
  <c r="AT33" i="59"/>
  <c r="AU32" i="59"/>
  <c r="AT32" i="59"/>
  <c r="AU31" i="59"/>
  <c r="AT31" i="59"/>
  <c r="AU30" i="59"/>
  <c r="AT30" i="59"/>
  <c r="AU29" i="59"/>
  <c r="AT29" i="59"/>
  <c r="AU28" i="59"/>
  <c r="AT28" i="59"/>
  <c r="AV27" i="59"/>
  <c r="AU27" i="59"/>
  <c r="AT27" i="59"/>
  <c r="AV26" i="59"/>
  <c r="AU26" i="59"/>
  <c r="AT26" i="59"/>
  <c r="AV25" i="59"/>
  <c r="AU25" i="59"/>
  <c r="AT25" i="59"/>
  <c r="AV24" i="59"/>
  <c r="AU24" i="59"/>
  <c r="AT24" i="59"/>
  <c r="AU23" i="59"/>
  <c r="AT23" i="59"/>
  <c r="AV22" i="59"/>
  <c r="AU22" i="59"/>
  <c r="AT22" i="59"/>
  <c r="AV20" i="59"/>
  <c r="AU20" i="59"/>
  <c r="AT20" i="59"/>
  <c r="AV19" i="59"/>
  <c r="AU19" i="59"/>
  <c r="AT19" i="59"/>
  <c r="AV18" i="59"/>
  <c r="AU18" i="59"/>
  <c r="AT18" i="59"/>
  <c r="AV17" i="59"/>
  <c r="AU17" i="59"/>
  <c r="AT17" i="59"/>
  <c r="AU16" i="59"/>
  <c r="AT16" i="59"/>
  <c r="AV15" i="59"/>
  <c r="AU15" i="59"/>
  <c r="AT15" i="59"/>
  <c r="AU12" i="59"/>
  <c r="AT12" i="59"/>
  <c r="AQ31" i="6" l="1"/>
  <c r="BA30" i="6"/>
  <c r="BA31" i="6" s="1"/>
  <c r="BE18" i="73"/>
  <c r="AQ115" i="73"/>
  <c r="BA115" i="73" s="1"/>
  <c r="BA113" i="73"/>
  <c r="AQ12" i="15"/>
  <c r="BA11" i="15"/>
  <c r="AQ5" i="73"/>
  <c r="BA5" i="73" s="1"/>
  <c r="AQ207" i="6"/>
  <c r="AQ212" i="6" s="1"/>
  <c r="AR201" i="6"/>
  <c r="AR206" i="6"/>
  <c r="AR211" i="6"/>
  <c r="AS31" i="36"/>
  <c r="AT31" i="36"/>
  <c r="AQ16" i="36"/>
  <c r="AQ17" i="36"/>
  <c r="AS54" i="36"/>
  <c r="AQ54" i="36"/>
  <c r="AQ46" i="36" s="1"/>
  <c r="AS53" i="36"/>
  <c r="AQ53" i="36"/>
  <c r="AS51" i="36"/>
  <c r="AQ51" i="36"/>
  <c r="AQ43" i="36" s="1"/>
  <c r="AQ45" i="36" s="1"/>
  <c r="AS49" i="36"/>
  <c r="AQ49" i="36"/>
  <c r="AS48" i="36"/>
  <c r="AQ48" i="36"/>
  <c r="AQ40" i="36" s="1"/>
  <c r="AQ42" i="36" s="1"/>
  <c r="AR46" i="36"/>
  <c r="AR54" i="36" s="1"/>
  <c r="AR44" i="36"/>
  <c r="AR52" i="36" s="1"/>
  <c r="AR43" i="36"/>
  <c r="AR41" i="36"/>
  <c r="AR49" i="36" s="1"/>
  <c r="AR40" i="36"/>
  <c r="AR48" i="36" s="1"/>
  <c r="AR39" i="36"/>
  <c r="AR17" i="36" s="1"/>
  <c r="AU48" i="59" s="1"/>
  <c r="AR38" i="36"/>
  <c r="AR16" i="36" s="1"/>
  <c r="AR32" i="36"/>
  <c r="AQ32" i="36"/>
  <c r="AS29" i="36"/>
  <c r="AQ29" i="36"/>
  <c r="AS28" i="36"/>
  <c r="AQ28" i="36"/>
  <c r="AS27" i="36"/>
  <c r="AQ27" i="36"/>
  <c r="AR26" i="36"/>
  <c r="AS23" i="36"/>
  <c r="AR23" i="36"/>
  <c r="AQ23" i="36"/>
  <c r="AS22" i="36"/>
  <c r="AV61" i="59" s="1"/>
  <c r="AR22" i="36"/>
  <c r="AU61" i="59" s="1"/>
  <c r="AQ22" i="36"/>
  <c r="AT61" i="59" s="1"/>
  <c r="AS21" i="36"/>
  <c r="AR21" i="36"/>
  <c r="AQ21" i="36"/>
  <c r="AS17" i="36"/>
  <c r="AV48" i="59" s="1"/>
  <c r="AS16" i="36"/>
  <c r="AV47" i="59" s="1"/>
  <c r="AQ13" i="36"/>
  <c r="AT40" i="59" s="1"/>
  <c r="AR12" i="36"/>
  <c r="AU39" i="59" s="1"/>
  <c r="AR11" i="36"/>
  <c r="AU38" i="59" s="1"/>
  <c r="AR10" i="36"/>
  <c r="AU37" i="59" s="1"/>
  <c r="AS9" i="36"/>
  <c r="AV10" i="59" s="1"/>
  <c r="AQ9" i="36"/>
  <c r="AT10" i="59" s="1"/>
  <c r="AS8" i="36"/>
  <c r="AV9" i="59" s="1"/>
  <c r="AR8" i="36"/>
  <c r="AU9" i="59" s="1"/>
  <c r="AQ8" i="36"/>
  <c r="AT9" i="59" s="1"/>
  <c r="AS7" i="36"/>
  <c r="AV8" i="59" s="1"/>
  <c r="AR7" i="36"/>
  <c r="AU8" i="59" s="1"/>
  <c r="AQ7" i="36"/>
  <c r="AT8" i="59" s="1"/>
  <c r="AS5" i="36"/>
  <c r="AR5" i="36"/>
  <c r="AQ5" i="36"/>
  <c r="AQ13" i="15" l="1"/>
  <c r="BA12" i="15"/>
  <c r="BA13" i="15" s="1"/>
  <c r="AQ38" i="36"/>
  <c r="AS13" i="49"/>
  <c r="AV6" i="59"/>
  <c r="AP6" i="15"/>
  <c r="AT71" i="59"/>
  <c r="AQ39" i="36"/>
  <c r="AQ90" i="9"/>
  <c r="AT48" i="59"/>
  <c r="AR6" i="15"/>
  <c r="AV71" i="59"/>
  <c r="AQ89" i="9"/>
  <c r="AT47" i="59"/>
  <c r="AP5" i="15"/>
  <c r="AT70" i="59"/>
  <c r="AP7" i="15"/>
  <c r="AT72" i="59"/>
  <c r="AQ13" i="49"/>
  <c r="AQ14" i="49" s="1"/>
  <c r="AQ15" i="49" s="1"/>
  <c r="AQ16" i="49" s="1"/>
  <c r="AQ19" i="49" s="1"/>
  <c r="AQ20" i="49" s="1"/>
  <c r="AT6" i="59"/>
  <c r="AR5" i="15"/>
  <c r="AV70" i="59"/>
  <c r="AR7" i="15"/>
  <c r="AV72" i="59"/>
  <c r="AR50" i="36"/>
  <c r="AR13" i="49"/>
  <c r="AR14" i="49" s="1"/>
  <c r="AR15" i="49" s="1"/>
  <c r="AR16" i="49" s="1"/>
  <c r="AR19" i="49" s="1"/>
  <c r="AR20" i="49" s="1"/>
  <c r="AR15" i="36" s="1"/>
  <c r="AR73" i="8" s="1"/>
  <c r="AU6" i="59"/>
  <c r="AR45" i="36"/>
  <c r="AR18" i="36"/>
  <c r="AU49" i="59" s="1"/>
  <c r="AU47" i="59"/>
  <c r="AR13" i="36"/>
  <c r="AU40" i="59" s="1"/>
  <c r="AR207" i="6"/>
  <c r="AR212" i="6" s="1"/>
  <c r="AU11" i="59"/>
  <c r="AS50" i="36"/>
  <c r="AQ50" i="36"/>
  <c r="AR42" i="36"/>
  <c r="AR51" i="36"/>
  <c r="AR53" i="36" s="1"/>
  <c r="AR28" i="21"/>
  <c r="AQ27" i="21"/>
  <c r="AR24" i="21"/>
  <c r="AR18" i="21"/>
  <c r="AR15" i="21"/>
  <c r="AR12" i="21"/>
  <c r="AQ12" i="21"/>
  <c r="AQ22" i="21" s="1"/>
  <c r="AR25" i="21" l="1"/>
  <c r="AR19" i="36"/>
  <c r="AU50" i="59" s="1"/>
  <c r="AQ91" i="9"/>
  <c r="AQ19" i="9"/>
  <c r="BA19" i="9" s="1"/>
  <c r="AR390" i="28"/>
  <c r="AR391" i="28"/>
  <c r="AU46" i="59"/>
  <c r="AR9" i="36"/>
  <c r="AU10" i="59" s="1"/>
  <c r="AR20" i="21"/>
  <c r="AQ15" i="21"/>
  <c r="AQ28" i="21"/>
  <c r="BA90" i="9" l="1"/>
  <c r="BA91" i="9" s="1"/>
  <c r="AQ39" i="35"/>
  <c r="BA39" i="35" s="1"/>
  <c r="BC39" i="35" s="1"/>
  <c r="AR34" i="35"/>
  <c r="AR31" i="35"/>
  <c r="AQ31" i="35"/>
  <c r="AR24" i="35"/>
  <c r="AQ24" i="35"/>
  <c r="AQ33" i="36" s="1"/>
  <c r="AQ34" i="36" s="1"/>
  <c r="AQ35" i="36" s="1"/>
  <c r="AR19" i="35"/>
  <c r="AQ19" i="35"/>
  <c r="AQ26" i="9" s="1"/>
  <c r="AR15" i="35"/>
  <c r="AR11" i="35"/>
  <c r="AQ10" i="35"/>
  <c r="AQ9" i="35"/>
  <c r="BA9" i="35" s="1"/>
  <c r="BC9" i="35" s="1"/>
  <c r="AQ8" i="35"/>
  <c r="AR7" i="35"/>
  <c r="BB7" i="35" s="1"/>
  <c r="BB6" i="6" s="1"/>
  <c r="BB12" i="6" s="1"/>
  <c r="AR6" i="35"/>
  <c r="BB6" i="35" s="1"/>
  <c r="BB5" i="6" s="1"/>
  <c r="BB7" i="6" l="1"/>
  <c r="BB11" i="6"/>
  <c r="BB8" i="35"/>
  <c r="AQ14" i="35"/>
  <c r="BA14" i="35" s="1"/>
  <c r="BC14" i="35" s="1"/>
  <c r="BA10" i="35"/>
  <c r="AQ36" i="36"/>
  <c r="AQ30" i="36" s="1"/>
  <c r="AT73" i="59" s="1"/>
  <c r="AR26" i="9"/>
  <c r="AR33" i="36"/>
  <c r="AR34" i="36" s="1"/>
  <c r="AR35" i="36" s="1"/>
  <c r="AR6" i="6"/>
  <c r="AR5" i="6"/>
  <c r="AQ11" i="35"/>
  <c r="AQ13" i="35"/>
  <c r="AR35" i="35"/>
  <c r="AS71" i="83" s="1"/>
  <c r="AS69" i="83" s="1"/>
  <c r="AR44" i="35"/>
  <c r="AR8" i="35"/>
  <c r="AQ40" i="35"/>
  <c r="BA40" i="35" s="1"/>
  <c r="BC40" i="35" s="1"/>
  <c r="AQ37" i="35"/>
  <c r="BA37" i="35" s="1"/>
  <c r="AQ34" i="35"/>
  <c r="BA45" i="35" l="1"/>
  <c r="BA51" i="35" s="1"/>
  <c r="BC37" i="35"/>
  <c r="BC45" i="35" s="1"/>
  <c r="BC51" i="35" s="1"/>
  <c r="BA11" i="35"/>
  <c r="BC10" i="35"/>
  <c r="AQ15" i="35"/>
  <c r="BA13" i="35"/>
  <c r="AR36" i="36"/>
  <c r="AR30" i="36" s="1"/>
  <c r="AU73" i="59" s="1"/>
  <c r="AQ44" i="35"/>
  <c r="AQ45" i="35" s="1"/>
  <c r="AQ28" i="28"/>
  <c r="BA28" i="28" s="1"/>
  <c r="AR25" i="36"/>
  <c r="AU69" i="59" s="1"/>
  <c r="AR45" i="35"/>
  <c r="AR51" i="35" s="1"/>
  <c r="AS81" i="50"/>
  <c r="AR12" i="6"/>
  <c r="AR14" i="6"/>
  <c r="AR13" i="6"/>
  <c r="AR11" i="6"/>
  <c r="AR7" i="6"/>
  <c r="AQ35" i="35"/>
  <c r="BA15" i="35" l="1"/>
  <c r="BC13" i="35"/>
  <c r="AQ50" i="28"/>
  <c r="AQ33" i="28"/>
  <c r="BA33" i="28" s="1"/>
  <c r="AR187" i="6"/>
  <c r="AR182" i="6"/>
  <c r="AR161" i="6"/>
  <c r="AR157" i="6"/>
  <c r="AR15" i="6"/>
  <c r="AR77" i="6" s="1"/>
  <c r="AQ51" i="35"/>
  <c r="AQ55" i="28" l="1"/>
  <c r="BA50" i="28"/>
  <c r="AQ361" i="28"/>
  <c r="AQ61" i="28"/>
  <c r="BA61" i="28" s="1"/>
  <c r="AR35" i="6"/>
  <c r="AR33" i="6"/>
  <c r="AR34" i="6"/>
  <c r="AR36" i="6"/>
  <c r="AR80" i="6"/>
  <c r="AN8" i="24"/>
  <c r="AM8" i="24"/>
  <c r="AN7" i="24"/>
  <c r="AM7" i="24"/>
  <c r="AN6" i="24"/>
  <c r="AM6" i="24"/>
  <c r="AQ364" i="28" l="1"/>
  <c r="BA361" i="28"/>
  <c r="AQ390" i="28"/>
  <c r="BA55" i="28"/>
  <c r="AQ387" i="28"/>
  <c r="AQ77" i="28"/>
  <c r="BA77" i="28" s="1"/>
  <c r="AQ62" i="28"/>
  <c r="AR37" i="6"/>
  <c r="AL19" i="10"/>
  <c r="AL21" i="10"/>
  <c r="AM23" i="50" s="1"/>
  <c r="AL26" i="10"/>
  <c r="AL16" i="10"/>
  <c r="AL12" i="10"/>
  <c r="AL11" i="10"/>
  <c r="AL7" i="10"/>
  <c r="AL92" i="10"/>
  <c r="AL90" i="10"/>
  <c r="AL88" i="10"/>
  <c r="AL87" i="10"/>
  <c r="AL82" i="10"/>
  <c r="AM27" i="50" s="1"/>
  <c r="AL81" i="10"/>
  <c r="AL68" i="10"/>
  <c r="AL69" i="10"/>
  <c r="AM97" i="50" s="1"/>
  <c r="AN88" i="10" l="1"/>
  <c r="BD88" i="10" s="1"/>
  <c r="AP88" i="10"/>
  <c r="AT88" i="10" s="1"/>
  <c r="AX88" i="10" s="1"/>
  <c r="BF88" i="10" s="1"/>
  <c r="AM14" i="50"/>
  <c r="AN16" i="10"/>
  <c r="BD16" i="10" s="1"/>
  <c r="AP16" i="10"/>
  <c r="AT16" i="10" s="1"/>
  <c r="AX16" i="10" s="1"/>
  <c r="BF16" i="10" s="1"/>
  <c r="AM98" i="50"/>
  <c r="AO98" i="50" s="1"/>
  <c r="BE98" i="50" s="1"/>
  <c r="AN68" i="10"/>
  <c r="BD68" i="10" s="1"/>
  <c r="AN92" i="10"/>
  <c r="BD92" i="10" s="1"/>
  <c r="AP92" i="10"/>
  <c r="AT92" i="10" s="1"/>
  <c r="AX92" i="10" s="1"/>
  <c r="BF92" i="10" s="1"/>
  <c r="AM26" i="50"/>
  <c r="AN81" i="10"/>
  <c r="BD81" i="10" s="1"/>
  <c r="AP81" i="10"/>
  <c r="AT81" i="10" s="1"/>
  <c r="AX81" i="10" s="1"/>
  <c r="BF81" i="10" s="1"/>
  <c r="AL165" i="10"/>
  <c r="AL125" i="10"/>
  <c r="AL124" i="10"/>
  <c r="AM9" i="50"/>
  <c r="AN11" i="10"/>
  <c r="BD11" i="10" s="1"/>
  <c r="AM21" i="50"/>
  <c r="AO21" i="50" s="1"/>
  <c r="BE21" i="50" s="1"/>
  <c r="AN12" i="10"/>
  <c r="BD12" i="10" s="1"/>
  <c r="BA390" i="28"/>
  <c r="BA364" i="28"/>
  <c r="BA365" i="28"/>
  <c r="BA387" i="28"/>
  <c r="BA386" i="28"/>
  <c r="BA385" i="28"/>
  <c r="AQ391" i="28"/>
  <c r="BA62" i="28"/>
  <c r="AQ365" i="28"/>
  <c r="AQ81" i="28"/>
  <c r="BA81" i="28" s="1"/>
  <c r="AQ386" i="28"/>
  <c r="AQ385" i="28"/>
  <c r="AK64" i="77"/>
  <c r="AG64" i="77"/>
  <c r="AC64" i="77"/>
  <c r="W64" i="77"/>
  <c r="S64" i="77"/>
  <c r="AL127" i="10" l="1"/>
  <c r="AM93" i="50"/>
  <c r="AM100" i="50"/>
  <c r="AO14" i="50"/>
  <c r="BE14" i="50" s="1"/>
  <c r="AQ14" i="50"/>
  <c r="AU14" i="50" s="1"/>
  <c r="AY14" i="50" s="1"/>
  <c r="BA391" i="28"/>
  <c r="AP159" i="9"/>
  <c r="AN159" i="9"/>
  <c r="AP158" i="9"/>
  <c r="AN158" i="9"/>
  <c r="AP157" i="9"/>
  <c r="AN157" i="9"/>
  <c r="AL103" i="9" l="1"/>
  <c r="AM60" i="83" l="1"/>
  <c r="AM61" i="83"/>
  <c r="AM62" i="83"/>
  <c r="AM63" i="83"/>
  <c r="AM64" i="83"/>
  <c r="AM65" i="83"/>
  <c r="AM66" i="83"/>
  <c r="AM59" i="83"/>
  <c r="AM44" i="83"/>
  <c r="AM45" i="83"/>
  <c r="AM46" i="83"/>
  <c r="AM47" i="83"/>
  <c r="AM48" i="83"/>
  <c r="AM49" i="83"/>
  <c r="AM50" i="83"/>
  <c r="AM51" i="83"/>
  <c r="AM52" i="83"/>
  <c r="AM53" i="83"/>
  <c r="AM54" i="83"/>
  <c r="AM55" i="83"/>
  <c r="AM56" i="83"/>
  <c r="AM57" i="83"/>
  <c r="AM43" i="83"/>
  <c r="AM40" i="83"/>
  <c r="AM41" i="83"/>
  <c r="AM39" i="83"/>
  <c r="AM33" i="83"/>
  <c r="AM34" i="83"/>
  <c r="AM35" i="83"/>
  <c r="AM36" i="83"/>
  <c r="AM37" i="83"/>
  <c r="AM32" i="83"/>
  <c r="AM5" i="83"/>
  <c r="AM6" i="83"/>
  <c r="AM7" i="83"/>
  <c r="AM8" i="83"/>
  <c r="AM9" i="83"/>
  <c r="AM10" i="83"/>
  <c r="AM11" i="83"/>
  <c r="AM12" i="83"/>
  <c r="AM13" i="83"/>
  <c r="AM14" i="83"/>
  <c r="AM15" i="83"/>
  <c r="AM16" i="83"/>
  <c r="AM17" i="83"/>
  <c r="AM18" i="83"/>
  <c r="AM19" i="83"/>
  <c r="AM20" i="83"/>
  <c r="AM21" i="83"/>
  <c r="AM22" i="83"/>
  <c r="AM23" i="83"/>
  <c r="AM24" i="83"/>
  <c r="AM25" i="83"/>
  <c r="AM26" i="83"/>
  <c r="AM27" i="83"/>
  <c r="AM28" i="83"/>
  <c r="AM29" i="83"/>
  <c r="AM30" i="83"/>
  <c r="AM4" i="83"/>
  <c r="AI7" i="73"/>
  <c r="AI9" i="73"/>
  <c r="AI10" i="73"/>
  <c r="AI12" i="73"/>
  <c r="AI15" i="73"/>
  <c r="AI17" i="73"/>
  <c r="AI16" i="73" s="1"/>
  <c r="AI19" i="73"/>
  <c r="AM67" i="83" l="1"/>
  <c r="AM58" i="83"/>
  <c r="AM38" i="83"/>
  <c r="AM42" i="83"/>
  <c r="AM31" i="83"/>
  <c r="AK47" i="17"/>
  <c r="AM47" i="17" s="1"/>
  <c r="AK9" i="17"/>
  <c r="AM108" i="17"/>
  <c r="AM107" i="17"/>
  <c r="AM106" i="17"/>
  <c r="AM105" i="17"/>
  <c r="AM104" i="17"/>
  <c r="AM103" i="17"/>
  <c r="AM102" i="17"/>
  <c r="AM101" i="17"/>
  <c r="AM100" i="17"/>
  <c r="AM99" i="17"/>
  <c r="AM98" i="17"/>
  <c r="AM97" i="17"/>
  <c r="AM96" i="17"/>
  <c r="AM95" i="17"/>
  <c r="AM94" i="17"/>
  <c r="AM93" i="17"/>
  <c r="AM92" i="17"/>
  <c r="AM91" i="17"/>
  <c r="AM87" i="17"/>
  <c r="AL87" i="17"/>
  <c r="AM72" i="17"/>
  <c r="AM60" i="17"/>
  <c r="AM57" i="17"/>
  <c r="AM56" i="17"/>
  <c r="AM45" i="17"/>
  <c r="AM41" i="17"/>
  <c r="AM39" i="17"/>
  <c r="AM37" i="17"/>
  <c r="AM26" i="17"/>
  <c r="AL26" i="17"/>
  <c r="AM24" i="17"/>
  <c r="AL24" i="17"/>
  <c r="AM23" i="17"/>
  <c r="AL23" i="17"/>
  <c r="AM20" i="17"/>
  <c r="AM19" i="17"/>
  <c r="AL19" i="17"/>
  <c r="AM18" i="17"/>
  <c r="AM17" i="17"/>
  <c r="AL9" i="17"/>
  <c r="AM7" i="17"/>
  <c r="AM11" i="17" s="1"/>
  <c r="AL7" i="17"/>
  <c r="AM2" i="17"/>
  <c r="AM64" i="17" s="1"/>
  <c r="AL2" i="17"/>
  <c r="AL79" i="17" s="1"/>
  <c r="AM40" i="17" l="1"/>
  <c r="AL65" i="17"/>
  <c r="AL12" i="17"/>
  <c r="AM70" i="17"/>
  <c r="AM75" i="17"/>
  <c r="AL80" i="17"/>
  <c r="AL76" i="17"/>
  <c r="AM80" i="17"/>
  <c r="AM48" i="17"/>
  <c r="AM42" i="17"/>
  <c r="AM65" i="17"/>
  <c r="AL73" i="17"/>
  <c r="AM76" i="17"/>
  <c r="AL13" i="17"/>
  <c r="AM46" i="17"/>
  <c r="AL70" i="17"/>
  <c r="AM73" i="17"/>
  <c r="AM79" i="17"/>
  <c r="AM68" i="83"/>
  <c r="AM81" i="17"/>
  <c r="AM58" i="17"/>
  <c r="AL14" i="17"/>
  <c r="AL81" i="17"/>
  <c r="AM66" i="17"/>
  <c r="AM43" i="17"/>
  <c r="AM49" i="17" s="1"/>
  <c r="AM110" i="17" s="1"/>
  <c r="AM21" i="17"/>
  <c r="AM59" i="17"/>
  <c r="AM61" i="17"/>
  <c r="AL71" i="17"/>
  <c r="AL64" i="17"/>
  <c r="AL66" i="17" s="1"/>
  <c r="AL68" i="17" s="1"/>
  <c r="AM67" i="17"/>
  <c r="AM71" i="17"/>
  <c r="AM74" i="17"/>
  <c r="AL74" i="17"/>
  <c r="AM38" i="17"/>
  <c r="AL72" i="17"/>
  <c r="AL75" i="17"/>
  <c r="AK37" i="27"/>
  <c r="AK35" i="27"/>
  <c r="AK31" i="27"/>
  <c r="AK29" i="27"/>
  <c r="AK28" i="27"/>
  <c r="AK27" i="27"/>
  <c r="AK20" i="27"/>
  <c r="AK19" i="27"/>
  <c r="AK18" i="27"/>
  <c r="AM68" i="17" l="1"/>
  <c r="AM44" i="17"/>
  <c r="AL77" i="17"/>
  <c r="AM77" i="17"/>
  <c r="AM50" i="17"/>
  <c r="AM111" i="17" s="1"/>
  <c r="AJ39" i="27"/>
  <c r="AJ113" i="17" l="1"/>
  <c r="AK85" i="17"/>
  <c r="AK84" i="17"/>
  <c r="AK83" i="17"/>
  <c r="AK82" i="17"/>
  <c r="AK81" i="17"/>
  <c r="AJ81" i="17"/>
  <c r="AK77" i="17"/>
  <c r="AJ77" i="17"/>
  <c r="AK66" i="17"/>
  <c r="AK68" i="17" s="1"/>
  <c r="AJ66" i="17"/>
  <c r="AJ68" i="17" s="1"/>
  <c r="AJ60" i="17"/>
  <c r="AK58" i="17"/>
  <c r="AJ57" i="17"/>
  <c r="AJ56" i="17"/>
  <c r="AK51" i="17"/>
  <c r="AK52" i="17" s="1"/>
  <c r="AJ51" i="17"/>
  <c r="AJ50" i="17"/>
  <c r="AJ111" i="17" s="1"/>
  <c r="AJ115" i="17" s="1"/>
  <c r="AK48" i="17"/>
  <c r="AJ47" i="17"/>
  <c r="AK46" i="17"/>
  <c r="AJ45" i="17"/>
  <c r="AK43" i="17"/>
  <c r="AJ43" i="17"/>
  <c r="AK42" i="17"/>
  <c r="AK40" i="17"/>
  <c r="AK38" i="17"/>
  <c r="AK25" i="17"/>
  <c r="AK21" i="17"/>
  <c r="AJ20" i="17"/>
  <c r="AJ18" i="17"/>
  <c r="AJ17" i="17"/>
  <c r="AJ15" i="17"/>
  <c r="AJ29" i="17" s="1"/>
  <c r="AJ14" i="17"/>
  <c r="AK11" i="17"/>
  <c r="AK13" i="17"/>
  <c r="AK8" i="17"/>
  <c r="AJ8" i="17"/>
  <c r="AJ54" i="17" l="1"/>
  <c r="AK61" i="17"/>
  <c r="AK15" i="17"/>
  <c r="AK32" i="17" s="1"/>
  <c r="AJ58" i="17"/>
  <c r="AJ112" i="17"/>
  <c r="AJ21" i="17"/>
  <c r="AJ33" i="17" s="1"/>
  <c r="AJ10" i="17"/>
  <c r="AK44" i="17"/>
  <c r="AK59" i="17"/>
  <c r="AK29" i="17"/>
  <c r="AJ49" i="17"/>
  <c r="AK49" i="17"/>
  <c r="AK12" i="17"/>
  <c r="AK113" i="17" s="1"/>
  <c r="AK112" i="17"/>
  <c r="AK10" i="17"/>
  <c r="AK30" i="17"/>
  <c r="AK31" i="17" l="1"/>
  <c r="AK33" i="17"/>
  <c r="AJ59" i="17"/>
  <c r="AJ61" i="17"/>
  <c r="AJ30" i="17"/>
  <c r="AJ31" i="17"/>
  <c r="AK110" i="17"/>
  <c r="AK114" i="17" s="1"/>
  <c r="AK50" i="17"/>
  <c r="AK111" i="17" s="1"/>
  <c r="AK115" i="17" s="1"/>
  <c r="AK53" i="17"/>
  <c r="AK54" i="17" s="1"/>
  <c r="AK14" i="17"/>
  <c r="AJ110" i="17"/>
  <c r="AJ114" i="17" s="1"/>
  <c r="AJ53" i="17"/>
  <c r="AF287" i="28" l="1"/>
  <c r="AF288" i="28"/>
  <c r="AJ288" i="28" s="1"/>
  <c r="AJ223" i="28" l="1"/>
  <c r="AP223" i="28" s="1"/>
  <c r="AT223" i="28" s="1"/>
  <c r="AX223" i="28" s="1"/>
  <c r="BF223" i="28" s="1"/>
  <c r="AN223" i="28"/>
  <c r="BD223" i="28" s="1"/>
  <c r="BC153" i="73" l="1"/>
  <c r="AI153" i="73"/>
  <c r="AO153" i="73" s="1"/>
  <c r="AS153" i="73" s="1"/>
  <c r="AW153" i="73" s="1"/>
  <c r="BE153" i="73" s="1"/>
  <c r="BC140" i="73"/>
  <c r="AI140" i="73"/>
  <c r="AO140" i="73" s="1"/>
  <c r="AS140" i="73" s="1"/>
  <c r="AW140" i="73" s="1"/>
  <c r="BE140" i="73" s="1"/>
  <c r="I155" i="73"/>
  <c r="M155" i="73"/>
  <c r="AI155" i="73"/>
  <c r="AO155" i="73" s="1"/>
  <c r="AS155" i="73" s="1"/>
  <c r="AW155" i="73" s="1"/>
  <c r="BE155" i="73" s="1"/>
  <c r="BC155" i="73"/>
  <c r="BC181" i="73"/>
  <c r="AI181" i="73"/>
  <c r="AO181" i="73" s="1"/>
  <c r="AS181" i="73" s="1"/>
  <c r="AW181" i="73" s="1"/>
  <c r="BE181" i="73" s="1"/>
  <c r="BC71" i="73"/>
  <c r="AI71" i="73"/>
  <c r="AO71" i="73" s="1"/>
  <c r="AS71" i="73" s="1"/>
  <c r="AW71" i="73" s="1"/>
  <c r="BE71" i="73" s="1"/>
  <c r="Q155" i="73" l="1"/>
  <c r="AA155" i="73"/>
  <c r="AN17" i="61"/>
  <c r="AP17" i="61"/>
  <c r="AL17" i="61"/>
  <c r="AN15" i="52"/>
  <c r="AM15" i="52"/>
  <c r="AN14" i="52"/>
  <c r="AM14" i="52"/>
  <c r="AN13" i="52"/>
  <c r="AM13" i="52"/>
  <c r="AN12" i="52"/>
  <c r="AM12" i="52"/>
  <c r="AN11" i="52"/>
  <c r="AM11" i="52"/>
  <c r="AN10" i="52"/>
  <c r="AM10" i="52"/>
  <c r="AN9" i="52"/>
  <c r="AM9" i="52"/>
  <c r="AN7" i="52"/>
  <c r="AM7" i="52"/>
  <c r="AN6" i="52"/>
  <c r="AM6" i="52"/>
  <c r="AN5" i="52"/>
  <c r="AM5" i="52"/>
  <c r="AL16" i="52"/>
  <c r="AK16" i="52"/>
  <c r="AL8" i="52"/>
  <c r="AK8" i="52"/>
  <c r="AM38" i="27"/>
  <c r="AL38" i="27"/>
  <c r="AM32" i="27"/>
  <c r="AL32" i="27"/>
  <c r="AM23" i="27"/>
  <c r="AL23" i="27"/>
  <c r="AM15" i="27"/>
  <c r="AL15" i="27"/>
  <c r="AM14" i="27"/>
  <c r="AL14" i="27"/>
  <c r="AM13" i="27"/>
  <c r="AL13" i="27"/>
  <c r="AM12" i="27"/>
  <c r="AL12" i="27"/>
  <c r="AM11" i="27"/>
  <c r="AL11" i="27"/>
  <c r="AM10" i="27"/>
  <c r="AL10" i="27"/>
  <c r="AM9" i="27"/>
  <c r="AL9" i="27"/>
  <c r="AM8" i="27"/>
  <c r="AL8" i="27"/>
  <c r="AM7" i="27"/>
  <c r="AL7" i="27"/>
  <c r="AM6" i="27"/>
  <c r="AL6" i="27"/>
  <c r="AM2" i="27"/>
  <c r="AL2" i="27"/>
  <c r="AL37" i="27" s="1"/>
  <c r="AK36" i="27"/>
  <c r="AJ33" i="27"/>
  <c r="AK26" i="27"/>
  <c r="AK33" i="27" s="1"/>
  <c r="AJ24" i="27"/>
  <c r="AK21" i="27"/>
  <c r="AL36" i="27" l="1"/>
  <c r="AL18" i="27"/>
  <c r="AL21" i="27"/>
  <c r="AL27" i="27"/>
  <c r="AL30" i="27"/>
  <c r="AL31" i="27"/>
  <c r="AL35" i="27"/>
  <c r="AL28" i="27"/>
  <c r="AM31" i="27"/>
  <c r="AK17" i="52"/>
  <c r="AN8" i="52"/>
  <c r="AM16" i="52"/>
  <c r="AN16" i="52"/>
  <c r="AL17" i="52"/>
  <c r="AM8" i="52"/>
  <c r="AL39" i="27"/>
  <c r="AL19" i="27"/>
  <c r="AL22" i="27"/>
  <c r="AL26" i="27"/>
  <c r="AL29" i="27"/>
  <c r="AM22" i="27"/>
  <c r="AK24" i="27"/>
  <c r="AK39" i="27"/>
  <c r="AN17" i="52" l="1"/>
  <c r="AM17" i="52"/>
  <c r="AL33" i="27"/>
  <c r="AN27" i="22" l="1"/>
  <c r="AN25" i="22"/>
  <c r="AN30" i="22" s="1"/>
  <c r="AN22" i="22"/>
  <c r="AN21" i="22"/>
  <c r="AN13" i="22"/>
  <c r="AN11" i="22"/>
  <c r="AN19" i="22" s="1"/>
  <c r="AN8" i="22"/>
  <c r="AN7" i="22"/>
  <c r="AN3" i="22"/>
  <c r="AM3" i="22"/>
  <c r="AL28" i="22"/>
  <c r="AL24" i="22"/>
  <c r="AL26" i="22" s="1"/>
  <c r="AL23" i="22"/>
  <c r="AL14" i="22"/>
  <c r="AL10" i="22"/>
  <c r="AL12" i="22" s="1"/>
  <c r="AL9" i="22"/>
  <c r="AN31" i="22" l="1"/>
  <c r="AN23" i="22"/>
  <c r="AN9" i="22"/>
  <c r="AN28" i="22"/>
  <c r="AN14" i="22"/>
  <c r="AN17" i="22"/>
  <c r="AN18" i="22"/>
  <c r="AN16" i="22"/>
  <c r="AM107" i="26"/>
  <c r="BC107" i="26" s="1"/>
  <c r="AM105" i="26"/>
  <c r="BC105" i="26" s="1"/>
  <c r="AM103" i="26"/>
  <c r="BC103" i="26" s="1"/>
  <c r="AM101" i="26"/>
  <c r="BC101" i="26" s="1"/>
  <c r="AM99" i="26"/>
  <c r="BC99" i="26" s="1"/>
  <c r="AM97" i="26"/>
  <c r="BC97" i="26" s="1"/>
  <c r="AM95" i="26"/>
  <c r="BC95" i="26" s="1"/>
  <c r="AM93" i="26"/>
  <c r="BC93" i="26" s="1"/>
  <c r="AM88" i="26"/>
  <c r="AL88" i="26"/>
  <c r="AM87" i="26"/>
  <c r="AM86" i="26"/>
  <c r="AM85" i="26"/>
  <c r="AM84" i="26"/>
  <c r="AM79" i="26"/>
  <c r="BC79" i="26" s="1"/>
  <c r="AM77" i="26"/>
  <c r="BC77" i="26" s="1"/>
  <c r="BC82" i="26" s="1"/>
  <c r="AM73" i="26"/>
  <c r="AM72" i="26"/>
  <c r="BC72" i="26" s="1"/>
  <c r="AM71" i="26"/>
  <c r="BC71" i="26" s="1"/>
  <c r="AM70" i="26"/>
  <c r="BC70" i="26" s="1"/>
  <c r="AM69" i="26"/>
  <c r="BC69" i="26" s="1"/>
  <c r="AM68" i="26"/>
  <c r="BC68" i="26" s="1"/>
  <c r="AM67" i="26"/>
  <c r="BC67" i="26" s="1"/>
  <c r="AM66" i="26"/>
  <c r="BC66" i="26" s="1"/>
  <c r="AM65" i="26"/>
  <c r="BC65" i="26" s="1"/>
  <c r="AM64" i="26"/>
  <c r="BC64" i="26" s="1"/>
  <c r="AM63" i="26"/>
  <c r="BC63" i="26" s="1"/>
  <c r="AM62" i="26"/>
  <c r="BC62" i="26" s="1"/>
  <c r="AM61" i="26"/>
  <c r="BC61" i="26" s="1"/>
  <c r="AM60" i="26"/>
  <c r="BC60" i="26" s="1"/>
  <c r="AM59" i="26"/>
  <c r="BC59" i="26" s="1"/>
  <c r="AM58" i="26"/>
  <c r="BC58" i="26" s="1"/>
  <c r="AM53" i="26"/>
  <c r="BC53" i="26" s="1"/>
  <c r="AL52" i="26"/>
  <c r="BB52" i="26" s="1"/>
  <c r="AM51" i="26"/>
  <c r="BC51" i="26" s="1"/>
  <c r="AM47" i="26"/>
  <c r="AM42" i="26"/>
  <c r="BC42" i="26" s="1"/>
  <c r="AM40" i="26"/>
  <c r="BC40" i="26" s="1"/>
  <c r="AM38" i="26"/>
  <c r="BC38" i="26" s="1"/>
  <c r="AM36" i="26"/>
  <c r="BC36" i="26" s="1"/>
  <c r="AM34" i="26"/>
  <c r="BC34" i="26" s="1"/>
  <c r="AM32" i="26"/>
  <c r="BC32" i="26" s="1"/>
  <c r="AM30" i="26"/>
  <c r="BC30" i="26" s="1"/>
  <c r="AM28" i="26"/>
  <c r="BC28" i="26" s="1"/>
  <c r="AM26" i="26"/>
  <c r="BC26" i="26" s="1"/>
  <c r="AM24" i="26"/>
  <c r="BC24" i="26" s="1"/>
  <c r="AM22" i="26"/>
  <c r="BC22" i="26" s="1"/>
  <c r="AM20" i="26"/>
  <c r="AM16" i="26"/>
  <c r="BC16" i="26" s="1"/>
  <c r="AM14" i="26"/>
  <c r="BC14" i="26" s="1"/>
  <c r="AM10" i="26"/>
  <c r="BC10" i="26" s="1"/>
  <c r="AM8" i="26"/>
  <c r="AM2" i="26"/>
  <c r="AL2" i="26"/>
  <c r="AJ123" i="26"/>
  <c r="AK109" i="26"/>
  <c r="AJ107" i="26"/>
  <c r="AJ105" i="26"/>
  <c r="AJ103" i="26"/>
  <c r="AJ101" i="26"/>
  <c r="AJ99" i="26"/>
  <c r="AJ97" i="26"/>
  <c r="AJ95" i="26"/>
  <c r="AJ93" i="26"/>
  <c r="AK89" i="26"/>
  <c r="AK82" i="26"/>
  <c r="AK81" i="26"/>
  <c r="AJ79" i="26"/>
  <c r="AJ77" i="26"/>
  <c r="AK74" i="26"/>
  <c r="AJ72" i="26"/>
  <c r="AJ70" i="26"/>
  <c r="AJ68" i="26"/>
  <c r="AJ66" i="26"/>
  <c r="AJ64" i="26"/>
  <c r="AJ62" i="26"/>
  <c r="AJ83" i="17" s="1"/>
  <c r="AJ60" i="26"/>
  <c r="AJ58" i="26"/>
  <c r="AJ53" i="26"/>
  <c r="AJ51" i="26"/>
  <c r="AK49" i="26"/>
  <c r="AK50" i="26" s="1"/>
  <c r="AJ47" i="26"/>
  <c r="AK44" i="26"/>
  <c r="AJ42" i="26"/>
  <c r="AJ40" i="26"/>
  <c r="AJ38" i="26"/>
  <c r="AJ36" i="26"/>
  <c r="AJ34" i="26"/>
  <c r="AJ32" i="26"/>
  <c r="AJ30" i="26"/>
  <c r="AJ28" i="26"/>
  <c r="AJ82" i="17" s="1"/>
  <c r="AJ26" i="26"/>
  <c r="AJ25" i="17" s="1"/>
  <c r="AJ32" i="17" s="1"/>
  <c r="AJ24" i="26"/>
  <c r="AJ22" i="26"/>
  <c r="AJ20" i="26"/>
  <c r="AJ16" i="26"/>
  <c r="AJ14" i="26"/>
  <c r="AK11" i="26"/>
  <c r="AK12" i="26" s="1"/>
  <c r="AJ10" i="26"/>
  <c r="AJ8" i="26"/>
  <c r="AK28" i="15"/>
  <c r="AL21" i="15"/>
  <c r="AK30" i="15"/>
  <c r="AK29" i="15"/>
  <c r="AK24" i="15"/>
  <c r="AK23" i="15"/>
  <c r="AK22" i="15"/>
  <c r="AK21" i="15"/>
  <c r="AK20" i="15"/>
  <c r="AJ18" i="15"/>
  <c r="AK17" i="15"/>
  <c r="AK14" i="15"/>
  <c r="AJ11" i="15"/>
  <c r="AK10" i="15"/>
  <c r="AK9" i="15"/>
  <c r="AJ9" i="15"/>
  <c r="AK8" i="15"/>
  <c r="AJ8" i="15"/>
  <c r="AK7" i="15"/>
  <c r="AK6" i="15"/>
  <c r="AK5" i="15"/>
  <c r="BC81" i="26" l="1"/>
  <c r="BC109" i="26"/>
  <c r="BC74" i="26"/>
  <c r="AM49" i="26"/>
  <c r="BC47" i="26"/>
  <c r="BC49" i="26" s="1"/>
  <c r="BC44" i="26"/>
  <c r="AM11" i="26"/>
  <c r="BC8" i="26"/>
  <c r="BC11" i="26" s="1"/>
  <c r="AM81" i="26"/>
  <c r="AM85" i="17"/>
  <c r="AJ85" i="17"/>
  <c r="AM82" i="26"/>
  <c r="AM84" i="17"/>
  <c r="AM76" i="26"/>
  <c r="BC76" i="26" s="1"/>
  <c r="AM83" i="17"/>
  <c r="AJ74" i="26"/>
  <c r="AM82" i="17"/>
  <c r="AM109" i="26"/>
  <c r="AM89" i="26"/>
  <c r="AM74" i="26"/>
  <c r="AM44" i="26"/>
  <c r="AM18" i="26"/>
  <c r="AM12" i="26"/>
  <c r="AM17" i="26"/>
  <c r="AM50" i="26"/>
  <c r="AM55" i="26"/>
  <c r="AK17" i="26"/>
  <c r="AK55" i="26"/>
  <c r="AJ11" i="26"/>
  <c r="AJ49" i="26"/>
  <c r="AJ84" i="26"/>
  <c r="AK18" i="26"/>
  <c r="AJ109" i="26"/>
  <c r="AK56" i="26"/>
  <c r="AJ82" i="26"/>
  <c r="AJ44" i="26"/>
  <c r="AJ81" i="26"/>
  <c r="AK31" i="15"/>
  <c r="AJ12" i="15"/>
  <c r="AQ53" i="38"/>
  <c r="AR47" i="38"/>
  <c r="BH47" i="38" s="1"/>
  <c r="BH96" i="38" s="1"/>
  <c r="AR46" i="38"/>
  <c r="BH46" i="38" s="1"/>
  <c r="BH95" i="38" s="1"/>
  <c r="AR45" i="38"/>
  <c r="BH45" i="38" s="1"/>
  <c r="BH94" i="38" s="1"/>
  <c r="AR44" i="38"/>
  <c r="BH44" i="38" s="1"/>
  <c r="BH93" i="38" s="1"/>
  <c r="AR42" i="38"/>
  <c r="BH42" i="38" s="1"/>
  <c r="BH91" i="38" s="1"/>
  <c r="AR39" i="38"/>
  <c r="BH39" i="38" s="1"/>
  <c r="BH88" i="38" s="1"/>
  <c r="AR38" i="38"/>
  <c r="BH38" i="38" s="1"/>
  <c r="BH87" i="38" s="1"/>
  <c r="AR37" i="38"/>
  <c r="BH37" i="38" s="1"/>
  <c r="BH86" i="38" s="1"/>
  <c r="AR36" i="38"/>
  <c r="BH36" i="38" s="1"/>
  <c r="BH85" i="38" s="1"/>
  <c r="AR33" i="38"/>
  <c r="BH82" i="38" s="1"/>
  <c r="AR32" i="38"/>
  <c r="BH81" i="38" s="1"/>
  <c r="AR31" i="38"/>
  <c r="BH80" i="38" s="1"/>
  <c r="AR30" i="38"/>
  <c r="BH79" i="38" s="1"/>
  <c r="AR29" i="38"/>
  <c r="BH78" i="38" s="1"/>
  <c r="AR28" i="38"/>
  <c r="BH77" i="38" s="1"/>
  <c r="AR27" i="38"/>
  <c r="BH76" i="38" s="1"/>
  <c r="AR26" i="38"/>
  <c r="BH75" i="38" s="1"/>
  <c r="AR25" i="38"/>
  <c r="BH74" i="38" s="1"/>
  <c r="AR24" i="38"/>
  <c r="BH73" i="38" s="1"/>
  <c r="AR23" i="38"/>
  <c r="AR22" i="38"/>
  <c r="BH71" i="38" s="1"/>
  <c r="AR21" i="38"/>
  <c r="BH70" i="38" s="1"/>
  <c r="AR20" i="38"/>
  <c r="BH69" i="38" s="1"/>
  <c r="AR15" i="38"/>
  <c r="BH64" i="38" s="1"/>
  <c r="AR14" i="38"/>
  <c r="BH63" i="38" s="1"/>
  <c r="AR11" i="38"/>
  <c r="AR10" i="38"/>
  <c r="BH59" i="38" s="1"/>
  <c r="AR9" i="38"/>
  <c r="BH58" i="38" s="1"/>
  <c r="AR8" i="38"/>
  <c r="BH57" i="38" s="1"/>
  <c r="AR7" i="38"/>
  <c r="BH56" i="38" s="1"/>
  <c r="AR3" i="38"/>
  <c r="AR96" i="38" s="1"/>
  <c r="AQ3" i="38"/>
  <c r="AQ52" i="38" s="1"/>
  <c r="AP96" i="38"/>
  <c r="AP95" i="38"/>
  <c r="AP94" i="38"/>
  <c r="AP93" i="38"/>
  <c r="AO92" i="38"/>
  <c r="AP91" i="38"/>
  <c r="AO90" i="38"/>
  <c r="AP88" i="38"/>
  <c r="AP87" i="38"/>
  <c r="AP86" i="38"/>
  <c r="AP85" i="38"/>
  <c r="AO84" i="38"/>
  <c r="AP82" i="38"/>
  <c r="AP81" i="38"/>
  <c r="AP80" i="38"/>
  <c r="AP79" i="38"/>
  <c r="AP78" i="38"/>
  <c r="AP77" i="38"/>
  <c r="AP76" i="38"/>
  <c r="AP75" i="38"/>
  <c r="AP74" i="38"/>
  <c r="AP73" i="38"/>
  <c r="AP72" i="38"/>
  <c r="AP71" i="38"/>
  <c r="AP70" i="38"/>
  <c r="AP69" i="38"/>
  <c r="AO68" i="38"/>
  <c r="AP64" i="38"/>
  <c r="AP63" i="38"/>
  <c r="AO62" i="38"/>
  <c r="AP59" i="38"/>
  <c r="AP58" i="38"/>
  <c r="AP57" i="38"/>
  <c r="AP56" i="38"/>
  <c r="AO55" i="38"/>
  <c r="AO65" i="38" s="1"/>
  <c r="AO53" i="38"/>
  <c r="AP52" i="38"/>
  <c r="AO52" i="38"/>
  <c r="AO47" i="38"/>
  <c r="AO46" i="38"/>
  <c r="AO45" i="38"/>
  <c r="AO44" i="38"/>
  <c r="AP43" i="38"/>
  <c r="AO42" i="38"/>
  <c r="AO41" i="38" s="1"/>
  <c r="AP41" i="38"/>
  <c r="AO39" i="38"/>
  <c r="AO38" i="38"/>
  <c r="AO37" i="38"/>
  <c r="AO36" i="38"/>
  <c r="AP35" i="38"/>
  <c r="AO33" i="38"/>
  <c r="AO32" i="38"/>
  <c r="AO31" i="38"/>
  <c r="AO30" i="38"/>
  <c r="AO29" i="38"/>
  <c r="AO28" i="38"/>
  <c r="AO27" i="38"/>
  <c r="AO26" i="38"/>
  <c r="AO25" i="38"/>
  <c r="AO24" i="38"/>
  <c r="AO23" i="38"/>
  <c r="AO22" i="38"/>
  <c r="AO21" i="38"/>
  <c r="AO20" i="38"/>
  <c r="AP19" i="38"/>
  <c r="AP68" i="38" s="1"/>
  <c r="AO15" i="38"/>
  <c r="AO14" i="38"/>
  <c r="AP13" i="38"/>
  <c r="AP62" i="38" s="1"/>
  <c r="AO11" i="38"/>
  <c r="AO10" i="38"/>
  <c r="AO9" i="38"/>
  <c r="AO8" i="38"/>
  <c r="AO7" i="38"/>
  <c r="AP6" i="38"/>
  <c r="AP55" i="38" s="1"/>
  <c r="AI23" i="72"/>
  <c r="AK34" i="15" l="1"/>
  <c r="AK15" i="15" s="1"/>
  <c r="AK16" i="15" s="1"/>
  <c r="BC50" i="26"/>
  <c r="BC55" i="26"/>
  <c r="BC12" i="26"/>
  <c r="BC18" i="26"/>
  <c r="BC17" i="26"/>
  <c r="AN85" i="8"/>
  <c r="BH72" i="38"/>
  <c r="AO89" i="38"/>
  <c r="AO6" i="38"/>
  <c r="AR59" i="38"/>
  <c r="AR81" i="38"/>
  <c r="AR94" i="38"/>
  <c r="AR64" i="38"/>
  <c r="AR76" i="38"/>
  <c r="AR86" i="38"/>
  <c r="AR52" i="38"/>
  <c r="AR57" i="38"/>
  <c r="AR63" i="38"/>
  <c r="AR75" i="38"/>
  <c r="AR79" i="38"/>
  <c r="AR85" i="38"/>
  <c r="AN160" i="6"/>
  <c r="AR88" i="38"/>
  <c r="AR72" i="38"/>
  <c r="AR69" i="38"/>
  <c r="AN186" i="6"/>
  <c r="AR73" i="38"/>
  <c r="AR91" i="38"/>
  <c r="AR95" i="38"/>
  <c r="AR56" i="38"/>
  <c r="AR70" i="38"/>
  <c r="AR78" i="38"/>
  <c r="AR82" i="38"/>
  <c r="AJ84" i="17"/>
  <c r="AJ89" i="26"/>
  <c r="AJ50" i="26"/>
  <c r="AJ55" i="26"/>
  <c r="AJ56" i="26"/>
  <c r="AJ12" i="26"/>
  <c r="AJ17" i="26"/>
  <c r="AJ18" i="26"/>
  <c r="AP84" i="38"/>
  <c r="AP16" i="38"/>
  <c r="AP65" i="38" s="1"/>
  <c r="AO67" i="38"/>
  <c r="AO66" i="38" s="1"/>
  <c r="AR58" i="38"/>
  <c r="AR71" i="38"/>
  <c r="AR74" i="38"/>
  <c r="AR77" i="38"/>
  <c r="AR80" i="38"/>
  <c r="AR87" i="38"/>
  <c r="AR93" i="38"/>
  <c r="AO43" i="38"/>
  <c r="AO19" i="38"/>
  <c r="AO35" i="38"/>
  <c r="AO13" i="38"/>
  <c r="AP90" i="38"/>
  <c r="AP92" i="38"/>
  <c r="AP18" i="38"/>
  <c r="AP40" i="38"/>
  <c r="AK42" i="72"/>
  <c r="AK40" i="72"/>
  <c r="AK39" i="72"/>
  <c r="AK38" i="72"/>
  <c r="AK37" i="72"/>
  <c r="AK36" i="72"/>
  <c r="AK32" i="72"/>
  <c r="AK31" i="72"/>
  <c r="AK30" i="72"/>
  <c r="AK29" i="72"/>
  <c r="AK28" i="72"/>
  <c r="AK27" i="72"/>
  <c r="AK26" i="72"/>
  <c r="AK22" i="72"/>
  <c r="AK21" i="72"/>
  <c r="AK20" i="72"/>
  <c r="AK16" i="72"/>
  <c r="AK15" i="72"/>
  <c r="AK14" i="72"/>
  <c r="AK13" i="72"/>
  <c r="AK12" i="72"/>
  <c r="AK11" i="72"/>
  <c r="AK10" i="72"/>
  <c r="AK9" i="72"/>
  <c r="AK8" i="72"/>
  <c r="AK7" i="72"/>
  <c r="AI41" i="72"/>
  <c r="AI33" i="72"/>
  <c r="AI17" i="72"/>
  <c r="AM34" i="50"/>
  <c r="AM35" i="50"/>
  <c r="AM36" i="50"/>
  <c r="AM37" i="50"/>
  <c r="AM38" i="50"/>
  <c r="AM39" i="50"/>
  <c r="AM33" i="50"/>
  <c r="AM9" i="61"/>
  <c r="AM10" i="61"/>
  <c r="AM11" i="61"/>
  <c r="AM12" i="61"/>
  <c r="AM13" i="61"/>
  <c r="AM14" i="61"/>
  <c r="AM15" i="61"/>
  <c r="AM16" i="61"/>
  <c r="AM4" i="50"/>
  <c r="AP89" i="50"/>
  <c r="AP90" i="50" s="1"/>
  <c r="AN89" i="50"/>
  <c r="AN90" i="50" s="1"/>
  <c r="AL89" i="50"/>
  <c r="AL90" i="50" s="1"/>
  <c r="AM88" i="50"/>
  <c r="AM87" i="50"/>
  <c r="AM40" i="50" l="1"/>
  <c r="AM103" i="50" s="1"/>
  <c r="AM104" i="50" s="1"/>
  <c r="AM32" i="50"/>
  <c r="AM94" i="50" s="1"/>
  <c r="AK23" i="72"/>
  <c r="AM17" i="61"/>
  <c r="AO18" i="38"/>
  <c r="AO40" i="38"/>
  <c r="AP89" i="38"/>
  <c r="AO16" i="38"/>
  <c r="AP67" i="38"/>
  <c r="AP17" i="38"/>
  <c r="AK17" i="72"/>
  <c r="AK41" i="72"/>
  <c r="AK33" i="72"/>
  <c r="AI43" i="72"/>
  <c r="AM107" i="50" l="1"/>
  <c r="AM80" i="50"/>
  <c r="AM95" i="50"/>
  <c r="AM96" i="50"/>
  <c r="AL128" i="10"/>
  <c r="AL129" i="10" s="1"/>
  <c r="AO17" i="38"/>
  <c r="AP66" i="38"/>
  <c r="AK43" i="72"/>
  <c r="AO41" i="45" l="1"/>
  <c r="BE41" i="45" s="1"/>
  <c r="AK41" i="45"/>
  <c r="AQ41" i="45" s="1"/>
  <c r="AU41" i="45" s="1"/>
  <c r="AY41" i="45" s="1"/>
  <c r="BG41" i="45" s="1"/>
  <c r="AK35" i="45"/>
  <c r="AQ35" i="45" s="1"/>
  <c r="AU35" i="45" s="1"/>
  <c r="AY35" i="45" s="1"/>
  <c r="BG35" i="45" s="1"/>
  <c r="AK36" i="45"/>
  <c r="AQ36" i="45" s="1"/>
  <c r="AU36" i="45" s="1"/>
  <c r="AY36" i="45" s="1"/>
  <c r="BG36" i="45" s="1"/>
  <c r="AO35" i="45"/>
  <c r="BE35" i="45" s="1"/>
  <c r="AO36" i="45"/>
  <c r="BE36" i="45" s="1"/>
  <c r="AN46" i="11"/>
  <c r="AJ46" i="11"/>
  <c r="AP46" i="11" s="1"/>
  <c r="AT46" i="11" s="1"/>
  <c r="AX46" i="11" s="1"/>
  <c r="AN18" i="11"/>
  <c r="AJ18" i="11"/>
  <c r="AP18" i="11" s="1"/>
  <c r="AT18" i="11" s="1"/>
  <c r="AX18" i="11" s="1"/>
  <c r="AN29" i="11"/>
  <c r="AJ29" i="11"/>
  <c r="AP29" i="11" s="1"/>
  <c r="AT29" i="11" s="1"/>
  <c r="AX29" i="11" s="1"/>
  <c r="AK198" i="28" l="1"/>
  <c r="AK33" i="35"/>
  <c r="AK32" i="35"/>
  <c r="AK29" i="35"/>
  <c r="AK28" i="35"/>
  <c r="AK21" i="35"/>
  <c r="AK18" i="35"/>
  <c r="AJ17" i="15" s="1"/>
  <c r="AJ14" i="15" s="1"/>
  <c r="AJ15" i="15" s="1"/>
  <c r="AK16" i="35"/>
  <c r="CA7" i="71" l="1"/>
  <c r="CA8" i="71"/>
  <c r="CA9" i="71"/>
  <c r="CA10" i="71"/>
  <c r="CA11" i="71"/>
  <c r="CA12" i="71"/>
  <c r="CA13" i="71"/>
  <c r="CA14" i="71"/>
  <c r="CA15" i="71"/>
  <c r="CA16" i="71"/>
  <c r="CA17" i="71"/>
  <c r="CA18" i="71"/>
  <c r="CA19" i="71"/>
  <c r="CA20" i="71"/>
  <c r="CA21" i="71"/>
  <c r="CA22" i="71"/>
  <c r="CA23" i="71"/>
  <c r="CA24" i="71"/>
  <c r="CA25" i="71"/>
  <c r="CA26" i="71"/>
  <c r="CA27" i="71"/>
  <c r="CA28" i="71"/>
  <c r="CA31" i="71"/>
  <c r="CA32" i="71"/>
  <c r="CA33" i="71"/>
  <c r="CA34" i="71"/>
  <c r="CA35" i="71"/>
  <c r="CA36" i="71"/>
  <c r="CA37" i="71"/>
  <c r="CA38" i="71"/>
  <c r="CA39" i="71"/>
  <c r="CA40" i="71"/>
  <c r="CA41" i="71"/>
  <c r="CA42" i="71"/>
  <c r="CA43" i="71"/>
  <c r="CA44" i="71"/>
  <c r="CA45" i="71"/>
  <c r="CA48" i="71"/>
  <c r="CA49" i="71"/>
  <c r="CA50" i="71"/>
  <c r="CA51" i="71"/>
  <c r="CA52" i="71"/>
  <c r="CA53" i="71"/>
  <c r="CA54" i="71"/>
  <c r="CA55" i="71"/>
  <c r="CA56" i="71"/>
  <c r="CA57" i="71"/>
  <c r="CA58" i="71"/>
  <c r="CA59" i="71"/>
  <c r="CA60" i="71"/>
  <c r="CA61" i="71"/>
  <c r="CA62" i="71"/>
  <c r="CA63" i="71"/>
  <c r="CA64" i="71"/>
  <c r="CA65" i="71"/>
  <c r="CA66" i="71"/>
  <c r="CA67" i="71"/>
  <c r="CA68" i="71"/>
  <c r="CA69" i="71"/>
  <c r="CA70" i="71"/>
  <c r="CA71" i="71"/>
  <c r="CA72" i="71"/>
  <c r="AK10" i="71"/>
  <c r="AK11" i="71"/>
  <c r="AK12" i="71"/>
  <c r="AK13" i="71"/>
  <c r="AK14" i="71"/>
  <c r="AK15" i="71"/>
  <c r="AK16" i="71"/>
  <c r="AK17" i="71"/>
  <c r="AK18" i="71"/>
  <c r="AK19" i="71"/>
  <c r="AK20" i="71"/>
  <c r="AK21" i="71"/>
  <c r="AK22" i="71"/>
  <c r="AK23" i="71"/>
  <c r="AK24" i="71"/>
  <c r="AK25" i="71"/>
  <c r="AK26" i="71"/>
  <c r="AK27" i="71"/>
  <c r="AK28" i="71"/>
  <c r="AK33" i="71"/>
  <c r="AK34" i="71"/>
  <c r="AK35" i="71"/>
  <c r="AK36" i="71"/>
  <c r="AK37" i="71"/>
  <c r="AK38" i="71"/>
  <c r="AK39" i="71"/>
  <c r="AK40" i="71"/>
  <c r="AK41" i="71"/>
  <c r="AK42" i="71"/>
  <c r="AK43" i="71"/>
  <c r="AK44" i="71"/>
  <c r="AK45" i="71"/>
  <c r="AK48" i="71"/>
  <c r="AK49" i="71"/>
  <c r="AK50" i="71"/>
  <c r="AK51" i="71"/>
  <c r="AK52" i="71"/>
  <c r="AK53" i="71"/>
  <c r="AK54" i="71"/>
  <c r="AK55" i="71"/>
  <c r="AK56" i="71"/>
  <c r="AK57" i="71"/>
  <c r="AK58" i="71"/>
  <c r="AK59" i="71"/>
  <c r="AK60" i="71"/>
  <c r="AK61" i="71"/>
  <c r="AK62" i="71"/>
  <c r="AK63" i="71"/>
  <c r="AK64" i="71"/>
  <c r="AK65" i="71"/>
  <c r="AK66" i="71"/>
  <c r="AK67" i="71"/>
  <c r="AK68" i="71"/>
  <c r="AK69" i="71"/>
  <c r="AK70" i="71"/>
  <c r="AK71" i="71"/>
  <c r="AK72" i="71"/>
  <c r="AK73" i="71"/>
  <c r="AK74" i="71"/>
  <c r="AK75" i="71"/>
  <c r="AK76" i="71"/>
  <c r="R7" i="71"/>
  <c r="R8" i="71"/>
  <c r="R9" i="71"/>
  <c r="R10" i="71"/>
  <c r="R11" i="71"/>
  <c r="R12" i="71"/>
  <c r="R13" i="71"/>
  <c r="R14" i="71"/>
  <c r="R15" i="71"/>
  <c r="R16" i="71"/>
  <c r="R17" i="71"/>
  <c r="R18" i="71"/>
  <c r="R19" i="71"/>
  <c r="R20" i="71"/>
  <c r="R21" i="71"/>
  <c r="R22" i="71"/>
  <c r="R23" i="71"/>
  <c r="R24" i="71"/>
  <c r="R25" i="71"/>
  <c r="R26" i="71"/>
  <c r="R27" i="71"/>
  <c r="R28" i="71"/>
  <c r="R31" i="71"/>
  <c r="R32" i="71"/>
  <c r="R33" i="71"/>
  <c r="R34" i="71"/>
  <c r="R35" i="71"/>
  <c r="R36" i="71"/>
  <c r="R37" i="71"/>
  <c r="R38" i="71"/>
  <c r="R39" i="71"/>
  <c r="R40" i="71"/>
  <c r="R41" i="71"/>
  <c r="R42" i="71"/>
  <c r="R43" i="71"/>
  <c r="R44" i="71"/>
  <c r="R45" i="71"/>
  <c r="R48" i="71"/>
  <c r="R49" i="71"/>
  <c r="R50" i="71"/>
  <c r="R51" i="71"/>
  <c r="R52" i="71"/>
  <c r="R53" i="71"/>
  <c r="R54" i="71"/>
  <c r="R55" i="71"/>
  <c r="R56" i="71"/>
  <c r="R57" i="71"/>
  <c r="R58" i="71"/>
  <c r="R59" i="71"/>
  <c r="R60" i="71"/>
  <c r="R61" i="71"/>
  <c r="R62" i="71"/>
  <c r="R63" i="71"/>
  <c r="R64" i="71"/>
  <c r="R65" i="71"/>
  <c r="R66" i="71"/>
  <c r="R67" i="71"/>
  <c r="R68" i="71"/>
  <c r="R69" i="71"/>
  <c r="R70" i="71"/>
  <c r="R71" i="71"/>
  <c r="R72" i="71"/>
  <c r="R73" i="71"/>
  <c r="R74" i="71"/>
  <c r="R75" i="71"/>
  <c r="R76" i="71"/>
  <c r="AO100" i="45" l="1"/>
  <c r="BE100" i="45" s="1"/>
  <c r="AO99" i="45"/>
  <c r="AO95" i="45"/>
  <c r="BE95" i="45" s="1"/>
  <c r="AO94" i="45"/>
  <c r="BE94" i="45" s="1"/>
  <c r="BE96" i="45" s="1"/>
  <c r="AO84" i="45"/>
  <c r="BE84" i="45" s="1"/>
  <c r="AN84" i="45"/>
  <c r="BD84" i="45" s="1"/>
  <c r="AO82" i="45"/>
  <c r="BE82" i="45" s="1"/>
  <c r="AN82" i="45"/>
  <c r="BD82" i="45" s="1"/>
  <c r="AO71" i="45"/>
  <c r="BE71" i="45" s="1"/>
  <c r="AO70" i="45"/>
  <c r="BE70" i="45" s="1"/>
  <c r="AO69" i="45"/>
  <c r="BE69" i="45" s="1"/>
  <c r="AO68" i="45"/>
  <c r="BE68" i="45" s="1"/>
  <c r="AO67" i="45"/>
  <c r="BE67" i="45" s="1"/>
  <c r="AO66" i="45"/>
  <c r="BE66" i="45" s="1"/>
  <c r="AO65" i="45"/>
  <c r="BE65" i="45" s="1"/>
  <c r="AO64" i="45"/>
  <c r="BE64" i="45" s="1"/>
  <c r="AO63" i="45"/>
  <c r="BE63" i="45" s="1"/>
  <c r="AO62" i="45"/>
  <c r="BE62" i="45" s="1"/>
  <c r="AO61" i="45"/>
  <c r="BE61" i="45" s="1"/>
  <c r="AO60" i="45"/>
  <c r="BE60" i="45" s="1"/>
  <c r="AO59" i="45"/>
  <c r="BE59" i="45" s="1"/>
  <c r="AO58" i="45"/>
  <c r="BE58" i="45" s="1"/>
  <c r="AO56" i="45"/>
  <c r="BE56" i="45" s="1"/>
  <c r="AO55" i="45"/>
  <c r="BE55" i="45" s="1"/>
  <c r="AO54" i="45"/>
  <c r="BE54" i="45" s="1"/>
  <c r="AO53" i="45"/>
  <c r="BE53" i="45" s="1"/>
  <c r="AO52" i="45"/>
  <c r="BE52" i="45" s="1"/>
  <c r="AO51" i="45"/>
  <c r="BE51" i="45" s="1"/>
  <c r="AO50" i="45"/>
  <c r="BE50" i="45" s="1"/>
  <c r="AO49" i="45"/>
  <c r="BE49" i="45" s="1"/>
  <c r="AO48" i="45"/>
  <c r="BE48" i="45" s="1"/>
  <c r="AO47" i="45"/>
  <c r="BE47" i="45" s="1"/>
  <c r="AO46" i="45"/>
  <c r="BE46" i="45" s="1"/>
  <c r="AO45" i="45"/>
  <c r="BE45" i="45" s="1"/>
  <c r="AO43" i="45"/>
  <c r="BE43" i="45" s="1"/>
  <c r="AO42" i="45"/>
  <c r="BE42" i="45" s="1"/>
  <c r="AO40" i="45"/>
  <c r="BE40" i="45" s="1"/>
  <c r="AO39" i="45"/>
  <c r="BE39" i="45" s="1"/>
  <c r="AO37" i="45"/>
  <c r="BE37" i="45" s="1"/>
  <c r="AO34" i="45"/>
  <c r="BE34" i="45" s="1"/>
  <c r="AO33" i="45"/>
  <c r="BE33" i="45" s="1"/>
  <c r="AO32" i="45"/>
  <c r="BE32" i="45" s="1"/>
  <c r="AO31" i="45"/>
  <c r="BE31" i="45" s="1"/>
  <c r="AO30" i="45"/>
  <c r="BE30" i="45" s="1"/>
  <c r="AO29" i="45"/>
  <c r="BE29" i="45" s="1"/>
  <c r="AO28" i="45"/>
  <c r="BE28" i="45" s="1"/>
  <c r="AO27" i="45"/>
  <c r="BE27" i="45" s="1"/>
  <c r="AO26" i="45"/>
  <c r="BE26" i="45" s="1"/>
  <c r="AO25" i="45"/>
  <c r="BE25" i="45" s="1"/>
  <c r="AO24" i="45"/>
  <c r="BE24" i="45" s="1"/>
  <c r="AO22" i="45"/>
  <c r="AO21" i="45"/>
  <c r="BE21" i="45" s="1"/>
  <c r="AO20" i="45"/>
  <c r="BE20" i="45" s="1"/>
  <c r="AO19" i="45"/>
  <c r="BE19" i="45" s="1"/>
  <c r="AO18" i="45"/>
  <c r="BE18" i="45" s="1"/>
  <c r="AO17" i="45"/>
  <c r="BE17" i="45" s="1"/>
  <c r="AO16" i="45"/>
  <c r="BE16" i="45" s="1"/>
  <c r="AO15" i="45"/>
  <c r="BE15" i="45" s="1"/>
  <c r="AO14" i="45"/>
  <c r="BE14" i="45" s="1"/>
  <c r="AO13" i="45"/>
  <c r="BE13" i="45" s="1"/>
  <c r="AO12" i="45"/>
  <c r="BE12" i="45" s="1"/>
  <c r="AO11" i="45"/>
  <c r="BE11" i="45" s="1"/>
  <c r="AO10" i="45"/>
  <c r="BE10" i="45" s="1"/>
  <c r="AO9" i="45"/>
  <c r="BE9" i="45" s="1"/>
  <c r="AO8" i="45"/>
  <c r="BE8" i="45" s="1"/>
  <c r="AO7" i="45"/>
  <c r="BE7" i="45" s="1"/>
  <c r="AO6" i="45"/>
  <c r="BE6" i="45" s="1"/>
  <c r="AO5" i="45"/>
  <c r="AN5" i="45"/>
  <c r="BD5" i="45" s="1"/>
  <c r="BD75" i="45" s="1"/>
  <c r="AO2" i="45"/>
  <c r="BE2" i="45" s="1"/>
  <c r="AN2" i="45"/>
  <c r="BD2" i="45" s="1"/>
  <c r="AM105" i="45"/>
  <c r="AM104" i="45"/>
  <c r="AM102" i="45"/>
  <c r="AM96" i="45"/>
  <c r="AM103" i="45" s="1"/>
  <c r="AM91" i="45"/>
  <c r="AM90" i="45"/>
  <c r="AL90" i="45"/>
  <c r="AM89" i="45"/>
  <c r="AL89" i="45"/>
  <c r="AM87" i="45"/>
  <c r="AM88" i="45" s="1"/>
  <c r="AL87" i="45"/>
  <c r="AL88" i="45" s="1"/>
  <c r="AL86" i="45"/>
  <c r="AM85" i="45"/>
  <c r="AL85" i="45"/>
  <c r="AM83" i="45"/>
  <c r="AL83" i="45"/>
  <c r="AM80" i="45"/>
  <c r="AM81" i="45" s="1"/>
  <c r="AL80" i="45"/>
  <c r="AL81" i="45" s="1"/>
  <c r="AM74" i="45"/>
  <c r="AM107" i="45" s="1"/>
  <c r="AM73" i="45"/>
  <c r="AL73" i="45"/>
  <c r="AL92" i="45" s="1"/>
  <c r="AM72" i="45"/>
  <c r="AM106" i="45" s="1"/>
  <c r="AN78" i="11"/>
  <c r="AN83" i="11" s="1"/>
  <c r="AN74" i="11"/>
  <c r="AN73" i="11"/>
  <c r="AN75" i="11" s="1"/>
  <c r="AN63" i="11"/>
  <c r="AM63" i="11"/>
  <c r="AN61" i="11"/>
  <c r="AM61" i="11"/>
  <c r="AN50" i="11"/>
  <c r="AN49" i="11"/>
  <c r="AN48" i="11"/>
  <c r="AN47" i="11"/>
  <c r="AN45" i="11"/>
  <c r="AN44" i="11"/>
  <c r="AN43" i="11"/>
  <c r="AN42" i="11"/>
  <c r="AN41" i="11"/>
  <c r="AN39" i="11"/>
  <c r="AN38" i="11"/>
  <c r="AN37" i="11"/>
  <c r="AN36" i="11"/>
  <c r="AN35" i="11"/>
  <c r="AN34" i="11"/>
  <c r="AN33" i="11"/>
  <c r="AN32" i="11"/>
  <c r="BD32" i="11" s="1"/>
  <c r="AN31" i="11"/>
  <c r="AN30" i="11"/>
  <c r="AN28" i="11"/>
  <c r="AN27" i="11"/>
  <c r="AN26" i="11"/>
  <c r="AN25" i="11"/>
  <c r="AN24" i="11"/>
  <c r="AN23" i="11"/>
  <c r="AN22" i="11"/>
  <c r="AN21" i="11"/>
  <c r="AN20" i="11"/>
  <c r="AN19" i="11"/>
  <c r="AN17" i="11"/>
  <c r="AN16" i="11"/>
  <c r="AN15" i="11"/>
  <c r="AN14" i="11"/>
  <c r="AN13" i="11"/>
  <c r="AN12" i="11"/>
  <c r="AN11" i="11"/>
  <c r="AN10" i="11"/>
  <c r="AN9" i="11"/>
  <c r="AN8" i="11"/>
  <c r="AN7" i="11"/>
  <c r="AN5" i="11"/>
  <c r="AN81" i="11" s="1"/>
  <c r="AM5" i="11"/>
  <c r="AN2" i="11"/>
  <c r="AM2" i="11"/>
  <c r="AL83" i="11"/>
  <c r="AL81" i="11"/>
  <c r="AL75" i="11"/>
  <c r="AL82" i="11" s="1"/>
  <c r="AL70" i="11"/>
  <c r="AK70" i="11"/>
  <c r="AL69" i="11"/>
  <c r="AK69" i="11"/>
  <c r="AL68" i="11"/>
  <c r="AK68" i="11"/>
  <c r="AL66" i="11"/>
  <c r="AL67" i="11" s="1"/>
  <c r="AK66" i="11"/>
  <c r="AK67" i="11" s="1"/>
  <c r="AK65" i="11"/>
  <c r="AL64" i="11"/>
  <c r="AK64" i="11"/>
  <c r="AL62" i="11"/>
  <c r="AK62" i="11"/>
  <c r="AL59" i="11"/>
  <c r="AL60" i="11" s="1"/>
  <c r="AK59" i="11"/>
  <c r="AK60" i="11" s="1"/>
  <c r="AL55" i="11"/>
  <c r="AL53" i="11"/>
  <c r="AL77" i="11" s="1"/>
  <c r="AL52" i="11"/>
  <c r="AL90" i="11" s="1"/>
  <c r="AK52" i="11"/>
  <c r="AK54" i="11" s="1"/>
  <c r="AL51" i="11"/>
  <c r="AL84" i="11" s="1"/>
  <c r="AN150" i="10"/>
  <c r="AN146" i="10"/>
  <c r="BD146" i="10" s="1"/>
  <c r="AN145" i="10"/>
  <c r="BD145" i="10" s="1"/>
  <c r="BD147" i="10" s="1"/>
  <c r="AN135" i="10"/>
  <c r="BD135" i="10" s="1"/>
  <c r="AM135" i="10"/>
  <c r="BC135" i="10" s="1"/>
  <c r="AN133" i="10"/>
  <c r="BD133" i="10" s="1"/>
  <c r="AM133" i="10"/>
  <c r="BC133" i="10" s="1"/>
  <c r="AN7" i="10"/>
  <c r="AN5" i="10"/>
  <c r="AM5" i="10"/>
  <c r="AN2" i="10"/>
  <c r="AM2" i="10"/>
  <c r="AL155" i="10"/>
  <c r="AL153" i="10"/>
  <c r="AL147" i="10"/>
  <c r="AL148" i="10" s="1"/>
  <c r="AL142" i="10"/>
  <c r="AL141" i="10"/>
  <c r="AK141" i="10"/>
  <c r="AL140" i="10"/>
  <c r="AK140" i="10"/>
  <c r="AL138" i="10"/>
  <c r="AL139" i="10" s="1"/>
  <c r="AK138" i="10"/>
  <c r="AK137" i="10"/>
  <c r="AL136" i="10"/>
  <c r="AK136" i="10"/>
  <c r="AL134" i="10"/>
  <c r="AK134" i="10"/>
  <c r="AL131" i="10"/>
  <c r="AL132" i="10" s="1"/>
  <c r="AK131" i="10"/>
  <c r="AK132" i="10" s="1"/>
  <c r="AL149" i="10"/>
  <c r="AL156" i="10"/>
  <c r="AN132" i="9"/>
  <c r="BD132" i="9" s="1"/>
  <c r="AN131" i="9"/>
  <c r="BD131" i="9" s="1"/>
  <c r="AN130" i="9"/>
  <c r="BD130" i="9" s="1"/>
  <c r="AN129" i="9"/>
  <c r="BD129" i="9" s="1"/>
  <c r="AN128" i="9"/>
  <c r="BD128" i="9" s="1"/>
  <c r="AN127" i="9"/>
  <c r="BD127" i="9" s="1"/>
  <c r="AN126" i="9"/>
  <c r="BD126" i="9" s="1"/>
  <c r="AN125" i="9"/>
  <c r="BD125" i="9" s="1"/>
  <c r="AN124" i="9"/>
  <c r="BD124" i="9" s="1"/>
  <c r="AN123" i="9"/>
  <c r="BD123" i="9" s="1"/>
  <c r="AN122" i="9"/>
  <c r="BD122" i="9" s="1"/>
  <c r="AN121" i="9"/>
  <c r="BD121" i="9" s="1"/>
  <c r="AN120" i="9"/>
  <c r="BD120" i="9" s="1"/>
  <c r="AN119" i="9"/>
  <c r="BD119" i="9" s="1"/>
  <c r="AN118" i="9"/>
  <c r="BD118" i="9" s="1"/>
  <c r="AN117" i="9"/>
  <c r="BD117" i="9" s="1"/>
  <c r="BG53" i="59" s="1"/>
  <c r="AN116" i="9"/>
  <c r="BD116" i="9" s="1"/>
  <c r="AN115" i="9"/>
  <c r="BD115" i="9" s="1"/>
  <c r="AN114" i="9"/>
  <c r="BD114" i="9" s="1"/>
  <c r="AN113" i="9"/>
  <c r="BD113" i="9" s="1"/>
  <c r="AN112" i="9"/>
  <c r="BD112" i="9" s="1"/>
  <c r="AN111" i="9"/>
  <c r="BD111" i="9" s="1"/>
  <c r="AN109" i="9"/>
  <c r="BD109" i="9" s="1"/>
  <c r="AN108" i="9"/>
  <c r="BD108" i="9" s="1"/>
  <c r="AN107" i="9"/>
  <c r="BD107" i="9" s="1"/>
  <c r="AN106" i="9"/>
  <c r="BD106" i="9" s="1"/>
  <c r="AN105" i="9"/>
  <c r="AP105" i="9" s="1"/>
  <c r="AM105" i="9"/>
  <c r="AO105" i="9" s="1"/>
  <c r="AN92" i="9"/>
  <c r="BD92" i="9" s="1"/>
  <c r="AN88" i="9"/>
  <c r="BD88" i="9" s="1"/>
  <c r="AN70" i="9"/>
  <c r="BD70" i="9" s="1"/>
  <c r="AN69" i="9"/>
  <c r="BD69" i="9" s="1"/>
  <c r="AN68" i="9"/>
  <c r="BD68" i="9" s="1"/>
  <c r="AN67" i="9"/>
  <c r="BD67" i="9" s="1"/>
  <c r="AN66" i="9"/>
  <c r="BD66" i="9" s="1"/>
  <c r="AN65" i="9"/>
  <c r="BD65" i="9" s="1"/>
  <c r="AN64" i="9"/>
  <c r="BD64" i="9" s="1"/>
  <c r="AN63" i="9"/>
  <c r="BD63" i="9" s="1"/>
  <c r="AN61" i="9"/>
  <c r="BD61" i="9" s="1"/>
  <c r="BD78" i="9" s="1"/>
  <c r="AN59" i="9"/>
  <c r="BD59" i="9" s="1"/>
  <c r="AN58" i="9"/>
  <c r="BD58" i="9" s="1"/>
  <c r="AN56" i="9"/>
  <c r="BD56" i="9" s="1"/>
  <c r="AN55" i="9"/>
  <c r="BD55" i="9" s="1"/>
  <c r="AN45" i="9"/>
  <c r="BD45" i="9" s="1"/>
  <c r="AN44" i="9"/>
  <c r="BD44" i="9" s="1"/>
  <c r="AN43" i="9"/>
  <c r="BD43" i="9" s="1"/>
  <c r="AN42" i="9"/>
  <c r="AN41" i="9"/>
  <c r="BD41" i="9" s="1"/>
  <c r="AN40" i="9"/>
  <c r="BD40" i="9" s="1"/>
  <c r="AN39" i="9"/>
  <c r="BD39" i="9" s="1"/>
  <c r="AN38" i="9"/>
  <c r="BD38" i="9" s="1"/>
  <c r="AM38" i="9"/>
  <c r="BC38" i="9" s="1"/>
  <c r="AN33" i="9"/>
  <c r="BD33" i="9" s="1"/>
  <c r="AN32" i="9"/>
  <c r="BD32" i="9" s="1"/>
  <c r="AN30" i="9"/>
  <c r="BD30" i="9" s="1"/>
  <c r="AN29" i="9"/>
  <c r="BD29" i="9" s="1"/>
  <c r="AM29" i="9"/>
  <c r="BC29" i="9" s="1"/>
  <c r="AN27" i="9"/>
  <c r="BD27" i="9" s="1"/>
  <c r="AN24" i="9"/>
  <c r="AN23" i="9"/>
  <c r="AN22" i="9"/>
  <c r="AN20" i="9"/>
  <c r="AM20" i="9"/>
  <c r="BC20" i="9" s="1"/>
  <c r="AN18" i="9"/>
  <c r="BD18" i="9" s="1"/>
  <c r="AN17" i="9"/>
  <c r="BD17" i="9" s="1"/>
  <c r="AN16" i="9"/>
  <c r="BD16" i="9" s="1"/>
  <c r="AN15" i="9"/>
  <c r="AM15" i="9"/>
  <c r="AN13" i="9"/>
  <c r="BD13" i="9" s="1"/>
  <c r="AN12" i="9"/>
  <c r="BD12" i="9" s="1"/>
  <c r="AN11" i="9"/>
  <c r="BD11" i="9" s="1"/>
  <c r="AN9" i="9"/>
  <c r="AN8" i="9"/>
  <c r="AN7" i="9"/>
  <c r="BD7" i="9" s="1"/>
  <c r="AN2" i="9"/>
  <c r="BD2" i="9" s="1"/>
  <c r="AM2" i="9"/>
  <c r="AK104" i="9"/>
  <c r="AK102" i="9"/>
  <c r="AK101" i="9"/>
  <c r="AL99" i="9"/>
  <c r="AK99" i="9"/>
  <c r="AL98" i="9"/>
  <c r="AK98" i="9"/>
  <c r="AL97" i="9"/>
  <c r="AK97" i="9"/>
  <c r="AL93" i="9"/>
  <c r="AK78" i="9"/>
  <c r="AK76" i="9"/>
  <c r="AK75" i="9"/>
  <c r="AK73" i="9"/>
  <c r="AK72" i="9"/>
  <c r="AL60" i="9"/>
  <c r="AL57" i="9"/>
  <c r="AK53" i="9"/>
  <c r="AK52" i="9"/>
  <c r="AK51" i="9"/>
  <c r="AK47" i="9"/>
  <c r="AL46" i="9"/>
  <c r="AL36" i="9"/>
  <c r="AM117" i="50" s="1"/>
  <c r="AM118" i="50" s="1"/>
  <c r="AL35" i="9"/>
  <c r="AL34" i="9"/>
  <c r="AL31" i="9"/>
  <c r="AL25" i="9"/>
  <c r="AK24" i="9"/>
  <c r="AK22" i="9"/>
  <c r="AL19" i="9"/>
  <c r="AL10" i="9"/>
  <c r="AL5" i="9"/>
  <c r="AK5" i="9"/>
  <c r="AP94" i="8"/>
  <c r="AP99" i="8"/>
  <c r="AP110" i="8"/>
  <c r="AP112" i="8"/>
  <c r="AP115" i="8"/>
  <c r="AP116" i="8"/>
  <c r="AP118" i="8"/>
  <c r="AP119" i="8"/>
  <c r="AP121" i="8"/>
  <c r="AP122" i="8"/>
  <c r="AP124" i="8"/>
  <c r="AP87" i="8"/>
  <c r="AO58" i="8"/>
  <c r="AO75" i="8"/>
  <c r="AO71" i="8"/>
  <c r="AO50" i="8"/>
  <c r="AN127" i="8"/>
  <c r="AN123" i="8"/>
  <c r="AN125" i="8" s="1"/>
  <c r="AN126" i="8" s="1"/>
  <c r="AN120" i="8"/>
  <c r="AN117" i="8"/>
  <c r="AN111" i="8"/>
  <c r="AN108" i="8"/>
  <c r="BD108" i="8" s="1"/>
  <c r="AN105" i="8"/>
  <c r="AN102" i="8"/>
  <c r="AN101" i="8"/>
  <c r="AN100" i="8"/>
  <c r="AN98" i="8"/>
  <c r="AN96" i="8"/>
  <c r="AN95" i="8"/>
  <c r="AN93" i="8"/>
  <c r="AN92" i="8"/>
  <c r="AN87" i="8"/>
  <c r="AM71" i="8"/>
  <c r="AM59" i="8"/>
  <c r="AN58" i="8"/>
  <c r="AN32" i="8"/>
  <c r="AM32" i="8"/>
  <c r="AN30" i="8"/>
  <c r="AN29" i="8"/>
  <c r="AN28" i="8"/>
  <c r="AN27" i="8"/>
  <c r="AN26" i="8"/>
  <c r="AN24" i="8"/>
  <c r="AN23" i="8"/>
  <c r="BD23" i="8" s="1"/>
  <c r="AN22" i="8"/>
  <c r="AM20" i="8"/>
  <c r="AN19" i="8"/>
  <c r="AM19" i="8"/>
  <c r="AN18" i="8"/>
  <c r="AM18" i="8"/>
  <c r="AN17" i="8"/>
  <c r="AM8" i="15" s="1"/>
  <c r="AM17" i="8"/>
  <c r="AL8" i="15" s="1"/>
  <c r="AN10" i="8"/>
  <c r="AM10" i="8"/>
  <c r="AN9" i="8"/>
  <c r="AM9" i="8"/>
  <c r="AN8" i="8"/>
  <c r="AM8" i="8"/>
  <c r="AN6" i="8"/>
  <c r="AN2" i="8"/>
  <c r="AM2" i="8"/>
  <c r="BC2" i="8" s="1"/>
  <c r="AL129" i="8"/>
  <c r="AL131" i="8" s="1"/>
  <c r="AL88" i="8"/>
  <c r="AL85" i="8"/>
  <c r="AL86" i="8" s="1"/>
  <c r="AK85" i="8"/>
  <c r="AL83" i="8"/>
  <c r="AK83" i="8"/>
  <c r="AL82" i="8"/>
  <c r="AK82" i="8"/>
  <c r="AK81" i="8"/>
  <c r="AL80" i="8"/>
  <c r="AK78" i="8"/>
  <c r="AK77" i="8"/>
  <c r="AL76" i="8"/>
  <c r="AK76" i="8"/>
  <c r="AK75" i="8"/>
  <c r="AK73" i="8"/>
  <c r="AK72" i="8"/>
  <c r="AK71" i="8"/>
  <c r="AK70" i="8"/>
  <c r="AK69" i="8"/>
  <c r="AL66" i="8"/>
  <c r="AL67" i="8" s="1"/>
  <c r="AL64" i="8"/>
  <c r="AL65" i="8" s="1"/>
  <c r="AL62" i="8"/>
  <c r="AL63" i="8" s="1"/>
  <c r="AL59" i="8"/>
  <c r="AL56" i="8"/>
  <c r="AK50" i="8"/>
  <c r="AL48" i="8"/>
  <c r="AL49" i="8" s="1"/>
  <c r="AK5" i="26" s="1"/>
  <c r="AK48" i="8"/>
  <c r="AL46" i="8"/>
  <c r="AL45" i="8"/>
  <c r="AK45" i="8"/>
  <c r="AL44" i="8"/>
  <c r="AK44" i="8"/>
  <c r="AL43" i="8"/>
  <c r="AK43" i="8"/>
  <c r="AL42" i="8"/>
  <c r="AK42" i="8"/>
  <c r="AL40" i="8"/>
  <c r="AK40" i="8"/>
  <c r="AL39" i="8"/>
  <c r="AK39" i="8"/>
  <c r="AL38" i="8"/>
  <c r="AK38" i="8"/>
  <c r="AL25" i="8"/>
  <c r="AL20" i="8"/>
  <c r="AL16" i="8"/>
  <c r="AK16" i="8"/>
  <c r="AL14" i="8"/>
  <c r="AK14" i="8"/>
  <c r="AL13" i="8"/>
  <c r="AK13" i="8"/>
  <c r="AL12" i="8"/>
  <c r="AK12" i="8"/>
  <c r="AK6" i="8"/>
  <c r="AK79" i="8" s="1"/>
  <c r="BC143" i="10" l="1"/>
  <c r="BF59" i="59" s="1"/>
  <c r="BC134" i="10"/>
  <c r="BF58" i="59" s="1"/>
  <c r="BC136" i="10"/>
  <c r="AM127" i="10"/>
  <c r="BC5" i="10"/>
  <c r="BD134" i="10"/>
  <c r="BG58" i="59" s="1"/>
  <c r="BD136" i="10"/>
  <c r="AN153" i="10"/>
  <c r="BD5" i="10"/>
  <c r="BD153" i="10" s="1"/>
  <c r="BD154" i="10"/>
  <c r="BD148" i="10"/>
  <c r="BD7" i="10"/>
  <c r="AN155" i="10"/>
  <c r="BD150" i="10"/>
  <c r="BD155" i="10" s="1"/>
  <c r="AM92" i="45"/>
  <c r="AM106" i="50"/>
  <c r="AM108" i="50" s="1"/>
  <c r="BD52" i="11"/>
  <c r="BD55" i="11"/>
  <c r="BD56" i="11" s="1"/>
  <c r="BD51" i="11"/>
  <c r="BD84" i="11" s="1"/>
  <c r="BD9" i="49"/>
  <c r="BD11" i="36"/>
  <c r="BG38" i="59" s="1"/>
  <c r="BD25" i="8"/>
  <c r="BD39" i="8"/>
  <c r="BD41" i="8" s="1"/>
  <c r="BD42" i="9"/>
  <c r="BE127" i="50" s="1"/>
  <c r="AO127" i="50"/>
  <c r="AO128" i="50" s="1"/>
  <c r="AO129" i="50" s="1"/>
  <c r="AN135" i="9"/>
  <c r="BD8" i="9"/>
  <c r="AN137" i="9"/>
  <c r="BD22" i="9"/>
  <c r="AN136" i="9"/>
  <c r="BD9" i="9"/>
  <c r="BD136" i="9" s="1"/>
  <c r="AN138" i="9"/>
  <c r="BD138" i="9" s="1"/>
  <c r="BD23" i="9"/>
  <c r="AN139" i="9"/>
  <c r="BD24" i="9"/>
  <c r="BC15" i="9"/>
  <c r="BC89" i="9" s="1"/>
  <c r="BD31" i="9"/>
  <c r="BD35" i="9"/>
  <c r="AN51" i="9"/>
  <c r="BD15" i="9"/>
  <c r="BD89" i="9" s="1"/>
  <c r="BD51" i="9"/>
  <c r="BD36" i="9"/>
  <c r="BE117" i="50" s="1"/>
  <c r="BE118" i="50" s="1"/>
  <c r="BD57" i="9"/>
  <c r="BD34" i="9"/>
  <c r="BD94" i="9"/>
  <c r="BC18" i="15" s="1"/>
  <c r="AM103" i="9"/>
  <c r="BC2" i="9"/>
  <c r="BD44" i="36"/>
  <c r="BD52" i="36" s="1"/>
  <c r="BD76" i="9"/>
  <c r="AS105" i="9"/>
  <c r="AW105" i="9" s="1"/>
  <c r="BE105" i="9" s="1"/>
  <c r="BC105" i="9"/>
  <c r="BD46" i="9"/>
  <c r="AT105" i="9"/>
  <c r="AX105" i="9" s="1"/>
  <c r="BF105" i="9" s="1"/>
  <c r="BD105" i="9"/>
  <c r="BD10" i="9"/>
  <c r="AN101" i="9"/>
  <c r="BD20" i="9"/>
  <c r="BD93" i="9" s="1"/>
  <c r="BD85" i="45"/>
  <c r="BD83" i="45"/>
  <c r="BD92" i="45"/>
  <c r="BE83" i="45"/>
  <c r="BE85" i="45"/>
  <c r="BE103" i="45"/>
  <c r="BE22" i="45"/>
  <c r="BE73" i="45" s="1"/>
  <c r="BE106" i="50" s="1"/>
  <c r="BE74" i="45"/>
  <c r="AO86" i="45"/>
  <c r="BE5" i="45"/>
  <c r="BE102" i="45" s="1"/>
  <c r="AO104" i="45"/>
  <c r="BE99" i="45"/>
  <c r="BE104" i="45" s="1"/>
  <c r="BE72" i="45"/>
  <c r="BE106" i="45" s="1"/>
  <c r="BC74" i="8"/>
  <c r="AN83" i="8"/>
  <c r="BD2" i="8"/>
  <c r="AN36" i="9"/>
  <c r="AO117" i="50" s="1"/>
  <c r="AO118" i="50" s="1"/>
  <c r="AL14" i="9"/>
  <c r="AK77" i="9"/>
  <c r="AN97" i="8"/>
  <c r="AN31" i="9"/>
  <c r="AN44" i="8"/>
  <c r="AL48" i="9"/>
  <c r="AK74" i="9"/>
  <c r="AK92" i="9"/>
  <c r="AK33" i="22"/>
  <c r="AJ125" i="26"/>
  <c r="AL33" i="22"/>
  <c r="AK125" i="26"/>
  <c r="AN62" i="11"/>
  <c r="AK139" i="10"/>
  <c r="AL57" i="8"/>
  <c r="AL61" i="8" s="1"/>
  <c r="AL60" i="8"/>
  <c r="AO96" i="45"/>
  <c r="AN64" i="11"/>
  <c r="AN53" i="11"/>
  <c r="AN85" i="11" s="1"/>
  <c r="AN65" i="11"/>
  <c r="AN52" i="11"/>
  <c r="AN55" i="11"/>
  <c r="AL56" i="11"/>
  <c r="AN147" i="10"/>
  <c r="AL41" i="8"/>
  <c r="AL15" i="8"/>
  <c r="AL94" i="9"/>
  <c r="AK18" i="15" s="1"/>
  <c r="AL96" i="9"/>
  <c r="AL100" i="9"/>
  <c r="AL90" i="9"/>
  <c r="AN34" i="9"/>
  <c r="AL47" i="9"/>
  <c r="AN10" i="9"/>
  <c r="AK41" i="8"/>
  <c r="AL75" i="45"/>
  <c r="AL112" i="45"/>
  <c r="AL72" i="45"/>
  <c r="AL76" i="45"/>
  <c r="AK15" i="8"/>
  <c r="AK63" i="9"/>
  <c r="AK64" i="9"/>
  <c r="AK68" i="9"/>
  <c r="AK61" i="9"/>
  <c r="AK58" i="9"/>
  <c r="AK69" i="9"/>
  <c r="AK55" i="9"/>
  <c r="AK59" i="9"/>
  <c r="AK70" i="9"/>
  <c r="AK100" i="9"/>
  <c r="AK28" i="8"/>
  <c r="AK29" i="8"/>
  <c r="AK49" i="8"/>
  <c r="AK24" i="8"/>
  <c r="AK26" i="8"/>
  <c r="AK57" i="8" s="1"/>
  <c r="AK86" i="8"/>
  <c r="AK23" i="8"/>
  <c r="AN85" i="45"/>
  <c r="AO85" i="45"/>
  <c r="AO72" i="45"/>
  <c r="AO106" i="45" s="1"/>
  <c r="AO74" i="45"/>
  <c r="AO98" i="45" s="1"/>
  <c r="AM110" i="45"/>
  <c r="AO102" i="45"/>
  <c r="AO103" i="45"/>
  <c r="AO97" i="45"/>
  <c r="AO73" i="45"/>
  <c r="AO106" i="50" s="1"/>
  <c r="AN83" i="45"/>
  <c r="AO83" i="45"/>
  <c r="AM108" i="45"/>
  <c r="AM112" i="45"/>
  <c r="AM76" i="45"/>
  <c r="AM77" i="45" s="1"/>
  <c r="AM97" i="45"/>
  <c r="AM98" i="45"/>
  <c r="AM75" i="45"/>
  <c r="AN76" i="11"/>
  <c r="AN82" i="11"/>
  <c r="AN51" i="11"/>
  <c r="AN84" i="11" s="1"/>
  <c r="AM64" i="11"/>
  <c r="AN57" i="11"/>
  <c r="AM62" i="11"/>
  <c r="AL76" i="11"/>
  <c r="AL88" i="11"/>
  <c r="AK51" i="11"/>
  <c r="AL54" i="11"/>
  <c r="AL85" i="11"/>
  <c r="AL86" i="11" s="1"/>
  <c r="AK71" i="11"/>
  <c r="AK90" i="11"/>
  <c r="AL71" i="11"/>
  <c r="AL154" i="10"/>
  <c r="AL160" i="10" s="1"/>
  <c r="AN134" i="10"/>
  <c r="AN136" i="10"/>
  <c r="AM136" i="10"/>
  <c r="AL157" i="10"/>
  <c r="AL158" i="10" s="1"/>
  <c r="AN149" i="10"/>
  <c r="AN148" i="10"/>
  <c r="AN154" i="10"/>
  <c r="AM134" i="10"/>
  <c r="AN137" i="10"/>
  <c r="BD137" i="10" s="1"/>
  <c r="AL166" i="10"/>
  <c r="AK143" i="10"/>
  <c r="AL162" i="10"/>
  <c r="AL62" i="9"/>
  <c r="AN46" i="9"/>
  <c r="AK25" i="9"/>
  <c r="AK88" i="9" s="1"/>
  <c r="AL37" i="9"/>
  <c r="AN25" i="9"/>
  <c r="AN134" i="9"/>
  <c r="BD134" i="9" s="1"/>
  <c r="AN35" i="9"/>
  <c r="AN93" i="9"/>
  <c r="AK7" i="9"/>
  <c r="AK67" i="9"/>
  <c r="AL89" i="9"/>
  <c r="AK95" i="9"/>
  <c r="AK56" i="9"/>
  <c r="AK65" i="9"/>
  <c r="AK27" i="9"/>
  <c r="AK66" i="9"/>
  <c r="AN45" i="8"/>
  <c r="AN76" i="8"/>
  <c r="AN40" i="8"/>
  <c r="AN39" i="8"/>
  <c r="AN43" i="8"/>
  <c r="AN46" i="8"/>
  <c r="AN75" i="8"/>
  <c r="BD75" i="8" s="1"/>
  <c r="BG42" i="59" s="1"/>
  <c r="AN42" i="8"/>
  <c r="AN129" i="8"/>
  <c r="AN130" i="8" s="1"/>
  <c r="AN77" i="8"/>
  <c r="AN84" i="8"/>
  <c r="BD84" i="8" s="1"/>
  <c r="AN78" i="8"/>
  <c r="AN113" i="8"/>
  <c r="AN114" i="8" s="1"/>
  <c r="AN38" i="8"/>
  <c r="AN25" i="8"/>
  <c r="AL70" i="8"/>
  <c r="AL33" i="8"/>
  <c r="AL36" i="8"/>
  <c r="AL71" i="8"/>
  <c r="AL35" i="8"/>
  <c r="AL72" i="8"/>
  <c r="AK22" i="8"/>
  <c r="AK27" i="8"/>
  <c r="AL130" i="8"/>
  <c r="AK30" i="8"/>
  <c r="AO104" i="7"/>
  <c r="AO103" i="7"/>
  <c r="AO102" i="7"/>
  <c r="AO101" i="7"/>
  <c r="AO100" i="7"/>
  <c r="AO99" i="7"/>
  <c r="AO98" i="7"/>
  <c r="AO97" i="7"/>
  <c r="AO94" i="7"/>
  <c r="AO85" i="7"/>
  <c r="AO79" i="7"/>
  <c r="AO56" i="7"/>
  <c r="AO55" i="7"/>
  <c r="AO54" i="7"/>
  <c r="AO53" i="7"/>
  <c r="AO52" i="7"/>
  <c r="AO51" i="7"/>
  <c r="AO90" i="7" s="1"/>
  <c r="AO50" i="7"/>
  <c r="AO49" i="7"/>
  <c r="AO28" i="7"/>
  <c r="AO88" i="7" s="1"/>
  <c r="AM104" i="7"/>
  <c r="AK104" i="7"/>
  <c r="AM103" i="7"/>
  <c r="AK103" i="7"/>
  <c r="AM102" i="7"/>
  <c r="AK102" i="7"/>
  <c r="AM101" i="7"/>
  <c r="AK101" i="7"/>
  <c r="AM100" i="7"/>
  <c r="AK100" i="7"/>
  <c r="AM99" i="7"/>
  <c r="AK99" i="7"/>
  <c r="AM98" i="7"/>
  <c r="AK98" i="7"/>
  <c r="AM97" i="7"/>
  <c r="AK97" i="7"/>
  <c r="AM94" i="7"/>
  <c r="AK94" i="7"/>
  <c r="AM88" i="7"/>
  <c r="AM85" i="7"/>
  <c r="AM79" i="7"/>
  <c r="AK79" i="7"/>
  <c r="AL78" i="7"/>
  <c r="AK78" i="7"/>
  <c r="AL76" i="7"/>
  <c r="AK76" i="7"/>
  <c r="AL69" i="7"/>
  <c r="AK69" i="7"/>
  <c r="AN68" i="7"/>
  <c r="AM68" i="7"/>
  <c r="AN66" i="7"/>
  <c r="AM66" i="7"/>
  <c r="AL65" i="7"/>
  <c r="AK65" i="7"/>
  <c r="AN62" i="7"/>
  <c r="AL61" i="7"/>
  <c r="AL51" i="7" s="1"/>
  <c r="AL90" i="7" s="1"/>
  <c r="AK61" i="7"/>
  <c r="AN60" i="7"/>
  <c r="AM60" i="7"/>
  <c r="AN59" i="7"/>
  <c r="AM59" i="7"/>
  <c r="AM56" i="7"/>
  <c r="AK56" i="7"/>
  <c r="AM55" i="7"/>
  <c r="AK55" i="7"/>
  <c r="AM54" i="7"/>
  <c r="AK54" i="7"/>
  <c r="AM53" i="7"/>
  <c r="AK53" i="7"/>
  <c r="AM52" i="7"/>
  <c r="AK52" i="7"/>
  <c r="AM51" i="7"/>
  <c r="AM90" i="7" s="1"/>
  <c r="AK51" i="7"/>
  <c r="AK90" i="7" s="1"/>
  <c r="AM50" i="7"/>
  <c r="AK50" i="7"/>
  <c r="AM49" i="7"/>
  <c r="AK49" i="7"/>
  <c r="AN45" i="7"/>
  <c r="BD45" i="7" s="1"/>
  <c r="BD56" i="7" s="1"/>
  <c r="AM45" i="7"/>
  <c r="BC45" i="7" s="1"/>
  <c r="AN44" i="7"/>
  <c r="BD44" i="7" s="1"/>
  <c r="BD55" i="7" s="1"/>
  <c r="AM44" i="7"/>
  <c r="BC44" i="7" s="1"/>
  <c r="AN43" i="7"/>
  <c r="BD43" i="7" s="1"/>
  <c r="AM43" i="7"/>
  <c r="BC43" i="7" s="1"/>
  <c r="BC72" i="7" s="1"/>
  <c r="AN42" i="7"/>
  <c r="BD42" i="7" s="1"/>
  <c r="BD53" i="7" s="1"/>
  <c r="AM42" i="7"/>
  <c r="BC42" i="7" s="1"/>
  <c r="AN41" i="7"/>
  <c r="BD41" i="7" s="1"/>
  <c r="BD52" i="7" s="1"/>
  <c r="AM41" i="7"/>
  <c r="BC41" i="7" s="1"/>
  <c r="AN40" i="7"/>
  <c r="BD40" i="7" s="1"/>
  <c r="BD51" i="7" s="1"/>
  <c r="BD90" i="7" s="1"/>
  <c r="AM40" i="7"/>
  <c r="BC40" i="7" s="1"/>
  <c r="AN39" i="7"/>
  <c r="BD39" i="7" s="1"/>
  <c r="BD50" i="7" s="1"/>
  <c r="AM39" i="7"/>
  <c r="BC39" i="7" s="1"/>
  <c r="AN38" i="7"/>
  <c r="BD38" i="7" s="1"/>
  <c r="BD49" i="7" s="1"/>
  <c r="AM38" i="7"/>
  <c r="BC38" i="7" s="1"/>
  <c r="AK19" i="7"/>
  <c r="AK37" i="7" s="1"/>
  <c r="AN18" i="7"/>
  <c r="BD18" i="7" s="1"/>
  <c r="BD33" i="7" s="1"/>
  <c r="BD94" i="7" s="1"/>
  <c r="AM18" i="7"/>
  <c r="BC18" i="7" s="1"/>
  <c r="AN17" i="7"/>
  <c r="BD17" i="7" s="1"/>
  <c r="BD32" i="7" s="1"/>
  <c r="BD84" i="7" s="1"/>
  <c r="AM17" i="7"/>
  <c r="BC17" i="7" s="1"/>
  <c r="AN15" i="7"/>
  <c r="BD15" i="7" s="1"/>
  <c r="BD30" i="7" s="1"/>
  <c r="BD91" i="7" s="1"/>
  <c r="AM15" i="7"/>
  <c r="BC15" i="7" s="1"/>
  <c r="AN14" i="7"/>
  <c r="BD14" i="7" s="1"/>
  <c r="BD29" i="7" s="1"/>
  <c r="BD89" i="7" s="1"/>
  <c r="BG35" i="59" s="1"/>
  <c r="AM14" i="7"/>
  <c r="BC14" i="7" s="1"/>
  <c r="AN13" i="7"/>
  <c r="BD13" i="7" s="1"/>
  <c r="BD28" i="7" s="1"/>
  <c r="BD88" i="7" s="1"/>
  <c r="BG34" i="59" s="1"/>
  <c r="AM13" i="7"/>
  <c r="BC13" i="7" s="1"/>
  <c r="AM12" i="7"/>
  <c r="BC12" i="7" s="1"/>
  <c r="AL19" i="7"/>
  <c r="AL37" i="7" s="1"/>
  <c r="AN11" i="7"/>
  <c r="BD11" i="7" s="1"/>
  <c r="BD26" i="7" s="1"/>
  <c r="BD86" i="7" s="1"/>
  <c r="AM11" i="7"/>
  <c r="BC11" i="7" s="1"/>
  <c r="AN10" i="7"/>
  <c r="BD10" i="7" s="1"/>
  <c r="BD25" i="7" s="1"/>
  <c r="BD85" i="7" s="1"/>
  <c r="AM10" i="7"/>
  <c r="BC10" i="7" s="1"/>
  <c r="AN9" i="7"/>
  <c r="BD9" i="7" s="1"/>
  <c r="AM9" i="7"/>
  <c r="BC9" i="7" s="1"/>
  <c r="AN8" i="7"/>
  <c r="BD8" i="7" s="1"/>
  <c r="BD23" i="7" s="1"/>
  <c r="BD83" i="7" s="1"/>
  <c r="BG31" i="59" s="1"/>
  <c r="AM8" i="7"/>
  <c r="BC8" i="7" s="1"/>
  <c r="AN7" i="7"/>
  <c r="BD7" i="7" s="1"/>
  <c r="BD22" i="7" s="1"/>
  <c r="BD82" i="7" s="1"/>
  <c r="BG30" i="59" s="1"/>
  <c r="AM7" i="7"/>
  <c r="BC7" i="7" s="1"/>
  <c r="AN6" i="7"/>
  <c r="AM6" i="7"/>
  <c r="AN2" i="7"/>
  <c r="AN78" i="7" s="1"/>
  <c r="BD78" i="7" s="1"/>
  <c r="AM2" i="7"/>
  <c r="AL1" i="7"/>
  <c r="AK1" i="7"/>
  <c r="AO192" i="6"/>
  <c r="AO191" i="6"/>
  <c r="AO190" i="6"/>
  <c r="AO188" i="6"/>
  <c r="AO183" i="6"/>
  <c r="AO182" i="6"/>
  <c r="AO179" i="6"/>
  <c r="AO178" i="6"/>
  <c r="AO177" i="6"/>
  <c r="AO176" i="6"/>
  <c r="AO175" i="6"/>
  <c r="AO174" i="6"/>
  <c r="AO172" i="6"/>
  <c r="AO171" i="6"/>
  <c r="AO170" i="6"/>
  <c r="AO162" i="6"/>
  <c r="AO158" i="6"/>
  <c r="AO157" i="6"/>
  <c r="AO154" i="6"/>
  <c r="AO153" i="6"/>
  <c r="AO152" i="6"/>
  <c r="AO151" i="6"/>
  <c r="AO150" i="6"/>
  <c r="AO149" i="6"/>
  <c r="AO147" i="6"/>
  <c r="AO146" i="6"/>
  <c r="AO145" i="6"/>
  <c r="AO81" i="6"/>
  <c r="AO79" i="6"/>
  <c r="AO78" i="6"/>
  <c r="AO76" i="6"/>
  <c r="AO75" i="6"/>
  <c r="AO36" i="6"/>
  <c r="AO35" i="6"/>
  <c r="AO34" i="6"/>
  <c r="AO33" i="6"/>
  <c r="AO9" i="6"/>
  <c r="AO8" i="6"/>
  <c r="AM192" i="6"/>
  <c r="AK192" i="6"/>
  <c r="AM191" i="6"/>
  <c r="AL191" i="6"/>
  <c r="AK191" i="6"/>
  <c r="AM190" i="6"/>
  <c r="AK190" i="6"/>
  <c r="AM188" i="6"/>
  <c r="AK188" i="6"/>
  <c r="AL186" i="6"/>
  <c r="AK186" i="6"/>
  <c r="AL185" i="6"/>
  <c r="AK185" i="6"/>
  <c r="AL184" i="6"/>
  <c r="AK184" i="6"/>
  <c r="AM183" i="6"/>
  <c r="AK183" i="6"/>
  <c r="AM182" i="6"/>
  <c r="AK182" i="6"/>
  <c r="AM179" i="6"/>
  <c r="AK179" i="6"/>
  <c r="AM178" i="6"/>
  <c r="AK178" i="6"/>
  <c r="AM177" i="6"/>
  <c r="AK177" i="6"/>
  <c r="AM176" i="6"/>
  <c r="AK176" i="6"/>
  <c r="AM175" i="6"/>
  <c r="AK175" i="6"/>
  <c r="AM174" i="6"/>
  <c r="AK174" i="6"/>
  <c r="AM172" i="6"/>
  <c r="AK172" i="6"/>
  <c r="AM171" i="6"/>
  <c r="AK171" i="6"/>
  <c r="AM170" i="6"/>
  <c r="AK170" i="6"/>
  <c r="AM162" i="6"/>
  <c r="AK162" i="6"/>
  <c r="AL160" i="6"/>
  <c r="AK160" i="6"/>
  <c r="AL159" i="6"/>
  <c r="AK159" i="6"/>
  <c r="AM158" i="6"/>
  <c r="AK158" i="6"/>
  <c r="AM157" i="6"/>
  <c r="AK157" i="6"/>
  <c r="AN156" i="6"/>
  <c r="AN158" i="6" s="1"/>
  <c r="AM154" i="6"/>
  <c r="AK154" i="6"/>
  <c r="AM153" i="6"/>
  <c r="AK153" i="6"/>
  <c r="AM152" i="6"/>
  <c r="AK152" i="6"/>
  <c r="AM151" i="6"/>
  <c r="AK151" i="6"/>
  <c r="AM150" i="6"/>
  <c r="AK150" i="6"/>
  <c r="AM149" i="6"/>
  <c r="AK149" i="6"/>
  <c r="AM147" i="6"/>
  <c r="AK147" i="6"/>
  <c r="AM146" i="6"/>
  <c r="AK146" i="6"/>
  <c r="AM145" i="6"/>
  <c r="AK145" i="6"/>
  <c r="AL135" i="6"/>
  <c r="AL134" i="6"/>
  <c r="AL133" i="6"/>
  <c r="AK133" i="6"/>
  <c r="AL130" i="6"/>
  <c r="AK130" i="6"/>
  <c r="AL129" i="6"/>
  <c r="AK129" i="6"/>
  <c r="AL128" i="6"/>
  <c r="AK128" i="6"/>
  <c r="AL127" i="6"/>
  <c r="AK127" i="6"/>
  <c r="AL125" i="6"/>
  <c r="AL124" i="6"/>
  <c r="AL123" i="6"/>
  <c r="AL122" i="6"/>
  <c r="AL121" i="6"/>
  <c r="AN118" i="6"/>
  <c r="AN117" i="6"/>
  <c r="AN116" i="6"/>
  <c r="AM116" i="6"/>
  <c r="AL114" i="6"/>
  <c r="AK114" i="6"/>
  <c r="AN113" i="6"/>
  <c r="AM113" i="6"/>
  <c r="AN112" i="6"/>
  <c r="AM112" i="6"/>
  <c r="AN111" i="6"/>
  <c r="AM111" i="6"/>
  <c r="AN110" i="6"/>
  <c r="AM110" i="6"/>
  <c r="AL109" i="6"/>
  <c r="AK109" i="6"/>
  <c r="AN108" i="6"/>
  <c r="AM108" i="6"/>
  <c r="AN107" i="6"/>
  <c r="AM107" i="6"/>
  <c r="AN106" i="6"/>
  <c r="AM106" i="6"/>
  <c r="AN105" i="6"/>
  <c r="AM105" i="6"/>
  <c r="AN104" i="6"/>
  <c r="AM104" i="6"/>
  <c r="AN101" i="6"/>
  <c r="AN100" i="6"/>
  <c r="AN99" i="6"/>
  <c r="AM99" i="6"/>
  <c r="AL97" i="6"/>
  <c r="AK97" i="6"/>
  <c r="AN96" i="6"/>
  <c r="AM96" i="6"/>
  <c r="AN95" i="6"/>
  <c r="AM95" i="6"/>
  <c r="AN94" i="6"/>
  <c r="AM94" i="6"/>
  <c r="AN93" i="6"/>
  <c r="AM93" i="6"/>
  <c r="AL92" i="6"/>
  <c r="AK92" i="6"/>
  <c r="AN91" i="6"/>
  <c r="AM91" i="6"/>
  <c r="AN90" i="6"/>
  <c r="AM90" i="6"/>
  <c r="AN89" i="6"/>
  <c r="AM89" i="6"/>
  <c r="AN88" i="6"/>
  <c r="AM88" i="6"/>
  <c r="AN87" i="6"/>
  <c r="AM87" i="6"/>
  <c r="AN84" i="6"/>
  <c r="AM84" i="6"/>
  <c r="AN83" i="6"/>
  <c r="AK83" i="6"/>
  <c r="AN82" i="6"/>
  <c r="AK82" i="6"/>
  <c r="AM81" i="6"/>
  <c r="AK81" i="6"/>
  <c r="AM79" i="6"/>
  <c r="AK79" i="6"/>
  <c r="AM78" i="6"/>
  <c r="AK78" i="6"/>
  <c r="AM76" i="6"/>
  <c r="AK76" i="6"/>
  <c r="AM75" i="6"/>
  <c r="AK75" i="6"/>
  <c r="AL73" i="6"/>
  <c r="AK73" i="6"/>
  <c r="AN72" i="6"/>
  <c r="AM72" i="6"/>
  <c r="AN71" i="6"/>
  <c r="AM71" i="6"/>
  <c r="AN70" i="6"/>
  <c r="AM70" i="6"/>
  <c r="AN69" i="6"/>
  <c r="AM69" i="6"/>
  <c r="AN68" i="6"/>
  <c r="AM68" i="6"/>
  <c r="AN66" i="6"/>
  <c r="AM66" i="6"/>
  <c r="AL65" i="6"/>
  <c r="AK65" i="6"/>
  <c r="AN64" i="6"/>
  <c r="AM64" i="6"/>
  <c r="AN63" i="6"/>
  <c r="AN65" i="6" s="1"/>
  <c r="AM63" i="6"/>
  <c r="AL62" i="6"/>
  <c r="AK62" i="6"/>
  <c r="AN61" i="6"/>
  <c r="AM61" i="6"/>
  <c r="AN60" i="6"/>
  <c r="AM60" i="6"/>
  <c r="AM62" i="6" s="1"/>
  <c r="AL52" i="6"/>
  <c r="AL51" i="6"/>
  <c r="AL50" i="6"/>
  <c r="AN49" i="6"/>
  <c r="BD49" i="6" s="1"/>
  <c r="AN48" i="6"/>
  <c r="BD48" i="6" s="1"/>
  <c r="AL47" i="6"/>
  <c r="AN46" i="6"/>
  <c r="BD46" i="6" s="1"/>
  <c r="AN45" i="6"/>
  <c r="BD45" i="6" s="1"/>
  <c r="AL44" i="6"/>
  <c r="AN43" i="6"/>
  <c r="BD43" i="6" s="1"/>
  <c r="AN42" i="6"/>
  <c r="AL41" i="6"/>
  <c r="AN40" i="6"/>
  <c r="AN39" i="6"/>
  <c r="BD39" i="6" s="1"/>
  <c r="AM36" i="6"/>
  <c r="AK36" i="6"/>
  <c r="AM35" i="6"/>
  <c r="AK35" i="6"/>
  <c r="AM34" i="6"/>
  <c r="AK34" i="6"/>
  <c r="AM33" i="6"/>
  <c r="AK33" i="6"/>
  <c r="AL30" i="6"/>
  <c r="AL29" i="6"/>
  <c r="AL28" i="6"/>
  <c r="AN27" i="6"/>
  <c r="BD27" i="6" s="1"/>
  <c r="AN26" i="6"/>
  <c r="AL25" i="6"/>
  <c r="AN24" i="6"/>
  <c r="BD24" i="6" s="1"/>
  <c r="AN23" i="6"/>
  <c r="BD23" i="6" s="1"/>
  <c r="AL22" i="6"/>
  <c r="AN21" i="6"/>
  <c r="BD21" i="6" s="1"/>
  <c r="AN20" i="6"/>
  <c r="BD20" i="6" s="1"/>
  <c r="AL19" i="6"/>
  <c r="AM9" i="6"/>
  <c r="AK9" i="6"/>
  <c r="AM8" i="6"/>
  <c r="AK8" i="6"/>
  <c r="AK6" i="6"/>
  <c r="AK5" i="6"/>
  <c r="AK11" i="6" s="1"/>
  <c r="AN2" i="6"/>
  <c r="AM2" i="6"/>
  <c r="AN66" i="77"/>
  <c r="AR66" i="77" s="1"/>
  <c r="AN67" i="77"/>
  <c r="AR67" i="77" s="1"/>
  <c r="AN68" i="77"/>
  <c r="AR68" i="77" s="1"/>
  <c r="AM75" i="77"/>
  <c r="BC75" i="77" s="1"/>
  <c r="AM74" i="77"/>
  <c r="BC74" i="77" s="1"/>
  <c r="AM72" i="77"/>
  <c r="AM70" i="77"/>
  <c r="BC70" i="77" s="1"/>
  <c r="AM69" i="77"/>
  <c r="BC69" i="77" s="1"/>
  <c r="AM68" i="77"/>
  <c r="BC68" i="77" s="1"/>
  <c r="AM67" i="77"/>
  <c r="BC67" i="77" s="1"/>
  <c r="AM66" i="77"/>
  <c r="BC66" i="77" s="1"/>
  <c r="AM65" i="77"/>
  <c r="BC65" i="77" s="1"/>
  <c r="AM64" i="77"/>
  <c r="BC64" i="77" s="1"/>
  <c r="AM63" i="77"/>
  <c r="AL63" i="77"/>
  <c r="AM62" i="77"/>
  <c r="AL62" i="77"/>
  <c r="AM61" i="77"/>
  <c r="BC61" i="77" s="1"/>
  <c r="AL61" i="77"/>
  <c r="BB61" i="77" s="1"/>
  <c r="AM60" i="77"/>
  <c r="BC60" i="77" s="1"/>
  <c r="AL60" i="77"/>
  <c r="BB60" i="77" s="1"/>
  <c r="AM59" i="77"/>
  <c r="BC59" i="77" s="1"/>
  <c r="AL59" i="77"/>
  <c r="BB59" i="77" s="1"/>
  <c r="AM57" i="77"/>
  <c r="BC57" i="77" s="1"/>
  <c r="AL57" i="77"/>
  <c r="BB57" i="77" s="1"/>
  <c r="AM56" i="77"/>
  <c r="BC56" i="77" s="1"/>
  <c r="AL56" i="77"/>
  <c r="BB56" i="77" s="1"/>
  <c r="AM55" i="77"/>
  <c r="BC55" i="77" s="1"/>
  <c r="AL55" i="77"/>
  <c r="BB55" i="77" s="1"/>
  <c r="AM54" i="77"/>
  <c r="BC54" i="77" s="1"/>
  <c r="AL54" i="77"/>
  <c r="BB54" i="77" s="1"/>
  <c r="AM53" i="77"/>
  <c r="BC53" i="77" s="1"/>
  <c r="AL53" i="77"/>
  <c r="BB53" i="77" s="1"/>
  <c r="AM52" i="77"/>
  <c r="BC52" i="77" s="1"/>
  <c r="AL52" i="77"/>
  <c r="BB52" i="77" s="1"/>
  <c r="AM51" i="77"/>
  <c r="BC51" i="77" s="1"/>
  <c r="AL51" i="77"/>
  <c r="BB51" i="77" s="1"/>
  <c r="AM50" i="77"/>
  <c r="BC50" i="77" s="1"/>
  <c r="AL50" i="77"/>
  <c r="BB50" i="77" s="1"/>
  <c r="AM49" i="77"/>
  <c r="BC49" i="77" s="1"/>
  <c r="AL49" i="77"/>
  <c r="BB49" i="77" s="1"/>
  <c r="AM48" i="77"/>
  <c r="AL48" i="77"/>
  <c r="AM47" i="77"/>
  <c r="BC47" i="77" s="1"/>
  <c r="AL47" i="77"/>
  <c r="BB47" i="77" s="1"/>
  <c r="AM46" i="77"/>
  <c r="BC46" i="77" s="1"/>
  <c r="AL46" i="77"/>
  <c r="BB46" i="77" s="1"/>
  <c r="AM45" i="77"/>
  <c r="BC45" i="77" s="1"/>
  <c r="AL45" i="77"/>
  <c r="BB45" i="77" s="1"/>
  <c r="AM44" i="77"/>
  <c r="BC44" i="77" s="1"/>
  <c r="AL44" i="77"/>
  <c r="BB44" i="77" s="1"/>
  <c r="AM42" i="77"/>
  <c r="BC42" i="77" s="1"/>
  <c r="AL42" i="77"/>
  <c r="BB42" i="77" s="1"/>
  <c r="AM41" i="77"/>
  <c r="BC41" i="77" s="1"/>
  <c r="AL41" i="77"/>
  <c r="BB41" i="77" s="1"/>
  <c r="AM40" i="77"/>
  <c r="BC40" i="77" s="1"/>
  <c r="AL40" i="77"/>
  <c r="BB40" i="77" s="1"/>
  <c r="AM39" i="77"/>
  <c r="AL39" i="77"/>
  <c r="AM38" i="77"/>
  <c r="BC38" i="77" s="1"/>
  <c r="AL38" i="77"/>
  <c r="BB38" i="77" s="1"/>
  <c r="AM37" i="77"/>
  <c r="BC37" i="77" s="1"/>
  <c r="AL37" i="77"/>
  <c r="BB37" i="77" s="1"/>
  <c r="AM36" i="77"/>
  <c r="BC36" i="77" s="1"/>
  <c r="AL36" i="77"/>
  <c r="BB36" i="77" s="1"/>
  <c r="AM35" i="77"/>
  <c r="BC35" i="77" s="1"/>
  <c r="AL35" i="77"/>
  <c r="BB35" i="77" s="1"/>
  <c r="AM34" i="77"/>
  <c r="AL34" i="77"/>
  <c r="AM32" i="77"/>
  <c r="BC32" i="77" s="1"/>
  <c r="AL32" i="77"/>
  <c r="BB32" i="77" s="1"/>
  <c r="AM31" i="77"/>
  <c r="BC31" i="77" s="1"/>
  <c r="AL31" i="77"/>
  <c r="BB31" i="77" s="1"/>
  <c r="AM30" i="77"/>
  <c r="BC30" i="77" s="1"/>
  <c r="AL30" i="77"/>
  <c r="BB30" i="77" s="1"/>
  <c r="BB33" i="77" s="1"/>
  <c r="AM28" i="77"/>
  <c r="BC28" i="77" s="1"/>
  <c r="AL28" i="77"/>
  <c r="BB28" i="77" s="1"/>
  <c r="AM27" i="77"/>
  <c r="BC27" i="77" s="1"/>
  <c r="AL27" i="77"/>
  <c r="BB27" i="77" s="1"/>
  <c r="AM26" i="77"/>
  <c r="BC26" i="77" s="1"/>
  <c r="AL26" i="77"/>
  <c r="BB26" i="77" s="1"/>
  <c r="AM25" i="77"/>
  <c r="BC25" i="77" s="1"/>
  <c r="AL25" i="77"/>
  <c r="BB25" i="77" s="1"/>
  <c r="AM24" i="77"/>
  <c r="BC24" i="77" s="1"/>
  <c r="AL24" i="77"/>
  <c r="BB24" i="77" s="1"/>
  <c r="AM22" i="77"/>
  <c r="BC22" i="77" s="1"/>
  <c r="AL22" i="77"/>
  <c r="BB22" i="77" s="1"/>
  <c r="AM21" i="77"/>
  <c r="BC21" i="77" s="1"/>
  <c r="AL21" i="77"/>
  <c r="BB21" i="77" s="1"/>
  <c r="AM20" i="77"/>
  <c r="BC20" i="77" s="1"/>
  <c r="AL20" i="77"/>
  <c r="BB20" i="77" s="1"/>
  <c r="AM19" i="77"/>
  <c r="BC19" i="77" s="1"/>
  <c r="AL19" i="77"/>
  <c r="AM17" i="77"/>
  <c r="BC17" i="77" s="1"/>
  <c r="AL17" i="77"/>
  <c r="BB17" i="77" s="1"/>
  <c r="AM16" i="77"/>
  <c r="BC16" i="77" s="1"/>
  <c r="AL16" i="77"/>
  <c r="AM15" i="77"/>
  <c r="BC15" i="77" s="1"/>
  <c r="AL15" i="77"/>
  <c r="BB15" i="77" s="1"/>
  <c r="AM14" i="77"/>
  <c r="BC14" i="77" s="1"/>
  <c r="AL14" i="77"/>
  <c r="BB14" i="77" s="1"/>
  <c r="AM12" i="77"/>
  <c r="BC12" i="77" s="1"/>
  <c r="AL12" i="77"/>
  <c r="BB12" i="77" s="1"/>
  <c r="AM11" i="77"/>
  <c r="BC11" i="77" s="1"/>
  <c r="AL11" i="77"/>
  <c r="BB11" i="77" s="1"/>
  <c r="AM10" i="77"/>
  <c r="BC10" i="77" s="1"/>
  <c r="AL10" i="77"/>
  <c r="BB10" i="77" s="1"/>
  <c r="AM9" i="77"/>
  <c r="BC9" i="77" s="1"/>
  <c r="AL9" i="77"/>
  <c r="BB9" i="77" s="1"/>
  <c r="AM8" i="77"/>
  <c r="BC8" i="77" s="1"/>
  <c r="AL8" i="77"/>
  <c r="BB8" i="77" s="1"/>
  <c r="AM6" i="77"/>
  <c r="BC6" i="77" s="1"/>
  <c r="AL6" i="77"/>
  <c r="BB6" i="77" s="1"/>
  <c r="AM5" i="77"/>
  <c r="BC5" i="77" s="1"/>
  <c r="AL5" i="77"/>
  <c r="BB5" i="77" s="1"/>
  <c r="AM4" i="77"/>
  <c r="BC4" i="77" s="1"/>
  <c r="AL4" i="77"/>
  <c r="BB4" i="77" s="1"/>
  <c r="BB7" i="77" s="1"/>
  <c r="AK73" i="77"/>
  <c r="AK115" i="77" s="1"/>
  <c r="AK71" i="77"/>
  <c r="AK113" i="77" s="1"/>
  <c r="AK58" i="77"/>
  <c r="AJ58" i="77"/>
  <c r="AK43" i="77"/>
  <c r="AJ43" i="77"/>
  <c r="AK33" i="77"/>
  <c r="AK106" i="77" s="1"/>
  <c r="AJ33" i="77"/>
  <c r="AK29" i="77"/>
  <c r="AJ29" i="77"/>
  <c r="AK23" i="77"/>
  <c r="AK103" i="77" s="1"/>
  <c r="AJ23" i="77"/>
  <c r="AK18" i="77"/>
  <c r="AJ18" i="77"/>
  <c r="AK13" i="77"/>
  <c r="AK101" i="77" s="1"/>
  <c r="AJ13" i="77"/>
  <c r="AK7" i="77"/>
  <c r="AK100" i="77" s="1"/>
  <c r="AJ7" i="77"/>
  <c r="AK105" i="77" l="1"/>
  <c r="AK107" i="77" s="1"/>
  <c r="BC48" i="77"/>
  <c r="BB62" i="77"/>
  <c r="BC62" i="77"/>
  <c r="BB63" i="77"/>
  <c r="BC63" i="77"/>
  <c r="BB39" i="77"/>
  <c r="AK102" i="77"/>
  <c r="AK104" i="77"/>
  <c r="BC39" i="77"/>
  <c r="BB34" i="77"/>
  <c r="BC34" i="77"/>
  <c r="BB48" i="77"/>
  <c r="BC72" i="77"/>
  <c r="BC114" i="77" s="1"/>
  <c r="AM114" i="77"/>
  <c r="BD72" i="7"/>
  <c r="BD54" i="7"/>
  <c r="BC19" i="7"/>
  <c r="BB58" i="77"/>
  <c r="BC13" i="77"/>
  <c r="BC58" i="77"/>
  <c r="BC7" i="77"/>
  <c r="BC23" i="77"/>
  <c r="BC33" i="77"/>
  <c r="BB13" i="77"/>
  <c r="BC29" i="77"/>
  <c r="BC18" i="77"/>
  <c r="BB29" i="77"/>
  <c r="AL18" i="77"/>
  <c r="BB16" i="77"/>
  <c r="BB18" i="77" s="1"/>
  <c r="BC127" i="10"/>
  <c r="BF57" i="59" s="1"/>
  <c r="BD47" i="6"/>
  <c r="BD86" i="11"/>
  <c r="BD88" i="11"/>
  <c r="AN71" i="11"/>
  <c r="AO102" i="50"/>
  <c r="BE102" i="50"/>
  <c r="BD54" i="11"/>
  <c r="BD22" i="36" s="1"/>
  <c r="BG61" i="59" s="1"/>
  <c r="BD71" i="11"/>
  <c r="BG63" i="59" s="1"/>
  <c r="BD90" i="11"/>
  <c r="BD24" i="7"/>
  <c r="BD25" i="6"/>
  <c r="BD35" i="6" s="1"/>
  <c r="BD22" i="6"/>
  <c r="BD34" i="6" s="1"/>
  <c r="AN28" i="6"/>
  <c r="BD26" i="6"/>
  <c r="BD28" i="6" s="1"/>
  <c r="BD36" i="6" s="1"/>
  <c r="BD37" i="9"/>
  <c r="BD139" i="9"/>
  <c r="BD137" i="9"/>
  <c r="BC103" i="9"/>
  <c r="BD101" i="9"/>
  <c r="BD25" i="9"/>
  <c r="BD135" i="9"/>
  <c r="AN41" i="6"/>
  <c r="BD40" i="6"/>
  <c r="BD41" i="6" s="1"/>
  <c r="AN44" i="6"/>
  <c r="BD42" i="6"/>
  <c r="BD44" i="6" s="1"/>
  <c r="BD50" i="6"/>
  <c r="AL23" i="77"/>
  <c r="BB19" i="77"/>
  <c r="BB23" i="77" s="1"/>
  <c r="BE86" i="45"/>
  <c r="BE97" i="45"/>
  <c r="BE107" i="45"/>
  <c r="BE108" i="45" s="1"/>
  <c r="BE98" i="45"/>
  <c r="BE76" i="45"/>
  <c r="BE77" i="45" s="1"/>
  <c r="BE92" i="45"/>
  <c r="BG67" i="59" s="1"/>
  <c r="BE75" i="45"/>
  <c r="BE112" i="45"/>
  <c r="BD74" i="8"/>
  <c r="AL49" i="9"/>
  <c r="AN77" i="11"/>
  <c r="AV68" i="77"/>
  <c r="AV67" i="77"/>
  <c r="AV66" i="77"/>
  <c r="AN54" i="11"/>
  <c r="AK12" i="6"/>
  <c r="AM37" i="6"/>
  <c r="AK37" i="6"/>
  <c r="AM65" i="6"/>
  <c r="AN22" i="6"/>
  <c r="AN86" i="11"/>
  <c r="AN37" i="9"/>
  <c r="AL7" i="77"/>
  <c r="AM29" i="77"/>
  <c r="AN50" i="6"/>
  <c r="AK74" i="7"/>
  <c r="AN47" i="6"/>
  <c r="AO37" i="6"/>
  <c r="AN8" i="6"/>
  <c r="AN185" i="6"/>
  <c r="AN184" i="6"/>
  <c r="AN159" i="6"/>
  <c r="AK21" i="22"/>
  <c r="AK7" i="22"/>
  <c r="AL58" i="77"/>
  <c r="AM23" i="77"/>
  <c r="AO107" i="45"/>
  <c r="AO108" i="45" s="1"/>
  <c r="AN56" i="11"/>
  <c r="AN157" i="10"/>
  <c r="AN62" i="6"/>
  <c r="AN25" i="6"/>
  <c r="AL31" i="6"/>
  <c r="AL98" i="6"/>
  <c r="AL102" i="6" s="1"/>
  <c r="AL140" i="6" s="1"/>
  <c r="AN97" i="6"/>
  <c r="AN69" i="7"/>
  <c r="AN61" i="7"/>
  <c r="AN50" i="7" s="1"/>
  <c r="AL25" i="7"/>
  <c r="AL85" i="7" s="1"/>
  <c r="AL30" i="7"/>
  <c r="AL91" i="7" s="1"/>
  <c r="AL23" i="7"/>
  <c r="AL54" i="7"/>
  <c r="AL50" i="7"/>
  <c r="AL32" i="7"/>
  <c r="AL84" i="7" s="1"/>
  <c r="AL53" i="7"/>
  <c r="AL22" i="7"/>
  <c r="AL21" i="7"/>
  <c r="AL81" i="7" s="1"/>
  <c r="AL24" i="7"/>
  <c r="AL28" i="7"/>
  <c r="AL88" i="7" s="1"/>
  <c r="AO34" i="59" s="1"/>
  <c r="AL26" i="7"/>
  <c r="AL86" i="7" s="1"/>
  <c r="AL29" i="7"/>
  <c r="AL89" i="7" s="1"/>
  <c r="AL33" i="7"/>
  <c r="AL94" i="7" s="1"/>
  <c r="AL56" i="7"/>
  <c r="AL46" i="7"/>
  <c r="AL91" i="9"/>
  <c r="AL72" i="9"/>
  <c r="AK32" i="7"/>
  <c r="AK84" i="7" s="1"/>
  <c r="AK26" i="7"/>
  <c r="AK86" i="7" s="1"/>
  <c r="AK46" i="7"/>
  <c r="AM109" i="6"/>
  <c r="AM73" i="6"/>
  <c r="AK57" i="9"/>
  <c r="AK60" i="9"/>
  <c r="AK61" i="8"/>
  <c r="AK74" i="8"/>
  <c r="AK65" i="8"/>
  <c r="AK14" i="6"/>
  <c r="AK18" i="6" s="1"/>
  <c r="AO76" i="45"/>
  <c r="AO77" i="45" s="1"/>
  <c r="AO75" i="45"/>
  <c r="AQ65" i="59" s="1"/>
  <c r="AO92" i="45"/>
  <c r="AQ67" i="59" s="1"/>
  <c r="AN88" i="11"/>
  <c r="AL143" i="10"/>
  <c r="AO59" i="59" s="1"/>
  <c r="AL83" i="9"/>
  <c r="AL86" i="9"/>
  <c r="AL85" i="9"/>
  <c r="AL76" i="9"/>
  <c r="AL78" i="9"/>
  <c r="AL81" i="9"/>
  <c r="AL84" i="9"/>
  <c r="AL87" i="9"/>
  <c r="AO54" i="59" s="1"/>
  <c r="AL73" i="9"/>
  <c r="AL82" i="9"/>
  <c r="AO55" i="59" s="1"/>
  <c r="AL52" i="9"/>
  <c r="AO51" i="59" s="1"/>
  <c r="AL80" i="9"/>
  <c r="AL75" i="9"/>
  <c r="AL53" i="9"/>
  <c r="AL69" i="8"/>
  <c r="AN41" i="8"/>
  <c r="AN50" i="8"/>
  <c r="AN131" i="8"/>
  <c r="AN132" i="8" s="1"/>
  <c r="AN51" i="8" s="1"/>
  <c r="AK25" i="8"/>
  <c r="AK63" i="8"/>
  <c r="AL132" i="8"/>
  <c r="AL51" i="8" s="1"/>
  <c r="AL50" i="8"/>
  <c r="AL34" i="8"/>
  <c r="AL68" i="8"/>
  <c r="AK67" i="8"/>
  <c r="AK35" i="8" s="1"/>
  <c r="AK129" i="8"/>
  <c r="AK130" i="8" s="1"/>
  <c r="AM69" i="7"/>
  <c r="AK22" i="7"/>
  <c r="AK82" i="7" s="1"/>
  <c r="AN30" i="59" s="1"/>
  <c r="AK24" i="7"/>
  <c r="AK93" i="7" s="1"/>
  <c r="AK29" i="7"/>
  <c r="AK89" i="7" s="1"/>
  <c r="AN35" i="59" s="1"/>
  <c r="AL72" i="7"/>
  <c r="AM61" i="7"/>
  <c r="AM70" i="7" s="1"/>
  <c r="AK77" i="7"/>
  <c r="AK27" i="7"/>
  <c r="AK87" i="7" s="1"/>
  <c r="AK21" i="7"/>
  <c r="AK81" i="7" s="1"/>
  <c r="AK23" i="7"/>
  <c r="AK83" i="7" s="1"/>
  <c r="AK25" i="7"/>
  <c r="AK85" i="7" s="1"/>
  <c r="AK28" i="7"/>
  <c r="AK88" i="7" s="1"/>
  <c r="AM19" i="7"/>
  <c r="AM75" i="7"/>
  <c r="AP28" i="59" s="1"/>
  <c r="AN70" i="7"/>
  <c r="AN25" i="7"/>
  <c r="AN85" i="7" s="1"/>
  <c r="AM72" i="7"/>
  <c r="AK30" i="7"/>
  <c r="AK91" i="7" s="1"/>
  <c r="AL49" i="7"/>
  <c r="AL52" i="7"/>
  <c r="AL93" i="7" s="1"/>
  <c r="AO32" i="59" s="1"/>
  <c r="AL55" i="7"/>
  <c r="AL70" i="7"/>
  <c r="AL74" i="7"/>
  <c r="AL77" i="7"/>
  <c r="AO36" i="59" s="1"/>
  <c r="AK62" i="7"/>
  <c r="AK67" i="7"/>
  <c r="AK72" i="7"/>
  <c r="AL27" i="7"/>
  <c r="AL87" i="7" s="1"/>
  <c r="AO33" i="59" s="1"/>
  <c r="AL67" i="7"/>
  <c r="AK75" i="7"/>
  <c r="AL63" i="7"/>
  <c r="AL75" i="7"/>
  <c r="AO28" i="59" s="1"/>
  <c r="AN12" i="7"/>
  <c r="BD12" i="7" s="1"/>
  <c r="BD27" i="7" s="1"/>
  <c r="BD87" i="7" s="1"/>
  <c r="BG33" i="59" s="1"/>
  <c r="AK70" i="7"/>
  <c r="AN114" i="6"/>
  <c r="AM114" i="6"/>
  <c r="AN109" i="6"/>
  <c r="AK98" i="6"/>
  <c r="AK102" i="6" s="1"/>
  <c r="AK140" i="6" s="1"/>
  <c r="AM97" i="6"/>
  <c r="AN92" i="6"/>
  <c r="AM92" i="6"/>
  <c r="AN73" i="6"/>
  <c r="AK7" i="6"/>
  <c r="AK131" i="6"/>
  <c r="AL131" i="6"/>
  <c r="AL53" i="6"/>
  <c r="AK115" i="6"/>
  <c r="AK119" i="6" s="1"/>
  <c r="AK168" i="6" s="1"/>
  <c r="AN9" i="6"/>
  <c r="AL115" i="6"/>
  <c r="AL119" i="6" s="1"/>
  <c r="AK126" i="6"/>
  <c r="AL126" i="6"/>
  <c r="AK13" i="6"/>
  <c r="AM123" i="6"/>
  <c r="BC123" i="6" s="1"/>
  <c r="AM58" i="77"/>
  <c r="AL43" i="77"/>
  <c r="AM43" i="77"/>
  <c r="AL33" i="77"/>
  <c r="AM33" i="77"/>
  <c r="AL29" i="77"/>
  <c r="AM18" i="77"/>
  <c r="AL13" i="77"/>
  <c r="AM13" i="77"/>
  <c r="AM7" i="77"/>
  <c r="AM65" i="39"/>
  <c r="AM64" i="39"/>
  <c r="AM62" i="39"/>
  <c r="AM60" i="39"/>
  <c r="AM59" i="39"/>
  <c r="AM58" i="39"/>
  <c r="AM57" i="39"/>
  <c r="AM56" i="39"/>
  <c r="AM55" i="39"/>
  <c r="AM54" i="39"/>
  <c r="AM53" i="39"/>
  <c r="AK49" i="39"/>
  <c r="AJ49" i="39"/>
  <c r="AJ50" i="39" s="1"/>
  <c r="AK48" i="39"/>
  <c r="AM47" i="39"/>
  <c r="BC47" i="39" s="1"/>
  <c r="AM46" i="39"/>
  <c r="BC46" i="39" s="1"/>
  <c r="AM45" i="39"/>
  <c r="BC45" i="39" s="1"/>
  <c r="AK44" i="39"/>
  <c r="AJ44" i="39"/>
  <c r="AM42" i="39"/>
  <c r="AM41" i="39"/>
  <c r="AM38" i="39"/>
  <c r="AM37" i="39"/>
  <c r="AM36" i="39"/>
  <c r="AK33" i="39"/>
  <c r="AM30" i="39"/>
  <c r="AM29" i="39"/>
  <c r="BC29" i="39" s="1"/>
  <c r="AM28" i="39"/>
  <c r="AM27" i="39"/>
  <c r="AK22" i="39"/>
  <c r="AM19" i="39"/>
  <c r="BC19" i="39" s="1"/>
  <c r="AM18" i="39"/>
  <c r="AM17" i="39"/>
  <c r="AM16" i="39"/>
  <c r="AM15" i="39"/>
  <c r="AM14" i="39"/>
  <c r="AM13" i="39"/>
  <c r="AM12" i="39"/>
  <c r="AM11" i="39"/>
  <c r="AM10" i="39"/>
  <c r="AM9" i="39"/>
  <c r="AK8" i="39"/>
  <c r="AK21" i="39" s="1"/>
  <c r="AJ8" i="39"/>
  <c r="AJ23" i="39" s="1"/>
  <c r="AM7" i="39"/>
  <c r="BC7" i="39" s="1"/>
  <c r="AM6" i="39"/>
  <c r="BC6" i="39" s="1"/>
  <c r="AM5" i="39"/>
  <c r="BC5" i="39" s="1"/>
  <c r="AN319" i="28"/>
  <c r="BD319" i="28" s="1"/>
  <c r="AN320" i="28"/>
  <c r="BD320" i="28" s="1"/>
  <c r="AN321" i="28"/>
  <c r="BD321" i="28" s="1"/>
  <c r="AN322" i="28"/>
  <c r="BD322" i="28" s="1"/>
  <c r="AN323" i="28"/>
  <c r="BD323" i="28" s="1"/>
  <c r="AN324" i="28"/>
  <c r="BD324" i="28" s="1"/>
  <c r="AN325" i="28"/>
  <c r="BD325" i="28" s="1"/>
  <c r="AN326" i="28"/>
  <c r="BD326" i="28" s="1"/>
  <c r="AN327" i="28"/>
  <c r="BD327" i="28" s="1"/>
  <c r="AN328" i="28"/>
  <c r="BD328" i="28" s="1"/>
  <c r="AN330" i="28"/>
  <c r="BD330" i="28" s="1"/>
  <c r="AN331" i="28"/>
  <c r="BD331" i="28" s="1"/>
  <c r="AN332" i="28"/>
  <c r="BD332" i="28" s="1"/>
  <c r="AN333" i="28"/>
  <c r="BD333" i="28" s="1"/>
  <c r="AN334" i="28"/>
  <c r="BD334" i="28" s="1"/>
  <c r="AN335" i="28"/>
  <c r="BD335" i="28" s="1"/>
  <c r="AN336" i="28"/>
  <c r="BD336" i="28" s="1"/>
  <c r="AN337" i="28"/>
  <c r="BD337" i="28" s="1"/>
  <c r="AN340" i="28"/>
  <c r="BD340" i="28" s="1"/>
  <c r="AN341" i="28"/>
  <c r="BD341" i="28" s="1"/>
  <c r="AN342" i="28"/>
  <c r="BD342" i="28" s="1"/>
  <c r="AN346" i="28"/>
  <c r="BD346" i="28" s="1"/>
  <c r="AN347" i="28"/>
  <c r="BD347" i="28" s="1"/>
  <c r="AN350" i="28"/>
  <c r="BD350" i="28" s="1"/>
  <c r="AN351" i="28"/>
  <c r="BD351" i="28" s="1"/>
  <c r="AN352" i="28"/>
  <c r="BD352" i="28" s="1"/>
  <c r="AN353" i="28"/>
  <c r="BD353" i="28" s="1"/>
  <c r="AN354" i="28"/>
  <c r="BD354" i="28" s="1"/>
  <c r="AN355" i="28"/>
  <c r="BD355" i="28" s="1"/>
  <c r="AN356" i="28"/>
  <c r="BD356" i="28" s="1"/>
  <c r="AN357" i="28"/>
  <c r="BD357" i="28" s="1"/>
  <c r="AN358" i="28"/>
  <c r="BD358" i="28" s="1"/>
  <c r="AN359" i="28"/>
  <c r="BD359" i="28" s="1"/>
  <c r="AP319" i="28"/>
  <c r="AN245" i="28"/>
  <c r="BD245" i="28" s="1"/>
  <c r="AN246" i="28"/>
  <c r="BD246" i="28" s="1"/>
  <c r="AN247" i="28"/>
  <c r="BD247" i="28" s="1"/>
  <c r="AN248" i="28"/>
  <c r="BD248" i="28" s="1"/>
  <c r="AN249" i="28"/>
  <c r="BD249" i="28" s="1"/>
  <c r="AN251" i="28"/>
  <c r="BD251" i="28" s="1"/>
  <c r="AN252" i="28"/>
  <c r="BD252" i="28" s="1"/>
  <c r="AN253" i="28"/>
  <c r="BD253" i="28" s="1"/>
  <c r="AN254" i="28"/>
  <c r="BD254" i="28" s="1"/>
  <c r="AN255" i="28"/>
  <c r="BD255" i="28" s="1"/>
  <c r="AN256" i="28"/>
  <c r="BD256" i="28" s="1"/>
  <c r="AN257" i="28"/>
  <c r="BD257" i="28" s="1"/>
  <c r="AN258" i="28"/>
  <c r="BD258" i="28" s="1"/>
  <c r="AN259" i="28"/>
  <c r="BD259" i="28" s="1"/>
  <c r="AN260" i="28"/>
  <c r="BD260" i="28" s="1"/>
  <c r="AN261" i="28"/>
  <c r="BD261" i="28" s="1"/>
  <c r="AN262" i="28"/>
  <c r="BD262" i="28" s="1"/>
  <c r="AN263" i="28"/>
  <c r="BD263" i="28" s="1"/>
  <c r="AN264" i="28"/>
  <c r="BD264" i="28" s="1"/>
  <c r="AN265" i="28"/>
  <c r="BD265" i="28" s="1"/>
  <c r="AN266" i="28"/>
  <c r="BD266" i="28" s="1"/>
  <c r="AN267" i="28"/>
  <c r="BD267" i="28" s="1"/>
  <c r="AN268" i="28"/>
  <c r="BD268" i="28" s="1"/>
  <c r="AN269" i="28"/>
  <c r="BD269" i="28" s="1"/>
  <c r="AN271" i="28"/>
  <c r="BD271" i="28" s="1"/>
  <c r="AN272" i="28"/>
  <c r="BD272" i="28" s="1"/>
  <c r="AN273" i="28"/>
  <c r="BD273" i="28" s="1"/>
  <c r="AN274" i="28"/>
  <c r="BD274" i="28" s="1"/>
  <c r="AN275" i="28"/>
  <c r="BD275" i="28" s="1"/>
  <c r="AN276" i="28"/>
  <c r="BD276" i="28" s="1"/>
  <c r="AN277" i="28"/>
  <c r="BD277" i="28" s="1"/>
  <c r="AN278" i="28"/>
  <c r="BD278" i="28" s="1"/>
  <c r="AN280" i="28"/>
  <c r="BD280" i="28" s="1"/>
  <c r="AN281" i="28"/>
  <c r="BD281" i="28" s="1"/>
  <c r="AN282" i="28"/>
  <c r="BD282" i="28" s="1"/>
  <c r="AN283" i="28"/>
  <c r="BD283" i="28" s="1"/>
  <c r="AN284" i="28"/>
  <c r="BD284" i="28" s="1"/>
  <c r="AN285" i="28"/>
  <c r="BD285" i="28" s="1"/>
  <c r="AN286" i="28"/>
  <c r="BD286" i="28" s="1"/>
  <c r="AN287" i="28"/>
  <c r="BD287" i="28" s="1"/>
  <c r="AN288" i="28"/>
  <c r="BD288" i="28" s="1"/>
  <c r="AN289" i="28"/>
  <c r="BD289" i="28" s="1"/>
  <c r="AN291" i="28"/>
  <c r="BD291" i="28" s="1"/>
  <c r="AN292" i="28"/>
  <c r="BD292" i="28" s="1"/>
  <c r="AN293" i="28"/>
  <c r="BD293" i="28" s="1"/>
  <c r="AN294" i="28"/>
  <c r="BD294" i="28" s="1"/>
  <c r="AN295" i="28"/>
  <c r="BD295" i="28" s="1"/>
  <c r="AN296" i="28"/>
  <c r="BD296" i="28" s="1"/>
  <c r="AN297" i="28"/>
  <c r="BD297" i="28" s="1"/>
  <c r="AN298" i="28"/>
  <c r="BD298" i="28" s="1"/>
  <c r="AP288" i="28"/>
  <c r="AT288" i="28" s="1"/>
  <c r="AX288" i="28" s="1"/>
  <c r="BF288" i="28" s="1"/>
  <c r="AN202" i="28"/>
  <c r="BD202" i="28" s="1"/>
  <c r="AN203" i="28"/>
  <c r="BD203" i="28" s="1"/>
  <c r="AN204" i="28"/>
  <c r="BD204" i="28" s="1"/>
  <c r="AN205" i="28"/>
  <c r="BD205" i="28" s="1"/>
  <c r="AN206" i="28"/>
  <c r="BD206" i="28" s="1"/>
  <c r="AN207" i="28"/>
  <c r="BD207" i="28" s="1"/>
  <c r="AN208" i="28"/>
  <c r="BD208" i="28" s="1"/>
  <c r="AN209" i="28"/>
  <c r="BD209" i="28" s="1"/>
  <c r="AN210" i="28"/>
  <c r="BD210" i="28" s="1"/>
  <c r="AN211" i="28"/>
  <c r="BD211" i="28" s="1"/>
  <c r="AN212" i="28"/>
  <c r="BD212" i="28" s="1"/>
  <c r="AN213" i="28"/>
  <c r="BD213" i="28" s="1"/>
  <c r="AN214" i="28"/>
  <c r="BD214" i="28" s="1"/>
  <c r="AN215" i="28"/>
  <c r="BD215" i="28" s="1"/>
  <c r="AN216" i="28"/>
  <c r="BD216" i="28" s="1"/>
  <c r="AN217" i="28"/>
  <c r="BD217" i="28" s="1"/>
  <c r="AN218" i="28"/>
  <c r="BD218" i="28" s="1"/>
  <c r="AN219" i="28"/>
  <c r="BD219" i="28" s="1"/>
  <c r="AN220" i="28"/>
  <c r="BD220" i="28" s="1"/>
  <c r="AN221" i="28"/>
  <c r="BD221" i="28" s="1"/>
  <c r="AN222" i="28"/>
  <c r="BD222" i="28" s="1"/>
  <c r="AN224" i="28"/>
  <c r="BD224" i="28" s="1"/>
  <c r="AN225" i="28"/>
  <c r="BD225" i="28" s="1"/>
  <c r="AN226" i="28"/>
  <c r="BD226" i="28" s="1"/>
  <c r="AN227" i="28"/>
  <c r="BD227" i="28" s="1"/>
  <c r="AN228" i="28"/>
  <c r="BD228" i="28" s="1"/>
  <c r="AN229" i="28"/>
  <c r="BD229" i="28" s="1"/>
  <c r="AN230" i="28"/>
  <c r="BD230" i="28" s="1"/>
  <c r="AN231" i="28"/>
  <c r="BD231" i="28" s="1"/>
  <c r="AN232" i="28"/>
  <c r="BD232" i="28" s="1"/>
  <c r="AN233" i="28"/>
  <c r="BD233" i="28" s="1"/>
  <c r="AN191" i="28"/>
  <c r="BD191" i="28" s="1"/>
  <c r="AN87" i="28"/>
  <c r="BD87" i="28" s="1"/>
  <c r="AN88" i="28"/>
  <c r="BD88" i="28" s="1"/>
  <c r="AN89" i="28"/>
  <c r="BD89" i="28" s="1"/>
  <c r="AN90" i="28"/>
  <c r="BD90" i="28" s="1"/>
  <c r="AN91" i="28"/>
  <c r="BD91" i="28" s="1"/>
  <c r="AN92" i="28"/>
  <c r="BD92" i="28" s="1"/>
  <c r="AN93" i="28"/>
  <c r="BD93" i="28" s="1"/>
  <c r="AN94" i="28"/>
  <c r="BD94" i="28" s="1"/>
  <c r="AN95" i="28"/>
  <c r="BD95" i="28" s="1"/>
  <c r="AN96" i="28"/>
  <c r="BD96" i="28" s="1"/>
  <c r="AN97" i="28"/>
  <c r="BD97" i="28" s="1"/>
  <c r="AN98" i="28"/>
  <c r="BD98" i="28" s="1"/>
  <c r="AN99" i="28"/>
  <c r="BD99" i="28" s="1"/>
  <c r="AN100" i="28"/>
  <c r="BD100" i="28" s="1"/>
  <c r="AN101" i="28"/>
  <c r="BD101" i="28" s="1"/>
  <c r="AN102" i="28"/>
  <c r="BD102" i="28" s="1"/>
  <c r="AN105" i="28"/>
  <c r="BD105" i="28" s="1"/>
  <c r="AN106" i="28"/>
  <c r="BD106" i="28" s="1"/>
  <c r="AN107" i="28"/>
  <c r="BD107" i="28" s="1"/>
  <c r="AN108" i="28"/>
  <c r="BD108" i="28" s="1"/>
  <c r="AN109" i="28"/>
  <c r="BD109" i="28" s="1"/>
  <c r="AN110" i="28"/>
  <c r="BD110" i="28" s="1"/>
  <c r="AN111" i="28"/>
  <c r="BD111" i="28" s="1"/>
  <c r="AN112" i="28"/>
  <c r="BD112" i="28" s="1"/>
  <c r="AN113" i="28"/>
  <c r="BD113" i="28" s="1"/>
  <c r="AN114" i="28"/>
  <c r="BD114" i="28" s="1"/>
  <c r="AN115" i="28"/>
  <c r="BD115" i="28" s="1"/>
  <c r="AN116" i="28"/>
  <c r="BD116" i="28" s="1"/>
  <c r="AN118" i="28"/>
  <c r="BD118" i="28" s="1"/>
  <c r="AN119" i="28"/>
  <c r="BD119" i="28" s="1"/>
  <c r="AN120" i="28"/>
  <c r="BD120" i="28" s="1"/>
  <c r="AN121" i="28"/>
  <c r="BD121" i="28" s="1"/>
  <c r="AN122" i="28"/>
  <c r="BD122" i="28" s="1"/>
  <c r="AN123" i="28"/>
  <c r="BD123" i="28" s="1"/>
  <c r="AN124" i="28"/>
  <c r="BD124" i="28" s="1"/>
  <c r="AN125" i="28"/>
  <c r="BD125" i="28" s="1"/>
  <c r="AN126" i="28"/>
  <c r="BD126" i="28" s="1"/>
  <c r="AN127" i="28"/>
  <c r="BD127" i="28" s="1"/>
  <c r="AN128" i="28"/>
  <c r="BD128" i="28" s="1"/>
  <c r="AN129" i="28"/>
  <c r="BD129" i="28" s="1"/>
  <c r="AN130" i="28"/>
  <c r="BD130" i="28" s="1"/>
  <c r="AN131" i="28"/>
  <c r="BD131" i="28" s="1"/>
  <c r="AN132" i="28"/>
  <c r="BD132" i="28" s="1"/>
  <c r="AN133" i="28"/>
  <c r="BD133" i="28" s="1"/>
  <c r="AN134" i="28"/>
  <c r="BD134" i="28" s="1"/>
  <c r="AN135" i="28"/>
  <c r="BD135" i="28" s="1"/>
  <c r="AN136" i="28"/>
  <c r="BD136" i="28" s="1"/>
  <c r="AN137" i="28"/>
  <c r="BD137" i="28" s="1"/>
  <c r="AN138" i="28"/>
  <c r="BD138" i="28" s="1"/>
  <c r="AN139" i="28"/>
  <c r="BD139" i="28" s="1"/>
  <c r="AN140" i="28"/>
  <c r="BD140" i="28" s="1"/>
  <c r="AN141" i="28"/>
  <c r="BD141" i="28" s="1"/>
  <c r="AN142" i="28"/>
  <c r="BD142" i="28" s="1"/>
  <c r="AN143" i="28"/>
  <c r="BD143" i="28" s="1"/>
  <c r="AN144" i="28"/>
  <c r="BD144" i="28" s="1"/>
  <c r="AN146" i="28"/>
  <c r="BD146" i="28" s="1"/>
  <c r="AN147" i="28"/>
  <c r="BD147" i="28" s="1"/>
  <c r="AN148" i="28"/>
  <c r="BD148" i="28" s="1"/>
  <c r="AN149" i="28"/>
  <c r="BD149" i="28" s="1"/>
  <c r="AN150" i="28"/>
  <c r="BD150" i="28" s="1"/>
  <c r="AN151" i="28"/>
  <c r="BD151" i="28" s="1"/>
  <c r="AN152" i="28"/>
  <c r="BD152" i="28" s="1"/>
  <c r="AN153" i="28"/>
  <c r="BD153" i="28" s="1"/>
  <c r="AN154" i="28"/>
  <c r="BD154" i="28" s="1"/>
  <c r="AN155" i="28"/>
  <c r="BD155" i="28" s="1"/>
  <c r="AN156" i="28"/>
  <c r="BD156" i="28" s="1"/>
  <c r="AN157" i="28"/>
  <c r="BD157" i="28" s="1"/>
  <c r="AN158" i="28"/>
  <c r="BD158" i="28" s="1"/>
  <c r="AN161" i="28"/>
  <c r="BD161" i="28" s="1"/>
  <c r="AN162" i="28"/>
  <c r="BD162" i="28" s="1"/>
  <c r="AN163" i="28"/>
  <c r="BD163" i="28" s="1"/>
  <c r="AN164" i="28"/>
  <c r="BD164" i="28" s="1"/>
  <c r="AN165" i="28"/>
  <c r="BD165" i="28" s="1"/>
  <c r="AN166" i="28"/>
  <c r="BD166" i="28" s="1"/>
  <c r="AN167" i="28"/>
  <c r="BD167" i="28" s="1"/>
  <c r="AN168" i="28"/>
  <c r="BD168" i="28" s="1"/>
  <c r="AN169" i="28"/>
  <c r="BD169" i="28" s="1"/>
  <c r="AN170" i="28"/>
  <c r="BD170" i="28" s="1"/>
  <c r="AN171" i="28"/>
  <c r="BD171" i="28" s="1"/>
  <c r="AN172" i="28"/>
  <c r="BD172" i="28" s="1"/>
  <c r="AN173" i="28"/>
  <c r="BD173" i="28" s="1"/>
  <c r="AN174" i="28"/>
  <c r="BD174" i="28" s="1"/>
  <c r="AN175" i="28"/>
  <c r="BD175" i="28" s="1"/>
  <c r="AN176" i="28"/>
  <c r="BD176" i="28" s="1"/>
  <c r="AN177" i="28"/>
  <c r="BD177" i="28" s="1"/>
  <c r="AN178" i="28"/>
  <c r="BD178" i="28" s="1"/>
  <c r="AN179" i="28"/>
  <c r="BD179" i="28" s="1"/>
  <c r="AN180" i="28"/>
  <c r="BD180" i="28" s="1"/>
  <c r="AN181" i="28"/>
  <c r="BD181" i="28" s="1"/>
  <c r="AN182" i="28"/>
  <c r="BD182" i="28" s="1"/>
  <c r="AN183" i="28"/>
  <c r="BD183" i="28" s="1"/>
  <c r="AN184" i="28"/>
  <c r="BD184" i="28" s="1"/>
  <c r="AL28" i="28"/>
  <c r="AO393" i="28"/>
  <c r="AO392" i="28"/>
  <c r="AM393" i="28"/>
  <c r="AK393" i="28"/>
  <c r="AM392" i="28"/>
  <c r="AK392" i="28"/>
  <c r="AL349" i="28"/>
  <c r="AL345" i="28"/>
  <c r="AL318" i="28"/>
  <c r="AL317" i="28"/>
  <c r="AN316" i="28"/>
  <c r="BD316" i="28" s="1"/>
  <c r="AL310" i="28"/>
  <c r="AL384" i="28" s="1"/>
  <c r="AK310" i="28"/>
  <c r="AN309" i="28"/>
  <c r="BD309" i="28" s="1"/>
  <c r="AN308" i="28"/>
  <c r="BD308" i="28" s="1"/>
  <c r="AN307" i="28"/>
  <c r="BD307" i="28" s="1"/>
  <c r="AN306" i="28"/>
  <c r="BD306" i="28" s="1"/>
  <c r="AN305" i="28"/>
  <c r="BD305" i="28" s="1"/>
  <c r="AN304" i="28"/>
  <c r="BD304" i="28" s="1"/>
  <c r="AN303" i="28"/>
  <c r="BD303" i="28" s="1"/>
  <c r="AN302" i="28"/>
  <c r="BD302" i="28" s="1"/>
  <c r="AL299" i="28"/>
  <c r="AN244" i="28"/>
  <c r="BD244" i="28" s="1"/>
  <c r="AL241" i="28"/>
  <c r="AL380" i="28" s="1"/>
  <c r="AK241" i="28"/>
  <c r="AN240" i="28"/>
  <c r="BD240" i="28" s="1"/>
  <c r="AN239" i="28"/>
  <c r="BD239" i="28" s="1"/>
  <c r="AN238" i="28"/>
  <c r="BD238" i="28" s="1"/>
  <c r="AL235" i="28"/>
  <c r="AL234" i="28"/>
  <c r="AK234" i="28"/>
  <c r="AN201" i="28"/>
  <c r="BD201" i="28" s="1"/>
  <c r="AL198" i="28"/>
  <c r="AN197" i="28"/>
  <c r="BD197" i="28" s="1"/>
  <c r="AN193" i="28"/>
  <c r="BD193" i="28" s="1"/>
  <c r="AN189" i="28"/>
  <c r="BD189" i="28" s="1"/>
  <c r="AL186" i="28"/>
  <c r="AN86" i="28"/>
  <c r="BD86" i="28" s="1"/>
  <c r="AM83" i="28"/>
  <c r="AM82" i="28"/>
  <c r="AL82" i="28"/>
  <c r="AL81" i="28"/>
  <c r="AM79" i="28"/>
  <c r="AL79" i="28"/>
  <c r="AN78" i="28"/>
  <c r="BD78" i="28" s="1"/>
  <c r="AM78" i="28"/>
  <c r="AN77" i="28"/>
  <c r="BD77" i="28" s="1"/>
  <c r="AM75" i="28"/>
  <c r="AL75" i="28"/>
  <c r="AN74" i="28"/>
  <c r="BD74" i="28" s="1"/>
  <c r="AM74" i="28"/>
  <c r="AN73" i="28"/>
  <c r="BD73" i="28" s="1"/>
  <c r="AM71" i="28"/>
  <c r="AL71" i="28"/>
  <c r="AN70" i="28"/>
  <c r="BD70" i="28" s="1"/>
  <c r="AM70" i="28"/>
  <c r="AN69" i="28"/>
  <c r="BD69" i="28" s="1"/>
  <c r="AM67" i="28"/>
  <c r="AL67" i="28"/>
  <c r="AN66" i="28"/>
  <c r="BD66" i="28" s="1"/>
  <c r="AM66" i="28"/>
  <c r="AN65" i="28"/>
  <c r="BD65" i="28" s="1"/>
  <c r="AK54" i="28"/>
  <c r="AK53" i="28"/>
  <c r="AK52" i="28"/>
  <c r="AM51" i="28"/>
  <c r="AL47" i="28"/>
  <c r="AN45" i="28"/>
  <c r="BD45" i="28" s="1"/>
  <c r="AN44" i="28"/>
  <c r="BD44" i="28" s="1"/>
  <c r="AN43" i="28"/>
  <c r="BD43" i="28" s="1"/>
  <c r="AN42" i="28"/>
  <c r="BD42" i="28" s="1"/>
  <c r="AL40" i="28"/>
  <c r="AN39" i="28"/>
  <c r="BD39" i="28" s="1"/>
  <c r="AN38" i="28"/>
  <c r="BD38" i="28" s="1"/>
  <c r="AN37" i="28"/>
  <c r="BD37" i="28" s="1"/>
  <c r="AN36" i="28"/>
  <c r="BD36" i="28" s="1"/>
  <c r="AN35" i="28"/>
  <c r="BD35" i="28" s="1"/>
  <c r="AM32" i="28"/>
  <c r="BC32" i="28" s="1"/>
  <c r="AL32" i="28"/>
  <c r="AL54" i="28" s="1"/>
  <c r="AM31" i="28"/>
  <c r="BC31" i="28" s="1"/>
  <c r="AL31" i="28"/>
  <c r="AL53" i="28" s="1"/>
  <c r="AM30" i="28"/>
  <c r="BC30" i="28" s="1"/>
  <c r="AL30" i="28"/>
  <c r="AL29" i="28"/>
  <c r="AL51" i="28" s="1"/>
  <c r="AL26" i="28"/>
  <c r="AL60" i="28" s="1"/>
  <c r="AN25" i="28"/>
  <c r="BD25" i="28" s="1"/>
  <c r="AM25" i="28"/>
  <c r="BC25" i="28" s="1"/>
  <c r="AN24" i="28"/>
  <c r="BD24" i="28" s="1"/>
  <c r="AM24" i="28"/>
  <c r="BC24" i="28" s="1"/>
  <c r="AN23" i="28"/>
  <c r="BD23" i="28" s="1"/>
  <c r="AM23" i="28"/>
  <c r="BC23" i="28" s="1"/>
  <c r="AN22" i="28"/>
  <c r="BD22" i="28" s="1"/>
  <c r="AN21" i="28"/>
  <c r="BD21" i="28" s="1"/>
  <c r="AK21" i="28"/>
  <c r="AK26" i="28" s="1"/>
  <c r="AL19" i="28"/>
  <c r="AN18" i="28"/>
  <c r="BD18" i="28" s="1"/>
  <c r="AM18" i="28"/>
  <c r="BC18" i="28" s="1"/>
  <c r="AN17" i="28"/>
  <c r="BD17" i="28" s="1"/>
  <c r="AM17" i="28"/>
  <c r="BC17" i="28" s="1"/>
  <c r="AN16" i="28"/>
  <c r="BD16" i="28" s="1"/>
  <c r="AM16" i="28"/>
  <c r="AN15" i="28"/>
  <c r="BD15" i="28" s="1"/>
  <c r="AM15" i="28"/>
  <c r="AN14" i="28"/>
  <c r="BD14" i="28" s="1"/>
  <c r="AK14" i="28"/>
  <c r="AK235" i="28" s="1"/>
  <c r="AL12" i="28"/>
  <c r="AN11" i="28"/>
  <c r="BD11" i="28" s="1"/>
  <c r="AM11" i="28"/>
  <c r="BC11" i="28" s="1"/>
  <c r="AN10" i="28"/>
  <c r="BD10" i="28" s="1"/>
  <c r="AM10" i="28"/>
  <c r="BC10" i="28" s="1"/>
  <c r="AN9" i="28"/>
  <c r="BD9" i="28" s="1"/>
  <c r="AM9" i="28"/>
  <c r="BC9" i="28" s="1"/>
  <c r="AN8" i="28"/>
  <c r="BD8" i="28" s="1"/>
  <c r="AN7" i="28"/>
  <c r="BD7" i="28" s="1"/>
  <c r="AK7" i="28"/>
  <c r="AN17" i="49"/>
  <c r="AN18" i="49" s="1"/>
  <c r="AL17" i="49"/>
  <c r="AL18" i="49" s="1"/>
  <c r="AK17" i="49"/>
  <c r="AK18" i="49" s="1"/>
  <c r="AN11" i="49"/>
  <c r="AM11" i="49"/>
  <c r="AL11" i="49"/>
  <c r="AK11" i="49"/>
  <c r="AL10" i="49"/>
  <c r="AN9" i="49"/>
  <c r="AL9" i="49"/>
  <c r="AK9" i="49"/>
  <c r="AN8" i="49"/>
  <c r="AL8" i="49"/>
  <c r="AK8" i="49"/>
  <c r="AN6" i="49"/>
  <c r="AL6" i="49"/>
  <c r="AK6" i="49"/>
  <c r="AN171" i="73"/>
  <c r="AN125" i="73"/>
  <c r="AN123" i="73"/>
  <c r="AN120" i="73"/>
  <c r="AN104" i="73"/>
  <c r="AN113" i="73" s="1"/>
  <c r="AK210" i="73"/>
  <c r="BC209" i="73"/>
  <c r="BC207" i="73"/>
  <c r="BC205" i="73"/>
  <c r="BC204" i="73"/>
  <c r="BC203" i="73"/>
  <c r="BC202" i="73"/>
  <c r="AK201" i="73"/>
  <c r="BC200" i="73"/>
  <c r="BC199" i="73"/>
  <c r="BC198" i="73"/>
  <c r="BC197" i="73"/>
  <c r="BC196" i="73"/>
  <c r="BC195" i="73"/>
  <c r="BC191" i="73"/>
  <c r="BC189" i="73"/>
  <c r="BC188" i="73"/>
  <c r="BC187" i="73"/>
  <c r="BC186" i="73"/>
  <c r="BC185" i="73"/>
  <c r="AK184" i="73"/>
  <c r="BC178" i="73"/>
  <c r="BC177" i="73"/>
  <c r="BC175" i="73"/>
  <c r="BC174" i="73"/>
  <c r="AK173" i="73"/>
  <c r="AL171" i="73"/>
  <c r="AJ171" i="73"/>
  <c r="BC170" i="73"/>
  <c r="BC169" i="73"/>
  <c r="BC168" i="73"/>
  <c r="BC166" i="73"/>
  <c r="BC165" i="73"/>
  <c r="BC164" i="73"/>
  <c r="BC163" i="73"/>
  <c r="AK162" i="73"/>
  <c r="BC161" i="73"/>
  <c r="BC160" i="73"/>
  <c r="BC159" i="73"/>
  <c r="BC158" i="73"/>
  <c r="BC157" i="73"/>
  <c r="BC156" i="73"/>
  <c r="BC154" i="73"/>
  <c r="BC152" i="73"/>
  <c r="BC151" i="73"/>
  <c r="BC150" i="73"/>
  <c r="BC149" i="73"/>
  <c r="BC145" i="73"/>
  <c r="BC144" i="73"/>
  <c r="BC143" i="73"/>
  <c r="BC142" i="73"/>
  <c r="BC141" i="73"/>
  <c r="BC139" i="73"/>
  <c r="BC138" i="73"/>
  <c r="BC137" i="73"/>
  <c r="BC136" i="73"/>
  <c r="BC135" i="73"/>
  <c r="BC134" i="73"/>
  <c r="BC133" i="73"/>
  <c r="BC132" i="73"/>
  <c r="BC127" i="73"/>
  <c r="AL125" i="73"/>
  <c r="AK125" i="73"/>
  <c r="AJ125" i="73"/>
  <c r="AL123" i="73"/>
  <c r="AK123" i="73"/>
  <c r="AJ123" i="73"/>
  <c r="BC122" i="73"/>
  <c r="BC121" i="73"/>
  <c r="AL120" i="73"/>
  <c r="AK120" i="73"/>
  <c r="AJ120" i="73"/>
  <c r="BC119" i="73"/>
  <c r="BC118" i="73"/>
  <c r="BC117" i="73"/>
  <c r="AK116" i="73"/>
  <c r="AL113" i="73"/>
  <c r="BC112" i="73"/>
  <c r="BC111" i="73"/>
  <c r="AK110" i="73"/>
  <c r="BC109" i="73"/>
  <c r="BC10" i="15" s="1"/>
  <c r="BC108" i="73"/>
  <c r="BC107" i="73"/>
  <c r="BC106" i="73"/>
  <c r="BC105" i="73"/>
  <c r="AK104" i="73"/>
  <c r="AJ104" i="73"/>
  <c r="AJ113" i="73" s="1"/>
  <c r="AJ115" i="73" s="1"/>
  <c r="BC103" i="73"/>
  <c r="BC102" i="73"/>
  <c r="BC101" i="73"/>
  <c r="BC100" i="73"/>
  <c r="BC99" i="73"/>
  <c r="AK98" i="73"/>
  <c r="BC97" i="73"/>
  <c r="BC96" i="73"/>
  <c r="BC95" i="73"/>
  <c r="BC94" i="73"/>
  <c r="BC93" i="73"/>
  <c r="BC92" i="73"/>
  <c r="BC91" i="73"/>
  <c r="BC90" i="73"/>
  <c r="BC89" i="73"/>
  <c r="BC87" i="73"/>
  <c r="BC86" i="73"/>
  <c r="BC85" i="73"/>
  <c r="BC81" i="73"/>
  <c r="BC80" i="73"/>
  <c r="BC79" i="73"/>
  <c r="BC78" i="73"/>
  <c r="BC77" i="73"/>
  <c r="BC76" i="73"/>
  <c r="BC75" i="73"/>
  <c r="BC74" i="73"/>
  <c r="BC73" i="73"/>
  <c r="BC72" i="73"/>
  <c r="BC70" i="73"/>
  <c r="BC69" i="73"/>
  <c r="BC68" i="73"/>
  <c r="BC67" i="73"/>
  <c r="BC66" i="73"/>
  <c r="AK65" i="73"/>
  <c r="BC64" i="73"/>
  <c r="BC63" i="73"/>
  <c r="BC62" i="73"/>
  <c r="BC61" i="73"/>
  <c r="BC60" i="73"/>
  <c r="BC59" i="73"/>
  <c r="AK58" i="73"/>
  <c r="BC57" i="73"/>
  <c r="BC56" i="73"/>
  <c r="BC55" i="73"/>
  <c r="BC54" i="73"/>
  <c r="AK53" i="73"/>
  <c r="BC52" i="73"/>
  <c r="BC51" i="73"/>
  <c r="BC50" i="73"/>
  <c r="BC49" i="73"/>
  <c r="AK48" i="73"/>
  <c r="BC47" i="73"/>
  <c r="BC46" i="73"/>
  <c r="BC43" i="73"/>
  <c r="BC42" i="73"/>
  <c r="BC41" i="73"/>
  <c r="BC40" i="73"/>
  <c r="BC39" i="73"/>
  <c r="BC38" i="73"/>
  <c r="BC37" i="73"/>
  <c r="BC36" i="73"/>
  <c r="BC35" i="73"/>
  <c r="AK34" i="73"/>
  <c r="BC33" i="73"/>
  <c r="BC32" i="73"/>
  <c r="BC31" i="73"/>
  <c r="BC30" i="73"/>
  <c r="BC29" i="73"/>
  <c r="BC28" i="73"/>
  <c r="BC26" i="73"/>
  <c r="BC25" i="73"/>
  <c r="BC24" i="73"/>
  <c r="AK23" i="73"/>
  <c r="AK113" i="73" s="1"/>
  <c r="AK115" i="73" s="1"/>
  <c r="BC19" i="73"/>
  <c r="BC17" i="73"/>
  <c r="BC16" i="73" s="1"/>
  <c r="BC15" i="73"/>
  <c r="BC12" i="73"/>
  <c r="BC10" i="73"/>
  <c r="BC9" i="73"/>
  <c r="AK8" i="73"/>
  <c r="AK6" i="73" s="1"/>
  <c r="AJ8" i="73"/>
  <c r="AJ6" i="73" s="1"/>
  <c r="BC7" i="73"/>
  <c r="AR15" i="59"/>
  <c r="AR17" i="59"/>
  <c r="AR18" i="59"/>
  <c r="AR19" i="59"/>
  <c r="AR20" i="59"/>
  <c r="AR22" i="59"/>
  <c r="AR24" i="59"/>
  <c r="AR25" i="59"/>
  <c r="AR26" i="59"/>
  <c r="AR27" i="59"/>
  <c r="AR34" i="59"/>
  <c r="AR42" i="59"/>
  <c r="AR43" i="59"/>
  <c r="AR44" i="59"/>
  <c r="AO72" i="59"/>
  <c r="AO71" i="59"/>
  <c r="AO70" i="59"/>
  <c r="AN69" i="59"/>
  <c r="AO68" i="59"/>
  <c r="AN68" i="59"/>
  <c r="AO67" i="59"/>
  <c r="AN67" i="59"/>
  <c r="AQ66" i="59"/>
  <c r="AP66" i="59"/>
  <c r="AO66" i="59"/>
  <c r="AN66" i="59"/>
  <c r="AQ63" i="59"/>
  <c r="AO63" i="59"/>
  <c r="AN63" i="59"/>
  <c r="AQ62" i="59"/>
  <c r="AP62" i="59"/>
  <c r="AO62" i="59"/>
  <c r="AN62" i="59"/>
  <c r="AQ61" i="59"/>
  <c r="AN59" i="59"/>
  <c r="AQ58" i="59"/>
  <c r="AP58" i="59"/>
  <c r="AO58" i="59"/>
  <c r="AN58" i="59"/>
  <c r="AN55" i="59"/>
  <c r="AN54" i="59"/>
  <c r="AO53" i="59"/>
  <c r="AN53" i="59"/>
  <c r="AO52" i="59"/>
  <c r="AN52" i="59"/>
  <c r="AN51" i="59"/>
  <c r="AN46" i="59"/>
  <c r="AQ45" i="59"/>
  <c r="AO45" i="59"/>
  <c r="AN45" i="59"/>
  <c r="AQ44" i="59"/>
  <c r="AP44" i="59"/>
  <c r="AO44" i="59"/>
  <c r="AN44" i="59"/>
  <c r="AQ43" i="59"/>
  <c r="AP43" i="59"/>
  <c r="AO43" i="59"/>
  <c r="AN43" i="59"/>
  <c r="AQ42" i="59"/>
  <c r="AO42" i="59"/>
  <c r="AN42" i="59"/>
  <c r="AO41" i="59"/>
  <c r="AN41" i="59"/>
  <c r="AN39" i="59"/>
  <c r="AN38" i="59"/>
  <c r="AN37" i="59"/>
  <c r="AN36" i="59"/>
  <c r="AO35" i="59"/>
  <c r="AP34" i="59"/>
  <c r="AN34" i="59"/>
  <c r="AN33" i="59"/>
  <c r="AN32" i="59"/>
  <c r="AN31" i="59"/>
  <c r="AO29" i="59"/>
  <c r="AN29" i="59"/>
  <c r="AN28" i="59"/>
  <c r="AP27" i="59"/>
  <c r="AO27" i="59"/>
  <c r="AN27" i="59"/>
  <c r="AP26" i="59"/>
  <c r="AO26" i="59"/>
  <c r="AN26" i="59"/>
  <c r="AP25" i="59"/>
  <c r="AO25" i="59"/>
  <c r="AN25" i="59"/>
  <c r="AP24" i="59"/>
  <c r="AO24" i="59"/>
  <c r="AN24" i="59"/>
  <c r="AO23" i="59"/>
  <c r="AN23" i="59"/>
  <c r="AP22" i="59"/>
  <c r="AN22" i="59"/>
  <c r="AP20" i="59"/>
  <c r="AO20" i="59"/>
  <c r="AN20" i="59"/>
  <c r="AP19" i="59"/>
  <c r="AO19" i="59"/>
  <c r="AN19" i="59"/>
  <c r="AP18" i="59"/>
  <c r="AO18" i="59"/>
  <c r="AN18" i="59"/>
  <c r="AP17" i="59"/>
  <c r="AO17" i="59"/>
  <c r="AN17" i="59"/>
  <c r="AO16" i="59"/>
  <c r="AN16" i="59"/>
  <c r="AP15" i="59"/>
  <c r="AN15" i="59"/>
  <c r="AO12" i="59"/>
  <c r="AN12" i="59"/>
  <c r="BB43" i="77" l="1"/>
  <c r="BC43" i="77"/>
  <c r="BD19" i="7"/>
  <c r="BD23" i="36"/>
  <c r="BG65" i="59"/>
  <c r="BD34" i="7"/>
  <c r="BD48" i="7" s="1"/>
  <c r="BD93" i="7"/>
  <c r="AM241" i="28"/>
  <c r="BC241" i="28" s="1"/>
  <c r="BC16" i="28"/>
  <c r="BC124" i="73"/>
  <c r="AJ128" i="73"/>
  <c r="BC126" i="73"/>
  <c r="AN98" i="6"/>
  <c r="AN102" i="6" s="1"/>
  <c r="AN140" i="6" s="1"/>
  <c r="AN30" i="7"/>
  <c r="AN91" i="7" s="1"/>
  <c r="AN29" i="7"/>
  <c r="AN89" i="7" s="1"/>
  <c r="AQ35" i="59" s="1"/>
  <c r="AN56" i="7"/>
  <c r="AK27" i="6"/>
  <c r="AK24" i="6"/>
  <c r="AL33" i="28"/>
  <c r="AL385" i="28" s="1"/>
  <c r="AL141" i="6"/>
  <c r="AO15" i="59" s="1"/>
  <c r="AN54" i="7"/>
  <c r="AN24" i="7"/>
  <c r="AN49" i="7"/>
  <c r="AN22" i="7"/>
  <c r="AN82" i="7" s="1"/>
  <c r="AQ30" i="59" s="1"/>
  <c r="AN72" i="7"/>
  <c r="AN63" i="7"/>
  <c r="AN26" i="7"/>
  <c r="AN86" i="7" s="1"/>
  <c r="AN53" i="7"/>
  <c r="AK187" i="6"/>
  <c r="AK21" i="6"/>
  <c r="AL143" i="6"/>
  <c r="AN21" i="7"/>
  <c r="AN81" i="7" s="1"/>
  <c r="AN52" i="7"/>
  <c r="AN51" i="7"/>
  <c r="AN90" i="7" s="1"/>
  <c r="AN23" i="7"/>
  <c r="AM115" i="6"/>
  <c r="AM119" i="6" s="1"/>
  <c r="AM165" i="6" s="1"/>
  <c r="AN75" i="7"/>
  <c r="AQ28" i="59" s="1"/>
  <c r="AN55" i="7"/>
  <c r="AN33" i="7"/>
  <c r="AN94" i="7" s="1"/>
  <c r="AN32" i="7"/>
  <c r="AN84" i="7" s="1"/>
  <c r="AL236" i="28"/>
  <c r="AL370" i="28" s="1"/>
  <c r="AL128" i="73"/>
  <c r="AM98" i="6"/>
  <c r="AM102" i="6" s="1"/>
  <c r="AM143" i="6" s="1"/>
  <c r="AL83" i="7"/>
  <c r="AO31" i="59" s="1"/>
  <c r="AN28" i="7"/>
  <c r="AN88" i="7" s="1"/>
  <c r="AQ34" i="59" s="1"/>
  <c r="AK8" i="22"/>
  <c r="AK10" i="22" s="1"/>
  <c r="AK11" i="22" s="1"/>
  <c r="AK13" i="22" s="1"/>
  <c r="AK22" i="22"/>
  <c r="AK24" i="22" s="1"/>
  <c r="AL377" i="28"/>
  <c r="AK171" i="73"/>
  <c r="AK11" i="15"/>
  <c r="AK12" i="15" s="1"/>
  <c r="AK13" i="15" s="1"/>
  <c r="AL12" i="49"/>
  <c r="AN115" i="6"/>
  <c r="AN119" i="6" s="1"/>
  <c r="AN165" i="6" s="1"/>
  <c r="AL82" i="7"/>
  <c r="AO30" i="59" s="1"/>
  <c r="AN83" i="7"/>
  <c r="AQ31" i="59" s="1"/>
  <c r="AL74" i="9"/>
  <c r="AL166" i="6"/>
  <c r="AO22" i="59" s="1"/>
  <c r="AK143" i="6"/>
  <c r="AK141" i="6"/>
  <c r="AK142" i="6" s="1"/>
  <c r="AK62" i="9"/>
  <c r="AK36" i="8"/>
  <c r="AK34" i="8"/>
  <c r="AK33" i="8"/>
  <c r="AK10" i="49"/>
  <c r="AK12" i="49" s="1"/>
  <c r="AK181" i="6"/>
  <c r="AL77" i="9"/>
  <c r="AK131" i="8"/>
  <c r="AK132" i="8" s="1"/>
  <c r="AK95" i="7"/>
  <c r="AK34" i="7"/>
  <c r="AK48" i="7" s="1"/>
  <c r="AK57" i="7" s="1"/>
  <c r="AL34" i="7"/>
  <c r="AL48" i="7" s="1"/>
  <c r="AL71" i="7" s="1"/>
  <c r="AN27" i="7"/>
  <c r="AN87" i="7" s="1"/>
  <c r="AQ33" i="59" s="1"/>
  <c r="AN19" i="7"/>
  <c r="AK132" i="6"/>
  <c r="AK136" i="6" s="1"/>
  <c r="AK197" i="6" s="1"/>
  <c r="AK166" i="6"/>
  <c r="AM166" i="6"/>
  <c r="AM167" i="6" s="1"/>
  <c r="AM168" i="6"/>
  <c r="AL142" i="6"/>
  <c r="AL7" i="36" s="1"/>
  <c r="AO8" i="59" s="1"/>
  <c r="AN141" i="6"/>
  <c r="AQ15" i="59" s="1"/>
  <c r="AL132" i="6"/>
  <c r="AN143" i="6"/>
  <c r="AM141" i="6"/>
  <c r="AK165" i="6"/>
  <c r="AK17" i="6"/>
  <c r="AK26" i="6"/>
  <c r="AK20" i="6"/>
  <c r="AK161" i="6"/>
  <c r="AK156" i="6"/>
  <c r="AK23" i="6"/>
  <c r="AK15" i="6"/>
  <c r="AK80" i="6" s="1"/>
  <c r="AL168" i="6"/>
  <c r="AL165" i="6"/>
  <c r="AK50" i="39"/>
  <c r="AK23" i="39"/>
  <c r="AL375" i="28"/>
  <c r="AL83" i="28"/>
  <c r="AL52" i="28"/>
  <c r="AL300" i="28"/>
  <c r="AK300" i="28"/>
  <c r="AK60" i="28"/>
  <c r="AL50" i="28"/>
  <c r="AL58" i="28"/>
  <c r="AL61" i="28"/>
  <c r="AL374" i="28"/>
  <c r="AL381" i="28"/>
  <c r="AK19" i="28"/>
  <c r="AL376" i="28"/>
  <c r="AL343" i="28"/>
  <c r="AL373" i="28"/>
  <c r="AL360" i="28"/>
  <c r="AK12" i="28"/>
  <c r="AL59" i="28"/>
  <c r="AN128" i="73"/>
  <c r="AK5" i="73"/>
  <c r="AK128" i="73"/>
  <c r="AP31" i="36"/>
  <c r="AO31" i="36"/>
  <c r="AM31" i="36"/>
  <c r="AO54" i="36"/>
  <c r="AO53" i="36"/>
  <c r="AO51" i="36"/>
  <c r="AO49" i="36"/>
  <c r="AO48" i="36"/>
  <c r="AO29" i="36"/>
  <c r="AO28" i="36"/>
  <c r="AO27" i="36"/>
  <c r="AO23" i="36"/>
  <c r="AO22" i="36"/>
  <c r="AO21" i="36"/>
  <c r="AO17" i="36"/>
  <c r="AR48" i="59" s="1"/>
  <c r="AO16" i="36"/>
  <c r="AR47" i="59" s="1"/>
  <c r="AO9" i="36"/>
  <c r="AR10" i="59" s="1"/>
  <c r="AO8" i="36"/>
  <c r="AR9" i="59" s="1"/>
  <c r="AO7" i="36"/>
  <c r="AR8" i="59" s="1"/>
  <c r="AO5" i="36"/>
  <c r="AK54" i="36"/>
  <c r="AK46" i="36" s="1"/>
  <c r="AK53" i="36"/>
  <c r="AK51" i="36"/>
  <c r="AK43" i="36" s="1"/>
  <c r="AK45" i="36" s="1"/>
  <c r="AK49" i="36"/>
  <c r="AK48" i="36"/>
  <c r="AK40" i="36" s="1"/>
  <c r="AK42" i="36" s="1"/>
  <c r="AL46" i="36"/>
  <c r="AL54" i="36" s="1"/>
  <c r="AL44" i="36"/>
  <c r="AL52" i="36" s="1"/>
  <c r="AL43" i="36"/>
  <c r="AL51" i="36" s="1"/>
  <c r="AL41" i="36"/>
  <c r="AL49" i="36" s="1"/>
  <c r="AL40" i="36"/>
  <c r="AL48" i="36" s="1"/>
  <c r="AL39" i="36"/>
  <c r="AL17" i="36" s="1"/>
  <c r="AO48" i="59" s="1"/>
  <c r="AL38" i="36"/>
  <c r="AL16" i="36" s="1"/>
  <c r="AL32" i="36"/>
  <c r="AK32" i="36"/>
  <c r="AK29" i="36"/>
  <c r="AK28" i="36"/>
  <c r="AK27" i="36"/>
  <c r="AL26" i="36"/>
  <c r="AL23" i="36"/>
  <c r="AO65" i="59" s="1"/>
  <c r="AK23" i="36"/>
  <c r="AN65" i="59" s="1"/>
  <c r="AL22" i="36"/>
  <c r="AO61" i="59" s="1"/>
  <c r="AK22" i="36"/>
  <c r="AN61" i="59" s="1"/>
  <c r="AL21" i="36"/>
  <c r="AO57" i="59" s="1"/>
  <c r="AK21" i="36"/>
  <c r="AN57" i="59" s="1"/>
  <c r="AK17" i="36"/>
  <c r="AK16" i="36"/>
  <c r="AK13" i="36"/>
  <c r="AN40" i="59" s="1"/>
  <c r="AL12" i="36"/>
  <c r="AO39" i="59" s="1"/>
  <c r="AL11" i="36"/>
  <c r="AO38" i="59" s="1"/>
  <c r="AL10" i="36"/>
  <c r="AO37" i="59" s="1"/>
  <c r="AK9" i="36"/>
  <c r="AN10" i="59" s="1"/>
  <c r="AK8" i="36"/>
  <c r="AN9" i="59" s="1"/>
  <c r="AK7" i="36"/>
  <c r="AN8" i="59" s="1"/>
  <c r="AK5" i="36"/>
  <c r="AM54" i="36"/>
  <c r="AM51" i="36"/>
  <c r="AM53" i="36" s="1"/>
  <c r="AM49" i="36"/>
  <c r="AM48" i="36"/>
  <c r="AM41" i="36"/>
  <c r="AN31" i="36"/>
  <c r="AM29" i="36"/>
  <c r="AM28" i="36"/>
  <c r="AM27" i="36"/>
  <c r="AN23" i="36"/>
  <c r="AM23" i="36"/>
  <c r="AN22" i="36"/>
  <c r="AM22" i="36"/>
  <c r="AM21" i="36"/>
  <c r="AM17" i="36"/>
  <c r="AP48" i="59" s="1"/>
  <c r="AM16" i="36"/>
  <c r="AP47" i="59" s="1"/>
  <c r="AM9" i="36"/>
  <c r="AP10" i="59" s="1"/>
  <c r="AM8" i="36"/>
  <c r="AP9" i="59" s="1"/>
  <c r="AM7" i="36"/>
  <c r="AP8" i="59" s="1"/>
  <c r="AM5" i="36"/>
  <c r="AL28" i="21"/>
  <c r="AN27" i="21"/>
  <c r="AK27" i="21"/>
  <c r="AN26" i="21"/>
  <c r="AL24" i="21"/>
  <c r="AL25" i="21" s="1"/>
  <c r="AN23" i="21"/>
  <c r="AN22" i="21"/>
  <c r="AN19" i="21"/>
  <c r="AN17" i="21"/>
  <c r="AN16" i="21"/>
  <c r="AL12" i="21"/>
  <c r="AL20" i="21" s="1"/>
  <c r="AK12" i="21"/>
  <c r="AK22" i="21" s="1"/>
  <c r="AN11" i="21"/>
  <c r="AM11" i="21"/>
  <c r="AN10" i="21"/>
  <c r="AM10" i="21"/>
  <c r="AN9" i="21"/>
  <c r="AM9" i="21"/>
  <c r="AN8" i="21"/>
  <c r="AM8" i="21"/>
  <c r="AN7" i="21"/>
  <c r="AM7" i="21"/>
  <c r="AN6" i="21"/>
  <c r="AM6" i="21"/>
  <c r="AN2" i="21"/>
  <c r="AM2" i="21"/>
  <c r="AO43" i="35"/>
  <c r="AS43" i="35" s="1"/>
  <c r="AW43" i="35" s="1"/>
  <c r="AO42" i="35"/>
  <c r="AS42" i="35" s="1"/>
  <c r="AW42" i="35" s="1"/>
  <c r="AO41" i="35"/>
  <c r="AS41" i="35" s="1"/>
  <c r="AW41" i="35" s="1"/>
  <c r="AN49" i="35"/>
  <c r="AM49" i="35"/>
  <c r="AN47" i="35"/>
  <c r="AM47" i="35"/>
  <c r="AN46" i="35"/>
  <c r="AM46" i="35"/>
  <c r="AN43" i="35"/>
  <c r="AN42" i="35"/>
  <c r="AN41" i="35"/>
  <c r="AN40" i="35"/>
  <c r="AK40" i="35"/>
  <c r="AL39" i="35"/>
  <c r="AK39" i="35"/>
  <c r="AK37" i="35"/>
  <c r="AL34" i="35"/>
  <c r="AL44" i="35" s="1"/>
  <c r="AK34" i="35"/>
  <c r="AN33" i="35"/>
  <c r="BD33" i="35" s="1"/>
  <c r="BD34" i="35" s="1"/>
  <c r="BD35" i="35" s="1"/>
  <c r="BD25" i="36" s="1"/>
  <c r="BG69" i="59" s="1"/>
  <c r="AL31" i="35"/>
  <c r="AK31" i="35"/>
  <c r="AN30" i="35"/>
  <c r="AO112" i="45" s="1"/>
  <c r="AN29" i="35"/>
  <c r="AN90" i="11" s="1"/>
  <c r="AN28" i="35"/>
  <c r="AN26" i="35"/>
  <c r="AM9" i="15" s="1"/>
  <c r="AM26" i="35"/>
  <c r="AL9" i="15" s="1"/>
  <c r="AN25" i="35"/>
  <c r="BD25" i="35" s="1"/>
  <c r="AM25" i="35"/>
  <c r="AL24" i="35"/>
  <c r="AL33" i="36" s="1"/>
  <c r="AK24" i="35"/>
  <c r="AK33" i="36" s="1"/>
  <c r="AN23" i="35"/>
  <c r="AM23" i="35"/>
  <c r="AN22" i="35"/>
  <c r="AM22" i="35"/>
  <c r="AN21" i="35"/>
  <c r="AM21" i="35"/>
  <c r="AL19" i="35"/>
  <c r="AL26" i="9" s="1"/>
  <c r="AK19" i="35"/>
  <c r="AK26" i="9" s="1"/>
  <c r="AN18" i="35"/>
  <c r="AN17" i="35"/>
  <c r="AN16" i="35"/>
  <c r="AL11" i="35"/>
  <c r="AN10" i="35"/>
  <c r="AK10" i="35"/>
  <c r="AK14" i="35" s="1"/>
  <c r="AN9" i="35"/>
  <c r="AK9" i="35"/>
  <c r="AK8" i="35"/>
  <c r="AL7" i="35"/>
  <c r="AL6" i="6" s="1"/>
  <c r="AL6" i="35"/>
  <c r="AL5" i="6" s="1"/>
  <c r="AN2" i="35"/>
  <c r="BD2" i="35" s="1"/>
  <c r="AM2" i="35"/>
  <c r="BC2" i="35" s="1"/>
  <c r="AN1" i="35"/>
  <c r="BD1" i="35" s="1"/>
  <c r="BD19" i="35" s="1"/>
  <c r="BD26" i="9" s="1"/>
  <c r="AM1" i="35"/>
  <c r="AN93" i="7" l="1"/>
  <c r="AQ32" i="59" s="1"/>
  <c r="AL95" i="7"/>
  <c r="BG32" i="59"/>
  <c r="BD95" i="7"/>
  <c r="BD71" i="7"/>
  <c r="BD57" i="7"/>
  <c r="AM6" i="35"/>
  <c r="BC1" i="35"/>
  <c r="BC19" i="35" s="1"/>
  <c r="BC26" i="9" s="1"/>
  <c r="AN19" i="35"/>
  <c r="AN26" i="9" s="1"/>
  <c r="AK30" i="6"/>
  <c r="AN24" i="21"/>
  <c r="AL371" i="28"/>
  <c r="AL378" i="28"/>
  <c r="AL379" i="28"/>
  <c r="AJ5" i="15"/>
  <c r="AN70" i="59"/>
  <c r="AN5" i="15"/>
  <c r="AR70" i="59"/>
  <c r="AN5" i="9"/>
  <c r="AN94" i="9" s="1"/>
  <c r="AM18" i="15" s="1"/>
  <c r="AM17" i="15"/>
  <c r="AL35" i="35"/>
  <c r="AL5" i="15"/>
  <c r="AP70" i="59"/>
  <c r="AJ6" i="15"/>
  <c r="AN71" i="59"/>
  <c r="AN6" i="15"/>
  <c r="AR71" i="59"/>
  <c r="AM140" i="6"/>
  <c r="AM142" i="6" s="1"/>
  <c r="AL7" i="15"/>
  <c r="AP72" i="59"/>
  <c r="AN11" i="35"/>
  <c r="AL6" i="15"/>
  <c r="AP71" i="59"/>
  <c r="AJ7" i="15"/>
  <c r="AN72" i="59"/>
  <c r="AN7" i="15"/>
  <c r="AR72" i="59"/>
  <c r="AK167" i="6"/>
  <c r="AN34" i="7"/>
  <c r="AN48" i="7" s="1"/>
  <c r="AM50" i="36"/>
  <c r="AO50" i="36"/>
  <c r="AL53" i="36"/>
  <c r="AN6" i="59"/>
  <c r="AK13" i="49"/>
  <c r="AK14" i="49" s="1"/>
  <c r="AK15" i="49" s="1"/>
  <c r="AK16" i="49" s="1"/>
  <c r="AK19" i="49" s="1"/>
  <c r="AK20" i="49" s="1"/>
  <c r="AO13" i="49"/>
  <c r="AR6" i="59"/>
  <c r="AK25" i="22"/>
  <c r="AK27" i="22" s="1"/>
  <c r="AK38" i="36"/>
  <c r="AK89" i="9"/>
  <c r="AN47" i="59"/>
  <c r="AM13" i="49"/>
  <c r="AP6" i="59"/>
  <c r="AK39" i="36"/>
  <c r="AK90" i="9"/>
  <c r="AN48" i="59"/>
  <c r="AK50" i="36"/>
  <c r="AL84" i="28"/>
  <c r="AN28" i="21"/>
  <c r="AL382" i="28"/>
  <c r="AL14" i="6"/>
  <c r="AL12" i="6"/>
  <c r="AL11" i="6"/>
  <c r="AL13" i="6"/>
  <c r="AL7" i="6"/>
  <c r="AL34" i="36"/>
  <c r="AL35" i="36" s="1"/>
  <c r="AL36" i="36" s="1"/>
  <c r="AN10" i="36"/>
  <c r="AQ37" i="59" s="1"/>
  <c r="AN11" i="36"/>
  <c r="AQ38" i="59" s="1"/>
  <c r="AN12" i="36"/>
  <c r="AQ39" i="59" s="1"/>
  <c r="AN168" i="6"/>
  <c r="AN166" i="6"/>
  <c r="AQ22" i="59" s="1"/>
  <c r="AL167" i="6"/>
  <c r="AL8" i="36" s="1"/>
  <c r="AO9" i="59" s="1"/>
  <c r="AN89" i="9"/>
  <c r="AL50" i="36"/>
  <c r="AL79" i="9"/>
  <c r="AK71" i="7"/>
  <c r="AK202" i="6"/>
  <c r="AK204" i="6"/>
  <c r="AM12" i="21"/>
  <c r="AM22" i="21" s="1"/>
  <c r="AK44" i="35"/>
  <c r="AK45" i="35" s="1"/>
  <c r="AK28" i="28"/>
  <c r="AK383" i="28"/>
  <c r="AK34" i="36"/>
  <c r="AK35" i="36" s="1"/>
  <c r="AK36" i="36" s="1"/>
  <c r="AK28" i="21"/>
  <c r="AK11" i="35"/>
  <c r="AL42" i="36"/>
  <c r="AL45" i="36"/>
  <c r="AL18" i="36"/>
  <c r="AO49" i="59" s="1"/>
  <c r="AO47" i="59"/>
  <c r="AL13" i="36"/>
  <c r="AO40" i="59" s="1"/>
  <c r="AL57" i="7"/>
  <c r="AN95" i="7"/>
  <c r="AQ29" i="59"/>
  <c r="AN57" i="7"/>
  <c r="AN71" i="7"/>
  <c r="AK198" i="6"/>
  <c r="AN167" i="6"/>
  <c r="AN8" i="36" s="1"/>
  <c r="AQ9" i="59" s="1"/>
  <c r="AK205" i="6"/>
  <c r="AK203" i="6"/>
  <c r="AK208" i="6"/>
  <c r="AK211" i="6" s="1"/>
  <c r="AK200" i="6"/>
  <c r="AK196" i="6"/>
  <c r="AK199" i="6"/>
  <c r="AN142" i="6"/>
  <c r="AN7" i="36" s="1"/>
  <c r="AQ8" i="59" s="1"/>
  <c r="AK77" i="6"/>
  <c r="AK28" i="6"/>
  <c r="AK29" i="6"/>
  <c r="AK19" i="6"/>
  <c r="AL136" i="6"/>
  <c r="AK25" i="6"/>
  <c r="AK22" i="6"/>
  <c r="AL383" i="28"/>
  <c r="AK59" i="28"/>
  <c r="AK236" i="28"/>
  <c r="AK379" i="28" s="1"/>
  <c r="AK186" i="28"/>
  <c r="AK58" i="28"/>
  <c r="AL392" i="28"/>
  <c r="AL393" i="28"/>
  <c r="AL361" i="28"/>
  <c r="AL62" i="28"/>
  <c r="AK73" i="28"/>
  <c r="AL55" i="28"/>
  <c r="AK15" i="21"/>
  <c r="AN12" i="21"/>
  <c r="AN25" i="21"/>
  <c r="AK35" i="35"/>
  <c r="AL45" i="35"/>
  <c r="AL51" i="35" s="1"/>
  <c r="AN31" i="35"/>
  <c r="AM24" i="35"/>
  <c r="AN24" i="35"/>
  <c r="AL8" i="35"/>
  <c r="AK13" i="35"/>
  <c r="AM7" i="35"/>
  <c r="AM6" i="6" s="1"/>
  <c r="AM12" i="6" s="1"/>
  <c r="AM19" i="35"/>
  <c r="AM26" i="9" s="1"/>
  <c r="AH32" i="35"/>
  <c r="AM5" i="6" l="1"/>
  <c r="AM11" i="6" s="1"/>
  <c r="AQ53" i="59"/>
  <c r="AM125" i="26"/>
  <c r="AN75" i="9"/>
  <c r="AN33" i="22"/>
  <c r="AN72" i="9"/>
  <c r="AL25" i="36"/>
  <c r="AO69" i="59" s="1"/>
  <c r="AN76" i="9"/>
  <c r="AM71" i="83"/>
  <c r="AM69" i="83" s="1"/>
  <c r="AN78" i="9"/>
  <c r="AN73" i="9"/>
  <c r="AL19" i="36"/>
  <c r="AO50" i="59" s="1"/>
  <c r="AK91" i="9"/>
  <c r="AK19" i="9"/>
  <c r="AM81" i="50"/>
  <c r="AK30" i="36"/>
  <c r="AN73" i="59" s="1"/>
  <c r="AL56" i="28"/>
  <c r="AL187" i="6"/>
  <c r="AL182" i="6"/>
  <c r="AL161" i="6"/>
  <c r="AL157" i="6"/>
  <c r="AL15" i="6"/>
  <c r="AL80" i="6" s="1"/>
  <c r="AL30" i="36"/>
  <c r="AO73" i="59" s="1"/>
  <c r="AN13" i="36"/>
  <c r="AQ40" i="59" s="1"/>
  <c r="AK206" i="6"/>
  <c r="AK201" i="6"/>
  <c r="AK33" i="28"/>
  <c r="AK50" i="28"/>
  <c r="AK31" i="6"/>
  <c r="AL210" i="6"/>
  <c r="AL203" i="6"/>
  <c r="AL200" i="6"/>
  <c r="AL197" i="6"/>
  <c r="AL199" i="6"/>
  <c r="AL204" i="6"/>
  <c r="AL196" i="6"/>
  <c r="AL209" i="6"/>
  <c r="AL208" i="6"/>
  <c r="AL198" i="6"/>
  <c r="AL202" i="6"/>
  <c r="AL205" i="6"/>
  <c r="AL190" i="6"/>
  <c r="AL192" i="6"/>
  <c r="AL390" i="28"/>
  <c r="AK382" i="28"/>
  <c r="AK381" i="28"/>
  <c r="AK375" i="28"/>
  <c r="AK371" i="28"/>
  <c r="AK65" i="28"/>
  <c r="AL391" i="28"/>
  <c r="AL364" i="28"/>
  <c r="AL365" i="28"/>
  <c r="AL386" i="28"/>
  <c r="AL387" i="28"/>
  <c r="AK69" i="28"/>
  <c r="AK51" i="35"/>
  <c r="AK15" i="35"/>
  <c r="AM8" i="35"/>
  <c r="F125" i="73"/>
  <c r="G125" i="73"/>
  <c r="H125" i="73"/>
  <c r="J125" i="73"/>
  <c r="K125" i="73"/>
  <c r="L125" i="73"/>
  <c r="N125" i="73"/>
  <c r="O125" i="73"/>
  <c r="P125" i="73"/>
  <c r="R125" i="73"/>
  <c r="S125" i="73"/>
  <c r="T125" i="73"/>
  <c r="V125" i="73"/>
  <c r="W125" i="73"/>
  <c r="X125" i="73"/>
  <c r="Z125" i="73"/>
  <c r="AB125" i="73"/>
  <c r="AC125" i="73"/>
  <c r="AD125" i="73"/>
  <c r="AF125" i="73"/>
  <c r="AG125" i="73"/>
  <c r="AH125" i="73"/>
  <c r="F123" i="73"/>
  <c r="G123" i="73"/>
  <c r="H123" i="73"/>
  <c r="J123" i="73"/>
  <c r="K123" i="73"/>
  <c r="L123" i="73"/>
  <c r="N123" i="73"/>
  <c r="O123" i="73"/>
  <c r="P123" i="73"/>
  <c r="R123" i="73"/>
  <c r="S123" i="73"/>
  <c r="T123" i="73"/>
  <c r="V123" i="73"/>
  <c r="W123" i="73"/>
  <c r="X123" i="73"/>
  <c r="Z123" i="73"/>
  <c r="AB123" i="73"/>
  <c r="AC123" i="73"/>
  <c r="AD123" i="73"/>
  <c r="AF123" i="73"/>
  <c r="AG123" i="73"/>
  <c r="AH123" i="73"/>
  <c r="F120" i="73"/>
  <c r="G120" i="73"/>
  <c r="H120" i="73"/>
  <c r="J120" i="73"/>
  <c r="K120" i="73"/>
  <c r="L120" i="73"/>
  <c r="L128" i="73" s="1"/>
  <c r="N120" i="73"/>
  <c r="O120" i="73"/>
  <c r="P120" i="73"/>
  <c r="R120" i="73"/>
  <c r="S120" i="73"/>
  <c r="T120" i="73"/>
  <c r="V120" i="73"/>
  <c r="W120" i="73"/>
  <c r="X120" i="73"/>
  <c r="Z120" i="73"/>
  <c r="AB120" i="73"/>
  <c r="AC120" i="73"/>
  <c r="AM120" i="73" s="1"/>
  <c r="BC120" i="73" s="1"/>
  <c r="AD120" i="73"/>
  <c r="AF120" i="73"/>
  <c r="AG120" i="73"/>
  <c r="AH120" i="73"/>
  <c r="E125" i="73"/>
  <c r="E123" i="73"/>
  <c r="E120" i="73"/>
  <c r="E116" i="73"/>
  <c r="J113" i="73"/>
  <c r="J115" i="73" s="1"/>
  <c r="L113" i="73"/>
  <c r="N113" i="73"/>
  <c r="P113" i="73"/>
  <c r="P115" i="73" s="1"/>
  <c r="R113" i="73"/>
  <c r="R115" i="73" s="1"/>
  <c r="X113" i="73"/>
  <c r="Z113" i="73"/>
  <c r="AB113" i="73"/>
  <c r="AF113" i="73"/>
  <c r="AF115" i="73" s="1"/>
  <c r="AO7" i="73"/>
  <c r="AS7" i="73" s="1"/>
  <c r="AW7" i="73" s="1"/>
  <c r="BE7" i="73" s="1"/>
  <c r="AO9" i="73"/>
  <c r="AS9" i="73" s="1"/>
  <c r="AW9" i="73" s="1"/>
  <c r="BE9" i="73" s="1"/>
  <c r="AO10" i="73"/>
  <c r="AS10" i="73" s="1"/>
  <c r="AW10" i="73" s="1"/>
  <c r="BE10" i="73" s="1"/>
  <c r="AO12" i="73"/>
  <c r="AS12" i="73" s="1"/>
  <c r="AW12" i="73" s="1"/>
  <c r="BE12" i="73" s="1"/>
  <c r="AO15" i="73"/>
  <c r="AS15" i="73" s="1"/>
  <c r="AW15" i="73" s="1"/>
  <c r="BE15" i="73" s="1"/>
  <c r="AO17" i="73"/>
  <c r="AO19" i="73"/>
  <c r="AS19" i="73" s="1"/>
  <c r="AW19" i="73" s="1"/>
  <c r="BE19" i="73" s="1"/>
  <c r="AE7" i="73"/>
  <c r="AE9" i="73"/>
  <c r="AE10" i="73"/>
  <c r="AE12" i="73"/>
  <c r="AE15" i="73"/>
  <c r="AE17" i="73"/>
  <c r="AE16" i="73" s="1"/>
  <c r="AE19" i="73"/>
  <c r="U7" i="73"/>
  <c r="U9" i="73"/>
  <c r="U10" i="73"/>
  <c r="U12" i="73"/>
  <c r="U15" i="73"/>
  <c r="U17" i="73"/>
  <c r="U16" i="73" s="1"/>
  <c r="U19" i="73"/>
  <c r="Q7" i="73"/>
  <c r="Q9" i="73"/>
  <c r="Q10" i="73"/>
  <c r="Q12" i="73"/>
  <c r="Q15" i="73"/>
  <c r="Q17" i="73"/>
  <c r="Q16" i="73" s="1"/>
  <c r="Q19" i="73"/>
  <c r="M7" i="73"/>
  <c r="AA7" i="73" s="1"/>
  <c r="M9" i="73"/>
  <c r="AA9" i="73" s="1"/>
  <c r="M10" i="73"/>
  <c r="AA10" i="73" s="1"/>
  <c r="M12" i="73"/>
  <c r="AA12" i="73" s="1"/>
  <c r="M15" i="73"/>
  <c r="AA15" i="73" s="1"/>
  <c r="M17" i="73"/>
  <c r="M19" i="73"/>
  <c r="AA19" i="73" s="1"/>
  <c r="I7" i="73"/>
  <c r="I9" i="73"/>
  <c r="I10" i="73"/>
  <c r="I12" i="73"/>
  <c r="I15" i="73"/>
  <c r="I17" i="73"/>
  <c r="I16" i="73" s="1"/>
  <c r="I19" i="73"/>
  <c r="F14" i="73"/>
  <c r="F8" i="73"/>
  <c r="F6" i="73" s="1"/>
  <c r="G8" i="73"/>
  <c r="G6" i="73" s="1"/>
  <c r="G5" i="73" s="1"/>
  <c r="J8" i="73"/>
  <c r="J6" i="73" s="1"/>
  <c r="K8" i="73"/>
  <c r="K6" i="73" s="1"/>
  <c r="N8" i="73"/>
  <c r="N6" i="73" s="1"/>
  <c r="O8" i="73"/>
  <c r="R8" i="73"/>
  <c r="R6" i="73" s="1"/>
  <c r="S8" i="73"/>
  <c r="S6" i="73" s="1"/>
  <c r="S5" i="73" s="1"/>
  <c r="V8" i="73"/>
  <c r="V6" i="73" s="1"/>
  <c r="W8" i="73"/>
  <c r="W6" i="73" s="1"/>
  <c r="AB8" i="73"/>
  <c r="AB6" i="73" s="1"/>
  <c r="AC8" i="73"/>
  <c r="AM8" i="73" s="1"/>
  <c r="AF8" i="73"/>
  <c r="AF6" i="73" s="1"/>
  <c r="AG8" i="73"/>
  <c r="AG6" i="73" s="1"/>
  <c r="E8" i="73"/>
  <c r="E6" i="73" s="1"/>
  <c r="AS17" i="73" l="1"/>
  <c r="AO16" i="73"/>
  <c r="AA17" i="73"/>
  <c r="AA16" i="73" s="1"/>
  <c r="M16" i="73"/>
  <c r="O6" i="73"/>
  <c r="Y6" i="73" s="1"/>
  <c r="Y8" i="73"/>
  <c r="T128" i="73"/>
  <c r="Y125" i="73"/>
  <c r="Y123" i="73"/>
  <c r="AM125" i="73"/>
  <c r="BC125" i="73" s="1"/>
  <c r="Y120" i="73"/>
  <c r="AM123" i="73"/>
  <c r="BC123" i="73" s="1"/>
  <c r="P128" i="73"/>
  <c r="AM7" i="6"/>
  <c r="V128" i="73"/>
  <c r="F128" i="73"/>
  <c r="AB128" i="73"/>
  <c r="AH128" i="73"/>
  <c r="Z128" i="73"/>
  <c r="R128" i="73"/>
  <c r="J128" i="73"/>
  <c r="W5" i="73"/>
  <c r="AF128" i="73"/>
  <c r="E128" i="73"/>
  <c r="AD128" i="73"/>
  <c r="X128" i="73"/>
  <c r="N128" i="73"/>
  <c r="H128" i="73"/>
  <c r="I14" i="73"/>
  <c r="K126" i="50" s="1"/>
  <c r="AI14" i="73"/>
  <c r="BC14" i="73"/>
  <c r="BE126" i="50" s="1"/>
  <c r="BE128" i="50" s="1"/>
  <c r="BE129" i="50" s="1"/>
  <c r="AC6" i="73"/>
  <c r="AI8" i="73"/>
  <c r="AO8" i="73" s="1"/>
  <c r="AS8" i="73" s="1"/>
  <c r="AW8" i="73" s="1"/>
  <c r="BE8" i="73" s="1"/>
  <c r="BC8" i="73"/>
  <c r="AK207" i="6"/>
  <c r="AK212" i="6" s="1"/>
  <c r="AL77" i="6"/>
  <c r="AL33" i="6"/>
  <c r="AL36" i="6"/>
  <c r="AL34" i="6"/>
  <c r="AL35" i="6"/>
  <c r="AK55" i="28"/>
  <c r="AK361" i="28"/>
  <c r="AK61" i="28"/>
  <c r="AL201" i="6"/>
  <c r="AL206" i="6"/>
  <c r="AO11" i="59" s="1"/>
  <c r="AL211" i="6"/>
  <c r="AK378" i="28"/>
  <c r="AK377" i="28"/>
  <c r="AK370" i="28"/>
  <c r="AK374" i="28"/>
  <c r="AK373" i="28"/>
  <c r="AG5" i="73"/>
  <c r="U14" i="73"/>
  <c r="W126" i="50" s="1"/>
  <c r="AE14" i="73"/>
  <c r="AG126" i="50" s="1"/>
  <c r="K5" i="73"/>
  <c r="M14" i="73"/>
  <c r="I6" i="73"/>
  <c r="E5" i="73"/>
  <c r="I8" i="73"/>
  <c r="M6" i="73"/>
  <c r="Q14" i="73"/>
  <c r="S126" i="50" s="1"/>
  <c r="M8" i="73"/>
  <c r="AE8" i="73"/>
  <c r="U8" i="73"/>
  <c r="Q8" i="73"/>
  <c r="U53" i="83"/>
  <c r="Y53" i="83"/>
  <c r="AE53" i="83"/>
  <c r="AI53" i="83"/>
  <c r="AA14" i="73" l="1"/>
  <c r="AC126" i="50" s="1"/>
  <c r="O126" i="50"/>
  <c r="AO14" i="73"/>
  <c r="AK126" i="50"/>
  <c r="Q6" i="73"/>
  <c r="AW17" i="73"/>
  <c r="AS16" i="73"/>
  <c r="O5" i="73"/>
  <c r="Y5" i="73" s="1"/>
  <c r="U6" i="73"/>
  <c r="AA8" i="73"/>
  <c r="AA6" i="73"/>
  <c r="AE6" i="73"/>
  <c r="AM6" i="73"/>
  <c r="BC6" i="73" s="1"/>
  <c r="AO53" i="83"/>
  <c r="AC5" i="73"/>
  <c r="AE5" i="73" s="1"/>
  <c r="AI6" i="73"/>
  <c r="AO6" i="73" s="1"/>
  <c r="AS6" i="73" s="1"/>
  <c r="AW6" i="73" s="1"/>
  <c r="BE6" i="73" s="1"/>
  <c r="AA53" i="83"/>
  <c r="AC53" i="83" s="1"/>
  <c r="AG53" i="83" s="1"/>
  <c r="AK53" i="83" s="1"/>
  <c r="AQ53" i="83" s="1"/>
  <c r="AL37" i="6"/>
  <c r="AK364" i="28"/>
  <c r="AK387" i="28"/>
  <c r="AK390" i="28"/>
  <c r="AK77" i="28"/>
  <c r="AK365" i="28" s="1"/>
  <c r="AK62" i="28"/>
  <c r="AL207" i="6"/>
  <c r="M5" i="73"/>
  <c r="AA5" i="73" s="1"/>
  <c r="I5" i="73"/>
  <c r="AE28" i="7"/>
  <c r="AI28" i="7"/>
  <c r="AS14" i="73" l="1"/>
  <c r="AQ126" i="50"/>
  <c r="AU53" i="83"/>
  <c r="AY53" i="83" s="1"/>
  <c r="BG53" i="83" s="1"/>
  <c r="BE53" i="83"/>
  <c r="BE17" i="73"/>
  <c r="BE16" i="73" s="1"/>
  <c r="AW16" i="73"/>
  <c r="Q5" i="73"/>
  <c r="U5" i="73"/>
  <c r="AI5" i="73"/>
  <c r="AO5" i="73" s="1"/>
  <c r="AS5" i="73" s="1"/>
  <c r="AW5" i="73" s="1"/>
  <c r="BE5" i="73" s="1"/>
  <c r="AM5" i="73"/>
  <c r="BC5" i="73" s="1"/>
  <c r="AK391" i="28"/>
  <c r="AK386" i="28"/>
  <c r="AK385" i="28"/>
  <c r="AK81" i="28"/>
  <c r="AL212" i="6"/>
  <c r="AL9" i="36"/>
  <c r="AO10" i="59" s="1"/>
  <c r="AW14" i="73" l="1"/>
  <c r="AU126" i="50"/>
  <c r="AH55" i="10"/>
  <c r="AH21" i="10"/>
  <c r="AH82" i="10"/>
  <c r="AH76" i="10"/>
  <c r="AH69" i="10"/>
  <c r="AN69" i="10" s="1"/>
  <c r="BD69" i="10" s="1"/>
  <c r="AH67" i="10"/>
  <c r="AH65" i="10"/>
  <c r="AH63" i="10"/>
  <c r="AI27" i="50" l="1"/>
  <c r="AN82" i="10"/>
  <c r="BD82" i="10" s="1"/>
  <c r="AJ82" i="10"/>
  <c r="AP82" i="10" s="1"/>
  <c r="AT82" i="10" s="1"/>
  <c r="AX82" i="10" s="1"/>
  <c r="BF82" i="10" s="1"/>
  <c r="AI31" i="50"/>
  <c r="AN67" i="10"/>
  <c r="BD67" i="10" s="1"/>
  <c r="AJ67" i="10"/>
  <c r="AP67" i="10" s="1"/>
  <c r="AT67" i="10" s="1"/>
  <c r="AX67" i="10" s="1"/>
  <c r="BF67" i="10" s="1"/>
  <c r="AN76" i="10"/>
  <c r="BD76" i="10" s="1"/>
  <c r="AJ76" i="10"/>
  <c r="AP76" i="10" s="1"/>
  <c r="AT76" i="10" s="1"/>
  <c r="AX76" i="10" s="1"/>
  <c r="BF76" i="10" s="1"/>
  <c r="AI97" i="50"/>
  <c r="AN63" i="10"/>
  <c r="BD63" i="10" s="1"/>
  <c r="AJ63" i="10"/>
  <c r="AP63" i="10" s="1"/>
  <c r="AT63" i="10" s="1"/>
  <c r="AX63" i="10" s="1"/>
  <c r="BF63" i="10" s="1"/>
  <c r="AI23" i="50"/>
  <c r="AO23" i="50" s="1"/>
  <c r="BE23" i="50" s="1"/>
  <c r="AN21" i="10"/>
  <c r="BD21" i="10" s="1"/>
  <c r="AH125" i="10"/>
  <c r="AH124" i="10"/>
  <c r="AI29" i="50"/>
  <c r="AO29" i="50" s="1"/>
  <c r="BE29" i="50" s="1"/>
  <c r="AN65" i="10"/>
  <c r="BD65" i="10" s="1"/>
  <c r="AJ65" i="10"/>
  <c r="AP65" i="10" s="1"/>
  <c r="AT65" i="10" s="1"/>
  <c r="AX65" i="10" s="1"/>
  <c r="BF65" i="10" s="1"/>
  <c r="AI20" i="50"/>
  <c r="AN55" i="10"/>
  <c r="BD55" i="10" s="1"/>
  <c r="AJ55" i="10"/>
  <c r="AP55" i="10" s="1"/>
  <c r="AT55" i="10" s="1"/>
  <c r="AX55" i="10" s="1"/>
  <c r="BF55" i="10" s="1"/>
  <c r="BE14" i="73"/>
  <c r="BG126" i="50" s="1"/>
  <c r="AY126" i="50"/>
  <c r="BE8" i="72"/>
  <c r="AH165" i="10"/>
  <c r="AA64" i="45"/>
  <c r="AC64" i="45" s="1"/>
  <c r="AG64" i="45"/>
  <c r="AK64" i="45" s="1"/>
  <c r="AQ64" i="45" s="1"/>
  <c r="AU64" i="45" s="1"/>
  <c r="AY64" i="45" s="1"/>
  <c r="BG64" i="45" s="1"/>
  <c r="AO20" i="50" l="1"/>
  <c r="BE20" i="50" s="1"/>
  <c r="AK20" i="50"/>
  <c r="AQ20" i="50" s="1"/>
  <c r="AU20" i="50" s="1"/>
  <c r="AY20" i="50" s="1"/>
  <c r="AI100" i="50"/>
  <c r="AO97" i="50"/>
  <c r="AH127" i="10"/>
  <c r="AI93" i="50"/>
  <c r="AK27" i="50"/>
  <c r="AQ27" i="50" s="1"/>
  <c r="AU27" i="50" s="1"/>
  <c r="AY27" i="50" s="1"/>
  <c r="AO27" i="50"/>
  <c r="BE27" i="50" s="1"/>
  <c r="AG9" i="17"/>
  <c r="AM9" i="17" s="1"/>
  <c r="AO100" i="50" l="1"/>
  <c r="BE97" i="50"/>
  <c r="BE100" i="50" s="1"/>
  <c r="AM13" i="17"/>
  <c r="BC9" i="17"/>
  <c r="AH16" i="52"/>
  <c r="AG16" i="52"/>
  <c r="AH8" i="52"/>
  <c r="AG8" i="52"/>
  <c r="AG37" i="27"/>
  <c r="AG35" i="27"/>
  <c r="AG27" i="27"/>
  <c r="AG29" i="27"/>
  <c r="AG20" i="27"/>
  <c r="AG19" i="27"/>
  <c r="AG18" i="27"/>
  <c r="BC10" i="17" l="1"/>
  <c r="BC13" i="17"/>
  <c r="BC14" i="17" s="1"/>
  <c r="AH17" i="52"/>
  <c r="AG17" i="52"/>
  <c r="AF24" i="27"/>
  <c r="AF39" i="27"/>
  <c r="AG36" i="27"/>
  <c r="AF33" i="27"/>
  <c r="AG28" i="27"/>
  <c r="AG26" i="27"/>
  <c r="AG33" i="27" s="1"/>
  <c r="AG21" i="27"/>
  <c r="AE48" i="50"/>
  <c r="BG59" i="50"/>
  <c r="BG60" i="50"/>
  <c r="AO48" i="50" l="1"/>
  <c r="AG48" i="50"/>
  <c r="AG24" i="27"/>
  <c r="AG39" i="27"/>
  <c r="BE48" i="50" l="1"/>
  <c r="AK48" i="50"/>
  <c r="O48" i="83"/>
  <c r="O49" i="83"/>
  <c r="W48" i="83"/>
  <c r="W49" i="83"/>
  <c r="AA48" i="83"/>
  <c r="AC48" i="83" s="1"/>
  <c r="AG48" i="83" s="1"/>
  <c r="AA49" i="83"/>
  <c r="AI48" i="83"/>
  <c r="AO48" i="83" s="1"/>
  <c r="AI49" i="83"/>
  <c r="AO49" i="83" s="1"/>
  <c r="AI50" i="83"/>
  <c r="AQ48" i="50" l="1"/>
  <c r="AC49" i="83"/>
  <c r="AG49" i="83" s="1"/>
  <c r="AK49" i="83" s="1"/>
  <c r="AQ49" i="83" s="1"/>
  <c r="AK48" i="83"/>
  <c r="AQ48" i="83" s="1"/>
  <c r="AH28" i="22"/>
  <c r="AH24" i="22"/>
  <c r="AH23" i="22"/>
  <c r="AH14" i="22"/>
  <c r="AH10" i="22"/>
  <c r="AH9" i="22"/>
  <c r="M159" i="73"/>
  <c r="AA159" i="73" s="1"/>
  <c r="M96" i="73"/>
  <c r="AA96" i="73" s="1"/>
  <c r="M72" i="73"/>
  <c r="AA72" i="73" s="1"/>
  <c r="M70" i="73"/>
  <c r="AA70" i="73" s="1"/>
  <c r="AU48" i="50" l="1"/>
  <c r="AU48" i="83"/>
  <c r="AY48" i="83" s="1"/>
  <c r="BG48" i="83" s="1"/>
  <c r="BE48" i="83"/>
  <c r="AU49" i="83"/>
  <c r="AY49" i="83" s="1"/>
  <c r="BG49" i="83" s="1"/>
  <c r="BE49" i="83"/>
  <c r="AE96" i="73"/>
  <c r="AI96" i="73" s="1"/>
  <c r="AO96" i="73" s="1"/>
  <c r="AS96" i="73" s="1"/>
  <c r="AW96" i="73" s="1"/>
  <c r="BE96" i="73" s="1"/>
  <c r="AE159" i="73"/>
  <c r="AI159" i="73" s="1"/>
  <c r="AO159" i="73" s="1"/>
  <c r="AS159" i="73" s="1"/>
  <c r="AW159" i="73" s="1"/>
  <c r="BE159" i="73" s="1"/>
  <c r="AE70" i="73"/>
  <c r="AI70" i="73" s="1"/>
  <c r="AO70" i="73" s="1"/>
  <c r="AS70" i="73" s="1"/>
  <c r="AW70" i="73" s="1"/>
  <c r="BE70" i="73" s="1"/>
  <c r="AH12" i="22"/>
  <c r="AH26" i="22"/>
  <c r="W30" i="72"/>
  <c r="W31" i="72"/>
  <c r="K30" i="72"/>
  <c r="Y30" i="72" s="1"/>
  <c r="AC30" i="72" s="1"/>
  <c r="AG30" i="72" s="1"/>
  <c r="AM30" i="72" s="1"/>
  <c r="K31" i="72"/>
  <c r="Y31" i="72" s="1"/>
  <c r="BW27" i="71"/>
  <c r="BS27" i="71"/>
  <c r="BM27" i="71"/>
  <c r="BI27" i="71"/>
  <c r="BE27" i="71"/>
  <c r="BA27" i="71"/>
  <c r="AW27" i="71"/>
  <c r="AU27" i="71"/>
  <c r="AQ27" i="71"/>
  <c r="AF27" i="71"/>
  <c r="AB27" i="71"/>
  <c r="AG27" i="71" s="1"/>
  <c r="BW49" i="71"/>
  <c r="BS49" i="71"/>
  <c r="BM49" i="71"/>
  <c r="BI49" i="71"/>
  <c r="BE49" i="71"/>
  <c r="BA49" i="71"/>
  <c r="AW49" i="71"/>
  <c r="AU49" i="71"/>
  <c r="AQ49" i="71"/>
  <c r="AF49" i="71"/>
  <c r="AB49" i="71"/>
  <c r="M49" i="71"/>
  <c r="N49" i="71" s="1"/>
  <c r="AY48" i="50" l="1"/>
  <c r="AQ30" i="72"/>
  <c r="AU30" i="72" s="1"/>
  <c r="BC30" i="72" s="1"/>
  <c r="AG49" i="71"/>
  <c r="CU27" i="71"/>
  <c r="AR49" i="71"/>
  <c r="AR27" i="71"/>
  <c r="CU49" i="71"/>
  <c r="AH31" i="28" l="1"/>
  <c r="AH160" i="28"/>
  <c r="AN160" i="28" s="1"/>
  <c r="BD160" i="28" s="1"/>
  <c r="Z164" i="28"/>
  <c r="N164" i="28"/>
  <c r="Z106" i="28"/>
  <c r="N106" i="28"/>
  <c r="N98" i="28"/>
  <c r="Z98" i="28"/>
  <c r="Z246" i="28"/>
  <c r="N246" i="28"/>
  <c r="AJ287" i="28"/>
  <c r="AP287" i="28" s="1"/>
  <c r="AT287" i="28" s="1"/>
  <c r="AX287" i="28" s="1"/>
  <c r="BF287" i="28" s="1"/>
  <c r="Z324" i="28"/>
  <c r="N324" i="28"/>
  <c r="N341" i="28"/>
  <c r="AB341" i="28" s="1"/>
  <c r="AF341" i="28" s="1"/>
  <c r="AJ341" i="28" s="1"/>
  <c r="AP341" i="28" s="1"/>
  <c r="AT341" i="28" s="1"/>
  <c r="AX341" i="28" s="1"/>
  <c r="BF341" i="28" s="1"/>
  <c r="AB246" i="28" l="1"/>
  <c r="AF246" i="28" s="1"/>
  <c r="AJ246" i="28" s="1"/>
  <c r="AP246" i="28" s="1"/>
  <c r="AT246" i="28" s="1"/>
  <c r="AX246" i="28" s="1"/>
  <c r="BF246" i="28" s="1"/>
  <c r="AB164" i="28"/>
  <c r="AF164" i="28" s="1"/>
  <c r="AJ164" i="28" s="1"/>
  <c r="AP164" i="28" s="1"/>
  <c r="AT164" i="28" s="1"/>
  <c r="AX164" i="28" s="1"/>
  <c r="BF164" i="28" s="1"/>
  <c r="AB324" i="28"/>
  <c r="AF324" i="28" s="1"/>
  <c r="AJ324" i="28" s="1"/>
  <c r="AP324" i="28" s="1"/>
  <c r="AT324" i="28" s="1"/>
  <c r="AX324" i="28" s="1"/>
  <c r="BF324" i="28" s="1"/>
  <c r="AB106" i="28"/>
  <c r="AF106" i="28" s="1"/>
  <c r="AJ106" i="28" s="1"/>
  <c r="AP106" i="28" s="1"/>
  <c r="AT106" i="28" s="1"/>
  <c r="AX106" i="28" s="1"/>
  <c r="BF106" i="28" s="1"/>
  <c r="AB98" i="28"/>
  <c r="AF98" i="28" s="1"/>
  <c r="AJ98" i="28" s="1"/>
  <c r="AP98" i="28" s="1"/>
  <c r="AT98" i="28" s="1"/>
  <c r="AX98" i="28" s="1"/>
  <c r="BF98" i="28" s="1"/>
  <c r="AI60" i="83" l="1"/>
  <c r="AI61" i="83"/>
  <c r="AI62" i="83"/>
  <c r="AI63" i="83"/>
  <c r="AI64" i="83"/>
  <c r="AI65" i="83"/>
  <c r="AI66" i="83"/>
  <c r="AI59" i="83"/>
  <c r="AI44" i="83"/>
  <c r="AI45" i="83"/>
  <c r="AI46" i="83"/>
  <c r="AI47" i="83"/>
  <c r="AI51" i="83"/>
  <c r="AI52" i="83"/>
  <c r="AI54" i="83"/>
  <c r="AI55" i="83"/>
  <c r="AI56" i="83"/>
  <c r="AI57" i="83"/>
  <c r="AI43" i="83"/>
  <c r="AI40" i="83"/>
  <c r="AI41" i="83"/>
  <c r="AI39" i="83"/>
  <c r="AI33" i="83"/>
  <c r="AI34" i="83"/>
  <c r="AI35" i="83"/>
  <c r="AI36" i="83"/>
  <c r="AI37" i="83"/>
  <c r="AI32" i="83"/>
  <c r="G18" i="83"/>
  <c r="I18" i="83"/>
  <c r="M18" i="83"/>
  <c r="Q18" i="83"/>
  <c r="U18" i="83"/>
  <c r="W18" i="83" s="1"/>
  <c r="Y18" i="83"/>
  <c r="AI5" i="83"/>
  <c r="AI6" i="83"/>
  <c r="AI7" i="83"/>
  <c r="AI8" i="83"/>
  <c r="AI9" i="83"/>
  <c r="AI10" i="83"/>
  <c r="AI11" i="83"/>
  <c r="AI12" i="83"/>
  <c r="AI13" i="83"/>
  <c r="AI14" i="83"/>
  <c r="AI15" i="83"/>
  <c r="AI16" i="83"/>
  <c r="AI17" i="83"/>
  <c r="AI18" i="83"/>
  <c r="AI19" i="83"/>
  <c r="AI20" i="83"/>
  <c r="AI21" i="83"/>
  <c r="AI22" i="83"/>
  <c r="AI23" i="83"/>
  <c r="AI24" i="83"/>
  <c r="AI25" i="83"/>
  <c r="AI26" i="83"/>
  <c r="AI27" i="83"/>
  <c r="AI28" i="83"/>
  <c r="AI29" i="83"/>
  <c r="AI30" i="83"/>
  <c r="AI4" i="83"/>
  <c r="AE18" i="83"/>
  <c r="AJ17" i="61"/>
  <c r="AH17" i="61"/>
  <c r="G15" i="61"/>
  <c r="I15" i="61"/>
  <c r="M15" i="61"/>
  <c r="Q15" i="61"/>
  <c r="U15" i="61"/>
  <c r="W15" i="61" s="1"/>
  <c r="Y15" i="61"/>
  <c r="AE15" i="61"/>
  <c r="AA47" i="45"/>
  <c r="AC47" i="45" s="1"/>
  <c r="AA48" i="45"/>
  <c r="AC48" i="45" s="1"/>
  <c r="AG48" i="45"/>
  <c r="AK48" i="45" s="1"/>
  <c r="AQ48" i="45" s="1"/>
  <c r="AU48" i="45" s="1"/>
  <c r="BG48" i="45" s="1"/>
  <c r="AA30" i="45"/>
  <c r="AC30" i="45" s="1"/>
  <c r="AO18" i="83" l="1"/>
  <c r="AI15" i="61"/>
  <c r="AO15" i="61" s="1"/>
  <c r="BE15" i="61" s="1"/>
  <c r="AA15" i="61"/>
  <c r="O15" i="61"/>
  <c r="AI67" i="83"/>
  <c r="AI58" i="83"/>
  <c r="O18" i="83"/>
  <c r="AA18" i="83"/>
  <c r="AI31" i="83"/>
  <c r="AI38" i="83"/>
  <c r="AI42" i="83"/>
  <c r="BG18" i="50"/>
  <c r="AG30" i="45"/>
  <c r="AK30" i="45" s="1"/>
  <c r="AQ30" i="45" s="1"/>
  <c r="AU30" i="45" s="1"/>
  <c r="AY30" i="45" s="1"/>
  <c r="BG30" i="45" s="1"/>
  <c r="AC15" i="61" l="1"/>
  <c r="AG15" i="61" s="1"/>
  <c r="AK15" i="61" s="1"/>
  <c r="AQ15" i="61" s="1"/>
  <c r="AU15" i="61" s="1"/>
  <c r="AY15" i="61" s="1"/>
  <c r="BG15" i="61" s="1"/>
  <c r="AC18" i="83"/>
  <c r="AG18" i="83" s="1"/>
  <c r="AK18" i="83" s="1"/>
  <c r="AQ18" i="83" s="1"/>
  <c r="AI68" i="83"/>
  <c r="AU18" i="83" l="1"/>
  <c r="AY18" i="83" s="1"/>
  <c r="BG18" i="83" s="1"/>
  <c r="BE18" i="83"/>
  <c r="AH5" i="36"/>
  <c r="AH32" i="36" l="1"/>
  <c r="AG54" i="36"/>
  <c r="AG53" i="36"/>
  <c r="AG51" i="36"/>
  <c r="AG49" i="36"/>
  <c r="AG48" i="36"/>
  <c r="AH46" i="36"/>
  <c r="AH54" i="36" s="1"/>
  <c r="AH44" i="36"/>
  <c r="AH52" i="36" s="1"/>
  <c r="AH43" i="36"/>
  <c r="AH51" i="36" s="1"/>
  <c r="AH41" i="36"/>
  <c r="AH40" i="36"/>
  <c r="AH48" i="36" s="1"/>
  <c r="AH38" i="36"/>
  <c r="AI54" i="36"/>
  <c r="AI53" i="36"/>
  <c r="AI51" i="36"/>
  <c r="AI49" i="36"/>
  <c r="AI48" i="36"/>
  <c r="AH42" i="36" l="1"/>
  <c r="AH53" i="36"/>
  <c r="AH45" i="36"/>
  <c r="AG50" i="36"/>
  <c r="AI50" i="36"/>
  <c r="AH49" i="36"/>
  <c r="AH50" i="36" s="1"/>
  <c r="AH95" i="9"/>
  <c r="AH19" i="36" l="1"/>
  <c r="AI29" i="36"/>
  <c r="AI28" i="36"/>
  <c r="AI27" i="36"/>
  <c r="AI23" i="36"/>
  <c r="AI22" i="36"/>
  <c r="AI21" i="36"/>
  <c r="AI17" i="36"/>
  <c r="AI16" i="36"/>
  <c r="AI9" i="36"/>
  <c r="AI8" i="36"/>
  <c r="AI7" i="36"/>
  <c r="AI5" i="36"/>
  <c r="AF123" i="26" l="1"/>
  <c r="AG109" i="26"/>
  <c r="AF107" i="26"/>
  <c r="AF105" i="26"/>
  <c r="AF103" i="26"/>
  <c r="AF101" i="26"/>
  <c r="AF99" i="26"/>
  <c r="AF97" i="26"/>
  <c r="AF95" i="26"/>
  <c r="AF93" i="26"/>
  <c r="AG89" i="26"/>
  <c r="AG82" i="26"/>
  <c r="AG81" i="26"/>
  <c r="AF79" i="26"/>
  <c r="AF77" i="26"/>
  <c r="AG74" i="26"/>
  <c r="AF72" i="26"/>
  <c r="AF70" i="26"/>
  <c r="AF68" i="26"/>
  <c r="AF66" i="26"/>
  <c r="AF64" i="26"/>
  <c r="AF62" i="26"/>
  <c r="AF83" i="17" s="1"/>
  <c r="AF60" i="26"/>
  <c r="AF58" i="26"/>
  <c r="AF53" i="26"/>
  <c r="AF51" i="26"/>
  <c r="AG49" i="26"/>
  <c r="AG56" i="26" s="1"/>
  <c r="AF47" i="26"/>
  <c r="AG44" i="26"/>
  <c r="AF42" i="26"/>
  <c r="AF40" i="26"/>
  <c r="AF38" i="26"/>
  <c r="AF36" i="26"/>
  <c r="AF34" i="26"/>
  <c r="AF32" i="26"/>
  <c r="AF30" i="26"/>
  <c r="AF28" i="26"/>
  <c r="AF26" i="26"/>
  <c r="AF24" i="26"/>
  <c r="AF22" i="26"/>
  <c r="AF20" i="26"/>
  <c r="AF16" i="26"/>
  <c r="AF14" i="26"/>
  <c r="AG11" i="26"/>
  <c r="AG18" i="26" s="1"/>
  <c r="AF10" i="26"/>
  <c r="AF8" i="26"/>
  <c r="AG30" i="15"/>
  <c r="AG29" i="15"/>
  <c r="AG28" i="15"/>
  <c r="AG24" i="15"/>
  <c r="AG23" i="15"/>
  <c r="AG22" i="15"/>
  <c r="AG21" i="15"/>
  <c r="AG20" i="15"/>
  <c r="AF18" i="15"/>
  <c r="AG17" i="15"/>
  <c r="AG14" i="15"/>
  <c r="AF11" i="15"/>
  <c r="AF12" i="15" s="1"/>
  <c r="AG10" i="15"/>
  <c r="AG9" i="15"/>
  <c r="AF9" i="15"/>
  <c r="AG8" i="15"/>
  <c r="AF8" i="15"/>
  <c r="AH7" i="15"/>
  <c r="AG7" i="15"/>
  <c r="AH6" i="15"/>
  <c r="AG6" i="15"/>
  <c r="AH5" i="15"/>
  <c r="AG5" i="15"/>
  <c r="AF113" i="17"/>
  <c r="AG85" i="17"/>
  <c r="AG84" i="17"/>
  <c r="AG83" i="17"/>
  <c r="AG82" i="17"/>
  <c r="AG81" i="17"/>
  <c r="AF81" i="17"/>
  <c r="AG77" i="17"/>
  <c r="AF77" i="17"/>
  <c r="AG66" i="17"/>
  <c r="AG68" i="17" s="1"/>
  <c r="AF66" i="17"/>
  <c r="AF68" i="17" s="1"/>
  <c r="AF60" i="17"/>
  <c r="AG58" i="17"/>
  <c r="AG61" i="17" s="1"/>
  <c r="AF57" i="17"/>
  <c r="AF56" i="17"/>
  <c r="AG51" i="17"/>
  <c r="AG52" i="17" s="1"/>
  <c r="AF51" i="17"/>
  <c r="AF50" i="17"/>
  <c r="AF111" i="17" s="1"/>
  <c r="AG48" i="17"/>
  <c r="AF47" i="17"/>
  <c r="AG46" i="17"/>
  <c r="AF45" i="17"/>
  <c r="AG43" i="17"/>
  <c r="AG44" i="17" s="1"/>
  <c r="AF43" i="17"/>
  <c r="AG42" i="17"/>
  <c r="AG40" i="17"/>
  <c r="AG38" i="17"/>
  <c r="AG25" i="17"/>
  <c r="AG21" i="17"/>
  <c r="AG15" i="17" s="1"/>
  <c r="AF20" i="17"/>
  <c r="AF18" i="17"/>
  <c r="AF17" i="17"/>
  <c r="AF15" i="17"/>
  <c r="AF29" i="17" s="1"/>
  <c r="AF14" i="17"/>
  <c r="AG13" i="17"/>
  <c r="AG11" i="17"/>
  <c r="AG8" i="17"/>
  <c r="AG10" i="17" s="1"/>
  <c r="AF8" i="17"/>
  <c r="AF84" i="26" l="1"/>
  <c r="AF49" i="26"/>
  <c r="AF56" i="26" s="1"/>
  <c r="AF25" i="17"/>
  <c r="AF82" i="17"/>
  <c r="AG31" i="15"/>
  <c r="AF85" i="17"/>
  <c r="AG50" i="26"/>
  <c r="AG55" i="26"/>
  <c r="AG12" i="26"/>
  <c r="AG17" i="26"/>
  <c r="AF11" i="26"/>
  <c r="AF18" i="26" s="1"/>
  <c r="AF89" i="26"/>
  <c r="AF84" i="17"/>
  <c r="AF44" i="26"/>
  <c r="AF81" i="26"/>
  <c r="AF109" i="26"/>
  <c r="AF82" i="26"/>
  <c r="AF74" i="26"/>
  <c r="AF21" i="17"/>
  <c r="AG12" i="17"/>
  <c r="AG113" i="17" s="1"/>
  <c r="AG112" i="17"/>
  <c r="AF115" i="17"/>
  <c r="AG33" i="17"/>
  <c r="AG29" i="17"/>
  <c r="AF58" i="17"/>
  <c r="AF61" i="17" s="1"/>
  <c r="AF30" i="17"/>
  <c r="AG32" i="17"/>
  <c r="AF49" i="17"/>
  <c r="AG31" i="17"/>
  <c r="AG49" i="17"/>
  <c r="AF54" i="17"/>
  <c r="AF112" i="17"/>
  <c r="AG14" i="17"/>
  <c r="AG30" i="17"/>
  <c r="AF10" i="17"/>
  <c r="AG59" i="17"/>
  <c r="AG34" i="15" l="1"/>
  <c r="AG15" i="15" s="1"/>
  <c r="AG16" i="15" s="1"/>
  <c r="AF50" i="26"/>
  <c r="AF55" i="26"/>
  <c r="AF32" i="17"/>
  <c r="AF12" i="26"/>
  <c r="AF17" i="26"/>
  <c r="AF31" i="17"/>
  <c r="AF33" i="17"/>
  <c r="AF59" i="17"/>
  <c r="AG53" i="17"/>
  <c r="AG54" i="17" s="1"/>
  <c r="AG50" i="17"/>
  <c r="AG111" i="17" s="1"/>
  <c r="AG115" i="17" s="1"/>
  <c r="AG110" i="17"/>
  <c r="AG114" i="17" s="1"/>
  <c r="AF110" i="17"/>
  <c r="AF114" i="17" s="1"/>
  <c r="AF53" i="17"/>
  <c r="AL96" i="38" l="1"/>
  <c r="AL95" i="38"/>
  <c r="AL94" i="38"/>
  <c r="AL93" i="38"/>
  <c r="AK92" i="38"/>
  <c r="AL91" i="38"/>
  <c r="AK90" i="38"/>
  <c r="AL88" i="38"/>
  <c r="AL87" i="38"/>
  <c r="AL86" i="38"/>
  <c r="AL85" i="38"/>
  <c r="AK84" i="38"/>
  <c r="AL82" i="38"/>
  <c r="AL81" i="38"/>
  <c r="AL80" i="38"/>
  <c r="AL79" i="38"/>
  <c r="AL78" i="38"/>
  <c r="AL77" i="38"/>
  <c r="AL76" i="38"/>
  <c r="AL75" i="38"/>
  <c r="AL74" i="38"/>
  <c r="AL73" i="38"/>
  <c r="AL72" i="38"/>
  <c r="AL71" i="38"/>
  <c r="AL70" i="38"/>
  <c r="AL69" i="38"/>
  <c r="AK68" i="38"/>
  <c r="AL64" i="38"/>
  <c r="AL63" i="38"/>
  <c r="AK62" i="38"/>
  <c r="AL59" i="38"/>
  <c r="AL58" i="38"/>
  <c r="AL57" i="38"/>
  <c r="AL56" i="38"/>
  <c r="AK55" i="38"/>
  <c r="AK53" i="38"/>
  <c r="AL52" i="38"/>
  <c r="AK52" i="38"/>
  <c r="AK47" i="38"/>
  <c r="AK46" i="38"/>
  <c r="AK45" i="38"/>
  <c r="AK44" i="38"/>
  <c r="AL43" i="38"/>
  <c r="AL92" i="38" s="1"/>
  <c r="AK42" i="38"/>
  <c r="AL41" i="38"/>
  <c r="AK39" i="38"/>
  <c r="AK38" i="38"/>
  <c r="AK37" i="38"/>
  <c r="AK36" i="38"/>
  <c r="AL35" i="38"/>
  <c r="AK33" i="38"/>
  <c r="AK32" i="38"/>
  <c r="AK31" i="38"/>
  <c r="AK30" i="38"/>
  <c r="AK29" i="38"/>
  <c r="AK28" i="38"/>
  <c r="AK27" i="38"/>
  <c r="AK26" i="38"/>
  <c r="AK25" i="38"/>
  <c r="AK24" i="38"/>
  <c r="AK23" i="38"/>
  <c r="AK22" i="38"/>
  <c r="AK21" i="38"/>
  <c r="AK20" i="38"/>
  <c r="AL19" i="38"/>
  <c r="AK15" i="38"/>
  <c r="AK14" i="38"/>
  <c r="AL13" i="38"/>
  <c r="AK11" i="38"/>
  <c r="AK10" i="38"/>
  <c r="AK9" i="38"/>
  <c r="AK8" i="38"/>
  <c r="AK7" i="38"/>
  <c r="AL6" i="38"/>
  <c r="AI34" i="50"/>
  <c r="AI35" i="50"/>
  <c r="AI36" i="50"/>
  <c r="AI37" i="50"/>
  <c r="AI38" i="50"/>
  <c r="AI39" i="50"/>
  <c r="AI33" i="50"/>
  <c r="AI4" i="50"/>
  <c r="AJ89" i="50"/>
  <c r="AJ90" i="50" s="1"/>
  <c r="AH89" i="50"/>
  <c r="AH90" i="50" s="1"/>
  <c r="AI88" i="50"/>
  <c r="AK88" i="50" s="1"/>
  <c r="AI87" i="50"/>
  <c r="AK87" i="50" s="1"/>
  <c r="AI32" i="50" l="1"/>
  <c r="AI94" i="50" s="1"/>
  <c r="AI40" i="50"/>
  <c r="AI103" i="50" s="1"/>
  <c r="AK67" i="38"/>
  <c r="AI14" i="61"/>
  <c r="AI10" i="61"/>
  <c r="AI13" i="61"/>
  <c r="AI9" i="61"/>
  <c r="AI16" i="61"/>
  <c r="AI12" i="61"/>
  <c r="AI11" i="61"/>
  <c r="AL55" i="38"/>
  <c r="AK65" i="38"/>
  <c r="AL40" i="38"/>
  <c r="AL89" i="38" s="1"/>
  <c r="AL90" i="38"/>
  <c r="AL68" i="38"/>
  <c r="AL18" i="38"/>
  <c r="AL67" i="38" s="1"/>
  <c r="AK43" i="38"/>
  <c r="AL16" i="38"/>
  <c r="AL62" i="38"/>
  <c r="AK6" i="38"/>
  <c r="AK41" i="38"/>
  <c r="AK13" i="38"/>
  <c r="AK35" i="38"/>
  <c r="AK19" i="38"/>
  <c r="AL84" i="38"/>
  <c r="AK89" i="38"/>
  <c r="AK66" i="38" s="1"/>
  <c r="AH128" i="10"/>
  <c r="AH129" i="10" s="1"/>
  <c r="AE41" i="72"/>
  <c r="AE33" i="72"/>
  <c r="AE23" i="72"/>
  <c r="AE17" i="72"/>
  <c r="BW7" i="71"/>
  <c r="BW8" i="71"/>
  <c r="BW9" i="71"/>
  <c r="BW10" i="71"/>
  <c r="BW11" i="71"/>
  <c r="BW12" i="71"/>
  <c r="BW13" i="71"/>
  <c r="BW14" i="71"/>
  <c r="BW15" i="71"/>
  <c r="BW16" i="71"/>
  <c r="BW17" i="71"/>
  <c r="BW18" i="71"/>
  <c r="BW19" i="71"/>
  <c r="BW20" i="71"/>
  <c r="BW21" i="71"/>
  <c r="BW22" i="71"/>
  <c r="BW23" i="71"/>
  <c r="BW24" i="71"/>
  <c r="BW25" i="71"/>
  <c r="BW26" i="71"/>
  <c r="BW28" i="71"/>
  <c r="BW31" i="71"/>
  <c r="BW32" i="71"/>
  <c r="BW33" i="71"/>
  <c r="BW34" i="71"/>
  <c r="BW35" i="71"/>
  <c r="BW36" i="71"/>
  <c r="BW37" i="71"/>
  <c r="BW38" i="71"/>
  <c r="BW39" i="71"/>
  <c r="BW40" i="71"/>
  <c r="BW41" i="71"/>
  <c r="BW42" i="71"/>
  <c r="BW43" i="71"/>
  <c r="BW44" i="71"/>
  <c r="BW45" i="71"/>
  <c r="BW48" i="71"/>
  <c r="BW50" i="71"/>
  <c r="BW51" i="71"/>
  <c r="BW52" i="71"/>
  <c r="BW53" i="71"/>
  <c r="BW54" i="71"/>
  <c r="BW55" i="71"/>
  <c r="BW56" i="71"/>
  <c r="BW57" i="71"/>
  <c r="BW58" i="71"/>
  <c r="BW59" i="71"/>
  <c r="BW60" i="71"/>
  <c r="BW61" i="71"/>
  <c r="BW62" i="71"/>
  <c r="BW63" i="71"/>
  <c r="BW64" i="71"/>
  <c r="BW65" i="71"/>
  <c r="BW66" i="71"/>
  <c r="BW67" i="71"/>
  <c r="AI105" i="45"/>
  <c r="AI104" i="45"/>
  <c r="AI102" i="45"/>
  <c r="AI96" i="45"/>
  <c r="AI97" i="45" s="1"/>
  <c r="AI91" i="45"/>
  <c r="AI90" i="45"/>
  <c r="AH90" i="45"/>
  <c r="AI89" i="45"/>
  <c r="AH89" i="45"/>
  <c r="AI87" i="45"/>
  <c r="AI88" i="45" s="1"/>
  <c r="AH87" i="45"/>
  <c r="AH88" i="45" s="1"/>
  <c r="AH86" i="45"/>
  <c r="AI85" i="45"/>
  <c r="AH85" i="45"/>
  <c r="AI83" i="45"/>
  <c r="AH83" i="45"/>
  <c r="AI80" i="45"/>
  <c r="AH80" i="45"/>
  <c r="AH81" i="45" s="1"/>
  <c r="AI74" i="45"/>
  <c r="AI107" i="45" s="1"/>
  <c r="AI73" i="45"/>
  <c r="AI75" i="45" s="1"/>
  <c r="AI72" i="45"/>
  <c r="AI106" i="45" s="1"/>
  <c r="AJ87" i="8"/>
  <c r="AH83" i="11"/>
  <c r="AH81" i="11"/>
  <c r="AH75" i="11"/>
  <c r="AH76" i="11" s="1"/>
  <c r="AH70" i="11"/>
  <c r="AG70" i="11"/>
  <c r="AH69" i="11"/>
  <c r="AG69" i="11"/>
  <c r="AH68" i="11"/>
  <c r="AG68" i="11"/>
  <c r="AH66" i="11"/>
  <c r="AH67" i="11" s="1"/>
  <c r="AG66" i="11"/>
  <c r="AG65" i="11"/>
  <c r="AH64" i="11"/>
  <c r="AG64" i="11"/>
  <c r="AH62" i="11"/>
  <c r="AG62" i="11"/>
  <c r="AH59" i="11"/>
  <c r="AG59" i="11"/>
  <c r="AG60" i="11" s="1"/>
  <c r="AH55" i="11"/>
  <c r="AH53" i="11"/>
  <c r="AH77" i="11" s="1"/>
  <c r="AH52" i="11"/>
  <c r="AG52" i="11"/>
  <c r="AG71" i="11" s="1"/>
  <c r="AH51" i="11"/>
  <c r="AH84" i="11" s="1"/>
  <c r="AH155" i="10"/>
  <c r="AH153" i="10"/>
  <c r="AH147" i="10"/>
  <c r="AH154" i="10" s="1"/>
  <c r="AH142" i="10"/>
  <c r="AH141" i="10"/>
  <c r="AG141" i="10"/>
  <c r="AH140" i="10"/>
  <c r="AG140" i="10"/>
  <c r="AH138" i="10"/>
  <c r="AG138" i="10"/>
  <c r="AG137" i="10"/>
  <c r="AH136" i="10"/>
  <c r="AG136" i="10"/>
  <c r="AH134" i="10"/>
  <c r="AG134" i="10"/>
  <c r="AH131" i="10"/>
  <c r="AH132" i="10" s="1"/>
  <c r="AG131" i="10"/>
  <c r="AH149" i="10"/>
  <c r="AH156" i="10"/>
  <c r="AG104" i="9"/>
  <c r="AG102" i="9"/>
  <c r="AG101" i="9"/>
  <c r="AH99" i="9"/>
  <c r="AG99" i="9"/>
  <c r="AH98" i="9"/>
  <c r="AG98" i="9"/>
  <c r="AH97" i="9"/>
  <c r="AG97" i="9"/>
  <c r="AH93" i="9"/>
  <c r="AG78" i="9"/>
  <c r="AG76" i="9"/>
  <c r="AG75" i="9"/>
  <c r="AG73" i="9"/>
  <c r="AG72" i="9"/>
  <c r="AH60" i="9"/>
  <c r="AH57" i="9"/>
  <c r="AG53" i="9"/>
  <c r="AG52" i="9"/>
  <c r="AG51" i="9"/>
  <c r="AG47" i="9"/>
  <c r="AH46" i="9"/>
  <c r="AH36" i="9"/>
  <c r="AI117" i="50" s="1"/>
  <c r="AI118" i="50" s="1"/>
  <c r="AH35" i="9"/>
  <c r="AH34" i="9"/>
  <c r="AH31" i="9"/>
  <c r="AH25" i="9"/>
  <c r="AG24" i="9"/>
  <c r="AG22" i="9"/>
  <c r="AH19" i="9"/>
  <c r="AJ159" i="9"/>
  <c r="AJ158" i="9"/>
  <c r="AJ157" i="9"/>
  <c r="AH10" i="9"/>
  <c r="AH5" i="9"/>
  <c r="AH129" i="8"/>
  <c r="AH131" i="8" s="1"/>
  <c r="AH88" i="8"/>
  <c r="AH85" i="8"/>
  <c r="AH86" i="8" s="1"/>
  <c r="AG85" i="8"/>
  <c r="AH83" i="8"/>
  <c r="AG83" i="8"/>
  <c r="AH82" i="8"/>
  <c r="AG82" i="8"/>
  <c r="AG81" i="8"/>
  <c r="AH80" i="8"/>
  <c r="AG78" i="8"/>
  <c r="AG77" i="8"/>
  <c r="AH76" i="8"/>
  <c r="AG76" i="8"/>
  <c r="AI75" i="8"/>
  <c r="AG75" i="8"/>
  <c r="AG73" i="8"/>
  <c r="AG72" i="8"/>
  <c r="AI71" i="8"/>
  <c r="AG71" i="8"/>
  <c r="AG70" i="8"/>
  <c r="AG69" i="8"/>
  <c r="AH66" i="8"/>
  <c r="AH67" i="8" s="1"/>
  <c r="AH64" i="8"/>
  <c r="AH65" i="8" s="1"/>
  <c r="AH62" i="8"/>
  <c r="AH63" i="8" s="1"/>
  <c r="AH59" i="8"/>
  <c r="AH56" i="8"/>
  <c r="AI50" i="8"/>
  <c r="AG50" i="8"/>
  <c r="AH48" i="8"/>
  <c r="AH49" i="8" s="1"/>
  <c r="AG48" i="8"/>
  <c r="AH46" i="8"/>
  <c r="AH45" i="8"/>
  <c r="AG45" i="8"/>
  <c r="AH44" i="8"/>
  <c r="AG44" i="8"/>
  <c r="AH43" i="8"/>
  <c r="AG43" i="8"/>
  <c r="AH42" i="8"/>
  <c r="AG42" i="8"/>
  <c r="AH40" i="8"/>
  <c r="AG40" i="8"/>
  <c r="AH39" i="8"/>
  <c r="AG39" i="8"/>
  <c r="AH38" i="8"/>
  <c r="AG38" i="8"/>
  <c r="AH25" i="8"/>
  <c r="AH20" i="8"/>
  <c r="AH16" i="8"/>
  <c r="AG16" i="8"/>
  <c r="AH14" i="8"/>
  <c r="AG14" i="8"/>
  <c r="AH13" i="8"/>
  <c r="AG13" i="8"/>
  <c r="AH12" i="8"/>
  <c r="AG12" i="8"/>
  <c r="AG6" i="8"/>
  <c r="AI104" i="7"/>
  <c r="AG104" i="7"/>
  <c r="AI103" i="7"/>
  <c r="AG103" i="7"/>
  <c r="AI102" i="7"/>
  <c r="AG102" i="7"/>
  <c r="AI101" i="7"/>
  <c r="AG101" i="7"/>
  <c r="AI100" i="7"/>
  <c r="AG100" i="7"/>
  <c r="AI99" i="7"/>
  <c r="AG99" i="7"/>
  <c r="AI98" i="7"/>
  <c r="AG98" i="7"/>
  <c r="AI97" i="7"/>
  <c r="AG97" i="7"/>
  <c r="AI94" i="7"/>
  <c r="AG94" i="7"/>
  <c r="AI85" i="7"/>
  <c r="AI79" i="7"/>
  <c r="AG79" i="7"/>
  <c r="AH78" i="7"/>
  <c r="AG78" i="7"/>
  <c r="AH76" i="7"/>
  <c r="AG76" i="7"/>
  <c r="AH69" i="7"/>
  <c r="AG69" i="7"/>
  <c r="AH65" i="7"/>
  <c r="AG65" i="7"/>
  <c r="AG67" i="7" s="1"/>
  <c r="AH61" i="7"/>
  <c r="AH75" i="7" s="1"/>
  <c r="AG61" i="7"/>
  <c r="AI56" i="7"/>
  <c r="AG56" i="7"/>
  <c r="AI55" i="7"/>
  <c r="AG55" i="7"/>
  <c r="AI54" i="7"/>
  <c r="AG54" i="7"/>
  <c r="AI53" i="7"/>
  <c r="AG53" i="7"/>
  <c r="AI52" i="7"/>
  <c r="AG52" i="7"/>
  <c r="AI51" i="7"/>
  <c r="AI90" i="7" s="1"/>
  <c r="AG51" i="7"/>
  <c r="AG90" i="7" s="1"/>
  <c r="AI50" i="7"/>
  <c r="AG50" i="7"/>
  <c r="AI49" i="7"/>
  <c r="AG49" i="7"/>
  <c r="AI88" i="7"/>
  <c r="AH28" i="7"/>
  <c r="AH88" i="7" s="1"/>
  <c r="AH19" i="7"/>
  <c r="AH37" i="7" s="1"/>
  <c r="AG19" i="7"/>
  <c r="AG37" i="7" s="1"/>
  <c r="AH1" i="7"/>
  <c r="AG1" i="7"/>
  <c r="AH90" i="11" l="1"/>
  <c r="AI102" i="50"/>
  <c r="AI104" i="50"/>
  <c r="AI107" i="50"/>
  <c r="AI108" i="50" s="1"/>
  <c r="AI80" i="50"/>
  <c r="AI95" i="50"/>
  <c r="AI96" i="50"/>
  <c r="AH41" i="8"/>
  <c r="AG77" i="9"/>
  <c r="AI17" i="61"/>
  <c r="AG75" i="7"/>
  <c r="AG25" i="7"/>
  <c r="AG85" i="7" s="1"/>
  <c r="AH39" i="36"/>
  <c r="AG74" i="9"/>
  <c r="AG15" i="8"/>
  <c r="AG79" i="8"/>
  <c r="AH82" i="11"/>
  <c r="AG51" i="11"/>
  <c r="AG26" i="8"/>
  <c r="AG57" i="8" s="1"/>
  <c r="AG30" i="8"/>
  <c r="AG23" i="8"/>
  <c r="AH33" i="22"/>
  <c r="AG49" i="8"/>
  <c r="AG86" i="8"/>
  <c r="AG24" i="8"/>
  <c r="AG28" i="8"/>
  <c r="AI108" i="45"/>
  <c r="AI98" i="45"/>
  <c r="AI76" i="45"/>
  <c r="AI77" i="45" s="1"/>
  <c r="AH56" i="11"/>
  <c r="AH157" i="10"/>
  <c r="AH158" i="10" s="1"/>
  <c r="AH162" i="10"/>
  <c r="AH60" i="8"/>
  <c r="AH57" i="8"/>
  <c r="AH61" i="8" s="1"/>
  <c r="AH48" i="9"/>
  <c r="AH90" i="9"/>
  <c r="AG125" i="26"/>
  <c r="AH96" i="9"/>
  <c r="AH100" i="9"/>
  <c r="AH15" i="8"/>
  <c r="AG5" i="26"/>
  <c r="AG139" i="10"/>
  <c r="AL17" i="38"/>
  <c r="AL66" i="38" s="1"/>
  <c r="AK18" i="38"/>
  <c r="AK40" i="38"/>
  <c r="AK16" i="38"/>
  <c r="AG67" i="11"/>
  <c r="AL65" i="38"/>
  <c r="AE43" i="72"/>
  <c r="AI92" i="45"/>
  <c r="AI112" i="45"/>
  <c r="AI81" i="45"/>
  <c r="AI103" i="45"/>
  <c r="AI110" i="45" s="1"/>
  <c r="AH60" i="11"/>
  <c r="AH88" i="11"/>
  <c r="AH71" i="11"/>
  <c r="AG54" i="11"/>
  <c r="AH54" i="11"/>
  <c r="AH85" i="11"/>
  <c r="AH86" i="11" s="1"/>
  <c r="AG90" i="11"/>
  <c r="AH148" i="10"/>
  <c r="AH160" i="10"/>
  <c r="AG132" i="10"/>
  <c r="AH139" i="10"/>
  <c r="AH166" i="10"/>
  <c r="AG25" i="9"/>
  <c r="AG88" i="9" s="1"/>
  <c r="AH37" i="9"/>
  <c r="AH14" i="9"/>
  <c r="AH47" i="9"/>
  <c r="AH62" i="9"/>
  <c r="AH94" i="9"/>
  <c r="AG18" i="15" s="1"/>
  <c r="AH89" i="9"/>
  <c r="AG41" i="8"/>
  <c r="AG22" i="8"/>
  <c r="AH72" i="8"/>
  <c r="AH35" i="8"/>
  <c r="AH33" i="8"/>
  <c r="AH70" i="8"/>
  <c r="AH36" i="8"/>
  <c r="AH71" i="8"/>
  <c r="AG27" i="8"/>
  <c r="AG29" i="8"/>
  <c r="AH130" i="8"/>
  <c r="AH32" i="7"/>
  <c r="AH84" i="7" s="1"/>
  <c r="AH72" i="7"/>
  <c r="AH22" i="7"/>
  <c r="AH25" i="7"/>
  <c r="AH85" i="7" s="1"/>
  <c r="AH26" i="7"/>
  <c r="AH86" i="7" s="1"/>
  <c r="AH29" i="7"/>
  <c r="AH89" i="7" s="1"/>
  <c r="AH33" i="7"/>
  <c r="AH94" i="7" s="1"/>
  <c r="AH49" i="7"/>
  <c r="AH51" i="7"/>
  <c r="AH90" i="7" s="1"/>
  <c r="AH53" i="7"/>
  <c r="AH55" i="7"/>
  <c r="AH23" i="7"/>
  <c r="AH74" i="7"/>
  <c r="AH27" i="7"/>
  <c r="AH87" i="7" s="1"/>
  <c r="AH30" i="7"/>
  <c r="AH91" i="7" s="1"/>
  <c r="AH77" i="7"/>
  <c r="AH21" i="7"/>
  <c r="AH81" i="7" s="1"/>
  <c r="AH24" i="7"/>
  <c r="AH50" i="7"/>
  <c r="AH52" i="7"/>
  <c r="AH54" i="7"/>
  <c r="AH56" i="7"/>
  <c r="AH70" i="7"/>
  <c r="AG29" i="7"/>
  <c r="AG89" i="7" s="1"/>
  <c r="AG27" i="7"/>
  <c r="AG87" i="7" s="1"/>
  <c r="AG77" i="7"/>
  <c r="AG21" i="7"/>
  <c r="AG81" i="7" s="1"/>
  <c r="AG23" i="7"/>
  <c r="AG83" i="7" s="1"/>
  <c r="AG28" i="7"/>
  <c r="AG88" i="7" s="1"/>
  <c r="AG30" i="7"/>
  <c r="AG91" i="7" s="1"/>
  <c r="AG74" i="7"/>
  <c r="AG32" i="7"/>
  <c r="AG84" i="7" s="1"/>
  <c r="AG70" i="7"/>
  <c r="AG26" i="7"/>
  <c r="AG86" i="7" s="1"/>
  <c r="AG22" i="7"/>
  <c r="AG82" i="7" s="1"/>
  <c r="AG24" i="7"/>
  <c r="AG93" i="7" s="1"/>
  <c r="AH46" i="7"/>
  <c r="AG46" i="7"/>
  <c r="AG62" i="7"/>
  <c r="AG72" i="7"/>
  <c r="AH67" i="7"/>
  <c r="AH63" i="7"/>
  <c r="AG25" i="8" l="1"/>
  <c r="AG74" i="8"/>
  <c r="AG63" i="8"/>
  <c r="AG33" i="8" s="1"/>
  <c r="AH82" i="7"/>
  <c r="AH83" i="7"/>
  <c r="AH91" i="9"/>
  <c r="AK17" i="38"/>
  <c r="AH143" i="10"/>
  <c r="AH49" i="9"/>
  <c r="AG61" i="8"/>
  <c r="AH68" i="8"/>
  <c r="AH34" i="8"/>
  <c r="AG65" i="8"/>
  <c r="AH69" i="8"/>
  <c r="AG129" i="8"/>
  <c r="AG130" i="8" s="1"/>
  <c r="AG67" i="8"/>
  <c r="AH132" i="8"/>
  <c r="AH51" i="8" s="1"/>
  <c r="AH50" i="8"/>
  <c r="AG95" i="7"/>
  <c r="AH93" i="7"/>
  <c r="AH34" i="7"/>
  <c r="AH48" i="7" s="1"/>
  <c r="AG34" i="7"/>
  <c r="AG48" i="7" s="1"/>
  <c r="AG57" i="7" s="1"/>
  <c r="AH95" i="7" l="1"/>
  <c r="AH86" i="9"/>
  <c r="AH84" i="9"/>
  <c r="AH82" i="9"/>
  <c r="AH80" i="9"/>
  <c r="AH52" i="9"/>
  <c r="AH78" i="9"/>
  <c r="AH75" i="9"/>
  <c r="AH72" i="9"/>
  <c r="AH53" i="9"/>
  <c r="AH87" i="9"/>
  <c r="AH85" i="9"/>
  <c r="AH83" i="9"/>
  <c r="AH81" i="9"/>
  <c r="AH76" i="9"/>
  <c r="AH73" i="9"/>
  <c r="AG131" i="8"/>
  <c r="AG132" i="8" s="1"/>
  <c r="AG35" i="8"/>
  <c r="AG34" i="8"/>
  <c r="AG36" i="8"/>
  <c r="AG71" i="7"/>
  <c r="AH71" i="7"/>
  <c r="AH57" i="7"/>
  <c r="AH77" i="9" l="1"/>
  <c r="AH74" i="9"/>
  <c r="AH79" i="9" l="1"/>
  <c r="AG6" i="6"/>
  <c r="AG5" i="6"/>
  <c r="AI192" i="6"/>
  <c r="AG192" i="6"/>
  <c r="AI191" i="6"/>
  <c r="AG191" i="6"/>
  <c r="AI190" i="6"/>
  <c r="AG190" i="6"/>
  <c r="AI188" i="6"/>
  <c r="AG188" i="6"/>
  <c r="AH186" i="6"/>
  <c r="AG186" i="6"/>
  <c r="AH185" i="6"/>
  <c r="AG185" i="6"/>
  <c r="AH184" i="6"/>
  <c r="AG184" i="6"/>
  <c r="AI183" i="6"/>
  <c r="AG183" i="6"/>
  <c r="AI182" i="6"/>
  <c r="AG182" i="6"/>
  <c r="AI179" i="6"/>
  <c r="AG179" i="6"/>
  <c r="AI178" i="6"/>
  <c r="AG178" i="6"/>
  <c r="AI177" i="6"/>
  <c r="AG177" i="6"/>
  <c r="AI176" i="6"/>
  <c r="AG176" i="6"/>
  <c r="AI175" i="6"/>
  <c r="AG175" i="6"/>
  <c r="AI174" i="6"/>
  <c r="AG174" i="6"/>
  <c r="AI172" i="6"/>
  <c r="AG172" i="6"/>
  <c r="AI171" i="6"/>
  <c r="AG171" i="6"/>
  <c r="AI170" i="6"/>
  <c r="AG170" i="6"/>
  <c r="AI162" i="6"/>
  <c r="AG162" i="6"/>
  <c r="AH160" i="6"/>
  <c r="AG160" i="6"/>
  <c r="AH159" i="6"/>
  <c r="AG159" i="6"/>
  <c r="AI158" i="6"/>
  <c r="AG158" i="6"/>
  <c r="AI157" i="6"/>
  <c r="AG157" i="6"/>
  <c r="AI154" i="6"/>
  <c r="AG154" i="6"/>
  <c r="AI153" i="6"/>
  <c r="AG153" i="6"/>
  <c r="AI152" i="6"/>
  <c r="AG152" i="6"/>
  <c r="AI151" i="6"/>
  <c r="AG151" i="6"/>
  <c r="AI150" i="6"/>
  <c r="AG150" i="6"/>
  <c r="AI149" i="6"/>
  <c r="AG149" i="6"/>
  <c r="AI147" i="6"/>
  <c r="AG147" i="6"/>
  <c r="AI146" i="6"/>
  <c r="AG146" i="6"/>
  <c r="AI145" i="6"/>
  <c r="AG145" i="6"/>
  <c r="AH135" i="6"/>
  <c r="AH134" i="6"/>
  <c r="AH133" i="6"/>
  <c r="AG133" i="6"/>
  <c r="AH130" i="6"/>
  <c r="AG130" i="6"/>
  <c r="AH129" i="6"/>
  <c r="AG129" i="6"/>
  <c r="AH128" i="6"/>
  <c r="AG128" i="6"/>
  <c r="AH127" i="6"/>
  <c r="AG127" i="6"/>
  <c r="AH125" i="6"/>
  <c r="AH124" i="6"/>
  <c r="AH123" i="6"/>
  <c r="AH122" i="6"/>
  <c r="AH121" i="6"/>
  <c r="AH114" i="6"/>
  <c r="AG114" i="6"/>
  <c r="AH109" i="6"/>
  <c r="AG109" i="6"/>
  <c r="AH97" i="6"/>
  <c r="AG97" i="6"/>
  <c r="AH92" i="6"/>
  <c r="AG92" i="6"/>
  <c r="AG83" i="6"/>
  <c r="AG82" i="6"/>
  <c r="AI81" i="6"/>
  <c r="AG81" i="6"/>
  <c r="AI79" i="6"/>
  <c r="AG79" i="6"/>
  <c r="AI78" i="6"/>
  <c r="AG78" i="6"/>
  <c r="AI76" i="6"/>
  <c r="AG76" i="6"/>
  <c r="AI75" i="6"/>
  <c r="AG75" i="6"/>
  <c r="AH73" i="6"/>
  <c r="AG73" i="6"/>
  <c r="AH65" i="6"/>
  <c r="AG65" i="6"/>
  <c r="AH62" i="6"/>
  <c r="AG62" i="6"/>
  <c r="AH52" i="6"/>
  <c r="AH51" i="6"/>
  <c r="AH50" i="6"/>
  <c r="AH47" i="6"/>
  <c r="AH44" i="6"/>
  <c r="AH41" i="6"/>
  <c r="AI36" i="6"/>
  <c r="AG36" i="6"/>
  <c r="AI35" i="6"/>
  <c r="AG35" i="6"/>
  <c r="AI34" i="6"/>
  <c r="AG34" i="6"/>
  <c r="AI33" i="6"/>
  <c r="AI37" i="6" s="1"/>
  <c r="AG33" i="6"/>
  <c r="AH28" i="6"/>
  <c r="AH25" i="6"/>
  <c r="AH22" i="6"/>
  <c r="AH30" i="6"/>
  <c r="AG14" i="6"/>
  <c r="AI9" i="6"/>
  <c r="AG9" i="6"/>
  <c r="AG12" i="6" s="1"/>
  <c r="AI8" i="6"/>
  <c r="AG8" i="6"/>
  <c r="AG33" i="39" l="1"/>
  <c r="AG7" i="6"/>
  <c r="AH19" i="6"/>
  <c r="AG37" i="6"/>
  <c r="AM58" i="6"/>
  <c r="AP12" i="59" s="1"/>
  <c r="AM56" i="6"/>
  <c r="AP16" i="59" s="1"/>
  <c r="AM57" i="6"/>
  <c r="AP23" i="59" s="1"/>
  <c r="AH131" i="6"/>
  <c r="AH98" i="6"/>
  <c r="AH102" i="6" s="1"/>
  <c r="AH143" i="6" s="1"/>
  <c r="AG98" i="6"/>
  <c r="AG102" i="6" s="1"/>
  <c r="AG143" i="6" s="1"/>
  <c r="AG126" i="6"/>
  <c r="AH53" i="6"/>
  <c r="AG13" i="6"/>
  <c r="AG11" i="6"/>
  <c r="AG21" i="6"/>
  <c r="AG187" i="6"/>
  <c r="AG24" i="6"/>
  <c r="AH29" i="6"/>
  <c r="AG115" i="6"/>
  <c r="AG119" i="6" s="1"/>
  <c r="AG168" i="6" s="1"/>
  <c r="AH115" i="6"/>
  <c r="AH119" i="6" s="1"/>
  <c r="AH166" i="6" s="1"/>
  <c r="AH191" i="6"/>
  <c r="AH126" i="6"/>
  <c r="AG181" i="6"/>
  <c r="AG131" i="6"/>
  <c r="AG18" i="6"/>
  <c r="AG27" i="6"/>
  <c r="AG73" i="77"/>
  <c r="AG115" i="77" s="1"/>
  <c r="AG71" i="77"/>
  <c r="AG113" i="77" s="1"/>
  <c r="AG58" i="77"/>
  <c r="AF58" i="77"/>
  <c r="AG43" i="77"/>
  <c r="AF43" i="77"/>
  <c r="AG33" i="77"/>
  <c r="AG106" i="77" s="1"/>
  <c r="AF33" i="77"/>
  <c r="AG29" i="77"/>
  <c r="AF29" i="77"/>
  <c r="AG23" i="77"/>
  <c r="AG103" i="77" s="1"/>
  <c r="AF23" i="77"/>
  <c r="AG18" i="77"/>
  <c r="AF18" i="77"/>
  <c r="AG13" i="77"/>
  <c r="AG101" i="77" s="1"/>
  <c r="AF13" i="77"/>
  <c r="AG7" i="77"/>
  <c r="AG100" i="77" s="1"/>
  <c r="AF7" i="77"/>
  <c r="AG49" i="39"/>
  <c r="AG48" i="39"/>
  <c r="AG44" i="39"/>
  <c r="AF44" i="39"/>
  <c r="AG22" i="39"/>
  <c r="AG8" i="39"/>
  <c r="AG21" i="39" s="1"/>
  <c r="AF8" i="39"/>
  <c r="AG105" i="77" l="1"/>
  <c r="AG107" i="77" s="1"/>
  <c r="AG104" i="77"/>
  <c r="AG102" i="77"/>
  <c r="AH132" i="6"/>
  <c r="AG20" i="6"/>
  <c r="AG161" i="6"/>
  <c r="AG26" i="6"/>
  <c r="AG17" i="6"/>
  <c r="AG156" i="6"/>
  <c r="AG15" i="6"/>
  <c r="AG80" i="6" s="1"/>
  <c r="AG23" i="6"/>
  <c r="AH140" i="6"/>
  <c r="AH141" i="6"/>
  <c r="AG141" i="6"/>
  <c r="AH165" i="6"/>
  <c r="AH167" i="6" s="1"/>
  <c r="AG140" i="6"/>
  <c r="AG132" i="6"/>
  <c r="AG136" i="6" s="1"/>
  <c r="AG208" i="6" s="1"/>
  <c r="AG211" i="6" s="1"/>
  <c r="AG22" i="6"/>
  <c r="AG30" i="6"/>
  <c r="AH136" i="6"/>
  <c r="AG166" i="6"/>
  <c r="AH31" i="6"/>
  <c r="AG165" i="6"/>
  <c r="AH168" i="6"/>
  <c r="AG50" i="39"/>
  <c r="AG23" i="39"/>
  <c r="AI393" i="28"/>
  <c r="AG393" i="28"/>
  <c r="AI392" i="28"/>
  <c r="AG392" i="28"/>
  <c r="AG142" i="6" l="1"/>
  <c r="AG77" i="6"/>
  <c r="AG19" i="6"/>
  <c r="AG28" i="6"/>
  <c r="AG25" i="6"/>
  <c r="AG29" i="6"/>
  <c r="AH142" i="6"/>
  <c r="AG167" i="6"/>
  <c r="AG205" i="6"/>
  <c r="AG196" i="6"/>
  <c r="AG199" i="6"/>
  <c r="AG200" i="6"/>
  <c r="AG203" i="6"/>
  <c r="AG197" i="6"/>
  <c r="AG202" i="6"/>
  <c r="AG204" i="6"/>
  <c r="AG198" i="6"/>
  <c r="AH208" i="6"/>
  <c r="AH205" i="6"/>
  <c r="AH202" i="6"/>
  <c r="AH199" i="6"/>
  <c r="AH197" i="6"/>
  <c r="AH196" i="6"/>
  <c r="AH200" i="6"/>
  <c r="AH209" i="6"/>
  <c r="AH203" i="6"/>
  <c r="AH198" i="6"/>
  <c r="AH210" i="6"/>
  <c r="AH204" i="6"/>
  <c r="AH190" i="6"/>
  <c r="AH192" i="6"/>
  <c r="AG31" i="6" l="1"/>
  <c r="AG201" i="6"/>
  <c r="AG206" i="6"/>
  <c r="AH206" i="6"/>
  <c r="AK11" i="59" s="1"/>
  <c r="AH211" i="6"/>
  <c r="AH201" i="6"/>
  <c r="AH349" i="28"/>
  <c r="AH345" i="28"/>
  <c r="AH318" i="28"/>
  <c r="AH317" i="28"/>
  <c r="AH310" i="28"/>
  <c r="AH384" i="28" s="1"/>
  <c r="AG310" i="28"/>
  <c r="AH299" i="28"/>
  <c r="AH300" i="28" s="1"/>
  <c r="AH241" i="28"/>
  <c r="AH380" i="28" s="1"/>
  <c r="AG241" i="28"/>
  <c r="AH235" i="28"/>
  <c r="AH234" i="28"/>
  <c r="AG234" i="28"/>
  <c r="AH198" i="28"/>
  <c r="AH376" i="28" s="1"/>
  <c r="AG198" i="28"/>
  <c r="AH185" i="28"/>
  <c r="AH186" i="28" s="1"/>
  <c r="AH82" i="28"/>
  <c r="AH81" i="28"/>
  <c r="AH79" i="28"/>
  <c r="AH75" i="28"/>
  <c r="AH71" i="28"/>
  <c r="AH67" i="28"/>
  <c r="AG54" i="28"/>
  <c r="AG53" i="28"/>
  <c r="AG52" i="28"/>
  <c r="AH46" i="28"/>
  <c r="AH47" i="28" s="1"/>
  <c r="AH40" i="28"/>
  <c r="AH30" i="28"/>
  <c r="AH52" i="28" s="1"/>
  <c r="AH29" i="28"/>
  <c r="AH28" i="28"/>
  <c r="AH50" i="28" s="1"/>
  <c r="AH26" i="28"/>
  <c r="AH19" i="28"/>
  <c r="AG14" i="28"/>
  <c r="AH12" i="28"/>
  <c r="AH17" i="49"/>
  <c r="AH18" i="49" s="1"/>
  <c r="AG17" i="49"/>
  <c r="AG18" i="49" s="1"/>
  <c r="AI13" i="49"/>
  <c r="AH11" i="49"/>
  <c r="AG11" i="49"/>
  <c r="AH10" i="49"/>
  <c r="AG10" i="49"/>
  <c r="AH9" i="49"/>
  <c r="AG9" i="49"/>
  <c r="AH8" i="49"/>
  <c r="AG8" i="49"/>
  <c r="AH6" i="49"/>
  <c r="AG6" i="49"/>
  <c r="AG210" i="73"/>
  <c r="AG184" i="73"/>
  <c r="AG173" i="73"/>
  <c r="AH171" i="73"/>
  <c r="AF171" i="73"/>
  <c r="AG162" i="73"/>
  <c r="AG171" i="73" s="1"/>
  <c r="AG116" i="73"/>
  <c r="AG128" i="73" s="1"/>
  <c r="AG110" i="73"/>
  <c r="AH104" i="73"/>
  <c r="AH113" i="73" s="1"/>
  <c r="AH115" i="73" s="1"/>
  <c r="AG104" i="73"/>
  <c r="AG98" i="73"/>
  <c r="AG65" i="73"/>
  <c r="AG58" i="73"/>
  <c r="AG53" i="73"/>
  <c r="AG48" i="73"/>
  <c r="AG34" i="73"/>
  <c r="AG23" i="73"/>
  <c r="AL72" i="59"/>
  <c r="AK72" i="59"/>
  <c r="AL71" i="59"/>
  <c r="AK71" i="59"/>
  <c r="AL70" i="59"/>
  <c r="AK70" i="59"/>
  <c r="AJ69" i="59"/>
  <c r="AK68" i="59"/>
  <c r="AJ68" i="59"/>
  <c r="AK67" i="59"/>
  <c r="AK66" i="59"/>
  <c r="AJ66" i="59"/>
  <c r="AL65" i="59"/>
  <c r="AK63" i="59"/>
  <c r="AJ63" i="59"/>
  <c r="AK62" i="59"/>
  <c r="AJ62" i="59"/>
  <c r="AL61" i="59"/>
  <c r="AK59" i="59"/>
  <c r="AK58" i="59"/>
  <c r="AJ58" i="59"/>
  <c r="AL57" i="59"/>
  <c r="AK55" i="59"/>
  <c r="AJ55" i="59"/>
  <c r="AK54" i="59"/>
  <c r="AJ54" i="59"/>
  <c r="AL53" i="59"/>
  <c r="AK53" i="59"/>
  <c r="AJ53" i="59"/>
  <c r="AK52" i="59"/>
  <c r="AJ52" i="59"/>
  <c r="AK51" i="59"/>
  <c r="AJ51" i="59"/>
  <c r="AL48" i="59"/>
  <c r="AL47" i="59"/>
  <c r="AJ46" i="59"/>
  <c r="AK45" i="59"/>
  <c r="AJ45" i="59"/>
  <c r="AL44" i="59"/>
  <c r="AK44" i="59"/>
  <c r="AJ44" i="59"/>
  <c r="AL43" i="59"/>
  <c r="AK43" i="59"/>
  <c r="AJ43" i="59"/>
  <c r="AL42" i="59"/>
  <c r="AK42" i="59"/>
  <c r="AJ42" i="59"/>
  <c r="AK41" i="59"/>
  <c r="AJ41" i="59"/>
  <c r="AJ39" i="59"/>
  <c r="AJ38" i="59"/>
  <c r="AJ37" i="59"/>
  <c r="AK36" i="59"/>
  <c r="AJ36" i="59"/>
  <c r="AK35" i="59"/>
  <c r="AJ35" i="59"/>
  <c r="AL34" i="59"/>
  <c r="AK34" i="59"/>
  <c r="AJ34" i="59"/>
  <c r="AK33" i="59"/>
  <c r="AJ33" i="59"/>
  <c r="AK32" i="59"/>
  <c r="AJ32" i="59"/>
  <c r="AK31" i="59"/>
  <c r="AJ31" i="59"/>
  <c r="AK30" i="59"/>
  <c r="AJ30" i="59"/>
  <c r="AK29" i="59"/>
  <c r="AJ29" i="59"/>
  <c r="AK28" i="59"/>
  <c r="AJ28" i="59"/>
  <c r="AL27" i="59"/>
  <c r="AK27" i="59"/>
  <c r="AJ27" i="59"/>
  <c r="AL26" i="59"/>
  <c r="AK26" i="59"/>
  <c r="AJ26" i="59"/>
  <c r="AL25" i="59"/>
  <c r="AK25" i="59"/>
  <c r="AJ25" i="59"/>
  <c r="AL24" i="59"/>
  <c r="AK24" i="59"/>
  <c r="AJ24" i="59"/>
  <c r="AK23" i="59"/>
  <c r="AJ23" i="59"/>
  <c r="AL22" i="59"/>
  <c r="AK22" i="59"/>
  <c r="AJ22" i="59"/>
  <c r="AL20" i="59"/>
  <c r="AK20" i="59"/>
  <c r="AJ20" i="59"/>
  <c r="AL19" i="59"/>
  <c r="AK19" i="59"/>
  <c r="AJ19" i="59"/>
  <c r="AL18" i="59"/>
  <c r="AK18" i="59"/>
  <c r="AJ18" i="59"/>
  <c r="AL17" i="59"/>
  <c r="AK17" i="59"/>
  <c r="AJ17" i="59"/>
  <c r="AK16" i="59"/>
  <c r="AJ16" i="59"/>
  <c r="AL15" i="59"/>
  <c r="AK15" i="59"/>
  <c r="AJ15" i="59"/>
  <c r="AK12" i="59"/>
  <c r="AJ12" i="59"/>
  <c r="AL10" i="59"/>
  <c r="AL9" i="59"/>
  <c r="AL8" i="59"/>
  <c r="AL6" i="59"/>
  <c r="AG113" i="73" l="1"/>
  <c r="AG115" i="73" s="1"/>
  <c r="AH343" i="28"/>
  <c r="AH393" i="28" s="1"/>
  <c r="AG11" i="15"/>
  <c r="AG12" i="15" s="1"/>
  <c r="AG13" i="15" s="1"/>
  <c r="AH32" i="28"/>
  <c r="AH54" i="28" s="1"/>
  <c r="AH382" i="28"/>
  <c r="AH381" i="28"/>
  <c r="AH383" i="28"/>
  <c r="AH236" i="28"/>
  <c r="AH59" i="28"/>
  <c r="AH377" i="28"/>
  <c r="AH374" i="28"/>
  <c r="AH58" i="28"/>
  <c r="AH373" i="28"/>
  <c r="AH375" i="28"/>
  <c r="AH12" i="49"/>
  <c r="AG12" i="49"/>
  <c r="AG207" i="6"/>
  <c r="AG212" i="6" s="1"/>
  <c r="AH207" i="6"/>
  <c r="AH212" i="6" s="1"/>
  <c r="AH83" i="28"/>
  <c r="AG19" i="28"/>
  <c r="AG235" i="28"/>
  <c r="AH33" i="28"/>
  <c r="AH360" i="28"/>
  <c r="AH60" i="28"/>
  <c r="AH51" i="28"/>
  <c r="AH53" i="28"/>
  <c r="AH17" i="36"/>
  <c r="AK48" i="59" s="1"/>
  <c r="AH16" i="36"/>
  <c r="AG29" i="36"/>
  <c r="AG28" i="36"/>
  <c r="AG27" i="36"/>
  <c r="AH26" i="36"/>
  <c r="AH23" i="36"/>
  <c r="AK65" i="59" s="1"/>
  <c r="AG23" i="36"/>
  <c r="AJ65" i="59" s="1"/>
  <c r="AH22" i="36"/>
  <c r="AK61" i="59" s="1"/>
  <c r="AG22" i="36"/>
  <c r="AJ61" i="59" s="1"/>
  <c r="AH21" i="36"/>
  <c r="AK57" i="59" s="1"/>
  <c r="AG21" i="36"/>
  <c r="AJ57" i="59" s="1"/>
  <c r="AG17" i="36"/>
  <c r="AG16" i="36"/>
  <c r="AG13" i="36"/>
  <c r="AJ40" i="59" s="1"/>
  <c r="AH12" i="36"/>
  <c r="AK39" i="59" s="1"/>
  <c r="AH11" i="36"/>
  <c r="AK38" i="59" s="1"/>
  <c r="AH10" i="36"/>
  <c r="AG9" i="36"/>
  <c r="AJ10" i="59" s="1"/>
  <c r="AH8" i="36"/>
  <c r="AK9" i="59" s="1"/>
  <c r="AG8" i="36"/>
  <c r="AJ9" i="59" s="1"/>
  <c r="AH7" i="36"/>
  <c r="AK8" i="59" s="1"/>
  <c r="AG7" i="36"/>
  <c r="AJ8" i="59" s="1"/>
  <c r="AG5" i="36"/>
  <c r="AH28" i="21"/>
  <c r="AG27" i="21"/>
  <c r="AH24" i="21"/>
  <c r="AH18" i="21"/>
  <c r="AH15" i="21"/>
  <c r="AH12" i="21"/>
  <c r="AG12" i="21"/>
  <c r="AG15" i="21" s="1"/>
  <c r="AG33" i="35"/>
  <c r="AG32" i="35"/>
  <c r="AG30" i="35"/>
  <c r="AG28" i="35"/>
  <c r="AG18" i="35"/>
  <c r="AG16" i="35"/>
  <c r="AH25" i="21" l="1"/>
  <c r="AG32" i="36"/>
  <c r="AG39" i="36" s="1"/>
  <c r="AG40" i="36"/>
  <c r="AG42" i="36" s="1"/>
  <c r="AG43" i="36"/>
  <c r="AG45" i="36" s="1"/>
  <c r="AG46" i="36"/>
  <c r="AF17" i="15"/>
  <c r="AF14" i="15" s="1"/>
  <c r="AF15" i="15" s="1"/>
  <c r="AG5" i="9"/>
  <c r="AG7" i="28"/>
  <c r="AG12" i="28" s="1"/>
  <c r="AG58" i="28" s="1"/>
  <c r="AH73" i="45"/>
  <c r="AG21" i="28"/>
  <c r="AG26" i="28" s="1"/>
  <c r="AG60" i="28" s="1"/>
  <c r="AF7" i="15"/>
  <c r="AJ72" i="59"/>
  <c r="AF6" i="15"/>
  <c r="AJ71" i="59"/>
  <c r="AF5" i="15"/>
  <c r="AJ70" i="59"/>
  <c r="AG89" i="9"/>
  <c r="AJ47" i="59"/>
  <c r="AG90" i="9"/>
  <c r="AJ48" i="59"/>
  <c r="AJ6" i="59"/>
  <c r="AG13" i="49"/>
  <c r="AG14" i="49" s="1"/>
  <c r="AG15" i="49" s="1"/>
  <c r="AG236" i="28"/>
  <c r="AG379" i="28" s="1"/>
  <c r="AH392" i="28"/>
  <c r="AH370" i="28"/>
  <c r="AH378" i="28"/>
  <c r="AH371" i="28"/>
  <c r="AH379" i="28"/>
  <c r="AH385" i="28"/>
  <c r="AH9" i="36"/>
  <c r="AK10" i="59" s="1"/>
  <c r="AK6" i="59"/>
  <c r="AH13" i="49"/>
  <c r="AH14" i="49"/>
  <c r="AH15" i="49" s="1"/>
  <c r="AH16" i="49" s="1"/>
  <c r="AH19" i="49" s="1"/>
  <c r="AH20" i="49" s="1"/>
  <c r="AH15" i="36" s="1"/>
  <c r="AH73" i="8" s="1"/>
  <c r="AH18" i="36"/>
  <c r="AK49" i="59" s="1"/>
  <c r="AK47" i="59"/>
  <c r="AH13" i="36"/>
  <c r="AK40" i="59" s="1"/>
  <c r="AK37" i="59"/>
  <c r="AH84" i="28"/>
  <c r="AG59" i="28"/>
  <c r="AG69" i="28" s="1"/>
  <c r="AG377" i="28" s="1"/>
  <c r="AH55" i="28"/>
  <c r="AH361" i="28"/>
  <c r="AH61" i="28"/>
  <c r="AH20" i="21"/>
  <c r="AG28" i="21"/>
  <c r="AG22" i="21"/>
  <c r="AG38" i="36" l="1"/>
  <c r="AG186" i="28"/>
  <c r="AG375" i="28" s="1"/>
  <c r="AG300" i="28"/>
  <c r="AG383" i="28" s="1"/>
  <c r="AH72" i="45"/>
  <c r="AH92" i="45"/>
  <c r="AJ67" i="59" s="1"/>
  <c r="AH76" i="45"/>
  <c r="AH112" i="45"/>
  <c r="AH75" i="45"/>
  <c r="AG58" i="9"/>
  <c r="AG59" i="9"/>
  <c r="AG66" i="9"/>
  <c r="AG67" i="9"/>
  <c r="AG33" i="22"/>
  <c r="AG55" i="9"/>
  <c r="AG70" i="9"/>
  <c r="AG92" i="9"/>
  <c r="AG56" i="9"/>
  <c r="AG69" i="9"/>
  <c r="AG64" i="9"/>
  <c r="AF125" i="26"/>
  <c r="AG61" i="9"/>
  <c r="AG7" i="9"/>
  <c r="AG63" i="9"/>
  <c r="AG68" i="9"/>
  <c r="AG27" i="9"/>
  <c r="AG65" i="9"/>
  <c r="AG95" i="9"/>
  <c r="AG100" i="9"/>
  <c r="AG143" i="10"/>
  <c r="AJ59" i="59" s="1"/>
  <c r="AG16" i="49"/>
  <c r="AG19" i="49" s="1"/>
  <c r="AG20" i="49" s="1"/>
  <c r="AG91" i="9"/>
  <c r="AG19" i="9"/>
  <c r="AG371" i="28"/>
  <c r="AG370" i="28"/>
  <c r="AG378" i="28"/>
  <c r="AH386" i="28"/>
  <c r="AH365" i="28"/>
  <c r="AH387" i="28"/>
  <c r="AH364" i="28"/>
  <c r="AH390" i="28"/>
  <c r="AK46" i="59"/>
  <c r="AH62" i="28"/>
  <c r="AG73" i="28"/>
  <c r="AG65" i="28"/>
  <c r="AH56" i="28"/>
  <c r="AG57" i="9" l="1"/>
  <c r="AG21" i="22"/>
  <c r="AG22" i="22" s="1"/>
  <c r="AG24" i="22" s="1"/>
  <c r="AG25" i="22" s="1"/>
  <c r="AG27" i="22" s="1"/>
  <c r="AG7" i="22"/>
  <c r="AG60" i="9"/>
  <c r="AG382" i="28"/>
  <c r="AG381" i="28"/>
  <c r="AG374" i="28"/>
  <c r="AG373" i="28"/>
  <c r="AH391" i="28"/>
  <c r="AG40" i="35"/>
  <c r="AH38" i="35"/>
  <c r="AH37" i="35"/>
  <c r="AG37" i="35"/>
  <c r="AG34" i="35"/>
  <c r="AH31" i="35"/>
  <c r="AG39" i="35"/>
  <c r="AH24" i="35"/>
  <c r="AH33" i="36" s="1"/>
  <c r="AG24" i="35"/>
  <c r="AG33" i="36" s="1"/>
  <c r="AG34" i="36" s="1"/>
  <c r="AG35" i="36" s="1"/>
  <c r="AG36" i="36" s="1"/>
  <c r="AH19" i="35"/>
  <c r="AH26" i="9" s="1"/>
  <c r="AG19" i="35"/>
  <c r="AG26" i="9" s="1"/>
  <c r="AH15" i="35"/>
  <c r="AH11" i="35"/>
  <c r="AG10" i="35"/>
  <c r="AG14" i="35" s="1"/>
  <c r="AG9" i="35"/>
  <c r="AG13" i="35" s="1"/>
  <c r="AG8" i="35"/>
  <c r="AH7" i="35"/>
  <c r="AH6" i="35"/>
  <c r="AG8" i="22" l="1"/>
  <c r="AG10" i="22" s="1"/>
  <c r="AG11" i="22" s="1"/>
  <c r="AG13" i="22" s="1"/>
  <c r="AG62" i="9"/>
  <c r="AH34" i="36"/>
  <c r="AG44" i="35"/>
  <c r="AG45" i="35" s="1"/>
  <c r="AG28" i="28"/>
  <c r="AH6" i="6"/>
  <c r="AH5" i="6"/>
  <c r="AH8" i="35"/>
  <c r="AG11" i="35"/>
  <c r="AG15" i="35"/>
  <c r="AG31" i="35"/>
  <c r="AG35" i="35" s="1"/>
  <c r="AH34" i="35"/>
  <c r="AH44" i="35" s="1"/>
  <c r="AH45" i="35" s="1"/>
  <c r="AH35" i="36" l="1"/>
  <c r="AH36" i="36" s="1"/>
  <c r="AG33" i="28"/>
  <c r="AG50" i="28"/>
  <c r="AG55" i="28" s="1"/>
  <c r="AG390" i="28" s="1"/>
  <c r="AH14" i="6"/>
  <c r="AH12" i="6"/>
  <c r="AH11" i="6"/>
  <c r="AH7" i="6"/>
  <c r="AH13" i="6"/>
  <c r="AG51" i="35"/>
  <c r="AH35" i="35"/>
  <c r="U50" i="83"/>
  <c r="Y50" i="83"/>
  <c r="O50" i="83"/>
  <c r="S50" i="83" s="1"/>
  <c r="AE50" i="83"/>
  <c r="AO50" i="83" s="1"/>
  <c r="AG61" i="28" l="1"/>
  <c r="AG361" i="28"/>
  <c r="AI71" i="83"/>
  <c r="AH51" i="35"/>
  <c r="AH25" i="36"/>
  <c r="AK69" i="59" s="1"/>
  <c r="AH187" i="6"/>
  <c r="AH182" i="6"/>
  <c r="AH157" i="6"/>
  <c r="AH15" i="6"/>
  <c r="AH161" i="6"/>
  <c r="W50" i="83"/>
  <c r="AA50" i="83"/>
  <c r="X52" i="26"/>
  <c r="AG387" i="28" l="1"/>
  <c r="AG364" i="28"/>
  <c r="AG77" i="28"/>
  <c r="AG62" i="28"/>
  <c r="AG391" i="28" s="1"/>
  <c r="AC50" i="83"/>
  <c r="AG50" i="83" s="1"/>
  <c r="AK50" i="83" s="1"/>
  <c r="AQ50" i="83" s="1"/>
  <c r="AI69" i="83"/>
  <c r="AI81" i="50"/>
  <c r="AH80" i="6"/>
  <c r="AH34" i="6"/>
  <c r="AH35" i="6"/>
  <c r="AH33" i="6"/>
  <c r="AH36" i="6"/>
  <c r="AH77" i="6"/>
  <c r="AU50" i="83" l="1"/>
  <c r="AY50" i="83" s="1"/>
  <c r="BG50" i="83" s="1"/>
  <c r="BE50" i="83"/>
  <c r="AG365" i="28"/>
  <c r="AG386" i="28"/>
  <c r="AG81" i="28"/>
  <c r="AG385" i="28"/>
  <c r="AH37" i="6"/>
  <c r="AF159" i="9"/>
  <c r="AF158" i="9"/>
  <c r="AF157" i="9"/>
  <c r="AD159" i="28" l="1"/>
  <c r="AN159" i="28" s="1"/>
  <c r="BD159" i="28" s="1"/>
  <c r="AC17" i="36" l="1"/>
  <c r="W17" i="36"/>
  <c r="J13" i="7" l="1"/>
  <c r="AE22" i="73"/>
  <c r="AF170" i="28" l="1"/>
  <c r="AJ170" i="28" s="1"/>
  <c r="AP170" i="28" s="1"/>
  <c r="AT170" i="28" s="1"/>
  <c r="AX170" i="28" s="1"/>
  <c r="BF170" i="28" s="1"/>
  <c r="AE60" i="83"/>
  <c r="AO60" i="83" s="1"/>
  <c r="AU60" i="83" s="1"/>
  <c r="BG60" i="83" s="1"/>
  <c r="AE61" i="83"/>
  <c r="AO61" i="83" s="1"/>
  <c r="AU61" i="83" s="1"/>
  <c r="BG61" i="83" s="1"/>
  <c r="AE62" i="83"/>
  <c r="AO62" i="83" s="1"/>
  <c r="AU62" i="83" s="1"/>
  <c r="BG62" i="83" s="1"/>
  <c r="AE63" i="83"/>
  <c r="AO63" i="83" s="1"/>
  <c r="AU63" i="83" s="1"/>
  <c r="BG63" i="83" s="1"/>
  <c r="AE64" i="83"/>
  <c r="AO64" i="83" s="1"/>
  <c r="AU64" i="83" s="1"/>
  <c r="BG64" i="83" s="1"/>
  <c r="AE65" i="83"/>
  <c r="AO65" i="83" s="1"/>
  <c r="AU65" i="83" s="1"/>
  <c r="BG65" i="83" s="1"/>
  <c r="AE66" i="83"/>
  <c r="AO66" i="83" s="1"/>
  <c r="AU66" i="83" s="1"/>
  <c r="BG66" i="83" s="1"/>
  <c r="AE59" i="83"/>
  <c r="AO59" i="83" s="1"/>
  <c r="AE44" i="83"/>
  <c r="AO44" i="83" s="1"/>
  <c r="AE45" i="83"/>
  <c r="AO45" i="83" s="1"/>
  <c r="AE46" i="83"/>
  <c r="AO46" i="83" s="1"/>
  <c r="AE47" i="83"/>
  <c r="AO47" i="83" s="1"/>
  <c r="AE52" i="83"/>
  <c r="AO52" i="83" s="1"/>
  <c r="AE54" i="83"/>
  <c r="AO54" i="83" s="1"/>
  <c r="AE55" i="83"/>
  <c r="AO55" i="83" s="1"/>
  <c r="AE56" i="83"/>
  <c r="AO56" i="83" s="1"/>
  <c r="AE57" i="83"/>
  <c r="AO57" i="83" s="1"/>
  <c r="AE43" i="83"/>
  <c r="AO43" i="83" s="1"/>
  <c r="AE40" i="83"/>
  <c r="AO40" i="83" s="1"/>
  <c r="AE41" i="83"/>
  <c r="AO41" i="83" s="1"/>
  <c r="AE39" i="83"/>
  <c r="AO39" i="83" s="1"/>
  <c r="AA40" i="83"/>
  <c r="AC40" i="83" s="1"/>
  <c r="W40" i="83"/>
  <c r="W41" i="83"/>
  <c r="AE33" i="83"/>
  <c r="AO33" i="83" s="1"/>
  <c r="AE34" i="83"/>
  <c r="AO34" i="83" s="1"/>
  <c r="AE35" i="83"/>
  <c r="AO35" i="83" s="1"/>
  <c r="AE36" i="83"/>
  <c r="AO36" i="83" s="1"/>
  <c r="AE37" i="83"/>
  <c r="AO37" i="83" s="1"/>
  <c r="AE32" i="83"/>
  <c r="AO32" i="83" s="1"/>
  <c r="AE5" i="83"/>
  <c r="AO5" i="83" s="1"/>
  <c r="AE6" i="83"/>
  <c r="AO6" i="83" s="1"/>
  <c r="AE7" i="83"/>
  <c r="AO7" i="83" s="1"/>
  <c r="AE8" i="83"/>
  <c r="AO8" i="83" s="1"/>
  <c r="AE10" i="83"/>
  <c r="AO10" i="83" s="1"/>
  <c r="AE11" i="83"/>
  <c r="AO11" i="83" s="1"/>
  <c r="AE12" i="83"/>
  <c r="AO12" i="83" s="1"/>
  <c r="AE13" i="83"/>
  <c r="AO13" i="83" s="1"/>
  <c r="AE14" i="83"/>
  <c r="AO14" i="83" s="1"/>
  <c r="AE15" i="83"/>
  <c r="AO15" i="83" s="1"/>
  <c r="AE16" i="83"/>
  <c r="AO16" i="83" s="1"/>
  <c r="AE17" i="83"/>
  <c r="AO17" i="83" s="1"/>
  <c r="AE20" i="83"/>
  <c r="AO20" i="83" s="1"/>
  <c r="AE23" i="83"/>
  <c r="AO23" i="83" s="1"/>
  <c r="AE25" i="83"/>
  <c r="AO25" i="83" s="1"/>
  <c r="AE26" i="83"/>
  <c r="AO26" i="83" s="1"/>
  <c r="AE27" i="83"/>
  <c r="AO27" i="83" s="1"/>
  <c r="AE28" i="83"/>
  <c r="AO28" i="83" s="1"/>
  <c r="AE29" i="83"/>
  <c r="AO29" i="83" s="1"/>
  <c r="AA13" i="83"/>
  <c r="AC13" i="83" s="1"/>
  <c r="BG55" i="50"/>
  <c r="G79" i="50"/>
  <c r="AD16" i="52"/>
  <c r="AO42" i="83" l="1"/>
  <c r="AU59" i="83"/>
  <c r="AO67" i="83"/>
  <c r="AO38" i="83"/>
  <c r="AG13" i="83"/>
  <c r="AK13" i="83" s="1"/>
  <c r="AQ13" i="83" s="1"/>
  <c r="AG40" i="83"/>
  <c r="AK40" i="83" s="1"/>
  <c r="AQ40" i="83" s="1"/>
  <c r="AE42" i="83"/>
  <c r="AE38" i="83"/>
  <c r="AE67" i="83"/>
  <c r="AU40" i="83" l="1"/>
  <c r="AY40" i="83" s="1"/>
  <c r="BG40" i="83" s="1"/>
  <c r="BE40" i="83"/>
  <c r="AU13" i="83"/>
  <c r="AY13" i="83" s="1"/>
  <c r="BG13" i="83" s="1"/>
  <c r="BE13" i="83"/>
  <c r="AU67" i="83"/>
  <c r="BG59" i="83"/>
  <c r="BG67" i="83" s="1"/>
  <c r="AC37" i="27" l="1"/>
  <c r="AM37" i="27" s="1"/>
  <c r="AC35" i="27"/>
  <c r="AM35" i="27" s="1"/>
  <c r="AC27" i="27"/>
  <c r="AM27" i="27" s="1"/>
  <c r="AC29" i="27"/>
  <c r="AM29" i="27" s="1"/>
  <c r="AC28" i="27"/>
  <c r="AM28" i="27" s="1"/>
  <c r="AC20" i="27"/>
  <c r="AM20" i="27" s="1"/>
  <c r="AC19" i="27"/>
  <c r="AM19" i="27" s="1"/>
  <c r="AC18" i="27"/>
  <c r="AM18" i="27" s="1"/>
  <c r="AB33" i="27" l="1"/>
  <c r="AB20" i="27"/>
  <c r="AB39" i="27"/>
  <c r="AC36" i="27"/>
  <c r="AM36" i="27" s="1"/>
  <c r="AM39" i="27" s="1"/>
  <c r="AC26" i="27"/>
  <c r="AC21" i="27"/>
  <c r="AM21" i="27" s="1"/>
  <c r="AM24" i="27" s="1"/>
  <c r="AC16" i="52"/>
  <c r="AD8" i="52"/>
  <c r="AC8" i="52"/>
  <c r="AB24" i="27" l="1"/>
  <c r="AL20" i="27"/>
  <c r="AL24" i="27" s="1"/>
  <c r="AC33" i="27"/>
  <c r="AM26" i="27"/>
  <c r="AM33" i="27" s="1"/>
  <c r="AD17" i="52"/>
  <c r="AC24" i="27"/>
  <c r="AC39" i="27"/>
  <c r="AC17" i="52"/>
  <c r="AD28" i="22" l="1"/>
  <c r="AD24" i="22"/>
  <c r="AD23" i="22"/>
  <c r="AD14" i="22"/>
  <c r="AD10" i="22"/>
  <c r="AD9" i="22"/>
  <c r="AC30" i="15"/>
  <c r="AC29" i="15"/>
  <c r="AC28" i="15"/>
  <c r="AC24" i="15"/>
  <c r="AC23" i="15"/>
  <c r="AC22" i="15"/>
  <c r="AC21" i="15"/>
  <c r="AC20" i="15"/>
  <c r="AM20" i="15" s="1"/>
  <c r="BC20" i="15" s="1"/>
  <c r="AB18" i="15"/>
  <c r="AC17" i="15"/>
  <c r="AC14" i="15"/>
  <c r="AM14" i="15" s="1"/>
  <c r="BC14" i="15" s="1"/>
  <c r="AB11" i="15"/>
  <c r="AC10" i="15"/>
  <c r="AM10" i="15" s="1"/>
  <c r="AC9" i="15"/>
  <c r="AB9" i="15"/>
  <c r="AC8" i="15"/>
  <c r="AB8" i="15"/>
  <c r="AC7" i="15"/>
  <c r="AC6" i="15"/>
  <c r="AC5" i="15"/>
  <c r="AM28" i="15" l="1"/>
  <c r="BC28" i="15" s="1"/>
  <c r="AD26" i="22"/>
  <c r="AN24" i="22"/>
  <c r="AN26" i="22" s="1"/>
  <c r="AN10" i="22"/>
  <c r="AN12" i="22" s="1"/>
  <c r="AB12" i="15"/>
  <c r="AL11" i="15"/>
  <c r="AC31" i="15"/>
  <c r="AD12" i="22"/>
  <c r="AJ191" i="28"/>
  <c r="AP191" i="28" s="1"/>
  <c r="AT191" i="28" s="1"/>
  <c r="AX191" i="28" s="1"/>
  <c r="BF191" i="28" s="1"/>
  <c r="AC34" i="15" l="1"/>
  <c r="AC15" i="15" s="1"/>
  <c r="AC16" i="15" s="1"/>
  <c r="AM31" i="15"/>
  <c r="AN15" i="22"/>
  <c r="AC25" i="17"/>
  <c r="AM25" i="17" s="1"/>
  <c r="AB113" i="17"/>
  <c r="AD88" i="17"/>
  <c r="AH88" i="17" s="1"/>
  <c r="AC85" i="17"/>
  <c r="AM86" i="17" s="1"/>
  <c r="AC84" i="17"/>
  <c r="AC83" i="17"/>
  <c r="AC82" i="17"/>
  <c r="AC81" i="17"/>
  <c r="AB81" i="17"/>
  <c r="AC77" i="17"/>
  <c r="AB77" i="17"/>
  <c r="AC66" i="17"/>
  <c r="AB66" i="17"/>
  <c r="AB68" i="17" s="1"/>
  <c r="AB60" i="17"/>
  <c r="AL60" i="17" s="1"/>
  <c r="AC58" i="17"/>
  <c r="AB57" i="17"/>
  <c r="AL57" i="17" s="1"/>
  <c r="AB56" i="17"/>
  <c r="AL56" i="17" s="1"/>
  <c r="AL58" i="17" s="1"/>
  <c r="AC51" i="17"/>
  <c r="AB51" i="17"/>
  <c r="AL51" i="17" s="1"/>
  <c r="AL52" i="17" s="1"/>
  <c r="AL113" i="17" s="1"/>
  <c r="AB50" i="17"/>
  <c r="AC48" i="17"/>
  <c r="AB47" i="17"/>
  <c r="AL47" i="17" s="1"/>
  <c r="AL48" i="17" s="1"/>
  <c r="AC46" i="17"/>
  <c r="AB45" i="17"/>
  <c r="AL45" i="17" s="1"/>
  <c r="AL46" i="17" s="1"/>
  <c r="AC43" i="17"/>
  <c r="AC44" i="17" s="1"/>
  <c r="AB43" i="17"/>
  <c r="AL43" i="17" s="1"/>
  <c r="AC42" i="17"/>
  <c r="AC40" i="17"/>
  <c r="AC38" i="17"/>
  <c r="AC21" i="17"/>
  <c r="AB20" i="17"/>
  <c r="AL20" i="17" s="1"/>
  <c r="AB18" i="17"/>
  <c r="AL18" i="17" s="1"/>
  <c r="AB17" i="17"/>
  <c r="AL17" i="17" s="1"/>
  <c r="AB15" i="17"/>
  <c r="AB14" i="17"/>
  <c r="AC11" i="17"/>
  <c r="AC13" i="17"/>
  <c r="AC8" i="17"/>
  <c r="AM8" i="17" s="1"/>
  <c r="AB8" i="17"/>
  <c r="AL8" i="17" s="1"/>
  <c r="AM34" i="15" l="1"/>
  <c r="BC31" i="15"/>
  <c r="BC34" i="15" s="1"/>
  <c r="AL112" i="17"/>
  <c r="AL10" i="17"/>
  <c r="AC59" i="17"/>
  <c r="AM89" i="17"/>
  <c r="AN88" i="17"/>
  <c r="AR88" i="17" s="1"/>
  <c r="AL88" i="17"/>
  <c r="AM12" i="17"/>
  <c r="AM10" i="17"/>
  <c r="AB29" i="17"/>
  <c r="AL15" i="17"/>
  <c r="AL29" i="17" s="1"/>
  <c r="AC15" i="17"/>
  <c r="AM15" i="17" s="1"/>
  <c r="AM32" i="17" s="1"/>
  <c r="AM34" i="17"/>
  <c r="AL49" i="17"/>
  <c r="AL44" i="17"/>
  <c r="AL50" i="17" s="1"/>
  <c r="AC52" i="17"/>
  <c r="AM51" i="17"/>
  <c r="AM112" i="17" s="1"/>
  <c r="AM114" i="17" s="1"/>
  <c r="AL61" i="17"/>
  <c r="AL59" i="17"/>
  <c r="AL21" i="17"/>
  <c r="AC10" i="17"/>
  <c r="AB111" i="17"/>
  <c r="AB115" i="17" s="1"/>
  <c r="AB21" i="17"/>
  <c r="AC68" i="17"/>
  <c r="AM15" i="15"/>
  <c r="AB54" i="17"/>
  <c r="AB10" i="17"/>
  <c r="AC61" i="17"/>
  <c r="AB49" i="17"/>
  <c r="AB53" i="17" s="1"/>
  <c r="AC49" i="17"/>
  <c r="AC53" i="17" s="1"/>
  <c r="AC54" i="17" s="1"/>
  <c r="AB58" i="17"/>
  <c r="AL89" i="17" s="1"/>
  <c r="AC12" i="17"/>
  <c r="AB112" i="17"/>
  <c r="AC112" i="17"/>
  <c r="AD32" i="35"/>
  <c r="AN32" i="35" s="1"/>
  <c r="AN34" i="35" s="1"/>
  <c r="AM16" i="15" l="1"/>
  <c r="BC15" i="15"/>
  <c r="BC16" i="15" s="1"/>
  <c r="AC31" i="17"/>
  <c r="AC33" i="17"/>
  <c r="AC30" i="17"/>
  <c r="AC29" i="17"/>
  <c r="AC32" i="17"/>
  <c r="AB31" i="17"/>
  <c r="AL34" i="17"/>
  <c r="AM33" i="17"/>
  <c r="AM30" i="17"/>
  <c r="AM31" i="17"/>
  <c r="AM29" i="17"/>
  <c r="AM14" i="17"/>
  <c r="AN44" i="35"/>
  <c r="BD44" i="35" s="1"/>
  <c r="AN35" i="35"/>
  <c r="AL111" i="17"/>
  <c r="AL115" i="17" s="1"/>
  <c r="AL54" i="17"/>
  <c r="AB110" i="17"/>
  <c r="AB114" i="17" s="1"/>
  <c r="AL110" i="17"/>
  <c r="AL114" i="17" s="1"/>
  <c r="AL53" i="17"/>
  <c r="AL33" i="17"/>
  <c r="AL30" i="17"/>
  <c r="AL31" i="17"/>
  <c r="AM52" i="17"/>
  <c r="AM113" i="17" s="1"/>
  <c r="AM115" i="17" s="1"/>
  <c r="AM53" i="17"/>
  <c r="AM54" i="17" s="1"/>
  <c r="AB33" i="17"/>
  <c r="AB30" i="17"/>
  <c r="AC110" i="17"/>
  <c r="AC114" i="17" s="1"/>
  <c r="AC50" i="17"/>
  <c r="AC14" i="17"/>
  <c r="AC113" i="17"/>
  <c r="AB61" i="17"/>
  <c r="AB59" i="17"/>
  <c r="E8" i="26"/>
  <c r="S8" i="26"/>
  <c r="AC111" i="17" l="1"/>
  <c r="AC115" i="17" s="1"/>
  <c r="AD20" i="10"/>
  <c r="AD32" i="10"/>
  <c r="AD19" i="10"/>
  <c r="AD26" i="10"/>
  <c r="AD90" i="10"/>
  <c r="AD93" i="10"/>
  <c r="AD87" i="10"/>
  <c r="AB123" i="26"/>
  <c r="AC109" i="26"/>
  <c r="AM91" i="26" s="1"/>
  <c r="BC91" i="26" s="1"/>
  <c r="AB107" i="26"/>
  <c r="AL107" i="26" s="1"/>
  <c r="BB107" i="26" s="1"/>
  <c r="AB105" i="26"/>
  <c r="AL105" i="26" s="1"/>
  <c r="BB105" i="26" s="1"/>
  <c r="AB103" i="26"/>
  <c r="AL103" i="26" s="1"/>
  <c r="BB103" i="26" s="1"/>
  <c r="AB101" i="26"/>
  <c r="AL101" i="26" s="1"/>
  <c r="BB101" i="26" s="1"/>
  <c r="AB99" i="26"/>
  <c r="AL99" i="26" s="1"/>
  <c r="BB99" i="26" s="1"/>
  <c r="AB97" i="26"/>
  <c r="AL97" i="26" s="1"/>
  <c r="BB97" i="26" s="1"/>
  <c r="AB95" i="26"/>
  <c r="AL95" i="26" s="1"/>
  <c r="BB95" i="26" s="1"/>
  <c r="AB93" i="26"/>
  <c r="AC89" i="26"/>
  <c r="AC82" i="26"/>
  <c r="AC81" i="26"/>
  <c r="AB79" i="26"/>
  <c r="AL79" i="26" s="1"/>
  <c r="BB79" i="26" s="1"/>
  <c r="BB81" i="26" s="1"/>
  <c r="AB77" i="26"/>
  <c r="AL77" i="26" s="1"/>
  <c r="BB77" i="26" s="1"/>
  <c r="AC74" i="26"/>
  <c r="AB72" i="26"/>
  <c r="AL72" i="26" s="1"/>
  <c r="BB72" i="26" s="1"/>
  <c r="AB70" i="26"/>
  <c r="AL70" i="26" s="1"/>
  <c r="BB70" i="26" s="1"/>
  <c r="AB68" i="26"/>
  <c r="AL68" i="26" s="1"/>
  <c r="BB68" i="26" s="1"/>
  <c r="AB66" i="26"/>
  <c r="AL66" i="26" s="1"/>
  <c r="BB66" i="26" s="1"/>
  <c r="AB64" i="26"/>
  <c r="AL64" i="26" s="1"/>
  <c r="BB64" i="26" s="1"/>
  <c r="AB62" i="26"/>
  <c r="AB60" i="26"/>
  <c r="AL60" i="26" s="1"/>
  <c r="AB58" i="26"/>
  <c r="AL58" i="26" s="1"/>
  <c r="AB53" i="26"/>
  <c r="AL53" i="26" s="1"/>
  <c r="BB53" i="26" s="1"/>
  <c r="AB51" i="26"/>
  <c r="AL51" i="26" s="1"/>
  <c r="BB51" i="26" s="1"/>
  <c r="AC49" i="26"/>
  <c r="AC56" i="26" s="1"/>
  <c r="AM56" i="26" s="1"/>
  <c r="BC56" i="26" s="1"/>
  <c r="AB47" i="26"/>
  <c r="AL47" i="26" s="1"/>
  <c r="AB42" i="26"/>
  <c r="AL42" i="26" s="1"/>
  <c r="AB40" i="26"/>
  <c r="AL40" i="26" s="1"/>
  <c r="BB40" i="26" s="1"/>
  <c r="AB38" i="26"/>
  <c r="AL38" i="26" s="1"/>
  <c r="BB38" i="26" s="1"/>
  <c r="AB36" i="26"/>
  <c r="AL36" i="26" s="1"/>
  <c r="BB36" i="26" s="1"/>
  <c r="AC44" i="26"/>
  <c r="AB34" i="26"/>
  <c r="AL34" i="26" s="1"/>
  <c r="BB34" i="26" s="1"/>
  <c r="AB32" i="26"/>
  <c r="AL32" i="26" s="1"/>
  <c r="BB32" i="26" s="1"/>
  <c r="AB30" i="26"/>
  <c r="AL30" i="26" s="1"/>
  <c r="BB30" i="26" s="1"/>
  <c r="AB28" i="26"/>
  <c r="AB26" i="26"/>
  <c r="AB24" i="26"/>
  <c r="AL24" i="26" s="1"/>
  <c r="BB24" i="26" s="1"/>
  <c r="AB22" i="26"/>
  <c r="AL22" i="26" s="1"/>
  <c r="AB20" i="26"/>
  <c r="AL20" i="26" s="1"/>
  <c r="AM159" i="6" s="1"/>
  <c r="AB16" i="26"/>
  <c r="AL16" i="26" s="1"/>
  <c r="BB16" i="26" s="1"/>
  <c r="AB14" i="26"/>
  <c r="AL14" i="26" s="1"/>
  <c r="BB14" i="26" s="1"/>
  <c r="AC11" i="26"/>
  <c r="AC18" i="26" s="1"/>
  <c r="AB10" i="26"/>
  <c r="AL10" i="26" s="1"/>
  <c r="BB10" i="26" s="1"/>
  <c r="AB8" i="26"/>
  <c r="AL8" i="26" s="1"/>
  <c r="BB8" i="26" s="1"/>
  <c r="AD103" i="9"/>
  <c r="AN103" i="9" s="1"/>
  <c r="BD103" i="9" s="1"/>
  <c r="AD79" i="8"/>
  <c r="AE9" i="50" l="1"/>
  <c r="AO9" i="50" s="1"/>
  <c r="BE9" i="50" s="1"/>
  <c r="AN26" i="10"/>
  <c r="BD26" i="10" s="1"/>
  <c r="AE19" i="50"/>
  <c r="AN32" i="10"/>
  <c r="BD32" i="10" s="1"/>
  <c r="AF32" i="10"/>
  <c r="AJ32" i="10" s="1"/>
  <c r="AP32" i="10" s="1"/>
  <c r="AT32" i="10" s="1"/>
  <c r="AX32" i="10" s="1"/>
  <c r="BF32" i="10" s="1"/>
  <c r="AE26" i="50"/>
  <c r="AO26" i="50" s="1"/>
  <c r="BE26" i="50" s="1"/>
  <c r="AN87" i="10"/>
  <c r="BD87" i="10" s="1"/>
  <c r="AE22" i="50"/>
  <c r="AO22" i="50" s="1"/>
  <c r="BE22" i="50" s="1"/>
  <c r="AN20" i="10"/>
  <c r="BD20" i="10" s="1"/>
  <c r="AN90" i="10"/>
  <c r="BD90" i="10" s="1"/>
  <c r="AF90" i="10"/>
  <c r="AJ90" i="10" s="1"/>
  <c r="AP90" i="10" s="1"/>
  <c r="AT90" i="10" s="1"/>
  <c r="AX90" i="10" s="1"/>
  <c r="BF90" i="10" s="1"/>
  <c r="AN19" i="10"/>
  <c r="AD124" i="10"/>
  <c r="AD125" i="10"/>
  <c r="AE31" i="50"/>
  <c r="AN93" i="10"/>
  <c r="BD93" i="10" s="1"/>
  <c r="AF93" i="10"/>
  <c r="AJ93" i="10" s="1"/>
  <c r="AP93" i="10" s="1"/>
  <c r="AT93" i="10" s="1"/>
  <c r="AX93" i="10" s="1"/>
  <c r="BF93" i="10" s="1"/>
  <c r="BB82" i="26"/>
  <c r="AM83" i="8"/>
  <c r="BB58" i="26"/>
  <c r="AM185" i="6"/>
  <c r="BB60" i="26"/>
  <c r="BB74" i="26"/>
  <c r="AL49" i="26"/>
  <c r="AL50" i="26" s="1"/>
  <c r="BB47" i="26"/>
  <c r="BB49" i="26" s="1"/>
  <c r="AM78" i="7"/>
  <c r="BC78" i="7" s="1"/>
  <c r="BB42" i="26"/>
  <c r="AM184" i="6"/>
  <c r="BB22" i="26"/>
  <c r="BB11" i="26"/>
  <c r="BB12" i="26"/>
  <c r="BB18" i="26"/>
  <c r="BB17" i="26"/>
  <c r="AD165" i="10"/>
  <c r="AE9" i="83"/>
  <c r="AO9" i="83" s="1"/>
  <c r="AE21" i="83"/>
  <c r="AO21" i="83" s="1"/>
  <c r="AN79" i="8"/>
  <c r="AN80" i="8" s="1"/>
  <c r="AN81" i="8"/>
  <c r="AL82" i="26"/>
  <c r="AE24" i="83"/>
  <c r="AO24" i="83" s="1"/>
  <c r="AE4" i="83"/>
  <c r="AE19" i="83"/>
  <c r="AO19" i="83" s="1"/>
  <c r="AE30" i="83"/>
  <c r="AO30" i="83" s="1"/>
  <c r="AE22" i="83"/>
  <c r="AO22" i="83" s="1"/>
  <c r="AL55" i="26"/>
  <c r="AB85" i="17"/>
  <c r="AL93" i="26"/>
  <c r="BB93" i="26" s="1"/>
  <c r="BB109" i="26" s="1"/>
  <c r="AL81" i="26"/>
  <c r="AB83" i="17"/>
  <c r="AL62" i="26"/>
  <c r="BB62" i="26" s="1"/>
  <c r="AB82" i="17"/>
  <c r="AL28" i="26"/>
  <c r="BB28" i="26" s="1"/>
  <c r="AB25" i="17"/>
  <c r="AL25" i="17" s="1"/>
  <c r="AL32" i="17" s="1"/>
  <c r="AL26" i="26"/>
  <c r="AL11" i="26"/>
  <c r="AL18" i="26" s="1"/>
  <c r="AB11" i="26"/>
  <c r="AB18" i="26" s="1"/>
  <c r="AC50" i="26"/>
  <c r="AM46" i="26" s="1"/>
  <c r="BC46" i="26" s="1"/>
  <c r="AB84" i="26"/>
  <c r="AL84" i="26" s="1"/>
  <c r="BB84" i="26" s="1"/>
  <c r="BB89" i="26" s="1"/>
  <c r="AC55" i="26"/>
  <c r="AB109" i="26"/>
  <c r="AB74" i="26"/>
  <c r="AC17" i="26"/>
  <c r="AB49" i="26"/>
  <c r="AB82" i="26"/>
  <c r="AC12" i="26"/>
  <c r="AM6" i="26" s="1"/>
  <c r="BC6" i="26" s="1"/>
  <c r="AB44" i="26"/>
  <c r="AB81" i="26"/>
  <c r="BD19" i="10" l="1"/>
  <c r="AN125" i="10"/>
  <c r="AN124" i="10"/>
  <c r="AG31" i="50"/>
  <c r="AK31" i="50" s="1"/>
  <c r="AQ31" i="50" s="1"/>
  <c r="AU31" i="50" s="1"/>
  <c r="AY31" i="50" s="1"/>
  <c r="AO31" i="50"/>
  <c r="BE31" i="50" s="1"/>
  <c r="AO19" i="50"/>
  <c r="BE19" i="50" s="1"/>
  <c r="AG19" i="50"/>
  <c r="AK19" i="50" s="1"/>
  <c r="AQ19" i="50" s="1"/>
  <c r="AU19" i="50" s="1"/>
  <c r="AY19" i="50" s="1"/>
  <c r="AD127" i="10"/>
  <c r="AE93" i="50"/>
  <c r="BD125" i="10"/>
  <c r="BE93" i="50" s="1"/>
  <c r="BD124" i="10"/>
  <c r="BB50" i="26"/>
  <c r="BB55" i="26"/>
  <c r="AL44" i="26"/>
  <c r="BB26" i="26"/>
  <c r="BB44" i="26" s="1"/>
  <c r="BD165" i="10"/>
  <c r="AN165" i="10"/>
  <c r="AO4" i="83"/>
  <c r="AO31" i="83" s="1"/>
  <c r="AE31" i="83"/>
  <c r="AL109" i="26"/>
  <c r="AL85" i="17"/>
  <c r="AL86" i="17"/>
  <c r="AL89" i="26"/>
  <c r="AL84" i="17"/>
  <c r="AL83" i="17"/>
  <c r="AL74" i="26"/>
  <c r="AL12" i="26"/>
  <c r="AL17" i="26"/>
  <c r="AL82" i="17"/>
  <c r="AB32" i="17"/>
  <c r="AB89" i="26"/>
  <c r="AB84" i="17"/>
  <c r="AB12" i="26"/>
  <c r="AB17" i="26"/>
  <c r="AB50" i="26"/>
  <c r="AB56" i="26"/>
  <c r="AL56" i="26" s="1"/>
  <c r="BB56" i="26" s="1"/>
  <c r="AB55" i="26"/>
  <c r="AN127" i="10" l="1"/>
  <c r="AO93" i="50"/>
  <c r="BD127" i="10"/>
  <c r="BD156" i="10"/>
  <c r="BD162" i="10"/>
  <c r="BD166" i="10"/>
  <c r="BD143" i="10"/>
  <c r="BG59" i="59" s="1"/>
  <c r="AN166" i="10"/>
  <c r="AN143" i="10"/>
  <c r="AQ59" i="59" s="1"/>
  <c r="AN156" i="10"/>
  <c r="AN162" i="10"/>
  <c r="AD181" i="6"/>
  <c r="AN181" i="6" s="1"/>
  <c r="AN183" i="6" s="1"/>
  <c r="BD21" i="36" l="1"/>
  <c r="BG57" i="59"/>
  <c r="BD158" i="10"/>
  <c r="BD160" i="10"/>
  <c r="AQ57" i="59"/>
  <c r="AN21" i="36"/>
  <c r="AN158" i="10"/>
  <c r="AN160" i="10"/>
  <c r="AE56" i="50"/>
  <c r="AO42" i="50"/>
  <c r="BE42" i="50" s="1"/>
  <c r="AO43" i="50"/>
  <c r="BE43" i="50" s="1"/>
  <c r="AO44" i="50"/>
  <c r="BE44" i="50" s="1"/>
  <c r="AO45" i="50"/>
  <c r="BE45" i="50" s="1"/>
  <c r="AO46" i="50"/>
  <c r="BE46" i="50" s="1"/>
  <c r="AE34" i="50"/>
  <c r="AO34" i="50" s="1"/>
  <c r="BE34" i="50" s="1"/>
  <c r="AE35" i="50"/>
  <c r="AO35" i="50" s="1"/>
  <c r="BE35" i="50" s="1"/>
  <c r="AE36" i="50"/>
  <c r="AO36" i="50" s="1"/>
  <c r="BE36" i="50" s="1"/>
  <c r="AE37" i="50"/>
  <c r="AO37" i="50" s="1"/>
  <c r="BE37" i="50" s="1"/>
  <c r="AE38" i="50"/>
  <c r="AO38" i="50" s="1"/>
  <c r="BE38" i="50" s="1"/>
  <c r="AE39" i="50"/>
  <c r="AO39" i="50" s="1"/>
  <c r="BE39" i="50" s="1"/>
  <c r="AA45" i="50"/>
  <c r="AE4" i="50"/>
  <c r="BS7" i="71"/>
  <c r="BS8" i="71"/>
  <c r="BS9" i="71"/>
  <c r="BS10" i="71"/>
  <c r="BS11" i="71"/>
  <c r="BS12" i="71"/>
  <c r="BS13" i="71"/>
  <c r="BS14" i="71"/>
  <c r="BS15" i="71"/>
  <c r="BS16" i="71"/>
  <c r="BS17" i="71"/>
  <c r="BS18" i="71"/>
  <c r="BS19" i="71"/>
  <c r="BS20" i="71"/>
  <c r="BS21" i="71"/>
  <c r="BS22" i="71"/>
  <c r="BS23" i="71"/>
  <c r="BS24" i="71"/>
  <c r="BS25" i="71"/>
  <c r="BS26" i="71"/>
  <c r="BS28" i="71"/>
  <c r="BS31" i="71"/>
  <c r="BS32" i="71"/>
  <c r="BS33" i="71"/>
  <c r="BS34" i="71"/>
  <c r="BS35" i="71"/>
  <c r="BS36" i="71"/>
  <c r="BS37" i="71"/>
  <c r="BS38" i="71"/>
  <c r="BS39" i="71"/>
  <c r="BS40" i="71"/>
  <c r="CU40" i="71" s="1"/>
  <c r="BS41" i="71"/>
  <c r="BS42" i="71"/>
  <c r="BS43" i="71"/>
  <c r="BS44" i="71"/>
  <c r="BS45" i="71"/>
  <c r="BS48" i="71"/>
  <c r="BS50" i="71"/>
  <c r="BS51" i="71"/>
  <c r="BS52" i="71"/>
  <c r="BS53" i="71"/>
  <c r="BS54" i="71"/>
  <c r="BS55" i="71"/>
  <c r="BS56" i="71"/>
  <c r="BS57" i="71"/>
  <c r="BS58" i="71"/>
  <c r="BS59" i="71"/>
  <c r="BS60" i="71"/>
  <c r="BS61" i="71"/>
  <c r="BS62" i="71"/>
  <c r="BS63" i="71"/>
  <c r="BS64" i="71"/>
  <c r="BS65" i="71"/>
  <c r="BS66" i="71"/>
  <c r="BS67" i="71"/>
  <c r="BS68" i="71"/>
  <c r="BS69" i="71"/>
  <c r="BS70" i="71"/>
  <c r="BS71" i="71"/>
  <c r="BS72" i="71"/>
  <c r="BS73" i="71"/>
  <c r="BS74" i="71"/>
  <c r="BS75" i="71"/>
  <c r="BS76" i="71"/>
  <c r="BS6" i="71"/>
  <c r="AQ7" i="71"/>
  <c r="AQ8" i="71"/>
  <c r="AQ9" i="71"/>
  <c r="AR9" i="71" s="1"/>
  <c r="AQ10" i="71"/>
  <c r="AQ11" i="71"/>
  <c r="AQ12" i="71"/>
  <c r="AQ13" i="71"/>
  <c r="AQ14" i="71"/>
  <c r="AQ15" i="71"/>
  <c r="AQ16" i="71"/>
  <c r="AQ17" i="71"/>
  <c r="AR17" i="71" s="1"/>
  <c r="AQ18" i="71"/>
  <c r="AQ19" i="71"/>
  <c r="AQ20" i="71"/>
  <c r="AQ21" i="71"/>
  <c r="AR21" i="71" s="1"/>
  <c r="AQ22" i="71"/>
  <c r="AQ23" i="71"/>
  <c r="AR23" i="71" s="1"/>
  <c r="AQ24" i="71"/>
  <c r="AQ25" i="71"/>
  <c r="AQ26" i="71"/>
  <c r="AQ28" i="71"/>
  <c r="AR28" i="71" s="1"/>
  <c r="AQ32" i="71"/>
  <c r="AQ33" i="71"/>
  <c r="AQ34" i="71"/>
  <c r="AQ35" i="71"/>
  <c r="AQ36" i="71"/>
  <c r="AQ37" i="71"/>
  <c r="AQ38" i="71"/>
  <c r="AQ39" i="71"/>
  <c r="AQ40" i="71"/>
  <c r="AQ41" i="71"/>
  <c r="AQ42" i="71"/>
  <c r="AQ43" i="71"/>
  <c r="AQ44" i="71"/>
  <c r="AR44" i="71" s="1"/>
  <c r="AQ45" i="71"/>
  <c r="AQ50" i="71"/>
  <c r="AQ51" i="71"/>
  <c r="AR51" i="71" s="1"/>
  <c r="AQ52" i="71"/>
  <c r="AQ53" i="71"/>
  <c r="AQ54" i="71"/>
  <c r="AR54" i="71" s="1"/>
  <c r="AQ55" i="71"/>
  <c r="AQ56" i="71"/>
  <c r="AQ57" i="71"/>
  <c r="AQ58" i="71"/>
  <c r="AQ59" i="71"/>
  <c r="AR59" i="71" s="1"/>
  <c r="AQ60" i="71"/>
  <c r="AQ61" i="71"/>
  <c r="AR61" i="71" s="1"/>
  <c r="AQ62" i="71"/>
  <c r="AQ63" i="71"/>
  <c r="AQ64" i="71"/>
  <c r="AQ65" i="71"/>
  <c r="AQ66" i="71"/>
  <c r="AR66" i="71" s="1"/>
  <c r="AQ67" i="71"/>
  <c r="AQ68" i="71"/>
  <c r="AQ69" i="71"/>
  <c r="AQ70" i="71"/>
  <c r="AQ71" i="71"/>
  <c r="AQ72" i="71"/>
  <c r="AQ73" i="71"/>
  <c r="AQ74" i="71"/>
  <c r="AQ75" i="71"/>
  <c r="AQ76" i="71"/>
  <c r="AK7" i="71"/>
  <c r="AK8" i="71"/>
  <c r="AK9" i="71"/>
  <c r="AF7" i="71"/>
  <c r="AF8" i="71"/>
  <c r="AF9" i="71"/>
  <c r="AF10" i="71"/>
  <c r="AF11" i="71"/>
  <c r="AF12" i="71"/>
  <c r="AF13" i="71"/>
  <c r="AF14" i="71"/>
  <c r="AF15" i="71"/>
  <c r="AF16" i="71"/>
  <c r="AF17" i="71"/>
  <c r="AF18" i="71"/>
  <c r="AF19" i="71"/>
  <c r="AF20" i="71"/>
  <c r="AF21" i="71"/>
  <c r="AF22" i="71"/>
  <c r="AF23" i="71"/>
  <c r="AF24" i="71"/>
  <c r="AF25" i="71"/>
  <c r="AF26" i="71"/>
  <c r="AF28" i="71"/>
  <c r="AF32" i="71"/>
  <c r="AF33" i="71"/>
  <c r="AF34" i="71"/>
  <c r="AF35" i="71"/>
  <c r="AF36" i="71"/>
  <c r="AF37" i="71"/>
  <c r="AF38" i="71"/>
  <c r="AF39" i="71"/>
  <c r="AF40" i="71"/>
  <c r="AF41" i="71"/>
  <c r="AF42" i="71"/>
  <c r="AF43" i="71"/>
  <c r="AF44" i="71"/>
  <c r="AF45" i="71"/>
  <c r="AF48" i="71"/>
  <c r="AF50" i="71"/>
  <c r="AF51" i="71"/>
  <c r="AF52" i="71"/>
  <c r="AF53" i="71"/>
  <c r="AF54" i="71"/>
  <c r="AF55" i="71"/>
  <c r="AF56" i="71"/>
  <c r="AF57" i="71"/>
  <c r="AF58" i="71"/>
  <c r="AF59" i="71"/>
  <c r="AF60" i="71"/>
  <c r="AF61" i="71"/>
  <c r="AF62" i="71"/>
  <c r="AF63" i="71"/>
  <c r="AF64" i="71"/>
  <c r="AF65" i="71"/>
  <c r="AF66" i="71"/>
  <c r="AF67" i="71"/>
  <c r="AF68" i="71"/>
  <c r="AF69" i="71"/>
  <c r="AF70" i="71"/>
  <c r="AF71" i="71"/>
  <c r="AF72" i="71"/>
  <c r="AF73" i="71"/>
  <c r="AF74" i="71"/>
  <c r="AF75" i="71"/>
  <c r="AF76" i="71"/>
  <c r="AB7" i="71"/>
  <c r="AB8" i="71"/>
  <c r="AB9" i="71"/>
  <c r="AB10" i="71"/>
  <c r="AB11" i="71"/>
  <c r="AB12" i="71"/>
  <c r="AB13" i="71"/>
  <c r="AB14" i="71"/>
  <c r="AB15" i="71"/>
  <c r="AB16" i="71"/>
  <c r="AB17" i="71"/>
  <c r="AB18" i="71"/>
  <c r="AB19" i="71"/>
  <c r="AB20" i="71"/>
  <c r="AB21" i="71"/>
  <c r="AB22" i="71"/>
  <c r="AB23" i="71"/>
  <c r="AB24" i="71"/>
  <c r="AG24" i="71" s="1"/>
  <c r="AB25" i="71"/>
  <c r="AG25" i="71" s="1"/>
  <c r="AB26" i="71"/>
  <c r="AB28" i="71"/>
  <c r="AB32" i="71"/>
  <c r="AB33" i="71"/>
  <c r="AB34" i="71"/>
  <c r="AG34" i="71" s="1"/>
  <c r="AB35" i="71"/>
  <c r="AB36" i="71"/>
  <c r="AB37" i="71"/>
  <c r="AB38" i="71"/>
  <c r="AB39" i="71"/>
  <c r="AB40" i="71"/>
  <c r="AG40" i="71" s="1"/>
  <c r="AB41" i="71"/>
  <c r="AB42" i="71"/>
  <c r="AB43" i="71"/>
  <c r="AB44" i="71"/>
  <c r="AB45" i="71"/>
  <c r="AB48" i="71"/>
  <c r="AG48" i="71" s="1"/>
  <c r="AB50" i="71"/>
  <c r="AB51" i="71"/>
  <c r="AB52" i="71"/>
  <c r="AB53" i="71"/>
  <c r="AB54" i="71"/>
  <c r="AB55" i="71"/>
  <c r="AG55" i="71" s="1"/>
  <c r="AB56" i="71"/>
  <c r="AB57" i="71"/>
  <c r="AB58" i="71"/>
  <c r="AB59" i="71"/>
  <c r="AB60" i="71"/>
  <c r="AB61" i="71"/>
  <c r="AB62" i="71"/>
  <c r="AB63" i="71"/>
  <c r="AB64" i="71"/>
  <c r="AB65" i="71"/>
  <c r="AB66" i="71"/>
  <c r="AB67" i="71"/>
  <c r="AB68" i="71"/>
  <c r="AB69" i="71"/>
  <c r="AB70" i="71"/>
  <c r="AB71" i="71"/>
  <c r="AB72" i="71"/>
  <c r="AB73" i="71"/>
  <c r="AB74" i="71"/>
  <c r="AB75" i="71"/>
  <c r="AB76" i="71"/>
  <c r="AR24" i="71"/>
  <c r="AR35" i="71"/>
  <c r="AR36" i="71"/>
  <c r="AR73" i="71"/>
  <c r="X6" i="71"/>
  <c r="V7" i="71"/>
  <c r="V8" i="71"/>
  <c r="V9" i="71"/>
  <c r="V10" i="71"/>
  <c r="V11" i="71"/>
  <c r="V12" i="71"/>
  <c r="V13" i="71"/>
  <c r="V14" i="71"/>
  <c r="V15" i="71"/>
  <c r="V16" i="71"/>
  <c r="V17" i="71"/>
  <c r="V18" i="71"/>
  <c r="V19" i="71"/>
  <c r="V20" i="71"/>
  <c r="V21" i="71"/>
  <c r="V22" i="71"/>
  <c r="W22" i="71" s="1"/>
  <c r="V23" i="71"/>
  <c r="V24" i="71"/>
  <c r="V25" i="71"/>
  <c r="V26" i="71"/>
  <c r="V28" i="71"/>
  <c r="V31" i="71"/>
  <c r="W31" i="71" s="1"/>
  <c r="V32" i="71"/>
  <c r="W32" i="71" s="1"/>
  <c r="V33" i="71"/>
  <c r="V34" i="71"/>
  <c r="V35" i="71"/>
  <c r="V36" i="71"/>
  <c r="V37" i="71"/>
  <c r="W37" i="71" s="1"/>
  <c r="V38" i="71"/>
  <c r="W38" i="71" s="1"/>
  <c r="V39" i="71"/>
  <c r="V40" i="71"/>
  <c r="W40" i="71" s="1"/>
  <c r="V41" i="71"/>
  <c r="V42" i="71"/>
  <c r="V43" i="71"/>
  <c r="W43" i="71" s="1"/>
  <c r="V44" i="71"/>
  <c r="W44" i="71" s="1"/>
  <c r="V45" i="71"/>
  <c r="V48" i="71"/>
  <c r="W48" i="71" s="1"/>
  <c r="V50" i="71"/>
  <c r="V51" i="71"/>
  <c r="V52" i="71"/>
  <c r="W52" i="71" s="1"/>
  <c r="V53" i="71"/>
  <c r="W53" i="71" s="1"/>
  <c r="V54" i="71"/>
  <c r="V55" i="71"/>
  <c r="V56" i="71"/>
  <c r="V57" i="71"/>
  <c r="V58" i="71"/>
  <c r="W58" i="71" s="1"/>
  <c r="V59" i="71"/>
  <c r="W59" i="71" s="1"/>
  <c r="V60" i="71"/>
  <c r="V61" i="71"/>
  <c r="W61" i="71" s="1"/>
  <c r="V62" i="71"/>
  <c r="V63" i="71"/>
  <c r="V64" i="71"/>
  <c r="W64" i="71" s="1"/>
  <c r="V65" i="71"/>
  <c r="W65" i="71" s="1"/>
  <c r="V66" i="71"/>
  <c r="V67" i="71"/>
  <c r="V68" i="71"/>
  <c r="V69" i="71"/>
  <c r="V70" i="71"/>
  <c r="V71" i="71"/>
  <c r="V72" i="71"/>
  <c r="V73" i="71"/>
  <c r="V74" i="71"/>
  <c r="V75" i="71"/>
  <c r="V76" i="71"/>
  <c r="W76" i="71" s="1"/>
  <c r="W11" i="71"/>
  <c r="W23" i="71"/>
  <c r="M7" i="71"/>
  <c r="M8" i="71"/>
  <c r="M9" i="71"/>
  <c r="M10" i="71"/>
  <c r="M11" i="71"/>
  <c r="M12" i="71"/>
  <c r="M13" i="71"/>
  <c r="M14" i="71"/>
  <c r="M15" i="71"/>
  <c r="M16" i="71"/>
  <c r="M17" i="71"/>
  <c r="M18" i="71"/>
  <c r="M19" i="71"/>
  <c r="M20" i="71"/>
  <c r="M21" i="71"/>
  <c r="M22" i="71"/>
  <c r="M23" i="71"/>
  <c r="M24" i="71"/>
  <c r="M25" i="71"/>
  <c r="M26" i="71"/>
  <c r="M28" i="71"/>
  <c r="M31" i="71"/>
  <c r="M32" i="71"/>
  <c r="M33" i="71"/>
  <c r="M34" i="71"/>
  <c r="M35" i="71"/>
  <c r="M36" i="71"/>
  <c r="M37" i="71"/>
  <c r="M38" i="71"/>
  <c r="M39" i="71"/>
  <c r="M40" i="71"/>
  <c r="M41" i="71"/>
  <c r="M42" i="71"/>
  <c r="M43" i="71"/>
  <c r="M44" i="71"/>
  <c r="M45" i="71"/>
  <c r="M48" i="71"/>
  <c r="M50" i="71"/>
  <c r="M51" i="71"/>
  <c r="M52" i="71"/>
  <c r="M53" i="71"/>
  <c r="M54" i="71"/>
  <c r="M55" i="71"/>
  <c r="M56" i="71"/>
  <c r="M57" i="71"/>
  <c r="M58" i="71"/>
  <c r="M59" i="71"/>
  <c r="M60" i="71"/>
  <c r="M61" i="71"/>
  <c r="M62" i="71"/>
  <c r="M63" i="71"/>
  <c r="M64" i="71"/>
  <c r="M65" i="71"/>
  <c r="M66" i="71"/>
  <c r="M67" i="71"/>
  <c r="M68" i="71"/>
  <c r="M69" i="71"/>
  <c r="M70" i="71"/>
  <c r="M71" i="71"/>
  <c r="M72" i="71"/>
  <c r="M73" i="71"/>
  <c r="M74" i="71"/>
  <c r="M75" i="71"/>
  <c r="M76" i="71"/>
  <c r="G77" i="71"/>
  <c r="H77" i="71"/>
  <c r="J77" i="71"/>
  <c r="K77" i="71"/>
  <c r="L77" i="71"/>
  <c r="O77" i="71"/>
  <c r="P77" i="71"/>
  <c r="Q77" i="71"/>
  <c r="S77" i="71"/>
  <c r="T77" i="71"/>
  <c r="U77" i="71"/>
  <c r="Y77" i="71"/>
  <c r="Z77" i="71"/>
  <c r="AA77" i="71"/>
  <c r="AC77" i="71"/>
  <c r="AD77" i="71"/>
  <c r="AE77" i="71"/>
  <c r="AH77" i="71"/>
  <c r="AI77" i="71"/>
  <c r="AJ77" i="71"/>
  <c r="AL77" i="71"/>
  <c r="AM77" i="71"/>
  <c r="AN77" i="71"/>
  <c r="I7" i="71"/>
  <c r="I8" i="71"/>
  <c r="I9" i="71"/>
  <c r="I10" i="71"/>
  <c r="I11" i="71"/>
  <c r="I12" i="71"/>
  <c r="I13" i="71"/>
  <c r="I14" i="71"/>
  <c r="I15" i="71"/>
  <c r="I16" i="71"/>
  <c r="I17" i="71"/>
  <c r="I18" i="71"/>
  <c r="I19" i="71"/>
  <c r="I20" i="71"/>
  <c r="I21" i="71"/>
  <c r="I22" i="71"/>
  <c r="I23" i="71"/>
  <c r="I24" i="71"/>
  <c r="I25" i="71"/>
  <c r="I26" i="71"/>
  <c r="I28" i="71"/>
  <c r="I31" i="71"/>
  <c r="I32" i="71"/>
  <c r="I33" i="71"/>
  <c r="I34" i="71"/>
  <c r="I35" i="71"/>
  <c r="I36" i="71"/>
  <c r="I37" i="71"/>
  <c r="I38" i="71"/>
  <c r="I39" i="71"/>
  <c r="I40" i="71"/>
  <c r="I41" i="71"/>
  <c r="I42" i="71"/>
  <c r="I43" i="71"/>
  <c r="I44" i="71"/>
  <c r="I45" i="71"/>
  <c r="I48" i="71"/>
  <c r="I50" i="71"/>
  <c r="I51" i="71"/>
  <c r="I52" i="71"/>
  <c r="I53" i="71"/>
  <c r="I54" i="71"/>
  <c r="I55" i="71"/>
  <c r="I56" i="71"/>
  <c r="I57" i="71"/>
  <c r="I58" i="71"/>
  <c r="I59" i="71"/>
  <c r="I60" i="71"/>
  <c r="I61" i="71"/>
  <c r="I62" i="71"/>
  <c r="I63" i="71"/>
  <c r="I64" i="71"/>
  <c r="I65" i="71"/>
  <c r="I66" i="71"/>
  <c r="I67" i="71"/>
  <c r="I68" i="71"/>
  <c r="I69" i="71"/>
  <c r="I70" i="71"/>
  <c r="I71" i="71"/>
  <c r="I72" i="71"/>
  <c r="I73" i="71"/>
  <c r="I74" i="71"/>
  <c r="I75" i="71"/>
  <c r="I76" i="71"/>
  <c r="N76" i="71" s="1"/>
  <c r="AQ6" i="71"/>
  <c r="AE32" i="50" l="1"/>
  <c r="AE94" i="50" s="1"/>
  <c r="AO4" i="50"/>
  <c r="AO56" i="50"/>
  <c r="AG56" i="50"/>
  <c r="AE67" i="50"/>
  <c r="K45" i="50"/>
  <c r="O45" i="50"/>
  <c r="K46" i="50"/>
  <c r="O46" i="50"/>
  <c r="S46" i="50" s="1"/>
  <c r="W46" i="50" s="1"/>
  <c r="AA46" i="50"/>
  <c r="AG72" i="71"/>
  <c r="AG66" i="71"/>
  <c r="AG60" i="71"/>
  <c r="AG54" i="71"/>
  <c r="AG45" i="71"/>
  <c r="AG39" i="71"/>
  <c r="AG33" i="71"/>
  <c r="AG71" i="71"/>
  <c r="AG65" i="71"/>
  <c r="N74" i="71"/>
  <c r="N56" i="71"/>
  <c r="N50" i="71"/>
  <c r="N41" i="71"/>
  <c r="N35" i="71"/>
  <c r="N26" i="71"/>
  <c r="N20" i="71"/>
  <c r="N14" i="71"/>
  <c r="N8" i="71"/>
  <c r="N70" i="71"/>
  <c r="N58" i="71"/>
  <c r="N52" i="71"/>
  <c r="N15" i="71"/>
  <c r="AR72" i="71"/>
  <c r="AR60" i="71"/>
  <c r="AR45" i="71"/>
  <c r="AR33" i="71"/>
  <c r="AR18" i="71"/>
  <c r="AE51" i="83"/>
  <c r="AG51" i="71"/>
  <c r="AG57" i="71"/>
  <c r="AR75" i="71"/>
  <c r="AR62" i="71"/>
  <c r="AR50" i="71"/>
  <c r="AR74" i="71"/>
  <c r="W57" i="71"/>
  <c r="W36" i="71"/>
  <c r="W9" i="71"/>
  <c r="W69" i="71"/>
  <c r="W42" i="71"/>
  <c r="W15" i="71"/>
  <c r="W51" i="71"/>
  <c r="W21" i="71"/>
  <c r="W63" i="71"/>
  <c r="W28" i="71"/>
  <c r="AR63" i="71"/>
  <c r="AR71" i="71"/>
  <c r="N67" i="71"/>
  <c r="N61" i="71"/>
  <c r="N55" i="71"/>
  <c r="N25" i="71"/>
  <c r="N19" i="71"/>
  <c r="N7" i="71"/>
  <c r="AR70" i="71"/>
  <c r="AR58" i="71"/>
  <c r="AR43" i="71"/>
  <c r="AR16" i="71"/>
  <c r="N33" i="71"/>
  <c r="W72" i="71"/>
  <c r="AG70" i="71"/>
  <c r="AG58" i="71"/>
  <c r="N66" i="71"/>
  <c r="N68" i="71"/>
  <c r="N60" i="71"/>
  <c r="AG41" i="71"/>
  <c r="AG35" i="71"/>
  <c r="N24" i="71"/>
  <c r="N75" i="71"/>
  <c r="W68" i="71"/>
  <c r="W56" i="71"/>
  <c r="W41" i="71"/>
  <c r="W26" i="71"/>
  <c r="W54" i="71"/>
  <c r="N54" i="71"/>
  <c r="N39" i="71"/>
  <c r="N23" i="71"/>
  <c r="N51" i="71"/>
  <c r="N36" i="71"/>
  <c r="W67" i="71"/>
  <c r="W55" i="71"/>
  <c r="W25" i="71"/>
  <c r="AR68" i="71"/>
  <c r="AE16" i="61"/>
  <c r="AO16" i="61" s="1"/>
  <c r="BE16" i="61" s="1"/>
  <c r="AE10" i="61"/>
  <c r="AO10" i="61" s="1"/>
  <c r="BE10" i="61" s="1"/>
  <c r="AE11" i="61"/>
  <c r="AO11" i="61" s="1"/>
  <c r="BE11" i="61" s="1"/>
  <c r="AE9" i="61"/>
  <c r="AO9" i="61" s="1"/>
  <c r="BE9" i="61" s="1"/>
  <c r="AE14" i="61"/>
  <c r="AO14" i="61" s="1"/>
  <c r="BE14" i="61" s="1"/>
  <c r="AE13" i="61"/>
  <c r="AO13" i="61" s="1"/>
  <c r="BE13" i="61" s="1"/>
  <c r="AE12" i="61"/>
  <c r="AO12" i="61" s="1"/>
  <c r="BE12" i="61" s="1"/>
  <c r="N43" i="71"/>
  <c r="N37" i="71"/>
  <c r="N31" i="71"/>
  <c r="N64" i="71"/>
  <c r="N53" i="71"/>
  <c r="AR67" i="71"/>
  <c r="AR55" i="71"/>
  <c r="AR40" i="71"/>
  <c r="AR34" i="71"/>
  <c r="AR25" i="71"/>
  <c r="AG59" i="71"/>
  <c r="AG53" i="71"/>
  <c r="AG44" i="71"/>
  <c r="AG38" i="71"/>
  <c r="AG23" i="71"/>
  <c r="AG56" i="71"/>
  <c r="AG50" i="71"/>
  <c r="N44" i="71"/>
  <c r="W66" i="71"/>
  <c r="W60" i="71"/>
  <c r="W39" i="71"/>
  <c r="W24" i="71"/>
  <c r="W12" i="71"/>
  <c r="AG52" i="71"/>
  <c r="AG43" i="71"/>
  <c r="AG37" i="71"/>
  <c r="AR65" i="71"/>
  <c r="AR53" i="71"/>
  <c r="AR32" i="71"/>
  <c r="AG26" i="71"/>
  <c r="AR64" i="71"/>
  <c r="AR52" i="71"/>
  <c r="N48" i="71"/>
  <c r="N40" i="71"/>
  <c r="N34" i="71"/>
  <c r="W50" i="71"/>
  <c r="AR57" i="71"/>
  <c r="AR42" i="71"/>
  <c r="BS82" i="71"/>
  <c r="AG67" i="71"/>
  <c r="AG61" i="71"/>
  <c r="AR56" i="71"/>
  <c r="AR26" i="71"/>
  <c r="N17" i="71"/>
  <c r="AG18" i="71"/>
  <c r="AG19" i="71"/>
  <c r="W17" i="71"/>
  <c r="AR13" i="71"/>
  <c r="W16" i="71"/>
  <c r="W20" i="71"/>
  <c r="W8" i="71"/>
  <c r="AG17" i="71"/>
  <c r="N21" i="71"/>
  <c r="AG12" i="71"/>
  <c r="AR22" i="71"/>
  <c r="AR19" i="71"/>
  <c r="AR7" i="71"/>
  <c r="AG11" i="71"/>
  <c r="AR14" i="71"/>
  <c r="W14" i="71"/>
  <c r="AG20" i="71"/>
  <c r="AG8" i="71"/>
  <c r="AG16" i="71"/>
  <c r="N13" i="71"/>
  <c r="W13" i="71"/>
  <c r="W71" i="71"/>
  <c r="N69" i="71"/>
  <c r="AR69" i="71"/>
  <c r="AG68" i="71"/>
  <c r="AG73" i="71"/>
  <c r="N73" i="71"/>
  <c r="W73" i="71"/>
  <c r="W75" i="71"/>
  <c r="AG76" i="71"/>
  <c r="AR76" i="71"/>
  <c r="W74" i="71"/>
  <c r="N72" i="71"/>
  <c r="W70" i="71"/>
  <c r="W62" i="71"/>
  <c r="AG64" i="71"/>
  <c r="N62" i="71"/>
  <c r="AR37" i="71"/>
  <c r="N28" i="71"/>
  <c r="AG32" i="71"/>
  <c r="AR39" i="71"/>
  <c r="W45" i="71"/>
  <c r="W33" i="71"/>
  <c r="AG28" i="71"/>
  <c r="AR41" i="71"/>
  <c r="W35" i="71"/>
  <c r="N45" i="71"/>
  <c r="W34" i="71"/>
  <c r="AR38" i="71"/>
  <c r="N42" i="71"/>
  <c r="N59" i="71"/>
  <c r="AG22" i="71"/>
  <c r="AR15" i="71"/>
  <c r="AG7" i="71"/>
  <c r="AG62" i="71"/>
  <c r="N65" i="71"/>
  <c r="AG69" i="71"/>
  <c r="AR20" i="71"/>
  <c r="AR8" i="71"/>
  <c r="N71" i="71"/>
  <c r="N32" i="71"/>
  <c r="AR12" i="71"/>
  <c r="AG75" i="71"/>
  <c r="N11" i="71"/>
  <c r="N57" i="71"/>
  <c r="N22" i="71"/>
  <c r="N9" i="71"/>
  <c r="N63" i="71"/>
  <c r="W19" i="71"/>
  <c r="W7" i="71"/>
  <c r="AR6" i="71"/>
  <c r="AR11" i="71"/>
  <c r="AG74" i="71"/>
  <c r="AG36" i="71"/>
  <c r="N38" i="71"/>
  <c r="W18" i="71"/>
  <c r="W10" i="71"/>
  <c r="AR10" i="71"/>
  <c r="AG14" i="71"/>
  <c r="AG42" i="71"/>
  <c r="BS77" i="71"/>
  <c r="AG63" i="71"/>
  <c r="AG13" i="71"/>
  <c r="AG21" i="71"/>
  <c r="N18" i="71"/>
  <c r="X77" i="71"/>
  <c r="N10" i="71"/>
  <c r="N16" i="71"/>
  <c r="AG10" i="71"/>
  <c r="AQ77" i="71"/>
  <c r="AG9" i="71"/>
  <c r="AG15" i="71"/>
  <c r="N12" i="71"/>
  <c r="AE33" i="50"/>
  <c r="AF31" i="36"/>
  <c r="AC46" i="50" l="1"/>
  <c r="AG46" i="50" s="1"/>
  <c r="AK46" i="50" s="1"/>
  <c r="AQ46" i="50" s="1"/>
  <c r="AU46" i="50" s="1"/>
  <c r="AY46" i="50" s="1"/>
  <c r="BG46" i="50" s="1"/>
  <c r="AC45" i="50"/>
  <c r="AG45" i="50" s="1"/>
  <c r="AK45" i="50" s="1"/>
  <c r="AQ45" i="50" s="1"/>
  <c r="AU45" i="50" s="1"/>
  <c r="AY45" i="50" s="1"/>
  <c r="BG45" i="50" s="1"/>
  <c r="S45" i="50"/>
  <c r="W45" i="50" s="1"/>
  <c r="AE111" i="50"/>
  <c r="AE107" i="50"/>
  <c r="AE108" i="50" s="1"/>
  <c r="AO41" i="50"/>
  <c r="AO47" i="50" s="1"/>
  <c r="AK56" i="50"/>
  <c r="AG67" i="50"/>
  <c r="BE56" i="50"/>
  <c r="BE67" i="50" s="1"/>
  <c r="AO67" i="50"/>
  <c r="AO32" i="50"/>
  <c r="AO94" i="50" s="1"/>
  <c r="BE4" i="50"/>
  <c r="BE32" i="50" s="1"/>
  <c r="AE40" i="50"/>
  <c r="AE103" i="50" s="1"/>
  <c r="AE104" i="50" s="1"/>
  <c r="AO33" i="50"/>
  <c r="AE96" i="50"/>
  <c r="AE95" i="50"/>
  <c r="BE17" i="61"/>
  <c r="AO17" i="61"/>
  <c r="AO51" i="83"/>
  <c r="AO58" i="83" s="1"/>
  <c r="AE58" i="83"/>
  <c r="AE68" i="83" s="1"/>
  <c r="AO68" i="83" s="1"/>
  <c r="BE68" i="83" s="1"/>
  <c r="BE69" i="83" s="1"/>
  <c r="BE111" i="50" l="1"/>
  <c r="AO111" i="50"/>
  <c r="AE112" i="50"/>
  <c r="AE113" i="50"/>
  <c r="AO95" i="50"/>
  <c r="AO96" i="50"/>
  <c r="AQ56" i="50"/>
  <c r="AK67" i="50"/>
  <c r="AN128" i="10"/>
  <c r="AN129" i="10" s="1"/>
  <c r="AE80" i="50"/>
  <c r="AO40" i="50"/>
  <c r="AO103" i="50" s="1"/>
  <c r="AO104" i="50" s="1"/>
  <c r="BE33" i="50"/>
  <c r="BE40" i="50" s="1"/>
  <c r="BE103" i="50" s="1"/>
  <c r="BE104" i="50" s="1"/>
  <c r="BE94" i="50"/>
  <c r="BD128" i="10"/>
  <c r="BD129" i="10" s="1"/>
  <c r="AG111" i="50"/>
  <c r="AO107" i="50"/>
  <c r="AO108" i="50" s="1"/>
  <c r="BE41" i="50"/>
  <c r="AD166" i="10"/>
  <c r="AE31" i="36"/>
  <c r="BE47" i="50" l="1"/>
  <c r="BE107" i="50" s="1"/>
  <c r="BE108" i="50" s="1"/>
  <c r="AU56" i="50"/>
  <c r="AQ67" i="50"/>
  <c r="AK111" i="50"/>
  <c r="BE95" i="50"/>
  <c r="BE96" i="50"/>
  <c r="BE80" i="50"/>
  <c r="AO80" i="50"/>
  <c r="AO112" i="50"/>
  <c r="AO113" i="50"/>
  <c r="BE112" i="50"/>
  <c r="BE113" i="50"/>
  <c r="AD162" i="10"/>
  <c r="AQ111" i="50" l="1"/>
  <c r="AY56" i="50"/>
  <c r="AY67" i="50" s="1"/>
  <c r="AU67" i="50"/>
  <c r="AE146" i="73"/>
  <c r="AI146" i="73" s="1"/>
  <c r="AO146" i="73" s="1"/>
  <c r="AS146" i="73" s="1"/>
  <c r="AW146" i="73" s="1"/>
  <c r="BE146" i="73" s="1"/>
  <c r="AE83" i="73"/>
  <c r="AI83" i="73" s="1"/>
  <c r="AO83" i="73" s="1"/>
  <c r="AS83" i="73" s="1"/>
  <c r="AW83" i="73" s="1"/>
  <c r="BE83" i="73" s="1"/>
  <c r="AE72" i="73"/>
  <c r="AI72" i="73" s="1"/>
  <c r="AO72" i="73" s="1"/>
  <c r="AS72" i="73" s="1"/>
  <c r="AW72" i="73" s="1"/>
  <c r="BE72" i="73" s="1"/>
  <c r="AY111" i="50" l="1"/>
  <c r="AU111" i="50"/>
  <c r="AD349" i="28"/>
  <c r="AN349" i="28" s="1"/>
  <c r="BD349" i="28" s="1"/>
  <c r="Z336" i="28"/>
  <c r="N336" i="28"/>
  <c r="N306" i="28"/>
  <c r="N307" i="28"/>
  <c r="Z306" i="28"/>
  <c r="Z307" i="28"/>
  <c r="N304" i="28"/>
  <c r="N305" i="28"/>
  <c r="Z304" i="28"/>
  <c r="Z305" i="28"/>
  <c r="AB306" i="28" l="1"/>
  <c r="AF306" i="28" s="1"/>
  <c r="AJ306" i="28" s="1"/>
  <c r="AP306" i="28" s="1"/>
  <c r="AT306" i="28" s="1"/>
  <c r="AX306" i="28" s="1"/>
  <c r="BF306" i="28" s="1"/>
  <c r="AB336" i="28"/>
  <c r="AF336" i="28" s="1"/>
  <c r="AJ336" i="28" s="1"/>
  <c r="AP336" i="28" s="1"/>
  <c r="AT336" i="28" s="1"/>
  <c r="AX336" i="28" s="1"/>
  <c r="BF336" i="28" s="1"/>
  <c r="AB307" i="28"/>
  <c r="AF307" i="28" s="1"/>
  <c r="AJ307" i="28" s="1"/>
  <c r="AP307" i="28" s="1"/>
  <c r="AT307" i="28" s="1"/>
  <c r="AX307" i="28" s="1"/>
  <c r="BF307" i="28" s="1"/>
  <c r="AB305" i="28"/>
  <c r="AF305" i="28" s="1"/>
  <c r="AJ305" i="28" s="1"/>
  <c r="AP305" i="28" s="1"/>
  <c r="AT305" i="28" s="1"/>
  <c r="AX305" i="28" s="1"/>
  <c r="BF305" i="28" s="1"/>
  <c r="AB304" i="28"/>
  <c r="AF304" i="28" s="1"/>
  <c r="AJ304" i="28" s="1"/>
  <c r="AP304" i="28" s="1"/>
  <c r="AT304" i="28" s="1"/>
  <c r="AX304" i="28" s="1"/>
  <c r="BF304" i="28" s="1"/>
  <c r="AF286" i="28" l="1"/>
  <c r="AJ286" i="28" s="1"/>
  <c r="AP286" i="28" s="1"/>
  <c r="AT286" i="28" s="1"/>
  <c r="AX286" i="28" s="1"/>
  <c r="BF286" i="28" s="1"/>
  <c r="AF253" i="28"/>
  <c r="AJ253" i="28" s="1"/>
  <c r="AP253" i="28" s="1"/>
  <c r="AT253" i="28" s="1"/>
  <c r="AX253" i="28" s="1"/>
  <c r="BF253" i="28" s="1"/>
  <c r="AF282" i="28"/>
  <c r="AJ282" i="28" s="1"/>
  <c r="AP282" i="28" s="1"/>
  <c r="AT282" i="28" s="1"/>
  <c r="AX282" i="28" s="1"/>
  <c r="BF282" i="28" s="1"/>
  <c r="Z275" i="28"/>
  <c r="N275" i="28"/>
  <c r="AF264" i="28"/>
  <c r="AJ264" i="28" s="1"/>
  <c r="AP264" i="28" s="1"/>
  <c r="AT264" i="28" s="1"/>
  <c r="AX264" i="28" s="1"/>
  <c r="BF264" i="28" s="1"/>
  <c r="Z112" i="28"/>
  <c r="N112" i="28"/>
  <c r="N152" i="28"/>
  <c r="Z152" i="28"/>
  <c r="N173" i="28"/>
  <c r="AB173" i="28" s="1"/>
  <c r="AF173" i="28" s="1"/>
  <c r="AJ173" i="28" s="1"/>
  <c r="AP173" i="28" s="1"/>
  <c r="AT173" i="28" s="1"/>
  <c r="AX173" i="28" s="1"/>
  <c r="BF173" i="28" s="1"/>
  <c r="AB112" i="28" l="1"/>
  <c r="AF112" i="28" s="1"/>
  <c r="AJ112" i="28" s="1"/>
  <c r="AP112" i="28" s="1"/>
  <c r="AT112" i="28" s="1"/>
  <c r="AX112" i="28" s="1"/>
  <c r="BF112" i="28" s="1"/>
  <c r="AB275" i="28"/>
  <c r="AF275" i="28" s="1"/>
  <c r="AJ275" i="28" s="1"/>
  <c r="AP275" i="28" s="1"/>
  <c r="AT275" i="28" s="1"/>
  <c r="AX275" i="28" s="1"/>
  <c r="BF275" i="28" s="1"/>
  <c r="AB152" i="28"/>
  <c r="AF152" i="28" s="1"/>
  <c r="AJ152" i="28" s="1"/>
  <c r="AP152" i="28" s="1"/>
  <c r="AT152" i="28" s="1"/>
  <c r="AX152" i="28" s="1"/>
  <c r="BF152" i="28" s="1"/>
  <c r="AD37" i="35"/>
  <c r="AN37" i="35" s="1"/>
  <c r="BD37" i="35" s="1"/>
  <c r="AH96" i="38"/>
  <c r="AH95" i="38"/>
  <c r="AH94" i="38"/>
  <c r="AH93" i="38"/>
  <c r="AG92" i="38"/>
  <c r="AH91" i="38"/>
  <c r="AG90" i="38"/>
  <c r="AH88" i="38"/>
  <c r="AH87" i="38"/>
  <c r="AH86" i="38"/>
  <c r="AH85" i="38"/>
  <c r="AG84" i="38"/>
  <c r="AH82" i="38"/>
  <c r="AH81" i="38"/>
  <c r="AH80" i="38"/>
  <c r="AH79" i="38"/>
  <c r="AH78" i="38"/>
  <c r="AH77" i="38"/>
  <c r="AH76" i="38"/>
  <c r="AH75" i="38"/>
  <c r="AH74" i="38"/>
  <c r="AH73" i="38"/>
  <c r="AH72" i="38"/>
  <c r="AH71" i="38"/>
  <c r="AH70" i="38"/>
  <c r="AH69" i="38"/>
  <c r="AG68" i="38"/>
  <c r="AH64" i="38"/>
  <c r="AH63" i="38"/>
  <c r="AG62" i="38"/>
  <c r="AH59" i="38"/>
  <c r="AH58" i="38"/>
  <c r="AH57" i="38"/>
  <c r="AH56" i="38"/>
  <c r="AG55" i="38"/>
  <c r="AG53" i="38"/>
  <c r="AH52" i="38"/>
  <c r="AG52" i="38"/>
  <c r="AG47" i="38"/>
  <c r="AQ47" i="38" s="1"/>
  <c r="AQ96" i="38" s="1"/>
  <c r="AG46" i="38"/>
  <c r="AQ46" i="38" s="1"/>
  <c r="AQ95" i="38" s="1"/>
  <c r="AG45" i="38"/>
  <c r="AQ45" i="38" s="1"/>
  <c r="AQ94" i="38" s="1"/>
  <c r="AG44" i="38"/>
  <c r="AQ44" i="38" s="1"/>
  <c r="AQ93" i="38" s="1"/>
  <c r="AH43" i="38"/>
  <c r="AR43" i="38" s="1"/>
  <c r="AG42" i="38"/>
  <c r="AH41" i="38"/>
  <c r="AG39" i="38"/>
  <c r="AQ39" i="38" s="1"/>
  <c r="AQ88" i="38" s="1"/>
  <c r="AG38" i="38"/>
  <c r="AQ38" i="38" s="1"/>
  <c r="AQ87" i="38" s="1"/>
  <c r="AG37" i="38"/>
  <c r="AQ37" i="38" s="1"/>
  <c r="AQ86" i="38" s="1"/>
  <c r="AG36" i="38"/>
  <c r="AQ36" i="38" s="1"/>
  <c r="AH35" i="38"/>
  <c r="AG33" i="38"/>
  <c r="AQ33" i="38" s="1"/>
  <c r="AQ82" i="38" s="1"/>
  <c r="AG32" i="38"/>
  <c r="AQ32" i="38" s="1"/>
  <c r="AQ81" i="38" s="1"/>
  <c r="AG31" i="38"/>
  <c r="AQ31" i="38" s="1"/>
  <c r="AQ80" i="38" s="1"/>
  <c r="AG30" i="38"/>
  <c r="AQ30" i="38" s="1"/>
  <c r="AQ79" i="38" s="1"/>
  <c r="AG29" i="38"/>
  <c r="AQ29" i="38" s="1"/>
  <c r="AQ78" i="38" s="1"/>
  <c r="AG28" i="38"/>
  <c r="AQ28" i="38" s="1"/>
  <c r="AQ77" i="38" s="1"/>
  <c r="AG27" i="38"/>
  <c r="AQ27" i="38" s="1"/>
  <c r="AQ76" i="38" s="1"/>
  <c r="AG26" i="38"/>
  <c r="AQ26" i="38" s="1"/>
  <c r="AQ75" i="38" s="1"/>
  <c r="AG25" i="38"/>
  <c r="AQ25" i="38" s="1"/>
  <c r="AQ74" i="38" s="1"/>
  <c r="AG24" i="38"/>
  <c r="AQ24" i="38" s="1"/>
  <c r="AQ73" i="38" s="1"/>
  <c r="AG23" i="38"/>
  <c r="AQ23" i="38" s="1"/>
  <c r="AG22" i="38"/>
  <c r="AQ22" i="38" s="1"/>
  <c r="AQ71" i="38" s="1"/>
  <c r="AG21" i="38"/>
  <c r="AQ21" i="38" s="1"/>
  <c r="AQ70" i="38" s="1"/>
  <c r="AG20" i="38"/>
  <c r="AQ20" i="38" s="1"/>
  <c r="AH19" i="38"/>
  <c r="AG15" i="38"/>
  <c r="AQ15" i="38" s="1"/>
  <c r="AQ64" i="38" s="1"/>
  <c r="AG14" i="38"/>
  <c r="AQ14" i="38" s="1"/>
  <c r="AQ63" i="38" s="1"/>
  <c r="AH13" i="38"/>
  <c r="AG11" i="38"/>
  <c r="AQ11" i="38" s="1"/>
  <c r="AQ60" i="38" s="1"/>
  <c r="AG10" i="38"/>
  <c r="AQ10" i="38" s="1"/>
  <c r="AQ59" i="38" s="1"/>
  <c r="AG9" i="38"/>
  <c r="AQ9" i="38" s="1"/>
  <c r="AQ58" i="38" s="1"/>
  <c r="AG8" i="38"/>
  <c r="AQ8" i="38" s="1"/>
  <c r="AQ57" i="38" s="1"/>
  <c r="AG7" i="38"/>
  <c r="AQ7" i="38" s="1"/>
  <c r="AQ56" i="38" s="1"/>
  <c r="AH6" i="38"/>
  <c r="AR92" i="38" l="1"/>
  <c r="BH43" i="38"/>
  <c r="BH92" i="38" s="1"/>
  <c r="AQ72" i="38"/>
  <c r="AM85" i="8"/>
  <c r="AG41" i="38"/>
  <c r="AQ42" i="38"/>
  <c r="AQ91" i="38" s="1"/>
  <c r="AH62" i="38"/>
  <c r="AR13" i="38"/>
  <c r="AG89" i="38"/>
  <c r="AR6" i="38"/>
  <c r="AH68" i="38"/>
  <c r="AR19" i="38"/>
  <c r="AH84" i="38"/>
  <c r="AR35" i="38"/>
  <c r="AG67" i="38"/>
  <c r="AH92" i="38"/>
  <c r="AQ69" i="38"/>
  <c r="AM186" i="6"/>
  <c r="AQ85" i="38"/>
  <c r="AM160" i="6"/>
  <c r="AH90" i="38"/>
  <c r="AR41" i="38"/>
  <c r="AD38" i="35"/>
  <c r="AN38" i="35" s="1"/>
  <c r="BD38" i="35" s="1"/>
  <c r="BD45" i="35" s="1"/>
  <c r="BD51" i="35" s="1"/>
  <c r="AH55" i="38"/>
  <c r="AG66" i="38"/>
  <c r="AG65" i="38"/>
  <c r="AG35" i="38"/>
  <c r="AQ35" i="38" s="1"/>
  <c r="AQ84" i="38" s="1"/>
  <c r="AG19" i="38"/>
  <c r="AQ19" i="38" s="1"/>
  <c r="AH40" i="38"/>
  <c r="AH18" i="38"/>
  <c r="AG6" i="38"/>
  <c r="AQ6" i="38" s="1"/>
  <c r="AH16" i="38"/>
  <c r="AG43" i="38"/>
  <c r="AQ43" i="38" s="1"/>
  <c r="AQ92" i="38" s="1"/>
  <c r="AG13" i="38"/>
  <c r="AQ13" i="38" s="1"/>
  <c r="AQ62" i="38" s="1"/>
  <c r="AQ55" i="38" l="1"/>
  <c r="BG6" i="38"/>
  <c r="BG55" i="38" s="1"/>
  <c r="AQ68" i="38"/>
  <c r="BG19" i="38"/>
  <c r="BG68" i="38" s="1"/>
  <c r="AR90" i="38"/>
  <c r="BH41" i="38"/>
  <c r="BH90" i="38" s="1"/>
  <c r="AR84" i="38"/>
  <c r="BH35" i="38"/>
  <c r="BH84" i="38" s="1"/>
  <c r="AR68" i="38"/>
  <c r="BH68" i="38"/>
  <c r="AR62" i="38"/>
  <c r="BH62" i="38"/>
  <c r="AR55" i="38"/>
  <c r="BH55" i="38"/>
  <c r="AH67" i="38"/>
  <c r="AR18" i="38"/>
  <c r="BH67" i="38" s="1"/>
  <c r="AQ41" i="38"/>
  <c r="AH65" i="38"/>
  <c r="AR16" i="38"/>
  <c r="AH89" i="38"/>
  <c r="AR40" i="38"/>
  <c r="AG18" i="38"/>
  <c r="AQ18" i="38" s="1"/>
  <c r="BG18" i="38" s="1"/>
  <c r="BG67" i="38" s="1"/>
  <c r="AH17" i="38"/>
  <c r="AR17" i="38" s="1"/>
  <c r="AG16" i="38"/>
  <c r="AQ16" i="38" s="1"/>
  <c r="AG40" i="38"/>
  <c r="AQ40" i="38" s="1"/>
  <c r="W51" i="45"/>
  <c r="W39" i="45"/>
  <c r="W40" i="45"/>
  <c r="AA51" i="45"/>
  <c r="AA39" i="45"/>
  <c r="AA40" i="45"/>
  <c r="W34" i="45"/>
  <c r="AA34" i="45"/>
  <c r="AC34" i="45" s="1"/>
  <c r="W31" i="45"/>
  <c r="AA31" i="45"/>
  <c r="AC31" i="45" s="1"/>
  <c r="W24" i="45"/>
  <c r="W25" i="45"/>
  <c r="AA25" i="45"/>
  <c r="AC25" i="45" s="1"/>
  <c r="AG25" i="45"/>
  <c r="AK25" i="45" s="1"/>
  <c r="AQ25" i="45" s="1"/>
  <c r="AU25" i="45" s="1"/>
  <c r="AY25" i="45" s="1"/>
  <c r="BG25" i="45" s="1"/>
  <c r="W14" i="45"/>
  <c r="AA14" i="45"/>
  <c r="AC14" i="45" s="1"/>
  <c r="AF17" i="61"/>
  <c r="AD17" i="61"/>
  <c r="M10" i="61"/>
  <c r="U10" i="61"/>
  <c r="W10" i="61" s="1"/>
  <c r="Q10" i="61"/>
  <c r="AF89" i="50"/>
  <c r="AF90" i="50" s="1"/>
  <c r="AD89" i="50"/>
  <c r="AD90" i="50" s="1"/>
  <c r="AE88" i="50"/>
  <c r="AE87" i="50"/>
  <c r="G10" i="61"/>
  <c r="AE105" i="45"/>
  <c r="AO105" i="45" s="1"/>
  <c r="AE104" i="45"/>
  <c r="AE102" i="45"/>
  <c r="AE96" i="45"/>
  <c r="AE97" i="45" s="1"/>
  <c r="AE91" i="45"/>
  <c r="AO91" i="45" s="1"/>
  <c r="AN91" i="45"/>
  <c r="BD91" i="45" s="1"/>
  <c r="AE90" i="45"/>
  <c r="AO90" i="45" s="1"/>
  <c r="AD90" i="45"/>
  <c r="AN90" i="45" s="1"/>
  <c r="AE89" i="45"/>
  <c r="AO89" i="45" s="1"/>
  <c r="AD89" i="45"/>
  <c r="AN89" i="45" s="1"/>
  <c r="AE87" i="45"/>
  <c r="AD87" i="45"/>
  <c r="AN87" i="45" s="1"/>
  <c r="AD86" i="45"/>
  <c r="AN86" i="45" s="1"/>
  <c r="BD86" i="45" s="1"/>
  <c r="AE85" i="45"/>
  <c r="AD85" i="45"/>
  <c r="AE83" i="45"/>
  <c r="AD83" i="45"/>
  <c r="AE80" i="45"/>
  <c r="AD80" i="45"/>
  <c r="AE73" i="45"/>
  <c r="AE75" i="45" s="1"/>
  <c r="AE74" i="45"/>
  <c r="AD83" i="11"/>
  <c r="AD81" i="11"/>
  <c r="AD75" i="11"/>
  <c r="AD76" i="11" s="1"/>
  <c r="AD70" i="11"/>
  <c r="AN70" i="11" s="1"/>
  <c r="BD70" i="11" s="1"/>
  <c r="AC70" i="11"/>
  <c r="AM70" i="11" s="1"/>
  <c r="BC70" i="11" s="1"/>
  <c r="AD69" i="11"/>
  <c r="AN69" i="11" s="1"/>
  <c r="BD69" i="11" s="1"/>
  <c r="AC69" i="11"/>
  <c r="AM69" i="11" s="1"/>
  <c r="BC69" i="11" s="1"/>
  <c r="AD68" i="11"/>
  <c r="AN68" i="11" s="1"/>
  <c r="BD68" i="11" s="1"/>
  <c r="AC68" i="11"/>
  <c r="AM68" i="11" s="1"/>
  <c r="BC68" i="11" s="1"/>
  <c r="AD66" i="11"/>
  <c r="AN66" i="11" s="1"/>
  <c r="AN67" i="11" s="1"/>
  <c r="AC66" i="11"/>
  <c r="AC65" i="11"/>
  <c r="AM65" i="11" s="1"/>
  <c r="AD64" i="11"/>
  <c r="AC64" i="11"/>
  <c r="AD62" i="11"/>
  <c r="AC62" i="11"/>
  <c r="AD59" i="11"/>
  <c r="AN59" i="11" s="1"/>
  <c r="AN60" i="11" s="1"/>
  <c r="AC59" i="11"/>
  <c r="AD55" i="11"/>
  <c r="AD53" i="11"/>
  <c r="AD85" i="11" s="1"/>
  <c r="AD52" i="11"/>
  <c r="AD54" i="11" s="1"/>
  <c r="AD51" i="11"/>
  <c r="AD84" i="11" s="1"/>
  <c r="AO110" i="45" l="1"/>
  <c r="BE105" i="45"/>
  <c r="BE110" i="45" s="1"/>
  <c r="AC39" i="45"/>
  <c r="AG39" i="45" s="1"/>
  <c r="AK39" i="45" s="1"/>
  <c r="AQ39" i="45" s="1"/>
  <c r="AU39" i="45" s="1"/>
  <c r="AY39" i="45" s="1"/>
  <c r="BG39" i="45" s="1"/>
  <c r="AC51" i="45"/>
  <c r="AG51" i="45" s="1"/>
  <c r="AK51" i="45" s="1"/>
  <c r="AQ51" i="45" s="1"/>
  <c r="AU51" i="45" s="1"/>
  <c r="BG51" i="45" s="1"/>
  <c r="AN88" i="45"/>
  <c r="BD87" i="45"/>
  <c r="BD88" i="45" s="1"/>
  <c r="AC40" i="45"/>
  <c r="AG40" i="45" s="1"/>
  <c r="AK40" i="45" s="1"/>
  <c r="AQ40" i="45" s="1"/>
  <c r="AU40" i="45" s="1"/>
  <c r="AY40" i="45" s="1"/>
  <c r="BG40" i="45" s="1"/>
  <c r="AQ89" i="38"/>
  <c r="BG40" i="38"/>
  <c r="BG89" i="38" s="1"/>
  <c r="AQ65" i="38"/>
  <c r="BG16" i="38"/>
  <c r="BG65" i="38" s="1"/>
  <c r="AQ90" i="38"/>
  <c r="BG41" i="38"/>
  <c r="BG90" i="38" s="1"/>
  <c r="AR89" i="38"/>
  <c r="BH40" i="38"/>
  <c r="BH89" i="38" s="1"/>
  <c r="AR66" i="38"/>
  <c r="BH66" i="38"/>
  <c r="AR65" i="38"/>
  <c r="BH65" i="38"/>
  <c r="AG34" i="45"/>
  <c r="AK34" i="45" s="1"/>
  <c r="AQ34" i="45" s="1"/>
  <c r="AU34" i="45" s="1"/>
  <c r="AY34" i="45" s="1"/>
  <c r="BG34" i="45" s="1"/>
  <c r="AQ67" i="38"/>
  <c r="AR67" i="38"/>
  <c r="AN26" i="36"/>
  <c r="AN25" i="36"/>
  <c r="AD81" i="45"/>
  <c r="AN80" i="45"/>
  <c r="AN81" i="45" s="1"/>
  <c r="AE81" i="45"/>
  <c r="AO80" i="45"/>
  <c r="AO81" i="45" s="1"/>
  <c r="AE88" i="45"/>
  <c r="AO87" i="45"/>
  <c r="AD60" i="11"/>
  <c r="AC60" i="11"/>
  <c r="AM59" i="11"/>
  <c r="AM60" i="11" s="1"/>
  <c r="AC67" i="11"/>
  <c r="AM66" i="11"/>
  <c r="AM67" i="11" s="1"/>
  <c r="AG31" i="45"/>
  <c r="AK31" i="45" s="1"/>
  <c r="AQ31" i="45" s="1"/>
  <c r="AU31" i="45" s="1"/>
  <c r="AY31" i="45" s="1"/>
  <c r="BG31" i="45" s="1"/>
  <c r="Y10" i="61"/>
  <c r="AA10" i="61" s="1"/>
  <c r="AH66" i="38"/>
  <c r="AG17" i="38"/>
  <c r="AQ17" i="38" s="1"/>
  <c r="AG14" i="45"/>
  <c r="AK14" i="45" s="1"/>
  <c r="AQ14" i="45" s="1"/>
  <c r="AU14" i="45" s="1"/>
  <c r="AY14" i="45" s="1"/>
  <c r="BG14" i="45" s="1"/>
  <c r="AD88" i="45"/>
  <c r="AE112" i="45"/>
  <c r="AD90" i="11"/>
  <c r="I10" i="61"/>
  <c r="K10" i="61" s="1"/>
  <c r="AD128" i="10"/>
  <c r="AD129" i="10" s="1"/>
  <c r="AE103" i="45"/>
  <c r="AE98" i="45"/>
  <c r="AE107" i="45"/>
  <c r="AE76" i="45"/>
  <c r="AE77" i="45" s="1"/>
  <c r="AE92" i="45"/>
  <c r="AE72" i="45"/>
  <c r="AE106" i="45" s="1"/>
  <c r="AD86" i="11"/>
  <c r="AD77" i="11"/>
  <c r="AD71" i="11"/>
  <c r="AD56" i="11"/>
  <c r="AD67" i="11"/>
  <c r="AD82" i="11"/>
  <c r="AD88" i="11" s="1"/>
  <c r="AO88" i="45" l="1"/>
  <c r="BE87" i="45"/>
  <c r="BE88" i="45" s="1"/>
  <c r="AQ66" i="38"/>
  <c r="BG17" i="38"/>
  <c r="BG66" i="38" s="1"/>
  <c r="BG13" i="50"/>
  <c r="O10" i="61"/>
  <c r="AC10" i="61" s="1"/>
  <c r="AE108" i="45"/>
  <c r="AE110" i="45"/>
  <c r="AG10" i="61" l="1"/>
  <c r="AK10" i="61" s="1"/>
  <c r="AQ10" i="61" s="1"/>
  <c r="AU10" i="61" s="1"/>
  <c r="AY10" i="61" s="1"/>
  <c r="BG10" i="61" s="1"/>
  <c r="AD155" i="10" l="1"/>
  <c r="AD153" i="10"/>
  <c r="AD147" i="10"/>
  <c r="AD148" i="10" s="1"/>
  <c r="AD142" i="10"/>
  <c r="AN142" i="10" s="1"/>
  <c r="AM142" i="10"/>
  <c r="AD141" i="10"/>
  <c r="AN141" i="10" s="1"/>
  <c r="AC141" i="10"/>
  <c r="AM141" i="10" s="1"/>
  <c r="AD140" i="10"/>
  <c r="AN140" i="10" s="1"/>
  <c r="AC140" i="10"/>
  <c r="AM140" i="10" s="1"/>
  <c r="AD138" i="10"/>
  <c r="AC138" i="10"/>
  <c r="AC137" i="10"/>
  <c r="AM137" i="10" s="1"/>
  <c r="BC137" i="10" s="1"/>
  <c r="AD136" i="10"/>
  <c r="AC136" i="10"/>
  <c r="AD134" i="10"/>
  <c r="AC134" i="10"/>
  <c r="AD131" i="10"/>
  <c r="AC131" i="10"/>
  <c r="AD132" i="10" l="1"/>
  <c r="AN131" i="10"/>
  <c r="AC132" i="10"/>
  <c r="AM131" i="10"/>
  <c r="AC139" i="10"/>
  <c r="AM138" i="10"/>
  <c r="AD139" i="10"/>
  <c r="AN138" i="10"/>
  <c r="AD154" i="10"/>
  <c r="AD143" i="10"/>
  <c r="AM132" i="10" l="1"/>
  <c r="BC131" i="10"/>
  <c r="BC132" i="10" s="1"/>
  <c r="AN132" i="10"/>
  <c r="BD131" i="10"/>
  <c r="BD132" i="10" s="1"/>
  <c r="AM139" i="10"/>
  <c r="BC138" i="10"/>
  <c r="BC139" i="10" s="1"/>
  <c r="AN139" i="10"/>
  <c r="BD138" i="10"/>
  <c r="BD139" i="10" s="1"/>
  <c r="AD149" i="10"/>
  <c r="AD157" i="10"/>
  <c r="AD156" i="10"/>
  <c r="AD158" i="10" l="1"/>
  <c r="AD160" i="10"/>
  <c r="AE54" i="36" l="1"/>
  <c r="AE53" i="36"/>
  <c r="AE51" i="36"/>
  <c r="AE49" i="36"/>
  <c r="AE48" i="36"/>
  <c r="AE29" i="36"/>
  <c r="AD7" i="15" s="1"/>
  <c r="AE28" i="36"/>
  <c r="AD6" i="15" s="1"/>
  <c r="AE27" i="36"/>
  <c r="AD5" i="15" s="1"/>
  <c r="AE23" i="36"/>
  <c r="AE22" i="36"/>
  <c r="AE21" i="36"/>
  <c r="AE17" i="36"/>
  <c r="AE16" i="36"/>
  <c r="AE9" i="36"/>
  <c r="AE8" i="36"/>
  <c r="AE7" i="36"/>
  <c r="AE5" i="36"/>
  <c r="AD56" i="8"/>
  <c r="AN56" i="8" s="1"/>
  <c r="AD66" i="8"/>
  <c r="AD64" i="8"/>
  <c r="AN64" i="8" s="1"/>
  <c r="BD64" i="8" s="1"/>
  <c r="AD62" i="8"/>
  <c r="AN52" i="8" l="1"/>
  <c r="BD56" i="8"/>
  <c r="AN62" i="8"/>
  <c r="AN66" i="8"/>
  <c r="AE50" i="36"/>
  <c r="AD95" i="9"/>
  <c r="AN95" i="9" s="1"/>
  <c r="AN96" i="9" l="1"/>
  <c r="BD95" i="9"/>
  <c r="BD96" i="9" s="1"/>
  <c r="AN55" i="8"/>
  <c r="BD66" i="8"/>
  <c r="AN53" i="8"/>
  <c r="BD62" i="8"/>
  <c r="BD52" i="8"/>
  <c r="AA41" i="72"/>
  <c r="AA33" i="72"/>
  <c r="AA23" i="72"/>
  <c r="AA17" i="72"/>
  <c r="BD53" i="8" l="1"/>
  <c r="BD55" i="8"/>
  <c r="AA43" i="72"/>
  <c r="AC22" i="9"/>
  <c r="AM22" i="9" s="1"/>
  <c r="BC22" i="9" s="1"/>
  <c r="AC47" i="9"/>
  <c r="AM47" i="9" s="1"/>
  <c r="BC47" i="9" s="1"/>
  <c r="AC104" i="9"/>
  <c r="AC102" i="9"/>
  <c r="AC101" i="9"/>
  <c r="AM101" i="9" s="1"/>
  <c r="BC101" i="9" s="1"/>
  <c r="AD99" i="9"/>
  <c r="AC99" i="9"/>
  <c r="AM99" i="9" s="1"/>
  <c r="BC100" i="9" s="1"/>
  <c r="AD98" i="9"/>
  <c r="AN98" i="9" s="1"/>
  <c r="BD98" i="9" s="1"/>
  <c r="AC98" i="9"/>
  <c r="AM98" i="9" s="1"/>
  <c r="BC98" i="9" s="1"/>
  <c r="AD97" i="9"/>
  <c r="AN97" i="9" s="1"/>
  <c r="BD97" i="9" s="1"/>
  <c r="AC97" i="9"/>
  <c r="AM97" i="9" s="1"/>
  <c r="BC97" i="9" s="1"/>
  <c r="AD93" i="9"/>
  <c r="AC78" i="9"/>
  <c r="AC76" i="9"/>
  <c r="AC75" i="9"/>
  <c r="AC73" i="9"/>
  <c r="AC72" i="9"/>
  <c r="AD60" i="9"/>
  <c r="AD57" i="9"/>
  <c r="AN57" i="9" s="1"/>
  <c r="AN74" i="9" s="1"/>
  <c r="AC53" i="9"/>
  <c r="AC52" i="9"/>
  <c r="AC51" i="9"/>
  <c r="AM51" i="9" s="1"/>
  <c r="BC51" i="9" s="1"/>
  <c r="AD46" i="9"/>
  <c r="AD36" i="9"/>
  <c r="AE117" i="50" s="1"/>
  <c r="AE118" i="50" s="1"/>
  <c r="AD35" i="9"/>
  <c r="AD34" i="9"/>
  <c r="AD31" i="9"/>
  <c r="AD25" i="9"/>
  <c r="AC24" i="9"/>
  <c r="AM24" i="9" s="1"/>
  <c r="BC24" i="9" s="1"/>
  <c r="AD19" i="9"/>
  <c r="AN19" i="9" s="1"/>
  <c r="AD10" i="9"/>
  <c r="AD5" i="9"/>
  <c r="AC22" i="39"/>
  <c r="AM22" i="39" s="1"/>
  <c r="BC22" i="39" s="1"/>
  <c r="AC44" i="39"/>
  <c r="AM44" i="39" s="1"/>
  <c r="BC44" i="39" s="1"/>
  <c r="AC49" i="39"/>
  <c r="AM49" i="39" s="1"/>
  <c r="BC49" i="39" s="1"/>
  <c r="AN90" i="9" l="1"/>
  <c r="AN91" i="9" s="1"/>
  <c r="BD19" i="9"/>
  <c r="BD90" i="9" s="1"/>
  <c r="BD91" i="9" s="1"/>
  <c r="BC53" i="9"/>
  <c r="BC25" i="9"/>
  <c r="BC88" i="9" s="1"/>
  <c r="AC77" i="9"/>
  <c r="AN60" i="9"/>
  <c r="AM53" i="9"/>
  <c r="AM25" i="9"/>
  <c r="AM88" i="9" s="1"/>
  <c r="AC74" i="9"/>
  <c r="AN102" i="9"/>
  <c r="BD102" i="9" s="1"/>
  <c r="AN104" i="9"/>
  <c r="AN99" i="9"/>
  <c r="AD96" i="9"/>
  <c r="AD33" i="22"/>
  <c r="AC125" i="26"/>
  <c r="AD62" i="9"/>
  <c r="AD89" i="9"/>
  <c r="AD94" i="9"/>
  <c r="AC18" i="15" s="1"/>
  <c r="AD90" i="9"/>
  <c r="AD100" i="9"/>
  <c r="AD37" i="9"/>
  <c r="AD48" i="9"/>
  <c r="AD47" i="9"/>
  <c r="AN47" i="9" s="1"/>
  <c r="BD47" i="9" s="1"/>
  <c r="AC25" i="9"/>
  <c r="AC88" i="9" s="1"/>
  <c r="AD14" i="9"/>
  <c r="BC52" i="9" l="1"/>
  <c r="AN77" i="9"/>
  <c r="BD60" i="9"/>
  <c r="BD77" i="9" s="1"/>
  <c r="AQ52" i="59"/>
  <c r="BD104" i="9"/>
  <c r="BG52" i="59" s="1"/>
  <c r="AN100" i="9"/>
  <c r="BD100" i="9"/>
  <c r="AM52" i="9"/>
  <c r="AP51" i="59" s="1"/>
  <c r="AN14" i="9"/>
  <c r="BD14" i="9" s="1"/>
  <c r="AN62" i="9"/>
  <c r="AN48" i="9"/>
  <c r="AD91" i="9"/>
  <c r="AD49" i="9"/>
  <c r="AN79" i="9" l="1"/>
  <c r="BD62" i="9"/>
  <c r="BD79" i="9" s="1"/>
  <c r="AN49" i="9"/>
  <c r="AN52" i="9" s="1"/>
  <c r="AQ51" i="59" s="1"/>
  <c r="BD48" i="9"/>
  <c r="BD49" i="9" s="1"/>
  <c r="BC7" i="9"/>
  <c r="BF51" i="59"/>
  <c r="BC123" i="26"/>
  <c r="AN80" i="9"/>
  <c r="AN87" i="9"/>
  <c r="AQ54" i="59" s="1"/>
  <c r="AN85" i="9"/>
  <c r="AN81" i="9"/>
  <c r="AM123" i="26"/>
  <c r="AD80" i="9"/>
  <c r="AD72" i="9"/>
  <c r="AD73" i="9"/>
  <c r="AD82" i="9"/>
  <c r="AD52" i="9"/>
  <c r="AD53" i="9"/>
  <c r="AD87" i="9"/>
  <c r="AD83" i="9"/>
  <c r="AD85" i="9"/>
  <c r="AD81" i="9"/>
  <c r="AD78" i="9"/>
  <c r="AD76" i="9"/>
  <c r="AD86" i="9"/>
  <c r="AD75" i="9"/>
  <c r="AD84" i="9"/>
  <c r="AN83" i="9" l="1"/>
  <c r="AN82" i="9"/>
  <c r="AQ55" i="59" s="1"/>
  <c r="AN86" i="9"/>
  <c r="AN53" i="9"/>
  <c r="AN84" i="9"/>
  <c r="BD53" i="9"/>
  <c r="BD52" i="9"/>
  <c r="BG51" i="59" s="1"/>
  <c r="BD83" i="9"/>
  <c r="BD84" i="9"/>
  <c r="BD72" i="9"/>
  <c r="BD85" i="9"/>
  <c r="BD87" i="9"/>
  <c r="BG54" i="59" s="1"/>
  <c r="BD81" i="9"/>
  <c r="BD73" i="9"/>
  <c r="BD75" i="9"/>
  <c r="BD86" i="9"/>
  <c r="BD80" i="9"/>
  <c r="BD82" i="9"/>
  <c r="BG55" i="59" s="1"/>
  <c r="BD74" i="9"/>
  <c r="AD77" i="9"/>
  <c r="AD74" i="9"/>
  <c r="AD79" i="9" l="1"/>
  <c r="AF87" i="8" l="1"/>
  <c r="AD20" i="8"/>
  <c r="AN20" i="8" s="1"/>
  <c r="AD129" i="8"/>
  <c r="AD131" i="8" s="1"/>
  <c r="AD125" i="8"/>
  <c r="AD126" i="8" s="1"/>
  <c r="AD88" i="8"/>
  <c r="AN88" i="8" s="1"/>
  <c r="BD88" i="8" s="1"/>
  <c r="AD85" i="8"/>
  <c r="AN86" i="8" s="1"/>
  <c r="AC85" i="8"/>
  <c r="AD83" i="8"/>
  <c r="AC83" i="8"/>
  <c r="AD82" i="8"/>
  <c r="AN82" i="8" s="1"/>
  <c r="AC82" i="8"/>
  <c r="AM82" i="8" s="1"/>
  <c r="AC81" i="8"/>
  <c r="AD80" i="8"/>
  <c r="AC78" i="8"/>
  <c r="AC77" i="8"/>
  <c r="AD76" i="8"/>
  <c r="AC76" i="8"/>
  <c r="AE75" i="8"/>
  <c r="AC75" i="8"/>
  <c r="AM75" i="8" s="1"/>
  <c r="AP42" i="59" s="1"/>
  <c r="AC73" i="8"/>
  <c r="AC72" i="8"/>
  <c r="AE71" i="8"/>
  <c r="AC71" i="8"/>
  <c r="AC70" i="8"/>
  <c r="AC69" i="8"/>
  <c r="AD67" i="8"/>
  <c r="AN67" i="8" s="1"/>
  <c r="AD65" i="8"/>
  <c r="AD59" i="8"/>
  <c r="AN59" i="8" s="1"/>
  <c r="AD57" i="8"/>
  <c r="AN57" i="8" s="1"/>
  <c r="BD57" i="8" s="1"/>
  <c r="AE50" i="8"/>
  <c r="AC50" i="8"/>
  <c r="AD48" i="8"/>
  <c r="AC48" i="8"/>
  <c r="AD46" i="8"/>
  <c r="AD45" i="8"/>
  <c r="AC45" i="8"/>
  <c r="AD44" i="8"/>
  <c r="AC44" i="8"/>
  <c r="AD43" i="8"/>
  <c r="AC43" i="8"/>
  <c r="AD42" i="8"/>
  <c r="AC42" i="8"/>
  <c r="AD40" i="8"/>
  <c r="AC40" i="8"/>
  <c r="AD39" i="8"/>
  <c r="AC39" i="8"/>
  <c r="AD38" i="8"/>
  <c r="AC38" i="8"/>
  <c r="AC41" i="8" s="1"/>
  <c r="AD25" i="8"/>
  <c r="AD16" i="8"/>
  <c r="AN16" i="8" s="1"/>
  <c r="BD16" i="8" s="1"/>
  <c r="AC16" i="8"/>
  <c r="AM16" i="8" s="1"/>
  <c r="AD14" i="8"/>
  <c r="AN14" i="8" s="1"/>
  <c r="AC14" i="8"/>
  <c r="AM14" i="8" s="1"/>
  <c r="AD13" i="8"/>
  <c r="AN13" i="8" s="1"/>
  <c r="AC13" i="8"/>
  <c r="AM13" i="8" s="1"/>
  <c r="AD12" i="8"/>
  <c r="AN12" i="8" s="1"/>
  <c r="AC12" i="8"/>
  <c r="AM12" i="8" s="1"/>
  <c r="AN72" i="8" l="1"/>
  <c r="BD67" i="8"/>
  <c r="BD72" i="8" s="1"/>
  <c r="AN15" i="8"/>
  <c r="AM15" i="8"/>
  <c r="AC15" i="8"/>
  <c r="AD86" i="8"/>
  <c r="AD49" i="8"/>
  <c r="AD41" i="8"/>
  <c r="AD15" i="8"/>
  <c r="AD130" i="8"/>
  <c r="AD72" i="8"/>
  <c r="AD35" i="8"/>
  <c r="AN35" i="8" s="1"/>
  <c r="BD35" i="8" s="1"/>
  <c r="AD61" i="8"/>
  <c r="AN61" i="8" s="1"/>
  <c r="AD71" i="8"/>
  <c r="AD36" i="8"/>
  <c r="AN36" i="8" s="1"/>
  <c r="BD36" i="8" s="1"/>
  <c r="AD60" i="8"/>
  <c r="AN60" i="8" s="1"/>
  <c r="BD60" i="8" s="1"/>
  <c r="AD63" i="8"/>
  <c r="AE104" i="7"/>
  <c r="AC104" i="7"/>
  <c r="AE103" i="7"/>
  <c r="AC103" i="7"/>
  <c r="AE102" i="7"/>
  <c r="AC102" i="7"/>
  <c r="AE101" i="7"/>
  <c r="AC101" i="7"/>
  <c r="AE100" i="7"/>
  <c r="AC100" i="7"/>
  <c r="AE99" i="7"/>
  <c r="AC99" i="7"/>
  <c r="AE98" i="7"/>
  <c r="AC98" i="7"/>
  <c r="AE97" i="7"/>
  <c r="AC97" i="7"/>
  <c r="AE94" i="7"/>
  <c r="AC94" i="7"/>
  <c r="AE85" i="7"/>
  <c r="AC85" i="7"/>
  <c r="AE79" i="7"/>
  <c r="AC79" i="7"/>
  <c r="AD78" i="7"/>
  <c r="AC78" i="7"/>
  <c r="AD76" i="7"/>
  <c r="AN76" i="7" s="1"/>
  <c r="AC76" i="7"/>
  <c r="AD69" i="7"/>
  <c r="AC69" i="7"/>
  <c r="AD65" i="7"/>
  <c r="AC65" i="7"/>
  <c r="AD61" i="7"/>
  <c r="AC61" i="7"/>
  <c r="AC21" i="7" s="1"/>
  <c r="AC81" i="7" s="1"/>
  <c r="AE56" i="7"/>
  <c r="AC56" i="7"/>
  <c r="AE55" i="7"/>
  <c r="AC55" i="7"/>
  <c r="AE54" i="7"/>
  <c r="AC54" i="7"/>
  <c r="AE53" i="7"/>
  <c r="AC53" i="7"/>
  <c r="AE52" i="7"/>
  <c r="AC52" i="7"/>
  <c r="AE51" i="7"/>
  <c r="AE90" i="7" s="1"/>
  <c r="AC51" i="7"/>
  <c r="AC90" i="7" s="1"/>
  <c r="AE50" i="7"/>
  <c r="AC50" i="7"/>
  <c r="AE49" i="7"/>
  <c r="AC49" i="7"/>
  <c r="AD26" i="7"/>
  <c r="AD86" i="7" s="1"/>
  <c r="AD19" i="7"/>
  <c r="AC19" i="7"/>
  <c r="AC37" i="7" s="1"/>
  <c r="AD1" i="7"/>
  <c r="AN1" i="7" s="1"/>
  <c r="AN74" i="7" s="1"/>
  <c r="AC1" i="7"/>
  <c r="AM1" i="7" s="1"/>
  <c r="AM74" i="7" s="1"/>
  <c r="AC162" i="6"/>
  <c r="AE192" i="6"/>
  <c r="AC192" i="6"/>
  <c r="AE191" i="6"/>
  <c r="AC191" i="6"/>
  <c r="AE190" i="6"/>
  <c r="AC190" i="6"/>
  <c r="AE188" i="6"/>
  <c r="AC188" i="6"/>
  <c r="AD186" i="6"/>
  <c r="AC186" i="6"/>
  <c r="AD185" i="6"/>
  <c r="AC185" i="6"/>
  <c r="AD184" i="6"/>
  <c r="AC184" i="6"/>
  <c r="AE183" i="6"/>
  <c r="AC183" i="6"/>
  <c r="AE182" i="6"/>
  <c r="AC182" i="6"/>
  <c r="AE179" i="6"/>
  <c r="AC179" i="6"/>
  <c r="AE178" i="6"/>
  <c r="AC178" i="6"/>
  <c r="AE177" i="6"/>
  <c r="AC177" i="6"/>
  <c r="AE176" i="6"/>
  <c r="AC176" i="6"/>
  <c r="AE175" i="6"/>
  <c r="AC175" i="6"/>
  <c r="AE174" i="6"/>
  <c r="AC174" i="6"/>
  <c r="AE172" i="6"/>
  <c r="AC172" i="6"/>
  <c r="AE171" i="6"/>
  <c r="AC171" i="6"/>
  <c r="AE170" i="6"/>
  <c r="AC170" i="6"/>
  <c r="AE162" i="6"/>
  <c r="AD160" i="6"/>
  <c r="AC160" i="6"/>
  <c r="AD159" i="6"/>
  <c r="AC159" i="6"/>
  <c r="AE158" i="6"/>
  <c r="AC158" i="6"/>
  <c r="AE157" i="6"/>
  <c r="AC157" i="6"/>
  <c r="AE154" i="6"/>
  <c r="AC154" i="6"/>
  <c r="AE153" i="6"/>
  <c r="AC153" i="6"/>
  <c r="AE152" i="6"/>
  <c r="AC152" i="6"/>
  <c r="AE151" i="6"/>
  <c r="AC151" i="6"/>
  <c r="AE150" i="6"/>
  <c r="AC150" i="6"/>
  <c r="AE149" i="6"/>
  <c r="AC149" i="6"/>
  <c r="AE147" i="6"/>
  <c r="AC147" i="6"/>
  <c r="AE146" i="6"/>
  <c r="AC146" i="6"/>
  <c r="AE145" i="6"/>
  <c r="AC145" i="6"/>
  <c r="AD135" i="6"/>
  <c r="AD134" i="6"/>
  <c r="AN134" i="6" s="1"/>
  <c r="AD133" i="6"/>
  <c r="AN133" i="6" s="1"/>
  <c r="AD130" i="6"/>
  <c r="AN130" i="6" s="1"/>
  <c r="AC130" i="6"/>
  <c r="AM130" i="6" s="1"/>
  <c r="AD129" i="6"/>
  <c r="AN129" i="6" s="1"/>
  <c r="AC129" i="6"/>
  <c r="AD128" i="6"/>
  <c r="AC128" i="6"/>
  <c r="AM128" i="6" s="1"/>
  <c r="AD127" i="6"/>
  <c r="AC127" i="6"/>
  <c r="AM127" i="6" s="1"/>
  <c r="AD125" i="6"/>
  <c r="AM125" i="6"/>
  <c r="BC125" i="6" s="1"/>
  <c r="AD124" i="6"/>
  <c r="AM124" i="6"/>
  <c r="BC124" i="6" s="1"/>
  <c r="AD123" i="6"/>
  <c r="AN123" i="6" s="1"/>
  <c r="AD122" i="6"/>
  <c r="AD121" i="6"/>
  <c r="AN121" i="6" s="1"/>
  <c r="AD114" i="6"/>
  <c r="AC114" i="6"/>
  <c r="AD109" i="6"/>
  <c r="AC109" i="6"/>
  <c r="AD97" i="6"/>
  <c r="AC97" i="6"/>
  <c r="AD92" i="6"/>
  <c r="AC92" i="6"/>
  <c r="AC83" i="6"/>
  <c r="AC82" i="6"/>
  <c r="AM82" i="6" s="1"/>
  <c r="AE81" i="6"/>
  <c r="AC81" i="6"/>
  <c r="AE79" i="6"/>
  <c r="AC79" i="6"/>
  <c r="AE78" i="6"/>
  <c r="AC78" i="6"/>
  <c r="AE76" i="6"/>
  <c r="AC76" i="6"/>
  <c r="AE75" i="6"/>
  <c r="AC75" i="6"/>
  <c r="AD73" i="6"/>
  <c r="AC73" i="6"/>
  <c r="AD65" i="6"/>
  <c r="AC65" i="6"/>
  <c r="AD62" i="6"/>
  <c r="AC62" i="6"/>
  <c r="AD52" i="6"/>
  <c r="AD51" i="6"/>
  <c r="AD50" i="6"/>
  <c r="AD47" i="6"/>
  <c r="AD44" i="6"/>
  <c r="AD41" i="6"/>
  <c r="AE36" i="6"/>
  <c r="AC36" i="6"/>
  <c r="AE35" i="6"/>
  <c r="AC35" i="6"/>
  <c r="AE34" i="6"/>
  <c r="AC34" i="6"/>
  <c r="AE33" i="6"/>
  <c r="AC33" i="6"/>
  <c r="AD29" i="6"/>
  <c r="AN29" i="6" s="1"/>
  <c r="BD29" i="6" s="1"/>
  <c r="AD28" i="6"/>
  <c r="AD25" i="6"/>
  <c r="AD22" i="6"/>
  <c r="AC14" i="6"/>
  <c r="AC13" i="6"/>
  <c r="AE9" i="6"/>
  <c r="AC9" i="6"/>
  <c r="AC12" i="6" s="1"/>
  <c r="AE8" i="6"/>
  <c r="AC8" i="6"/>
  <c r="AC11" i="6" s="1"/>
  <c r="AC7" i="6"/>
  <c r="AC73" i="77"/>
  <c r="AC71" i="77"/>
  <c r="AC58" i="77"/>
  <c r="AB58" i="77"/>
  <c r="AC43" i="77"/>
  <c r="AB43" i="77"/>
  <c r="AC33" i="77"/>
  <c r="AC106" i="77" s="1"/>
  <c r="AB33" i="77"/>
  <c r="AC29" i="77"/>
  <c r="AB29" i="77"/>
  <c r="AC23" i="77"/>
  <c r="AC103" i="77" s="1"/>
  <c r="AB23" i="77"/>
  <c r="AC18" i="77"/>
  <c r="AB18" i="77"/>
  <c r="AC13" i="77"/>
  <c r="AC101" i="77" s="1"/>
  <c r="AB13" i="77"/>
  <c r="AC7" i="77"/>
  <c r="AC100" i="77" s="1"/>
  <c r="AB7" i="77"/>
  <c r="AB44" i="39"/>
  <c r="AC8" i="39"/>
  <c r="AC21" i="39" s="1"/>
  <c r="AB8" i="39"/>
  <c r="AB21" i="39" s="1"/>
  <c r="AC115" i="77" l="1"/>
  <c r="AC104" i="77"/>
  <c r="AC102" i="77"/>
  <c r="AC105" i="77"/>
  <c r="AC107" i="77" s="1"/>
  <c r="AM71" i="77"/>
  <c r="AC113" i="77"/>
  <c r="AN68" i="8"/>
  <c r="BD61" i="8"/>
  <c r="AN77" i="7"/>
  <c r="AQ36" i="59" s="1"/>
  <c r="BD76" i="7"/>
  <c r="BD77" i="7" s="1"/>
  <c r="BG36" i="59" s="1"/>
  <c r="AC29" i="7"/>
  <c r="AC89" i="7" s="1"/>
  <c r="AC32" i="7"/>
  <c r="AC84" i="7" s="1"/>
  <c r="AC22" i="7"/>
  <c r="AC82" i="7" s="1"/>
  <c r="AC26" i="7"/>
  <c r="AC86" i="7" s="1"/>
  <c r="AN122" i="6"/>
  <c r="AN51" i="6"/>
  <c r="BD51" i="6" s="1"/>
  <c r="AM129" i="6"/>
  <c r="AM131" i="6" s="1"/>
  <c r="AC46" i="7"/>
  <c r="AM37" i="7"/>
  <c r="AC17" i="6"/>
  <c r="AM17" i="6" s="1"/>
  <c r="AM13" i="6"/>
  <c r="AN124" i="6"/>
  <c r="AM73" i="77"/>
  <c r="AC24" i="6"/>
  <c r="AM24" i="6" s="1"/>
  <c r="AM14" i="6"/>
  <c r="AM181" i="6" s="1"/>
  <c r="AN52" i="6"/>
  <c r="BD52" i="6" s="1"/>
  <c r="AM83" i="6"/>
  <c r="AM121" i="6"/>
  <c r="BC121" i="6" s="1"/>
  <c r="AN127" i="6"/>
  <c r="AC67" i="7"/>
  <c r="AM65" i="7"/>
  <c r="AM67" i="7" s="1"/>
  <c r="AN103" i="7"/>
  <c r="AN97" i="7"/>
  <c r="AN98" i="7"/>
  <c r="AN104" i="7"/>
  <c r="AN99" i="7"/>
  <c r="AN100" i="7"/>
  <c r="AN101" i="7"/>
  <c r="AN79" i="7"/>
  <c r="AN102" i="7"/>
  <c r="AC5" i="26"/>
  <c r="AN48" i="8"/>
  <c r="AN14" i="36"/>
  <c r="AQ41" i="59" s="1"/>
  <c r="AN49" i="8"/>
  <c r="AM8" i="39"/>
  <c r="BC8" i="39" s="1"/>
  <c r="AC37" i="6"/>
  <c r="AN135" i="6"/>
  <c r="AD67" i="7"/>
  <c r="AN65" i="7"/>
  <c r="AN67" i="7" s="1"/>
  <c r="AE37" i="6"/>
  <c r="AM122" i="6"/>
  <c r="BC122" i="6" s="1"/>
  <c r="AN125" i="6"/>
  <c r="AN126" i="6" s="1"/>
  <c r="AN128" i="6"/>
  <c r="AD33" i="8"/>
  <c r="AN33" i="8" s="1"/>
  <c r="BD33" i="8" s="1"/>
  <c r="AN63" i="8"/>
  <c r="AN69" i="8"/>
  <c r="AN17" i="6"/>
  <c r="AN18" i="6"/>
  <c r="AC77" i="7"/>
  <c r="AM76" i="7"/>
  <c r="AD19" i="6"/>
  <c r="AD68" i="8"/>
  <c r="AD98" i="6"/>
  <c r="AD102" i="6" s="1"/>
  <c r="AC33" i="39"/>
  <c r="AM33" i="39" s="1"/>
  <c r="BC33" i="39" s="1"/>
  <c r="AD51" i="7"/>
  <c r="AD90" i="7" s="1"/>
  <c r="AD37" i="7"/>
  <c r="AC48" i="39"/>
  <c r="AM48" i="39" s="1"/>
  <c r="BC48" i="39" s="1"/>
  <c r="AD132" i="8"/>
  <c r="AD51" i="8" s="1"/>
  <c r="AD50" i="8"/>
  <c r="AD34" i="8"/>
  <c r="AN34" i="8" s="1"/>
  <c r="BD34" i="8" s="1"/>
  <c r="AD69" i="8"/>
  <c r="AD70" i="8"/>
  <c r="AC24" i="7"/>
  <c r="AC93" i="7" s="1"/>
  <c r="AC28" i="7"/>
  <c r="AC88" i="7" s="1"/>
  <c r="AC74" i="7"/>
  <c r="AD29" i="7"/>
  <c r="AD89" i="7" s="1"/>
  <c r="AD54" i="7"/>
  <c r="AD21" i="7"/>
  <c r="AD81" i="7" s="1"/>
  <c r="AD24" i="7"/>
  <c r="AD50" i="7"/>
  <c r="AD77" i="7"/>
  <c r="AD25" i="7"/>
  <c r="AD85" i="7" s="1"/>
  <c r="AD28" i="7"/>
  <c r="AD88" i="7" s="1"/>
  <c r="AD22" i="7"/>
  <c r="AD32" i="7"/>
  <c r="AD84" i="7" s="1"/>
  <c r="AD33" i="7"/>
  <c r="AD94" i="7" s="1"/>
  <c r="AD53" i="7"/>
  <c r="AD23" i="7"/>
  <c r="AD27" i="7"/>
  <c r="AD87" i="7" s="1"/>
  <c r="AD30" i="7"/>
  <c r="AD91" i="7" s="1"/>
  <c r="AD49" i="7"/>
  <c r="AD52" i="7"/>
  <c r="AD55" i="7"/>
  <c r="AD70" i="7"/>
  <c r="AD74" i="7"/>
  <c r="AC62" i="7"/>
  <c r="AC72" i="7"/>
  <c r="AD72" i="7"/>
  <c r="AC75" i="7"/>
  <c r="AD56" i="7"/>
  <c r="AD63" i="7"/>
  <c r="AD75" i="7"/>
  <c r="AC23" i="7"/>
  <c r="AC83" i="7" s="1"/>
  <c r="AC27" i="7"/>
  <c r="AC87" i="7" s="1"/>
  <c r="AC30" i="7"/>
  <c r="AC91" i="7" s="1"/>
  <c r="AC70" i="7"/>
  <c r="AC133" i="6"/>
  <c r="AC131" i="6"/>
  <c r="AC115" i="6"/>
  <c r="AC119" i="6" s="1"/>
  <c r="AC168" i="6" s="1"/>
  <c r="AC126" i="6"/>
  <c r="AD53" i="6"/>
  <c r="AD191" i="6"/>
  <c r="AD30" i="6"/>
  <c r="AN30" i="6" s="1"/>
  <c r="AC20" i="6"/>
  <c r="AM20" i="6" s="1"/>
  <c r="AC156" i="6"/>
  <c r="AC161" i="6"/>
  <c r="AC23" i="6"/>
  <c r="AM23" i="6" s="1"/>
  <c r="AC98" i="6"/>
  <c r="AC102" i="6" s="1"/>
  <c r="AC140" i="6" s="1"/>
  <c r="AD115" i="6"/>
  <c r="AD119" i="6" s="1"/>
  <c r="AD131" i="6"/>
  <c r="AC181" i="6"/>
  <c r="AC187" i="6"/>
  <c r="AC21" i="6"/>
  <c r="AM21" i="6" s="1"/>
  <c r="AC27" i="6"/>
  <c r="AM27" i="6" s="1"/>
  <c r="BC27" i="6" s="1"/>
  <c r="AC18" i="6"/>
  <c r="AM18" i="6" s="1"/>
  <c r="AC15" i="6"/>
  <c r="AC77" i="6" s="1"/>
  <c r="AD126" i="6"/>
  <c r="AC26" i="6"/>
  <c r="AM26" i="6" s="1"/>
  <c r="BC26" i="6" s="1"/>
  <c r="AD234" i="28"/>
  <c r="AN234" i="28" s="1"/>
  <c r="BD234" i="28" s="1"/>
  <c r="AD28" i="28"/>
  <c r="AN28" i="28" s="1"/>
  <c r="BD28" i="28" s="1"/>
  <c r="AD29" i="28"/>
  <c r="AN29" i="28" s="1"/>
  <c r="BD29" i="28" s="1"/>
  <c r="BC71" i="77" l="1"/>
  <c r="BC113" i="77" s="1"/>
  <c r="AM113" i="77"/>
  <c r="BC73" i="77"/>
  <c r="BC115" i="77" s="1"/>
  <c r="AM115" i="77"/>
  <c r="AM46" i="7"/>
  <c r="BC37" i="7"/>
  <c r="BC46" i="7" s="1"/>
  <c r="BC28" i="6"/>
  <c r="BD53" i="6"/>
  <c r="AN178" i="6"/>
  <c r="BD18" i="6"/>
  <c r="AN149" i="6"/>
  <c r="BD17" i="6"/>
  <c r="AN31" i="6"/>
  <c r="BD30" i="6"/>
  <c r="BD31" i="6" s="1"/>
  <c r="AN54" i="8"/>
  <c r="BD54" i="8" s="1"/>
  <c r="BD63" i="8"/>
  <c r="BD69" i="8"/>
  <c r="BD68" i="8"/>
  <c r="AM77" i="7"/>
  <c r="AP36" i="59" s="1"/>
  <c r="BC76" i="7"/>
  <c r="BC77" i="7" s="1"/>
  <c r="BF36" i="59" s="1"/>
  <c r="BC126" i="6"/>
  <c r="AM22" i="6"/>
  <c r="AM28" i="6"/>
  <c r="AN153" i="6"/>
  <c r="AD46" i="7"/>
  <c r="AN37" i="7"/>
  <c r="AM25" i="6"/>
  <c r="AN70" i="8"/>
  <c r="AN10" i="49"/>
  <c r="AN12" i="49" s="1"/>
  <c r="AN74" i="8"/>
  <c r="AM5" i="26"/>
  <c r="AM126" i="6"/>
  <c r="AM132" i="6" s="1"/>
  <c r="BC132" i="6" s="1"/>
  <c r="BC136" i="6" s="1"/>
  <c r="BC196" i="6" s="1"/>
  <c r="AM156" i="6"/>
  <c r="AM15" i="6"/>
  <c r="AM80" i="6" s="1"/>
  <c r="AM161" i="6"/>
  <c r="AM133" i="6"/>
  <c r="AD165" i="6"/>
  <c r="AN170" i="6"/>
  <c r="AN172" i="6"/>
  <c r="AN171" i="6"/>
  <c r="AD82" i="7"/>
  <c r="AN131" i="6"/>
  <c r="AN132" i="6" s="1"/>
  <c r="AM19" i="6"/>
  <c r="AN53" i="6"/>
  <c r="AC23" i="39"/>
  <c r="AM23" i="39" s="1"/>
  <c r="BC23" i="39" s="1"/>
  <c r="AM21" i="39"/>
  <c r="BC21" i="39" s="1"/>
  <c r="AM62" i="7"/>
  <c r="AM63" i="7" s="1"/>
  <c r="AD141" i="6"/>
  <c r="AN146" i="6"/>
  <c r="AN147" i="6"/>
  <c r="AN145" i="6"/>
  <c r="AN176" i="6"/>
  <c r="AN177" i="6"/>
  <c r="AN174" i="6"/>
  <c r="AN175" i="6"/>
  <c r="AN151" i="6"/>
  <c r="AQ17" i="59" s="1"/>
  <c r="AN179" i="6"/>
  <c r="AN154" i="6"/>
  <c r="AN19" i="6"/>
  <c r="AN152" i="6"/>
  <c r="AN150" i="6"/>
  <c r="BD150" i="6" s="1"/>
  <c r="AC50" i="39"/>
  <c r="AM50" i="39" s="1"/>
  <c r="BC50" i="39" s="1"/>
  <c r="AD143" i="6"/>
  <c r="AD140" i="6"/>
  <c r="AD83" i="7"/>
  <c r="AD93" i="7"/>
  <c r="AC95" i="7"/>
  <c r="AD34" i="7"/>
  <c r="AD48" i="7" s="1"/>
  <c r="AD57" i="7" s="1"/>
  <c r="AC34" i="7"/>
  <c r="AC48" i="7" s="1"/>
  <c r="AC132" i="6"/>
  <c r="AC136" i="6" s="1"/>
  <c r="AC205" i="6" s="1"/>
  <c r="AC165" i="6"/>
  <c r="AC166" i="6"/>
  <c r="AD166" i="6"/>
  <c r="AD167" i="6" s="1"/>
  <c r="AD31" i="6"/>
  <c r="AC25" i="6"/>
  <c r="AC30" i="6"/>
  <c r="AM30" i="6" s="1"/>
  <c r="BC30" i="6" s="1"/>
  <c r="AC19" i="6"/>
  <c r="AD132" i="6"/>
  <c r="AC80" i="6"/>
  <c r="AC28" i="6"/>
  <c r="AC29" i="6"/>
  <c r="AM29" i="6" s="1"/>
  <c r="BC29" i="6" s="1"/>
  <c r="AD168" i="6"/>
  <c r="AC143" i="6"/>
  <c r="AC141" i="6"/>
  <c r="AC142" i="6" s="1"/>
  <c r="AC22" i="6"/>
  <c r="AE393" i="28"/>
  <c r="AC393" i="28"/>
  <c r="AE392" i="28"/>
  <c r="AC392" i="28"/>
  <c r="AD345" i="28"/>
  <c r="AN345" i="28" s="1"/>
  <c r="BD345" i="28" s="1"/>
  <c r="AD318" i="28"/>
  <c r="AN318" i="28" s="1"/>
  <c r="BD318" i="28" s="1"/>
  <c r="AD317" i="28"/>
  <c r="AN317" i="28" s="1"/>
  <c r="BD317" i="28" s="1"/>
  <c r="AD310" i="28"/>
  <c r="AC310" i="28"/>
  <c r="AM310" i="28" s="1"/>
  <c r="BC310" i="28" s="1"/>
  <c r="AF301" i="28"/>
  <c r="AJ301" i="28" s="1"/>
  <c r="AP301" i="28" s="1"/>
  <c r="AT301" i="28" s="1"/>
  <c r="AX301" i="28" s="1"/>
  <c r="BF301" i="28" s="1"/>
  <c r="AD299" i="28"/>
  <c r="AD241" i="28"/>
  <c r="AD380" i="28" s="1"/>
  <c r="AC241" i="28"/>
  <c r="AD235" i="28"/>
  <c r="AC234" i="28"/>
  <c r="AM234" i="28" s="1"/>
  <c r="BC234" i="28" s="1"/>
  <c r="AD198" i="28"/>
  <c r="AC198" i="28"/>
  <c r="AM198" i="28" s="1"/>
  <c r="BC198" i="28" s="1"/>
  <c r="AD185" i="28"/>
  <c r="AN185" i="28" s="1"/>
  <c r="BD185" i="28" s="1"/>
  <c r="AD82" i="28"/>
  <c r="AN82" i="28" s="1"/>
  <c r="BD82" i="28" s="1"/>
  <c r="AD81" i="28"/>
  <c r="AN81" i="28" s="1"/>
  <c r="BD81" i="28" s="1"/>
  <c r="AD79" i="28"/>
  <c r="AN79" i="28" s="1"/>
  <c r="BD79" i="28" s="1"/>
  <c r="AD75" i="28"/>
  <c r="AN75" i="28" s="1"/>
  <c r="BD75" i="28" s="1"/>
  <c r="AD71" i="28"/>
  <c r="AN71" i="28" s="1"/>
  <c r="BD71" i="28" s="1"/>
  <c r="AD67" i="28"/>
  <c r="AN67" i="28" s="1"/>
  <c r="BD67" i="28" s="1"/>
  <c r="AC54" i="28"/>
  <c r="AM54" i="28" s="1"/>
  <c r="BC54" i="28" s="1"/>
  <c r="AC53" i="28"/>
  <c r="AM53" i="28" s="1"/>
  <c r="BC53" i="28" s="1"/>
  <c r="AC52" i="28"/>
  <c r="AM52" i="28" s="1"/>
  <c r="BC52" i="28" s="1"/>
  <c r="AD50" i="28"/>
  <c r="AN50" i="28" s="1"/>
  <c r="BD50" i="28" s="1"/>
  <c r="AD46" i="28"/>
  <c r="AN46" i="28" s="1"/>
  <c r="BD46" i="28" s="1"/>
  <c r="AD40" i="28"/>
  <c r="AN40" i="28" s="1"/>
  <c r="BD40" i="28" s="1"/>
  <c r="AD31" i="28"/>
  <c r="AD30" i="28"/>
  <c r="AN30" i="28" s="1"/>
  <c r="BD30" i="28" s="1"/>
  <c r="AD51" i="28"/>
  <c r="AN51" i="28" s="1"/>
  <c r="BD51" i="28" s="1"/>
  <c r="AD26" i="28"/>
  <c r="AD19" i="28"/>
  <c r="AD12" i="28"/>
  <c r="AN12" i="28" s="1"/>
  <c r="AD17" i="49"/>
  <c r="AD18" i="49" s="1"/>
  <c r="AE13" i="49"/>
  <c r="AD11" i="49"/>
  <c r="AC11" i="49"/>
  <c r="AD10" i="49"/>
  <c r="AD9" i="49"/>
  <c r="AD8" i="49"/>
  <c r="AD6" i="49"/>
  <c r="AC210" i="73"/>
  <c r="AC201" i="73"/>
  <c r="AC184" i="73"/>
  <c r="AC173" i="73"/>
  <c r="AD171" i="73"/>
  <c r="AB171" i="73"/>
  <c r="AC162" i="73"/>
  <c r="AM162" i="73" s="1"/>
  <c r="AC116" i="73"/>
  <c r="AM116" i="73" s="1"/>
  <c r="AC110" i="73"/>
  <c r="AM110" i="73" s="1"/>
  <c r="AD104" i="73"/>
  <c r="AD113" i="73" s="1"/>
  <c r="AD115" i="73" s="1"/>
  <c r="AC104" i="73"/>
  <c r="AC98" i="73"/>
  <c r="AC65" i="73"/>
  <c r="AC58" i="73"/>
  <c r="AC53" i="73"/>
  <c r="AC48" i="73"/>
  <c r="AC34" i="73"/>
  <c r="AC23" i="73"/>
  <c r="AM23" i="73" s="1"/>
  <c r="BC31" i="6" l="1"/>
  <c r="AN46" i="7"/>
  <c r="BD37" i="7"/>
  <c r="BD46" i="7" s="1"/>
  <c r="BD175" i="6"/>
  <c r="BD149" i="6"/>
  <c r="AQ18" i="59"/>
  <c r="BD152" i="6"/>
  <c r="BG18" i="59" s="1"/>
  <c r="AN191" i="6"/>
  <c r="BD174" i="6"/>
  <c r="AQ19" i="59"/>
  <c r="BD153" i="6"/>
  <c r="BG19" i="59" s="1"/>
  <c r="AQ25" i="59"/>
  <c r="BD177" i="6"/>
  <c r="BG25" i="59" s="1"/>
  <c r="BD151" i="6"/>
  <c r="BG17" i="59" s="1"/>
  <c r="BD19" i="6"/>
  <c r="BD33" i="6" s="1"/>
  <c r="BD37" i="6" s="1"/>
  <c r="AQ20" i="59"/>
  <c r="BD154" i="6"/>
  <c r="BG20" i="59" s="1"/>
  <c r="AQ24" i="59"/>
  <c r="BD176" i="6"/>
  <c r="BG24" i="59" s="1"/>
  <c r="AQ27" i="59"/>
  <c r="BD179" i="6"/>
  <c r="BG27" i="59" s="1"/>
  <c r="AQ26" i="59"/>
  <c r="BD178" i="6"/>
  <c r="BG26" i="59" s="1"/>
  <c r="AN373" i="28"/>
  <c r="BD12" i="28"/>
  <c r="BD373" i="28" s="1"/>
  <c r="AM184" i="73"/>
  <c r="AM53" i="73"/>
  <c r="BC53" i="73" s="1"/>
  <c r="AM98" i="73"/>
  <c r="BC98" i="73" s="1"/>
  <c r="AM65" i="73"/>
  <c r="BC65" i="73" s="1"/>
  <c r="AM210" i="73"/>
  <c r="BC210" i="73" s="1"/>
  <c r="AM104" i="73"/>
  <c r="BC104" i="73" s="1"/>
  <c r="AM58" i="73"/>
  <c r="BC58" i="73" s="1"/>
  <c r="AM34" i="73"/>
  <c r="BC34" i="73" s="1"/>
  <c r="AM173" i="73"/>
  <c r="BC173" i="73" s="1"/>
  <c r="AM201" i="73"/>
  <c r="BC201" i="73" s="1"/>
  <c r="AM48" i="73"/>
  <c r="BC48" i="73" s="1"/>
  <c r="AN71" i="8"/>
  <c r="BD65" i="8"/>
  <c r="BD70" i="8"/>
  <c r="BD10" i="49"/>
  <c r="BD12" i="49" s="1"/>
  <c r="BC200" i="6"/>
  <c r="BC205" i="6"/>
  <c r="BC204" i="6"/>
  <c r="BC208" i="6"/>
  <c r="BC211" i="6" s="1"/>
  <c r="BC203" i="6"/>
  <c r="BC202" i="6"/>
  <c r="BC198" i="6"/>
  <c r="BC199" i="6"/>
  <c r="BC197" i="6"/>
  <c r="AD142" i="6"/>
  <c r="AC202" i="6"/>
  <c r="AM31" i="6"/>
  <c r="AM77" i="6"/>
  <c r="AN136" i="6"/>
  <c r="AN190" i="6" s="1"/>
  <c r="AN192" i="6"/>
  <c r="AC113" i="73"/>
  <c r="AC171" i="73"/>
  <c r="AM171" i="73" s="1"/>
  <c r="AC11" i="15"/>
  <c r="AC12" i="15" s="1"/>
  <c r="BC110" i="73"/>
  <c r="AM136" i="6"/>
  <c r="AC128" i="73"/>
  <c r="AM128" i="73" s="1"/>
  <c r="AD236" i="28"/>
  <c r="AN236" i="28" s="1"/>
  <c r="AN235" i="28"/>
  <c r="BD235" i="28" s="1"/>
  <c r="AD384" i="28"/>
  <c r="AN310" i="28"/>
  <c r="AD60" i="28"/>
  <c r="AN60" i="28" s="1"/>
  <c r="BD60" i="28" s="1"/>
  <c r="AN26" i="28"/>
  <c r="BD26" i="28" s="1"/>
  <c r="BD381" i="28" s="1"/>
  <c r="AD377" i="28"/>
  <c r="AN19" i="28"/>
  <c r="BD19" i="28" s="1"/>
  <c r="BD377" i="28" s="1"/>
  <c r="AN241" i="28"/>
  <c r="AD300" i="28"/>
  <c r="AN300" i="28" s="1"/>
  <c r="AN299" i="28"/>
  <c r="BD299" i="28" s="1"/>
  <c r="AD376" i="28"/>
  <c r="AN198" i="28"/>
  <c r="AD53" i="28"/>
  <c r="AN53" i="28" s="1"/>
  <c r="BD53" i="28" s="1"/>
  <c r="AN31" i="28"/>
  <c r="BD31" i="28" s="1"/>
  <c r="AD95" i="7"/>
  <c r="AD12" i="49"/>
  <c r="AD71" i="7"/>
  <c r="AC71" i="7"/>
  <c r="AC57" i="7"/>
  <c r="AC198" i="6"/>
  <c r="AC204" i="6"/>
  <c r="AC197" i="6"/>
  <c r="AC200" i="6"/>
  <c r="AC196" i="6"/>
  <c r="AC208" i="6"/>
  <c r="AC211" i="6" s="1"/>
  <c r="AC203" i="6"/>
  <c r="AC199" i="6"/>
  <c r="AC167" i="6"/>
  <c r="AD136" i="6"/>
  <c r="AC31" i="6"/>
  <c r="AD32" i="28"/>
  <c r="AD52" i="28"/>
  <c r="AN52" i="28" s="1"/>
  <c r="BD52" i="28" s="1"/>
  <c r="AD343" i="28"/>
  <c r="AN343" i="28" s="1"/>
  <c r="AD59" i="28"/>
  <c r="AN59" i="28" s="1"/>
  <c r="BD59" i="28" s="1"/>
  <c r="AD186" i="28"/>
  <c r="AN186" i="28" s="1"/>
  <c r="BD186" i="28" s="1"/>
  <c r="AD373" i="28"/>
  <c r="AD83" i="28"/>
  <c r="AN83" i="28" s="1"/>
  <c r="AD47" i="28"/>
  <c r="AN47" i="28" s="1"/>
  <c r="BD47" i="28" s="1"/>
  <c r="AD381" i="28"/>
  <c r="AD58" i="28"/>
  <c r="AN58" i="28" s="1"/>
  <c r="BD58" i="28" s="1"/>
  <c r="AD360" i="28"/>
  <c r="AN360" i="28" s="1"/>
  <c r="BD360" i="28" s="1"/>
  <c r="AH72" i="59"/>
  <c r="AG72" i="59"/>
  <c r="AH71" i="59"/>
  <c r="AG71" i="59"/>
  <c r="AH70" i="59"/>
  <c r="AG70" i="59"/>
  <c r="AF69" i="59"/>
  <c r="AG68" i="59"/>
  <c r="AF68" i="59"/>
  <c r="AG67" i="59"/>
  <c r="AG66" i="59"/>
  <c r="AF66" i="59"/>
  <c r="AH65" i="59"/>
  <c r="AG63" i="59"/>
  <c r="AG62" i="59"/>
  <c r="AF62" i="59"/>
  <c r="AH61" i="59"/>
  <c r="AG59" i="59"/>
  <c r="AG58" i="59"/>
  <c r="AF58" i="59"/>
  <c r="AH57" i="59"/>
  <c r="AG55" i="59"/>
  <c r="AF55" i="59"/>
  <c r="AG54" i="59"/>
  <c r="AF54" i="59"/>
  <c r="AH53" i="59"/>
  <c r="AG53" i="59"/>
  <c r="AF53" i="59"/>
  <c r="AG52" i="59"/>
  <c r="AF52" i="59"/>
  <c r="AG51" i="59"/>
  <c r="AF51" i="59"/>
  <c r="AH48" i="59"/>
  <c r="AH47" i="59"/>
  <c r="AF46" i="59"/>
  <c r="AG45" i="59"/>
  <c r="AF45" i="59"/>
  <c r="AH44" i="59"/>
  <c r="AG44" i="59"/>
  <c r="AF44" i="59"/>
  <c r="AH43" i="59"/>
  <c r="AG43" i="59"/>
  <c r="AF43" i="59"/>
  <c r="AH42" i="59"/>
  <c r="AG42" i="59"/>
  <c r="AF42" i="59"/>
  <c r="AG41" i="59"/>
  <c r="AF41" i="59"/>
  <c r="AF39" i="59"/>
  <c r="AF38" i="59"/>
  <c r="AF37" i="59"/>
  <c r="AG36" i="59"/>
  <c r="AF36" i="59"/>
  <c r="AG35" i="59"/>
  <c r="AF35" i="59"/>
  <c r="AG34" i="59"/>
  <c r="AF34" i="59"/>
  <c r="AG33" i="59"/>
  <c r="AF33" i="59"/>
  <c r="AG32" i="59"/>
  <c r="AF32" i="59"/>
  <c r="AG31" i="59"/>
  <c r="AF31" i="59"/>
  <c r="AG30" i="59"/>
  <c r="AF30" i="59"/>
  <c r="AG29" i="59"/>
  <c r="AF29" i="59"/>
  <c r="AG28" i="59"/>
  <c r="AF28" i="59"/>
  <c r="AH27" i="59"/>
  <c r="AG27" i="59"/>
  <c r="AF27" i="59"/>
  <c r="AH26" i="59"/>
  <c r="AG26" i="59"/>
  <c r="AF26" i="59"/>
  <c r="AH25" i="59"/>
  <c r="AG25" i="59"/>
  <c r="AF25" i="59"/>
  <c r="AH24" i="59"/>
  <c r="AG24" i="59"/>
  <c r="AF24" i="59"/>
  <c r="AG23" i="59"/>
  <c r="AF23" i="59"/>
  <c r="AH22" i="59"/>
  <c r="AG22" i="59"/>
  <c r="AF22" i="59"/>
  <c r="AH20" i="59"/>
  <c r="AG20" i="59"/>
  <c r="AF20" i="59"/>
  <c r="AH19" i="59"/>
  <c r="AG19" i="59"/>
  <c r="AF19" i="59"/>
  <c r="AH18" i="59"/>
  <c r="AG18" i="59"/>
  <c r="AF18" i="59"/>
  <c r="AH17" i="59"/>
  <c r="AG17" i="59"/>
  <c r="AF17" i="59"/>
  <c r="AG16" i="59"/>
  <c r="AF16" i="59"/>
  <c r="AH15" i="59"/>
  <c r="AG15" i="59"/>
  <c r="AF15" i="59"/>
  <c r="AG12" i="59"/>
  <c r="AF12" i="59"/>
  <c r="AH10" i="59"/>
  <c r="AH9" i="59"/>
  <c r="AH8" i="59"/>
  <c r="AH6" i="59"/>
  <c r="BD71" i="8" l="1"/>
  <c r="BD191" i="6"/>
  <c r="BC184" i="73"/>
  <c r="AN384" i="28"/>
  <c r="BD310" i="28"/>
  <c r="BD384" i="28" s="1"/>
  <c r="AN376" i="28"/>
  <c r="BD198" i="28"/>
  <c r="AC115" i="73"/>
  <c r="AM115" i="73" s="1"/>
  <c r="AM113" i="73"/>
  <c r="AD378" i="28"/>
  <c r="AD379" i="28"/>
  <c r="AD371" i="28"/>
  <c r="AD370" i="28"/>
  <c r="AN380" i="28"/>
  <c r="BD241" i="28"/>
  <c r="BD380" i="28" s="1"/>
  <c r="BD392" i="28"/>
  <c r="AN393" i="28"/>
  <c r="BD343" i="28"/>
  <c r="BD393" i="28" s="1"/>
  <c r="BD374" i="28"/>
  <c r="BD375" i="28"/>
  <c r="AN378" i="28"/>
  <c r="BD236" i="28"/>
  <c r="AN382" i="28"/>
  <c r="BD300" i="28"/>
  <c r="AN84" i="28"/>
  <c r="BD83" i="28"/>
  <c r="BD84" i="28" s="1"/>
  <c r="BC171" i="73"/>
  <c r="BC162" i="73"/>
  <c r="BC128" i="73"/>
  <c r="BC116" i="73"/>
  <c r="BC113" i="73"/>
  <c r="BC23" i="73"/>
  <c r="BC201" i="6"/>
  <c r="BC206" i="6"/>
  <c r="BC207" i="6" s="1"/>
  <c r="BC212" i="6" s="1"/>
  <c r="AM11" i="15"/>
  <c r="BC11" i="15" s="1"/>
  <c r="BC12" i="15" s="1"/>
  <c r="BC13" i="15" s="1"/>
  <c r="AM204" i="6"/>
  <c r="AM198" i="6"/>
  <c r="AM200" i="6"/>
  <c r="AM203" i="6"/>
  <c r="AM205" i="6"/>
  <c r="AM199" i="6"/>
  <c r="AM202" i="6"/>
  <c r="AM196" i="6"/>
  <c r="AM197" i="6"/>
  <c r="AN392" i="28"/>
  <c r="AM208" i="6"/>
  <c r="AM211" i="6" s="1"/>
  <c r="AN198" i="6"/>
  <c r="AN205" i="6"/>
  <c r="AN196" i="6"/>
  <c r="AN208" i="6"/>
  <c r="AN204" i="6"/>
  <c r="AN209" i="6"/>
  <c r="AN202" i="6"/>
  <c r="AN200" i="6"/>
  <c r="AN197" i="6"/>
  <c r="AN210" i="6"/>
  <c r="AN203" i="6"/>
  <c r="AN199" i="6"/>
  <c r="AN381" i="28"/>
  <c r="AN383" i="28"/>
  <c r="AD382" i="28"/>
  <c r="AN377" i="28"/>
  <c r="AN379" i="28"/>
  <c r="AD383" i="28"/>
  <c r="AN371" i="28"/>
  <c r="AN370" i="28"/>
  <c r="AD54" i="28"/>
  <c r="AN54" i="28" s="1"/>
  <c r="BD54" i="28" s="1"/>
  <c r="AN32" i="28"/>
  <c r="BD32" i="28" s="1"/>
  <c r="AN374" i="28"/>
  <c r="AN375" i="28"/>
  <c r="AC13" i="15"/>
  <c r="AM12" i="15"/>
  <c r="AM13" i="15" s="1"/>
  <c r="AD393" i="28"/>
  <c r="AD55" i="28"/>
  <c r="AC206" i="6"/>
  <c r="AC201" i="6"/>
  <c r="AD210" i="6"/>
  <c r="AD203" i="6"/>
  <c r="AD200" i="6"/>
  <c r="AD197" i="6"/>
  <c r="AD196" i="6"/>
  <c r="AD208" i="6"/>
  <c r="AD190" i="6"/>
  <c r="AD205" i="6"/>
  <c r="AD198" i="6"/>
  <c r="AD202" i="6"/>
  <c r="AD209" i="6"/>
  <c r="AD199" i="6"/>
  <c r="AD204" i="6"/>
  <c r="AD192" i="6"/>
  <c r="AD374" i="28"/>
  <c r="AD361" i="28"/>
  <c r="AD375" i="28"/>
  <c r="AD84" i="28"/>
  <c r="AD392" i="28"/>
  <c r="AD33" i="28"/>
  <c r="AN33" i="28" s="1"/>
  <c r="AC54" i="36"/>
  <c r="AC53" i="36"/>
  <c r="AC51" i="36"/>
  <c r="AC49" i="36"/>
  <c r="AC48" i="36"/>
  <c r="AD46" i="36"/>
  <c r="AD44" i="36"/>
  <c r="AD43" i="36"/>
  <c r="AD41" i="36"/>
  <c r="AN41" i="36" s="1"/>
  <c r="AN49" i="36" s="1"/>
  <c r="AD40" i="36"/>
  <c r="AD39" i="36"/>
  <c r="AD38" i="36"/>
  <c r="AD32" i="36"/>
  <c r="AC29" i="36"/>
  <c r="AC28" i="36"/>
  <c r="AC27" i="36"/>
  <c r="AD26" i="36"/>
  <c r="AD23" i="36"/>
  <c r="AG65" i="59" s="1"/>
  <c r="AC23" i="36"/>
  <c r="AF65" i="59" s="1"/>
  <c r="AD22" i="36"/>
  <c r="AG61" i="59" s="1"/>
  <c r="AC22" i="36"/>
  <c r="AF61" i="59" s="1"/>
  <c r="AD21" i="36"/>
  <c r="AG57" i="59" s="1"/>
  <c r="AC21" i="36"/>
  <c r="AF57" i="59" s="1"/>
  <c r="AC16" i="36"/>
  <c r="AC13" i="36"/>
  <c r="AF40" i="59" s="1"/>
  <c r="AD12" i="36"/>
  <c r="AG39" i="59" s="1"/>
  <c r="AD11" i="36"/>
  <c r="AG38" i="59" s="1"/>
  <c r="AD10" i="36"/>
  <c r="AG37" i="59" s="1"/>
  <c r="AC9" i="36"/>
  <c r="AF10" i="59" s="1"/>
  <c r="AD8" i="36"/>
  <c r="AG9" i="59" s="1"/>
  <c r="AC8" i="36"/>
  <c r="AF9" i="59" s="1"/>
  <c r="AD7" i="36"/>
  <c r="AG8" i="59" s="1"/>
  <c r="AC7" i="36"/>
  <c r="AF8" i="59" s="1"/>
  <c r="AD5" i="36"/>
  <c r="AC5" i="36"/>
  <c r="AD18" i="21"/>
  <c r="AD28" i="21"/>
  <c r="AC27" i="21"/>
  <c r="AM27" i="21" s="1"/>
  <c r="AM26" i="21"/>
  <c r="BC26" i="21" s="1"/>
  <c r="AD24" i="21"/>
  <c r="AD25" i="21" s="1"/>
  <c r="AD15" i="21"/>
  <c r="AN15" i="21" s="1"/>
  <c r="AD12" i="21"/>
  <c r="AC12" i="21"/>
  <c r="AC33" i="35"/>
  <c r="AM33" i="35" s="1"/>
  <c r="AC32" i="35"/>
  <c r="AM32" i="35" s="1"/>
  <c r="AM34" i="35" s="1"/>
  <c r="AM44" i="35" s="1"/>
  <c r="AC30" i="35"/>
  <c r="AC29" i="35"/>
  <c r="AC28" i="35"/>
  <c r="AC18" i="35"/>
  <c r="AC32" i="36" s="1"/>
  <c r="AM32" i="36" s="1"/>
  <c r="AP68" i="59" s="1"/>
  <c r="AC17" i="35"/>
  <c r="AC16" i="35"/>
  <c r="AM16" i="35" s="1"/>
  <c r="AN385" i="28" l="1"/>
  <c r="BD33" i="28"/>
  <c r="BD385" i="28" s="1"/>
  <c r="BD382" i="28"/>
  <c r="BD383" i="28"/>
  <c r="BD370" i="28"/>
  <c r="BD371" i="28"/>
  <c r="BD378" i="28"/>
  <c r="BD379" i="28"/>
  <c r="AN211" i="6"/>
  <c r="AM201" i="6"/>
  <c r="AM29" i="35"/>
  <c r="AM52" i="11" s="1"/>
  <c r="AC52" i="11"/>
  <c r="AC14" i="28"/>
  <c r="AM17" i="35"/>
  <c r="AC6" i="8"/>
  <c r="AM30" i="35"/>
  <c r="AN73" i="45" s="1"/>
  <c r="AD73" i="45"/>
  <c r="AC21" i="28"/>
  <c r="AN18" i="21"/>
  <c r="AN20" i="21" s="1"/>
  <c r="AD16" i="36"/>
  <c r="AN38" i="36"/>
  <c r="AN16" i="36" s="1"/>
  <c r="AC40" i="36"/>
  <c r="AC42" i="36" s="1"/>
  <c r="AM206" i="6"/>
  <c r="AD17" i="36"/>
  <c r="AG48" i="59" s="1"/>
  <c r="AN39" i="36"/>
  <c r="AN17" i="36" s="1"/>
  <c r="AQ48" i="59" s="1"/>
  <c r="AN206" i="6"/>
  <c r="AQ11" i="59" s="1"/>
  <c r="AN201" i="6"/>
  <c r="AM18" i="35"/>
  <c r="AB17" i="15"/>
  <c r="AB14" i="15" s="1"/>
  <c r="AC5" i="9"/>
  <c r="AM28" i="35"/>
  <c r="AC7" i="28"/>
  <c r="AC46" i="36"/>
  <c r="AM46" i="36" s="1"/>
  <c r="AC43" i="36"/>
  <c r="AC45" i="36" s="1"/>
  <c r="AN32" i="36"/>
  <c r="AN27" i="36" s="1"/>
  <c r="AD51" i="36"/>
  <c r="AN43" i="36"/>
  <c r="AD52" i="36"/>
  <c r="AN44" i="36"/>
  <c r="AN52" i="36" s="1"/>
  <c r="AD54" i="36"/>
  <c r="AN46" i="36"/>
  <c r="AN54" i="36" s="1"/>
  <c r="AD48" i="36"/>
  <c r="AN40" i="36"/>
  <c r="AM28" i="21"/>
  <c r="BC28" i="21" s="1"/>
  <c r="AD56" i="28"/>
  <c r="AN55" i="28"/>
  <c r="BD55" i="28" s="1"/>
  <c r="AD365" i="28"/>
  <c r="AN361" i="28"/>
  <c r="BD361" i="28" s="1"/>
  <c r="AB7" i="15"/>
  <c r="AF72" i="59"/>
  <c r="AB5" i="15"/>
  <c r="AF70" i="59"/>
  <c r="AB6" i="15"/>
  <c r="AF71" i="59"/>
  <c r="AC50" i="36"/>
  <c r="AC89" i="9"/>
  <c r="AF47" i="59"/>
  <c r="AC13" i="49"/>
  <c r="AF6" i="59"/>
  <c r="AC38" i="36"/>
  <c r="AM38" i="36" s="1"/>
  <c r="AD390" i="28"/>
  <c r="AD13" i="49"/>
  <c r="AD14" i="49" s="1"/>
  <c r="AD15" i="49" s="1"/>
  <c r="AD16" i="49" s="1"/>
  <c r="AD19" i="49" s="1"/>
  <c r="AD20" i="49" s="1"/>
  <c r="AD15" i="36" s="1"/>
  <c r="AG6" i="59"/>
  <c r="AD42" i="36"/>
  <c r="AD45" i="36"/>
  <c r="AD13" i="36"/>
  <c r="AG40" i="59" s="1"/>
  <c r="AC207" i="6"/>
  <c r="AC212" i="6" s="1"/>
  <c r="AD211" i="6"/>
  <c r="AD201" i="6"/>
  <c r="AD206" i="6"/>
  <c r="AG11" i="59" s="1"/>
  <c r="AD364" i="28"/>
  <c r="AD386" i="28"/>
  <c r="AD387" i="28"/>
  <c r="AD385" i="28"/>
  <c r="AD61" i="28"/>
  <c r="AN61" i="28" s="1"/>
  <c r="BD61" i="28" s="1"/>
  <c r="AD49" i="36"/>
  <c r="AD20" i="21"/>
  <c r="AC15" i="21"/>
  <c r="AC22" i="21"/>
  <c r="AC28" i="21"/>
  <c r="AD18" i="36" l="1"/>
  <c r="AG49" i="59" s="1"/>
  <c r="AD53" i="36"/>
  <c r="BD365" i="28"/>
  <c r="BD386" i="28"/>
  <c r="BD387" i="28"/>
  <c r="BD364" i="28"/>
  <c r="BD56" i="28"/>
  <c r="BD390" i="28"/>
  <c r="AM207" i="6"/>
  <c r="AM212" i="6" s="1"/>
  <c r="AN207" i="6"/>
  <c r="AN212" i="6" s="1"/>
  <c r="AG47" i="59"/>
  <c r="AM43" i="36"/>
  <c r="AM45" i="36" s="1"/>
  <c r="AM40" i="36"/>
  <c r="AM42" i="36" s="1"/>
  <c r="AM5" i="9"/>
  <c r="AL17" i="15"/>
  <c r="AM26" i="36"/>
  <c r="AN18" i="36"/>
  <c r="AQ49" i="59" s="1"/>
  <c r="AQ47" i="59"/>
  <c r="AM31" i="35"/>
  <c r="AM35" i="35" s="1"/>
  <c r="AD75" i="45"/>
  <c r="AD72" i="45"/>
  <c r="AD92" i="45"/>
  <c r="AF67" i="59" s="1"/>
  <c r="AD76" i="45"/>
  <c r="AD112" i="45"/>
  <c r="AC235" i="28"/>
  <c r="AM235" i="28" s="1"/>
  <c r="BC235" i="28" s="1"/>
  <c r="AC19" i="28"/>
  <c r="AM14" i="28"/>
  <c r="BC14" i="28" s="1"/>
  <c r="AC143" i="10"/>
  <c r="AF59" i="59" s="1"/>
  <c r="AC170" i="10"/>
  <c r="AM15" i="21"/>
  <c r="AC69" i="9"/>
  <c r="AM69" i="9" s="1"/>
  <c r="AC58" i="9"/>
  <c r="AB125" i="26"/>
  <c r="AC67" i="9"/>
  <c r="AM67" i="9" s="1"/>
  <c r="AC65" i="9"/>
  <c r="AM65" i="9" s="1"/>
  <c r="AC55" i="9"/>
  <c r="AM104" i="9"/>
  <c r="AC100" i="9"/>
  <c r="AC63" i="9"/>
  <c r="AM63" i="9" s="1"/>
  <c r="AC68" i="9"/>
  <c r="AM68" i="9" s="1"/>
  <c r="AC27" i="9"/>
  <c r="AM27" i="9" s="1"/>
  <c r="BC27" i="9" s="1"/>
  <c r="AC64" i="9"/>
  <c r="AM64" i="9" s="1"/>
  <c r="AC59" i="9"/>
  <c r="AM59" i="9" s="1"/>
  <c r="AC92" i="9"/>
  <c r="AM92" i="9" s="1"/>
  <c r="BC92" i="9" s="1"/>
  <c r="AM102" i="9"/>
  <c r="BC102" i="9" s="1"/>
  <c r="AC70" i="9"/>
  <c r="AM70" i="9" s="1"/>
  <c r="AC95" i="9"/>
  <c r="AM95" i="9" s="1"/>
  <c r="AC61" i="9"/>
  <c r="AM61" i="9" s="1"/>
  <c r="AC66" i="9"/>
  <c r="AM66" i="9" s="1"/>
  <c r="AC33" i="22"/>
  <c r="AC7" i="9"/>
  <c r="AC56" i="9"/>
  <c r="AM56" i="9" s="1"/>
  <c r="AN9" i="36"/>
  <c r="AQ10" i="59" s="1"/>
  <c r="AN92" i="45"/>
  <c r="AP67" i="59" s="1"/>
  <c r="AN75" i="45"/>
  <c r="AP65" i="59" s="1"/>
  <c r="AN72" i="45"/>
  <c r="AN112" i="45"/>
  <c r="AN76" i="45"/>
  <c r="AC54" i="11"/>
  <c r="AC51" i="11"/>
  <c r="AC71" i="11"/>
  <c r="AF63" i="59" s="1"/>
  <c r="AC90" i="11"/>
  <c r="AM21" i="28"/>
  <c r="BC21" i="28" s="1"/>
  <c r="AC26" i="28"/>
  <c r="AN28" i="36"/>
  <c r="AQ71" i="59" s="1"/>
  <c r="AM7" i="28"/>
  <c r="BC7" i="28" s="1"/>
  <c r="AC12" i="28"/>
  <c r="AB15" i="15"/>
  <c r="AL15" i="15" s="1"/>
  <c r="BB15" i="15" s="1"/>
  <c r="AL14" i="15"/>
  <c r="BB14" i="15" s="1"/>
  <c r="AC23" i="8"/>
  <c r="AC24" i="8"/>
  <c r="AC26" i="8"/>
  <c r="AC49" i="8"/>
  <c r="AM14" i="36" s="1"/>
  <c r="AP41" i="59" s="1"/>
  <c r="AM6" i="8"/>
  <c r="AM84" i="8" s="1"/>
  <c r="AC79" i="8"/>
  <c r="AM79" i="8" s="1"/>
  <c r="AC86" i="8"/>
  <c r="AC28" i="8"/>
  <c r="AM28" i="8" s="1"/>
  <c r="AC27" i="8"/>
  <c r="AC22" i="8"/>
  <c r="AC29" i="8"/>
  <c r="AC30" i="8"/>
  <c r="AM30" i="8" s="1"/>
  <c r="AC6" i="49"/>
  <c r="AM71" i="11"/>
  <c r="AP63" i="59" s="1"/>
  <c r="AM54" i="11"/>
  <c r="AP61" i="59" s="1"/>
  <c r="AM90" i="11"/>
  <c r="AM51" i="11"/>
  <c r="AD50" i="36"/>
  <c r="AN51" i="36"/>
  <c r="AN53" i="36" s="1"/>
  <c r="AN45" i="36"/>
  <c r="AQ70" i="59"/>
  <c r="AM5" i="15"/>
  <c r="AN48" i="36"/>
  <c r="AN50" i="36" s="1"/>
  <c r="AN42" i="36"/>
  <c r="AQ68" i="59"/>
  <c r="AN29" i="36"/>
  <c r="AN390" i="28"/>
  <c r="AN56" i="28"/>
  <c r="AN364" i="28"/>
  <c r="AN386" i="28"/>
  <c r="AN387" i="28"/>
  <c r="AN365" i="28"/>
  <c r="AG46" i="59"/>
  <c r="AD73" i="8"/>
  <c r="AD207" i="6"/>
  <c r="AD62" i="28"/>
  <c r="AN62" i="28" s="1"/>
  <c r="AE43" i="35"/>
  <c r="AI43" i="35" s="1"/>
  <c r="AE42" i="35"/>
  <c r="AI42" i="35" s="1"/>
  <c r="AE41" i="35"/>
  <c r="AI41" i="35" s="1"/>
  <c r="AD34" i="35"/>
  <c r="AC40" i="35"/>
  <c r="AM40" i="35" s="1"/>
  <c r="AD39" i="35"/>
  <c r="AN39" i="35" s="1"/>
  <c r="AN45" i="35" s="1"/>
  <c r="AN51" i="35" s="1"/>
  <c r="AC39" i="35"/>
  <c r="AM39" i="35" s="1"/>
  <c r="AC37" i="35"/>
  <c r="AM37" i="35" s="1"/>
  <c r="AD24" i="35"/>
  <c r="AC24" i="35"/>
  <c r="AC33" i="36" s="1"/>
  <c r="AD19" i="35"/>
  <c r="AD26" i="9" s="1"/>
  <c r="AC19" i="35"/>
  <c r="AC26" i="9" s="1"/>
  <c r="AD15" i="35"/>
  <c r="AD11" i="35"/>
  <c r="AC10" i="35"/>
  <c r="AC9" i="35"/>
  <c r="AM9" i="35" s="1"/>
  <c r="AC8" i="35"/>
  <c r="AD7" i="35"/>
  <c r="AD6" i="35"/>
  <c r="AN6" i="35" s="1"/>
  <c r="BD6" i="35" s="1"/>
  <c r="BD5" i="6" s="1"/>
  <c r="AM86" i="9" l="1"/>
  <c r="BC69" i="9"/>
  <c r="BC86" i="9" s="1"/>
  <c r="AM81" i="9"/>
  <c r="BC64" i="9"/>
  <c r="BC81" i="9" s="1"/>
  <c r="AM73" i="9"/>
  <c r="BC56" i="9"/>
  <c r="BC73" i="9" s="1"/>
  <c r="AM85" i="9"/>
  <c r="BC68" i="9"/>
  <c r="BC85" i="9" s="1"/>
  <c r="AM80" i="9"/>
  <c r="BC63" i="9"/>
  <c r="BC80" i="9" s="1"/>
  <c r="AM76" i="9"/>
  <c r="BC59" i="9"/>
  <c r="BC76" i="9" s="1"/>
  <c r="BC93" i="9"/>
  <c r="BC94" i="9"/>
  <c r="BB18" i="15" s="1"/>
  <c r="AM83" i="9"/>
  <c r="BC66" i="9"/>
  <c r="BC83" i="9" s="1"/>
  <c r="AP52" i="59"/>
  <c r="BC104" i="9"/>
  <c r="BF52" i="59" s="1"/>
  <c r="AM78" i="9"/>
  <c r="BC61" i="9"/>
  <c r="BC78" i="9" s="1"/>
  <c r="AM96" i="9"/>
  <c r="BC95" i="9"/>
  <c r="BC96" i="9" s="1"/>
  <c r="AM82" i="9"/>
  <c r="AP55" i="59" s="1"/>
  <c r="BC65" i="9"/>
  <c r="BC82" i="9" s="1"/>
  <c r="BF55" i="59" s="1"/>
  <c r="AM87" i="9"/>
  <c r="AP54" i="59" s="1"/>
  <c r="BC70" i="9"/>
  <c r="BC87" i="9" s="1"/>
  <c r="BF54" i="59" s="1"/>
  <c r="AM84" i="9"/>
  <c r="BC67" i="9"/>
  <c r="BC84" i="9" s="1"/>
  <c r="BB16" i="15"/>
  <c r="AN391" i="28"/>
  <c r="BD62" i="28"/>
  <c r="BD391" i="28" s="1"/>
  <c r="BD11" i="6"/>
  <c r="AM6" i="15"/>
  <c r="AM27" i="8"/>
  <c r="AM43" i="8" s="1"/>
  <c r="AC67" i="8"/>
  <c r="AM67" i="8" s="1"/>
  <c r="AM6" i="49"/>
  <c r="AM86" i="8"/>
  <c r="AM48" i="8"/>
  <c r="AM76" i="8"/>
  <c r="AP45" i="59" s="1"/>
  <c r="AM23" i="8"/>
  <c r="AC9" i="49"/>
  <c r="AM94" i="9"/>
  <c r="AL18" i="15" s="1"/>
  <c r="AM93" i="9"/>
  <c r="AM55" i="9"/>
  <c r="AC57" i="9"/>
  <c r="AM58" i="9"/>
  <c r="AC60" i="9"/>
  <c r="AM60" i="9" s="1"/>
  <c r="AM33" i="36"/>
  <c r="AC34" i="36"/>
  <c r="AM46" i="8"/>
  <c r="AM44" i="8"/>
  <c r="AM49" i="8"/>
  <c r="AM74" i="8" s="1"/>
  <c r="AC74" i="8"/>
  <c r="AM25" i="36"/>
  <c r="AN5" i="6"/>
  <c r="AM45" i="35"/>
  <c r="AM51" i="35" s="1"/>
  <c r="AD19" i="36"/>
  <c r="AG50" i="59" s="1"/>
  <c r="AN19" i="36"/>
  <c r="AQ50" i="59" s="1"/>
  <c r="AM29" i="8"/>
  <c r="AM45" i="8" s="1"/>
  <c r="AC65" i="8"/>
  <c r="AM65" i="8" s="1"/>
  <c r="AM26" i="8"/>
  <c r="AC129" i="8"/>
  <c r="AC131" i="8" s="1"/>
  <c r="AC57" i="8"/>
  <c r="AC7" i="22"/>
  <c r="AC21" i="22"/>
  <c r="AC59" i="28"/>
  <c r="AM19" i="28"/>
  <c r="BC19" i="28" s="1"/>
  <c r="AC236" i="28"/>
  <c r="AP57" i="59"/>
  <c r="AM143" i="10"/>
  <c r="AP59" i="59" s="1"/>
  <c r="AD6" i="6"/>
  <c r="AD14" i="6" s="1"/>
  <c r="AN7" i="35"/>
  <c r="AC14" i="35"/>
  <c r="AM10" i="35"/>
  <c r="AM11" i="35" s="1"/>
  <c r="AM22" i="8"/>
  <c r="AC63" i="8"/>
  <c r="AC25" i="8"/>
  <c r="AC8" i="49"/>
  <c r="AM80" i="8"/>
  <c r="AM24" i="8"/>
  <c r="AC17" i="49"/>
  <c r="AC18" i="49" s="1"/>
  <c r="AC58" i="28"/>
  <c r="AC186" i="28"/>
  <c r="AM186" i="28" s="1"/>
  <c r="BC186" i="28" s="1"/>
  <c r="AM12" i="28"/>
  <c r="BC12" i="28" s="1"/>
  <c r="AM26" i="28"/>
  <c r="BC26" i="28" s="1"/>
  <c r="AC60" i="28"/>
  <c r="AC300" i="28"/>
  <c r="AM300" i="28" s="1"/>
  <c r="AM7" i="9"/>
  <c r="AM33" i="22"/>
  <c r="AM89" i="9"/>
  <c r="AL125" i="26"/>
  <c r="AM100" i="9"/>
  <c r="AQ72" i="59"/>
  <c r="AM7" i="15"/>
  <c r="AD44" i="35"/>
  <c r="AD45" i="35" s="1"/>
  <c r="AD31" i="35"/>
  <c r="AD35" i="35" s="1"/>
  <c r="AE71" i="83" s="1"/>
  <c r="AD8" i="35"/>
  <c r="AD5" i="6"/>
  <c r="AD33" i="36"/>
  <c r="AD212" i="6"/>
  <c r="AD9" i="36"/>
  <c r="AG10" i="59" s="1"/>
  <c r="AD391" i="28"/>
  <c r="AC11" i="35"/>
  <c r="AC13" i="35"/>
  <c r="AC34" i="35"/>
  <c r="AC31" i="35"/>
  <c r="AM75" i="9" l="1"/>
  <c r="BC58" i="9"/>
  <c r="BC75" i="9" s="1"/>
  <c r="AM72" i="9"/>
  <c r="BC55" i="9"/>
  <c r="AM77" i="9"/>
  <c r="BC60" i="9"/>
  <c r="BC77" i="9" s="1"/>
  <c r="BC375" i="28"/>
  <c r="AM383" i="28"/>
  <c r="BC300" i="28"/>
  <c r="BC383" i="28" s="1"/>
  <c r="AC375" i="28"/>
  <c r="BD56" i="6"/>
  <c r="BG16" i="59" s="1"/>
  <c r="BD57" i="6"/>
  <c r="BG23" i="59" s="1"/>
  <c r="AN6" i="6"/>
  <c r="AN12" i="6" s="1"/>
  <c r="BD7" i="35"/>
  <c r="BD6" i="6" s="1"/>
  <c r="AM72" i="8"/>
  <c r="AD12" i="6"/>
  <c r="AC35" i="8"/>
  <c r="AM35" i="8" s="1"/>
  <c r="AC383" i="28"/>
  <c r="AM236" i="28"/>
  <c r="BC236" i="28" s="1"/>
  <c r="AC371" i="28"/>
  <c r="AM57" i="8"/>
  <c r="AC61" i="8"/>
  <c r="AM375" i="28"/>
  <c r="AM7" i="22"/>
  <c r="AC8" i="22"/>
  <c r="AM8" i="22" s="1"/>
  <c r="AM21" i="22"/>
  <c r="BC21" i="22" s="1"/>
  <c r="AC22" i="22"/>
  <c r="AM22" i="22" s="1"/>
  <c r="BC22" i="22" s="1"/>
  <c r="AM39" i="8"/>
  <c r="AM9" i="49"/>
  <c r="AM11" i="36"/>
  <c r="AP38" i="59" s="1"/>
  <c r="AM17" i="49"/>
  <c r="AM18" i="49" s="1"/>
  <c r="AM40" i="8"/>
  <c r="AM12" i="36"/>
  <c r="AP39" i="59" s="1"/>
  <c r="AM14" i="35"/>
  <c r="AC379" i="28"/>
  <c r="AM60" i="28"/>
  <c r="BC60" i="28" s="1"/>
  <c r="AC73" i="28"/>
  <c r="AM63" i="8"/>
  <c r="AC10" i="49"/>
  <c r="AC12" i="49" s="1"/>
  <c r="AC14" i="49" s="1"/>
  <c r="AC15" i="49" s="1"/>
  <c r="AC16" i="49" s="1"/>
  <c r="AC19" i="49" s="1"/>
  <c r="AC20" i="49" s="1"/>
  <c r="AM129" i="8"/>
  <c r="AM131" i="8" s="1"/>
  <c r="AM42" i="8"/>
  <c r="AM50" i="8" s="1"/>
  <c r="AN8" i="35"/>
  <c r="AM34" i="36"/>
  <c r="AC35" i="36"/>
  <c r="AC36" i="36" s="1"/>
  <c r="AM13" i="35"/>
  <c r="AM58" i="28"/>
  <c r="BC58" i="28" s="1"/>
  <c r="AC65" i="28"/>
  <c r="AC33" i="8"/>
  <c r="AM33" i="8" s="1"/>
  <c r="AM8" i="49"/>
  <c r="AM10" i="36"/>
  <c r="AM38" i="8"/>
  <c r="AM25" i="8"/>
  <c r="AM59" i="28"/>
  <c r="BC59" i="28" s="1"/>
  <c r="AC69" i="28"/>
  <c r="AC370" i="28" s="1"/>
  <c r="AC130" i="8"/>
  <c r="AC132" i="8" s="1"/>
  <c r="AC36" i="8"/>
  <c r="AM36" i="8" s="1"/>
  <c r="BC36" i="8" s="1"/>
  <c r="AN11" i="6"/>
  <c r="AC62" i="9"/>
  <c r="AM62" i="9" s="1"/>
  <c r="AM57" i="9"/>
  <c r="AM74" i="9" s="1"/>
  <c r="AD51" i="35"/>
  <c r="AE69" i="83"/>
  <c r="AO71" i="83"/>
  <c r="AO69" i="83" s="1"/>
  <c r="AD34" i="36"/>
  <c r="AD35" i="36" s="1"/>
  <c r="AD36" i="36" s="1"/>
  <c r="AN33" i="36"/>
  <c r="AN14" i="6"/>
  <c r="AN188" i="6" s="1"/>
  <c r="AN57" i="6"/>
  <c r="AQ23" i="59" s="1"/>
  <c r="AN56" i="6"/>
  <c r="AQ16" i="59" s="1"/>
  <c r="AN58" i="6"/>
  <c r="AQ12" i="59" s="1"/>
  <c r="AC44" i="35"/>
  <c r="AC45" i="35" s="1"/>
  <c r="AC28" i="28"/>
  <c r="AM28" i="28" s="1"/>
  <c r="BC28" i="28" s="1"/>
  <c r="AD25" i="36"/>
  <c r="AG69" i="59" s="1"/>
  <c r="AD182" i="6"/>
  <c r="AD187" i="6"/>
  <c r="AD13" i="6"/>
  <c r="AD11" i="6"/>
  <c r="AD7" i="6"/>
  <c r="AC15" i="35"/>
  <c r="AC35" i="35"/>
  <c r="BC57" i="9" l="1"/>
  <c r="BC74" i="9" s="1"/>
  <c r="BC72" i="9"/>
  <c r="AM79" i="9"/>
  <c r="BC62" i="9"/>
  <c r="BC79" i="9" s="1"/>
  <c r="BC23" i="22"/>
  <c r="AM15" i="22"/>
  <c r="BC7" i="22"/>
  <c r="BB123" i="26"/>
  <c r="AM9" i="22"/>
  <c r="BC8" i="22"/>
  <c r="BC9" i="22" s="1"/>
  <c r="AN7" i="6"/>
  <c r="BC371" i="28"/>
  <c r="BC379" i="28"/>
  <c r="AO81" i="50"/>
  <c r="BD12" i="6"/>
  <c r="BD7" i="6"/>
  <c r="AM23" i="22"/>
  <c r="AM15" i="35"/>
  <c r="AM41" i="8"/>
  <c r="AC10" i="22"/>
  <c r="AC11" i="22" s="1"/>
  <c r="AM130" i="8"/>
  <c r="AM132" i="8" s="1"/>
  <c r="AM51" i="8" s="1"/>
  <c r="AL123" i="26"/>
  <c r="AN79" i="6"/>
  <c r="AN76" i="6"/>
  <c r="AN34" i="36"/>
  <c r="AM65" i="28"/>
  <c r="BC65" i="28" s="1"/>
  <c r="AC374" i="28"/>
  <c r="AC373" i="28"/>
  <c r="AM69" i="28"/>
  <c r="AC378" i="28"/>
  <c r="AC377" i="28"/>
  <c r="AP37" i="59"/>
  <c r="AM13" i="36"/>
  <c r="AP40" i="59" s="1"/>
  <c r="AM73" i="28"/>
  <c r="BC73" i="28" s="1"/>
  <c r="AC382" i="28"/>
  <c r="AC381" i="28"/>
  <c r="AC30" i="36"/>
  <c r="AF73" i="59" s="1"/>
  <c r="AM35" i="36"/>
  <c r="AM10" i="49"/>
  <c r="AM12" i="49" s="1"/>
  <c r="AM14" i="49" s="1"/>
  <c r="AM15" i="49" s="1"/>
  <c r="AM16" i="49" s="1"/>
  <c r="AM19" i="49" s="1"/>
  <c r="AM20" i="49" s="1"/>
  <c r="AM15" i="36" s="1"/>
  <c r="AM70" i="8"/>
  <c r="AC24" i="22"/>
  <c r="AM61" i="8"/>
  <c r="AM69" i="8" s="1"/>
  <c r="AC34" i="8"/>
  <c r="AM34" i="8" s="1"/>
  <c r="AM379" i="28"/>
  <c r="AM371" i="28"/>
  <c r="AN187" i="6"/>
  <c r="AN182" i="6"/>
  <c r="AN13" i="6"/>
  <c r="AN162" i="6" s="1"/>
  <c r="AD30" i="36"/>
  <c r="AG73" i="59" s="1"/>
  <c r="AN35" i="36"/>
  <c r="AC51" i="35"/>
  <c r="AC33" i="28"/>
  <c r="AM33" i="28" s="1"/>
  <c r="BC33" i="28" s="1"/>
  <c r="AC50" i="28"/>
  <c r="AD157" i="6"/>
  <c r="AD15" i="6"/>
  <c r="AD80" i="6" s="1"/>
  <c r="AD161" i="6"/>
  <c r="W52" i="11"/>
  <c r="AM370" i="28" l="1"/>
  <c r="BC69" i="28"/>
  <c r="BC374" i="28"/>
  <c r="BC373" i="28"/>
  <c r="BC382" i="28"/>
  <c r="BC381" i="28"/>
  <c r="AM10" i="22"/>
  <c r="BC10" i="22" s="1"/>
  <c r="AN75" i="6"/>
  <c r="AN81" i="6"/>
  <c r="AN78" i="6"/>
  <c r="AM24" i="22"/>
  <c r="BC24" i="22" s="1"/>
  <c r="AC25" i="22"/>
  <c r="AM378" i="28"/>
  <c r="AM377" i="28"/>
  <c r="AM382" i="28"/>
  <c r="AM381" i="28"/>
  <c r="AM374" i="28"/>
  <c r="AM373" i="28"/>
  <c r="AP46" i="59"/>
  <c r="AM73" i="8"/>
  <c r="AM11" i="22"/>
  <c r="BC11" i="22" s="1"/>
  <c r="BC12" i="22" s="1"/>
  <c r="AC13" i="22"/>
  <c r="AM13" i="22" s="1"/>
  <c r="AN161" i="6"/>
  <c r="AN15" i="6"/>
  <c r="AN80" i="6" s="1"/>
  <c r="AN157" i="6"/>
  <c r="AC55" i="28"/>
  <c r="AM50" i="28"/>
  <c r="BC50" i="28" s="1"/>
  <c r="W51" i="11"/>
  <c r="W90" i="11"/>
  <c r="AC61" i="28"/>
  <c r="AM61" i="28" s="1"/>
  <c r="BC61" i="28" s="1"/>
  <c r="AC361" i="28"/>
  <c r="AC387" i="28" s="1"/>
  <c r="AD77" i="6"/>
  <c r="AD34" i="6"/>
  <c r="AD33" i="6"/>
  <c r="AD36" i="6"/>
  <c r="AD35" i="6"/>
  <c r="W54" i="11"/>
  <c r="AB31" i="36"/>
  <c r="AA31" i="36"/>
  <c r="AM14" i="22" l="1"/>
  <c r="BC13" i="22"/>
  <c r="BC14" i="22" s="1"/>
  <c r="BC15" i="22"/>
  <c r="AM12" i="22"/>
  <c r="BC378" i="28"/>
  <c r="BC377" i="28"/>
  <c r="BC370" i="28"/>
  <c r="AN77" i="6"/>
  <c r="AC27" i="22"/>
  <c r="AM27" i="22" s="1"/>
  <c r="BC27" i="22" s="1"/>
  <c r="AM25" i="22"/>
  <c r="AN36" i="6"/>
  <c r="AN34" i="6"/>
  <c r="AN35" i="6"/>
  <c r="AN33" i="6"/>
  <c r="AC364" i="28"/>
  <c r="AM361" i="28"/>
  <c r="BC361" i="28" s="1"/>
  <c r="AC390" i="28"/>
  <c r="AM55" i="28"/>
  <c r="AC77" i="28"/>
  <c r="AM77" i="28" s="1"/>
  <c r="BC77" i="28" s="1"/>
  <c r="AC62" i="28"/>
  <c r="AD37" i="6"/>
  <c r="E58" i="77"/>
  <c r="F58" i="77"/>
  <c r="G58" i="77"/>
  <c r="J58" i="77"/>
  <c r="K58" i="77"/>
  <c r="N58" i="77"/>
  <c r="O58" i="77"/>
  <c r="R58" i="77"/>
  <c r="S58" i="77"/>
  <c r="V58" i="77"/>
  <c r="W58" i="77"/>
  <c r="E43" i="77"/>
  <c r="F43" i="77"/>
  <c r="G43" i="77"/>
  <c r="J43" i="77"/>
  <c r="K43" i="77"/>
  <c r="N43" i="77"/>
  <c r="O43" i="77"/>
  <c r="R43" i="77"/>
  <c r="S43" i="77"/>
  <c r="V43" i="77"/>
  <c r="W43" i="77"/>
  <c r="D43" i="77"/>
  <c r="E33" i="77"/>
  <c r="E106" i="77" s="1"/>
  <c r="F33" i="77"/>
  <c r="G33" i="77"/>
  <c r="G106" i="77" s="1"/>
  <c r="J33" i="77"/>
  <c r="K33" i="77"/>
  <c r="K106" i="77" s="1"/>
  <c r="N33" i="77"/>
  <c r="O33" i="77"/>
  <c r="O106" i="77" s="1"/>
  <c r="R33" i="77"/>
  <c r="S33" i="77"/>
  <c r="S106" i="77" s="1"/>
  <c r="V33" i="77"/>
  <c r="W33" i="77"/>
  <c r="W106" i="77" s="1"/>
  <c r="D33" i="77"/>
  <c r="E29" i="77"/>
  <c r="F29" i="77"/>
  <c r="G29" i="77"/>
  <c r="J29" i="77"/>
  <c r="K29" i="77"/>
  <c r="N29" i="77"/>
  <c r="O29" i="77"/>
  <c r="R29" i="77"/>
  <c r="S29" i="77"/>
  <c r="V29" i="77"/>
  <c r="W29" i="77"/>
  <c r="E23" i="77"/>
  <c r="E103" i="77" s="1"/>
  <c r="F23" i="77"/>
  <c r="G23" i="77"/>
  <c r="G103" i="77" s="1"/>
  <c r="J23" i="77"/>
  <c r="K23" i="77"/>
  <c r="K103" i="77" s="1"/>
  <c r="N23" i="77"/>
  <c r="O23" i="77"/>
  <c r="O103" i="77" s="1"/>
  <c r="R23" i="77"/>
  <c r="S23" i="77"/>
  <c r="S103" i="77" s="1"/>
  <c r="V23" i="77"/>
  <c r="W23" i="77"/>
  <c r="W103" i="77" s="1"/>
  <c r="E18" i="77"/>
  <c r="F18" i="77"/>
  <c r="G18" i="77"/>
  <c r="J18" i="77"/>
  <c r="K18" i="77"/>
  <c r="N18" i="77"/>
  <c r="O18" i="77"/>
  <c r="R18" i="77"/>
  <c r="S18" i="77"/>
  <c r="V18" i="77"/>
  <c r="W18" i="77"/>
  <c r="F13" i="77"/>
  <c r="G13" i="77"/>
  <c r="G101" i="77" s="1"/>
  <c r="J13" i="77"/>
  <c r="N13" i="77"/>
  <c r="R13" i="77"/>
  <c r="V13" i="77"/>
  <c r="E7" i="77"/>
  <c r="E100" i="77" s="1"/>
  <c r="F7" i="77"/>
  <c r="G7" i="77"/>
  <c r="G100" i="77" s="1"/>
  <c r="J7" i="77"/>
  <c r="N7" i="77"/>
  <c r="O7" i="77"/>
  <c r="O100" i="77" s="1"/>
  <c r="R7" i="77"/>
  <c r="S7" i="77"/>
  <c r="S100" i="77" s="1"/>
  <c r="V7" i="77"/>
  <c r="G105" i="77" l="1"/>
  <c r="G107" i="77" s="1"/>
  <c r="K102" i="77"/>
  <c r="K104" i="77"/>
  <c r="G104" i="77"/>
  <c r="G102" i="77"/>
  <c r="W105" i="77"/>
  <c r="W107" i="77" s="1"/>
  <c r="W102" i="77"/>
  <c r="W104" i="77"/>
  <c r="E105" i="77"/>
  <c r="E107" i="77" s="1"/>
  <c r="S104" i="77"/>
  <c r="S102" i="77"/>
  <c r="O105" i="77"/>
  <c r="O107" i="77" s="1"/>
  <c r="S105" i="77"/>
  <c r="S107" i="77" s="1"/>
  <c r="E102" i="77"/>
  <c r="E104" i="77"/>
  <c r="O104" i="77"/>
  <c r="O102" i="77"/>
  <c r="K105" i="77"/>
  <c r="K107" i="77" s="1"/>
  <c r="AM26" i="22"/>
  <c r="BC25" i="22"/>
  <c r="BC26" i="22" s="1"/>
  <c r="AM29" i="22"/>
  <c r="BC29" i="22" s="1"/>
  <c r="BC386" i="28"/>
  <c r="BC385" i="28"/>
  <c r="AM390" i="28"/>
  <c r="BC55" i="28"/>
  <c r="BC390" i="28" s="1"/>
  <c r="BC365" i="28"/>
  <c r="BC364" i="28"/>
  <c r="BC387" i="28"/>
  <c r="AN37" i="6"/>
  <c r="AM28" i="22"/>
  <c r="AC391" i="28"/>
  <c r="AM62" i="28"/>
  <c r="AM386" i="28"/>
  <c r="AM385" i="28"/>
  <c r="AM364" i="28"/>
  <c r="AM365" i="28"/>
  <c r="AM387" i="28"/>
  <c r="AC365" i="28"/>
  <c r="AC386" i="28"/>
  <c r="AC81" i="28"/>
  <c r="AM81" i="28" s="1"/>
  <c r="BC81" i="28" s="1"/>
  <c r="AC385" i="28"/>
  <c r="Z350" i="28"/>
  <c r="Z351" i="28"/>
  <c r="Z352" i="28"/>
  <c r="Z353" i="28"/>
  <c r="Z354" i="28"/>
  <c r="Z355" i="28"/>
  <c r="N351" i="28"/>
  <c r="N352" i="28"/>
  <c r="N353" i="28"/>
  <c r="N354" i="28"/>
  <c r="N350" i="28"/>
  <c r="X349" i="28"/>
  <c r="T349" i="28"/>
  <c r="P349" i="28"/>
  <c r="L349" i="28"/>
  <c r="H349" i="28"/>
  <c r="F349" i="28"/>
  <c r="X345" i="28"/>
  <c r="T345" i="28"/>
  <c r="P345" i="28"/>
  <c r="L345" i="28"/>
  <c r="H345" i="28"/>
  <c r="F345" i="28"/>
  <c r="Z319" i="28"/>
  <c r="Z320" i="28"/>
  <c r="Z321" i="28"/>
  <c r="Z322" i="28"/>
  <c r="Z323" i="28"/>
  <c r="Z325" i="28"/>
  <c r="Z326" i="28"/>
  <c r="Z327" i="28"/>
  <c r="Z328" i="28"/>
  <c r="Z330" i="28"/>
  <c r="Z331" i="28"/>
  <c r="Z332" i="28"/>
  <c r="Z333" i="28"/>
  <c r="Z334" i="28"/>
  <c r="Z335" i="28"/>
  <c r="Z337" i="28"/>
  <c r="Z340" i="28"/>
  <c r="Z342" i="28"/>
  <c r="N319" i="28"/>
  <c r="N320" i="28"/>
  <c r="N321" i="28"/>
  <c r="N322" i="28"/>
  <c r="N323" i="28"/>
  <c r="N325" i="28"/>
  <c r="N326" i="28"/>
  <c r="N327" i="28"/>
  <c r="N328" i="28"/>
  <c r="N330" i="28"/>
  <c r="N331" i="28"/>
  <c r="N332" i="28"/>
  <c r="N333" i="28"/>
  <c r="N334" i="28"/>
  <c r="N335" i="28"/>
  <c r="N337" i="28"/>
  <c r="N340" i="28"/>
  <c r="N342" i="28"/>
  <c r="X318" i="28"/>
  <c r="X317" i="28"/>
  <c r="T318" i="28"/>
  <c r="T317" i="28"/>
  <c r="P318" i="28"/>
  <c r="P317" i="28"/>
  <c r="L318" i="28"/>
  <c r="L317" i="28"/>
  <c r="H318" i="28"/>
  <c r="H317" i="28"/>
  <c r="F318" i="28"/>
  <c r="F317" i="28"/>
  <c r="BC28" i="22" l="1"/>
  <c r="AB337" i="28"/>
  <c r="AF337" i="28" s="1"/>
  <c r="AJ337" i="28" s="1"/>
  <c r="AP337" i="28" s="1"/>
  <c r="AT337" i="28" s="1"/>
  <c r="AX337" i="28" s="1"/>
  <c r="BF337" i="28" s="1"/>
  <c r="L360" i="28"/>
  <c r="AM391" i="28"/>
  <c r="BC62" i="28"/>
  <c r="BC391" i="28" s="1"/>
  <c r="AB322" i="28"/>
  <c r="AF322" i="28" s="1"/>
  <c r="AJ322" i="28" s="1"/>
  <c r="AP322" i="28" s="1"/>
  <c r="AT322" i="28" s="1"/>
  <c r="AX322" i="28" s="1"/>
  <c r="BF322" i="28" s="1"/>
  <c r="AB340" i="28"/>
  <c r="AF340" i="28" s="1"/>
  <c r="AJ340" i="28" s="1"/>
  <c r="AP340" i="28" s="1"/>
  <c r="AT340" i="28" s="1"/>
  <c r="AX340" i="28" s="1"/>
  <c r="BF340" i="28" s="1"/>
  <c r="AB323" i="28"/>
  <c r="AF323" i="28" s="1"/>
  <c r="AJ323" i="28" s="1"/>
  <c r="AP323" i="28" s="1"/>
  <c r="AT323" i="28" s="1"/>
  <c r="AX323" i="28" s="1"/>
  <c r="BF323" i="28" s="1"/>
  <c r="AB335" i="28"/>
  <c r="AF335" i="28" s="1"/>
  <c r="AJ335" i="28" s="1"/>
  <c r="AP335" i="28" s="1"/>
  <c r="AT335" i="28" s="1"/>
  <c r="AX335" i="28" s="1"/>
  <c r="BF335" i="28" s="1"/>
  <c r="T343" i="28"/>
  <c r="AB354" i="28"/>
  <c r="AF354" i="28" s="1"/>
  <c r="AJ354" i="28" s="1"/>
  <c r="AP354" i="28" s="1"/>
  <c r="AT354" i="28" s="1"/>
  <c r="AX354" i="28" s="1"/>
  <c r="BF354" i="28" s="1"/>
  <c r="X360" i="28"/>
  <c r="P360" i="28"/>
  <c r="L343" i="28"/>
  <c r="X343" i="28"/>
  <c r="T360" i="28"/>
  <c r="AB353" i="28"/>
  <c r="AF353" i="28" s="1"/>
  <c r="AJ353" i="28" s="1"/>
  <c r="AP353" i="28" s="1"/>
  <c r="AT353" i="28" s="1"/>
  <c r="AX353" i="28" s="1"/>
  <c r="BF353" i="28" s="1"/>
  <c r="AB352" i="28"/>
  <c r="AF352" i="28" s="1"/>
  <c r="AJ352" i="28" s="1"/>
  <c r="AP352" i="28" s="1"/>
  <c r="AT352" i="28" s="1"/>
  <c r="AX352" i="28" s="1"/>
  <c r="BF352" i="28" s="1"/>
  <c r="F360" i="28"/>
  <c r="N317" i="28"/>
  <c r="N318" i="28"/>
  <c r="P343" i="28"/>
  <c r="H343" i="28"/>
  <c r="H360" i="28"/>
  <c r="Z318" i="28"/>
  <c r="Z317" i="28"/>
  <c r="AB320" i="28"/>
  <c r="AF320" i="28" s="1"/>
  <c r="AJ320" i="28" s="1"/>
  <c r="AP320" i="28" s="1"/>
  <c r="AT320" i="28" s="1"/>
  <c r="AX320" i="28" s="1"/>
  <c r="BF320" i="28" s="1"/>
  <c r="F343" i="28"/>
  <c r="AB333" i="28"/>
  <c r="AF333" i="28" s="1"/>
  <c r="AJ333" i="28" s="1"/>
  <c r="AP333" i="28" s="1"/>
  <c r="AT333" i="28" s="1"/>
  <c r="AX333" i="28" s="1"/>
  <c r="BF333" i="28" s="1"/>
  <c r="AB319" i="28"/>
  <c r="AB332" i="28"/>
  <c r="AF332" i="28" s="1"/>
  <c r="AJ332" i="28" s="1"/>
  <c r="AP332" i="28" s="1"/>
  <c r="AT332" i="28" s="1"/>
  <c r="AX332" i="28" s="1"/>
  <c r="BF332" i="28" s="1"/>
  <c r="AB331" i="28"/>
  <c r="AF331" i="28" s="1"/>
  <c r="AJ331" i="28" s="1"/>
  <c r="AP331" i="28" s="1"/>
  <c r="AT331" i="28" s="1"/>
  <c r="AX331" i="28" s="1"/>
  <c r="BF331" i="28" s="1"/>
  <c r="Z349" i="28"/>
  <c r="AB334" i="28"/>
  <c r="AF334" i="28" s="1"/>
  <c r="AJ334" i="28" s="1"/>
  <c r="AP334" i="28" s="1"/>
  <c r="AT334" i="28" s="1"/>
  <c r="AX334" i="28" s="1"/>
  <c r="BF334" i="28" s="1"/>
  <c r="AB351" i="28"/>
  <c r="AF351" i="28" s="1"/>
  <c r="AJ351" i="28" s="1"/>
  <c r="AP351" i="28" s="1"/>
  <c r="AT351" i="28" s="1"/>
  <c r="AX351" i="28" s="1"/>
  <c r="BF351" i="28" s="1"/>
  <c r="N349" i="28"/>
  <c r="AB350" i="28"/>
  <c r="AF350" i="28" s="1"/>
  <c r="AJ350" i="28" s="1"/>
  <c r="AP350" i="28" s="1"/>
  <c r="AT350" i="28" s="1"/>
  <c r="AX350" i="28" s="1"/>
  <c r="BF350" i="28" s="1"/>
  <c r="AB330" i="28"/>
  <c r="AF330" i="28" s="1"/>
  <c r="AJ330" i="28" s="1"/>
  <c r="AP330" i="28" s="1"/>
  <c r="AT330" i="28" s="1"/>
  <c r="AX330" i="28" s="1"/>
  <c r="BF330" i="28" s="1"/>
  <c r="AB328" i="28"/>
  <c r="AF328" i="28" s="1"/>
  <c r="AJ328" i="28" s="1"/>
  <c r="AP328" i="28" s="1"/>
  <c r="AT328" i="28" s="1"/>
  <c r="AX328" i="28" s="1"/>
  <c r="BF328" i="28" s="1"/>
  <c r="AB327" i="28"/>
  <c r="AF327" i="28" s="1"/>
  <c r="AJ327" i="28" s="1"/>
  <c r="AP327" i="28" s="1"/>
  <c r="AT327" i="28" s="1"/>
  <c r="AX327" i="28" s="1"/>
  <c r="BF327" i="28" s="1"/>
  <c r="AB326" i="28"/>
  <c r="AF326" i="28" s="1"/>
  <c r="AJ326" i="28" s="1"/>
  <c r="AP326" i="28" s="1"/>
  <c r="AT326" i="28" s="1"/>
  <c r="AX326" i="28" s="1"/>
  <c r="BF326" i="28" s="1"/>
  <c r="AB342" i="28"/>
  <c r="AF342" i="28" s="1"/>
  <c r="AJ342" i="28" s="1"/>
  <c r="AP342" i="28" s="1"/>
  <c r="AT342" i="28" s="1"/>
  <c r="AX342" i="28" s="1"/>
  <c r="BF342" i="28" s="1"/>
  <c r="AB325" i="28"/>
  <c r="AF325" i="28" s="1"/>
  <c r="AJ325" i="28" s="1"/>
  <c r="AP325" i="28" s="1"/>
  <c r="AT325" i="28" s="1"/>
  <c r="AX325" i="28" s="1"/>
  <c r="BF325" i="28" s="1"/>
  <c r="AB321" i="28"/>
  <c r="AF321" i="28" s="1"/>
  <c r="AJ321" i="28" s="1"/>
  <c r="AP321" i="28" s="1"/>
  <c r="AT321" i="28" s="1"/>
  <c r="AX321" i="28" s="1"/>
  <c r="BF321" i="28" s="1"/>
  <c r="N345" i="28"/>
  <c r="Z345" i="28"/>
  <c r="L361" i="28" l="1"/>
  <c r="T361" i="28"/>
  <c r="X361" i="28"/>
  <c r="AB349" i="28"/>
  <c r="AF349" i="28" s="1"/>
  <c r="AJ349" i="28" s="1"/>
  <c r="AP349" i="28" s="1"/>
  <c r="AT349" i="28" s="1"/>
  <c r="AX349" i="28" s="1"/>
  <c r="BF349" i="28" s="1"/>
  <c r="AB317" i="28"/>
  <c r="AF317" i="28" s="1"/>
  <c r="AJ317" i="28" s="1"/>
  <c r="AP317" i="28" s="1"/>
  <c r="AT317" i="28" s="1"/>
  <c r="AX317" i="28" s="1"/>
  <c r="BF317" i="28" s="1"/>
  <c r="H361" i="28"/>
  <c r="Z343" i="28"/>
  <c r="P361" i="28"/>
  <c r="N343" i="28"/>
  <c r="F361" i="28"/>
  <c r="AB318" i="28"/>
  <c r="AF318" i="28" s="1"/>
  <c r="AJ318" i="28" s="1"/>
  <c r="AP318" i="28" s="1"/>
  <c r="AT318" i="28" s="1"/>
  <c r="AX318" i="28" s="1"/>
  <c r="BF318" i="28" s="1"/>
  <c r="AB345" i="28"/>
  <c r="AF345" i="28" s="1"/>
  <c r="AJ345" i="28" s="1"/>
  <c r="AP345" i="28" s="1"/>
  <c r="AT345" i="28" s="1"/>
  <c r="AX345" i="28" s="1"/>
  <c r="BF345" i="28" s="1"/>
  <c r="AB343" i="28" l="1"/>
  <c r="AF343" i="28" s="1"/>
  <c r="AJ343" i="28" s="1"/>
  <c r="AP343" i="28" s="1"/>
  <c r="AT343" i="28" s="1"/>
  <c r="AX343" i="28" s="1"/>
  <c r="BF343" i="28" s="1"/>
  <c r="M174" i="73"/>
  <c r="AA174" i="73" s="1"/>
  <c r="M175" i="73"/>
  <c r="AA175" i="73" s="1"/>
  <c r="M177" i="73"/>
  <c r="AA177" i="73" s="1"/>
  <c r="M178" i="73"/>
  <c r="AA178" i="73" s="1"/>
  <c r="AE177" i="73" l="1"/>
  <c r="AI177" i="73" s="1"/>
  <c r="AO177" i="73" s="1"/>
  <c r="AS177" i="73" s="1"/>
  <c r="AW177" i="73" s="1"/>
  <c r="BE177" i="73" s="1"/>
  <c r="AE178" i="73"/>
  <c r="AI178" i="73" s="1"/>
  <c r="AO178" i="73" s="1"/>
  <c r="AS178" i="73" s="1"/>
  <c r="AW178" i="73" s="1"/>
  <c r="BE178" i="73" s="1"/>
  <c r="AE175" i="73"/>
  <c r="AI175" i="73" s="1"/>
  <c r="AO175" i="73" s="1"/>
  <c r="AS175" i="73" s="1"/>
  <c r="AW175" i="73" s="1"/>
  <c r="BE175" i="73" s="1"/>
  <c r="AE174" i="73"/>
  <c r="AI174" i="73" s="1"/>
  <c r="AO174" i="73" s="1"/>
  <c r="AS174" i="73" s="1"/>
  <c r="AW174" i="73" s="1"/>
  <c r="BE174" i="73" s="1"/>
  <c r="Y12" i="39"/>
  <c r="W6" i="77"/>
  <c r="W7" i="77" s="1"/>
  <c r="W100" i="77" s="1"/>
  <c r="K6" i="77"/>
  <c r="K7" i="77" s="1"/>
  <c r="K100" i="77" s="1"/>
  <c r="W12" i="77" l="1"/>
  <c r="W13" i="77" s="1"/>
  <c r="W101" i="77" s="1"/>
  <c r="S12" i="77"/>
  <c r="S13" i="77" s="1"/>
  <c r="S101" i="77" s="1"/>
  <c r="O12" i="77"/>
  <c r="O13" i="77" s="1"/>
  <c r="O101" i="77" s="1"/>
  <c r="K12" i="77"/>
  <c r="K13" i="77" s="1"/>
  <c r="K101" i="77" s="1"/>
  <c r="W73" i="77"/>
  <c r="W115" i="77" s="1"/>
  <c r="T46" i="28"/>
  <c r="L46" i="28"/>
  <c r="Y41" i="83" l="1"/>
  <c r="Y99" i="6"/>
  <c r="X125" i="6"/>
  <c r="X124" i="6"/>
  <c r="X123" i="6"/>
  <c r="X122" i="6"/>
  <c r="X121" i="6"/>
  <c r="Z69" i="6"/>
  <c r="Z70" i="6"/>
  <c r="Z71" i="6"/>
  <c r="Z72" i="6"/>
  <c r="AA65" i="39"/>
  <c r="AA64" i="39"/>
  <c r="X265" i="28"/>
  <c r="X289" i="28"/>
  <c r="X160" i="28"/>
  <c r="P160" i="28"/>
  <c r="X32" i="28"/>
  <c r="Z8" i="28"/>
  <c r="Z9" i="28"/>
  <c r="Z10" i="28"/>
  <c r="Z11" i="28"/>
  <c r="AA41" i="83" l="1"/>
  <c r="N346" i="28"/>
  <c r="N347" i="28"/>
  <c r="Z346" i="28"/>
  <c r="Z347" i="28"/>
  <c r="F32" i="28"/>
  <c r="H32" i="28"/>
  <c r="L32" i="28"/>
  <c r="P32" i="28"/>
  <c r="T32" i="28"/>
  <c r="X12" i="7"/>
  <c r="AB347" i="28" l="1"/>
  <c r="AF347" i="28" s="1"/>
  <c r="AJ347" i="28" s="1"/>
  <c r="AP347" i="28" s="1"/>
  <c r="AT347" i="28" s="1"/>
  <c r="AX347" i="28" s="1"/>
  <c r="BF347" i="28" s="1"/>
  <c r="AB346" i="28"/>
  <c r="AF346" i="28" s="1"/>
  <c r="AJ346" i="28" s="1"/>
  <c r="AP346" i="28" s="1"/>
  <c r="AT346" i="28" s="1"/>
  <c r="AX346" i="28" s="1"/>
  <c r="BF346" i="28" s="1"/>
  <c r="AC41" i="83"/>
  <c r="AG41" i="83" s="1"/>
  <c r="AK41" i="83" s="1"/>
  <c r="AQ41" i="83" s="1"/>
  <c r="Z2" i="9"/>
  <c r="Y2" i="9"/>
  <c r="Z112" i="9"/>
  <c r="Z113" i="9"/>
  <c r="Z114" i="9"/>
  <c r="Z115" i="9"/>
  <c r="Z116" i="9"/>
  <c r="Z117" i="9"/>
  <c r="Z118" i="9"/>
  <c r="Z119" i="9"/>
  <c r="Z120" i="9"/>
  <c r="Z121" i="9"/>
  <c r="Z122" i="9"/>
  <c r="Z123" i="9"/>
  <c r="Z124" i="9"/>
  <c r="Z125" i="9"/>
  <c r="Z126" i="9"/>
  <c r="Z127" i="9"/>
  <c r="Z128" i="9"/>
  <c r="Z129" i="9"/>
  <c r="Z130" i="9"/>
  <c r="Z131" i="9"/>
  <c r="Z132" i="9"/>
  <c r="S78" i="9"/>
  <c r="S76" i="9"/>
  <c r="S75" i="9"/>
  <c r="S73" i="9"/>
  <c r="S72" i="9"/>
  <c r="W78" i="9"/>
  <c r="W76" i="9"/>
  <c r="W75" i="9"/>
  <c r="W77" i="9" s="1"/>
  <c r="W73" i="9"/>
  <c r="W72" i="9"/>
  <c r="W74" i="9" s="1"/>
  <c r="AU41" i="83" l="1"/>
  <c r="AY41" i="83" s="1"/>
  <c r="BG41" i="83" s="1"/>
  <c r="BE41" i="83"/>
  <c r="S77" i="9"/>
  <c r="S74" i="9"/>
  <c r="Z41" i="35"/>
  <c r="Z42" i="35"/>
  <c r="Z43" i="35"/>
  <c r="N41" i="35"/>
  <c r="N42" i="35"/>
  <c r="N43" i="35"/>
  <c r="Z10" i="35"/>
  <c r="N10" i="35"/>
  <c r="Y7" i="17"/>
  <c r="M7" i="17"/>
  <c r="Y92" i="17"/>
  <c r="Y93" i="17"/>
  <c r="Y94" i="17"/>
  <c r="Y95" i="17"/>
  <c r="Y96" i="17"/>
  <c r="Y97" i="17"/>
  <c r="Y98" i="17"/>
  <c r="Y99" i="17"/>
  <c r="Y100" i="17"/>
  <c r="Y101" i="17"/>
  <c r="Y102" i="17"/>
  <c r="Y103" i="17"/>
  <c r="Y104" i="17"/>
  <c r="Y105" i="17"/>
  <c r="Y106" i="17"/>
  <c r="Y107" i="17"/>
  <c r="Y108" i="17"/>
  <c r="M92" i="17"/>
  <c r="M93" i="17"/>
  <c r="AA93" i="17" s="1"/>
  <c r="AE93" i="17" s="1"/>
  <c r="AI93" i="17" s="1"/>
  <c r="AO93" i="17" s="1"/>
  <c r="AS93" i="17" s="1"/>
  <c r="M94" i="17"/>
  <c r="M95" i="17"/>
  <c r="M96" i="17"/>
  <c r="M97" i="17"/>
  <c r="M98" i="17"/>
  <c r="M99" i="17"/>
  <c r="AA99" i="17" s="1"/>
  <c r="AE99" i="17" s="1"/>
  <c r="AI99" i="17" s="1"/>
  <c r="AO99" i="17" s="1"/>
  <c r="AS99" i="17" s="1"/>
  <c r="M100" i="17"/>
  <c r="AA100" i="17" s="1"/>
  <c r="AE100" i="17" s="1"/>
  <c r="AI100" i="17" s="1"/>
  <c r="AO100" i="17" s="1"/>
  <c r="AS100" i="17" s="1"/>
  <c r="M101" i="17"/>
  <c r="M102" i="17"/>
  <c r="M103" i="17"/>
  <c r="M104" i="17"/>
  <c r="M105" i="17"/>
  <c r="AA105" i="17" s="1"/>
  <c r="AE105" i="17" s="1"/>
  <c r="AI105" i="17" s="1"/>
  <c r="AO105" i="17" s="1"/>
  <c r="AS105" i="17" s="1"/>
  <c r="M106" i="17"/>
  <c r="M107" i="17"/>
  <c r="M108" i="17"/>
  <c r="M91" i="17"/>
  <c r="Y60" i="17"/>
  <c r="Y57" i="17"/>
  <c r="Y56" i="17"/>
  <c r="Y47" i="17"/>
  <c r="M47" i="17"/>
  <c r="M41" i="17"/>
  <c r="M39" i="17"/>
  <c r="M37" i="17"/>
  <c r="Y26" i="17"/>
  <c r="X26" i="17"/>
  <c r="Y24" i="17"/>
  <c r="X24" i="17"/>
  <c r="Y23" i="17"/>
  <c r="X23" i="17"/>
  <c r="M26" i="17"/>
  <c r="AA26" i="17" s="1"/>
  <c r="AE26" i="17" s="1"/>
  <c r="AI26" i="17" s="1"/>
  <c r="AO26" i="17" s="1"/>
  <c r="AS26" i="17" s="1"/>
  <c r="AW26" i="17" s="1"/>
  <c r="L26" i="17"/>
  <c r="Z26" i="17" s="1"/>
  <c r="AD26" i="17" s="1"/>
  <c r="M24" i="17"/>
  <c r="L24" i="17"/>
  <c r="M23" i="17"/>
  <c r="AA23" i="17" s="1"/>
  <c r="AE23" i="17" s="1"/>
  <c r="L23" i="17"/>
  <c r="Y18" i="17"/>
  <c r="Y19" i="17"/>
  <c r="Y20" i="17"/>
  <c r="Y17" i="17"/>
  <c r="M18" i="17"/>
  <c r="AA18" i="17" s="1"/>
  <c r="AE18" i="17" s="1"/>
  <c r="AI18" i="17" s="1"/>
  <c r="AO18" i="17" s="1"/>
  <c r="AS18" i="17" s="1"/>
  <c r="AW18" i="17" s="1"/>
  <c r="M19" i="17"/>
  <c r="M20" i="17"/>
  <c r="M17" i="17"/>
  <c r="BE26" i="17" l="1"/>
  <c r="BE18" i="17"/>
  <c r="AA47" i="17"/>
  <c r="AE47" i="17" s="1"/>
  <c r="AI47" i="17" s="1"/>
  <c r="AO47" i="17" s="1"/>
  <c r="AS47" i="17" s="1"/>
  <c r="AW47" i="17" s="1"/>
  <c r="AA92" i="17"/>
  <c r="AE92" i="17" s="1"/>
  <c r="AI92" i="17" s="1"/>
  <c r="AO92" i="17" s="1"/>
  <c r="AS92" i="17" s="1"/>
  <c r="AA24" i="17"/>
  <c r="AE24" i="17" s="1"/>
  <c r="AI24" i="17" s="1"/>
  <c r="AO24" i="17" s="1"/>
  <c r="AS24" i="17" s="1"/>
  <c r="AW24" i="17" s="1"/>
  <c r="AA98" i="17"/>
  <c r="AE98" i="17" s="1"/>
  <c r="AI98" i="17" s="1"/>
  <c r="AO98" i="17" s="1"/>
  <c r="AS98" i="17" s="1"/>
  <c r="AA104" i="17"/>
  <c r="AE104" i="17" s="1"/>
  <c r="AI104" i="17" s="1"/>
  <c r="AO104" i="17" s="1"/>
  <c r="AS104" i="17" s="1"/>
  <c r="AI23" i="17"/>
  <c r="AO23" i="17" s="1"/>
  <c r="AS23" i="17" s="1"/>
  <c r="AW23" i="17" s="1"/>
  <c r="AA103" i="17"/>
  <c r="AE103" i="17" s="1"/>
  <c r="AI103" i="17" s="1"/>
  <c r="AO103" i="17" s="1"/>
  <c r="AS103" i="17" s="1"/>
  <c r="AA97" i="17"/>
  <c r="AE97" i="17" s="1"/>
  <c r="AI97" i="17" s="1"/>
  <c r="AO97" i="17" s="1"/>
  <c r="AS97" i="17" s="1"/>
  <c r="AA17" i="17"/>
  <c r="AE17" i="17" s="1"/>
  <c r="AA108" i="17"/>
  <c r="AE108" i="17" s="1"/>
  <c r="AI108" i="17" s="1"/>
  <c r="AO108" i="17" s="1"/>
  <c r="AS108" i="17" s="1"/>
  <c r="AA102" i="17"/>
  <c r="AE102" i="17" s="1"/>
  <c r="AI102" i="17" s="1"/>
  <c r="AO102" i="17" s="1"/>
  <c r="AS102" i="17" s="1"/>
  <c r="AA96" i="17"/>
  <c r="AE96" i="17" s="1"/>
  <c r="AI96" i="17" s="1"/>
  <c r="AO96" i="17" s="1"/>
  <c r="AS96" i="17" s="1"/>
  <c r="AH26" i="17"/>
  <c r="AN26" i="17" s="1"/>
  <c r="AR26" i="17" s="1"/>
  <c r="AV26" i="17" s="1"/>
  <c r="AA20" i="17"/>
  <c r="AE20" i="17" s="1"/>
  <c r="AI20" i="17" s="1"/>
  <c r="AO20" i="17" s="1"/>
  <c r="AS20" i="17" s="1"/>
  <c r="AW20" i="17" s="1"/>
  <c r="BE20" i="17" s="1"/>
  <c r="AA107" i="17"/>
  <c r="AE107" i="17" s="1"/>
  <c r="AI107" i="17" s="1"/>
  <c r="AO107" i="17" s="1"/>
  <c r="AS107" i="17" s="1"/>
  <c r="AA101" i="17"/>
  <c r="AE101" i="17" s="1"/>
  <c r="AI101" i="17" s="1"/>
  <c r="AO101" i="17" s="1"/>
  <c r="AS101" i="17" s="1"/>
  <c r="AA95" i="17"/>
  <c r="AE95" i="17" s="1"/>
  <c r="AI95" i="17" s="1"/>
  <c r="AO95" i="17" s="1"/>
  <c r="AS95" i="17" s="1"/>
  <c r="Z24" i="17"/>
  <c r="AD24" i="17" s="1"/>
  <c r="AA19" i="17"/>
  <c r="AE19" i="17" s="1"/>
  <c r="AI19" i="17" s="1"/>
  <c r="AO19" i="17" s="1"/>
  <c r="AS19" i="17" s="1"/>
  <c r="AW19" i="17" s="1"/>
  <c r="BE19" i="17" s="1"/>
  <c r="M43" i="17"/>
  <c r="AA106" i="17"/>
  <c r="AE106" i="17" s="1"/>
  <c r="AI106" i="17" s="1"/>
  <c r="AO106" i="17" s="1"/>
  <c r="AS106" i="17" s="1"/>
  <c r="AA94" i="17"/>
  <c r="AE94" i="17" s="1"/>
  <c r="AI94" i="17" s="1"/>
  <c r="AO94" i="17" s="1"/>
  <c r="AS94" i="17" s="1"/>
  <c r="AB43" i="35"/>
  <c r="AF43" i="35" s="1"/>
  <c r="AJ43" i="35" s="1"/>
  <c r="AP43" i="35" s="1"/>
  <c r="AB42" i="35"/>
  <c r="AF42" i="35" s="1"/>
  <c r="AJ42" i="35" s="1"/>
  <c r="AP42" i="35" s="1"/>
  <c r="AB41" i="35"/>
  <c r="AF41" i="35" s="1"/>
  <c r="AJ41" i="35" s="1"/>
  <c r="AP41" i="35" s="1"/>
  <c r="Z23" i="17"/>
  <c r="AD23" i="17" s="1"/>
  <c r="AA7" i="17"/>
  <c r="AE7" i="17" s="1"/>
  <c r="X9" i="17"/>
  <c r="L9" i="17"/>
  <c r="Z9" i="17" s="1"/>
  <c r="AD9" i="17" s="1"/>
  <c r="T11" i="85"/>
  <c r="T10" i="85"/>
  <c r="T13" i="85"/>
  <c r="AW48" i="17" l="1"/>
  <c r="BE47" i="17"/>
  <c r="AW49" i="17"/>
  <c r="AW50" i="17" s="1"/>
  <c r="BD26" i="17"/>
  <c r="BE21" i="17"/>
  <c r="BE23" i="17"/>
  <c r="AW21" i="17"/>
  <c r="BE24" i="17"/>
  <c r="AT43" i="35"/>
  <c r="AX43" i="35" s="1"/>
  <c r="BF43" i="35" s="1"/>
  <c r="AT41" i="35"/>
  <c r="AX41" i="35" s="1"/>
  <c r="BF41" i="35" s="1"/>
  <c r="AT42" i="35"/>
  <c r="AX42" i="35" s="1"/>
  <c r="BF42" i="35" s="1"/>
  <c r="AI7" i="17"/>
  <c r="AO7" i="17" s="1"/>
  <c r="AS7" i="17" s="1"/>
  <c r="AW7" i="17" s="1"/>
  <c r="AH23" i="17"/>
  <c r="AN23" i="17" s="1"/>
  <c r="AR23" i="17" s="1"/>
  <c r="AV23" i="17" s="1"/>
  <c r="AH24" i="17"/>
  <c r="AN24" i="17" s="1"/>
  <c r="AR24" i="17" s="1"/>
  <c r="AV24" i="17" s="1"/>
  <c r="BD24" i="17" s="1"/>
  <c r="AH9" i="17"/>
  <c r="AN9" i="17" s="1"/>
  <c r="AR9" i="17" s="1"/>
  <c r="AV9" i="17" s="1"/>
  <c r="AI17" i="17"/>
  <c r="AE21" i="17"/>
  <c r="Y94" i="7"/>
  <c r="Y88" i="7"/>
  <c r="Y85" i="7"/>
  <c r="Y66" i="7"/>
  <c r="Z66" i="7"/>
  <c r="M66" i="7"/>
  <c r="AA66" i="7" s="1"/>
  <c r="AE66" i="7" s="1"/>
  <c r="N66" i="7"/>
  <c r="AB66" i="7" s="1"/>
  <c r="AF66" i="7" s="1"/>
  <c r="N38" i="7"/>
  <c r="N39" i="7"/>
  <c r="N40" i="7"/>
  <c r="N41" i="7"/>
  <c r="N42" i="7"/>
  <c r="N43" i="7"/>
  <c r="N44" i="7"/>
  <c r="N45" i="7"/>
  <c r="M38" i="7"/>
  <c r="M39" i="7"/>
  <c r="M40" i="7"/>
  <c r="M41" i="7"/>
  <c r="M42" i="7"/>
  <c r="M43" i="7"/>
  <c r="M44" i="7"/>
  <c r="M45" i="7"/>
  <c r="Z38" i="7"/>
  <c r="Z39" i="7"/>
  <c r="Z40" i="7"/>
  <c r="Z41" i="7"/>
  <c r="Z42" i="7"/>
  <c r="Z43" i="7"/>
  <c r="Z44" i="7"/>
  <c r="AB44" i="7" s="1"/>
  <c r="AF44" i="7" s="1"/>
  <c r="Z45" i="7"/>
  <c r="AB45" i="7" s="1"/>
  <c r="AF45" i="7" s="1"/>
  <c r="Y38" i="7"/>
  <c r="Y39" i="7"/>
  <c r="Y40" i="7"/>
  <c r="Y41" i="7"/>
  <c r="Y42" i="7"/>
  <c r="AA42" i="7" s="1"/>
  <c r="AE42" i="7" s="1"/>
  <c r="AI42" i="7" s="1"/>
  <c r="AO42" i="7" s="1"/>
  <c r="AS42" i="7" s="1"/>
  <c r="AW42" i="7" s="1"/>
  <c r="BE42" i="7" s="1"/>
  <c r="Y43" i="7"/>
  <c r="AA43" i="7" s="1"/>
  <c r="AE43" i="7" s="1"/>
  <c r="Y44" i="7"/>
  <c r="Y45" i="7"/>
  <c r="AA38" i="7"/>
  <c r="AE38" i="7" s="1"/>
  <c r="AI38" i="7" s="1"/>
  <c r="AO38" i="7" s="1"/>
  <c r="AS38" i="7" s="1"/>
  <c r="AW38" i="7" s="1"/>
  <c r="BE38" i="7" s="1"/>
  <c r="AA44" i="7"/>
  <c r="AE44" i="7" s="1"/>
  <c r="AI44" i="7" s="1"/>
  <c r="AO44" i="7" s="1"/>
  <c r="AS44" i="7" s="1"/>
  <c r="AW44" i="7" s="1"/>
  <c r="BE44" i="7" s="1"/>
  <c r="AB38" i="7"/>
  <c r="AF38" i="7" s="1"/>
  <c r="AB40" i="7"/>
  <c r="AF40" i="7" s="1"/>
  <c r="Y7" i="7"/>
  <c r="Z7" i="7"/>
  <c r="Y8" i="7"/>
  <c r="Z8" i="7"/>
  <c r="Y9" i="7"/>
  <c r="Z9" i="7"/>
  <c r="Y10" i="7"/>
  <c r="Z10" i="7"/>
  <c r="Y11" i="7"/>
  <c r="Z11" i="7"/>
  <c r="Y12" i="7"/>
  <c r="Y13" i="7"/>
  <c r="Z13" i="7"/>
  <c r="Y14" i="7"/>
  <c r="Z14" i="7"/>
  <c r="Y15" i="7"/>
  <c r="Z15" i="7"/>
  <c r="Y17" i="7"/>
  <c r="Z17" i="7"/>
  <c r="Y18" i="7"/>
  <c r="Z18" i="7"/>
  <c r="N7" i="7"/>
  <c r="AB7" i="7" s="1"/>
  <c r="AF7" i="7" s="1"/>
  <c r="N8" i="7"/>
  <c r="N9" i="7"/>
  <c r="N10" i="7"/>
  <c r="N11" i="7"/>
  <c r="N12" i="7"/>
  <c r="N13" i="7"/>
  <c r="N14" i="7"/>
  <c r="N15" i="7"/>
  <c r="N17" i="7"/>
  <c r="AB17" i="7" s="1"/>
  <c r="AF17" i="7" s="1"/>
  <c r="N18" i="7"/>
  <c r="T12" i="7"/>
  <c r="Z12" i="7" s="1"/>
  <c r="AA41" i="7" l="1"/>
  <c r="AE41" i="7" s="1"/>
  <c r="AI41" i="7" s="1"/>
  <c r="AO41" i="7" s="1"/>
  <c r="AS41" i="7" s="1"/>
  <c r="AW41" i="7" s="1"/>
  <c r="BE41" i="7" s="1"/>
  <c r="AA40" i="7"/>
  <c r="AE40" i="7" s="1"/>
  <c r="AI40" i="7" s="1"/>
  <c r="AO40" i="7" s="1"/>
  <c r="AS40" i="7" s="1"/>
  <c r="AW40" i="7" s="1"/>
  <c r="BE40" i="7" s="1"/>
  <c r="AA39" i="7"/>
  <c r="AE39" i="7" s="1"/>
  <c r="AI39" i="7" s="1"/>
  <c r="AO39" i="7" s="1"/>
  <c r="AS39" i="7" s="1"/>
  <c r="AW39" i="7" s="1"/>
  <c r="BE39" i="7" s="1"/>
  <c r="AB11" i="7"/>
  <c r="AF11" i="7" s="1"/>
  <c r="AB15" i="7"/>
  <c r="AF15" i="7" s="1"/>
  <c r="AB41" i="7"/>
  <c r="AF41" i="7" s="1"/>
  <c r="AJ41" i="7" s="1"/>
  <c r="BE7" i="17"/>
  <c r="AW11" i="17"/>
  <c r="AW111" i="17" s="1"/>
  <c r="AW110" i="17"/>
  <c r="BE48" i="17"/>
  <c r="BE49" i="17"/>
  <c r="BD23" i="17"/>
  <c r="BD9" i="17"/>
  <c r="BD13" i="17" s="1"/>
  <c r="BD14" i="17" s="1"/>
  <c r="AV13" i="17"/>
  <c r="AV14" i="17" s="1"/>
  <c r="AA45" i="7"/>
  <c r="AE45" i="7" s="1"/>
  <c r="AI45" i="7" s="1"/>
  <c r="AO45" i="7" s="1"/>
  <c r="AS45" i="7" s="1"/>
  <c r="AW45" i="7" s="1"/>
  <c r="BE45" i="7" s="1"/>
  <c r="AJ11" i="7"/>
  <c r="AJ66" i="7"/>
  <c r="AI66" i="7"/>
  <c r="AJ7" i="7"/>
  <c r="AJ45" i="7"/>
  <c r="AB9" i="7"/>
  <c r="AF9" i="7" s="1"/>
  <c r="AJ44" i="7"/>
  <c r="AI43" i="7"/>
  <c r="AJ15" i="7"/>
  <c r="AJ38" i="7"/>
  <c r="AJ17" i="7"/>
  <c r="AJ40" i="7"/>
  <c r="AB42" i="7"/>
  <c r="AF42" i="7" s="1"/>
  <c r="AI21" i="17"/>
  <c r="AO17" i="17"/>
  <c r="AB12" i="7"/>
  <c r="AF12" i="7" s="1"/>
  <c r="AB18" i="7"/>
  <c r="AF18" i="7" s="1"/>
  <c r="AB8" i="7"/>
  <c r="AF8" i="7" s="1"/>
  <c r="AB10" i="7"/>
  <c r="AF10" i="7" s="1"/>
  <c r="AB39" i="7"/>
  <c r="AF39" i="7" s="1"/>
  <c r="AB14" i="7"/>
  <c r="AF14" i="7" s="1"/>
  <c r="AB13" i="7"/>
  <c r="AF13" i="7" s="1"/>
  <c r="AB43" i="7"/>
  <c r="AF43" i="7" s="1"/>
  <c r="Z10" i="8"/>
  <c r="Y10" i="8"/>
  <c r="Z9" i="8"/>
  <c r="Y9" i="8"/>
  <c r="N10" i="8"/>
  <c r="M10" i="8"/>
  <c r="M9" i="8"/>
  <c r="N9" i="8"/>
  <c r="Y18" i="8"/>
  <c r="Z18" i="8"/>
  <c r="Y19" i="8"/>
  <c r="Z19" i="8"/>
  <c r="Y20" i="8"/>
  <c r="M18" i="8"/>
  <c r="N18" i="8"/>
  <c r="AB18" i="8" s="1"/>
  <c r="AF18" i="8" s="1"/>
  <c r="AJ18" i="8" s="1"/>
  <c r="AP18" i="8" s="1"/>
  <c r="AT18" i="8" s="1"/>
  <c r="M19" i="8"/>
  <c r="N19" i="8"/>
  <c r="AB19" i="8" s="1"/>
  <c r="AF19" i="8" s="1"/>
  <c r="AJ19" i="8" s="1"/>
  <c r="AP19" i="8" s="1"/>
  <c r="AT19" i="8" s="1"/>
  <c r="Z29" i="8"/>
  <c r="Z30" i="8"/>
  <c r="Z28" i="8"/>
  <c r="Z27" i="8"/>
  <c r="AB27" i="8" s="1"/>
  <c r="AF27" i="8" s="1"/>
  <c r="Z26" i="8"/>
  <c r="Z23" i="8"/>
  <c r="Z24" i="8"/>
  <c r="N30" i="8"/>
  <c r="N29" i="8"/>
  <c r="AB29" i="8" s="1"/>
  <c r="AF29" i="8" s="1"/>
  <c r="AJ29" i="8" s="1"/>
  <c r="AP29" i="8" s="1"/>
  <c r="AT29" i="8" s="1"/>
  <c r="AX29" i="8" s="1"/>
  <c r="BF29" i="8" s="1"/>
  <c r="N28" i="8"/>
  <c r="AB28" i="8" s="1"/>
  <c r="AF28" i="8" s="1"/>
  <c r="AJ28" i="8" s="1"/>
  <c r="AP28" i="8" s="1"/>
  <c r="AT28" i="8" s="1"/>
  <c r="AX28" i="8" s="1"/>
  <c r="BF28" i="8" s="1"/>
  <c r="N27" i="8"/>
  <c r="N26" i="8"/>
  <c r="AB26" i="8" s="1"/>
  <c r="AF26" i="8" s="1"/>
  <c r="N23" i="8"/>
  <c r="N24" i="8"/>
  <c r="AB24" i="8" s="1"/>
  <c r="AF24" i="8" s="1"/>
  <c r="AJ24" i="8" s="1"/>
  <c r="AP24" i="8" s="1"/>
  <c r="AT24" i="8" s="1"/>
  <c r="AX24" i="8" s="1"/>
  <c r="BF24" i="8" s="1"/>
  <c r="BF12" i="36" s="1"/>
  <c r="BI39" i="59" s="1"/>
  <c r="N22" i="8"/>
  <c r="AB6" i="38"/>
  <c r="X6" i="38"/>
  <c r="J6" i="38"/>
  <c r="P6" i="38"/>
  <c r="T6" i="38"/>
  <c r="AD47" i="38"/>
  <c r="AD46" i="38"/>
  <c r="AD45" i="38"/>
  <c r="AD44" i="38"/>
  <c r="AD42" i="38"/>
  <c r="AD39" i="38"/>
  <c r="AD38" i="38"/>
  <c r="AD37" i="38"/>
  <c r="AD36" i="38"/>
  <c r="AD33" i="38"/>
  <c r="AD32" i="38"/>
  <c r="AD31" i="38"/>
  <c r="AD30" i="38"/>
  <c r="AD29" i="38"/>
  <c r="AD28" i="38"/>
  <c r="AD27" i="38"/>
  <c r="AD26" i="38"/>
  <c r="AD25" i="38"/>
  <c r="AD24" i="38"/>
  <c r="AD23" i="38"/>
  <c r="AD22" i="38"/>
  <c r="AD21" i="38"/>
  <c r="AD20" i="38"/>
  <c r="R21" i="38"/>
  <c r="R22" i="38"/>
  <c r="R23" i="38"/>
  <c r="R24" i="38"/>
  <c r="R25" i="38"/>
  <c r="R26" i="38"/>
  <c r="R27" i="38"/>
  <c r="R28" i="38"/>
  <c r="R29" i="38"/>
  <c r="R30" i="38"/>
  <c r="R31" i="38"/>
  <c r="R32" i="38"/>
  <c r="R33" i="38"/>
  <c r="AD15" i="38"/>
  <c r="AD14" i="38"/>
  <c r="AD8" i="38"/>
  <c r="AD9" i="38"/>
  <c r="AD10" i="38"/>
  <c r="AD11" i="38"/>
  <c r="AD7" i="38"/>
  <c r="R15" i="38"/>
  <c r="R8" i="38"/>
  <c r="AF8" i="38" s="1"/>
  <c r="AJ8" i="38" s="1"/>
  <c r="R9" i="38"/>
  <c r="R10" i="38"/>
  <c r="R11" i="38"/>
  <c r="N79" i="8"/>
  <c r="Z127" i="8"/>
  <c r="Z123" i="8"/>
  <c r="Z120" i="8"/>
  <c r="Z117" i="8"/>
  <c r="Z111" i="8"/>
  <c r="Z108" i="8"/>
  <c r="Z105" i="8"/>
  <c r="N127" i="8"/>
  <c r="N123" i="8"/>
  <c r="AB123" i="8" s="1"/>
  <c r="AF123" i="8" s="1"/>
  <c r="N120" i="8"/>
  <c r="N117" i="8"/>
  <c r="AB117" i="8" s="1"/>
  <c r="AF117" i="8" s="1"/>
  <c r="AJ117" i="8" s="1"/>
  <c r="AP117" i="8" s="1"/>
  <c r="AT117" i="8" s="1"/>
  <c r="N111" i="8"/>
  <c r="N108" i="8"/>
  <c r="N105" i="8"/>
  <c r="Z56" i="9"/>
  <c r="Z58" i="9"/>
  <c r="Z59" i="9"/>
  <c r="Z61" i="9"/>
  <c r="Z63" i="9"/>
  <c r="Z65" i="9"/>
  <c r="Z66" i="9"/>
  <c r="Z67" i="9"/>
  <c r="Z68" i="9"/>
  <c r="Z69" i="9"/>
  <c r="Z70" i="9"/>
  <c r="N56" i="9"/>
  <c r="N58" i="9"/>
  <c r="N59" i="9"/>
  <c r="N61" i="9"/>
  <c r="N63" i="9"/>
  <c r="N64" i="9"/>
  <c r="N65" i="9"/>
  <c r="N66" i="9"/>
  <c r="N67" i="9"/>
  <c r="N68" i="9"/>
  <c r="N69" i="9"/>
  <c r="N70" i="9"/>
  <c r="Z88" i="9"/>
  <c r="N92" i="9"/>
  <c r="Z107" i="9"/>
  <c r="N112" i="9"/>
  <c r="AB112" i="9" s="1"/>
  <c r="AF112" i="9" s="1"/>
  <c r="AJ112" i="9" s="1"/>
  <c r="AP112" i="9" s="1"/>
  <c r="AT112" i="9" s="1"/>
  <c r="AX112" i="9" s="1"/>
  <c r="BF112" i="9" s="1"/>
  <c r="N113" i="9"/>
  <c r="AB113" i="9" s="1"/>
  <c r="AF113" i="9" s="1"/>
  <c r="AJ113" i="9" s="1"/>
  <c r="AP113" i="9" s="1"/>
  <c r="AT113" i="9" s="1"/>
  <c r="AX113" i="9" s="1"/>
  <c r="BF113" i="9" s="1"/>
  <c r="N114" i="9"/>
  <c r="AB114" i="9" s="1"/>
  <c r="AF114" i="9" s="1"/>
  <c r="AJ114" i="9" s="1"/>
  <c r="AP114" i="9" s="1"/>
  <c r="AT114" i="9" s="1"/>
  <c r="AX114" i="9" s="1"/>
  <c r="BF114" i="9" s="1"/>
  <c r="N115" i="9"/>
  <c r="AB115" i="9" s="1"/>
  <c r="AF115" i="9" s="1"/>
  <c r="AJ115" i="9" s="1"/>
  <c r="AP115" i="9" s="1"/>
  <c r="AT115" i="9" s="1"/>
  <c r="AX115" i="9" s="1"/>
  <c r="BF115" i="9" s="1"/>
  <c r="N116" i="9"/>
  <c r="AB116" i="9" s="1"/>
  <c r="AF116" i="9" s="1"/>
  <c r="AJ116" i="9" s="1"/>
  <c r="AP116" i="9" s="1"/>
  <c r="AT116" i="9" s="1"/>
  <c r="AX116" i="9" s="1"/>
  <c r="BF116" i="9" s="1"/>
  <c r="N117" i="9"/>
  <c r="AB117" i="9" s="1"/>
  <c r="AF117" i="9" s="1"/>
  <c r="AJ117" i="9" s="1"/>
  <c r="AP117" i="9" s="1"/>
  <c r="AT117" i="9" s="1"/>
  <c r="AX117" i="9" s="1"/>
  <c r="BF117" i="9" s="1"/>
  <c r="N118" i="9"/>
  <c r="AB118" i="9" s="1"/>
  <c r="AF118" i="9" s="1"/>
  <c r="AJ118" i="9" s="1"/>
  <c r="AP118" i="9" s="1"/>
  <c r="AT118" i="9" s="1"/>
  <c r="AX118" i="9" s="1"/>
  <c r="BF118" i="9" s="1"/>
  <c r="N119" i="9"/>
  <c r="AB119" i="9" s="1"/>
  <c r="AF119" i="9" s="1"/>
  <c r="AJ119" i="9" s="1"/>
  <c r="AP119" i="9" s="1"/>
  <c r="AT119" i="9" s="1"/>
  <c r="AX119" i="9" s="1"/>
  <c r="BF119" i="9" s="1"/>
  <c r="N120" i="9"/>
  <c r="AB120" i="9" s="1"/>
  <c r="AF120" i="9" s="1"/>
  <c r="AJ120" i="9" s="1"/>
  <c r="AP120" i="9" s="1"/>
  <c r="AT120" i="9" s="1"/>
  <c r="AX120" i="9" s="1"/>
  <c r="BF120" i="9" s="1"/>
  <c r="N121" i="9"/>
  <c r="AB121" i="9" s="1"/>
  <c r="AF121" i="9" s="1"/>
  <c r="AJ121" i="9" s="1"/>
  <c r="AP121" i="9" s="1"/>
  <c r="AT121" i="9" s="1"/>
  <c r="AX121" i="9" s="1"/>
  <c r="BF121" i="9" s="1"/>
  <c r="N122" i="9"/>
  <c r="AB122" i="9" s="1"/>
  <c r="AF122" i="9" s="1"/>
  <c r="AJ122" i="9" s="1"/>
  <c r="AP122" i="9" s="1"/>
  <c r="AT122" i="9" s="1"/>
  <c r="AX122" i="9" s="1"/>
  <c r="BF122" i="9" s="1"/>
  <c r="N123" i="9"/>
  <c r="AB123" i="9" s="1"/>
  <c r="AF123" i="9" s="1"/>
  <c r="AJ123" i="9" s="1"/>
  <c r="AP123" i="9" s="1"/>
  <c r="AT123" i="9" s="1"/>
  <c r="AX123" i="9" s="1"/>
  <c r="BF123" i="9" s="1"/>
  <c r="N124" i="9"/>
  <c r="AB124" i="9" s="1"/>
  <c r="AF124" i="9" s="1"/>
  <c r="AJ124" i="9" s="1"/>
  <c r="AP124" i="9" s="1"/>
  <c r="AT124" i="9" s="1"/>
  <c r="AX124" i="9" s="1"/>
  <c r="BF124" i="9" s="1"/>
  <c r="N125" i="9"/>
  <c r="AB125" i="9" s="1"/>
  <c r="AF125" i="9" s="1"/>
  <c r="AJ125" i="9" s="1"/>
  <c r="AP125" i="9" s="1"/>
  <c r="AT125" i="9" s="1"/>
  <c r="AX125" i="9" s="1"/>
  <c r="BF125" i="9" s="1"/>
  <c r="N126" i="9"/>
  <c r="AB126" i="9" s="1"/>
  <c r="AF126" i="9" s="1"/>
  <c r="AJ126" i="9" s="1"/>
  <c r="AP126" i="9" s="1"/>
  <c r="AT126" i="9" s="1"/>
  <c r="AX126" i="9" s="1"/>
  <c r="BF126" i="9" s="1"/>
  <c r="N127" i="9"/>
  <c r="AB127" i="9" s="1"/>
  <c r="AF127" i="9" s="1"/>
  <c r="AJ127" i="9" s="1"/>
  <c r="AP127" i="9" s="1"/>
  <c r="AT127" i="9" s="1"/>
  <c r="AX127" i="9" s="1"/>
  <c r="BF127" i="9" s="1"/>
  <c r="N128" i="9"/>
  <c r="AB128" i="9" s="1"/>
  <c r="AF128" i="9" s="1"/>
  <c r="AJ128" i="9" s="1"/>
  <c r="AP128" i="9" s="1"/>
  <c r="AT128" i="9" s="1"/>
  <c r="AX128" i="9" s="1"/>
  <c r="BF128" i="9" s="1"/>
  <c r="N129" i="9"/>
  <c r="AB129" i="9" s="1"/>
  <c r="AF129" i="9" s="1"/>
  <c r="AJ129" i="9" s="1"/>
  <c r="AP129" i="9" s="1"/>
  <c r="AT129" i="9" s="1"/>
  <c r="AX129" i="9" s="1"/>
  <c r="BF129" i="9" s="1"/>
  <c r="N130" i="9"/>
  <c r="AB130" i="9" s="1"/>
  <c r="AF130" i="9" s="1"/>
  <c r="AJ130" i="9" s="1"/>
  <c r="AP130" i="9" s="1"/>
  <c r="AT130" i="9" s="1"/>
  <c r="AX130" i="9" s="1"/>
  <c r="BF130" i="9" s="1"/>
  <c r="N131" i="9"/>
  <c r="AB131" i="9" s="1"/>
  <c r="AF131" i="9" s="1"/>
  <c r="AJ131" i="9" s="1"/>
  <c r="AP131" i="9" s="1"/>
  <c r="AT131" i="9" s="1"/>
  <c r="AX131" i="9" s="1"/>
  <c r="BF131" i="9" s="1"/>
  <c r="N132" i="9"/>
  <c r="AB132" i="9" s="1"/>
  <c r="AF132" i="9" s="1"/>
  <c r="AJ132" i="9" s="1"/>
  <c r="AP132" i="9" s="1"/>
  <c r="AT132" i="9" s="1"/>
  <c r="AX132" i="9" s="1"/>
  <c r="BF132" i="9" s="1"/>
  <c r="Z135" i="10"/>
  <c r="Y135" i="10"/>
  <c r="Z133" i="10"/>
  <c r="Y133" i="10"/>
  <c r="N135" i="10"/>
  <c r="M135" i="10"/>
  <c r="N133" i="10"/>
  <c r="AB133" i="10" s="1"/>
  <c r="AF133" i="10" s="1"/>
  <c r="M133" i="10"/>
  <c r="Z7" i="10"/>
  <c r="N63" i="11"/>
  <c r="M63" i="11"/>
  <c r="Z63" i="11"/>
  <c r="Y63" i="11"/>
  <c r="Z61" i="11"/>
  <c r="Y61" i="11"/>
  <c r="M61" i="11"/>
  <c r="N61" i="11"/>
  <c r="X55" i="11"/>
  <c r="T55" i="11"/>
  <c r="P55" i="11"/>
  <c r="L55" i="11"/>
  <c r="H55" i="11"/>
  <c r="X53" i="11"/>
  <c r="P53" i="11"/>
  <c r="L53" i="11"/>
  <c r="H53" i="11"/>
  <c r="X52" i="11"/>
  <c r="X90" i="11" s="1"/>
  <c r="T52" i="11"/>
  <c r="P52" i="11"/>
  <c r="L52" i="11"/>
  <c r="H52" i="11"/>
  <c r="X51" i="11"/>
  <c r="P51" i="11"/>
  <c r="L51" i="11"/>
  <c r="H51" i="11"/>
  <c r="Z50" i="11"/>
  <c r="Z49" i="11"/>
  <c r="Z48" i="11"/>
  <c r="Z47" i="11"/>
  <c r="Z45" i="11"/>
  <c r="Z42" i="11"/>
  <c r="Z41" i="11"/>
  <c r="Z8" i="11"/>
  <c r="Z9" i="11"/>
  <c r="Z10" i="11"/>
  <c r="Z11" i="11"/>
  <c r="Z12" i="11"/>
  <c r="Z13" i="11"/>
  <c r="Z14" i="11"/>
  <c r="Z15" i="11"/>
  <c r="Z16" i="11"/>
  <c r="Z17" i="11"/>
  <c r="Z19" i="11"/>
  <c r="Z20" i="11"/>
  <c r="Z21" i="11"/>
  <c r="Z22" i="11"/>
  <c r="Z23" i="11"/>
  <c r="Z24" i="11"/>
  <c r="Z25" i="11"/>
  <c r="Z26" i="11"/>
  <c r="Z27" i="11"/>
  <c r="Z28" i="11"/>
  <c r="Z30" i="11"/>
  <c r="Z31" i="11"/>
  <c r="Z32" i="11"/>
  <c r="Z33" i="11"/>
  <c r="Z34" i="11"/>
  <c r="Z35" i="11"/>
  <c r="Z36" i="11"/>
  <c r="Z37" i="11"/>
  <c r="Z38" i="11"/>
  <c r="Z39" i="11"/>
  <c r="N50" i="11"/>
  <c r="N49" i="11"/>
  <c r="AB49" i="11" s="1"/>
  <c r="AF49" i="11" s="1"/>
  <c r="AJ49" i="11" s="1"/>
  <c r="AP49" i="11" s="1"/>
  <c r="AT49" i="11" s="1"/>
  <c r="AX49" i="11" s="1"/>
  <c r="N48" i="11"/>
  <c r="N47" i="11"/>
  <c r="AB47" i="11" s="1"/>
  <c r="AF47" i="11" s="1"/>
  <c r="AJ47" i="11" s="1"/>
  <c r="AP47" i="11" s="1"/>
  <c r="AT47" i="11" s="1"/>
  <c r="AX47" i="11" s="1"/>
  <c r="N45" i="11"/>
  <c r="N44" i="11"/>
  <c r="N43" i="11"/>
  <c r="N42" i="11"/>
  <c r="N41" i="11"/>
  <c r="N8" i="11"/>
  <c r="N9" i="11"/>
  <c r="N10" i="11"/>
  <c r="AB10" i="11" s="1"/>
  <c r="AF10" i="11" s="1"/>
  <c r="AJ10" i="11" s="1"/>
  <c r="AP10" i="11" s="1"/>
  <c r="AT10" i="11" s="1"/>
  <c r="AX10" i="11" s="1"/>
  <c r="N11" i="11"/>
  <c r="N12" i="11"/>
  <c r="N13" i="11"/>
  <c r="N14" i="11"/>
  <c r="N15" i="11"/>
  <c r="N16" i="11"/>
  <c r="AB16" i="11" s="1"/>
  <c r="AF16" i="11" s="1"/>
  <c r="AJ16" i="11" s="1"/>
  <c r="AP16" i="11" s="1"/>
  <c r="AT16" i="11" s="1"/>
  <c r="AX16" i="11" s="1"/>
  <c r="N17" i="11"/>
  <c r="N19" i="11"/>
  <c r="N20" i="11"/>
  <c r="N21" i="11"/>
  <c r="N22" i="11"/>
  <c r="N23" i="11"/>
  <c r="AB23" i="11" s="1"/>
  <c r="AF23" i="11" s="1"/>
  <c r="AJ23" i="11" s="1"/>
  <c r="AP23" i="11" s="1"/>
  <c r="AT23" i="11" s="1"/>
  <c r="AX23" i="11" s="1"/>
  <c r="N24" i="11"/>
  <c r="N25" i="11"/>
  <c r="N26" i="11"/>
  <c r="N27" i="11"/>
  <c r="N28" i="11"/>
  <c r="N30" i="11"/>
  <c r="AB30" i="11" s="1"/>
  <c r="AF30" i="11" s="1"/>
  <c r="AJ30" i="11" s="1"/>
  <c r="AP30" i="11" s="1"/>
  <c r="AT30" i="11" s="1"/>
  <c r="AX30" i="11" s="1"/>
  <c r="N31" i="11"/>
  <c r="N32" i="11"/>
  <c r="N33" i="11"/>
  <c r="N34" i="11"/>
  <c r="N35" i="11"/>
  <c r="N36" i="11"/>
  <c r="AB36" i="11" s="1"/>
  <c r="AF36" i="11" s="1"/>
  <c r="AJ36" i="11" s="1"/>
  <c r="AP36" i="11" s="1"/>
  <c r="AT36" i="11" s="1"/>
  <c r="AX36" i="11" s="1"/>
  <c r="N37" i="11"/>
  <c r="N38" i="11"/>
  <c r="N39" i="11"/>
  <c r="AG47" i="45"/>
  <c r="AK47" i="45" s="1"/>
  <c r="AQ47" i="45" s="1"/>
  <c r="AU47" i="45" s="1"/>
  <c r="BG47" i="45" s="1"/>
  <c r="AA7" i="45"/>
  <c r="AC7" i="45" s="1"/>
  <c r="AA8" i="45"/>
  <c r="AA9" i="45"/>
  <c r="AC9" i="45" s="1"/>
  <c r="AA10" i="45"/>
  <c r="AA11" i="45"/>
  <c r="AC11" i="45" s="1"/>
  <c r="AA12" i="45"/>
  <c r="AA13" i="45"/>
  <c r="AC13" i="45" s="1"/>
  <c r="AA15" i="45"/>
  <c r="AA16" i="45"/>
  <c r="AC16" i="45" s="1"/>
  <c r="AA17" i="45"/>
  <c r="AA18" i="45"/>
  <c r="AC18" i="45" s="1"/>
  <c r="AA19" i="45"/>
  <c r="AA20" i="45"/>
  <c r="AC20" i="45" s="1"/>
  <c r="AA21" i="45"/>
  <c r="AC21" i="45" s="1"/>
  <c r="AA22" i="45"/>
  <c r="AC22" i="45" s="1"/>
  <c r="AA24" i="45"/>
  <c r="AC24" i="45" s="1"/>
  <c r="AA26" i="45"/>
  <c r="AA27" i="45"/>
  <c r="AC27" i="45" s="1"/>
  <c r="AA28" i="45"/>
  <c r="AA29" i="45"/>
  <c r="AC29" i="45" s="1"/>
  <c r="AA32" i="45"/>
  <c r="AA33" i="45"/>
  <c r="AC33" i="45" s="1"/>
  <c r="AA37" i="45"/>
  <c r="AA42" i="45"/>
  <c r="AC42" i="45" s="1"/>
  <c r="AA43" i="45"/>
  <c r="AA45" i="45"/>
  <c r="AC45" i="45" s="1"/>
  <c r="AA46" i="45"/>
  <c r="AA49" i="45"/>
  <c r="AA50" i="45"/>
  <c r="AA52" i="45"/>
  <c r="AA53" i="45"/>
  <c r="AC53" i="45" s="1"/>
  <c r="AA54" i="45"/>
  <c r="AA55" i="45"/>
  <c r="AC55" i="45" s="1"/>
  <c r="AA56" i="45"/>
  <c r="AA58" i="45"/>
  <c r="AC58" i="45" s="1"/>
  <c r="AA59" i="45"/>
  <c r="AA61" i="45"/>
  <c r="AA62" i="45"/>
  <c r="AA63" i="45"/>
  <c r="AA65" i="45"/>
  <c r="AA66" i="45"/>
  <c r="AA67" i="45"/>
  <c r="AA68" i="45"/>
  <c r="AA69" i="45"/>
  <c r="AA70" i="45"/>
  <c r="AA71" i="45"/>
  <c r="AA133" i="10" l="1"/>
  <c r="AE133" i="10" s="1"/>
  <c r="AB108" i="8"/>
  <c r="AF108" i="8" s="1"/>
  <c r="AJ108" i="8" s="1"/>
  <c r="AP108" i="8" s="1"/>
  <c r="AT108" i="8" s="1"/>
  <c r="AX108" i="8" s="1"/>
  <c r="BF108" i="8" s="1"/>
  <c r="BE50" i="17"/>
  <c r="BE11" i="17"/>
  <c r="BE110" i="17"/>
  <c r="AC63" i="45"/>
  <c r="AG63" i="45" s="1"/>
  <c r="AK63" i="45" s="1"/>
  <c r="AQ63" i="45" s="1"/>
  <c r="AU63" i="45" s="1"/>
  <c r="AY63" i="45" s="1"/>
  <c r="BG63" i="45" s="1"/>
  <c r="AC46" i="45"/>
  <c r="AG46" i="45" s="1"/>
  <c r="AK46" i="45" s="1"/>
  <c r="AQ46" i="45" s="1"/>
  <c r="AU46" i="45" s="1"/>
  <c r="BG46" i="45" s="1"/>
  <c r="AC32" i="45"/>
  <c r="AG32" i="45" s="1"/>
  <c r="AK32" i="45" s="1"/>
  <c r="AQ32" i="45" s="1"/>
  <c r="AU32" i="45" s="1"/>
  <c r="AY32" i="45" s="1"/>
  <c r="BG32" i="45" s="1"/>
  <c r="AC70" i="45"/>
  <c r="AG70" i="45" s="1"/>
  <c r="AK70" i="45" s="1"/>
  <c r="AQ70" i="45" s="1"/>
  <c r="AU70" i="45" s="1"/>
  <c r="AY70" i="45" s="1"/>
  <c r="BG70" i="45" s="1"/>
  <c r="AC69" i="45"/>
  <c r="AG69" i="45" s="1"/>
  <c r="AK69" i="45" s="1"/>
  <c r="AQ69" i="45" s="1"/>
  <c r="AU69" i="45" s="1"/>
  <c r="AY69" i="45" s="1"/>
  <c r="BG69" i="45" s="1"/>
  <c r="AC62" i="45"/>
  <c r="AG62" i="45" s="1"/>
  <c r="AK62" i="45" s="1"/>
  <c r="AQ62" i="45" s="1"/>
  <c r="AU62" i="45" s="1"/>
  <c r="AY62" i="45" s="1"/>
  <c r="BG62" i="45" s="1"/>
  <c r="AC54" i="45"/>
  <c r="AG54" i="45" s="1"/>
  <c r="AK54" i="45" s="1"/>
  <c r="AQ54" i="45" s="1"/>
  <c r="AU54" i="45" s="1"/>
  <c r="BG54" i="45" s="1"/>
  <c r="AC15" i="45"/>
  <c r="AG15" i="45" s="1"/>
  <c r="AK15" i="45" s="1"/>
  <c r="AQ15" i="45" s="1"/>
  <c r="AU15" i="45" s="1"/>
  <c r="AY15" i="45" s="1"/>
  <c r="BG15" i="45" s="1"/>
  <c r="AC8" i="45"/>
  <c r="AG8" i="45" s="1"/>
  <c r="AK8" i="45" s="1"/>
  <c r="AQ8" i="45" s="1"/>
  <c r="AU8" i="45" s="1"/>
  <c r="AY8" i="45" s="1"/>
  <c r="BG8" i="45" s="1"/>
  <c r="AC68" i="45"/>
  <c r="AG68" i="45" s="1"/>
  <c r="AK68" i="45" s="1"/>
  <c r="AQ68" i="45" s="1"/>
  <c r="AU68" i="45" s="1"/>
  <c r="AY68" i="45" s="1"/>
  <c r="BG68" i="45" s="1"/>
  <c r="AC61" i="45"/>
  <c r="AG61" i="45" s="1"/>
  <c r="AK61" i="45" s="1"/>
  <c r="AQ61" i="45" s="1"/>
  <c r="AU61" i="45" s="1"/>
  <c r="AY61" i="45" s="1"/>
  <c r="BG61" i="45" s="1"/>
  <c r="AC43" i="45"/>
  <c r="AG43" i="45" s="1"/>
  <c r="AK43" i="45" s="1"/>
  <c r="AQ43" i="45" s="1"/>
  <c r="AU43" i="45" s="1"/>
  <c r="AY43" i="45" s="1"/>
  <c r="BG43" i="45" s="1"/>
  <c r="AC28" i="45"/>
  <c r="AG28" i="45" s="1"/>
  <c r="AK28" i="45" s="1"/>
  <c r="AQ28" i="45" s="1"/>
  <c r="AU28" i="45" s="1"/>
  <c r="AY28" i="45" s="1"/>
  <c r="BG28" i="45" s="1"/>
  <c r="AC67" i="45"/>
  <c r="AG67" i="45" s="1"/>
  <c r="AK67" i="45" s="1"/>
  <c r="AQ67" i="45" s="1"/>
  <c r="AU67" i="45" s="1"/>
  <c r="AY67" i="45" s="1"/>
  <c r="BG67" i="45" s="1"/>
  <c r="AC59" i="45"/>
  <c r="AG59" i="45" s="1"/>
  <c r="AK59" i="45" s="1"/>
  <c r="AQ59" i="45" s="1"/>
  <c r="AU59" i="45" s="1"/>
  <c r="AY59" i="45" s="1"/>
  <c r="BG59" i="45" s="1"/>
  <c r="AC52" i="45"/>
  <c r="AG52" i="45" s="1"/>
  <c r="AK52" i="45" s="1"/>
  <c r="AQ52" i="45" s="1"/>
  <c r="AU52" i="45" s="1"/>
  <c r="BG52" i="45" s="1"/>
  <c r="AC19" i="45"/>
  <c r="AG19" i="45" s="1"/>
  <c r="AK19" i="45" s="1"/>
  <c r="AQ19" i="45" s="1"/>
  <c r="AU19" i="45" s="1"/>
  <c r="AY19" i="45" s="1"/>
  <c r="BG19" i="45" s="1"/>
  <c r="AC12" i="45"/>
  <c r="AG12" i="45" s="1"/>
  <c r="AK12" i="45" s="1"/>
  <c r="AQ12" i="45" s="1"/>
  <c r="AU12" i="45" s="1"/>
  <c r="AY12" i="45" s="1"/>
  <c r="BG12" i="45" s="1"/>
  <c r="AC50" i="45"/>
  <c r="AG50" i="45" s="1"/>
  <c r="AK50" i="45" s="1"/>
  <c r="AQ50" i="45" s="1"/>
  <c r="AU50" i="45" s="1"/>
  <c r="BG50" i="45" s="1"/>
  <c r="AC37" i="45"/>
  <c r="AG37" i="45" s="1"/>
  <c r="AK37" i="45" s="1"/>
  <c r="AQ37" i="45" s="1"/>
  <c r="AU37" i="45" s="1"/>
  <c r="AY37" i="45" s="1"/>
  <c r="BG37" i="45" s="1"/>
  <c r="AC26" i="45"/>
  <c r="AG26" i="45" s="1"/>
  <c r="AK26" i="45" s="1"/>
  <c r="AQ26" i="45" s="1"/>
  <c r="AU26" i="45" s="1"/>
  <c r="AY26" i="45" s="1"/>
  <c r="BG26" i="45" s="1"/>
  <c r="AC66" i="45"/>
  <c r="AG66" i="45" s="1"/>
  <c r="AK66" i="45" s="1"/>
  <c r="AQ66" i="45" s="1"/>
  <c r="AU66" i="45" s="1"/>
  <c r="AY66" i="45" s="1"/>
  <c r="BG66" i="45" s="1"/>
  <c r="AC71" i="45"/>
  <c r="AG71" i="45" s="1"/>
  <c r="AK71" i="45" s="1"/>
  <c r="AQ71" i="45" s="1"/>
  <c r="AU71" i="45" s="1"/>
  <c r="AY71" i="45" s="1"/>
  <c r="BG71" i="45" s="1"/>
  <c r="AC65" i="45"/>
  <c r="AG65" i="45" s="1"/>
  <c r="AK65" i="45" s="1"/>
  <c r="AQ65" i="45" s="1"/>
  <c r="AU65" i="45" s="1"/>
  <c r="AY65" i="45" s="1"/>
  <c r="BG65" i="45" s="1"/>
  <c r="AC56" i="45"/>
  <c r="AG56" i="45" s="1"/>
  <c r="AK56" i="45" s="1"/>
  <c r="AQ56" i="45" s="1"/>
  <c r="AU56" i="45" s="1"/>
  <c r="BG56" i="45" s="1"/>
  <c r="AC49" i="45"/>
  <c r="AG49" i="45" s="1"/>
  <c r="AK49" i="45" s="1"/>
  <c r="AQ49" i="45" s="1"/>
  <c r="AU49" i="45" s="1"/>
  <c r="BG49" i="45" s="1"/>
  <c r="AC10" i="45"/>
  <c r="AG10" i="45" s="1"/>
  <c r="AK10" i="45" s="1"/>
  <c r="AQ10" i="45" s="1"/>
  <c r="AU10" i="45" s="1"/>
  <c r="AY10" i="45" s="1"/>
  <c r="BG10" i="45" s="1"/>
  <c r="AC17" i="45"/>
  <c r="AG17" i="45" s="1"/>
  <c r="AK17" i="45" s="1"/>
  <c r="AQ17" i="45" s="1"/>
  <c r="AU17" i="45" s="1"/>
  <c r="AY17" i="45" s="1"/>
  <c r="BG17" i="45" s="1"/>
  <c r="AF15" i="38"/>
  <c r="AJ15" i="38" s="1"/>
  <c r="AG22" i="45"/>
  <c r="AK22" i="45" s="1"/>
  <c r="AQ22" i="45" s="1"/>
  <c r="AU22" i="45" s="1"/>
  <c r="AY22" i="45" s="1"/>
  <c r="BG22" i="45" s="1"/>
  <c r="AG78" i="45"/>
  <c r="AK78" i="45" s="1"/>
  <c r="AQ78" i="45" s="1"/>
  <c r="AU78" i="45" s="1"/>
  <c r="AG42" i="45"/>
  <c r="AK42" i="45" s="1"/>
  <c r="AQ42" i="45" s="1"/>
  <c r="AU42" i="45" s="1"/>
  <c r="AY42" i="45" s="1"/>
  <c r="BG42" i="45" s="1"/>
  <c r="AG24" i="45"/>
  <c r="AK24" i="45" s="1"/>
  <c r="AQ24" i="45" s="1"/>
  <c r="AU24" i="45" s="1"/>
  <c r="AY24" i="45" s="1"/>
  <c r="BG24" i="45" s="1"/>
  <c r="AG20" i="45"/>
  <c r="AK20" i="45" s="1"/>
  <c r="AQ20" i="45" s="1"/>
  <c r="AU20" i="45" s="1"/>
  <c r="AY20" i="45" s="1"/>
  <c r="BG20" i="45" s="1"/>
  <c r="AG11" i="45"/>
  <c r="AK11" i="45" s="1"/>
  <c r="AQ11" i="45" s="1"/>
  <c r="AU11" i="45" s="1"/>
  <c r="AY11" i="45" s="1"/>
  <c r="BG11" i="45" s="1"/>
  <c r="AG7" i="45"/>
  <c r="AK7" i="45" s="1"/>
  <c r="AQ7" i="45" s="1"/>
  <c r="AU7" i="45" s="1"/>
  <c r="AY7" i="45" s="1"/>
  <c r="BG7" i="45" s="1"/>
  <c r="AB31" i="11"/>
  <c r="AF31" i="11" s="1"/>
  <c r="AJ31" i="11" s="1"/>
  <c r="AP31" i="11" s="1"/>
  <c r="AT31" i="11" s="1"/>
  <c r="AX31" i="11" s="1"/>
  <c r="AB17" i="11"/>
  <c r="AF17" i="11" s="1"/>
  <c r="AJ17" i="11" s="1"/>
  <c r="AP17" i="11" s="1"/>
  <c r="AT17" i="11" s="1"/>
  <c r="AX17" i="11" s="1"/>
  <c r="AB111" i="8"/>
  <c r="AF111" i="8" s="1"/>
  <c r="AF17" i="49" s="1"/>
  <c r="AF18" i="49" s="1"/>
  <c r="AB127" i="8"/>
  <c r="AF127" i="8" s="1"/>
  <c r="AJ127" i="8" s="1"/>
  <c r="AP127" i="8" s="1"/>
  <c r="AT127" i="8" s="1"/>
  <c r="AX127" i="8" s="1"/>
  <c r="BF127" i="8" s="1"/>
  <c r="AB23" i="8"/>
  <c r="AF23" i="8" s="1"/>
  <c r="AF9" i="49" s="1"/>
  <c r="AF23" i="38"/>
  <c r="AJ23" i="38" s="1"/>
  <c r="AN23" i="38" s="1"/>
  <c r="AB30" i="8"/>
  <c r="AF30" i="8" s="1"/>
  <c r="AJ30" i="8" s="1"/>
  <c r="AP30" i="8" s="1"/>
  <c r="AT30" i="8" s="1"/>
  <c r="AX30" i="8" s="1"/>
  <c r="BF30" i="8" s="1"/>
  <c r="AG55" i="45"/>
  <c r="AK55" i="45" s="1"/>
  <c r="AQ55" i="45" s="1"/>
  <c r="AU55" i="45" s="1"/>
  <c r="BG55" i="45" s="1"/>
  <c r="AB45" i="11"/>
  <c r="AF45" i="11" s="1"/>
  <c r="AJ45" i="11" s="1"/>
  <c r="AP45" i="11" s="1"/>
  <c r="AT45" i="11" s="1"/>
  <c r="AX45" i="11" s="1"/>
  <c r="T166" i="10"/>
  <c r="AB9" i="8"/>
  <c r="AF9" i="8" s="1"/>
  <c r="AJ9" i="8" s="1"/>
  <c r="AP9" i="8" s="1"/>
  <c r="AT9" i="8" s="1"/>
  <c r="AA9" i="8"/>
  <c r="AE9" i="8" s="1"/>
  <c r="AI9" i="8" s="1"/>
  <c r="AO9" i="8" s="1"/>
  <c r="AS9" i="8" s="1"/>
  <c r="AW9" i="8" s="1"/>
  <c r="BE9" i="8" s="1"/>
  <c r="AJ27" i="8"/>
  <c r="AN15" i="38"/>
  <c r="AJ14" i="7"/>
  <c r="AJ42" i="7"/>
  <c r="AG33" i="45"/>
  <c r="AK33" i="45" s="1"/>
  <c r="AQ33" i="45" s="1"/>
  <c r="AU33" i="45" s="1"/>
  <c r="AY33" i="45" s="1"/>
  <c r="BG33" i="45" s="1"/>
  <c r="AG27" i="45"/>
  <c r="AK27" i="45" s="1"/>
  <c r="AQ27" i="45" s="1"/>
  <c r="AU27" i="45" s="1"/>
  <c r="AY27" i="45" s="1"/>
  <c r="BG27" i="45" s="1"/>
  <c r="AG18" i="45"/>
  <c r="AK18" i="45" s="1"/>
  <c r="AQ18" i="45" s="1"/>
  <c r="AU18" i="45" s="1"/>
  <c r="AY18" i="45" s="1"/>
  <c r="BG18" i="45" s="1"/>
  <c r="AG13" i="45"/>
  <c r="AK13" i="45" s="1"/>
  <c r="AQ13" i="45" s="1"/>
  <c r="AU13" i="45" s="1"/>
  <c r="AY13" i="45" s="1"/>
  <c r="BG13" i="45" s="1"/>
  <c r="AB37" i="11"/>
  <c r="AF37" i="11" s="1"/>
  <c r="AJ37" i="11" s="1"/>
  <c r="AP37" i="11" s="1"/>
  <c r="AT37" i="11" s="1"/>
  <c r="AX37" i="11" s="1"/>
  <c r="AB24" i="11"/>
  <c r="AF24" i="11" s="1"/>
  <c r="AJ24" i="11" s="1"/>
  <c r="AP24" i="11" s="1"/>
  <c r="AT24" i="11" s="1"/>
  <c r="AX24" i="11" s="1"/>
  <c r="AB11" i="11"/>
  <c r="AF11" i="11" s="1"/>
  <c r="AJ11" i="11" s="1"/>
  <c r="AP11" i="11" s="1"/>
  <c r="AT11" i="11" s="1"/>
  <c r="AX11" i="11" s="1"/>
  <c r="AB105" i="8"/>
  <c r="AF105" i="8" s="1"/>
  <c r="AJ105" i="8" s="1"/>
  <c r="AP105" i="8" s="1"/>
  <c r="AT105" i="8" s="1"/>
  <c r="AX105" i="8" s="1"/>
  <c r="BF105" i="8" s="1"/>
  <c r="AB120" i="8"/>
  <c r="AF120" i="8" s="1"/>
  <c r="AJ120" i="8" s="1"/>
  <c r="AP120" i="8" s="1"/>
  <c r="AT120" i="8" s="1"/>
  <c r="AF24" i="38"/>
  <c r="AJ24" i="38" s="1"/>
  <c r="AJ39" i="7"/>
  <c r="AJ12" i="7"/>
  <c r="AP15" i="7"/>
  <c r="AO43" i="7"/>
  <c r="AP66" i="7"/>
  <c r="AP38" i="7"/>
  <c r="AJ9" i="7"/>
  <c r="AF125" i="8"/>
  <c r="AJ123" i="8"/>
  <c r="AF9" i="38"/>
  <c r="AJ9" i="38" s="1"/>
  <c r="AF25" i="38"/>
  <c r="AJ25" i="38" s="1"/>
  <c r="AF29" i="38"/>
  <c r="AJ29" i="38" s="1"/>
  <c r="AA18" i="8"/>
  <c r="AE18" i="8" s="1"/>
  <c r="AI18" i="8" s="1"/>
  <c r="AO18" i="8" s="1"/>
  <c r="AS18" i="8" s="1"/>
  <c r="AW18" i="8" s="1"/>
  <c r="BE18" i="8" s="1"/>
  <c r="AA10" i="8"/>
  <c r="AE10" i="8" s="1"/>
  <c r="AI10" i="8" s="1"/>
  <c r="AO10" i="8" s="1"/>
  <c r="AS10" i="8" s="1"/>
  <c r="AW10" i="8" s="1"/>
  <c r="BE10" i="8" s="1"/>
  <c r="AJ43" i="7"/>
  <c r="AJ10" i="7"/>
  <c r="AO21" i="17"/>
  <c r="AS17" i="17"/>
  <c r="AS21" i="17" s="1"/>
  <c r="AP40" i="7"/>
  <c r="AP41" i="7"/>
  <c r="AP45" i="7"/>
  <c r="AP11" i="7"/>
  <c r="AJ26" i="8"/>
  <c r="AF129" i="8"/>
  <c r="AF131" i="8" s="1"/>
  <c r="AJ18" i="7"/>
  <c r="AJ111" i="8"/>
  <c r="AF113" i="8"/>
  <c r="AF114" i="8" s="1"/>
  <c r="AN8" i="38"/>
  <c r="AF30" i="38"/>
  <c r="AJ30" i="38" s="1"/>
  <c r="AD6" i="38"/>
  <c r="AA19" i="8"/>
  <c r="AE19" i="8" s="1"/>
  <c r="AI19" i="8" s="1"/>
  <c r="AO19" i="8" s="1"/>
  <c r="AS19" i="8" s="1"/>
  <c r="AW19" i="8" s="1"/>
  <c r="BE19" i="8" s="1"/>
  <c r="AB10" i="8"/>
  <c r="AF10" i="8" s="1"/>
  <c r="AJ10" i="8" s="1"/>
  <c r="AP10" i="8" s="1"/>
  <c r="AT10" i="8" s="1"/>
  <c r="AJ13" i="7"/>
  <c r="AJ8" i="7"/>
  <c r="AP17" i="7"/>
  <c r="AP44" i="7"/>
  <c r="AP7" i="7"/>
  <c r="AO66" i="7"/>
  <c r="AG58" i="45"/>
  <c r="AK58" i="45" s="1"/>
  <c r="AQ58" i="45" s="1"/>
  <c r="AU58" i="45" s="1"/>
  <c r="AY58" i="45" s="1"/>
  <c r="BG58" i="45" s="1"/>
  <c r="AJ133" i="10"/>
  <c r="AP133" i="10" s="1"/>
  <c r="AA135" i="10"/>
  <c r="AE135" i="10" s="1"/>
  <c r="AB135" i="10"/>
  <c r="AF135" i="10" s="1"/>
  <c r="AI133" i="10"/>
  <c r="AO133" i="10" s="1"/>
  <c r="AB34" i="11"/>
  <c r="AF34" i="11" s="1"/>
  <c r="AJ34" i="11" s="1"/>
  <c r="AP34" i="11" s="1"/>
  <c r="AT34" i="11" s="1"/>
  <c r="AX34" i="11" s="1"/>
  <c r="AB27" i="11"/>
  <c r="AB21" i="11"/>
  <c r="AF21" i="11" s="1"/>
  <c r="AJ21" i="11" s="1"/>
  <c r="AP21" i="11" s="1"/>
  <c r="AT21" i="11" s="1"/>
  <c r="AX21" i="11" s="1"/>
  <c r="AB14" i="11"/>
  <c r="AF14" i="11" s="1"/>
  <c r="AJ14" i="11" s="1"/>
  <c r="AP14" i="11" s="1"/>
  <c r="AT14" i="11" s="1"/>
  <c r="AX14" i="11" s="1"/>
  <c r="AB8" i="11"/>
  <c r="AF8" i="11" s="1"/>
  <c r="AJ8" i="11" s="1"/>
  <c r="AP8" i="11" s="1"/>
  <c r="AT8" i="11" s="1"/>
  <c r="AX8" i="11" s="1"/>
  <c r="AB38" i="11"/>
  <c r="AF38" i="11" s="1"/>
  <c r="AJ38" i="11" s="1"/>
  <c r="AP38" i="11" s="1"/>
  <c r="AT38" i="11" s="1"/>
  <c r="AX38" i="11" s="1"/>
  <c r="AB32" i="11"/>
  <c r="AF32" i="11" s="1"/>
  <c r="AJ32" i="11" s="1"/>
  <c r="AP32" i="11" s="1"/>
  <c r="AT32" i="11" s="1"/>
  <c r="AX32" i="11" s="1"/>
  <c r="BF32" i="11" s="1"/>
  <c r="AB25" i="11"/>
  <c r="AF25" i="11" s="1"/>
  <c r="AJ25" i="11" s="1"/>
  <c r="AP25" i="11" s="1"/>
  <c r="AT25" i="11" s="1"/>
  <c r="AX25" i="11" s="1"/>
  <c r="AB19" i="11"/>
  <c r="AF19" i="11" s="1"/>
  <c r="AJ19" i="11" s="1"/>
  <c r="AP19" i="11" s="1"/>
  <c r="AT19" i="11" s="1"/>
  <c r="AX19" i="11" s="1"/>
  <c r="AB12" i="11"/>
  <c r="AF12" i="11" s="1"/>
  <c r="AJ12" i="11" s="1"/>
  <c r="AP12" i="11" s="1"/>
  <c r="AT12" i="11" s="1"/>
  <c r="AX12" i="11" s="1"/>
  <c r="AB42" i="11"/>
  <c r="AF42" i="11" s="1"/>
  <c r="AJ42" i="11" s="1"/>
  <c r="AP42" i="11" s="1"/>
  <c r="AT42" i="11" s="1"/>
  <c r="AX42" i="11" s="1"/>
  <c r="AB39" i="11"/>
  <c r="AF39" i="11" s="1"/>
  <c r="AJ39" i="11" s="1"/>
  <c r="AP39" i="11" s="1"/>
  <c r="AT39" i="11" s="1"/>
  <c r="AX39" i="11" s="1"/>
  <c r="AB33" i="11"/>
  <c r="AF33" i="11" s="1"/>
  <c r="AJ33" i="11" s="1"/>
  <c r="AP33" i="11" s="1"/>
  <c r="AT33" i="11" s="1"/>
  <c r="AX33" i="11" s="1"/>
  <c r="AB26" i="11"/>
  <c r="AF26" i="11" s="1"/>
  <c r="AJ26" i="11" s="1"/>
  <c r="AP26" i="11" s="1"/>
  <c r="AT26" i="11" s="1"/>
  <c r="AX26" i="11" s="1"/>
  <c r="AB20" i="11"/>
  <c r="AF20" i="11" s="1"/>
  <c r="AJ20" i="11" s="1"/>
  <c r="AP20" i="11" s="1"/>
  <c r="AT20" i="11" s="1"/>
  <c r="AX20" i="11" s="1"/>
  <c r="AB13" i="11"/>
  <c r="AF13" i="11" s="1"/>
  <c r="AJ13" i="11" s="1"/>
  <c r="AP13" i="11" s="1"/>
  <c r="AT13" i="11" s="1"/>
  <c r="AX13" i="11" s="1"/>
  <c r="AB50" i="11"/>
  <c r="AF50" i="11" s="1"/>
  <c r="AJ50" i="11" s="1"/>
  <c r="AP50" i="11" s="1"/>
  <c r="AT50" i="11" s="1"/>
  <c r="AX50" i="11" s="1"/>
  <c r="AB35" i="11"/>
  <c r="AF35" i="11" s="1"/>
  <c r="AJ35" i="11" s="1"/>
  <c r="AP35" i="11" s="1"/>
  <c r="AT35" i="11" s="1"/>
  <c r="AX35" i="11" s="1"/>
  <c r="AB28" i="11"/>
  <c r="AF28" i="11" s="1"/>
  <c r="AJ28" i="11" s="1"/>
  <c r="AP28" i="11" s="1"/>
  <c r="AT28" i="11" s="1"/>
  <c r="AX28" i="11" s="1"/>
  <c r="AB22" i="11"/>
  <c r="AF22" i="11" s="1"/>
  <c r="AJ22" i="11" s="1"/>
  <c r="AP22" i="11" s="1"/>
  <c r="AT22" i="11" s="1"/>
  <c r="AX22" i="11" s="1"/>
  <c r="AB15" i="11"/>
  <c r="AF15" i="11" s="1"/>
  <c r="AJ15" i="11" s="1"/>
  <c r="AP15" i="11" s="1"/>
  <c r="AT15" i="11" s="1"/>
  <c r="AX15" i="11" s="1"/>
  <c r="AB9" i="11"/>
  <c r="AF9" i="11" s="1"/>
  <c r="AJ9" i="11" s="1"/>
  <c r="AP9" i="11" s="1"/>
  <c r="AT9" i="11" s="1"/>
  <c r="AX9" i="11" s="1"/>
  <c r="AB48" i="11"/>
  <c r="AF48" i="11" s="1"/>
  <c r="AJ48" i="11" s="1"/>
  <c r="AP48" i="11" s="1"/>
  <c r="AT48" i="11" s="1"/>
  <c r="AX48" i="11" s="1"/>
  <c r="AG53" i="45"/>
  <c r="AK53" i="45" s="1"/>
  <c r="AQ53" i="45" s="1"/>
  <c r="AU53" i="45" s="1"/>
  <c r="BG53" i="45" s="1"/>
  <c r="AG45" i="45"/>
  <c r="AK45" i="45" s="1"/>
  <c r="AQ45" i="45" s="1"/>
  <c r="AU45" i="45" s="1"/>
  <c r="BG45" i="45" s="1"/>
  <c r="AG21" i="45"/>
  <c r="AK21" i="45" s="1"/>
  <c r="AQ21" i="45" s="1"/>
  <c r="AU21" i="45" s="1"/>
  <c r="AY21" i="45" s="1"/>
  <c r="BG21" i="45" s="1"/>
  <c r="AG16" i="45"/>
  <c r="AK16" i="45" s="1"/>
  <c r="AQ16" i="45" s="1"/>
  <c r="AU16" i="45" s="1"/>
  <c r="AY16" i="45" s="1"/>
  <c r="BG16" i="45" s="1"/>
  <c r="AG9" i="45"/>
  <c r="AK9" i="45" s="1"/>
  <c r="AQ9" i="45" s="1"/>
  <c r="AU9" i="45" s="1"/>
  <c r="AY9" i="45" s="1"/>
  <c r="BG9" i="45" s="1"/>
  <c r="AG29" i="45"/>
  <c r="AK29" i="45" s="1"/>
  <c r="AQ29" i="45" s="1"/>
  <c r="AU29" i="45" s="1"/>
  <c r="AY29" i="45" s="1"/>
  <c r="BG29" i="45" s="1"/>
  <c r="AF31" i="38"/>
  <c r="AJ31" i="38" s="1"/>
  <c r="AF26" i="38"/>
  <c r="AJ26" i="38" s="1"/>
  <c r="AF32" i="38"/>
  <c r="AJ32" i="38" s="1"/>
  <c r="AF11" i="38"/>
  <c r="AJ11" i="38" s="1"/>
  <c r="AF21" i="38"/>
  <c r="AJ21" i="38" s="1"/>
  <c r="AF27" i="38"/>
  <c r="AJ27" i="38" s="1"/>
  <c r="AF33" i="38"/>
  <c r="AJ33" i="38" s="1"/>
  <c r="AF10" i="38"/>
  <c r="AJ10" i="38" s="1"/>
  <c r="AF22" i="38"/>
  <c r="AJ22" i="38" s="1"/>
  <c r="AF28" i="38"/>
  <c r="AJ28" i="38" s="1"/>
  <c r="Y75" i="77"/>
  <c r="Y74" i="77"/>
  <c r="Y72" i="77"/>
  <c r="Y114" i="77" s="1"/>
  <c r="Y70" i="77"/>
  <c r="Y68" i="77"/>
  <c r="Y67" i="77"/>
  <c r="Y66" i="77"/>
  <c r="Y65" i="77"/>
  <c r="Y63" i="77"/>
  <c r="X63" i="77"/>
  <c r="Y62" i="77"/>
  <c r="X62" i="77"/>
  <c r="Y61" i="77"/>
  <c r="X61" i="77"/>
  <c r="Y60" i="77"/>
  <c r="X60" i="77"/>
  <c r="Y59" i="77"/>
  <c r="X59" i="77"/>
  <c r="Y57" i="77"/>
  <c r="X57" i="77"/>
  <c r="Y56" i="77"/>
  <c r="X56" i="77"/>
  <c r="Y55" i="77"/>
  <c r="X55" i="77"/>
  <c r="Y54" i="77"/>
  <c r="X54" i="77"/>
  <c r="Y53" i="77"/>
  <c r="X53" i="77"/>
  <c r="Y52" i="77"/>
  <c r="X52" i="77"/>
  <c r="Y51" i="77"/>
  <c r="X51" i="77"/>
  <c r="Y50" i="77"/>
  <c r="X50" i="77"/>
  <c r="Y49" i="77"/>
  <c r="X49" i="77"/>
  <c r="Y48" i="77"/>
  <c r="X48" i="77"/>
  <c r="Y47" i="77"/>
  <c r="X47" i="77"/>
  <c r="Y46" i="77"/>
  <c r="X46" i="77"/>
  <c r="Y45" i="77"/>
  <c r="X45" i="77"/>
  <c r="Y44" i="77"/>
  <c r="X44" i="77"/>
  <c r="Y42" i="77"/>
  <c r="X42" i="77"/>
  <c r="Y41" i="77"/>
  <c r="X41" i="77"/>
  <c r="Y40" i="77"/>
  <c r="X40" i="77"/>
  <c r="Y39" i="77"/>
  <c r="X39" i="77"/>
  <c r="Y38" i="77"/>
  <c r="X38" i="77"/>
  <c r="Y37" i="77"/>
  <c r="X37" i="77"/>
  <c r="Y36" i="77"/>
  <c r="X36" i="77"/>
  <c r="Y35" i="77"/>
  <c r="X35" i="77"/>
  <c r="Y34" i="77"/>
  <c r="X34" i="77"/>
  <c r="Y32" i="77"/>
  <c r="X32" i="77"/>
  <c r="Y31" i="77"/>
  <c r="X31" i="77"/>
  <c r="Y30" i="77"/>
  <c r="X30" i="77"/>
  <c r="Y28" i="77"/>
  <c r="X28" i="77"/>
  <c r="Y27" i="77"/>
  <c r="X27" i="77"/>
  <c r="Y26" i="77"/>
  <c r="X26" i="77"/>
  <c r="Y25" i="77"/>
  <c r="X25" i="77"/>
  <c r="Y24" i="77"/>
  <c r="X24" i="77"/>
  <c r="Y22" i="77"/>
  <c r="X22" i="77"/>
  <c r="Y21" i="77"/>
  <c r="X21" i="77"/>
  <c r="Y20" i="77"/>
  <c r="X20" i="77"/>
  <c r="Y19" i="77"/>
  <c r="X19" i="77"/>
  <c r="Y17" i="77"/>
  <c r="X17" i="77"/>
  <c r="Y16" i="77"/>
  <c r="Y18" i="77" s="1"/>
  <c r="X16" i="77"/>
  <c r="Y15" i="77"/>
  <c r="X15" i="77"/>
  <c r="Y14" i="77"/>
  <c r="X14" i="77"/>
  <c r="Y12" i="77"/>
  <c r="X12" i="77"/>
  <c r="Y11" i="77"/>
  <c r="X11" i="77"/>
  <c r="Y10" i="77"/>
  <c r="X10" i="77"/>
  <c r="Y9" i="77"/>
  <c r="X9" i="77"/>
  <c r="Y8" i="77"/>
  <c r="X8" i="77"/>
  <c r="Y6" i="77"/>
  <c r="X6" i="77"/>
  <c r="Y5" i="77"/>
  <c r="X5" i="77"/>
  <c r="X33" i="77" l="1"/>
  <c r="Y43" i="77"/>
  <c r="Y23" i="77"/>
  <c r="BF51" i="11"/>
  <c r="BF84" i="11" s="1"/>
  <c r="BF52" i="11"/>
  <c r="BF55" i="11"/>
  <c r="BF56" i="11" s="1"/>
  <c r="AJ23" i="8"/>
  <c r="BE111" i="17"/>
  <c r="AF85" i="8"/>
  <c r="Y58" i="77"/>
  <c r="Y29" i="77"/>
  <c r="X13" i="77"/>
  <c r="AF130" i="8"/>
  <c r="X18" i="77"/>
  <c r="X23" i="77"/>
  <c r="X29" i="77"/>
  <c r="X43" i="77"/>
  <c r="X58" i="77"/>
  <c r="AN33" i="38"/>
  <c r="AS66" i="7"/>
  <c r="AF50" i="8"/>
  <c r="AF132" i="8"/>
  <c r="AF51" i="8" s="1"/>
  <c r="AT41" i="7"/>
  <c r="AX41" i="7" s="1"/>
  <c r="AS43" i="7"/>
  <c r="AW43" i="7" s="1"/>
  <c r="AN28" i="38"/>
  <c r="AN27" i="38"/>
  <c r="AN26" i="38"/>
  <c r="AP13" i="7"/>
  <c r="AN30" i="38"/>
  <c r="AP10" i="7"/>
  <c r="AP43" i="7"/>
  <c r="AJ125" i="8"/>
  <c r="AP125" i="8" s="1"/>
  <c r="AP123" i="8"/>
  <c r="AT123" i="8" s="1"/>
  <c r="AT125" i="8" s="1"/>
  <c r="AT66" i="7"/>
  <c r="AP42" i="7"/>
  <c r="AT23" i="38"/>
  <c r="AJ85" i="8"/>
  <c r="AN32" i="38"/>
  <c r="AN9" i="38"/>
  <c r="AP9" i="7"/>
  <c r="Y13" i="77"/>
  <c r="Y33" i="77"/>
  <c r="AN22" i="38"/>
  <c r="AN31" i="38"/>
  <c r="AS133" i="10"/>
  <c r="AW133" i="10" s="1"/>
  <c r="BE133" i="10" s="1"/>
  <c r="AT7" i="7"/>
  <c r="AX7" i="7" s="1"/>
  <c r="AT17" i="7"/>
  <c r="AX17" i="7" s="1"/>
  <c r="AT8" i="38"/>
  <c r="AP111" i="8"/>
  <c r="AJ113" i="8"/>
  <c r="AJ17" i="49"/>
  <c r="AJ18" i="49" s="1"/>
  <c r="AP18" i="7"/>
  <c r="AP26" i="8"/>
  <c r="AJ129" i="8"/>
  <c r="AJ130" i="8" s="1"/>
  <c r="AT45" i="7"/>
  <c r="AX45" i="7" s="1"/>
  <c r="AT40" i="7"/>
  <c r="AX40" i="7" s="1"/>
  <c r="AN29" i="38"/>
  <c r="AT15" i="7"/>
  <c r="AX15" i="7" s="1"/>
  <c r="AP39" i="7"/>
  <c r="AP14" i="7"/>
  <c r="AP27" i="8"/>
  <c r="AT44" i="7"/>
  <c r="AX44" i="7" s="1"/>
  <c r="AT11" i="7"/>
  <c r="AX11" i="7" s="1"/>
  <c r="AN10" i="38"/>
  <c r="AN11" i="38"/>
  <c r="AT133" i="10"/>
  <c r="AX133" i="10" s="1"/>
  <c r="BF133" i="10" s="1"/>
  <c r="AP8" i="7"/>
  <c r="AP23" i="8"/>
  <c r="AJ9" i="49"/>
  <c r="AN25" i="38"/>
  <c r="AT38" i="7"/>
  <c r="AX38" i="7" s="1"/>
  <c r="AP12" i="7"/>
  <c r="AN24" i="38"/>
  <c r="AT15" i="38"/>
  <c r="AF27" i="11"/>
  <c r="AI135" i="10"/>
  <c r="AO135" i="10" s="1"/>
  <c r="AE134" i="10"/>
  <c r="AH58" i="59" s="1"/>
  <c r="AE136" i="10"/>
  <c r="AJ135" i="10"/>
  <c r="AP135" i="10" s="1"/>
  <c r="AF134" i="10"/>
  <c r="AI58" i="59" s="1"/>
  <c r="AF136" i="10"/>
  <c r="AN21" i="38"/>
  <c r="Y69" i="77"/>
  <c r="BF40" i="7" l="1"/>
  <c r="BF51" i="7" s="1"/>
  <c r="BF90" i="7" s="1"/>
  <c r="AX51" i="7"/>
  <c r="AX90" i="7" s="1"/>
  <c r="BE43" i="7"/>
  <c r="BE72" i="7" s="1"/>
  <c r="AW72" i="7"/>
  <c r="BF38" i="7"/>
  <c r="BF49" i="7" s="1"/>
  <c r="AX49" i="7"/>
  <c r="BF44" i="7"/>
  <c r="BF55" i="7" s="1"/>
  <c r="AX55" i="7"/>
  <c r="BF45" i="7"/>
  <c r="BF56" i="7" s="1"/>
  <c r="AX56" i="7"/>
  <c r="BF17" i="7"/>
  <c r="AX32" i="7"/>
  <c r="AX84" i="7" s="1"/>
  <c r="BF11" i="7"/>
  <c r="AX26" i="7"/>
  <c r="AX86" i="7" s="1"/>
  <c r="BF15" i="7"/>
  <c r="AX30" i="7"/>
  <c r="AX91" i="7" s="1"/>
  <c r="AX22" i="7"/>
  <c r="BF7" i="7"/>
  <c r="BG102" i="50"/>
  <c r="BF90" i="11"/>
  <c r="BF54" i="11"/>
  <c r="BF22" i="36" s="1"/>
  <c r="BI61" i="59" s="1"/>
  <c r="BF86" i="11"/>
  <c r="BF88" i="11"/>
  <c r="BF41" i="7"/>
  <c r="AX52" i="7"/>
  <c r="AJ131" i="8"/>
  <c r="AJ132" i="8"/>
  <c r="AJ51" i="8" s="1"/>
  <c r="AJ50" i="8"/>
  <c r="AT29" i="38"/>
  <c r="AT32" i="38"/>
  <c r="AX15" i="38"/>
  <c r="BB15" i="38" s="1"/>
  <c r="BJ15" i="38" s="1"/>
  <c r="AT12" i="7"/>
  <c r="AX12" i="7" s="1"/>
  <c r="AT8" i="7"/>
  <c r="AX8" i="7" s="1"/>
  <c r="AT27" i="8"/>
  <c r="AX27" i="8" s="1"/>
  <c r="BF27" i="8" s="1"/>
  <c r="AT39" i="7"/>
  <c r="AX39" i="7" s="1"/>
  <c r="AT111" i="8"/>
  <c r="AP17" i="49"/>
  <c r="AP18" i="49" s="1"/>
  <c r="AT9" i="7"/>
  <c r="AX9" i="7" s="1"/>
  <c r="AT43" i="7"/>
  <c r="AX43" i="7" s="1"/>
  <c r="AJ114" i="8"/>
  <c r="AP114" i="8" s="1"/>
  <c r="AP113" i="8"/>
  <c r="AT22" i="38"/>
  <c r="AT26" i="38"/>
  <c r="AT21" i="38"/>
  <c r="AS135" i="10"/>
  <c r="AW135" i="10" s="1"/>
  <c r="BE135" i="10" s="1"/>
  <c r="AO136" i="10"/>
  <c r="AO134" i="10"/>
  <c r="AR58" i="59" s="1"/>
  <c r="AT24" i="38"/>
  <c r="AT10" i="38"/>
  <c r="AT18" i="7"/>
  <c r="AX18" i="7" s="1"/>
  <c r="AT31" i="38"/>
  <c r="AT9" i="38"/>
  <c r="AT42" i="7"/>
  <c r="AX42" i="7" s="1"/>
  <c r="AT27" i="38"/>
  <c r="AT33" i="38"/>
  <c r="AT25" i="38"/>
  <c r="AT11" i="38"/>
  <c r="AT26" i="8"/>
  <c r="AX26" i="8" s="1"/>
  <c r="AP129" i="8"/>
  <c r="AP131" i="8" s="1"/>
  <c r="AX23" i="38"/>
  <c r="BB23" i="38" s="1"/>
  <c r="BJ23" i="38" s="1"/>
  <c r="BD86" i="8" s="1"/>
  <c r="AP85" i="8"/>
  <c r="AT30" i="38"/>
  <c r="AT28" i="38"/>
  <c r="AT135" i="10"/>
  <c r="AX135" i="10" s="1"/>
  <c r="BF135" i="10" s="1"/>
  <c r="AP134" i="10"/>
  <c r="AS58" i="59" s="1"/>
  <c r="AP136" i="10"/>
  <c r="AT23" i="8"/>
  <c r="AX23" i="8" s="1"/>
  <c r="AP9" i="49"/>
  <c r="AT14" i="7"/>
  <c r="AX14" i="7" s="1"/>
  <c r="AX8" i="38"/>
  <c r="BB8" i="38" s="1"/>
  <c r="BJ8" i="38" s="1"/>
  <c r="AT10" i="7"/>
  <c r="AX10" i="7" s="1"/>
  <c r="AT13" i="7"/>
  <c r="AX13" i="7" s="1"/>
  <c r="AJ27" i="11"/>
  <c r="AJ136" i="10"/>
  <c r="AJ134" i="10"/>
  <c r="AM58" i="59" s="1"/>
  <c r="AI136" i="10"/>
  <c r="AI134" i="10"/>
  <c r="AL58" i="59" s="1"/>
  <c r="Z32" i="77"/>
  <c r="AD32" i="77" s="1"/>
  <c r="AH32" i="77" s="1"/>
  <c r="AN32" i="77" s="1"/>
  <c r="AR32" i="77" s="1"/>
  <c r="AV32" i="77" s="1"/>
  <c r="BD32" i="77" s="1"/>
  <c r="AA32" i="77"/>
  <c r="AE32" i="77" s="1"/>
  <c r="AI32" i="77" s="1"/>
  <c r="AO32" i="77" s="1"/>
  <c r="AS32" i="77" s="1"/>
  <c r="AW32" i="77" s="1"/>
  <c r="BE32" i="77" s="1"/>
  <c r="Y65" i="39"/>
  <c r="Y64" i="39"/>
  <c r="M5" i="39"/>
  <c r="M6" i="39"/>
  <c r="M7" i="39"/>
  <c r="M9" i="39"/>
  <c r="M10" i="39"/>
  <c r="M11" i="39"/>
  <c r="M13" i="39"/>
  <c r="M12" i="39"/>
  <c r="AA12" i="39" s="1"/>
  <c r="AE12" i="39" s="1"/>
  <c r="AI12" i="39" s="1"/>
  <c r="AO12" i="39" s="1"/>
  <c r="AS12" i="39" s="1"/>
  <c r="AW12" i="39" s="1"/>
  <c r="M14" i="39"/>
  <c r="M15" i="39"/>
  <c r="M16" i="39"/>
  <c r="M17" i="39"/>
  <c r="M18" i="39"/>
  <c r="M19" i="39"/>
  <c r="M27" i="39"/>
  <c r="M28" i="39"/>
  <c r="M29" i="39"/>
  <c r="M30" i="39"/>
  <c r="M36" i="39"/>
  <c r="M37" i="39"/>
  <c r="M38" i="39"/>
  <c r="M42" i="39"/>
  <c r="M41" i="39"/>
  <c r="M47" i="39"/>
  <c r="M46" i="39"/>
  <c r="M45" i="39"/>
  <c r="M60" i="39"/>
  <c r="M59" i="39"/>
  <c r="M58" i="39"/>
  <c r="M57" i="39"/>
  <c r="M56" i="39"/>
  <c r="M55" i="39"/>
  <c r="M54" i="39"/>
  <c r="M53" i="39"/>
  <c r="M62" i="39"/>
  <c r="W210" i="73"/>
  <c r="S210" i="73"/>
  <c r="O210" i="73"/>
  <c r="Y210" i="73" s="1"/>
  <c r="K210" i="73"/>
  <c r="G210" i="73"/>
  <c r="M185" i="73"/>
  <c r="AA185" i="73" s="1"/>
  <c r="M186" i="73"/>
  <c r="AA186" i="73" s="1"/>
  <c r="M187" i="73"/>
  <c r="AA187" i="73" s="1"/>
  <c r="W162" i="73"/>
  <c r="S162" i="73"/>
  <c r="O162" i="73"/>
  <c r="Y162" i="73" s="1"/>
  <c r="K162" i="73"/>
  <c r="G162" i="73"/>
  <c r="M133" i="73"/>
  <c r="AA133" i="73" s="1"/>
  <c r="M134" i="73"/>
  <c r="AA134" i="73" s="1"/>
  <c r="M135" i="73"/>
  <c r="AA135" i="73" s="1"/>
  <c r="M136" i="73"/>
  <c r="AA136" i="73" s="1"/>
  <c r="M137" i="73"/>
  <c r="AA137" i="73" s="1"/>
  <c r="M138" i="73"/>
  <c r="AA138" i="73" s="1"/>
  <c r="M139" i="73"/>
  <c r="AA139" i="73" s="1"/>
  <c r="M141" i="73"/>
  <c r="AA141" i="73" s="1"/>
  <c r="M142" i="73"/>
  <c r="AA142" i="73" s="1"/>
  <c r="M143" i="73"/>
  <c r="AA143" i="73" s="1"/>
  <c r="M144" i="73"/>
  <c r="AA144" i="73" s="1"/>
  <c r="M145" i="73"/>
  <c r="AA145" i="73" s="1"/>
  <c r="M148" i="73"/>
  <c r="AA148" i="73" s="1"/>
  <c r="M149" i="73"/>
  <c r="AA149" i="73" s="1"/>
  <c r="M150" i="73"/>
  <c r="AA150" i="73" s="1"/>
  <c r="M151" i="73"/>
  <c r="AA151" i="73" s="1"/>
  <c r="M152" i="73"/>
  <c r="AA152" i="73" s="1"/>
  <c r="M154" i="73"/>
  <c r="AA154" i="73" s="1"/>
  <c r="M156" i="73"/>
  <c r="AA156" i="73" s="1"/>
  <c r="M157" i="73"/>
  <c r="AA157" i="73" s="1"/>
  <c r="M158" i="73"/>
  <c r="AA158" i="73" s="1"/>
  <c r="M160" i="73"/>
  <c r="AA160" i="73" s="1"/>
  <c r="M161" i="73"/>
  <c r="AA161" i="73" s="1"/>
  <c r="W98" i="73"/>
  <c r="S98" i="73"/>
  <c r="O98" i="73"/>
  <c r="Y98" i="73" s="1"/>
  <c r="K98" i="73"/>
  <c r="G98" i="73"/>
  <c r="M67" i="73"/>
  <c r="M68" i="73"/>
  <c r="M69" i="73"/>
  <c r="M73" i="73"/>
  <c r="M74" i="73"/>
  <c r="M75" i="73"/>
  <c r="M76" i="73"/>
  <c r="AA76" i="73" s="1"/>
  <c r="M77" i="73"/>
  <c r="AA77" i="73" s="1"/>
  <c r="M78" i="73"/>
  <c r="M79" i="73"/>
  <c r="M80" i="73"/>
  <c r="M81" i="73"/>
  <c r="M84" i="73"/>
  <c r="M85" i="73"/>
  <c r="M86" i="73"/>
  <c r="M87" i="73"/>
  <c r="AA87" i="73" s="1"/>
  <c r="M89" i="73"/>
  <c r="M90" i="73"/>
  <c r="M91" i="73"/>
  <c r="AA91" i="73" s="1"/>
  <c r="M92" i="73"/>
  <c r="AA92" i="73" s="1"/>
  <c r="M93" i="73"/>
  <c r="M94" i="73"/>
  <c r="M95" i="73"/>
  <c r="M97" i="73"/>
  <c r="M56" i="73"/>
  <c r="AA56" i="73" s="1"/>
  <c r="W65" i="73"/>
  <c r="S65" i="73"/>
  <c r="O65" i="73"/>
  <c r="Y65" i="73" s="1"/>
  <c r="K65" i="73"/>
  <c r="G65" i="73"/>
  <c r="M36" i="73"/>
  <c r="AA36" i="73" s="1"/>
  <c r="M37" i="73"/>
  <c r="AA37" i="73" s="1"/>
  <c r="M38" i="73"/>
  <c r="AA38" i="73" s="1"/>
  <c r="M39" i="73"/>
  <c r="AA39" i="73" s="1"/>
  <c r="M40" i="73"/>
  <c r="AA40" i="73" s="1"/>
  <c r="M41" i="73"/>
  <c r="AA41" i="73" s="1"/>
  <c r="M42" i="73"/>
  <c r="AA42" i="73" s="1"/>
  <c r="M43" i="73"/>
  <c r="AA43" i="73" s="1"/>
  <c r="M45" i="73"/>
  <c r="AA45" i="73" s="1"/>
  <c r="M46" i="73"/>
  <c r="AA46" i="73" s="1"/>
  <c r="M47" i="73"/>
  <c r="AA47" i="73" s="1"/>
  <c r="M25" i="73"/>
  <c r="AA25" i="73" s="1"/>
  <c r="M26" i="73"/>
  <c r="AA26" i="73" s="1"/>
  <c r="M28" i="73"/>
  <c r="AA28" i="73" s="1"/>
  <c r="M29" i="73"/>
  <c r="AA29" i="73" s="1"/>
  <c r="M30" i="73"/>
  <c r="AA30" i="73" s="1"/>
  <c r="M31" i="73"/>
  <c r="AA31" i="73" s="1"/>
  <c r="M32" i="73"/>
  <c r="AA32" i="73" s="1"/>
  <c r="Z356" i="28"/>
  <c r="Z357" i="28"/>
  <c r="Z358" i="28"/>
  <c r="Z359" i="28"/>
  <c r="N355" i="28"/>
  <c r="AB355" i="28" s="1"/>
  <c r="AF355" i="28" s="1"/>
  <c r="AJ355" i="28" s="1"/>
  <c r="AP355" i="28" s="1"/>
  <c r="AT355" i="28" s="1"/>
  <c r="AX355" i="28" s="1"/>
  <c r="BF355" i="28" s="1"/>
  <c r="N356" i="28"/>
  <c r="N357" i="28"/>
  <c r="N358" i="28"/>
  <c r="N359" i="28"/>
  <c r="N316" i="28"/>
  <c r="Z303" i="28"/>
  <c r="Z308" i="28"/>
  <c r="Z309" i="28"/>
  <c r="Z302" i="28"/>
  <c r="N303" i="28"/>
  <c r="N308" i="28"/>
  <c r="N309" i="28"/>
  <c r="N302" i="28"/>
  <c r="Z244" i="28"/>
  <c r="Z245" i="28"/>
  <c r="Z247" i="28"/>
  <c r="Z248" i="28"/>
  <c r="Z249" i="28"/>
  <c r="Z251" i="28"/>
  <c r="Z252" i="28"/>
  <c r="Z254" i="28"/>
  <c r="Z255" i="28"/>
  <c r="Z256" i="28"/>
  <c r="Z257" i="28"/>
  <c r="Z258" i="28"/>
  <c r="Z259" i="28"/>
  <c r="Z260" i="28"/>
  <c r="Z261" i="28"/>
  <c r="Z262" i="28"/>
  <c r="Z263" i="28"/>
  <c r="Z265" i="28"/>
  <c r="Z266" i="28"/>
  <c r="Z267" i="28"/>
  <c r="Z268" i="28"/>
  <c r="Z269" i="28"/>
  <c r="Z271" i="28"/>
  <c r="Z272" i="28"/>
  <c r="Z273" i="28"/>
  <c r="Z274" i="28"/>
  <c r="Z276" i="28"/>
  <c r="Z277" i="28"/>
  <c r="Z278" i="28"/>
  <c r="Z280" i="28"/>
  <c r="Z281" i="28"/>
  <c r="Z283" i="28"/>
  <c r="Z284" i="28"/>
  <c r="Z285" i="28"/>
  <c r="Z291" i="28"/>
  <c r="Z292" i="28"/>
  <c r="Z293" i="28"/>
  <c r="Z295" i="28"/>
  <c r="Z296" i="28"/>
  <c r="Z297" i="28"/>
  <c r="Z298" i="28"/>
  <c r="N245" i="28"/>
  <c r="N247" i="28"/>
  <c r="N248" i="28"/>
  <c r="N249" i="28"/>
  <c r="N251" i="28"/>
  <c r="N252" i="28"/>
  <c r="N254" i="28"/>
  <c r="N255" i="28"/>
  <c r="N256" i="28"/>
  <c r="N257" i="28"/>
  <c r="N258" i="28"/>
  <c r="N259" i="28"/>
  <c r="N260" i="28"/>
  <c r="N261" i="28"/>
  <c r="N262" i="28"/>
  <c r="N263" i="28"/>
  <c r="N265" i="28"/>
  <c r="N266" i="28"/>
  <c r="N267" i="28"/>
  <c r="N268" i="28"/>
  <c r="N269" i="28"/>
  <c r="N271" i="28"/>
  <c r="N272" i="28"/>
  <c r="N273" i="28"/>
  <c r="N274" i="28"/>
  <c r="N276" i="28"/>
  <c r="N277" i="28"/>
  <c r="N278" i="28"/>
  <c r="N280" i="28"/>
  <c r="N281" i="28"/>
  <c r="N283" i="28"/>
  <c r="N284" i="28"/>
  <c r="N285" i="28"/>
  <c r="N289" i="28"/>
  <c r="N291" i="28"/>
  <c r="N292" i="28"/>
  <c r="N293" i="28"/>
  <c r="N294" i="28"/>
  <c r="N295" i="28"/>
  <c r="N296" i="28"/>
  <c r="N297" i="28"/>
  <c r="N298" i="28"/>
  <c r="N244" i="28"/>
  <c r="Z238" i="28"/>
  <c r="Z239" i="28"/>
  <c r="Z240" i="28"/>
  <c r="N239" i="28"/>
  <c r="N240" i="28"/>
  <c r="N238" i="28"/>
  <c r="Z201" i="28"/>
  <c r="Z202" i="28"/>
  <c r="Z203" i="28"/>
  <c r="Z204" i="28"/>
  <c r="Z205" i="28"/>
  <c r="Z206" i="28"/>
  <c r="Z207" i="28"/>
  <c r="Z208" i="28"/>
  <c r="Z209" i="28"/>
  <c r="Z210" i="28"/>
  <c r="Z211" i="28"/>
  <c r="Z212" i="28"/>
  <c r="Z213" i="28"/>
  <c r="Z214" i="28"/>
  <c r="Z215" i="28"/>
  <c r="Z216" i="28"/>
  <c r="Z217" i="28"/>
  <c r="Z218" i="28"/>
  <c r="Z219" i="28"/>
  <c r="Z220" i="28"/>
  <c r="Z221" i="28"/>
  <c r="Z222" i="28"/>
  <c r="Z224" i="28"/>
  <c r="Z225" i="28"/>
  <c r="Z226" i="28"/>
  <c r="Z227" i="28"/>
  <c r="Z228" i="28"/>
  <c r="Z229" i="28"/>
  <c r="Z230" i="28"/>
  <c r="Z231" i="28"/>
  <c r="Z232" i="28"/>
  <c r="Z233" i="28"/>
  <c r="N202" i="28"/>
  <c r="N203" i="28"/>
  <c r="N204" i="28"/>
  <c r="N205" i="28"/>
  <c r="N206" i="28"/>
  <c r="N207" i="28"/>
  <c r="N208" i="28"/>
  <c r="N209" i="28"/>
  <c r="N210" i="28"/>
  <c r="N211" i="28"/>
  <c r="N212" i="28"/>
  <c r="N213" i="28"/>
  <c r="N214" i="28"/>
  <c r="N215" i="28"/>
  <c r="N216" i="28"/>
  <c r="N217" i="28"/>
  <c r="N218" i="28"/>
  <c r="N219" i="28"/>
  <c r="N220" i="28"/>
  <c r="N221" i="28"/>
  <c r="N222" i="28"/>
  <c r="N224" i="28"/>
  <c r="N225" i="28"/>
  <c r="N226" i="28"/>
  <c r="N227" i="28"/>
  <c r="N228" i="28"/>
  <c r="N229" i="28"/>
  <c r="N230" i="28"/>
  <c r="N231" i="28"/>
  <c r="N232" i="28"/>
  <c r="N233" i="28"/>
  <c r="N201" i="28"/>
  <c r="Z197" i="28"/>
  <c r="Z193" i="28"/>
  <c r="N197" i="28"/>
  <c r="N193" i="28"/>
  <c r="N189" i="28"/>
  <c r="Z86" i="28"/>
  <c r="Z87" i="28"/>
  <c r="Z88" i="28"/>
  <c r="Z89" i="28"/>
  <c r="Z90" i="28"/>
  <c r="Z91" i="28"/>
  <c r="Z92" i="28"/>
  <c r="Z93" i="28"/>
  <c r="Z94" i="28"/>
  <c r="Z95" i="28"/>
  <c r="Z96" i="28"/>
  <c r="Z97" i="28"/>
  <c r="Z99" i="28"/>
  <c r="Z100" i="28"/>
  <c r="Z101" i="28"/>
  <c r="Z102" i="28"/>
  <c r="Z105" i="28"/>
  <c r="Z107" i="28"/>
  <c r="Z108" i="28"/>
  <c r="Z109" i="28"/>
  <c r="Z110" i="28"/>
  <c r="Z111" i="28"/>
  <c r="Z113" i="28"/>
  <c r="Z114" i="28"/>
  <c r="Z115" i="28"/>
  <c r="Z116" i="28"/>
  <c r="Z118" i="28"/>
  <c r="Z119" i="28"/>
  <c r="Z120" i="28"/>
  <c r="Z121" i="28"/>
  <c r="Z122" i="28"/>
  <c r="Z123" i="28"/>
  <c r="Z124" i="28"/>
  <c r="Z125" i="28"/>
  <c r="Z126" i="28"/>
  <c r="Z127" i="28"/>
  <c r="Z128" i="28"/>
  <c r="Z129" i="28"/>
  <c r="Z130" i="28"/>
  <c r="Z131" i="28"/>
  <c r="Z132" i="28"/>
  <c r="Z133" i="28"/>
  <c r="Z134" i="28"/>
  <c r="Z135" i="28"/>
  <c r="Z136" i="28"/>
  <c r="Z137" i="28"/>
  <c r="Z138" i="28"/>
  <c r="Z139" i="28"/>
  <c r="Z140" i="28"/>
  <c r="Z141" i="28"/>
  <c r="Z142" i="28"/>
  <c r="Z143" i="28"/>
  <c r="Z144" i="28"/>
  <c r="Z146" i="28"/>
  <c r="Z147" i="28"/>
  <c r="Z148" i="28"/>
  <c r="Z149" i="28"/>
  <c r="Z150" i="28"/>
  <c r="Z151" i="28"/>
  <c r="Z153" i="28"/>
  <c r="Z154" i="28"/>
  <c r="Z155" i="28"/>
  <c r="Z156" i="28"/>
  <c r="Z157" i="28"/>
  <c r="Z158" i="28"/>
  <c r="Z159" i="28"/>
  <c r="Z160" i="28"/>
  <c r="Z161" i="28"/>
  <c r="Z162" i="28"/>
  <c r="Z163" i="28"/>
  <c r="Z165" i="28"/>
  <c r="Z166" i="28"/>
  <c r="Z167" i="28"/>
  <c r="Z168" i="28"/>
  <c r="Z169" i="28"/>
  <c r="Z171" i="28"/>
  <c r="Z172" i="28"/>
  <c r="Z174" i="28"/>
  <c r="Z175" i="28"/>
  <c r="Z176" i="28"/>
  <c r="Z177" i="28"/>
  <c r="Z178" i="28"/>
  <c r="Z179" i="28"/>
  <c r="Z180" i="28"/>
  <c r="Z181" i="28"/>
  <c r="Z182" i="28"/>
  <c r="Z183" i="28"/>
  <c r="N87" i="28"/>
  <c r="N88" i="28"/>
  <c r="N89" i="28"/>
  <c r="N90" i="28"/>
  <c r="N91" i="28"/>
  <c r="N92" i="28"/>
  <c r="N93" i="28"/>
  <c r="N94" i="28"/>
  <c r="N95" i="28"/>
  <c r="N96" i="28"/>
  <c r="N97" i="28"/>
  <c r="N99" i="28"/>
  <c r="N100" i="28"/>
  <c r="N101" i="28"/>
  <c r="N102" i="28"/>
  <c r="N105" i="28"/>
  <c r="N107" i="28"/>
  <c r="N108" i="28"/>
  <c r="N109" i="28"/>
  <c r="N110" i="28"/>
  <c r="N111" i="28"/>
  <c r="N113" i="28"/>
  <c r="N114" i="28"/>
  <c r="N115" i="28"/>
  <c r="N116" i="28"/>
  <c r="N118" i="28"/>
  <c r="N119" i="28"/>
  <c r="N120" i="28"/>
  <c r="N121" i="28"/>
  <c r="N122" i="28"/>
  <c r="N123" i="28"/>
  <c r="N124" i="28"/>
  <c r="N125" i="28"/>
  <c r="N126" i="28"/>
  <c r="N127" i="28"/>
  <c r="N128" i="28"/>
  <c r="N129" i="28"/>
  <c r="N130" i="28"/>
  <c r="N131" i="28"/>
  <c r="N132" i="28"/>
  <c r="N133" i="28"/>
  <c r="N134" i="28"/>
  <c r="N135" i="28"/>
  <c r="N136" i="28"/>
  <c r="N137" i="28"/>
  <c r="N138" i="28"/>
  <c r="N139" i="28"/>
  <c r="N140" i="28"/>
  <c r="N141" i="28"/>
  <c r="N142" i="28"/>
  <c r="N143" i="28"/>
  <c r="N144" i="28"/>
  <c r="N146" i="28"/>
  <c r="N147" i="28"/>
  <c r="N148" i="28"/>
  <c r="N149" i="28"/>
  <c r="N150" i="28"/>
  <c r="N151" i="28"/>
  <c r="N153" i="28"/>
  <c r="N154" i="28"/>
  <c r="N155" i="28"/>
  <c r="N156" i="28"/>
  <c r="N157" i="28"/>
  <c r="N158" i="28"/>
  <c r="N159" i="28"/>
  <c r="N161" i="28"/>
  <c r="N162" i="28"/>
  <c r="N163" i="28"/>
  <c r="N165" i="28"/>
  <c r="N166" i="28"/>
  <c r="N167" i="28"/>
  <c r="N168" i="28"/>
  <c r="N169" i="28"/>
  <c r="N171" i="28"/>
  <c r="N172" i="28"/>
  <c r="N174" i="28"/>
  <c r="N175" i="28"/>
  <c r="N176" i="28"/>
  <c r="N177" i="28"/>
  <c r="N178" i="28"/>
  <c r="N179" i="28"/>
  <c r="N180" i="28"/>
  <c r="N181" i="28"/>
  <c r="N182" i="28"/>
  <c r="N183" i="28"/>
  <c r="N86" i="28"/>
  <c r="Y79" i="28"/>
  <c r="Y78" i="28"/>
  <c r="Y75" i="28"/>
  <c r="Y74" i="28"/>
  <c r="Y71" i="28"/>
  <c r="Y70" i="28"/>
  <c r="Z78" i="28"/>
  <c r="Z77" i="28"/>
  <c r="Z74" i="28"/>
  <c r="Z73" i="28"/>
  <c r="Z70" i="28"/>
  <c r="Z69" i="28"/>
  <c r="Z66" i="28"/>
  <c r="Z65" i="28"/>
  <c r="N78" i="28"/>
  <c r="N77" i="28"/>
  <c r="N74" i="28"/>
  <c r="N73" i="28"/>
  <c r="N70" i="28"/>
  <c r="N69" i="28"/>
  <c r="N66" i="28"/>
  <c r="N65" i="28"/>
  <c r="Z43" i="28"/>
  <c r="Z44" i="28"/>
  <c r="Z45" i="28"/>
  <c r="Z46" i="28"/>
  <c r="N43" i="28"/>
  <c r="N44" i="28"/>
  <c r="N45" i="28"/>
  <c r="N46" i="28"/>
  <c r="N42" i="28"/>
  <c r="Z36" i="28"/>
  <c r="Z37" i="28"/>
  <c r="Z38" i="28"/>
  <c r="Z39" i="28"/>
  <c r="Z35" i="28"/>
  <c r="N36" i="28"/>
  <c r="N37" i="28"/>
  <c r="N38" i="28"/>
  <c r="N39" i="28"/>
  <c r="N35" i="28"/>
  <c r="Y24" i="28"/>
  <c r="Z24" i="28"/>
  <c r="Y25" i="28"/>
  <c r="Z25" i="28"/>
  <c r="Z23" i="28"/>
  <c r="Y23" i="28"/>
  <c r="Z22" i="28"/>
  <c r="Z21" i="28"/>
  <c r="M31" i="28"/>
  <c r="M32" i="28"/>
  <c r="N32" i="28"/>
  <c r="M30" i="28"/>
  <c r="M24" i="28"/>
  <c r="M25" i="28"/>
  <c r="M23" i="28"/>
  <c r="N22" i="28"/>
  <c r="N23" i="28"/>
  <c r="N24" i="28"/>
  <c r="N25" i="28"/>
  <c r="N21" i="28"/>
  <c r="Z15" i="28"/>
  <c r="Z16" i="28"/>
  <c r="Z17" i="28"/>
  <c r="Z18" i="28"/>
  <c r="Z14" i="28"/>
  <c r="N15" i="28"/>
  <c r="N16" i="28"/>
  <c r="N17" i="28"/>
  <c r="N18" i="28"/>
  <c r="N14" i="28"/>
  <c r="BF42" i="7" l="1"/>
  <c r="BF53" i="7" s="1"/>
  <c r="AX53" i="7"/>
  <c r="BF39" i="7"/>
  <c r="BF50" i="7" s="1"/>
  <c r="AX50" i="7"/>
  <c r="AX82" i="7"/>
  <c r="BA30" i="59" s="1"/>
  <c r="BF43" i="7"/>
  <c r="AX54" i="7"/>
  <c r="AX72" i="7"/>
  <c r="BF14" i="7"/>
  <c r="AX29" i="7"/>
  <c r="AX89" i="7" s="1"/>
  <c r="BA35" i="59" s="1"/>
  <c r="BF8" i="7"/>
  <c r="AX23" i="7"/>
  <c r="AX83" i="7" s="1"/>
  <c r="BA31" i="59" s="1"/>
  <c r="BF30" i="7"/>
  <c r="BF18" i="7"/>
  <c r="AX33" i="7"/>
  <c r="AX94" i="7" s="1"/>
  <c r="BF12" i="7"/>
  <c r="AX27" i="7"/>
  <c r="AX87" i="7" s="1"/>
  <c r="BA33" i="59" s="1"/>
  <c r="BF26" i="7"/>
  <c r="BF13" i="7"/>
  <c r="AX28" i="7"/>
  <c r="AX88" i="7" s="1"/>
  <c r="BA34" i="59" s="1"/>
  <c r="BF22" i="7"/>
  <c r="BF32" i="7"/>
  <c r="BF52" i="7"/>
  <c r="BF10" i="7"/>
  <c r="AX25" i="7"/>
  <c r="AX85" i="7" s="1"/>
  <c r="BF9" i="7"/>
  <c r="AX24" i="7"/>
  <c r="BF23" i="8"/>
  <c r="AX9" i="49"/>
  <c r="AA97" i="73"/>
  <c r="AE97" i="73" s="1"/>
  <c r="AI97" i="73" s="1"/>
  <c r="AO97" i="73" s="1"/>
  <c r="AS97" i="73" s="1"/>
  <c r="AW97" i="73" s="1"/>
  <c r="BE97" i="73" s="1"/>
  <c r="AA81" i="73"/>
  <c r="AE81" i="73" s="1"/>
  <c r="AI81" i="73" s="1"/>
  <c r="AO81" i="73" s="1"/>
  <c r="AS81" i="73" s="1"/>
  <c r="AW81" i="73" s="1"/>
  <c r="BE81" i="73" s="1"/>
  <c r="AA95" i="73"/>
  <c r="AE95" i="73" s="1"/>
  <c r="AI95" i="73" s="1"/>
  <c r="AO95" i="73" s="1"/>
  <c r="AS95" i="73" s="1"/>
  <c r="AW95" i="73" s="1"/>
  <c r="BE95" i="73" s="1"/>
  <c r="AA80" i="73"/>
  <c r="AE80" i="73" s="1"/>
  <c r="AI80" i="73" s="1"/>
  <c r="AO80" i="73" s="1"/>
  <c r="AS80" i="73" s="1"/>
  <c r="AW80" i="73" s="1"/>
  <c r="BE80" i="73" s="1"/>
  <c r="AA94" i="73"/>
  <c r="AE94" i="73" s="1"/>
  <c r="AI94" i="73" s="1"/>
  <c r="AO94" i="73" s="1"/>
  <c r="AS94" i="73" s="1"/>
  <c r="AW94" i="73" s="1"/>
  <c r="BE94" i="73" s="1"/>
  <c r="AA79" i="73"/>
  <c r="AE79" i="73" s="1"/>
  <c r="AI79" i="73" s="1"/>
  <c r="AO79" i="73" s="1"/>
  <c r="AS79" i="73" s="1"/>
  <c r="AW79" i="73" s="1"/>
  <c r="BE79" i="73" s="1"/>
  <c r="AA93" i="73"/>
  <c r="AE93" i="73" s="1"/>
  <c r="AI93" i="73" s="1"/>
  <c r="AO93" i="73" s="1"/>
  <c r="AS93" i="73" s="1"/>
  <c r="AW93" i="73" s="1"/>
  <c r="BE93" i="73" s="1"/>
  <c r="AA78" i="73"/>
  <c r="AE78" i="73" s="1"/>
  <c r="AI78" i="73" s="1"/>
  <c r="AO78" i="73" s="1"/>
  <c r="AS78" i="73" s="1"/>
  <c r="AW78" i="73" s="1"/>
  <c r="BE78" i="73" s="1"/>
  <c r="AA90" i="73"/>
  <c r="AE90" i="73" s="1"/>
  <c r="AI90" i="73" s="1"/>
  <c r="AO90" i="73" s="1"/>
  <c r="AS90" i="73" s="1"/>
  <c r="AW90" i="73" s="1"/>
  <c r="BE90" i="73" s="1"/>
  <c r="AA75" i="73"/>
  <c r="AE75" i="73" s="1"/>
  <c r="AI75" i="73" s="1"/>
  <c r="AO75" i="73" s="1"/>
  <c r="AS75" i="73" s="1"/>
  <c r="AW75" i="73" s="1"/>
  <c r="BE75" i="73" s="1"/>
  <c r="AA89" i="73"/>
  <c r="AE89" i="73" s="1"/>
  <c r="AI89" i="73" s="1"/>
  <c r="AO89" i="73" s="1"/>
  <c r="AS89" i="73" s="1"/>
  <c r="AW89" i="73" s="1"/>
  <c r="BE89" i="73" s="1"/>
  <c r="AA74" i="73"/>
  <c r="AE74" i="73" s="1"/>
  <c r="AI74" i="73" s="1"/>
  <c r="AO74" i="73" s="1"/>
  <c r="AS74" i="73" s="1"/>
  <c r="AW74" i="73" s="1"/>
  <c r="BE74" i="73" s="1"/>
  <c r="AA73" i="73"/>
  <c r="AE73" i="73" s="1"/>
  <c r="AI73" i="73" s="1"/>
  <c r="AO73" i="73" s="1"/>
  <c r="AS73" i="73" s="1"/>
  <c r="AW73" i="73" s="1"/>
  <c r="BE73" i="73" s="1"/>
  <c r="AA86" i="73"/>
  <c r="AE86" i="73" s="1"/>
  <c r="AI86" i="73" s="1"/>
  <c r="AO86" i="73" s="1"/>
  <c r="AS86" i="73" s="1"/>
  <c r="AW86" i="73" s="1"/>
  <c r="BE86" i="73" s="1"/>
  <c r="AA69" i="73"/>
  <c r="AE69" i="73" s="1"/>
  <c r="AI69" i="73" s="1"/>
  <c r="AO69" i="73" s="1"/>
  <c r="AS69" i="73" s="1"/>
  <c r="AW69" i="73" s="1"/>
  <c r="BE69" i="73" s="1"/>
  <c r="AA85" i="73"/>
  <c r="AE85" i="73" s="1"/>
  <c r="AI85" i="73" s="1"/>
  <c r="AO85" i="73" s="1"/>
  <c r="AS85" i="73" s="1"/>
  <c r="AW85" i="73" s="1"/>
  <c r="BE85" i="73" s="1"/>
  <c r="AA68" i="73"/>
  <c r="AE68" i="73" s="1"/>
  <c r="AI68" i="73" s="1"/>
  <c r="AO68" i="73" s="1"/>
  <c r="AS68" i="73" s="1"/>
  <c r="AW68" i="73" s="1"/>
  <c r="BE68" i="73" s="1"/>
  <c r="AA84" i="73"/>
  <c r="AE84" i="73" s="1"/>
  <c r="AI84" i="73" s="1"/>
  <c r="AO84" i="73" s="1"/>
  <c r="AS84" i="73" s="1"/>
  <c r="AW84" i="73" s="1"/>
  <c r="BE84" i="73" s="1"/>
  <c r="AA67" i="73"/>
  <c r="AE67" i="73" s="1"/>
  <c r="AI67" i="73" s="1"/>
  <c r="AO67" i="73" s="1"/>
  <c r="AS67" i="73" s="1"/>
  <c r="AW67" i="73" s="1"/>
  <c r="BE67" i="73" s="1"/>
  <c r="BF134" i="10"/>
  <c r="BI58" i="59" s="1"/>
  <c r="BF136" i="10"/>
  <c r="BE136" i="10"/>
  <c r="BE134" i="10"/>
  <c r="BH58" i="59" s="1"/>
  <c r="BB86" i="8"/>
  <c r="BF26" i="8"/>
  <c r="AX129" i="8"/>
  <c r="AX131" i="8" s="1"/>
  <c r="AX130" i="8"/>
  <c r="AW136" i="10"/>
  <c r="AW134" i="10"/>
  <c r="AZ58" i="59" s="1"/>
  <c r="AX136" i="10"/>
  <c r="AX134" i="10"/>
  <c r="BA58" i="59" s="1"/>
  <c r="AX85" i="8"/>
  <c r="AB154" i="28"/>
  <c r="AF154" i="28" s="1"/>
  <c r="AJ154" i="28" s="1"/>
  <c r="AP154" i="28" s="1"/>
  <c r="AT154" i="28" s="1"/>
  <c r="AX154" i="28" s="1"/>
  <c r="BF154" i="28" s="1"/>
  <c r="AB142" i="28"/>
  <c r="AF142" i="28" s="1"/>
  <c r="AJ142" i="28" s="1"/>
  <c r="AP142" i="28" s="1"/>
  <c r="AT142" i="28" s="1"/>
  <c r="AX142" i="28" s="1"/>
  <c r="BF142" i="28" s="1"/>
  <c r="AB131" i="28"/>
  <c r="AF131" i="28" s="1"/>
  <c r="AJ131" i="28" s="1"/>
  <c r="AP131" i="28" s="1"/>
  <c r="AT131" i="28" s="1"/>
  <c r="AX131" i="28" s="1"/>
  <c r="BF131" i="28" s="1"/>
  <c r="AB119" i="28"/>
  <c r="AF119" i="28" s="1"/>
  <c r="AJ119" i="28" s="1"/>
  <c r="AP119" i="28" s="1"/>
  <c r="AT119" i="28" s="1"/>
  <c r="AX119" i="28" s="1"/>
  <c r="BF119" i="28" s="1"/>
  <c r="AB89" i="28"/>
  <c r="AF89" i="28" s="1"/>
  <c r="AJ89" i="28" s="1"/>
  <c r="AP89" i="28" s="1"/>
  <c r="AT89" i="28" s="1"/>
  <c r="AX89" i="28" s="1"/>
  <c r="BF89" i="28" s="1"/>
  <c r="AB228" i="28"/>
  <c r="AF228" i="28" s="1"/>
  <c r="AJ228" i="28" s="1"/>
  <c r="AP228" i="28" s="1"/>
  <c r="AT228" i="28" s="1"/>
  <c r="AX228" i="28" s="1"/>
  <c r="BF228" i="28" s="1"/>
  <c r="AB215" i="28"/>
  <c r="AF215" i="28" s="1"/>
  <c r="AJ215" i="28" s="1"/>
  <c r="AP215" i="28" s="1"/>
  <c r="AT215" i="28" s="1"/>
  <c r="AX215" i="28" s="1"/>
  <c r="BF215" i="28" s="1"/>
  <c r="AB203" i="28"/>
  <c r="AF203" i="28" s="1"/>
  <c r="AJ203" i="28" s="1"/>
  <c r="AP203" i="28" s="1"/>
  <c r="AT203" i="28" s="1"/>
  <c r="AX203" i="28" s="1"/>
  <c r="BF203" i="28" s="1"/>
  <c r="AB291" i="28"/>
  <c r="AF291" i="28" s="1"/>
  <c r="AJ291" i="28" s="1"/>
  <c r="AP291" i="28" s="1"/>
  <c r="AT291" i="28" s="1"/>
  <c r="AX291" i="28" s="1"/>
  <c r="BF291" i="28" s="1"/>
  <c r="AB283" i="28"/>
  <c r="AF283" i="28" s="1"/>
  <c r="AJ283" i="28" s="1"/>
  <c r="AP283" i="28" s="1"/>
  <c r="AT283" i="28" s="1"/>
  <c r="AX283" i="28" s="1"/>
  <c r="BF283" i="28" s="1"/>
  <c r="AB273" i="28"/>
  <c r="AF273" i="28" s="1"/>
  <c r="AJ273" i="28" s="1"/>
  <c r="AP273" i="28" s="1"/>
  <c r="AT273" i="28" s="1"/>
  <c r="AX273" i="28" s="1"/>
  <c r="BF273" i="28" s="1"/>
  <c r="AB268" i="28"/>
  <c r="AF268" i="28" s="1"/>
  <c r="AJ268" i="28" s="1"/>
  <c r="AP268" i="28" s="1"/>
  <c r="AT268" i="28" s="1"/>
  <c r="AX268" i="28" s="1"/>
  <c r="BF268" i="28" s="1"/>
  <c r="AB263" i="28"/>
  <c r="AF263" i="28" s="1"/>
  <c r="AJ263" i="28" s="1"/>
  <c r="AP263" i="28" s="1"/>
  <c r="AT263" i="28" s="1"/>
  <c r="AX263" i="28" s="1"/>
  <c r="BF263" i="28" s="1"/>
  <c r="AB256" i="28"/>
  <c r="AF256" i="28" s="1"/>
  <c r="AJ256" i="28" s="1"/>
  <c r="AP256" i="28" s="1"/>
  <c r="AT256" i="28" s="1"/>
  <c r="AX256" i="28" s="1"/>
  <c r="BF256" i="28" s="1"/>
  <c r="AB251" i="28"/>
  <c r="AF251" i="28" s="1"/>
  <c r="AJ251" i="28" s="1"/>
  <c r="AP251" i="28" s="1"/>
  <c r="AT251" i="28" s="1"/>
  <c r="AX251" i="28" s="1"/>
  <c r="BF251" i="28" s="1"/>
  <c r="AB245" i="28"/>
  <c r="AF245" i="28" s="1"/>
  <c r="AJ245" i="28" s="1"/>
  <c r="AP245" i="28" s="1"/>
  <c r="AT245" i="28" s="1"/>
  <c r="AX245" i="28" s="1"/>
  <c r="BF245" i="28" s="1"/>
  <c r="AB102" i="28"/>
  <c r="AF102" i="28" s="1"/>
  <c r="AJ102" i="28" s="1"/>
  <c r="AP102" i="28" s="1"/>
  <c r="AT102" i="28" s="1"/>
  <c r="AX102" i="28" s="1"/>
  <c r="BF102" i="28" s="1"/>
  <c r="AX22" i="38"/>
  <c r="BB22" i="38" s="1"/>
  <c r="BJ22" i="38" s="1"/>
  <c r="AT9" i="49"/>
  <c r="AT136" i="10"/>
  <c r="AT134" i="10"/>
  <c r="AW58" i="59" s="1"/>
  <c r="AX30" i="38"/>
  <c r="BB30" i="38" s="1"/>
  <c r="BJ30" i="38" s="1"/>
  <c r="AP130" i="8"/>
  <c r="AX11" i="38"/>
  <c r="BB11" i="38" s="1"/>
  <c r="BJ11" i="38" s="1"/>
  <c r="AX33" i="38"/>
  <c r="BB33" i="38" s="1"/>
  <c r="BJ33" i="38" s="1"/>
  <c r="AX31" i="38"/>
  <c r="BB31" i="38" s="1"/>
  <c r="BJ31" i="38" s="1"/>
  <c r="AX10" i="38"/>
  <c r="BB10" i="38" s="1"/>
  <c r="BJ10" i="38" s="1"/>
  <c r="AX32" i="38"/>
  <c r="BB32" i="38" s="1"/>
  <c r="BJ32" i="38" s="1"/>
  <c r="AS136" i="10"/>
  <c r="AS134" i="10"/>
  <c r="AV58" i="59" s="1"/>
  <c r="AX26" i="38"/>
  <c r="BB26" i="38" s="1"/>
  <c r="BJ26" i="38" s="1"/>
  <c r="AX28" i="38"/>
  <c r="BB28" i="38" s="1"/>
  <c r="BJ28" i="38" s="1"/>
  <c r="AT85" i="8"/>
  <c r="AT129" i="8"/>
  <c r="AT131" i="8" s="1"/>
  <c r="AX25" i="38"/>
  <c r="BB25" i="38" s="1"/>
  <c r="BJ25" i="38" s="1"/>
  <c r="AX27" i="38"/>
  <c r="BB27" i="38" s="1"/>
  <c r="BJ27" i="38" s="1"/>
  <c r="AX9" i="38"/>
  <c r="BB9" i="38" s="1"/>
  <c r="BJ9" i="38" s="1"/>
  <c r="AX24" i="38"/>
  <c r="BB24" i="38" s="1"/>
  <c r="BJ24" i="38" s="1"/>
  <c r="AX21" i="38"/>
  <c r="BB21" i="38" s="1"/>
  <c r="BJ21" i="38" s="1"/>
  <c r="AT113" i="8"/>
  <c r="AT114" i="8" s="1"/>
  <c r="AT17" i="49"/>
  <c r="AT18" i="49" s="1"/>
  <c r="AX29" i="38"/>
  <c r="BB29" i="38" s="1"/>
  <c r="BJ29" i="38" s="1"/>
  <c r="AB23" i="28"/>
  <c r="AF23" i="28" s="1"/>
  <c r="AJ23" i="28" s="1"/>
  <c r="AP23" i="28" s="1"/>
  <c r="AT23" i="28" s="1"/>
  <c r="AX23" i="28" s="1"/>
  <c r="BF23" i="28" s="1"/>
  <c r="AB180" i="28"/>
  <c r="AF180" i="28" s="1"/>
  <c r="AJ180" i="28" s="1"/>
  <c r="AP180" i="28" s="1"/>
  <c r="AT180" i="28" s="1"/>
  <c r="AX180" i="28" s="1"/>
  <c r="BF180" i="28" s="1"/>
  <c r="AB174" i="28"/>
  <c r="AF174" i="28" s="1"/>
  <c r="AJ174" i="28" s="1"/>
  <c r="AP174" i="28" s="1"/>
  <c r="AT174" i="28" s="1"/>
  <c r="AX174" i="28" s="1"/>
  <c r="BF174" i="28" s="1"/>
  <c r="AB166" i="28"/>
  <c r="AF166" i="28" s="1"/>
  <c r="AJ166" i="28" s="1"/>
  <c r="AP166" i="28" s="1"/>
  <c r="AT166" i="28" s="1"/>
  <c r="AX166" i="28" s="1"/>
  <c r="BF166" i="28" s="1"/>
  <c r="AP27" i="11"/>
  <c r="AT27" i="11" s="1"/>
  <c r="AX27" i="11" s="1"/>
  <c r="AE77" i="73"/>
  <c r="AI77" i="73" s="1"/>
  <c r="AO77" i="73" s="1"/>
  <c r="AS77" i="73" s="1"/>
  <c r="AW77" i="73" s="1"/>
  <c r="BE77" i="73" s="1"/>
  <c r="AE92" i="73"/>
  <c r="AI92" i="73" s="1"/>
  <c r="AO92" i="73" s="1"/>
  <c r="AS92" i="73" s="1"/>
  <c r="AW92" i="73" s="1"/>
  <c r="BE92" i="73" s="1"/>
  <c r="AB74" i="28"/>
  <c r="AF74" i="28" s="1"/>
  <c r="AJ74" i="28" s="1"/>
  <c r="AP74" i="28" s="1"/>
  <c r="AT74" i="28" s="1"/>
  <c r="AX74" i="28" s="1"/>
  <c r="BF74" i="28" s="1"/>
  <c r="AB182" i="28"/>
  <c r="AF182" i="28" s="1"/>
  <c r="AJ182" i="28" s="1"/>
  <c r="AP182" i="28" s="1"/>
  <c r="AT182" i="28" s="1"/>
  <c r="AX182" i="28" s="1"/>
  <c r="BF182" i="28" s="1"/>
  <c r="AB176" i="28"/>
  <c r="AF176" i="28" s="1"/>
  <c r="AJ176" i="28" s="1"/>
  <c r="AP176" i="28" s="1"/>
  <c r="AT176" i="28" s="1"/>
  <c r="AX176" i="28" s="1"/>
  <c r="BF176" i="28" s="1"/>
  <c r="AB168" i="28"/>
  <c r="AF168" i="28" s="1"/>
  <c r="AJ168" i="28" s="1"/>
  <c r="AP168" i="28" s="1"/>
  <c r="AT168" i="28" s="1"/>
  <c r="AX168" i="28" s="1"/>
  <c r="BF168" i="28" s="1"/>
  <c r="AB161" i="28"/>
  <c r="AF161" i="28" s="1"/>
  <c r="AJ161" i="28" s="1"/>
  <c r="AP161" i="28" s="1"/>
  <c r="AT161" i="28" s="1"/>
  <c r="AX161" i="28" s="1"/>
  <c r="BF161" i="28" s="1"/>
  <c r="AB297" i="28"/>
  <c r="AF297" i="28" s="1"/>
  <c r="AJ297" i="28" s="1"/>
  <c r="AP297" i="28" s="1"/>
  <c r="AT297" i="28" s="1"/>
  <c r="AX297" i="28" s="1"/>
  <c r="BF297" i="28" s="1"/>
  <c r="AB139" i="28"/>
  <c r="AF139" i="28" s="1"/>
  <c r="AJ139" i="28" s="1"/>
  <c r="AP139" i="28" s="1"/>
  <c r="AT139" i="28" s="1"/>
  <c r="AX139" i="28" s="1"/>
  <c r="BF139" i="28" s="1"/>
  <c r="AB127" i="28"/>
  <c r="AF127" i="28" s="1"/>
  <c r="AJ127" i="28" s="1"/>
  <c r="AP127" i="28" s="1"/>
  <c r="AT127" i="28" s="1"/>
  <c r="AX127" i="28" s="1"/>
  <c r="BF127" i="28" s="1"/>
  <c r="AB114" i="28"/>
  <c r="AF114" i="28" s="1"/>
  <c r="AJ114" i="28" s="1"/>
  <c r="AP114" i="28" s="1"/>
  <c r="AT114" i="28" s="1"/>
  <c r="AX114" i="28" s="1"/>
  <c r="BF114" i="28" s="1"/>
  <c r="AB97" i="28"/>
  <c r="AF97" i="28" s="1"/>
  <c r="AJ97" i="28" s="1"/>
  <c r="AP97" i="28" s="1"/>
  <c r="AT97" i="28" s="1"/>
  <c r="AX97" i="28" s="1"/>
  <c r="BF97" i="28" s="1"/>
  <c r="AB295" i="28"/>
  <c r="AF295" i="28" s="1"/>
  <c r="AJ295" i="28" s="1"/>
  <c r="AP295" i="28" s="1"/>
  <c r="AT295" i="28" s="1"/>
  <c r="AX295" i="28" s="1"/>
  <c r="BF295" i="28" s="1"/>
  <c r="AB183" i="28"/>
  <c r="AF183" i="28" s="1"/>
  <c r="AJ183" i="28" s="1"/>
  <c r="AP183" i="28" s="1"/>
  <c r="AT183" i="28" s="1"/>
  <c r="AX183" i="28" s="1"/>
  <c r="BF183" i="28" s="1"/>
  <c r="AB177" i="28"/>
  <c r="AF177" i="28" s="1"/>
  <c r="AJ177" i="28" s="1"/>
  <c r="AP177" i="28" s="1"/>
  <c r="AT177" i="28" s="1"/>
  <c r="AX177" i="28" s="1"/>
  <c r="BF177" i="28" s="1"/>
  <c r="AB169" i="28"/>
  <c r="AF169" i="28" s="1"/>
  <c r="AJ169" i="28" s="1"/>
  <c r="AP169" i="28" s="1"/>
  <c r="AT169" i="28" s="1"/>
  <c r="AX169" i="28" s="1"/>
  <c r="BF169" i="28" s="1"/>
  <c r="AB162" i="28"/>
  <c r="AF162" i="28" s="1"/>
  <c r="AJ162" i="28" s="1"/>
  <c r="AP162" i="28" s="1"/>
  <c r="AT162" i="28" s="1"/>
  <c r="AX162" i="28" s="1"/>
  <c r="BF162" i="28" s="1"/>
  <c r="AB232" i="28"/>
  <c r="AF232" i="28" s="1"/>
  <c r="AJ232" i="28" s="1"/>
  <c r="AP232" i="28" s="1"/>
  <c r="AT232" i="28" s="1"/>
  <c r="AX232" i="28" s="1"/>
  <c r="BF232" i="28" s="1"/>
  <c r="AB219" i="28"/>
  <c r="AF219" i="28" s="1"/>
  <c r="AJ219" i="28" s="1"/>
  <c r="AP219" i="28" s="1"/>
  <c r="AT219" i="28" s="1"/>
  <c r="AX219" i="28" s="1"/>
  <c r="BF219" i="28" s="1"/>
  <c r="AB207" i="28"/>
  <c r="AF207" i="28" s="1"/>
  <c r="AJ207" i="28" s="1"/>
  <c r="AP207" i="28" s="1"/>
  <c r="AT207" i="28" s="1"/>
  <c r="AX207" i="28" s="1"/>
  <c r="BF207" i="28" s="1"/>
  <c r="AB224" i="28"/>
  <c r="AF224" i="28" s="1"/>
  <c r="AJ224" i="28" s="1"/>
  <c r="AP224" i="28" s="1"/>
  <c r="AT224" i="28" s="1"/>
  <c r="AX224" i="28" s="1"/>
  <c r="BF224" i="28" s="1"/>
  <c r="AB211" i="28"/>
  <c r="AF211" i="28" s="1"/>
  <c r="AJ211" i="28" s="1"/>
  <c r="AP211" i="28" s="1"/>
  <c r="AT211" i="28" s="1"/>
  <c r="AX211" i="28" s="1"/>
  <c r="BF211" i="28" s="1"/>
  <c r="AB158" i="28"/>
  <c r="AF158" i="28" s="1"/>
  <c r="AJ158" i="28" s="1"/>
  <c r="AP158" i="28" s="1"/>
  <c r="AT158" i="28" s="1"/>
  <c r="AX158" i="28" s="1"/>
  <c r="BF158" i="28" s="1"/>
  <c r="AB147" i="28"/>
  <c r="AF147" i="28" s="1"/>
  <c r="AJ147" i="28" s="1"/>
  <c r="AP147" i="28" s="1"/>
  <c r="AT147" i="28" s="1"/>
  <c r="AX147" i="28" s="1"/>
  <c r="BF147" i="28" s="1"/>
  <c r="AB135" i="28"/>
  <c r="AF135" i="28" s="1"/>
  <c r="AJ135" i="28" s="1"/>
  <c r="AP135" i="28" s="1"/>
  <c r="AT135" i="28" s="1"/>
  <c r="AX135" i="28" s="1"/>
  <c r="BF135" i="28" s="1"/>
  <c r="AB109" i="28"/>
  <c r="AF109" i="28" s="1"/>
  <c r="AJ109" i="28" s="1"/>
  <c r="AP109" i="28" s="1"/>
  <c r="AT109" i="28" s="1"/>
  <c r="AX109" i="28" s="1"/>
  <c r="BF109" i="28" s="1"/>
  <c r="AB93" i="28"/>
  <c r="AF93" i="28" s="1"/>
  <c r="AJ93" i="28" s="1"/>
  <c r="AP93" i="28" s="1"/>
  <c r="AT93" i="28" s="1"/>
  <c r="AX93" i="28" s="1"/>
  <c r="BF93" i="28" s="1"/>
  <c r="AB123" i="28"/>
  <c r="AF123" i="28" s="1"/>
  <c r="AJ123" i="28" s="1"/>
  <c r="AP123" i="28" s="1"/>
  <c r="AT123" i="28" s="1"/>
  <c r="AX123" i="28" s="1"/>
  <c r="BF123" i="28" s="1"/>
  <c r="AB179" i="28"/>
  <c r="AF179" i="28" s="1"/>
  <c r="AJ179" i="28" s="1"/>
  <c r="AP179" i="28" s="1"/>
  <c r="AT179" i="28" s="1"/>
  <c r="AX179" i="28" s="1"/>
  <c r="BF179" i="28" s="1"/>
  <c r="AB172" i="28"/>
  <c r="AF172" i="28" s="1"/>
  <c r="AJ172" i="28" s="1"/>
  <c r="AP172" i="28" s="1"/>
  <c r="AT172" i="28" s="1"/>
  <c r="AX172" i="28" s="1"/>
  <c r="BF172" i="28" s="1"/>
  <c r="AB165" i="28"/>
  <c r="AF165" i="28" s="1"/>
  <c r="AJ165" i="28" s="1"/>
  <c r="AP165" i="28" s="1"/>
  <c r="AT165" i="28" s="1"/>
  <c r="AX165" i="28" s="1"/>
  <c r="BF165" i="28" s="1"/>
  <c r="AB296" i="28"/>
  <c r="AF296" i="28" s="1"/>
  <c r="AJ296" i="28" s="1"/>
  <c r="AP296" i="28" s="1"/>
  <c r="AT296" i="28" s="1"/>
  <c r="AX296" i="28" s="1"/>
  <c r="BF296" i="28" s="1"/>
  <c r="AB24" i="28"/>
  <c r="AF24" i="28" s="1"/>
  <c r="AJ24" i="28" s="1"/>
  <c r="AP24" i="28" s="1"/>
  <c r="AT24" i="28" s="1"/>
  <c r="AX24" i="28" s="1"/>
  <c r="BF24" i="28" s="1"/>
  <c r="AB181" i="28"/>
  <c r="AF181" i="28" s="1"/>
  <c r="AJ181" i="28" s="1"/>
  <c r="AP181" i="28" s="1"/>
  <c r="AT181" i="28" s="1"/>
  <c r="AX181" i="28" s="1"/>
  <c r="BF181" i="28" s="1"/>
  <c r="AB175" i="28"/>
  <c r="AF175" i="28" s="1"/>
  <c r="AJ175" i="28" s="1"/>
  <c r="AP175" i="28" s="1"/>
  <c r="AT175" i="28" s="1"/>
  <c r="AX175" i="28" s="1"/>
  <c r="BF175" i="28" s="1"/>
  <c r="AB167" i="28"/>
  <c r="AF167" i="28" s="1"/>
  <c r="AJ167" i="28" s="1"/>
  <c r="AP167" i="28" s="1"/>
  <c r="AT167" i="28" s="1"/>
  <c r="AX167" i="28" s="1"/>
  <c r="BF167" i="28" s="1"/>
  <c r="AB77" i="28"/>
  <c r="AF77" i="28" s="1"/>
  <c r="AJ77" i="28" s="1"/>
  <c r="AP77" i="28" s="1"/>
  <c r="AT77" i="28" s="1"/>
  <c r="AX77" i="28" s="1"/>
  <c r="BF77" i="28" s="1"/>
  <c r="AB66" i="28"/>
  <c r="AF66" i="28" s="1"/>
  <c r="AJ66" i="28" s="1"/>
  <c r="AP66" i="28" s="1"/>
  <c r="AT66" i="28" s="1"/>
  <c r="AX66" i="28" s="1"/>
  <c r="BF66" i="28" s="1"/>
  <c r="AB303" i="28"/>
  <c r="AF303" i="28" s="1"/>
  <c r="AJ303" i="28" s="1"/>
  <c r="AP303" i="28" s="1"/>
  <c r="AT303" i="28" s="1"/>
  <c r="AX303" i="28" s="1"/>
  <c r="BF303" i="28" s="1"/>
  <c r="AB178" i="28"/>
  <c r="AF178" i="28" s="1"/>
  <c r="AJ178" i="28" s="1"/>
  <c r="AP178" i="28" s="1"/>
  <c r="AT178" i="28" s="1"/>
  <c r="AX178" i="28" s="1"/>
  <c r="BF178" i="28" s="1"/>
  <c r="AB171" i="28"/>
  <c r="AF171" i="28" s="1"/>
  <c r="AJ171" i="28" s="1"/>
  <c r="AP171" i="28" s="1"/>
  <c r="AT171" i="28" s="1"/>
  <c r="AX171" i="28" s="1"/>
  <c r="BF171" i="28" s="1"/>
  <c r="AB163" i="28"/>
  <c r="AF163" i="28" s="1"/>
  <c r="AJ163" i="28" s="1"/>
  <c r="AP163" i="28" s="1"/>
  <c r="AT163" i="28" s="1"/>
  <c r="AX163" i="28" s="1"/>
  <c r="BF163" i="28" s="1"/>
  <c r="AB298" i="28"/>
  <c r="AF298" i="28" s="1"/>
  <c r="AJ298" i="28" s="1"/>
  <c r="AP298" i="28" s="1"/>
  <c r="AT298" i="28" s="1"/>
  <c r="AX298" i="28" s="1"/>
  <c r="BF298" i="28" s="1"/>
  <c r="AB292" i="28"/>
  <c r="AB44" i="28"/>
  <c r="AF44" i="28" s="1"/>
  <c r="AJ44" i="28" s="1"/>
  <c r="AP44" i="28" s="1"/>
  <c r="AT44" i="28" s="1"/>
  <c r="AX44" i="28" s="1"/>
  <c r="BF44" i="28" s="1"/>
  <c r="AB18" i="28"/>
  <c r="AF18" i="28" s="1"/>
  <c r="AJ18" i="28" s="1"/>
  <c r="AP18" i="28" s="1"/>
  <c r="AT18" i="28" s="1"/>
  <c r="AX18" i="28" s="1"/>
  <c r="BF18" i="28" s="1"/>
  <c r="AB43" i="28"/>
  <c r="AF43" i="28" s="1"/>
  <c r="AJ43" i="28" s="1"/>
  <c r="AP43" i="28" s="1"/>
  <c r="AT43" i="28" s="1"/>
  <c r="AX43" i="28" s="1"/>
  <c r="BF43" i="28" s="1"/>
  <c r="AE158" i="73"/>
  <c r="AI158" i="73" s="1"/>
  <c r="AO158" i="73" s="1"/>
  <c r="AS158" i="73" s="1"/>
  <c r="AW158" i="73" s="1"/>
  <c r="BE158" i="73" s="1"/>
  <c r="AE142" i="73"/>
  <c r="AI142" i="73" s="1"/>
  <c r="AO142" i="73" s="1"/>
  <c r="AS142" i="73" s="1"/>
  <c r="AW142" i="73" s="1"/>
  <c r="BE142" i="73" s="1"/>
  <c r="AB359" i="28"/>
  <c r="AF359" i="28" s="1"/>
  <c r="AJ359" i="28" s="1"/>
  <c r="AP359" i="28" s="1"/>
  <c r="AT359" i="28" s="1"/>
  <c r="AX359" i="28" s="1"/>
  <c r="BF359" i="28" s="1"/>
  <c r="AB356" i="28"/>
  <c r="AF356" i="28" s="1"/>
  <c r="AJ356" i="28" s="1"/>
  <c r="AP356" i="28" s="1"/>
  <c r="AT356" i="28" s="1"/>
  <c r="AX356" i="28" s="1"/>
  <c r="BF356" i="28" s="1"/>
  <c r="AB45" i="28"/>
  <c r="AF45" i="28" s="1"/>
  <c r="AJ45" i="28" s="1"/>
  <c r="AP45" i="28" s="1"/>
  <c r="AT45" i="28" s="1"/>
  <c r="AX45" i="28" s="1"/>
  <c r="BF45" i="28" s="1"/>
  <c r="AE157" i="73"/>
  <c r="AI157" i="73" s="1"/>
  <c r="AO157" i="73" s="1"/>
  <c r="AS157" i="73" s="1"/>
  <c r="AW157" i="73" s="1"/>
  <c r="BE157" i="73" s="1"/>
  <c r="AE43" i="73"/>
  <c r="AI43" i="73" s="1"/>
  <c r="AO43" i="73" s="1"/>
  <c r="AS43" i="73" s="1"/>
  <c r="AW43" i="73" s="1"/>
  <c r="BE43" i="73" s="1"/>
  <c r="AE141" i="73"/>
  <c r="AI141" i="73" s="1"/>
  <c r="AO141" i="73" s="1"/>
  <c r="AS141" i="73" s="1"/>
  <c r="AW141" i="73" s="1"/>
  <c r="BE141" i="73" s="1"/>
  <c r="AE76" i="73"/>
  <c r="AI76" i="73" s="1"/>
  <c r="AO76" i="73" s="1"/>
  <c r="AS76" i="73" s="1"/>
  <c r="AW76" i="73" s="1"/>
  <c r="BE76" i="73" s="1"/>
  <c r="AE152" i="73"/>
  <c r="AI152" i="73" s="1"/>
  <c r="AO152" i="73" s="1"/>
  <c r="AS152" i="73" s="1"/>
  <c r="AW152" i="73" s="1"/>
  <c r="BE152" i="73" s="1"/>
  <c r="AE137" i="73"/>
  <c r="AI137" i="73" s="1"/>
  <c r="AO137" i="73" s="1"/>
  <c r="AS137" i="73" s="1"/>
  <c r="AW137" i="73" s="1"/>
  <c r="BE137" i="73" s="1"/>
  <c r="AE161" i="73"/>
  <c r="AI161" i="73" s="1"/>
  <c r="AO161" i="73" s="1"/>
  <c r="AS161" i="73" s="1"/>
  <c r="AW161" i="73" s="1"/>
  <c r="BE161" i="73" s="1"/>
  <c r="AE144" i="73"/>
  <c r="AI144" i="73" s="1"/>
  <c r="AO144" i="73" s="1"/>
  <c r="AS144" i="73" s="1"/>
  <c r="AW144" i="73" s="1"/>
  <c r="BE144" i="73" s="1"/>
  <c r="AE36" i="73"/>
  <c r="AI36" i="73" s="1"/>
  <c r="AO36" i="73" s="1"/>
  <c r="AS36" i="73" s="1"/>
  <c r="AW36" i="73" s="1"/>
  <c r="BE36" i="73" s="1"/>
  <c r="AE91" i="73"/>
  <c r="AI91" i="73" s="1"/>
  <c r="AO91" i="73" s="1"/>
  <c r="AS91" i="73" s="1"/>
  <c r="AW91" i="73" s="1"/>
  <c r="BE91" i="73" s="1"/>
  <c r="AE87" i="73"/>
  <c r="AI87" i="73" s="1"/>
  <c r="AO87" i="73" s="1"/>
  <c r="AS87" i="73" s="1"/>
  <c r="AW87" i="73" s="1"/>
  <c r="BE87" i="73" s="1"/>
  <c r="AE160" i="73"/>
  <c r="AI160" i="73" s="1"/>
  <c r="AO160" i="73" s="1"/>
  <c r="AS160" i="73" s="1"/>
  <c r="AW160" i="73" s="1"/>
  <c r="BE160" i="73" s="1"/>
  <c r="AE143" i="73"/>
  <c r="AI143" i="73" s="1"/>
  <c r="AO143" i="73" s="1"/>
  <c r="AS143" i="73" s="1"/>
  <c r="AW143" i="73" s="1"/>
  <c r="BE143" i="73" s="1"/>
  <c r="AE149" i="73"/>
  <c r="AI149" i="73" s="1"/>
  <c r="AO149" i="73" s="1"/>
  <c r="AS149" i="73" s="1"/>
  <c r="AW149" i="73" s="1"/>
  <c r="BE149" i="73" s="1"/>
  <c r="AE134" i="73"/>
  <c r="AI134" i="73" s="1"/>
  <c r="AO134" i="73" s="1"/>
  <c r="AS134" i="73" s="1"/>
  <c r="AW134" i="73" s="1"/>
  <c r="BE134" i="73" s="1"/>
  <c r="AE30" i="73"/>
  <c r="AI30" i="73" s="1"/>
  <c r="AO30" i="73" s="1"/>
  <c r="AS30" i="73" s="1"/>
  <c r="AW30" i="73" s="1"/>
  <c r="BE30" i="73" s="1"/>
  <c r="AE28" i="73"/>
  <c r="AI28" i="73" s="1"/>
  <c r="AO28" i="73" s="1"/>
  <c r="AS28" i="73" s="1"/>
  <c r="AW28" i="73" s="1"/>
  <c r="BE28" i="73" s="1"/>
  <c r="AE42" i="73"/>
  <c r="AI42" i="73" s="1"/>
  <c r="AO42" i="73" s="1"/>
  <c r="AS42" i="73" s="1"/>
  <c r="AW42" i="73" s="1"/>
  <c r="BE42" i="73" s="1"/>
  <c r="AE41" i="73"/>
  <c r="AI41" i="73" s="1"/>
  <c r="AO41" i="73" s="1"/>
  <c r="AS41" i="73" s="1"/>
  <c r="AW41" i="73" s="1"/>
  <c r="BE41" i="73" s="1"/>
  <c r="AE39" i="73"/>
  <c r="AI39" i="73" s="1"/>
  <c r="AO39" i="73" s="1"/>
  <c r="AS39" i="73" s="1"/>
  <c r="AW39" i="73" s="1"/>
  <c r="BE39" i="73" s="1"/>
  <c r="AE136" i="73"/>
  <c r="AI136" i="73" s="1"/>
  <c r="AO136" i="73" s="1"/>
  <c r="AS136" i="73" s="1"/>
  <c r="AW136" i="73" s="1"/>
  <c r="BE136" i="73" s="1"/>
  <c r="AE46" i="73"/>
  <c r="AI46" i="73" s="1"/>
  <c r="AO46" i="73" s="1"/>
  <c r="AS46" i="73" s="1"/>
  <c r="AW46" i="73" s="1"/>
  <c r="BE46" i="73" s="1"/>
  <c r="AE145" i="73"/>
  <c r="AI145" i="73" s="1"/>
  <c r="AO145" i="73" s="1"/>
  <c r="AS145" i="73" s="1"/>
  <c r="AW145" i="73" s="1"/>
  <c r="BE145" i="73" s="1"/>
  <c r="AE40" i="73"/>
  <c r="AI40" i="73" s="1"/>
  <c r="AO40" i="73" s="1"/>
  <c r="AS40" i="73" s="1"/>
  <c r="AW40" i="73" s="1"/>
  <c r="BE40" i="73" s="1"/>
  <c r="AE151" i="73"/>
  <c r="AI151" i="73" s="1"/>
  <c r="AO151" i="73" s="1"/>
  <c r="AS151" i="73" s="1"/>
  <c r="AW151" i="73" s="1"/>
  <c r="BE151" i="73" s="1"/>
  <c r="AE32" i="73"/>
  <c r="AI32" i="73" s="1"/>
  <c r="AO32" i="73" s="1"/>
  <c r="AS32" i="73" s="1"/>
  <c r="AW32" i="73" s="1"/>
  <c r="BE32" i="73" s="1"/>
  <c r="AE47" i="73"/>
  <c r="AI47" i="73" s="1"/>
  <c r="AO47" i="73" s="1"/>
  <c r="AS47" i="73" s="1"/>
  <c r="AW47" i="73" s="1"/>
  <c r="BE47" i="73" s="1"/>
  <c r="AE156" i="73"/>
  <c r="AI156" i="73" s="1"/>
  <c r="AO156" i="73" s="1"/>
  <c r="AS156" i="73" s="1"/>
  <c r="AW156" i="73" s="1"/>
  <c r="BE156" i="73" s="1"/>
  <c r="AE37" i="73"/>
  <c r="AI37" i="73" s="1"/>
  <c r="AO37" i="73" s="1"/>
  <c r="AS37" i="73" s="1"/>
  <c r="AW37" i="73" s="1"/>
  <c r="BE37" i="73" s="1"/>
  <c r="AE154" i="73"/>
  <c r="AI154" i="73" s="1"/>
  <c r="AO154" i="73" s="1"/>
  <c r="AS154" i="73" s="1"/>
  <c r="AW154" i="73" s="1"/>
  <c r="BE154" i="73" s="1"/>
  <c r="AE138" i="73"/>
  <c r="AI138" i="73" s="1"/>
  <c r="AO138" i="73" s="1"/>
  <c r="AS138" i="73" s="1"/>
  <c r="AW138" i="73" s="1"/>
  <c r="BE138" i="73" s="1"/>
  <c r="AE38" i="73"/>
  <c r="AI38" i="73" s="1"/>
  <c r="AO38" i="73" s="1"/>
  <c r="AS38" i="73" s="1"/>
  <c r="AW38" i="73" s="1"/>
  <c r="BE38" i="73" s="1"/>
  <c r="AE139" i="73"/>
  <c r="AI139" i="73" s="1"/>
  <c r="AO139" i="73" s="1"/>
  <c r="AS139" i="73" s="1"/>
  <c r="AW139" i="73" s="1"/>
  <c r="BE139" i="73" s="1"/>
  <c r="AE150" i="73"/>
  <c r="AI150" i="73" s="1"/>
  <c r="AO150" i="73" s="1"/>
  <c r="AS150" i="73" s="1"/>
  <c r="AW150" i="73" s="1"/>
  <c r="BE150" i="73" s="1"/>
  <c r="AE135" i="73"/>
  <c r="AI135" i="73" s="1"/>
  <c r="AO135" i="73" s="1"/>
  <c r="AS135" i="73" s="1"/>
  <c r="AW135" i="73" s="1"/>
  <c r="BE135" i="73" s="1"/>
  <c r="AE45" i="73"/>
  <c r="AI45" i="73" s="1"/>
  <c r="AO45" i="73" s="1"/>
  <c r="AS45" i="73" s="1"/>
  <c r="AW45" i="73" s="1"/>
  <c r="BE45" i="73" s="1"/>
  <c r="AE148" i="73"/>
  <c r="AI148" i="73" s="1"/>
  <c r="AO148" i="73" s="1"/>
  <c r="AS148" i="73" s="1"/>
  <c r="AW148" i="73" s="1"/>
  <c r="BE148" i="73" s="1"/>
  <c r="AE133" i="73"/>
  <c r="AI133" i="73" s="1"/>
  <c r="AO133" i="73" s="1"/>
  <c r="AS133" i="73" s="1"/>
  <c r="AW133" i="73" s="1"/>
  <c r="BE133" i="73" s="1"/>
  <c r="AE25" i="73"/>
  <c r="AI25" i="73" s="1"/>
  <c r="AO25" i="73" s="1"/>
  <c r="AS25" i="73" s="1"/>
  <c r="AW25" i="73" s="1"/>
  <c r="BE25" i="73" s="1"/>
  <c r="AB78" i="28"/>
  <c r="AF78" i="28" s="1"/>
  <c r="AJ78" i="28" s="1"/>
  <c r="AP78" i="28" s="1"/>
  <c r="AT78" i="28" s="1"/>
  <c r="AX78" i="28" s="1"/>
  <c r="BF78" i="28" s="1"/>
  <c r="AB309" i="28"/>
  <c r="AF309" i="28" s="1"/>
  <c r="AJ309" i="28" s="1"/>
  <c r="AP309" i="28" s="1"/>
  <c r="AT309" i="28" s="1"/>
  <c r="AX309" i="28" s="1"/>
  <c r="BF309" i="28" s="1"/>
  <c r="AB281" i="28"/>
  <c r="AF281" i="28" s="1"/>
  <c r="AJ281" i="28" s="1"/>
  <c r="AP281" i="28" s="1"/>
  <c r="AT281" i="28" s="1"/>
  <c r="AX281" i="28" s="1"/>
  <c r="BF281" i="28" s="1"/>
  <c r="AB277" i="28"/>
  <c r="AF277" i="28" s="1"/>
  <c r="AJ277" i="28" s="1"/>
  <c r="AP277" i="28" s="1"/>
  <c r="AT277" i="28" s="1"/>
  <c r="AX277" i="28" s="1"/>
  <c r="BF277" i="28" s="1"/>
  <c r="AB272" i="28"/>
  <c r="AF272" i="28" s="1"/>
  <c r="AJ272" i="28" s="1"/>
  <c r="AP272" i="28" s="1"/>
  <c r="AT272" i="28" s="1"/>
  <c r="AX272" i="28" s="1"/>
  <c r="BF272" i="28" s="1"/>
  <c r="AB267" i="28"/>
  <c r="AF267" i="28" s="1"/>
  <c r="AJ267" i="28" s="1"/>
  <c r="AP267" i="28" s="1"/>
  <c r="AT267" i="28" s="1"/>
  <c r="AX267" i="28" s="1"/>
  <c r="BF267" i="28" s="1"/>
  <c r="AB262" i="28"/>
  <c r="AF262" i="28" s="1"/>
  <c r="AJ262" i="28" s="1"/>
  <c r="AP262" i="28" s="1"/>
  <c r="AT262" i="28" s="1"/>
  <c r="AX262" i="28" s="1"/>
  <c r="BF262" i="28" s="1"/>
  <c r="AB259" i="28"/>
  <c r="AF259" i="28" s="1"/>
  <c r="AJ259" i="28" s="1"/>
  <c r="AP259" i="28" s="1"/>
  <c r="AT259" i="28" s="1"/>
  <c r="AX259" i="28" s="1"/>
  <c r="BF259" i="28" s="1"/>
  <c r="AB255" i="28"/>
  <c r="AF255" i="28" s="1"/>
  <c r="AJ255" i="28" s="1"/>
  <c r="AP255" i="28" s="1"/>
  <c r="AT255" i="28" s="1"/>
  <c r="AX255" i="28" s="1"/>
  <c r="BF255" i="28" s="1"/>
  <c r="AB249" i="28"/>
  <c r="AF249" i="28" s="1"/>
  <c r="AJ249" i="28" s="1"/>
  <c r="AP249" i="28" s="1"/>
  <c r="AT249" i="28" s="1"/>
  <c r="AX249" i="28" s="1"/>
  <c r="BF249" i="28" s="1"/>
  <c r="AB156" i="28"/>
  <c r="AF156" i="28" s="1"/>
  <c r="AJ156" i="28" s="1"/>
  <c r="AP156" i="28" s="1"/>
  <c r="AT156" i="28" s="1"/>
  <c r="AX156" i="28" s="1"/>
  <c r="BF156" i="28" s="1"/>
  <c r="AB149" i="28"/>
  <c r="AF149" i="28" s="1"/>
  <c r="AJ149" i="28" s="1"/>
  <c r="AP149" i="28" s="1"/>
  <c r="AT149" i="28" s="1"/>
  <c r="AX149" i="28" s="1"/>
  <c r="BF149" i="28" s="1"/>
  <c r="AB144" i="28"/>
  <c r="AF144" i="28" s="1"/>
  <c r="AJ144" i="28" s="1"/>
  <c r="AP144" i="28" s="1"/>
  <c r="AT144" i="28" s="1"/>
  <c r="AX144" i="28" s="1"/>
  <c r="BF144" i="28" s="1"/>
  <c r="AB140" i="28"/>
  <c r="AF140" i="28" s="1"/>
  <c r="AJ140" i="28" s="1"/>
  <c r="AP140" i="28" s="1"/>
  <c r="AT140" i="28" s="1"/>
  <c r="AX140" i="28" s="1"/>
  <c r="BF140" i="28" s="1"/>
  <c r="AB137" i="28"/>
  <c r="AF137" i="28" s="1"/>
  <c r="AJ137" i="28" s="1"/>
  <c r="AP137" i="28" s="1"/>
  <c r="AT137" i="28" s="1"/>
  <c r="AX137" i="28" s="1"/>
  <c r="BF137" i="28" s="1"/>
  <c r="AB133" i="28"/>
  <c r="AF133" i="28" s="1"/>
  <c r="AJ133" i="28" s="1"/>
  <c r="AP133" i="28" s="1"/>
  <c r="AT133" i="28" s="1"/>
  <c r="AX133" i="28" s="1"/>
  <c r="BF133" i="28" s="1"/>
  <c r="AB129" i="28"/>
  <c r="AF129" i="28" s="1"/>
  <c r="AJ129" i="28" s="1"/>
  <c r="AP129" i="28" s="1"/>
  <c r="AT129" i="28" s="1"/>
  <c r="AX129" i="28" s="1"/>
  <c r="BF129" i="28" s="1"/>
  <c r="AB125" i="28"/>
  <c r="AF125" i="28" s="1"/>
  <c r="AJ125" i="28" s="1"/>
  <c r="AP125" i="28" s="1"/>
  <c r="AT125" i="28" s="1"/>
  <c r="AX125" i="28" s="1"/>
  <c r="BF125" i="28" s="1"/>
  <c r="AB121" i="28"/>
  <c r="AF121" i="28" s="1"/>
  <c r="AJ121" i="28" s="1"/>
  <c r="AP121" i="28" s="1"/>
  <c r="AT121" i="28" s="1"/>
  <c r="AX121" i="28" s="1"/>
  <c r="BF121" i="28" s="1"/>
  <c r="AB116" i="28"/>
  <c r="AF116" i="28" s="1"/>
  <c r="AJ116" i="28" s="1"/>
  <c r="AP116" i="28" s="1"/>
  <c r="AT116" i="28" s="1"/>
  <c r="AX116" i="28" s="1"/>
  <c r="BF116" i="28" s="1"/>
  <c r="AB111" i="28"/>
  <c r="AF111" i="28" s="1"/>
  <c r="AJ111" i="28" s="1"/>
  <c r="AP111" i="28" s="1"/>
  <c r="AT111" i="28" s="1"/>
  <c r="AX111" i="28" s="1"/>
  <c r="BF111" i="28" s="1"/>
  <c r="AB107" i="28"/>
  <c r="AF107" i="28" s="1"/>
  <c r="AJ107" i="28" s="1"/>
  <c r="AP107" i="28" s="1"/>
  <c r="AT107" i="28" s="1"/>
  <c r="AX107" i="28" s="1"/>
  <c r="BF107" i="28" s="1"/>
  <c r="AB100" i="28"/>
  <c r="AF100" i="28" s="1"/>
  <c r="AJ100" i="28" s="1"/>
  <c r="AP100" i="28" s="1"/>
  <c r="AT100" i="28" s="1"/>
  <c r="AX100" i="28" s="1"/>
  <c r="BF100" i="28" s="1"/>
  <c r="AB95" i="28"/>
  <c r="AF95" i="28" s="1"/>
  <c r="AJ95" i="28" s="1"/>
  <c r="AP95" i="28" s="1"/>
  <c r="AT95" i="28" s="1"/>
  <c r="AX95" i="28" s="1"/>
  <c r="BF95" i="28" s="1"/>
  <c r="AB91" i="28"/>
  <c r="AF91" i="28" s="1"/>
  <c r="AJ91" i="28" s="1"/>
  <c r="AP91" i="28" s="1"/>
  <c r="AT91" i="28" s="1"/>
  <c r="AX91" i="28" s="1"/>
  <c r="BF91" i="28" s="1"/>
  <c r="AB87" i="28"/>
  <c r="AF87" i="28" s="1"/>
  <c r="AJ87" i="28" s="1"/>
  <c r="AP87" i="28" s="1"/>
  <c r="AT87" i="28" s="1"/>
  <c r="AX87" i="28" s="1"/>
  <c r="BF87" i="28" s="1"/>
  <c r="AB16" i="28"/>
  <c r="AF16" i="28" s="1"/>
  <c r="AJ16" i="28" s="1"/>
  <c r="AP16" i="28" s="1"/>
  <c r="AT16" i="28" s="1"/>
  <c r="AX16" i="28" s="1"/>
  <c r="BF16" i="28" s="1"/>
  <c r="AB25" i="28"/>
  <c r="AF25" i="28" s="1"/>
  <c r="AJ25" i="28" s="1"/>
  <c r="AP25" i="28" s="1"/>
  <c r="AT25" i="28" s="1"/>
  <c r="AX25" i="28" s="1"/>
  <c r="BF25" i="28" s="1"/>
  <c r="AB39" i="28"/>
  <c r="AF39" i="28" s="1"/>
  <c r="AJ39" i="28" s="1"/>
  <c r="AP39" i="28" s="1"/>
  <c r="AT39" i="28" s="1"/>
  <c r="AX39" i="28" s="1"/>
  <c r="BF39" i="28" s="1"/>
  <c r="AB230" i="28"/>
  <c r="AF230" i="28" s="1"/>
  <c r="AJ230" i="28" s="1"/>
  <c r="AP230" i="28" s="1"/>
  <c r="AT230" i="28" s="1"/>
  <c r="AX230" i="28" s="1"/>
  <c r="BF230" i="28" s="1"/>
  <c r="AB226" i="28"/>
  <c r="AF226" i="28" s="1"/>
  <c r="AJ226" i="28" s="1"/>
  <c r="AP226" i="28" s="1"/>
  <c r="AT226" i="28" s="1"/>
  <c r="AX226" i="28" s="1"/>
  <c r="BF226" i="28" s="1"/>
  <c r="AB221" i="28"/>
  <c r="AF221" i="28" s="1"/>
  <c r="AJ221" i="28" s="1"/>
  <c r="AP221" i="28" s="1"/>
  <c r="AT221" i="28" s="1"/>
  <c r="AX221" i="28" s="1"/>
  <c r="BF221" i="28" s="1"/>
  <c r="AB217" i="28"/>
  <c r="AF217" i="28" s="1"/>
  <c r="AJ217" i="28" s="1"/>
  <c r="AP217" i="28" s="1"/>
  <c r="AT217" i="28" s="1"/>
  <c r="AX217" i="28" s="1"/>
  <c r="BF217" i="28" s="1"/>
  <c r="AB213" i="28"/>
  <c r="AF213" i="28" s="1"/>
  <c r="AJ213" i="28" s="1"/>
  <c r="AP213" i="28" s="1"/>
  <c r="AT213" i="28" s="1"/>
  <c r="AX213" i="28" s="1"/>
  <c r="BF213" i="28" s="1"/>
  <c r="AB209" i="28"/>
  <c r="AF209" i="28" s="1"/>
  <c r="AJ209" i="28" s="1"/>
  <c r="AP209" i="28" s="1"/>
  <c r="AT209" i="28" s="1"/>
  <c r="AX209" i="28" s="1"/>
  <c r="BF209" i="28" s="1"/>
  <c r="AB205" i="28"/>
  <c r="AF205" i="28" s="1"/>
  <c r="AJ205" i="28" s="1"/>
  <c r="AP205" i="28" s="1"/>
  <c r="AT205" i="28" s="1"/>
  <c r="AX205" i="28" s="1"/>
  <c r="BF205" i="28" s="1"/>
  <c r="AB357" i="28"/>
  <c r="AF357" i="28" s="1"/>
  <c r="AJ357" i="28" s="1"/>
  <c r="AP357" i="28" s="1"/>
  <c r="AT357" i="28" s="1"/>
  <c r="AX357" i="28" s="1"/>
  <c r="BF357" i="28" s="1"/>
  <c r="AB197" i="28"/>
  <c r="AF197" i="28" s="1"/>
  <c r="AJ197" i="28" s="1"/>
  <c r="AP197" i="28" s="1"/>
  <c r="AB240" i="28"/>
  <c r="AF240" i="28" s="1"/>
  <c r="AJ240" i="28" s="1"/>
  <c r="AP240" i="28" s="1"/>
  <c r="AT240" i="28" s="1"/>
  <c r="AX240" i="28" s="1"/>
  <c r="BF240" i="28" s="1"/>
  <c r="AB284" i="28"/>
  <c r="AF284" i="28" s="1"/>
  <c r="AJ284" i="28" s="1"/>
  <c r="AP284" i="28" s="1"/>
  <c r="AT284" i="28" s="1"/>
  <c r="AX284" i="28" s="1"/>
  <c r="BF284" i="28" s="1"/>
  <c r="AB278" i="28"/>
  <c r="AF278" i="28" s="1"/>
  <c r="AJ278" i="28" s="1"/>
  <c r="AP278" i="28" s="1"/>
  <c r="AT278" i="28" s="1"/>
  <c r="AX278" i="28" s="1"/>
  <c r="BF278" i="28" s="1"/>
  <c r="AB274" i="28"/>
  <c r="AF274" i="28" s="1"/>
  <c r="AJ274" i="28" s="1"/>
  <c r="AP274" i="28" s="1"/>
  <c r="AT274" i="28" s="1"/>
  <c r="AX274" i="28" s="1"/>
  <c r="BF274" i="28" s="1"/>
  <c r="AB269" i="28"/>
  <c r="AF269" i="28" s="1"/>
  <c r="AJ269" i="28" s="1"/>
  <c r="AP269" i="28" s="1"/>
  <c r="AT269" i="28" s="1"/>
  <c r="AX269" i="28" s="1"/>
  <c r="BF269" i="28" s="1"/>
  <c r="AB265" i="28"/>
  <c r="AF265" i="28" s="1"/>
  <c r="AJ265" i="28" s="1"/>
  <c r="AP265" i="28" s="1"/>
  <c r="AT265" i="28" s="1"/>
  <c r="AX265" i="28" s="1"/>
  <c r="BF265" i="28" s="1"/>
  <c r="AB260" i="28"/>
  <c r="AF260" i="28" s="1"/>
  <c r="AJ260" i="28" s="1"/>
  <c r="AP260" i="28" s="1"/>
  <c r="AT260" i="28" s="1"/>
  <c r="AX260" i="28" s="1"/>
  <c r="BF260" i="28" s="1"/>
  <c r="AB257" i="28"/>
  <c r="AF257" i="28" s="1"/>
  <c r="AJ257" i="28" s="1"/>
  <c r="AP257" i="28" s="1"/>
  <c r="AT257" i="28" s="1"/>
  <c r="AX257" i="28" s="1"/>
  <c r="BF257" i="28" s="1"/>
  <c r="AB252" i="28"/>
  <c r="AF252" i="28" s="1"/>
  <c r="AJ252" i="28" s="1"/>
  <c r="AP252" i="28" s="1"/>
  <c r="AT252" i="28" s="1"/>
  <c r="AX252" i="28" s="1"/>
  <c r="BF252" i="28" s="1"/>
  <c r="AB247" i="28"/>
  <c r="AF247" i="28" s="1"/>
  <c r="AJ247" i="28" s="1"/>
  <c r="AP247" i="28" s="1"/>
  <c r="AT247" i="28" s="1"/>
  <c r="AX247" i="28" s="1"/>
  <c r="BF247" i="28" s="1"/>
  <c r="AB239" i="28"/>
  <c r="AF239" i="28" s="1"/>
  <c r="AJ239" i="28" s="1"/>
  <c r="AP239" i="28" s="1"/>
  <c r="AT239" i="28" s="1"/>
  <c r="AX239" i="28" s="1"/>
  <c r="BF239" i="28" s="1"/>
  <c r="AB233" i="28"/>
  <c r="AF233" i="28" s="1"/>
  <c r="AJ233" i="28" s="1"/>
  <c r="AP233" i="28" s="1"/>
  <c r="AT233" i="28" s="1"/>
  <c r="AX233" i="28" s="1"/>
  <c r="BF233" i="28" s="1"/>
  <c r="AB229" i="28"/>
  <c r="AF229" i="28" s="1"/>
  <c r="AJ229" i="28" s="1"/>
  <c r="AP229" i="28" s="1"/>
  <c r="AT229" i="28" s="1"/>
  <c r="AX229" i="28" s="1"/>
  <c r="BF229" i="28" s="1"/>
  <c r="AB225" i="28"/>
  <c r="AF225" i="28" s="1"/>
  <c r="AJ225" i="28" s="1"/>
  <c r="AP225" i="28" s="1"/>
  <c r="AT225" i="28" s="1"/>
  <c r="AX225" i="28" s="1"/>
  <c r="BF225" i="28" s="1"/>
  <c r="AB220" i="28"/>
  <c r="AF220" i="28" s="1"/>
  <c r="AJ220" i="28" s="1"/>
  <c r="AP220" i="28" s="1"/>
  <c r="AT220" i="28" s="1"/>
  <c r="AX220" i="28" s="1"/>
  <c r="BF220" i="28" s="1"/>
  <c r="AB216" i="28"/>
  <c r="AF216" i="28" s="1"/>
  <c r="AJ216" i="28" s="1"/>
  <c r="AP216" i="28" s="1"/>
  <c r="AT216" i="28" s="1"/>
  <c r="AX216" i="28" s="1"/>
  <c r="BF216" i="28" s="1"/>
  <c r="AB212" i="28"/>
  <c r="AF212" i="28" s="1"/>
  <c r="AJ212" i="28" s="1"/>
  <c r="AP212" i="28" s="1"/>
  <c r="AT212" i="28" s="1"/>
  <c r="AX212" i="28" s="1"/>
  <c r="BF212" i="28" s="1"/>
  <c r="AB208" i="28"/>
  <c r="AF208" i="28" s="1"/>
  <c r="AJ208" i="28" s="1"/>
  <c r="AP208" i="28" s="1"/>
  <c r="AT208" i="28" s="1"/>
  <c r="AX208" i="28" s="1"/>
  <c r="BF208" i="28" s="1"/>
  <c r="AB204" i="28"/>
  <c r="AF204" i="28" s="1"/>
  <c r="AJ204" i="28" s="1"/>
  <c r="AP204" i="28" s="1"/>
  <c r="AT204" i="28" s="1"/>
  <c r="AX204" i="28" s="1"/>
  <c r="BF204" i="28" s="1"/>
  <c r="AB157" i="28"/>
  <c r="AF157" i="28" s="1"/>
  <c r="AJ157" i="28" s="1"/>
  <c r="AP157" i="28" s="1"/>
  <c r="AT157" i="28" s="1"/>
  <c r="AX157" i="28" s="1"/>
  <c r="BF157" i="28" s="1"/>
  <c r="AB153" i="28"/>
  <c r="AF153" i="28" s="1"/>
  <c r="AJ153" i="28" s="1"/>
  <c r="AP153" i="28" s="1"/>
  <c r="AT153" i="28" s="1"/>
  <c r="AX153" i="28" s="1"/>
  <c r="BF153" i="28" s="1"/>
  <c r="AB150" i="28"/>
  <c r="AF150" i="28" s="1"/>
  <c r="AJ150" i="28" s="1"/>
  <c r="AP150" i="28" s="1"/>
  <c r="AT150" i="28" s="1"/>
  <c r="AX150" i="28" s="1"/>
  <c r="BF150" i="28" s="1"/>
  <c r="AB146" i="28"/>
  <c r="AF146" i="28" s="1"/>
  <c r="AJ146" i="28" s="1"/>
  <c r="AP146" i="28" s="1"/>
  <c r="AT146" i="28" s="1"/>
  <c r="AX146" i="28" s="1"/>
  <c r="BF146" i="28" s="1"/>
  <c r="AB141" i="28"/>
  <c r="AF141" i="28" s="1"/>
  <c r="AJ141" i="28" s="1"/>
  <c r="AP141" i="28" s="1"/>
  <c r="AT141" i="28" s="1"/>
  <c r="AX141" i="28" s="1"/>
  <c r="BF141" i="28" s="1"/>
  <c r="AB138" i="28"/>
  <c r="AF138" i="28" s="1"/>
  <c r="AJ138" i="28" s="1"/>
  <c r="AP138" i="28" s="1"/>
  <c r="AT138" i="28" s="1"/>
  <c r="AX138" i="28" s="1"/>
  <c r="BF138" i="28" s="1"/>
  <c r="AB134" i="28"/>
  <c r="AF134" i="28" s="1"/>
  <c r="AJ134" i="28" s="1"/>
  <c r="AP134" i="28" s="1"/>
  <c r="AT134" i="28" s="1"/>
  <c r="AX134" i="28" s="1"/>
  <c r="BF134" i="28" s="1"/>
  <c r="AB130" i="28"/>
  <c r="AF130" i="28" s="1"/>
  <c r="AJ130" i="28" s="1"/>
  <c r="AP130" i="28" s="1"/>
  <c r="AT130" i="28" s="1"/>
  <c r="AX130" i="28" s="1"/>
  <c r="BF130" i="28" s="1"/>
  <c r="AB126" i="28"/>
  <c r="AF126" i="28" s="1"/>
  <c r="AJ126" i="28" s="1"/>
  <c r="AP126" i="28" s="1"/>
  <c r="AT126" i="28" s="1"/>
  <c r="AX126" i="28" s="1"/>
  <c r="BF126" i="28" s="1"/>
  <c r="AB122" i="28"/>
  <c r="AF122" i="28" s="1"/>
  <c r="AJ122" i="28" s="1"/>
  <c r="AP122" i="28" s="1"/>
  <c r="AT122" i="28" s="1"/>
  <c r="AX122" i="28" s="1"/>
  <c r="BF122" i="28" s="1"/>
  <c r="AB118" i="28"/>
  <c r="AF118" i="28" s="1"/>
  <c r="AJ118" i="28" s="1"/>
  <c r="AP118" i="28" s="1"/>
  <c r="AT118" i="28" s="1"/>
  <c r="AX118" i="28" s="1"/>
  <c r="BF118" i="28" s="1"/>
  <c r="AB113" i="28"/>
  <c r="AF113" i="28" s="1"/>
  <c r="AJ113" i="28" s="1"/>
  <c r="AP113" i="28" s="1"/>
  <c r="AT113" i="28" s="1"/>
  <c r="AX113" i="28" s="1"/>
  <c r="BF113" i="28" s="1"/>
  <c r="AB108" i="28"/>
  <c r="AF108" i="28" s="1"/>
  <c r="AJ108" i="28" s="1"/>
  <c r="AP108" i="28" s="1"/>
  <c r="AT108" i="28" s="1"/>
  <c r="AX108" i="28" s="1"/>
  <c r="BF108" i="28" s="1"/>
  <c r="AB101" i="28"/>
  <c r="AF101" i="28" s="1"/>
  <c r="AJ101" i="28" s="1"/>
  <c r="AP101" i="28" s="1"/>
  <c r="AT101" i="28" s="1"/>
  <c r="AX101" i="28" s="1"/>
  <c r="BF101" i="28" s="1"/>
  <c r="AB96" i="28"/>
  <c r="AF96" i="28" s="1"/>
  <c r="AJ96" i="28" s="1"/>
  <c r="AP96" i="28" s="1"/>
  <c r="AT96" i="28" s="1"/>
  <c r="AX96" i="28" s="1"/>
  <c r="BF96" i="28" s="1"/>
  <c r="AB92" i="28"/>
  <c r="AF92" i="28" s="1"/>
  <c r="AJ92" i="28" s="1"/>
  <c r="AP92" i="28" s="1"/>
  <c r="AT92" i="28" s="1"/>
  <c r="AX92" i="28" s="1"/>
  <c r="BF92" i="28" s="1"/>
  <c r="AB88" i="28"/>
  <c r="AF88" i="28" s="1"/>
  <c r="AJ88" i="28" s="1"/>
  <c r="AP88" i="28" s="1"/>
  <c r="AT88" i="28" s="1"/>
  <c r="AX88" i="28" s="1"/>
  <c r="BF88" i="28" s="1"/>
  <c r="AB15" i="28"/>
  <c r="AF15" i="28" s="1"/>
  <c r="AJ15" i="28" s="1"/>
  <c r="AP15" i="28" s="1"/>
  <c r="AT15" i="28" s="1"/>
  <c r="AX15" i="28" s="1"/>
  <c r="BF15" i="28" s="1"/>
  <c r="AB17" i="28"/>
  <c r="AF17" i="28" s="1"/>
  <c r="AJ17" i="28" s="1"/>
  <c r="AP17" i="28" s="1"/>
  <c r="AT17" i="28" s="1"/>
  <c r="AX17" i="28" s="1"/>
  <c r="BF17" i="28" s="1"/>
  <c r="AB22" i="28"/>
  <c r="AF22" i="28" s="1"/>
  <c r="AJ22" i="28" s="1"/>
  <c r="AP22" i="28" s="1"/>
  <c r="AT22" i="28" s="1"/>
  <c r="AX22" i="28" s="1"/>
  <c r="BF22" i="28" s="1"/>
  <c r="AB73" i="28"/>
  <c r="AF73" i="28" s="1"/>
  <c r="AJ73" i="28" s="1"/>
  <c r="AP73" i="28" s="1"/>
  <c r="AT73" i="28" s="1"/>
  <c r="AX73" i="28" s="1"/>
  <c r="BF73" i="28" s="1"/>
  <c r="AB231" i="28"/>
  <c r="AF231" i="28" s="1"/>
  <c r="AJ231" i="28" s="1"/>
  <c r="AP231" i="28" s="1"/>
  <c r="AT231" i="28" s="1"/>
  <c r="AX231" i="28" s="1"/>
  <c r="BF231" i="28" s="1"/>
  <c r="AB227" i="28"/>
  <c r="AF227" i="28" s="1"/>
  <c r="AJ227" i="28" s="1"/>
  <c r="AP227" i="28" s="1"/>
  <c r="AT227" i="28" s="1"/>
  <c r="AX227" i="28" s="1"/>
  <c r="BF227" i="28" s="1"/>
  <c r="AB222" i="28"/>
  <c r="AF222" i="28" s="1"/>
  <c r="AJ222" i="28" s="1"/>
  <c r="AP222" i="28" s="1"/>
  <c r="AT222" i="28" s="1"/>
  <c r="AX222" i="28" s="1"/>
  <c r="BF222" i="28" s="1"/>
  <c r="AB218" i="28"/>
  <c r="AF218" i="28" s="1"/>
  <c r="AJ218" i="28" s="1"/>
  <c r="AP218" i="28" s="1"/>
  <c r="AT218" i="28" s="1"/>
  <c r="AX218" i="28" s="1"/>
  <c r="BF218" i="28" s="1"/>
  <c r="AB214" i="28"/>
  <c r="AF214" i="28" s="1"/>
  <c r="AJ214" i="28" s="1"/>
  <c r="AP214" i="28" s="1"/>
  <c r="AT214" i="28" s="1"/>
  <c r="AX214" i="28" s="1"/>
  <c r="BF214" i="28" s="1"/>
  <c r="AB210" i="28"/>
  <c r="AF210" i="28" s="1"/>
  <c r="AJ210" i="28" s="1"/>
  <c r="AP210" i="28" s="1"/>
  <c r="AT210" i="28" s="1"/>
  <c r="AX210" i="28" s="1"/>
  <c r="BF210" i="28" s="1"/>
  <c r="AB206" i="28"/>
  <c r="AF206" i="28" s="1"/>
  <c r="AJ206" i="28" s="1"/>
  <c r="AP206" i="28" s="1"/>
  <c r="AT206" i="28" s="1"/>
  <c r="AX206" i="28" s="1"/>
  <c r="BF206" i="28" s="1"/>
  <c r="AB202" i="28"/>
  <c r="AF202" i="28" s="1"/>
  <c r="AJ202" i="28" s="1"/>
  <c r="AP202" i="28" s="1"/>
  <c r="AT202" i="28" s="1"/>
  <c r="AX202" i="28" s="1"/>
  <c r="BF202" i="28" s="1"/>
  <c r="AB358" i="28"/>
  <c r="AF358" i="28" s="1"/>
  <c r="AJ358" i="28" s="1"/>
  <c r="AP358" i="28" s="1"/>
  <c r="AT358" i="28" s="1"/>
  <c r="AX358" i="28" s="1"/>
  <c r="BF358" i="28" s="1"/>
  <c r="AB193" i="28"/>
  <c r="AB285" i="28"/>
  <c r="AF285" i="28" s="1"/>
  <c r="AJ285" i="28" s="1"/>
  <c r="AP285" i="28" s="1"/>
  <c r="AT285" i="28" s="1"/>
  <c r="AX285" i="28" s="1"/>
  <c r="BF285" i="28" s="1"/>
  <c r="AB280" i="28"/>
  <c r="AF280" i="28" s="1"/>
  <c r="AJ280" i="28" s="1"/>
  <c r="AP280" i="28" s="1"/>
  <c r="AT280" i="28" s="1"/>
  <c r="AX280" i="28" s="1"/>
  <c r="BF280" i="28" s="1"/>
  <c r="AB276" i="28"/>
  <c r="AF276" i="28" s="1"/>
  <c r="AJ276" i="28" s="1"/>
  <c r="AP276" i="28" s="1"/>
  <c r="AT276" i="28" s="1"/>
  <c r="AX276" i="28" s="1"/>
  <c r="BF276" i="28" s="1"/>
  <c r="AB271" i="28"/>
  <c r="AF271" i="28" s="1"/>
  <c r="AJ271" i="28" s="1"/>
  <c r="AP271" i="28" s="1"/>
  <c r="AT271" i="28" s="1"/>
  <c r="AX271" i="28" s="1"/>
  <c r="BF271" i="28" s="1"/>
  <c r="AB266" i="28"/>
  <c r="AF266" i="28" s="1"/>
  <c r="AJ266" i="28" s="1"/>
  <c r="AP266" i="28" s="1"/>
  <c r="AT266" i="28" s="1"/>
  <c r="AX266" i="28" s="1"/>
  <c r="BF266" i="28" s="1"/>
  <c r="AB261" i="28"/>
  <c r="AF261" i="28" s="1"/>
  <c r="AJ261" i="28" s="1"/>
  <c r="AP261" i="28" s="1"/>
  <c r="AT261" i="28" s="1"/>
  <c r="AX261" i="28" s="1"/>
  <c r="BF261" i="28" s="1"/>
  <c r="AB258" i="28"/>
  <c r="AF258" i="28" s="1"/>
  <c r="AJ258" i="28" s="1"/>
  <c r="AP258" i="28" s="1"/>
  <c r="AT258" i="28" s="1"/>
  <c r="AX258" i="28" s="1"/>
  <c r="BF258" i="28" s="1"/>
  <c r="AB254" i="28"/>
  <c r="AF254" i="28" s="1"/>
  <c r="AJ254" i="28" s="1"/>
  <c r="AP254" i="28" s="1"/>
  <c r="AT254" i="28" s="1"/>
  <c r="AX254" i="28" s="1"/>
  <c r="BF254" i="28" s="1"/>
  <c r="AB248" i="28"/>
  <c r="AF248" i="28" s="1"/>
  <c r="AJ248" i="28" s="1"/>
  <c r="AP248" i="28" s="1"/>
  <c r="AT248" i="28" s="1"/>
  <c r="AX248" i="28" s="1"/>
  <c r="BF248" i="28" s="1"/>
  <c r="AB38" i="28"/>
  <c r="AF38" i="28" s="1"/>
  <c r="AJ38" i="28" s="1"/>
  <c r="AP38" i="28" s="1"/>
  <c r="AT38" i="28" s="1"/>
  <c r="AX38" i="28" s="1"/>
  <c r="BF38" i="28" s="1"/>
  <c r="AB159" i="28"/>
  <c r="AF159" i="28" s="1"/>
  <c r="AJ159" i="28" s="1"/>
  <c r="AP159" i="28" s="1"/>
  <c r="AT159" i="28" s="1"/>
  <c r="AX159" i="28" s="1"/>
  <c r="BF159" i="28" s="1"/>
  <c r="AB155" i="28"/>
  <c r="AF155" i="28" s="1"/>
  <c r="AJ155" i="28" s="1"/>
  <c r="AP155" i="28" s="1"/>
  <c r="AT155" i="28" s="1"/>
  <c r="AX155" i="28" s="1"/>
  <c r="BF155" i="28" s="1"/>
  <c r="AB151" i="28"/>
  <c r="AF151" i="28" s="1"/>
  <c r="AJ151" i="28" s="1"/>
  <c r="AP151" i="28" s="1"/>
  <c r="AT151" i="28" s="1"/>
  <c r="AX151" i="28" s="1"/>
  <c r="BF151" i="28" s="1"/>
  <c r="AB148" i="28"/>
  <c r="AF148" i="28" s="1"/>
  <c r="AJ148" i="28" s="1"/>
  <c r="AP148" i="28" s="1"/>
  <c r="AT148" i="28" s="1"/>
  <c r="AX148" i="28" s="1"/>
  <c r="BF148" i="28" s="1"/>
  <c r="AB143" i="28"/>
  <c r="AF143" i="28" s="1"/>
  <c r="AJ143" i="28" s="1"/>
  <c r="AP143" i="28" s="1"/>
  <c r="AT143" i="28" s="1"/>
  <c r="AX143" i="28" s="1"/>
  <c r="BF143" i="28" s="1"/>
  <c r="AB136" i="28"/>
  <c r="AF136" i="28" s="1"/>
  <c r="AJ136" i="28" s="1"/>
  <c r="AP136" i="28" s="1"/>
  <c r="AT136" i="28" s="1"/>
  <c r="AX136" i="28" s="1"/>
  <c r="BF136" i="28" s="1"/>
  <c r="AB132" i="28"/>
  <c r="AF132" i="28" s="1"/>
  <c r="AJ132" i="28" s="1"/>
  <c r="AP132" i="28" s="1"/>
  <c r="AT132" i="28" s="1"/>
  <c r="AX132" i="28" s="1"/>
  <c r="BF132" i="28" s="1"/>
  <c r="AB128" i="28"/>
  <c r="AF128" i="28" s="1"/>
  <c r="AJ128" i="28" s="1"/>
  <c r="AP128" i="28" s="1"/>
  <c r="AT128" i="28" s="1"/>
  <c r="AX128" i="28" s="1"/>
  <c r="BF128" i="28" s="1"/>
  <c r="AB124" i="28"/>
  <c r="AF124" i="28" s="1"/>
  <c r="AJ124" i="28" s="1"/>
  <c r="AP124" i="28" s="1"/>
  <c r="AT124" i="28" s="1"/>
  <c r="AX124" i="28" s="1"/>
  <c r="BF124" i="28" s="1"/>
  <c r="AB120" i="28"/>
  <c r="AF120" i="28" s="1"/>
  <c r="AJ120" i="28" s="1"/>
  <c r="AP120" i="28" s="1"/>
  <c r="AT120" i="28" s="1"/>
  <c r="AX120" i="28" s="1"/>
  <c r="BF120" i="28" s="1"/>
  <c r="AB115" i="28"/>
  <c r="AF115" i="28" s="1"/>
  <c r="AJ115" i="28" s="1"/>
  <c r="AP115" i="28" s="1"/>
  <c r="AT115" i="28" s="1"/>
  <c r="AX115" i="28" s="1"/>
  <c r="BF115" i="28" s="1"/>
  <c r="AB110" i="28"/>
  <c r="AF110" i="28" s="1"/>
  <c r="AJ110" i="28" s="1"/>
  <c r="AP110" i="28" s="1"/>
  <c r="AT110" i="28" s="1"/>
  <c r="AX110" i="28" s="1"/>
  <c r="BF110" i="28" s="1"/>
  <c r="AB105" i="28"/>
  <c r="AF105" i="28" s="1"/>
  <c r="AJ105" i="28" s="1"/>
  <c r="AP105" i="28" s="1"/>
  <c r="AT105" i="28" s="1"/>
  <c r="AX105" i="28" s="1"/>
  <c r="BF105" i="28" s="1"/>
  <c r="AB99" i="28"/>
  <c r="AF99" i="28" s="1"/>
  <c r="AJ99" i="28" s="1"/>
  <c r="AP99" i="28" s="1"/>
  <c r="AT99" i="28" s="1"/>
  <c r="AX99" i="28" s="1"/>
  <c r="BF99" i="28" s="1"/>
  <c r="AB94" i="28"/>
  <c r="AF94" i="28" s="1"/>
  <c r="AJ94" i="28" s="1"/>
  <c r="AP94" i="28" s="1"/>
  <c r="AT94" i="28" s="1"/>
  <c r="AX94" i="28" s="1"/>
  <c r="BF94" i="28" s="1"/>
  <c r="AB90" i="28"/>
  <c r="AF90" i="28" s="1"/>
  <c r="AJ90" i="28" s="1"/>
  <c r="AP90" i="28" s="1"/>
  <c r="AT90" i="28" s="1"/>
  <c r="AX90" i="28" s="1"/>
  <c r="BF90" i="28" s="1"/>
  <c r="AB69" i="28"/>
  <c r="AF69" i="28" s="1"/>
  <c r="AJ69" i="28" s="1"/>
  <c r="AP69" i="28" s="1"/>
  <c r="AT69" i="28" s="1"/>
  <c r="AX69" i="28" s="1"/>
  <c r="BF69" i="28" s="1"/>
  <c r="AB46" i="28"/>
  <c r="AF46" i="28" s="1"/>
  <c r="AJ46" i="28" s="1"/>
  <c r="AP46" i="28" s="1"/>
  <c r="AT46" i="28" s="1"/>
  <c r="AX46" i="28" s="1"/>
  <c r="BF46" i="28" s="1"/>
  <c r="AB70" i="28"/>
  <c r="AF70" i="28" s="1"/>
  <c r="AJ70" i="28" s="1"/>
  <c r="AP70" i="28" s="1"/>
  <c r="AT70" i="28" s="1"/>
  <c r="AX70" i="28" s="1"/>
  <c r="BF70" i="28" s="1"/>
  <c r="AB36" i="28"/>
  <c r="AF36" i="28" s="1"/>
  <c r="AJ36" i="28" s="1"/>
  <c r="AP36" i="28" s="1"/>
  <c r="AT36" i="28" s="1"/>
  <c r="AX36" i="28" s="1"/>
  <c r="BF36" i="28" s="1"/>
  <c r="AB293" i="28"/>
  <c r="AB37" i="28"/>
  <c r="AF37" i="28" s="1"/>
  <c r="AJ37" i="28" s="1"/>
  <c r="AP37" i="28" s="1"/>
  <c r="AT37" i="28" s="1"/>
  <c r="AX37" i="28" s="1"/>
  <c r="BF37" i="28" s="1"/>
  <c r="AB308" i="28"/>
  <c r="AF308" i="28" s="1"/>
  <c r="AJ308" i="28" s="1"/>
  <c r="AP308" i="28" s="1"/>
  <c r="AT308" i="28" s="1"/>
  <c r="AX308" i="28" s="1"/>
  <c r="BF308" i="28" s="1"/>
  <c r="AE29" i="73"/>
  <c r="AI29" i="73" s="1"/>
  <c r="AO29" i="73" s="1"/>
  <c r="AS29" i="73" s="1"/>
  <c r="AW29" i="73" s="1"/>
  <c r="BE29" i="73" s="1"/>
  <c r="AE31" i="73"/>
  <c r="AI31" i="73" s="1"/>
  <c r="AO31" i="73" s="1"/>
  <c r="AS31" i="73" s="1"/>
  <c r="AW31" i="73" s="1"/>
  <c r="BE31" i="73" s="1"/>
  <c r="AE26" i="73"/>
  <c r="AI26" i="73" s="1"/>
  <c r="AO26" i="73" s="1"/>
  <c r="AS26" i="73" s="1"/>
  <c r="AW26" i="73" s="1"/>
  <c r="BE26" i="73" s="1"/>
  <c r="BF72" i="7" l="1"/>
  <c r="BF54" i="7"/>
  <c r="BF84" i="7"/>
  <c r="BF86" i="7"/>
  <c r="BF91" i="7"/>
  <c r="BF82" i="7"/>
  <c r="BF27" i="7"/>
  <c r="BF23" i="7"/>
  <c r="BF28" i="7"/>
  <c r="BF33" i="7"/>
  <c r="BF29" i="7"/>
  <c r="BF25" i="7"/>
  <c r="AX93" i="7"/>
  <c r="BF24" i="7"/>
  <c r="BF9" i="49"/>
  <c r="BF11" i="36"/>
  <c r="BI38" i="59" s="1"/>
  <c r="AT197" i="28"/>
  <c r="AX197" i="28" s="1"/>
  <c r="BF197" i="28" s="1"/>
  <c r="AX50" i="8"/>
  <c r="AX132" i="8"/>
  <c r="AX51" i="8" s="1"/>
  <c r="BF129" i="8"/>
  <c r="BF131" i="8" s="1"/>
  <c r="AF193" i="28"/>
  <c r="AJ193" i="28" s="1"/>
  <c r="AP193" i="28" s="1"/>
  <c r="AT193" i="28" s="1"/>
  <c r="AX193" i="28" s="1"/>
  <c r="BF193" i="28" s="1"/>
  <c r="AP50" i="8"/>
  <c r="AP132" i="8"/>
  <c r="AP51" i="8" s="1"/>
  <c r="AT130" i="8"/>
  <c r="AF292" i="28"/>
  <c r="AJ292" i="28" s="1"/>
  <c r="AP292" i="28" s="1"/>
  <c r="AT292" i="28" s="1"/>
  <c r="AX292" i="28" s="1"/>
  <c r="BF292" i="28" s="1"/>
  <c r="AF293" i="28"/>
  <c r="AJ293" i="28" s="1"/>
  <c r="AP293" i="28" s="1"/>
  <c r="AT293" i="28" s="1"/>
  <c r="AX293" i="28" s="1"/>
  <c r="BF293" i="28" s="1"/>
  <c r="V355" i="28"/>
  <c r="V273" i="28"/>
  <c r="V277" i="28"/>
  <c r="Z316" i="28"/>
  <c r="Z189" i="28"/>
  <c r="Z42" i="28"/>
  <c r="Y83" i="28"/>
  <c r="Y82" i="28"/>
  <c r="Y67" i="28"/>
  <c r="Y66" i="28"/>
  <c r="Y51" i="28"/>
  <c r="Y32" i="28"/>
  <c r="Y31" i="28"/>
  <c r="Y30" i="28"/>
  <c r="Y18" i="28"/>
  <c r="Y17" i="28"/>
  <c r="Y16" i="28"/>
  <c r="Y15" i="28"/>
  <c r="Y11" i="28"/>
  <c r="Y10" i="28"/>
  <c r="Y9" i="28"/>
  <c r="Z7" i="28"/>
  <c r="BF89" i="7" l="1"/>
  <c r="BF83" i="7"/>
  <c r="BF94" i="7"/>
  <c r="BF88" i="7"/>
  <c r="BI30" i="59"/>
  <c r="BF87" i="7"/>
  <c r="BF85" i="7"/>
  <c r="BF93" i="7"/>
  <c r="BA32" i="59"/>
  <c r="BF130" i="8"/>
  <c r="BF132" i="8"/>
  <c r="BF51" i="8" s="1"/>
  <c r="BF50" i="8"/>
  <c r="AT132" i="8"/>
  <c r="AT51" i="8" s="1"/>
  <c r="AT50" i="8"/>
  <c r="Z106" i="9"/>
  <c r="Z55" i="9"/>
  <c r="BI31" i="59" l="1"/>
  <c r="BI35" i="59"/>
  <c r="BI33" i="59"/>
  <c r="BI34" i="59"/>
  <c r="BI32" i="59"/>
  <c r="Z27" i="22"/>
  <c r="Z25" i="22"/>
  <c r="Z22" i="22"/>
  <c r="Z21" i="22"/>
  <c r="Z13" i="22"/>
  <c r="Z11" i="22"/>
  <c r="Z8" i="22"/>
  <c r="Y38" i="27"/>
  <c r="X38" i="27"/>
  <c r="X32" i="27"/>
  <c r="Y32" i="27"/>
  <c r="Y23" i="27"/>
  <c r="X23" i="27"/>
  <c r="X7" i="27"/>
  <c r="X8" i="27"/>
  <c r="X9" i="27"/>
  <c r="X10" i="27"/>
  <c r="X11" i="27"/>
  <c r="X12" i="27"/>
  <c r="X13" i="27"/>
  <c r="X14" i="27"/>
  <c r="X15" i="27"/>
  <c r="X6" i="27"/>
  <c r="Y7" i="27"/>
  <c r="Y8" i="27"/>
  <c r="Y9" i="27"/>
  <c r="Y10" i="27"/>
  <c r="Y11" i="27"/>
  <c r="Y12" i="27"/>
  <c r="Y13" i="27"/>
  <c r="Y14" i="27"/>
  <c r="Y15" i="27"/>
  <c r="Y6" i="27"/>
  <c r="T12" i="85"/>
  <c r="T14" i="85"/>
  <c r="X21" i="15"/>
  <c r="Y60" i="83" l="1"/>
  <c r="Y61" i="83"/>
  <c r="Y62" i="83"/>
  <c r="Y63" i="83"/>
  <c r="Y64" i="83"/>
  <c r="Y65" i="83"/>
  <c r="Y66" i="83"/>
  <c r="Y59" i="83"/>
  <c r="Y44" i="83"/>
  <c r="Y45" i="83"/>
  <c r="Y46" i="83"/>
  <c r="Y47" i="83"/>
  <c r="Y51" i="83"/>
  <c r="Y52" i="83"/>
  <c r="Y54" i="83"/>
  <c r="Y55" i="83"/>
  <c r="Y56" i="83"/>
  <c r="Y57" i="83"/>
  <c r="Y43" i="83"/>
  <c r="Y39" i="83"/>
  <c r="Y42" i="83" s="1"/>
  <c r="Y33" i="83"/>
  <c r="Y34" i="83"/>
  <c r="Y35" i="83"/>
  <c r="Y36" i="83"/>
  <c r="Y37" i="83"/>
  <c r="Y32" i="83"/>
  <c r="Y5" i="83"/>
  <c r="Y6" i="83"/>
  <c r="Y7" i="83"/>
  <c r="Y8" i="83"/>
  <c r="Y9" i="83"/>
  <c r="Y10" i="83"/>
  <c r="Y11" i="83"/>
  <c r="Y12" i="83"/>
  <c r="Y14" i="83"/>
  <c r="Y15" i="83"/>
  <c r="Y16" i="83"/>
  <c r="Y17" i="83"/>
  <c r="Y20" i="83"/>
  <c r="Y21" i="83"/>
  <c r="Y23" i="83"/>
  <c r="Y24" i="83"/>
  <c r="Y25" i="83"/>
  <c r="Y26" i="83"/>
  <c r="Y27" i="83"/>
  <c r="Y28" i="83"/>
  <c r="Y29" i="83"/>
  <c r="Y30" i="83"/>
  <c r="Y4" i="83"/>
  <c r="Z111" i="9"/>
  <c r="W71" i="77"/>
  <c r="W113" i="77" s="1"/>
  <c r="AA60" i="83" l="1"/>
  <c r="AC60" i="83" s="1"/>
  <c r="AK60" i="83" s="1"/>
  <c r="AG60" i="83"/>
  <c r="AQ60" i="83" s="1"/>
  <c r="BG70" i="50"/>
  <c r="Y38" i="83"/>
  <c r="Y58" i="83"/>
  <c r="Y67" i="83"/>
  <c r="L5" i="77"/>
  <c r="Z5" i="77" s="1"/>
  <c r="AD5" i="77" s="1"/>
  <c r="AH5" i="77" s="1"/>
  <c r="AN5" i="77" s="1"/>
  <c r="AR5" i="77" s="1"/>
  <c r="AV5" i="77" s="1"/>
  <c r="BD5" i="77" s="1"/>
  <c r="L6" i="77"/>
  <c r="Z6" i="77" s="1"/>
  <c r="AD6" i="77" s="1"/>
  <c r="AH6" i="77" s="1"/>
  <c r="AN6" i="77" s="1"/>
  <c r="AR6" i="77" s="1"/>
  <c r="AV6" i="77" s="1"/>
  <c r="BD6" i="77" s="1"/>
  <c r="L8" i="77"/>
  <c r="Z8" i="77" s="1"/>
  <c r="AD8" i="77" s="1"/>
  <c r="AH8" i="77" s="1"/>
  <c r="AN8" i="77" s="1"/>
  <c r="AR8" i="77" s="1"/>
  <c r="AV8" i="77" s="1"/>
  <c r="BD8" i="77" s="1"/>
  <c r="L9" i="77"/>
  <c r="Z9" i="77" s="1"/>
  <c r="AD9" i="77" s="1"/>
  <c r="AH9" i="77" s="1"/>
  <c r="AN9" i="77" s="1"/>
  <c r="AR9" i="77" s="1"/>
  <c r="AV9" i="77" s="1"/>
  <c r="BD9" i="77" s="1"/>
  <c r="L10" i="77"/>
  <c r="L11" i="77"/>
  <c r="Z11" i="77" s="1"/>
  <c r="AD11" i="77" s="1"/>
  <c r="AH11" i="77" s="1"/>
  <c r="AN11" i="77" s="1"/>
  <c r="AR11" i="77" s="1"/>
  <c r="AV11" i="77" s="1"/>
  <c r="BD11" i="77" s="1"/>
  <c r="L12" i="77"/>
  <c r="Z12" i="77" s="1"/>
  <c r="AD12" i="77" s="1"/>
  <c r="AH12" i="77" s="1"/>
  <c r="AN12" i="77" s="1"/>
  <c r="AR12" i="77" s="1"/>
  <c r="AV12" i="77" s="1"/>
  <c r="BD12" i="77" s="1"/>
  <c r="L14" i="77"/>
  <c r="Z14" i="77" s="1"/>
  <c r="AD14" i="77" s="1"/>
  <c r="AH14" i="77" s="1"/>
  <c r="AN14" i="77" s="1"/>
  <c r="AR14" i="77" s="1"/>
  <c r="AV14" i="77" s="1"/>
  <c r="BD14" i="77" s="1"/>
  <c r="L15" i="77"/>
  <c r="Z15" i="77" s="1"/>
  <c r="AD15" i="77" s="1"/>
  <c r="AH15" i="77" s="1"/>
  <c r="AN15" i="77" s="1"/>
  <c r="AR15" i="77" s="1"/>
  <c r="AV15" i="77" s="1"/>
  <c r="BD15" i="77" s="1"/>
  <c r="L16" i="77"/>
  <c r="L17" i="77"/>
  <c r="Z17" i="77" s="1"/>
  <c r="AD17" i="77" s="1"/>
  <c r="AH17" i="77" s="1"/>
  <c r="AN17" i="77" s="1"/>
  <c r="AR17" i="77" s="1"/>
  <c r="AV17" i="77" s="1"/>
  <c r="BD17" i="77" s="1"/>
  <c r="L19" i="77"/>
  <c r="L20" i="77"/>
  <c r="Z20" i="77" s="1"/>
  <c r="AD20" i="77" s="1"/>
  <c r="AH20" i="77" s="1"/>
  <c r="AN20" i="77" s="1"/>
  <c r="AR20" i="77" s="1"/>
  <c r="AV20" i="77" s="1"/>
  <c r="BD20" i="77" s="1"/>
  <c r="L21" i="77"/>
  <c r="Z21" i="77" s="1"/>
  <c r="AD21" i="77" s="1"/>
  <c r="AH21" i="77" s="1"/>
  <c r="AN21" i="77" s="1"/>
  <c r="AR21" i="77" s="1"/>
  <c r="AV21" i="77" s="1"/>
  <c r="BD21" i="77" s="1"/>
  <c r="L22" i="77"/>
  <c r="Z22" i="77" s="1"/>
  <c r="AD22" i="77" s="1"/>
  <c r="AH22" i="77" s="1"/>
  <c r="AN22" i="77" s="1"/>
  <c r="AR22" i="77" s="1"/>
  <c r="AV22" i="77" s="1"/>
  <c r="BD22" i="77" s="1"/>
  <c r="L24" i="77"/>
  <c r="L25" i="77"/>
  <c r="Z25" i="77" s="1"/>
  <c r="AD25" i="77" s="1"/>
  <c r="AH25" i="77" s="1"/>
  <c r="AN25" i="77" s="1"/>
  <c r="AR25" i="77" s="1"/>
  <c r="AV25" i="77" s="1"/>
  <c r="BD25" i="77" s="1"/>
  <c r="L26" i="77"/>
  <c r="Z26" i="77" s="1"/>
  <c r="AD26" i="77" s="1"/>
  <c r="AH26" i="77" s="1"/>
  <c r="AN26" i="77" s="1"/>
  <c r="AR26" i="77" s="1"/>
  <c r="AV26" i="77" s="1"/>
  <c r="BD26" i="77" s="1"/>
  <c r="L27" i="77"/>
  <c r="Z27" i="77" s="1"/>
  <c r="AD27" i="77" s="1"/>
  <c r="AH27" i="77" s="1"/>
  <c r="AN27" i="77" s="1"/>
  <c r="L28" i="77"/>
  <c r="Z28" i="77" s="1"/>
  <c r="AD28" i="77" s="1"/>
  <c r="AH28" i="77" s="1"/>
  <c r="AN28" i="77" s="1"/>
  <c r="AR28" i="77" s="1"/>
  <c r="AV28" i="77" s="1"/>
  <c r="BD28" i="77" s="1"/>
  <c r="L30" i="77"/>
  <c r="L31" i="77"/>
  <c r="Z31" i="77" s="1"/>
  <c r="AD31" i="77" s="1"/>
  <c r="AH31" i="77" s="1"/>
  <c r="AN31" i="77" s="1"/>
  <c r="AR31" i="77" s="1"/>
  <c r="AV31" i="77" s="1"/>
  <c r="BD31" i="77" s="1"/>
  <c r="L34" i="77"/>
  <c r="L35" i="77"/>
  <c r="Z35" i="77" s="1"/>
  <c r="AD35" i="77" s="1"/>
  <c r="AH35" i="77" s="1"/>
  <c r="AN35" i="77" s="1"/>
  <c r="AR35" i="77" s="1"/>
  <c r="AV35" i="77" s="1"/>
  <c r="BD35" i="77" s="1"/>
  <c r="L36" i="77"/>
  <c r="Z36" i="77" s="1"/>
  <c r="AD36" i="77" s="1"/>
  <c r="AH36" i="77" s="1"/>
  <c r="AN36" i="77" s="1"/>
  <c r="AR36" i="77" s="1"/>
  <c r="AV36" i="77" s="1"/>
  <c r="BD36" i="77" s="1"/>
  <c r="L37" i="77"/>
  <c r="Z37" i="77" s="1"/>
  <c r="AD37" i="77" s="1"/>
  <c r="AH37" i="77" s="1"/>
  <c r="AN37" i="77" s="1"/>
  <c r="AR37" i="77" s="1"/>
  <c r="AV37" i="77" s="1"/>
  <c r="BD37" i="77" s="1"/>
  <c r="L38" i="77"/>
  <c r="Z38" i="77" s="1"/>
  <c r="AD38" i="77" s="1"/>
  <c r="AH38" i="77" s="1"/>
  <c r="AN38" i="77" s="1"/>
  <c r="AR38" i="77" s="1"/>
  <c r="AV38" i="77" s="1"/>
  <c r="BD38" i="77" s="1"/>
  <c r="L39" i="77"/>
  <c r="L40" i="77"/>
  <c r="Z40" i="77" s="1"/>
  <c r="AD40" i="77" s="1"/>
  <c r="AH40" i="77" s="1"/>
  <c r="AN40" i="77" s="1"/>
  <c r="AR40" i="77" s="1"/>
  <c r="AV40" i="77" s="1"/>
  <c r="BD40" i="77" s="1"/>
  <c r="L41" i="77"/>
  <c r="Z41" i="77" s="1"/>
  <c r="AD41" i="77" s="1"/>
  <c r="AH41" i="77" s="1"/>
  <c r="AN41" i="77" s="1"/>
  <c r="AR41" i="77" s="1"/>
  <c r="AV41" i="77" s="1"/>
  <c r="BD41" i="77" s="1"/>
  <c r="L42" i="77"/>
  <c r="Z42" i="77" s="1"/>
  <c r="AD42" i="77" s="1"/>
  <c r="AH42" i="77" s="1"/>
  <c r="AN42" i="77" s="1"/>
  <c r="AR42" i="77" s="1"/>
  <c r="AV42" i="77" s="1"/>
  <c r="BD42" i="77" s="1"/>
  <c r="L44" i="77"/>
  <c r="Z44" i="77" s="1"/>
  <c r="AD44" i="77" s="1"/>
  <c r="AH44" i="77" s="1"/>
  <c r="AN44" i="77" s="1"/>
  <c r="AR44" i="77" s="1"/>
  <c r="AV44" i="77" s="1"/>
  <c r="BD44" i="77" s="1"/>
  <c r="L45" i="77"/>
  <c r="Z45" i="77" s="1"/>
  <c r="AD45" i="77" s="1"/>
  <c r="AH45" i="77" s="1"/>
  <c r="AN45" i="77" s="1"/>
  <c r="AR45" i="77" s="1"/>
  <c r="AV45" i="77" s="1"/>
  <c r="BD45" i="77" s="1"/>
  <c r="L46" i="77"/>
  <c r="Z46" i="77" s="1"/>
  <c r="AD46" i="77" s="1"/>
  <c r="AH46" i="77" s="1"/>
  <c r="AN46" i="77" s="1"/>
  <c r="AR46" i="77" s="1"/>
  <c r="AV46" i="77" s="1"/>
  <c r="BD46" i="77" s="1"/>
  <c r="L47" i="77"/>
  <c r="Z47" i="77" s="1"/>
  <c r="AD47" i="77" s="1"/>
  <c r="AH47" i="77" s="1"/>
  <c r="AN47" i="77" s="1"/>
  <c r="AR47" i="77" s="1"/>
  <c r="AV47" i="77" s="1"/>
  <c r="BD47" i="77" s="1"/>
  <c r="L48" i="77"/>
  <c r="L49" i="77"/>
  <c r="L50" i="77"/>
  <c r="Z50" i="77" s="1"/>
  <c r="AD50" i="77" s="1"/>
  <c r="AH50" i="77" s="1"/>
  <c r="AN50" i="77" s="1"/>
  <c r="AR50" i="77" s="1"/>
  <c r="AV50" i="77" s="1"/>
  <c r="BD50" i="77" s="1"/>
  <c r="L51" i="77"/>
  <c r="Z51" i="77" s="1"/>
  <c r="AD51" i="77" s="1"/>
  <c r="AH51" i="77" s="1"/>
  <c r="AN51" i="77" s="1"/>
  <c r="AR51" i="77" s="1"/>
  <c r="AV51" i="77" s="1"/>
  <c r="BD51" i="77" s="1"/>
  <c r="L52" i="77"/>
  <c r="Z52" i="77" s="1"/>
  <c r="AD52" i="77" s="1"/>
  <c r="AH52" i="77" s="1"/>
  <c r="AN52" i="77" s="1"/>
  <c r="AR52" i="77" s="1"/>
  <c r="AV52" i="77" s="1"/>
  <c r="BD52" i="77" s="1"/>
  <c r="L53" i="77"/>
  <c r="Z53" i="77" s="1"/>
  <c r="AD53" i="77" s="1"/>
  <c r="AH53" i="77" s="1"/>
  <c r="AN53" i="77" s="1"/>
  <c r="AR53" i="77" s="1"/>
  <c r="AV53" i="77" s="1"/>
  <c r="BD53" i="77" s="1"/>
  <c r="L54" i="77"/>
  <c r="Z54" i="77" s="1"/>
  <c r="AD54" i="77" s="1"/>
  <c r="AH54" i="77" s="1"/>
  <c r="AN54" i="77" s="1"/>
  <c r="AR54" i="77" s="1"/>
  <c r="AV54" i="77" s="1"/>
  <c r="BD54" i="77" s="1"/>
  <c r="L55" i="77"/>
  <c r="Z55" i="77" s="1"/>
  <c r="AD55" i="77" s="1"/>
  <c r="AH55" i="77" s="1"/>
  <c r="AN55" i="77" s="1"/>
  <c r="AR55" i="77" s="1"/>
  <c r="AV55" i="77" s="1"/>
  <c r="BD55" i="77" s="1"/>
  <c r="L56" i="77"/>
  <c r="Z56" i="77" s="1"/>
  <c r="AD56" i="77" s="1"/>
  <c r="AH56" i="77" s="1"/>
  <c r="AN56" i="77" s="1"/>
  <c r="AR56" i="77" s="1"/>
  <c r="AV56" i="77" s="1"/>
  <c r="BD56" i="77" s="1"/>
  <c r="L57" i="77"/>
  <c r="Z57" i="77" s="1"/>
  <c r="AD57" i="77" s="1"/>
  <c r="AH57" i="77" s="1"/>
  <c r="AN57" i="77" s="1"/>
  <c r="AR57" i="77" s="1"/>
  <c r="AV57" i="77" s="1"/>
  <c r="BD57" i="77" s="1"/>
  <c r="L59" i="77"/>
  <c r="Z59" i="77" s="1"/>
  <c r="AD59" i="77" s="1"/>
  <c r="AH59" i="77" s="1"/>
  <c r="AN59" i="77" s="1"/>
  <c r="AR59" i="77" s="1"/>
  <c r="AV59" i="77" s="1"/>
  <c r="BD59" i="77" s="1"/>
  <c r="L60" i="77"/>
  <c r="Z60" i="77" s="1"/>
  <c r="AD60" i="77" s="1"/>
  <c r="AH60" i="77" s="1"/>
  <c r="AN60" i="77" s="1"/>
  <c r="AR60" i="77" s="1"/>
  <c r="AV60" i="77" s="1"/>
  <c r="BD60" i="77" s="1"/>
  <c r="L61" i="77"/>
  <c r="Z61" i="77" s="1"/>
  <c r="AD61" i="77" s="1"/>
  <c r="AH61" i="77" s="1"/>
  <c r="AN61" i="77" s="1"/>
  <c r="AR61" i="77" s="1"/>
  <c r="AV61" i="77" s="1"/>
  <c r="BD61" i="77" s="1"/>
  <c r="L62" i="77"/>
  <c r="L63" i="77"/>
  <c r="AD64" i="77"/>
  <c r="AH64" i="77" s="1"/>
  <c r="AN64" i="77" s="1"/>
  <c r="AR64" i="77" s="1"/>
  <c r="AD65" i="77"/>
  <c r="AH65" i="77" s="1"/>
  <c r="AN65" i="77" s="1"/>
  <c r="AR65" i="77" s="1"/>
  <c r="AD69" i="77"/>
  <c r="AH69" i="77" s="1"/>
  <c r="AN69" i="77" s="1"/>
  <c r="AR69" i="77" s="1"/>
  <c r="AD74" i="77"/>
  <c r="AH74" i="77" s="1"/>
  <c r="AN74" i="77" s="1"/>
  <c r="AR74" i="77" s="1"/>
  <c r="AV74" i="77" s="1"/>
  <c r="AD75" i="77"/>
  <c r="AH75" i="77" s="1"/>
  <c r="AN75" i="77" s="1"/>
  <c r="AR75" i="77" s="1"/>
  <c r="AV75" i="77" s="1"/>
  <c r="M65" i="77"/>
  <c r="AA65" i="77" s="1"/>
  <c r="AE65" i="77" s="1"/>
  <c r="AI65" i="77" s="1"/>
  <c r="AO65" i="77" s="1"/>
  <c r="AS65" i="77" s="1"/>
  <c r="M66" i="77"/>
  <c r="AA66" i="77" s="1"/>
  <c r="AE66" i="77" s="1"/>
  <c r="AI66" i="77" s="1"/>
  <c r="AO66" i="77" s="1"/>
  <c r="AS66" i="77" s="1"/>
  <c r="M67" i="77"/>
  <c r="AA67" i="77" s="1"/>
  <c r="AE67" i="77" s="1"/>
  <c r="AI67" i="77" s="1"/>
  <c r="AO67" i="77" s="1"/>
  <c r="AS67" i="77" s="1"/>
  <c r="M68" i="77"/>
  <c r="AA68" i="77" s="1"/>
  <c r="AE68" i="77" s="1"/>
  <c r="AI68" i="77" s="1"/>
  <c r="AO68" i="77" s="1"/>
  <c r="AS68" i="77" s="1"/>
  <c r="M69" i="77"/>
  <c r="M72" i="77"/>
  <c r="M74" i="77"/>
  <c r="M75" i="77"/>
  <c r="M8" i="77"/>
  <c r="AA8" i="77" s="1"/>
  <c r="AE8" i="77" s="1"/>
  <c r="AI8" i="77" s="1"/>
  <c r="AO8" i="77" s="1"/>
  <c r="AS8" i="77" s="1"/>
  <c r="AW8" i="77" s="1"/>
  <c r="BE8" i="77" s="1"/>
  <c r="M9" i="77"/>
  <c r="AA9" i="77" s="1"/>
  <c r="AE9" i="77" s="1"/>
  <c r="AI9" i="77" s="1"/>
  <c r="AO9" i="77" s="1"/>
  <c r="AS9" i="77" s="1"/>
  <c r="AW9" i="77" s="1"/>
  <c r="BE9" i="77" s="1"/>
  <c r="M10" i="77"/>
  <c r="M11" i="77"/>
  <c r="AA11" i="77" s="1"/>
  <c r="AE11" i="77" s="1"/>
  <c r="AI11" i="77" s="1"/>
  <c r="AO11" i="77" s="1"/>
  <c r="AS11" i="77" s="1"/>
  <c r="AW11" i="77" s="1"/>
  <c r="BE11" i="77" s="1"/>
  <c r="M14" i="77"/>
  <c r="AA14" i="77" s="1"/>
  <c r="AE14" i="77" s="1"/>
  <c r="AI14" i="77" s="1"/>
  <c r="AO14" i="77" s="1"/>
  <c r="AS14" i="77" s="1"/>
  <c r="AW14" i="77" s="1"/>
  <c r="BE14" i="77" s="1"/>
  <c r="M15" i="77"/>
  <c r="AA15" i="77" s="1"/>
  <c r="AE15" i="77" s="1"/>
  <c r="AI15" i="77" s="1"/>
  <c r="AO15" i="77" s="1"/>
  <c r="AS15" i="77" s="1"/>
  <c r="AW15" i="77" s="1"/>
  <c r="BE15" i="77" s="1"/>
  <c r="M16" i="77"/>
  <c r="M17" i="77"/>
  <c r="AA17" i="77" s="1"/>
  <c r="AE17" i="77" s="1"/>
  <c r="AI17" i="77" s="1"/>
  <c r="AO17" i="77" s="1"/>
  <c r="AS17" i="77" s="1"/>
  <c r="AW17" i="77" s="1"/>
  <c r="BE17" i="77" s="1"/>
  <c r="M19" i="77"/>
  <c r="M20" i="77"/>
  <c r="AA20" i="77" s="1"/>
  <c r="AE20" i="77" s="1"/>
  <c r="M21" i="77"/>
  <c r="AA21" i="77" s="1"/>
  <c r="AE21" i="77" s="1"/>
  <c r="AI21" i="77" s="1"/>
  <c r="AO21" i="77" s="1"/>
  <c r="AS21" i="77" s="1"/>
  <c r="AW21" i="77" s="1"/>
  <c r="BE21" i="77" s="1"/>
  <c r="M22" i="77"/>
  <c r="AA22" i="77" s="1"/>
  <c r="AE22" i="77" s="1"/>
  <c r="AI22" i="77" s="1"/>
  <c r="AO22" i="77" s="1"/>
  <c r="AS22" i="77" s="1"/>
  <c r="AW22" i="77" s="1"/>
  <c r="BE22" i="77" s="1"/>
  <c r="M24" i="77"/>
  <c r="M25" i="77"/>
  <c r="AA25" i="77" s="1"/>
  <c r="AE25" i="77" s="1"/>
  <c r="AI25" i="77" s="1"/>
  <c r="AO25" i="77" s="1"/>
  <c r="AS25" i="77" s="1"/>
  <c r="AW25" i="77" s="1"/>
  <c r="BE25" i="77" s="1"/>
  <c r="M26" i="77"/>
  <c r="AA26" i="77" s="1"/>
  <c r="AE26" i="77" s="1"/>
  <c r="AI26" i="77" s="1"/>
  <c r="AO26" i="77" s="1"/>
  <c r="AS26" i="77" s="1"/>
  <c r="AW26" i="77" s="1"/>
  <c r="BE26" i="77" s="1"/>
  <c r="M27" i="77"/>
  <c r="AA27" i="77" s="1"/>
  <c r="AE27" i="77" s="1"/>
  <c r="AI27" i="77" s="1"/>
  <c r="AO27" i="77" s="1"/>
  <c r="AS27" i="77" s="1"/>
  <c r="AW27" i="77" s="1"/>
  <c r="BE27" i="77" s="1"/>
  <c r="M28" i="77"/>
  <c r="AA28" i="77" s="1"/>
  <c r="AE28" i="77" s="1"/>
  <c r="AI28" i="77" s="1"/>
  <c r="AO28" i="77" s="1"/>
  <c r="AS28" i="77" s="1"/>
  <c r="AW28" i="77" s="1"/>
  <c r="BE28" i="77" s="1"/>
  <c r="M30" i="77"/>
  <c r="M31" i="77"/>
  <c r="AA31" i="77" s="1"/>
  <c r="AE31" i="77" s="1"/>
  <c r="AI31" i="77" s="1"/>
  <c r="AO31" i="77" s="1"/>
  <c r="AS31" i="77" s="1"/>
  <c r="AW31" i="77" s="1"/>
  <c r="BE31" i="77" s="1"/>
  <c r="M34" i="77"/>
  <c r="M35" i="77"/>
  <c r="AA35" i="77" s="1"/>
  <c r="AE35" i="77" s="1"/>
  <c r="AI35" i="77" s="1"/>
  <c r="AO35" i="77" s="1"/>
  <c r="AS35" i="77" s="1"/>
  <c r="AW35" i="77" s="1"/>
  <c r="BE35" i="77" s="1"/>
  <c r="M36" i="77"/>
  <c r="AA36" i="77" s="1"/>
  <c r="AE36" i="77" s="1"/>
  <c r="AI36" i="77" s="1"/>
  <c r="AO36" i="77" s="1"/>
  <c r="AS36" i="77" s="1"/>
  <c r="AW36" i="77" s="1"/>
  <c r="BE36" i="77" s="1"/>
  <c r="M37" i="77"/>
  <c r="AA37" i="77" s="1"/>
  <c r="AE37" i="77" s="1"/>
  <c r="AI37" i="77" s="1"/>
  <c r="AO37" i="77" s="1"/>
  <c r="AS37" i="77" s="1"/>
  <c r="AW37" i="77" s="1"/>
  <c r="BE37" i="77" s="1"/>
  <c r="M38" i="77"/>
  <c r="AA38" i="77" s="1"/>
  <c r="AE38" i="77" s="1"/>
  <c r="AI38" i="77" s="1"/>
  <c r="AO38" i="77" s="1"/>
  <c r="AS38" i="77" s="1"/>
  <c r="AW38" i="77" s="1"/>
  <c r="BE38" i="77" s="1"/>
  <c r="M39" i="77"/>
  <c r="M40" i="77"/>
  <c r="AA40" i="77" s="1"/>
  <c r="AE40" i="77" s="1"/>
  <c r="AI40" i="77" s="1"/>
  <c r="AO40" i="77" s="1"/>
  <c r="AS40" i="77" s="1"/>
  <c r="AW40" i="77" s="1"/>
  <c r="BE40" i="77" s="1"/>
  <c r="M41" i="77"/>
  <c r="AA41" i="77" s="1"/>
  <c r="AE41" i="77" s="1"/>
  <c r="AI41" i="77" s="1"/>
  <c r="AO41" i="77" s="1"/>
  <c r="AS41" i="77" s="1"/>
  <c r="AW41" i="77" s="1"/>
  <c r="BE41" i="77" s="1"/>
  <c r="M42" i="77"/>
  <c r="AA42" i="77" s="1"/>
  <c r="AE42" i="77" s="1"/>
  <c r="AI42" i="77" s="1"/>
  <c r="AO42" i="77" s="1"/>
  <c r="AS42" i="77" s="1"/>
  <c r="AW42" i="77" s="1"/>
  <c r="BE42" i="77" s="1"/>
  <c r="M44" i="77"/>
  <c r="AA44" i="77" s="1"/>
  <c r="AE44" i="77" s="1"/>
  <c r="AI44" i="77" s="1"/>
  <c r="AO44" i="77" s="1"/>
  <c r="AS44" i="77" s="1"/>
  <c r="AW44" i="77" s="1"/>
  <c r="BE44" i="77" s="1"/>
  <c r="M45" i="77"/>
  <c r="AA45" i="77" s="1"/>
  <c r="AE45" i="77" s="1"/>
  <c r="AI45" i="77" s="1"/>
  <c r="AO45" i="77" s="1"/>
  <c r="AS45" i="77" s="1"/>
  <c r="AW45" i="77" s="1"/>
  <c r="BE45" i="77" s="1"/>
  <c r="M46" i="77"/>
  <c r="AA46" i="77" s="1"/>
  <c r="AE46" i="77" s="1"/>
  <c r="AI46" i="77" s="1"/>
  <c r="AO46" i="77" s="1"/>
  <c r="AS46" i="77" s="1"/>
  <c r="AW46" i="77" s="1"/>
  <c r="BE46" i="77" s="1"/>
  <c r="M47" i="77"/>
  <c r="AA47" i="77" s="1"/>
  <c r="AE47" i="77" s="1"/>
  <c r="AI47" i="77" s="1"/>
  <c r="AO47" i="77" s="1"/>
  <c r="AS47" i="77" s="1"/>
  <c r="AW47" i="77" s="1"/>
  <c r="BE47" i="77" s="1"/>
  <c r="M48" i="77"/>
  <c r="M49" i="77"/>
  <c r="M50" i="77"/>
  <c r="AA50" i="77" s="1"/>
  <c r="AE50" i="77" s="1"/>
  <c r="AI50" i="77" s="1"/>
  <c r="AO50" i="77" s="1"/>
  <c r="AS50" i="77" s="1"/>
  <c r="AW50" i="77" s="1"/>
  <c r="BE50" i="77" s="1"/>
  <c r="M51" i="77"/>
  <c r="AA51" i="77" s="1"/>
  <c r="AE51" i="77" s="1"/>
  <c r="AI51" i="77" s="1"/>
  <c r="AO51" i="77" s="1"/>
  <c r="AS51" i="77" s="1"/>
  <c r="AW51" i="77" s="1"/>
  <c r="BE51" i="77" s="1"/>
  <c r="M52" i="77"/>
  <c r="AA52" i="77" s="1"/>
  <c r="AE52" i="77" s="1"/>
  <c r="AI52" i="77" s="1"/>
  <c r="AO52" i="77" s="1"/>
  <c r="AS52" i="77" s="1"/>
  <c r="AW52" i="77" s="1"/>
  <c r="BE52" i="77" s="1"/>
  <c r="M53" i="77"/>
  <c r="AA53" i="77" s="1"/>
  <c r="AE53" i="77" s="1"/>
  <c r="AI53" i="77" s="1"/>
  <c r="AO53" i="77" s="1"/>
  <c r="AS53" i="77" s="1"/>
  <c r="AW53" i="77" s="1"/>
  <c r="BE53" i="77" s="1"/>
  <c r="M54" i="77"/>
  <c r="AA54" i="77" s="1"/>
  <c r="AE54" i="77" s="1"/>
  <c r="AI54" i="77" s="1"/>
  <c r="AO54" i="77" s="1"/>
  <c r="AS54" i="77" s="1"/>
  <c r="AW54" i="77" s="1"/>
  <c r="BE54" i="77" s="1"/>
  <c r="M55" i="77"/>
  <c r="AA55" i="77" s="1"/>
  <c r="AE55" i="77" s="1"/>
  <c r="AI55" i="77" s="1"/>
  <c r="AO55" i="77" s="1"/>
  <c r="AS55" i="77" s="1"/>
  <c r="AW55" i="77" s="1"/>
  <c r="BE55" i="77" s="1"/>
  <c r="M56" i="77"/>
  <c r="AA56" i="77" s="1"/>
  <c r="AE56" i="77" s="1"/>
  <c r="AI56" i="77" s="1"/>
  <c r="AO56" i="77" s="1"/>
  <c r="AS56" i="77" s="1"/>
  <c r="AW56" i="77" s="1"/>
  <c r="BE56" i="77" s="1"/>
  <c r="M57" i="77"/>
  <c r="AA57" i="77" s="1"/>
  <c r="AE57" i="77" s="1"/>
  <c r="AI57" i="77" s="1"/>
  <c r="AO57" i="77" s="1"/>
  <c r="AS57" i="77" s="1"/>
  <c r="AW57" i="77" s="1"/>
  <c r="BE57" i="77" s="1"/>
  <c r="M59" i="77"/>
  <c r="AA59" i="77" s="1"/>
  <c r="AE59" i="77" s="1"/>
  <c r="AI59" i="77" s="1"/>
  <c r="AO59" i="77" s="1"/>
  <c r="AS59" i="77" s="1"/>
  <c r="AW59" i="77" s="1"/>
  <c r="BE59" i="77" s="1"/>
  <c r="M60" i="77"/>
  <c r="AA60" i="77" s="1"/>
  <c r="AE60" i="77" s="1"/>
  <c r="AI60" i="77" s="1"/>
  <c r="AO60" i="77" s="1"/>
  <c r="AS60" i="77" s="1"/>
  <c r="AW60" i="77" s="1"/>
  <c r="BE60" i="77" s="1"/>
  <c r="M61" i="77"/>
  <c r="AA61" i="77" s="1"/>
  <c r="AE61" i="77" s="1"/>
  <c r="AI61" i="77" s="1"/>
  <c r="AO61" i="77" s="1"/>
  <c r="AS61" i="77" s="1"/>
  <c r="AW61" i="77" s="1"/>
  <c r="BE61" i="77" s="1"/>
  <c r="M62" i="77"/>
  <c r="M63" i="77"/>
  <c r="M5" i="77"/>
  <c r="AA5" i="77" s="1"/>
  <c r="AE5" i="77" s="1"/>
  <c r="AI5" i="77" s="1"/>
  <c r="AO5" i="77" s="1"/>
  <c r="M6" i="77"/>
  <c r="AA6" i="77" s="1"/>
  <c r="AE6" i="77" s="1"/>
  <c r="AI6" i="77" s="1"/>
  <c r="AO6" i="77" s="1"/>
  <c r="AS6" i="77" s="1"/>
  <c r="AW6" i="77" s="1"/>
  <c r="BE6" i="77" s="1"/>
  <c r="Z7" i="24"/>
  <c r="Z8" i="24"/>
  <c r="Y7" i="24"/>
  <c r="Y8" i="24"/>
  <c r="Z6" i="52"/>
  <c r="Z7" i="52"/>
  <c r="Z10" i="52"/>
  <c r="Z11" i="52"/>
  <c r="Z12" i="52"/>
  <c r="Z13" i="52"/>
  <c r="Z14" i="52"/>
  <c r="Z15" i="52"/>
  <c r="Y10" i="52"/>
  <c r="Y11" i="52"/>
  <c r="Y12" i="52"/>
  <c r="Y13" i="52"/>
  <c r="Y14" i="52"/>
  <c r="Y15" i="52"/>
  <c r="Y6" i="52"/>
  <c r="Y7" i="52"/>
  <c r="X16" i="52"/>
  <c r="W16" i="52"/>
  <c r="X8" i="52"/>
  <c r="W8" i="52"/>
  <c r="W17" i="52" s="1"/>
  <c r="W37" i="27"/>
  <c r="W35" i="27"/>
  <c r="W29" i="27"/>
  <c r="W27" i="27"/>
  <c r="W20" i="27"/>
  <c r="W19" i="27"/>
  <c r="W18" i="27"/>
  <c r="AA39" i="77" l="1"/>
  <c r="Z39" i="77"/>
  <c r="Z63" i="77"/>
  <c r="AA62" i="77"/>
  <c r="AA72" i="77"/>
  <c r="Z62" i="77"/>
  <c r="AA48" i="77"/>
  <c r="Z48" i="77"/>
  <c r="AA63" i="77"/>
  <c r="AE72" i="77"/>
  <c r="AA114" i="77"/>
  <c r="AI72" i="77"/>
  <c r="AE114" i="77"/>
  <c r="AY60" i="83"/>
  <c r="BE60" i="83"/>
  <c r="AW68" i="77"/>
  <c r="BE68" i="77" s="1"/>
  <c r="AW67" i="77"/>
  <c r="BE67" i="77" s="1"/>
  <c r="AW66" i="77"/>
  <c r="BE66" i="77" s="1"/>
  <c r="AV65" i="77"/>
  <c r="AW65" i="77"/>
  <c r="BE65" i="77" s="1"/>
  <c r="AV64" i="77"/>
  <c r="AS5" i="77"/>
  <c r="AW5" i="77" s="1"/>
  <c r="BE5" i="77" s="1"/>
  <c r="AA34" i="77"/>
  <c r="M43" i="77"/>
  <c r="Z16" i="77"/>
  <c r="L18" i="77"/>
  <c r="AA16" i="77"/>
  <c r="M18" i="77"/>
  <c r="AA10" i="77"/>
  <c r="Z49" i="77"/>
  <c r="L58" i="77"/>
  <c r="Z30" i="77"/>
  <c r="L33" i="77"/>
  <c r="Z10" i="77"/>
  <c r="L13" i="77"/>
  <c r="AA49" i="77"/>
  <c r="M58" i="77"/>
  <c r="AA30" i="77"/>
  <c r="M33" i="77"/>
  <c r="AI20" i="77"/>
  <c r="AO20" i="77" s="1"/>
  <c r="AS20" i="77" s="1"/>
  <c r="AW20" i="77" s="1"/>
  <c r="BE20" i="77" s="1"/>
  <c r="Z24" i="77"/>
  <c r="L29" i="77"/>
  <c r="Z19" i="77"/>
  <c r="L23" i="77"/>
  <c r="AA24" i="77"/>
  <c r="M29" i="77"/>
  <c r="AA19" i="77"/>
  <c r="M23" i="77"/>
  <c r="Z34" i="77"/>
  <c r="L43" i="77"/>
  <c r="AR27" i="77"/>
  <c r="AV27" i="77" s="1"/>
  <c r="BD27" i="77" s="1"/>
  <c r="AA75" i="77"/>
  <c r="AE75" i="77" s="1"/>
  <c r="AI75" i="77" s="1"/>
  <c r="AO75" i="77" s="1"/>
  <c r="AS75" i="77" s="1"/>
  <c r="AA69" i="77"/>
  <c r="AE69" i="77" s="1"/>
  <c r="AI69" i="77" s="1"/>
  <c r="AO69" i="77" s="1"/>
  <c r="AS69" i="77" s="1"/>
  <c r="AW69" i="77" s="1"/>
  <c r="BE69" i="77" s="1"/>
  <c r="BG19" i="50"/>
  <c r="AA74" i="77"/>
  <c r="AE74" i="77" s="1"/>
  <c r="AI74" i="77" s="1"/>
  <c r="AO74" i="77" s="1"/>
  <c r="AS74" i="77" s="1"/>
  <c r="AW74" i="77" s="1"/>
  <c r="BE74" i="77" s="1"/>
  <c r="X17" i="52"/>
  <c r="AD62" i="77" l="1"/>
  <c r="AD63" i="77"/>
  <c r="AE62" i="77"/>
  <c r="AE63" i="77"/>
  <c r="AD48" i="77"/>
  <c r="AD39" i="77"/>
  <c r="AE48" i="77"/>
  <c r="AE39" i="77"/>
  <c r="AO72" i="77"/>
  <c r="AI114" i="77"/>
  <c r="AW75" i="77"/>
  <c r="BE75" i="77" s="1"/>
  <c r="AD16" i="77"/>
  <c r="Z18" i="77"/>
  <c r="AD34" i="77"/>
  <c r="AD108" i="77" s="1"/>
  <c r="Z43" i="77"/>
  <c r="AE24" i="77"/>
  <c r="AA29" i="77"/>
  <c r="AD24" i="77"/>
  <c r="Z29" i="77"/>
  <c r="AE30" i="77"/>
  <c r="AA33" i="77"/>
  <c r="AD10" i="77"/>
  <c r="Z13" i="77"/>
  <c r="AD49" i="77"/>
  <c r="Z58" i="77"/>
  <c r="AE16" i="77"/>
  <c r="AA18" i="77"/>
  <c r="AE34" i="77"/>
  <c r="AA43" i="77"/>
  <c r="AE19" i="77"/>
  <c r="AA23" i="77"/>
  <c r="AD19" i="77"/>
  <c r="Z23" i="77"/>
  <c r="AE49" i="77"/>
  <c r="AA58" i="77"/>
  <c r="AD30" i="77"/>
  <c r="Z33" i="77"/>
  <c r="AE10" i="77"/>
  <c r="Y59" i="26"/>
  <c r="Y60" i="26"/>
  <c r="Y61" i="26"/>
  <c r="Y62" i="26"/>
  <c r="Y63" i="26"/>
  <c r="Y64" i="26"/>
  <c r="Y65" i="26"/>
  <c r="Y66" i="26"/>
  <c r="Y67" i="26"/>
  <c r="Y68" i="26"/>
  <c r="Y69" i="26"/>
  <c r="Y70" i="26"/>
  <c r="Y71" i="26"/>
  <c r="Y72" i="26"/>
  <c r="Y73" i="26"/>
  <c r="Y85" i="26"/>
  <c r="Y86" i="26"/>
  <c r="Y87" i="26"/>
  <c r="Y88" i="26"/>
  <c r="W14" i="26"/>
  <c r="V39" i="27"/>
  <c r="W36" i="27"/>
  <c r="W39" i="27" s="1"/>
  <c r="V33" i="27"/>
  <c r="W28" i="27"/>
  <c r="W26" i="27"/>
  <c r="W21" i="27"/>
  <c r="W24" i="27" s="1"/>
  <c r="V21" i="27"/>
  <c r="V24" i="27" s="1"/>
  <c r="AE108" i="77" l="1"/>
  <c r="AI62" i="77"/>
  <c r="AE110" i="77"/>
  <c r="AI39" i="77"/>
  <c r="AE109" i="77"/>
  <c r="AI48" i="77"/>
  <c r="AE111" i="77"/>
  <c r="AH63" i="77"/>
  <c r="AD112" i="77"/>
  <c r="AH39" i="77"/>
  <c r="AD109" i="77"/>
  <c r="AH48" i="77"/>
  <c r="AD111" i="77"/>
  <c r="AI63" i="77"/>
  <c r="AE112" i="77"/>
  <c r="AH62" i="77"/>
  <c r="AD110" i="77"/>
  <c r="AS72" i="77"/>
  <c r="AO114" i="77"/>
  <c r="AH49" i="77"/>
  <c r="AD58" i="77"/>
  <c r="AH19" i="77"/>
  <c r="AD23" i="77"/>
  <c r="AD103" i="77" s="1"/>
  <c r="AI10" i="77"/>
  <c r="AI49" i="77"/>
  <c r="AE58" i="77"/>
  <c r="AI19" i="77"/>
  <c r="AE23" i="77"/>
  <c r="AE103" i="77" s="1"/>
  <c r="AI16" i="77"/>
  <c r="AE18" i="77"/>
  <c r="AH10" i="77"/>
  <c r="AD13" i="77"/>
  <c r="AD101" i="77" s="1"/>
  <c r="AH24" i="77"/>
  <c r="AD29" i="77"/>
  <c r="AH34" i="77"/>
  <c r="AH108" i="77" s="1"/>
  <c r="AD43" i="77"/>
  <c r="AI30" i="77"/>
  <c r="AE33" i="77"/>
  <c r="AE106" i="77" s="1"/>
  <c r="AH30" i="77"/>
  <c r="AD33" i="77"/>
  <c r="AD106" i="77" s="1"/>
  <c r="AE43" i="77"/>
  <c r="AI34" i="77"/>
  <c r="AI24" i="77"/>
  <c r="AE29" i="77"/>
  <c r="AD18" i="77"/>
  <c r="AH16" i="77"/>
  <c r="W33" i="27"/>
  <c r="Z31" i="22"/>
  <c r="Z18" i="22"/>
  <c r="Z7" i="22"/>
  <c r="X28" i="22"/>
  <c r="X24" i="22"/>
  <c r="X23" i="22"/>
  <c r="X14" i="22"/>
  <c r="X10" i="22"/>
  <c r="X9" i="22"/>
  <c r="AO48" i="77" l="1"/>
  <c r="AI111" i="77"/>
  <c r="AO63" i="77"/>
  <c r="AI112" i="77"/>
  <c r="AO39" i="77"/>
  <c r="AI109" i="77"/>
  <c r="AO62" i="77"/>
  <c r="AI110" i="77"/>
  <c r="AD104" i="77"/>
  <c r="AD102" i="77"/>
  <c r="AD105" i="77"/>
  <c r="AD107" i="77" s="1"/>
  <c r="AN48" i="77"/>
  <c r="AH111" i="77"/>
  <c r="AE105" i="77"/>
  <c r="AE107" i="77" s="1"/>
  <c r="AN39" i="77"/>
  <c r="AH109" i="77"/>
  <c r="AN62" i="77"/>
  <c r="AH110" i="77"/>
  <c r="AI108" i="77"/>
  <c r="AE102" i="77"/>
  <c r="AE104" i="77"/>
  <c r="AN63" i="77"/>
  <c r="AH112" i="77"/>
  <c r="AW72" i="77"/>
  <c r="AS114" i="77"/>
  <c r="AO24" i="77"/>
  <c r="AI29" i="77"/>
  <c r="AN10" i="77"/>
  <c r="AH13" i="77"/>
  <c r="AH101" i="77" s="1"/>
  <c r="AN49" i="77"/>
  <c r="AH58" i="77"/>
  <c r="AH18" i="77"/>
  <c r="AN16" i="77"/>
  <c r="AO34" i="77"/>
  <c r="AO108" i="77" s="1"/>
  <c r="AI43" i="77"/>
  <c r="AN34" i="77"/>
  <c r="AH43" i="77"/>
  <c r="AO19" i="77"/>
  <c r="AI23" i="77"/>
  <c r="AI103" i="77" s="1"/>
  <c r="AO30" i="77"/>
  <c r="AI33" i="77"/>
  <c r="AI106" i="77" s="1"/>
  <c r="AN24" i="77"/>
  <c r="AH29" i="77"/>
  <c r="AI18" i="77"/>
  <c r="AO16" i="77"/>
  <c r="AO49" i="77"/>
  <c r="AI58" i="77"/>
  <c r="AN19" i="77"/>
  <c r="AH23" i="77"/>
  <c r="AH103" i="77" s="1"/>
  <c r="AN30" i="77"/>
  <c r="AH33" i="77"/>
  <c r="AH106" i="77" s="1"/>
  <c r="AO10" i="77"/>
  <c r="Z19" i="22"/>
  <c r="Z23" i="22"/>
  <c r="Z9" i="22"/>
  <c r="X26" i="22"/>
  <c r="Z16" i="22"/>
  <c r="X12" i="22"/>
  <c r="Z30" i="22"/>
  <c r="Z17" i="22"/>
  <c r="Z14" i="22"/>
  <c r="AN108" i="77" l="1"/>
  <c r="AR62" i="77"/>
  <c r="AN110" i="77"/>
  <c r="AS62" i="77"/>
  <c r="AO110" i="77"/>
  <c r="AH102" i="77"/>
  <c r="AH104" i="77"/>
  <c r="AI105" i="77"/>
  <c r="AI107" i="77" s="1"/>
  <c r="AR39" i="77"/>
  <c r="AN109" i="77"/>
  <c r="AS39" i="77"/>
  <c r="AO109" i="77"/>
  <c r="AI102" i="77"/>
  <c r="AI104" i="77"/>
  <c r="AR63" i="77"/>
  <c r="AN112" i="77"/>
  <c r="AS63" i="77"/>
  <c r="AO112" i="77"/>
  <c r="AH105" i="77"/>
  <c r="AH107" i="77" s="1"/>
  <c r="AR48" i="77"/>
  <c r="AN111" i="77"/>
  <c r="AS48" i="77"/>
  <c r="AO111" i="77"/>
  <c r="AW114" i="77"/>
  <c r="BE72" i="77"/>
  <c r="BE114" i="77" s="1"/>
  <c r="F135" i="77" s="1"/>
  <c r="AS19" i="77"/>
  <c r="AO23" i="77"/>
  <c r="AO103" i="77" s="1"/>
  <c r="AS16" i="77"/>
  <c r="AO18" i="77"/>
  <c r="AR16" i="77"/>
  <c r="AN18" i="77"/>
  <c r="AO58" i="77"/>
  <c r="AS49" i="77"/>
  <c r="AS34" i="77"/>
  <c r="AS108" i="77" s="1"/>
  <c r="AO43" i="77"/>
  <c r="AS10" i="77"/>
  <c r="AW10" i="77" s="1"/>
  <c r="BE10" i="77" s="1"/>
  <c r="AR19" i="77"/>
  <c r="AN23" i="77"/>
  <c r="AN103" i="77" s="1"/>
  <c r="AS30" i="77"/>
  <c r="AO33" i="77"/>
  <c r="AO106" i="77" s="1"/>
  <c r="AR34" i="77"/>
  <c r="AR108" i="77" s="1"/>
  <c r="AN43" i="77"/>
  <c r="AN13" i="77"/>
  <c r="AN101" i="77" s="1"/>
  <c r="AR10" i="77"/>
  <c r="AN33" i="77"/>
  <c r="AN106" i="77" s="1"/>
  <c r="AR30" i="77"/>
  <c r="AR24" i="77"/>
  <c r="AN29" i="77"/>
  <c r="AR49" i="77"/>
  <c r="AN58" i="77"/>
  <c r="AS24" i="77"/>
  <c r="AO29" i="77"/>
  <c r="V322" i="28"/>
  <c r="W30" i="15"/>
  <c r="W29" i="15"/>
  <c r="W28" i="15"/>
  <c r="W24" i="15"/>
  <c r="W23" i="15"/>
  <c r="W22" i="15"/>
  <c r="W21" i="15"/>
  <c r="W20" i="15"/>
  <c r="V18" i="15"/>
  <c r="W17" i="15"/>
  <c r="V17" i="15"/>
  <c r="W14" i="15"/>
  <c r="V11" i="15"/>
  <c r="V12" i="15" s="1"/>
  <c r="W10" i="15"/>
  <c r="W9" i="15"/>
  <c r="V9" i="15"/>
  <c r="W8" i="15"/>
  <c r="V8" i="15"/>
  <c r="W7" i="15"/>
  <c r="W6" i="15"/>
  <c r="W5" i="15"/>
  <c r="AW48" i="77" l="1"/>
  <c r="AS111" i="77"/>
  <c r="AW39" i="77"/>
  <c r="AS109" i="77"/>
  <c r="AV48" i="77"/>
  <c r="AR111" i="77"/>
  <c r="AV39" i="77"/>
  <c r="AR109" i="77"/>
  <c r="AN104" i="77"/>
  <c r="AN102" i="77"/>
  <c r="AO104" i="77"/>
  <c r="AO102" i="77"/>
  <c r="AO105" i="77"/>
  <c r="AO107" i="77" s="1"/>
  <c r="AW63" i="77"/>
  <c r="AS112" i="77"/>
  <c r="AV63" i="77"/>
  <c r="AR112" i="77"/>
  <c r="AW62" i="77"/>
  <c r="AS110" i="77"/>
  <c r="AN105" i="77"/>
  <c r="AN107" i="77" s="1"/>
  <c r="AV62" i="77"/>
  <c r="AR110" i="77"/>
  <c r="AR23" i="77"/>
  <c r="AR103" i="77" s="1"/>
  <c r="AV19" i="77"/>
  <c r="AR58" i="77"/>
  <c r="AV49" i="77"/>
  <c r="AR29" i="77"/>
  <c r="AV24" i="77"/>
  <c r="AR13" i="77"/>
  <c r="AR101" i="77" s="1"/>
  <c r="AV10" i="77"/>
  <c r="AS18" i="77"/>
  <c r="AW16" i="77"/>
  <c r="AR33" i="77"/>
  <c r="AR106" i="77" s="1"/>
  <c r="AV30" i="77"/>
  <c r="AS58" i="77"/>
  <c r="AW49" i="77"/>
  <c r="AR43" i="77"/>
  <c r="AV34" i="77"/>
  <c r="AV108" i="77" s="1"/>
  <c r="AS29" i="77"/>
  <c r="AW24" i="77"/>
  <c r="AS33" i="77"/>
  <c r="AS106" i="77" s="1"/>
  <c r="AW30" i="77"/>
  <c r="AS43" i="77"/>
  <c r="AW34" i="77"/>
  <c r="AW108" i="77" s="1"/>
  <c r="AR18" i="77"/>
  <c r="AV16" i="77"/>
  <c r="AS23" i="77"/>
  <c r="AS103" i="77" s="1"/>
  <c r="AW19" i="77"/>
  <c r="V14" i="15"/>
  <c r="V15" i="15" s="1"/>
  <c r="W31" i="15"/>
  <c r="W34" i="15" s="1"/>
  <c r="W15" i="15" s="1"/>
  <c r="W16" i="15" s="1"/>
  <c r="V255" i="28"/>
  <c r="V295" i="28"/>
  <c r="T310" i="28"/>
  <c r="X310" i="28"/>
  <c r="V309" i="28"/>
  <c r="AS104" i="77" l="1"/>
  <c r="AS102" i="77"/>
  <c r="AR102" i="77"/>
  <c r="AR104" i="77"/>
  <c r="BE62" i="77"/>
  <c r="BE110" i="77" s="1"/>
  <c r="F130" i="77" s="1"/>
  <c r="AW110" i="77"/>
  <c r="BD39" i="77"/>
  <c r="AV109" i="77"/>
  <c r="AS105" i="77"/>
  <c r="AS107" i="77" s="1"/>
  <c r="AR105" i="77"/>
  <c r="AR107" i="77" s="1"/>
  <c r="BD63" i="77"/>
  <c r="AV112" i="77"/>
  <c r="BD48" i="77"/>
  <c r="AV111" i="77"/>
  <c r="BD62" i="77"/>
  <c r="AV110" i="77"/>
  <c r="BE63" i="77"/>
  <c r="BE112" i="77" s="1"/>
  <c r="F126" i="77" s="1"/>
  <c r="AW112" i="77"/>
  <c r="BE39" i="77"/>
  <c r="BE109" i="77" s="1"/>
  <c r="F129" i="77" s="1"/>
  <c r="AW109" i="77"/>
  <c r="BE48" i="77"/>
  <c r="BE111" i="77" s="1"/>
  <c r="F127" i="77" s="1"/>
  <c r="AW111" i="77"/>
  <c r="AW18" i="77"/>
  <c r="BE16" i="77"/>
  <c r="BE18" i="77" s="1"/>
  <c r="AW58" i="77"/>
  <c r="BE49" i="77"/>
  <c r="BE58" i="77" s="1"/>
  <c r="AV58" i="77"/>
  <c r="BD49" i="77"/>
  <c r="BD58" i="77" s="1"/>
  <c r="AW43" i="77"/>
  <c r="BE34" i="77"/>
  <c r="BE108" i="77" s="1"/>
  <c r="F128" i="77" s="1"/>
  <c r="AV18" i="77"/>
  <c r="BD16" i="77"/>
  <c r="BD18" i="77" s="1"/>
  <c r="AV29" i="77"/>
  <c r="BD24" i="77"/>
  <c r="BD29" i="77" s="1"/>
  <c r="AW23" i="77"/>
  <c r="AW103" i="77" s="1"/>
  <c r="BE19" i="77"/>
  <c r="BE23" i="77" s="1"/>
  <c r="BE103" i="77" s="1"/>
  <c r="F123" i="77" s="1"/>
  <c r="AV23" i="77"/>
  <c r="AV103" i="77" s="1"/>
  <c r="BD19" i="77"/>
  <c r="BD23" i="77" s="1"/>
  <c r="AW29" i="77"/>
  <c r="BE24" i="77"/>
  <c r="BE29" i="77" s="1"/>
  <c r="AV33" i="77"/>
  <c r="AV106" i="77" s="1"/>
  <c r="BD30" i="77"/>
  <c r="BD33" i="77" s="1"/>
  <c r="AV43" i="77"/>
  <c r="BD34" i="77"/>
  <c r="AW33" i="77"/>
  <c r="AW106" i="77" s="1"/>
  <c r="BE30" i="77"/>
  <c r="BE33" i="77" s="1"/>
  <c r="BE106" i="77" s="1"/>
  <c r="F125" i="77" s="1"/>
  <c r="AV13" i="77"/>
  <c r="AV101" i="77" s="1"/>
  <c r="BD10" i="77"/>
  <c r="BD13" i="77" s="1"/>
  <c r="BD43" i="77" l="1"/>
  <c r="AW105" i="77"/>
  <c r="AW107" i="77" s="1"/>
  <c r="AV104" i="77"/>
  <c r="AV102" i="77"/>
  <c r="AV105" i="77"/>
  <c r="AV107" i="77" s="1"/>
  <c r="BE102" i="77"/>
  <c r="F122" i="77" s="1"/>
  <c r="BE104" i="77"/>
  <c r="BE105" i="77"/>
  <c r="AW102" i="77"/>
  <c r="AW104" i="77"/>
  <c r="BE43" i="77"/>
  <c r="V215" i="28"/>
  <c r="F124" i="77" l="1"/>
  <c r="BE107" i="77"/>
  <c r="Y91" i="17"/>
  <c r="AA91" i="17" s="1"/>
  <c r="AE91" i="17" s="1"/>
  <c r="AI91" i="17" s="1"/>
  <c r="AO91" i="17" s="1"/>
  <c r="AS91" i="17" s="1"/>
  <c r="Y87" i="17"/>
  <c r="Y45" i="17"/>
  <c r="Y41" i="17"/>
  <c r="AA41" i="17" s="1"/>
  <c r="AE41" i="17" s="1"/>
  <c r="Y39" i="17"/>
  <c r="AA39" i="17" s="1"/>
  <c r="AE39" i="17" s="1"/>
  <c r="Y37" i="17"/>
  <c r="X87" i="17"/>
  <c r="X19" i="17"/>
  <c r="V77" i="17"/>
  <c r="V43" i="17"/>
  <c r="AI39" i="17" l="1"/>
  <c r="AO39" i="17" s="1"/>
  <c r="AS39" i="17" s="1"/>
  <c r="AI41" i="17"/>
  <c r="AO41" i="17" s="1"/>
  <c r="AS41" i="17" s="1"/>
  <c r="Y43" i="17"/>
  <c r="AA43" i="17" s="1"/>
  <c r="AE43" i="17" s="1"/>
  <c r="AA37" i="17"/>
  <c r="AE37" i="17" s="1"/>
  <c r="W9" i="17"/>
  <c r="AI37" i="17" l="1"/>
  <c r="AO37" i="17" s="1"/>
  <c r="AS37" i="17" s="1"/>
  <c r="AI43" i="17"/>
  <c r="AO43" i="17" s="1"/>
  <c r="AS43" i="17" s="1"/>
  <c r="W76" i="17"/>
  <c r="W77" i="17" s="1"/>
  <c r="V113" i="17"/>
  <c r="W85" i="17"/>
  <c r="W84" i="17"/>
  <c r="W83" i="17"/>
  <c r="W82" i="17"/>
  <c r="W81" i="17"/>
  <c r="V81" i="17"/>
  <c r="W66" i="17"/>
  <c r="W68" i="17" s="1"/>
  <c r="V66" i="17"/>
  <c r="V68" i="17" s="1"/>
  <c r="V60" i="17"/>
  <c r="W58" i="17"/>
  <c r="W59" i="17" s="1"/>
  <c r="V57" i="17"/>
  <c r="V56" i="17"/>
  <c r="W51" i="17"/>
  <c r="W52" i="17" s="1"/>
  <c r="V51" i="17"/>
  <c r="V50" i="17"/>
  <c r="V54" i="17" s="1"/>
  <c r="W48" i="17"/>
  <c r="V47" i="17"/>
  <c r="W46" i="17"/>
  <c r="V45" i="17"/>
  <c r="W43" i="17"/>
  <c r="W49" i="17" s="1"/>
  <c r="W42" i="17"/>
  <c r="W40" i="17"/>
  <c r="W38" i="17"/>
  <c r="V34" i="17"/>
  <c r="W25" i="17"/>
  <c r="W21" i="17"/>
  <c r="V20" i="17"/>
  <c r="V18" i="17"/>
  <c r="V17" i="17"/>
  <c r="V15" i="17"/>
  <c r="V29" i="17" s="1"/>
  <c r="V14" i="17"/>
  <c r="W13" i="17"/>
  <c r="W11" i="17"/>
  <c r="W8" i="17"/>
  <c r="V8" i="17"/>
  <c r="V10" i="17" s="1"/>
  <c r="W112" i="17" l="1"/>
  <c r="V21" i="17"/>
  <c r="V31" i="17" s="1"/>
  <c r="W10" i="17"/>
  <c r="V58" i="17"/>
  <c r="W15" i="17"/>
  <c r="W30" i="17" s="1"/>
  <c r="Y58" i="17"/>
  <c r="W61" i="17"/>
  <c r="V112" i="17"/>
  <c r="V49" i="17"/>
  <c r="V110" i="17" s="1"/>
  <c r="V111" i="17"/>
  <c r="V115" i="17" s="1"/>
  <c r="W110" i="17"/>
  <c r="W50" i="17"/>
  <c r="W111" i="17" s="1"/>
  <c r="W53" i="17"/>
  <c r="W54" i="17" s="1"/>
  <c r="W44" i="17"/>
  <c r="Y21" i="17"/>
  <c r="V61" i="17"/>
  <c r="V59" i="17"/>
  <c r="V30" i="17"/>
  <c r="W12" i="17"/>
  <c r="W113" i="17" s="1"/>
  <c r="X198" i="28"/>
  <c r="X186" i="28"/>
  <c r="R135" i="28"/>
  <c r="V135" i="28" s="1"/>
  <c r="R136" i="28"/>
  <c r="V136" i="28" s="1"/>
  <c r="R151" i="28"/>
  <c r="V151" i="28" s="1"/>
  <c r="AA393" i="28"/>
  <c r="AA392" i="28"/>
  <c r="Y393" i="28"/>
  <c r="W393" i="28"/>
  <c r="Y392" i="28"/>
  <c r="W392" i="28"/>
  <c r="X384" i="28"/>
  <c r="W310" i="28"/>
  <c r="X299" i="28"/>
  <c r="X241" i="28"/>
  <c r="X380" i="28" s="1"/>
  <c r="W241" i="28"/>
  <c r="X235" i="28"/>
  <c r="X234" i="28"/>
  <c r="W234" i="28"/>
  <c r="X82" i="28"/>
  <c r="X81" i="28"/>
  <c r="X79" i="28"/>
  <c r="X75" i="28"/>
  <c r="X71" i="28"/>
  <c r="X67" i="28"/>
  <c r="W54" i="28"/>
  <c r="W53" i="28"/>
  <c r="W52" i="28"/>
  <c r="X47" i="28"/>
  <c r="X40" i="28"/>
  <c r="X31" i="28"/>
  <c r="X30" i="28"/>
  <c r="X29" i="28"/>
  <c r="X51" i="28" s="1"/>
  <c r="X28" i="28"/>
  <c r="X26" i="28"/>
  <c r="W21" i="28"/>
  <c r="X19" i="28"/>
  <c r="W14" i="28"/>
  <c r="W19" i="28" s="1"/>
  <c r="X12" i="28"/>
  <c r="W7" i="28"/>
  <c r="V33" i="17" l="1"/>
  <c r="W32" i="17"/>
  <c r="W31" i="17"/>
  <c r="W114" i="17"/>
  <c r="W29" i="17"/>
  <c r="V53" i="17"/>
  <c r="W33" i="17"/>
  <c r="X33" i="28"/>
  <c r="W115" i="17"/>
  <c r="W14" i="17"/>
  <c r="Y61" i="17"/>
  <c r="V114" i="17"/>
  <c r="R153" i="28"/>
  <c r="V153" i="28" s="1"/>
  <c r="X52" i="28"/>
  <c r="X236" i="28"/>
  <c r="X378" i="28" s="1"/>
  <c r="X58" i="28"/>
  <c r="X83" i="28"/>
  <c r="X53" i="28"/>
  <c r="X50" i="28"/>
  <c r="W26" i="28"/>
  <c r="X60" i="28"/>
  <c r="W236" i="28"/>
  <c r="W379" i="28" s="1"/>
  <c r="W235" i="28"/>
  <c r="W12" i="28"/>
  <c r="X59" i="28"/>
  <c r="X377" i="28"/>
  <c r="X392" i="28"/>
  <c r="W59" i="28"/>
  <c r="X54" i="28"/>
  <c r="X393" i="28"/>
  <c r="X376" i="28"/>
  <c r="X373" i="28"/>
  <c r="X381" i="28"/>
  <c r="W300" i="28" l="1"/>
  <c r="W383" i="28" s="1"/>
  <c r="X370" i="28"/>
  <c r="W371" i="28"/>
  <c r="W60" i="28"/>
  <c r="W73" i="28" s="1"/>
  <c r="X371" i="28"/>
  <c r="X379" i="28"/>
  <c r="X365" i="28"/>
  <c r="X364" i="28"/>
  <c r="X55" i="28"/>
  <c r="X386" i="28"/>
  <c r="X84" i="28"/>
  <c r="W58" i="28"/>
  <c r="W186" i="28"/>
  <c r="X375" i="28"/>
  <c r="X374" i="28"/>
  <c r="W69" i="28"/>
  <c r="X61" i="28"/>
  <c r="X387" i="28"/>
  <c r="X385" i="28"/>
  <c r="W65" i="28" l="1"/>
  <c r="W373" i="28" s="1"/>
  <c r="X56" i="28"/>
  <c r="W375" i="28"/>
  <c r="W382" i="28"/>
  <c r="W381" i="28"/>
  <c r="X62" i="28"/>
  <c r="W378" i="28"/>
  <c r="W377" i="28"/>
  <c r="W370" i="28"/>
  <c r="W374" i="28" l="1"/>
  <c r="U23" i="72"/>
  <c r="K22" i="72"/>
  <c r="W22" i="72"/>
  <c r="K27" i="72"/>
  <c r="K28" i="72"/>
  <c r="K29" i="72"/>
  <c r="K32" i="72"/>
  <c r="W27" i="72"/>
  <c r="W28" i="72"/>
  <c r="W29" i="72"/>
  <c r="W32" i="72"/>
  <c r="W37" i="72"/>
  <c r="W38" i="72"/>
  <c r="W39" i="72"/>
  <c r="W40" i="72"/>
  <c r="K37" i="72"/>
  <c r="K38" i="72"/>
  <c r="K39" i="72"/>
  <c r="K40" i="72"/>
  <c r="W14" i="72"/>
  <c r="K14" i="72"/>
  <c r="K8" i="72"/>
  <c r="K9" i="72"/>
  <c r="K10" i="72"/>
  <c r="K11" i="72"/>
  <c r="K12" i="72"/>
  <c r="K13" i="72"/>
  <c r="W8" i="72"/>
  <c r="W9" i="72"/>
  <c r="W10" i="72"/>
  <c r="W11" i="72"/>
  <c r="W12" i="72"/>
  <c r="W13" i="72"/>
  <c r="Y40" i="72" l="1"/>
  <c r="AC40" i="72" s="1"/>
  <c r="AG40" i="72" s="1"/>
  <c r="AM40" i="72" s="1"/>
  <c r="Y39" i="72"/>
  <c r="AC39" i="72" s="1"/>
  <c r="AG39" i="72" s="1"/>
  <c r="AM39" i="72" s="1"/>
  <c r="Y38" i="72"/>
  <c r="AC38" i="72" s="1"/>
  <c r="AG38" i="72" s="1"/>
  <c r="AM38" i="72" s="1"/>
  <c r="Y37" i="72"/>
  <c r="AC37" i="72" s="1"/>
  <c r="AG37" i="72" s="1"/>
  <c r="AM37" i="72" s="1"/>
  <c r="Y22" i="72"/>
  <c r="AC22" i="72" s="1"/>
  <c r="AG22" i="72" s="1"/>
  <c r="AM22" i="72" s="1"/>
  <c r="AC31" i="72"/>
  <c r="AG31" i="72" s="1"/>
  <c r="AM31" i="72" s="1"/>
  <c r="Y10" i="72"/>
  <c r="AC10" i="72" s="1"/>
  <c r="AG10" i="72" s="1"/>
  <c r="AM10" i="72" s="1"/>
  <c r="Y28" i="72"/>
  <c r="AC28" i="72" s="1"/>
  <c r="AG28" i="72" s="1"/>
  <c r="AM28" i="72" s="1"/>
  <c r="Y32" i="72"/>
  <c r="AC32" i="72" s="1"/>
  <c r="AG32" i="72" s="1"/>
  <c r="AM32" i="72" s="1"/>
  <c r="Y11" i="72"/>
  <c r="AC11" i="72" s="1"/>
  <c r="AG11" i="72" s="1"/>
  <c r="AM11" i="72" s="1"/>
  <c r="Y29" i="72"/>
  <c r="AC29" i="72" s="1"/>
  <c r="AG29" i="72" s="1"/>
  <c r="AM29" i="72" s="1"/>
  <c r="Y8" i="72"/>
  <c r="AC8" i="72" s="1"/>
  <c r="AG8" i="72" s="1"/>
  <c r="AM8" i="72" s="1"/>
  <c r="Y14" i="72"/>
  <c r="AC14" i="72" s="1"/>
  <c r="AG14" i="72" s="1"/>
  <c r="AM14" i="72" s="1"/>
  <c r="Y13" i="72"/>
  <c r="AC13" i="72" s="1"/>
  <c r="AG13" i="72" s="1"/>
  <c r="AM13" i="72" s="1"/>
  <c r="Y9" i="72"/>
  <c r="AC9" i="72" s="1"/>
  <c r="AG9" i="72" s="1"/>
  <c r="AM9" i="72" s="1"/>
  <c r="Y27" i="72"/>
  <c r="AC27" i="72" s="1"/>
  <c r="AG27" i="72" s="1"/>
  <c r="AM27" i="72" s="1"/>
  <c r="Y12" i="72"/>
  <c r="AC12" i="72" s="1"/>
  <c r="AG12" i="72" s="1"/>
  <c r="AM12" i="72" s="1"/>
  <c r="V16" i="11"/>
  <c r="V17" i="11"/>
  <c r="AA42" i="50"/>
  <c r="W54" i="45"/>
  <c r="AA95" i="45"/>
  <c r="AA94" i="45"/>
  <c r="AA100" i="45"/>
  <c r="AA99" i="45"/>
  <c r="AA104" i="45" s="1"/>
  <c r="Y73" i="45"/>
  <c r="W29" i="45"/>
  <c r="W28" i="45"/>
  <c r="W17" i="45"/>
  <c r="W11" i="45"/>
  <c r="K42" i="50" l="1"/>
  <c r="O42" i="50"/>
  <c r="S42" i="50" s="1"/>
  <c r="W42" i="50" s="1"/>
  <c r="K43" i="50"/>
  <c r="O43" i="50"/>
  <c r="S43" i="50" s="1"/>
  <c r="W43" i="50" s="1"/>
  <c r="AA44" i="50"/>
  <c r="K44" i="50"/>
  <c r="O44" i="50"/>
  <c r="S44" i="50" s="1"/>
  <c r="W44" i="50" s="1"/>
  <c r="AA43" i="50"/>
  <c r="AQ22" i="72"/>
  <c r="AU22" i="72" s="1"/>
  <c r="BC22" i="72" s="1"/>
  <c r="AQ37" i="72"/>
  <c r="AU37" i="72" s="1"/>
  <c r="BC37" i="72" s="1"/>
  <c r="AQ12" i="72"/>
  <c r="AU12" i="72" s="1"/>
  <c r="BC12" i="72" s="1"/>
  <c r="AQ32" i="72"/>
  <c r="AU32" i="72" s="1"/>
  <c r="BC32" i="72" s="1"/>
  <c r="AQ38" i="72"/>
  <c r="AU38" i="72" s="1"/>
  <c r="BC38" i="72" s="1"/>
  <c r="AQ31" i="72"/>
  <c r="AU31" i="72" s="1"/>
  <c r="BC31" i="72" s="1"/>
  <c r="AQ27" i="72"/>
  <c r="AU27" i="72" s="1"/>
  <c r="BC27" i="72" s="1"/>
  <c r="AQ28" i="72"/>
  <c r="AU28" i="72" s="1"/>
  <c r="BC28" i="72" s="1"/>
  <c r="AQ39" i="72"/>
  <c r="AU39" i="72" s="1"/>
  <c r="BC39" i="72" s="1"/>
  <c r="AQ8" i="72"/>
  <c r="AU8" i="72" s="1"/>
  <c r="BC8" i="72" s="1"/>
  <c r="AQ29" i="72"/>
  <c r="AU29" i="72" s="1"/>
  <c r="BC29" i="72" s="1"/>
  <c r="AQ11" i="72"/>
  <c r="AU11" i="72" s="1"/>
  <c r="BC11" i="72" s="1"/>
  <c r="AQ9" i="72"/>
  <c r="AU9" i="72" s="1"/>
  <c r="BC9" i="72" s="1"/>
  <c r="AQ13" i="72"/>
  <c r="AU13" i="72" s="1"/>
  <c r="BC13" i="72" s="1"/>
  <c r="AQ14" i="72"/>
  <c r="AU14" i="72" s="1"/>
  <c r="BC14" i="72" s="1"/>
  <c r="AQ10" i="72"/>
  <c r="AU10" i="72" s="1"/>
  <c r="BC10" i="72" s="1"/>
  <c r="AQ40" i="72"/>
  <c r="AU40" i="72" s="1"/>
  <c r="BC40" i="72" s="1"/>
  <c r="Y112" i="45"/>
  <c r="AA96" i="45"/>
  <c r="AC43" i="50" l="1"/>
  <c r="AG43" i="50" s="1"/>
  <c r="AK43" i="50" s="1"/>
  <c r="AQ43" i="50" s="1"/>
  <c r="AU43" i="50" s="1"/>
  <c r="AY43" i="50" s="1"/>
  <c r="AC44" i="50"/>
  <c r="AG44" i="50" s="1"/>
  <c r="AK44" i="50" s="1"/>
  <c r="AQ44" i="50" s="1"/>
  <c r="AU44" i="50" s="1"/>
  <c r="AY44" i="50" s="1"/>
  <c r="BG44" i="50" s="1"/>
  <c r="AC42" i="50"/>
  <c r="AG42" i="50" s="1"/>
  <c r="AK42" i="50" s="1"/>
  <c r="AQ42" i="50" s="1"/>
  <c r="AU42" i="50" s="1"/>
  <c r="AY42" i="50" s="1"/>
  <c r="BG42" i="50" s="1"/>
  <c r="BG43" i="50"/>
  <c r="AA103" i="45"/>
  <c r="AA52" i="59" l="1"/>
  <c r="Z23" i="59"/>
  <c r="AD22" i="59"/>
  <c r="AB22" i="59"/>
  <c r="Z22" i="59"/>
  <c r="AD15" i="59"/>
  <c r="AB15" i="59"/>
  <c r="Z15" i="59"/>
  <c r="Z16" i="21"/>
  <c r="Z17" i="21"/>
  <c r="Z19" i="21"/>
  <c r="X28" i="21"/>
  <c r="X24" i="21"/>
  <c r="X25" i="21" s="1"/>
  <c r="X18" i="21"/>
  <c r="X12" i="21"/>
  <c r="Y7" i="21"/>
  <c r="Z7" i="21"/>
  <c r="Y8" i="21"/>
  <c r="Z8" i="21"/>
  <c r="Y9" i="21"/>
  <c r="Z9" i="21"/>
  <c r="Y10" i="21"/>
  <c r="Z10" i="21"/>
  <c r="Y11" i="21"/>
  <c r="Z11" i="21"/>
  <c r="X390" i="28" l="1"/>
  <c r="X391" i="28"/>
  <c r="X20" i="21"/>
  <c r="M165" i="73" l="1"/>
  <c r="F171" i="73"/>
  <c r="H171" i="73"/>
  <c r="J171" i="73"/>
  <c r="L171" i="73"/>
  <c r="N171" i="73"/>
  <c r="P171" i="73"/>
  <c r="R171" i="73"/>
  <c r="T171" i="73"/>
  <c r="V171" i="73"/>
  <c r="X171" i="73"/>
  <c r="Z171" i="73"/>
  <c r="M163" i="73"/>
  <c r="M164" i="73"/>
  <c r="M166" i="73"/>
  <c r="M168" i="73"/>
  <c r="M169" i="73"/>
  <c r="M170" i="73"/>
  <c r="M62" i="73"/>
  <c r="AA62" i="73" s="1"/>
  <c r="I62" i="73"/>
  <c r="M63" i="73"/>
  <c r="AA63" i="73" s="1"/>
  <c r="I63" i="73"/>
  <c r="Q95" i="73"/>
  <c r="U95" i="73" s="1"/>
  <c r="I97" i="73"/>
  <c r="I95" i="73"/>
  <c r="I61" i="73"/>
  <c r="M61" i="73"/>
  <c r="AA61" i="73" s="1"/>
  <c r="I75" i="73"/>
  <c r="Q94" i="73"/>
  <c r="U94" i="73" s="1"/>
  <c r="I94" i="73"/>
  <c r="Q97" i="73"/>
  <c r="U97" i="73" s="1"/>
  <c r="AE56" i="73"/>
  <c r="AI56" i="73" s="1"/>
  <c r="AO56" i="73" s="1"/>
  <c r="AS56" i="73" s="1"/>
  <c r="AW56" i="73" s="1"/>
  <c r="BE56" i="73" s="1"/>
  <c r="W201" i="73"/>
  <c r="W184" i="73"/>
  <c r="W173" i="73"/>
  <c r="W116" i="73"/>
  <c r="W128" i="73" s="1"/>
  <c r="W110" i="73"/>
  <c r="W11" i="15" s="1"/>
  <c r="W12" i="15" s="1"/>
  <c r="W13" i="15" s="1"/>
  <c r="W104" i="73"/>
  <c r="W58" i="73"/>
  <c r="W53" i="73"/>
  <c r="W48" i="73"/>
  <c r="W34" i="73"/>
  <c r="W23" i="73"/>
  <c r="AA168" i="73" l="1"/>
  <c r="AE168" i="73" s="1"/>
  <c r="AI168" i="73" s="1"/>
  <c r="AO168" i="73" s="1"/>
  <c r="AS168" i="73" s="1"/>
  <c r="AW168" i="73" s="1"/>
  <c r="BE168" i="73" s="1"/>
  <c r="AA166" i="73"/>
  <c r="AE166" i="73" s="1"/>
  <c r="AI166" i="73" s="1"/>
  <c r="AO166" i="73" s="1"/>
  <c r="AS166" i="73" s="1"/>
  <c r="AW166" i="73" s="1"/>
  <c r="BE166" i="73" s="1"/>
  <c r="AA169" i="73"/>
  <c r="AE169" i="73" s="1"/>
  <c r="AI169" i="73" s="1"/>
  <c r="AO169" i="73" s="1"/>
  <c r="AS169" i="73" s="1"/>
  <c r="AW169" i="73" s="1"/>
  <c r="BE169" i="73" s="1"/>
  <c r="AA164" i="73"/>
  <c r="AE164" i="73" s="1"/>
  <c r="AI164" i="73" s="1"/>
  <c r="AO164" i="73" s="1"/>
  <c r="AS164" i="73" s="1"/>
  <c r="AW164" i="73" s="1"/>
  <c r="BE164" i="73" s="1"/>
  <c r="AA170" i="73"/>
  <c r="AE170" i="73" s="1"/>
  <c r="AI170" i="73" s="1"/>
  <c r="AO170" i="73" s="1"/>
  <c r="AS170" i="73" s="1"/>
  <c r="AW170" i="73" s="1"/>
  <c r="BE170" i="73" s="1"/>
  <c r="AA163" i="73"/>
  <c r="AE163" i="73" s="1"/>
  <c r="AI163" i="73" s="1"/>
  <c r="AO163" i="73" s="1"/>
  <c r="AS163" i="73" s="1"/>
  <c r="AW163" i="73" s="1"/>
  <c r="BE163" i="73" s="1"/>
  <c r="AA165" i="73"/>
  <c r="AE165" i="73" s="1"/>
  <c r="AI165" i="73" s="1"/>
  <c r="AO165" i="73" s="1"/>
  <c r="AS165" i="73" s="1"/>
  <c r="AW165" i="73" s="1"/>
  <c r="BE165" i="73" s="1"/>
  <c r="W113" i="73"/>
  <c r="W115" i="73" s="1"/>
  <c r="Q62" i="73"/>
  <c r="U62" i="73" s="1"/>
  <c r="AE62" i="73"/>
  <c r="AI62" i="73" s="1"/>
  <c r="AO62" i="73" s="1"/>
  <c r="AS62" i="73" s="1"/>
  <c r="AW62" i="73" s="1"/>
  <c r="BE62" i="73" s="1"/>
  <c r="Q61" i="73"/>
  <c r="U61" i="73" s="1"/>
  <c r="AE61" i="73"/>
  <c r="AI61" i="73" s="1"/>
  <c r="AO61" i="73" s="1"/>
  <c r="AS61" i="73" s="1"/>
  <c r="AW61" i="73" s="1"/>
  <c r="BE61" i="73" s="1"/>
  <c r="Q63" i="73"/>
  <c r="U63" i="73" s="1"/>
  <c r="AE63" i="73"/>
  <c r="AI63" i="73" s="1"/>
  <c r="AO63" i="73" s="1"/>
  <c r="AS63" i="73" s="1"/>
  <c r="AW63" i="73" s="1"/>
  <c r="BE63" i="73" s="1"/>
  <c r="W171" i="73"/>
  <c r="Z31" i="36"/>
  <c r="U41" i="72" l="1"/>
  <c r="U33" i="72"/>
  <c r="U17" i="72"/>
  <c r="U44" i="72" s="1"/>
  <c r="CO76" i="71"/>
  <c r="CK76" i="71"/>
  <c r="CG76" i="71"/>
  <c r="CA76" i="71"/>
  <c r="BW76" i="71"/>
  <c r="BM76" i="71"/>
  <c r="BI76" i="71"/>
  <c r="BE76" i="71"/>
  <c r="BA76" i="71"/>
  <c r="AW76" i="71"/>
  <c r="AU76" i="71"/>
  <c r="CO75" i="71"/>
  <c r="CK75" i="71"/>
  <c r="CG75" i="71"/>
  <c r="CA75" i="71"/>
  <c r="BW75" i="71"/>
  <c r="BM75" i="71"/>
  <c r="BI75" i="71"/>
  <c r="BE75" i="71"/>
  <c r="BA75" i="71"/>
  <c r="AW75" i="71"/>
  <c r="AU75" i="71"/>
  <c r="CO74" i="71"/>
  <c r="CK74" i="71"/>
  <c r="CG74" i="71"/>
  <c r="CA74" i="71"/>
  <c r="BW74" i="71"/>
  <c r="BM74" i="71"/>
  <c r="BI74" i="71"/>
  <c r="BE74" i="71"/>
  <c r="BA74" i="71"/>
  <c r="AW74" i="71"/>
  <c r="AU74" i="71"/>
  <c r="CO73" i="71"/>
  <c r="CK73" i="71"/>
  <c r="CG73" i="71"/>
  <c r="CA73" i="71"/>
  <c r="BW73" i="71"/>
  <c r="BM73" i="71"/>
  <c r="BI73" i="71"/>
  <c r="BE73" i="71"/>
  <c r="BA73" i="71"/>
  <c r="AW73" i="71"/>
  <c r="AU73" i="71"/>
  <c r="AU7" i="71"/>
  <c r="AU8" i="71"/>
  <c r="AU9" i="71"/>
  <c r="AU10" i="71"/>
  <c r="AU11" i="71"/>
  <c r="AU12" i="71"/>
  <c r="AU13" i="71"/>
  <c r="AU14" i="71"/>
  <c r="AU15" i="71"/>
  <c r="AU16" i="71"/>
  <c r="AU17" i="71"/>
  <c r="AU18" i="71"/>
  <c r="AU19" i="71"/>
  <c r="AU20" i="71"/>
  <c r="AU21" i="71"/>
  <c r="AU22" i="71"/>
  <c r="AU23" i="71"/>
  <c r="AU24" i="71"/>
  <c r="AU25" i="71"/>
  <c r="AU26" i="71"/>
  <c r="AU28" i="71"/>
  <c r="AU31" i="71"/>
  <c r="AU32" i="71"/>
  <c r="AU33" i="71"/>
  <c r="AU34" i="71"/>
  <c r="AU35" i="71"/>
  <c r="AU36" i="71"/>
  <c r="AU37" i="71"/>
  <c r="AU38" i="71"/>
  <c r="AU39" i="71"/>
  <c r="AU41" i="71"/>
  <c r="AU42" i="71"/>
  <c r="AU43" i="71"/>
  <c r="AU44" i="71"/>
  <c r="AU45" i="71"/>
  <c r="AU48" i="71"/>
  <c r="AU50" i="71"/>
  <c r="AU51" i="71"/>
  <c r="AU52" i="71"/>
  <c r="AU53" i="71"/>
  <c r="AU54" i="71"/>
  <c r="AU55" i="71"/>
  <c r="AU56" i="71"/>
  <c r="AU57" i="71"/>
  <c r="AU58" i="71"/>
  <c r="AU59" i="71"/>
  <c r="AU60" i="71"/>
  <c r="AU61" i="71"/>
  <c r="AU62" i="71"/>
  <c r="AU63" i="71"/>
  <c r="AU64" i="71"/>
  <c r="AU65" i="71"/>
  <c r="AU66" i="71"/>
  <c r="AU67" i="71"/>
  <c r="AU68" i="71"/>
  <c r="AU69" i="71"/>
  <c r="AU70" i="71"/>
  <c r="AU71" i="71"/>
  <c r="AU72" i="71"/>
  <c r="AW7" i="71"/>
  <c r="AW8" i="71"/>
  <c r="AW9" i="71"/>
  <c r="AW10" i="71"/>
  <c r="AW11" i="71"/>
  <c r="AW12" i="71"/>
  <c r="AW13" i="71"/>
  <c r="AW14" i="71"/>
  <c r="AW15" i="71"/>
  <c r="AW16" i="71"/>
  <c r="AW17" i="71"/>
  <c r="AW18" i="71"/>
  <c r="AW19" i="71"/>
  <c r="AW20" i="71"/>
  <c r="AW21" i="71"/>
  <c r="AW22" i="71"/>
  <c r="AW23" i="71"/>
  <c r="AW24" i="71"/>
  <c r="AW25" i="71"/>
  <c r="AW26" i="71"/>
  <c r="AW28" i="71"/>
  <c r="AW31" i="71"/>
  <c r="AW32" i="71"/>
  <c r="AW33" i="71"/>
  <c r="AW34" i="71"/>
  <c r="AW35" i="71"/>
  <c r="AW36" i="71"/>
  <c r="AW37" i="71"/>
  <c r="AW38" i="71"/>
  <c r="AW39" i="71"/>
  <c r="AW41" i="71"/>
  <c r="AW42" i="71"/>
  <c r="AW43" i="71"/>
  <c r="AW44" i="71"/>
  <c r="AW45" i="71"/>
  <c r="AW48" i="71"/>
  <c r="AW50" i="71"/>
  <c r="AW51" i="71"/>
  <c r="AW52" i="71"/>
  <c r="AW53" i="71"/>
  <c r="AW54" i="71"/>
  <c r="AW55" i="71"/>
  <c r="AW56" i="71"/>
  <c r="AW57" i="71"/>
  <c r="AW58" i="71"/>
  <c r="AW59" i="71"/>
  <c r="AW60" i="71"/>
  <c r="AW61" i="71"/>
  <c r="AW62" i="71"/>
  <c r="AW63" i="71"/>
  <c r="AW64" i="71"/>
  <c r="AW65" i="71"/>
  <c r="AW66" i="71"/>
  <c r="AW67" i="71"/>
  <c r="AW68" i="71"/>
  <c r="AW69" i="71"/>
  <c r="AW70" i="71"/>
  <c r="AW71" i="71"/>
  <c r="AW72" i="71"/>
  <c r="BA7" i="71"/>
  <c r="BA8" i="71"/>
  <c r="BA9" i="71"/>
  <c r="BA10" i="71"/>
  <c r="BA11" i="71"/>
  <c r="BA12" i="71"/>
  <c r="BA13" i="71"/>
  <c r="BA14" i="71"/>
  <c r="BA15" i="71"/>
  <c r="BA16" i="71"/>
  <c r="BA17" i="71"/>
  <c r="BA18" i="71"/>
  <c r="BA19" i="71"/>
  <c r="BA20" i="71"/>
  <c r="BA21" i="71"/>
  <c r="BA22" i="71"/>
  <c r="BA23" i="71"/>
  <c r="BA24" i="71"/>
  <c r="BA25" i="71"/>
  <c r="BA26" i="71"/>
  <c r="BA28" i="71"/>
  <c r="BA31" i="71"/>
  <c r="BA32" i="71"/>
  <c r="BA33" i="71"/>
  <c r="BA34" i="71"/>
  <c r="BA35" i="71"/>
  <c r="BA36" i="71"/>
  <c r="BA37" i="71"/>
  <c r="BA38" i="71"/>
  <c r="BA39" i="71"/>
  <c r="BA41" i="71"/>
  <c r="BA42" i="71"/>
  <c r="BA43" i="71"/>
  <c r="BA44" i="71"/>
  <c r="BA45" i="71"/>
  <c r="BA48" i="71"/>
  <c r="BA50" i="71"/>
  <c r="BA51" i="71"/>
  <c r="BA52" i="71"/>
  <c r="BA53" i="71"/>
  <c r="BA54" i="71"/>
  <c r="BA55" i="71"/>
  <c r="BA56" i="71"/>
  <c r="BA57" i="71"/>
  <c r="BA58" i="71"/>
  <c r="BA59" i="71"/>
  <c r="BA60" i="71"/>
  <c r="BA61" i="71"/>
  <c r="BA62" i="71"/>
  <c r="BA63" i="71"/>
  <c r="BA64" i="71"/>
  <c r="BA65" i="71"/>
  <c r="BA66" i="71"/>
  <c r="BA67" i="71"/>
  <c r="BA68" i="71"/>
  <c r="BA69" i="71"/>
  <c r="BA70" i="71"/>
  <c r="BA71" i="71"/>
  <c r="BA72" i="71"/>
  <c r="BE7" i="71"/>
  <c r="BE8" i="71"/>
  <c r="BE9" i="71"/>
  <c r="BE10" i="71"/>
  <c r="BE11" i="71"/>
  <c r="BE12" i="71"/>
  <c r="BE13" i="71"/>
  <c r="BE14" i="71"/>
  <c r="BE15" i="71"/>
  <c r="BE16" i="71"/>
  <c r="BE17" i="71"/>
  <c r="BE18" i="71"/>
  <c r="BE19" i="71"/>
  <c r="BE20" i="71"/>
  <c r="BE21" i="71"/>
  <c r="BE22" i="71"/>
  <c r="BE23" i="71"/>
  <c r="BE24" i="71"/>
  <c r="BE25" i="71"/>
  <c r="BE26" i="71"/>
  <c r="BE28" i="71"/>
  <c r="BE31" i="71"/>
  <c r="BE32" i="71"/>
  <c r="BE33" i="71"/>
  <c r="BE34" i="71"/>
  <c r="BE35" i="71"/>
  <c r="BE36" i="71"/>
  <c r="BE37" i="71"/>
  <c r="BE38" i="71"/>
  <c r="BE39" i="71"/>
  <c r="BE41" i="71"/>
  <c r="BE42" i="71"/>
  <c r="BE43" i="71"/>
  <c r="BE44" i="71"/>
  <c r="BE45" i="71"/>
  <c r="BE48" i="71"/>
  <c r="BE50" i="71"/>
  <c r="BE51" i="71"/>
  <c r="BE52" i="71"/>
  <c r="BE53" i="71"/>
  <c r="BE54" i="71"/>
  <c r="BE55" i="71"/>
  <c r="BE56" i="71"/>
  <c r="BE57" i="71"/>
  <c r="BE58" i="71"/>
  <c r="BE59" i="71"/>
  <c r="BE60" i="71"/>
  <c r="BE61" i="71"/>
  <c r="BE62" i="71"/>
  <c r="BE63" i="71"/>
  <c r="BE64" i="71"/>
  <c r="BE65" i="71"/>
  <c r="BE66" i="71"/>
  <c r="BE67" i="71"/>
  <c r="BE68" i="71"/>
  <c r="BE69" i="71"/>
  <c r="BE70" i="71"/>
  <c r="BE71" i="71"/>
  <c r="BE72" i="71"/>
  <c r="BI7" i="71"/>
  <c r="BI8" i="71"/>
  <c r="BI9" i="71"/>
  <c r="BI10" i="71"/>
  <c r="BI11" i="71"/>
  <c r="BI12" i="71"/>
  <c r="BI13" i="71"/>
  <c r="BI14" i="71"/>
  <c r="BI15" i="71"/>
  <c r="BI16" i="71"/>
  <c r="BI17" i="71"/>
  <c r="BI18" i="71"/>
  <c r="BI19" i="71"/>
  <c r="BI20" i="71"/>
  <c r="BI21" i="71"/>
  <c r="BI22" i="71"/>
  <c r="BI23" i="71"/>
  <c r="BI24" i="71"/>
  <c r="BI25" i="71"/>
  <c r="BI26" i="71"/>
  <c r="BI28" i="71"/>
  <c r="BI31" i="71"/>
  <c r="BI32" i="71"/>
  <c r="BI33" i="71"/>
  <c r="BI34" i="71"/>
  <c r="BI35" i="71"/>
  <c r="BI36" i="71"/>
  <c r="BI37" i="71"/>
  <c r="BI38" i="71"/>
  <c r="BI39" i="71"/>
  <c r="BI41" i="71"/>
  <c r="BI42" i="71"/>
  <c r="BI43" i="71"/>
  <c r="BI44" i="71"/>
  <c r="BI45" i="71"/>
  <c r="BI48" i="71"/>
  <c r="BI50" i="71"/>
  <c r="BI51" i="71"/>
  <c r="BI52" i="71"/>
  <c r="BI53" i="71"/>
  <c r="BI54" i="71"/>
  <c r="BI55" i="71"/>
  <c r="BI56" i="71"/>
  <c r="BI57" i="71"/>
  <c r="BI58" i="71"/>
  <c r="BI59" i="71"/>
  <c r="BI60" i="71"/>
  <c r="BI61" i="71"/>
  <c r="BI62" i="71"/>
  <c r="BI63" i="71"/>
  <c r="BI64" i="71"/>
  <c r="BI65" i="71"/>
  <c r="BI66" i="71"/>
  <c r="BI67" i="71"/>
  <c r="BI68" i="71"/>
  <c r="BI69" i="71"/>
  <c r="BI70" i="71"/>
  <c r="BI71" i="71"/>
  <c r="BI72" i="71"/>
  <c r="BM7" i="71"/>
  <c r="BM8" i="71"/>
  <c r="BM9" i="71"/>
  <c r="BM10" i="71"/>
  <c r="BM11" i="71"/>
  <c r="BM12" i="71"/>
  <c r="BM13" i="71"/>
  <c r="BM14" i="71"/>
  <c r="BM15" i="71"/>
  <c r="BM16" i="71"/>
  <c r="BM17" i="71"/>
  <c r="BM18" i="71"/>
  <c r="BM19" i="71"/>
  <c r="BM20" i="71"/>
  <c r="BM21" i="71"/>
  <c r="BM22" i="71"/>
  <c r="BM23" i="71"/>
  <c r="BM24" i="71"/>
  <c r="BM25" i="71"/>
  <c r="BM26" i="71"/>
  <c r="BM28" i="71"/>
  <c r="BM31" i="71"/>
  <c r="BM32" i="71"/>
  <c r="BM33" i="71"/>
  <c r="BM34" i="71"/>
  <c r="BM35" i="71"/>
  <c r="BM36" i="71"/>
  <c r="BM37" i="71"/>
  <c r="BM38" i="71"/>
  <c r="BM39" i="71"/>
  <c r="BM41" i="71"/>
  <c r="BM42" i="71"/>
  <c r="BM43" i="71"/>
  <c r="BM44" i="71"/>
  <c r="BM45" i="71"/>
  <c r="BM48" i="71"/>
  <c r="BM50" i="71"/>
  <c r="BM51" i="71"/>
  <c r="BM52" i="71"/>
  <c r="BM53" i="71"/>
  <c r="BM54" i="71"/>
  <c r="BM55" i="71"/>
  <c r="BM56" i="71"/>
  <c r="BM57" i="71"/>
  <c r="BM58" i="71"/>
  <c r="BM59" i="71"/>
  <c r="BM60" i="71"/>
  <c r="BM61" i="71"/>
  <c r="BM62" i="71"/>
  <c r="BM63" i="71"/>
  <c r="BM64" i="71"/>
  <c r="BM65" i="71"/>
  <c r="BM66" i="71"/>
  <c r="BM67" i="71"/>
  <c r="BM68" i="71"/>
  <c r="BM69" i="71"/>
  <c r="BM70" i="71"/>
  <c r="BM71" i="71"/>
  <c r="BM72" i="71"/>
  <c r="I6" i="71"/>
  <c r="I77" i="71" s="1"/>
  <c r="Y34" i="50"/>
  <c r="Y35" i="50"/>
  <c r="Y36" i="50"/>
  <c r="Y37" i="50"/>
  <c r="Y38" i="50"/>
  <c r="Y39" i="50"/>
  <c r="Y33" i="50"/>
  <c r="Y4" i="50"/>
  <c r="P21" i="10"/>
  <c r="Q23" i="50" l="1"/>
  <c r="Z21" i="10"/>
  <c r="Y107" i="50"/>
  <c r="Y108" i="50" s="1"/>
  <c r="Y40" i="50"/>
  <c r="Y103" i="50" s="1"/>
  <c r="Y104" i="50" s="1"/>
  <c r="CU69" i="71"/>
  <c r="BE82" i="71"/>
  <c r="BI82" i="71"/>
  <c r="BM82" i="71"/>
  <c r="AU82" i="71"/>
  <c r="AW82" i="71"/>
  <c r="BA82" i="71"/>
  <c r="Y14" i="61"/>
  <c r="Y13" i="61"/>
  <c r="Y12" i="61"/>
  <c r="Y11" i="61"/>
  <c r="Y9" i="61"/>
  <c r="CU22" i="71"/>
  <c r="CU76" i="71"/>
  <c r="CU75" i="71"/>
  <c r="CU74" i="71"/>
  <c r="CU73" i="71"/>
  <c r="U43" i="72"/>
  <c r="AR77" i="71" l="1"/>
  <c r="BG25" i="50"/>
  <c r="Z89" i="50"/>
  <c r="Z90" i="50" s="1"/>
  <c r="Y88" i="50"/>
  <c r="AA88" i="50" s="1"/>
  <c r="AG88" i="50" s="1"/>
  <c r="AO88" i="50" s="1"/>
  <c r="AQ88" i="50" s="1"/>
  <c r="Y87" i="50"/>
  <c r="Y86" i="50"/>
  <c r="AA86" i="50" s="1"/>
  <c r="X58" i="6"/>
  <c r="AC53" i="38"/>
  <c r="Y29" i="36"/>
  <c r="X7" i="15" s="1"/>
  <c r="Y28" i="36"/>
  <c r="X6" i="15" s="1"/>
  <c r="Y27" i="36"/>
  <c r="X5" i="15" s="1"/>
  <c r="Y23" i="36"/>
  <c r="Y22" i="36"/>
  <c r="Y21" i="36"/>
  <c r="Y17" i="36"/>
  <c r="AB48" i="59" s="1"/>
  <c r="Y16" i="36"/>
  <c r="AB47" i="59" s="1"/>
  <c r="Y9" i="36"/>
  <c r="Y8" i="36"/>
  <c r="Y7" i="36"/>
  <c r="Y5" i="36"/>
  <c r="AB96" i="38"/>
  <c r="AB95" i="38"/>
  <c r="AB94" i="38"/>
  <c r="AB93" i="38"/>
  <c r="AA92" i="38"/>
  <c r="AB91" i="38"/>
  <c r="AA90" i="38"/>
  <c r="AB88" i="38"/>
  <c r="AB87" i="38"/>
  <c r="AB86" i="38"/>
  <c r="AB85" i="38"/>
  <c r="AA84" i="38"/>
  <c r="AB82" i="38"/>
  <c r="AB81" i="38"/>
  <c r="AB80" i="38"/>
  <c r="AB79" i="38"/>
  <c r="AB78" i="38"/>
  <c r="AB77" i="38"/>
  <c r="AB76" i="38"/>
  <c r="AB75" i="38"/>
  <c r="AB74" i="38"/>
  <c r="AB73" i="38"/>
  <c r="AB72" i="38"/>
  <c r="AB71" i="38"/>
  <c r="AB70" i="38"/>
  <c r="AB69" i="38"/>
  <c r="AA68" i="38"/>
  <c r="AB64" i="38"/>
  <c r="AB63" i="38"/>
  <c r="AA62" i="38"/>
  <c r="AB59" i="38"/>
  <c r="AB58" i="38"/>
  <c r="AB57" i="38"/>
  <c r="AB56" i="38"/>
  <c r="AA55" i="38"/>
  <c r="AA53" i="38"/>
  <c r="AB52" i="38"/>
  <c r="AA52" i="38"/>
  <c r="AA47" i="38"/>
  <c r="AA46" i="38"/>
  <c r="AA45" i="38"/>
  <c r="AA44" i="38"/>
  <c r="AB43" i="38"/>
  <c r="AB92" i="38" s="1"/>
  <c r="AA42" i="38"/>
  <c r="AA41" i="38" s="1"/>
  <c r="AB41" i="38"/>
  <c r="AB90" i="38" s="1"/>
  <c r="AA39" i="38"/>
  <c r="AA38" i="38"/>
  <c r="AA37" i="38"/>
  <c r="AA36" i="38"/>
  <c r="AB35" i="38"/>
  <c r="AB84" i="38" s="1"/>
  <c r="AA33" i="38"/>
  <c r="AA32" i="38"/>
  <c r="AA31" i="38"/>
  <c r="AA30" i="38"/>
  <c r="AA29" i="38"/>
  <c r="AA28" i="38"/>
  <c r="AA27" i="38"/>
  <c r="AA26" i="38"/>
  <c r="AA25" i="38"/>
  <c r="AA24" i="38"/>
  <c r="AA23" i="38"/>
  <c r="AA22" i="38"/>
  <c r="AA21" i="38"/>
  <c r="AA20" i="38"/>
  <c r="AB19" i="38"/>
  <c r="AB68" i="38" s="1"/>
  <c r="AA15" i="38"/>
  <c r="AA14" i="38"/>
  <c r="AA13" i="38" s="1"/>
  <c r="AB13" i="38"/>
  <c r="AB62" i="38" s="1"/>
  <c r="AA11" i="38"/>
  <c r="AA10" i="38"/>
  <c r="AA9" i="38"/>
  <c r="AA8" i="38"/>
  <c r="AA7" i="38"/>
  <c r="AB55" i="38"/>
  <c r="X46" i="10"/>
  <c r="Y23" i="50" l="1"/>
  <c r="Z46" i="10"/>
  <c r="X125" i="10"/>
  <c r="X124" i="10"/>
  <c r="X162" i="10" s="1"/>
  <c r="X165" i="10"/>
  <c r="AA6" i="38"/>
  <c r="AA67" i="38"/>
  <c r="Y22" i="83"/>
  <c r="Y19" i="83"/>
  <c r="Y89" i="50"/>
  <c r="Y90" i="50" s="1"/>
  <c r="AA87" i="50"/>
  <c r="AA43" i="38"/>
  <c r="AA40" i="38" s="1"/>
  <c r="AA89" i="38"/>
  <c r="AA35" i="38"/>
  <c r="AA65" i="38"/>
  <c r="AB18" i="38"/>
  <c r="AB67" i="38" s="1"/>
  <c r="AA19" i="38"/>
  <c r="AB40" i="38"/>
  <c r="AB16" i="38"/>
  <c r="X32" i="36"/>
  <c r="X127" i="10" l="1"/>
  <c r="Y93" i="50"/>
  <c r="Y32" i="50"/>
  <c r="X128" i="10" s="1"/>
  <c r="X129" i="10" s="1"/>
  <c r="AA23" i="50"/>
  <c r="AA66" i="38"/>
  <c r="X166" i="10"/>
  <c r="X170" i="10"/>
  <c r="Y31" i="83"/>
  <c r="Y68" i="83" s="1"/>
  <c r="Y16" i="61"/>
  <c r="Y17" i="61" s="1"/>
  <c r="AA89" i="50"/>
  <c r="AA90" i="50" s="1"/>
  <c r="AG87" i="50"/>
  <c r="AA18" i="38"/>
  <c r="AA16" i="38"/>
  <c r="AB89" i="38"/>
  <c r="AB17" i="38"/>
  <c r="AB66" i="38" s="1"/>
  <c r="AB65" i="38"/>
  <c r="Y94" i="50" l="1"/>
  <c r="Y95" i="50" s="1"/>
  <c r="Y80" i="50"/>
  <c r="Y96" i="50"/>
  <c r="AO87" i="50"/>
  <c r="AQ87" i="50" s="1"/>
  <c r="AA17" i="38"/>
  <c r="Y13" i="49"/>
  <c r="X17" i="49"/>
  <c r="X18" i="49" s="1"/>
  <c r="X11" i="49"/>
  <c r="W11" i="49"/>
  <c r="X9" i="49"/>
  <c r="X8" i="49"/>
  <c r="X6" i="49"/>
  <c r="W54" i="36" l="1"/>
  <c r="W53" i="36"/>
  <c r="W51" i="36"/>
  <c r="W43" i="36" s="1"/>
  <c r="W45" i="36" s="1"/>
  <c r="W49" i="36"/>
  <c r="W48" i="36"/>
  <c r="W40" i="36" s="1"/>
  <c r="W42" i="36" s="1"/>
  <c r="X46" i="36"/>
  <c r="X54" i="36" s="1"/>
  <c r="W46" i="36"/>
  <c r="X44" i="36"/>
  <c r="X52" i="36" s="1"/>
  <c r="X43" i="36"/>
  <c r="X51" i="36" s="1"/>
  <c r="X41" i="36"/>
  <c r="X40" i="36"/>
  <c r="X48" i="36" s="1"/>
  <c r="X38" i="36"/>
  <c r="W50" i="36" l="1"/>
  <c r="X53" i="36"/>
  <c r="X42" i="36"/>
  <c r="X45" i="36"/>
  <c r="X49" i="36"/>
  <c r="X50" i="36" s="1"/>
  <c r="T19" i="9"/>
  <c r="X129" i="6" l="1"/>
  <c r="X15" i="35" l="1"/>
  <c r="X7" i="35"/>
  <c r="X6" i="35"/>
  <c r="X56" i="6" l="1"/>
  <c r="X57" i="6"/>
  <c r="AA23" i="59" s="1"/>
  <c r="X52" i="6"/>
  <c r="X51" i="6"/>
  <c r="X50" i="6"/>
  <c r="X47" i="6"/>
  <c r="X44" i="6"/>
  <c r="X41" i="6"/>
  <c r="W33" i="39" l="1"/>
  <c r="X53" i="6"/>
  <c r="AB87" i="8" l="1"/>
  <c r="Z87" i="8"/>
  <c r="Y62" i="39" l="1"/>
  <c r="AA62" i="39" s="1"/>
  <c r="AE62" i="39" s="1"/>
  <c r="AI62" i="39" s="1"/>
  <c r="AO62" i="39" s="1"/>
  <c r="AS62" i="39" s="1"/>
  <c r="AW62" i="39" s="1"/>
  <c r="Y60" i="39"/>
  <c r="AA60" i="39" s="1"/>
  <c r="AE60" i="39" s="1"/>
  <c r="AI60" i="39" s="1"/>
  <c r="AO60" i="39" s="1"/>
  <c r="AS60" i="39" s="1"/>
  <c r="AW60" i="39" s="1"/>
  <c r="Y59" i="39"/>
  <c r="AA59" i="39" s="1"/>
  <c r="AE59" i="39" s="1"/>
  <c r="AI59" i="39" s="1"/>
  <c r="AO59" i="39" s="1"/>
  <c r="AS59" i="39" s="1"/>
  <c r="AW59" i="39" s="1"/>
  <c r="Y58" i="39"/>
  <c r="AA58" i="39" s="1"/>
  <c r="AE58" i="39" s="1"/>
  <c r="AI58" i="39" s="1"/>
  <c r="AO58" i="39" s="1"/>
  <c r="AS58" i="39" s="1"/>
  <c r="AW58" i="39" s="1"/>
  <c r="Y57" i="39"/>
  <c r="AA57" i="39" s="1"/>
  <c r="AE57" i="39" s="1"/>
  <c r="AI57" i="39" s="1"/>
  <c r="AO57" i="39" s="1"/>
  <c r="AS57" i="39" s="1"/>
  <c r="AW57" i="39" s="1"/>
  <c r="Y56" i="39"/>
  <c r="AA56" i="39" s="1"/>
  <c r="AE56" i="39" s="1"/>
  <c r="AI56" i="39" s="1"/>
  <c r="AO56" i="39" s="1"/>
  <c r="AS56" i="39" s="1"/>
  <c r="AW56" i="39" s="1"/>
  <c r="Y55" i="39"/>
  <c r="AA55" i="39" s="1"/>
  <c r="AE55" i="39" s="1"/>
  <c r="AI55" i="39" s="1"/>
  <c r="AO55" i="39" s="1"/>
  <c r="AS55" i="39" s="1"/>
  <c r="AW55" i="39" s="1"/>
  <c r="Y54" i="39"/>
  <c r="AA54" i="39" s="1"/>
  <c r="AE54" i="39" s="1"/>
  <c r="AI54" i="39" s="1"/>
  <c r="AO54" i="39" s="1"/>
  <c r="AS54" i="39" s="1"/>
  <c r="AW54" i="39" s="1"/>
  <c r="Y53" i="39"/>
  <c r="AA53" i="39" s="1"/>
  <c r="AE53" i="39" s="1"/>
  <c r="AI53" i="39" s="1"/>
  <c r="AO53" i="39" s="1"/>
  <c r="AS53" i="39" s="1"/>
  <c r="AW53" i="39" s="1"/>
  <c r="Y47" i="39"/>
  <c r="AA47" i="39" s="1"/>
  <c r="AE47" i="39" s="1"/>
  <c r="AI47" i="39" s="1"/>
  <c r="AO47" i="39" s="1"/>
  <c r="AS47" i="39" s="1"/>
  <c r="AW47" i="39" s="1"/>
  <c r="BE47" i="39" s="1"/>
  <c r="Y46" i="39"/>
  <c r="AA46" i="39" s="1"/>
  <c r="AE46" i="39" s="1"/>
  <c r="AI46" i="39" s="1"/>
  <c r="AO46" i="39" s="1"/>
  <c r="AS46" i="39" s="1"/>
  <c r="AW46" i="39" s="1"/>
  <c r="BE46" i="39" s="1"/>
  <c r="Y45" i="39"/>
  <c r="AA45" i="39" s="1"/>
  <c r="AE45" i="39" s="1"/>
  <c r="AI45" i="39" s="1"/>
  <c r="AO45" i="39" s="1"/>
  <c r="AS45" i="39" s="1"/>
  <c r="AW45" i="39" s="1"/>
  <c r="BE45" i="39" s="1"/>
  <c r="Y42" i="39"/>
  <c r="AA42" i="39" s="1"/>
  <c r="AE42" i="39" s="1"/>
  <c r="AI42" i="39" s="1"/>
  <c r="AO42" i="39" s="1"/>
  <c r="AS42" i="39" s="1"/>
  <c r="AW42" i="39" s="1"/>
  <c r="Y41" i="39"/>
  <c r="AA41" i="39" s="1"/>
  <c r="AE41" i="39" s="1"/>
  <c r="AI41" i="39" s="1"/>
  <c r="AO41" i="39" s="1"/>
  <c r="AS41" i="39" s="1"/>
  <c r="AW41" i="39" s="1"/>
  <c r="Y38" i="39"/>
  <c r="AA38" i="39" s="1"/>
  <c r="AE38" i="39" s="1"/>
  <c r="AI38" i="39" s="1"/>
  <c r="AO38" i="39" s="1"/>
  <c r="AS38" i="39" s="1"/>
  <c r="AW38" i="39" s="1"/>
  <c r="Y37" i="39"/>
  <c r="AA37" i="39" s="1"/>
  <c r="AE37" i="39" s="1"/>
  <c r="AI37" i="39" s="1"/>
  <c r="AO37" i="39" s="1"/>
  <c r="AS37" i="39" s="1"/>
  <c r="AW37" i="39" s="1"/>
  <c r="Y36" i="39"/>
  <c r="AA36" i="39" s="1"/>
  <c r="AE36" i="39" s="1"/>
  <c r="AI36" i="39" s="1"/>
  <c r="AO36" i="39" s="1"/>
  <c r="AS36" i="39" s="1"/>
  <c r="AW36" i="39" s="1"/>
  <c r="BE36" i="39" s="1"/>
  <c r="Y30" i="39"/>
  <c r="Y29" i="39"/>
  <c r="AA29" i="39" s="1"/>
  <c r="AE29" i="39" s="1"/>
  <c r="AI29" i="39" s="1"/>
  <c r="AO29" i="39" s="1"/>
  <c r="AS29" i="39" s="1"/>
  <c r="AW29" i="39" s="1"/>
  <c r="BE29" i="39" s="1"/>
  <c r="Y28" i="39"/>
  <c r="AA28" i="39" s="1"/>
  <c r="AE28" i="39" s="1"/>
  <c r="AI28" i="39" s="1"/>
  <c r="AO28" i="39" s="1"/>
  <c r="AS28" i="39" s="1"/>
  <c r="AW28" i="39" s="1"/>
  <c r="Y27" i="39"/>
  <c r="Y19" i="39"/>
  <c r="AA19" i="39" s="1"/>
  <c r="AE19" i="39" s="1"/>
  <c r="AI19" i="39" s="1"/>
  <c r="AO19" i="39" s="1"/>
  <c r="AS19" i="39" s="1"/>
  <c r="AW19" i="39" s="1"/>
  <c r="BE19" i="39" s="1"/>
  <c r="Y18" i="39"/>
  <c r="AA18" i="39" s="1"/>
  <c r="AE18" i="39" s="1"/>
  <c r="AI18" i="39" s="1"/>
  <c r="AO18" i="39" s="1"/>
  <c r="AS18" i="39" s="1"/>
  <c r="AW18" i="39" s="1"/>
  <c r="BE18" i="39" s="1"/>
  <c r="Y17" i="39"/>
  <c r="AA17" i="39" s="1"/>
  <c r="AE17" i="39" s="1"/>
  <c r="AI17" i="39" s="1"/>
  <c r="AO17" i="39" s="1"/>
  <c r="AS17" i="39" s="1"/>
  <c r="AW17" i="39" s="1"/>
  <c r="Y16" i="39"/>
  <c r="AA16" i="39" s="1"/>
  <c r="AE16" i="39" s="1"/>
  <c r="AI16" i="39" s="1"/>
  <c r="AO16" i="39" s="1"/>
  <c r="AS16" i="39" s="1"/>
  <c r="AW16" i="39" s="1"/>
  <c r="Y15" i="39"/>
  <c r="AA15" i="39" s="1"/>
  <c r="AE15" i="39" s="1"/>
  <c r="AI15" i="39" s="1"/>
  <c r="AO15" i="39" s="1"/>
  <c r="AS15" i="39" s="1"/>
  <c r="AW15" i="39" s="1"/>
  <c r="Y14" i="39"/>
  <c r="AA14" i="39" s="1"/>
  <c r="AE14" i="39" s="1"/>
  <c r="AI14" i="39" s="1"/>
  <c r="AO14" i="39" s="1"/>
  <c r="AS14" i="39" s="1"/>
  <c r="AW14" i="39" s="1"/>
  <c r="Y13" i="39"/>
  <c r="AA13" i="39" s="1"/>
  <c r="AE13" i="39" s="1"/>
  <c r="AI13" i="39" s="1"/>
  <c r="AO13" i="39" s="1"/>
  <c r="AS13" i="39" s="1"/>
  <c r="AW13" i="39" s="1"/>
  <c r="Y11" i="39"/>
  <c r="AA11" i="39" s="1"/>
  <c r="AE11" i="39" s="1"/>
  <c r="AI11" i="39" s="1"/>
  <c r="AO11" i="39" s="1"/>
  <c r="AS11" i="39" s="1"/>
  <c r="AW11" i="39" s="1"/>
  <c r="Y10" i="39"/>
  <c r="AA10" i="39" s="1"/>
  <c r="AE10" i="39" s="1"/>
  <c r="AI10" i="39" s="1"/>
  <c r="AO10" i="39" s="1"/>
  <c r="AS10" i="39" s="1"/>
  <c r="AW10" i="39" s="1"/>
  <c r="Y9" i="39"/>
  <c r="AA9" i="39" s="1"/>
  <c r="AE9" i="39" s="1"/>
  <c r="AI9" i="39" s="1"/>
  <c r="AO9" i="39" s="1"/>
  <c r="AS9" i="39" s="1"/>
  <c r="AW9" i="39" s="1"/>
  <c r="Y6" i="39"/>
  <c r="AA6" i="39" s="1"/>
  <c r="AE6" i="39" s="1"/>
  <c r="AI6" i="39" s="1"/>
  <c r="AO6" i="39" s="1"/>
  <c r="AS6" i="39" s="1"/>
  <c r="AW6" i="39" s="1"/>
  <c r="BE6" i="39" s="1"/>
  <c r="Y7" i="39"/>
  <c r="AA7" i="39" s="1"/>
  <c r="AE7" i="39" s="1"/>
  <c r="AI7" i="39" s="1"/>
  <c r="AO7" i="39" s="1"/>
  <c r="AS7" i="39" s="1"/>
  <c r="AW7" i="39" s="1"/>
  <c r="BE7" i="39" s="1"/>
  <c r="Y5" i="39"/>
  <c r="AA5" i="39" s="1"/>
  <c r="AE5" i="39" s="1"/>
  <c r="AI5" i="39" s="1"/>
  <c r="AO5" i="39" s="1"/>
  <c r="AS5" i="39" s="1"/>
  <c r="AW5" i="39" s="1"/>
  <c r="BE5" i="39" s="1"/>
  <c r="AA30" i="39" l="1"/>
  <c r="AE30" i="39" s="1"/>
  <c r="AI30" i="39" s="1"/>
  <c r="AO30" i="39" s="1"/>
  <c r="AS30" i="39" s="1"/>
  <c r="AW30" i="39" s="1"/>
  <c r="AA27" i="39"/>
  <c r="AE27" i="39" s="1"/>
  <c r="AI27" i="39" s="1"/>
  <c r="AO27" i="39" s="1"/>
  <c r="AS27" i="39" s="1"/>
  <c r="AW27" i="39" s="1"/>
  <c r="Y71" i="8"/>
  <c r="W49" i="39"/>
  <c r="V49" i="39"/>
  <c r="W44" i="39"/>
  <c r="V44" i="39"/>
  <c r="W22" i="39"/>
  <c r="W8" i="39"/>
  <c r="W21" i="39" s="1"/>
  <c r="V8" i="39"/>
  <c r="M50" i="8"/>
  <c r="V21" i="39" l="1"/>
  <c r="V50" i="39"/>
  <c r="W23" i="39"/>
  <c r="V23" i="39" l="1"/>
  <c r="X83" i="11"/>
  <c r="X81" i="11"/>
  <c r="X75" i="11"/>
  <c r="X76" i="11" s="1"/>
  <c r="X70" i="11"/>
  <c r="X69" i="11"/>
  <c r="X68" i="11"/>
  <c r="X66" i="11"/>
  <c r="X67" i="11" s="1"/>
  <c r="W65" i="11"/>
  <c r="X64" i="11"/>
  <c r="W64" i="11"/>
  <c r="X62" i="11"/>
  <c r="W62" i="11"/>
  <c r="X59" i="11"/>
  <c r="X60" i="11" s="1"/>
  <c r="W59" i="11"/>
  <c r="W60" i="11" s="1"/>
  <c r="X84" i="11"/>
  <c r="X155" i="10"/>
  <c r="X153" i="10"/>
  <c r="X147" i="10"/>
  <c r="X154" i="10" s="1"/>
  <c r="X142" i="10"/>
  <c r="X141" i="10"/>
  <c r="X140" i="10"/>
  <c r="X138" i="10"/>
  <c r="X139" i="10" s="1"/>
  <c r="W137" i="10"/>
  <c r="X136" i="10"/>
  <c r="W136" i="10"/>
  <c r="X134" i="10"/>
  <c r="W134" i="10"/>
  <c r="X131" i="10"/>
  <c r="X132" i="10" s="1"/>
  <c r="W131" i="10"/>
  <c r="W132" i="10" s="1"/>
  <c r="W170" i="10"/>
  <c r="W104" i="9"/>
  <c r="W102" i="9"/>
  <c r="W101" i="9"/>
  <c r="X99" i="9"/>
  <c r="X98" i="9"/>
  <c r="X97" i="9"/>
  <c r="X93" i="9"/>
  <c r="X60" i="9"/>
  <c r="X57" i="9"/>
  <c r="W53" i="9"/>
  <c r="W52" i="9"/>
  <c r="W51" i="9"/>
  <c r="W47" i="9"/>
  <c r="X46" i="9"/>
  <c r="X35" i="9"/>
  <c r="X47" i="9" s="1"/>
  <c r="X34" i="9"/>
  <c r="X25" i="9"/>
  <c r="W24" i="9"/>
  <c r="W22" i="9"/>
  <c r="X19" i="9"/>
  <c r="X39" i="36" s="1"/>
  <c r="X10" i="9"/>
  <c r="X5" i="9"/>
  <c r="W5" i="9"/>
  <c r="X14" i="9" l="1"/>
  <c r="X71" i="11"/>
  <c r="X89" i="9"/>
  <c r="X33" i="22"/>
  <c r="AA53" i="59"/>
  <c r="W92" i="9"/>
  <c r="W33" i="22"/>
  <c r="W71" i="11"/>
  <c r="X56" i="11"/>
  <c r="W64" i="9"/>
  <c r="W25" i="9"/>
  <c r="W88" i="9" s="1"/>
  <c r="W67" i="9"/>
  <c r="W59" i="9"/>
  <c r="W143" i="10"/>
  <c r="X36" i="9"/>
  <c r="Y117" i="50" s="1"/>
  <c r="Y118" i="50" s="1"/>
  <c r="X62" i="9"/>
  <c r="W55" i="9"/>
  <c r="W61" i="9"/>
  <c r="X54" i="11"/>
  <c r="X94" i="9"/>
  <c r="W18" i="15" s="1"/>
  <c r="X100" i="9"/>
  <c r="X96" i="9"/>
  <c r="X90" i="9"/>
  <c r="X77" i="11"/>
  <c r="X85" i="11"/>
  <c r="X86" i="11" s="1"/>
  <c r="X82" i="11"/>
  <c r="X88" i="11" s="1"/>
  <c r="X148" i="10"/>
  <c r="X149" i="10"/>
  <c r="X157" i="10"/>
  <c r="X143" i="10"/>
  <c r="W58" i="9"/>
  <c r="X31" i="9"/>
  <c r="X37" i="9" s="1"/>
  <c r="W56" i="9"/>
  <c r="W68" i="9"/>
  <c r="W27" i="9"/>
  <c r="W65" i="9"/>
  <c r="W69" i="9"/>
  <c r="W95" i="9"/>
  <c r="W7" i="9"/>
  <c r="W63" i="9"/>
  <c r="W66" i="9"/>
  <c r="W70" i="9"/>
  <c r="T125" i="8"/>
  <c r="T126" i="8" s="1"/>
  <c r="X91" i="9" l="1"/>
  <c r="X48" i="9"/>
  <c r="X49" i="9" s="1"/>
  <c r="X75" i="9" s="1"/>
  <c r="W60" i="9"/>
  <c r="W57" i="9"/>
  <c r="W21" i="22"/>
  <c r="W7" i="22"/>
  <c r="W8" i="22" s="1"/>
  <c r="W10" i="22" s="1"/>
  <c r="W11" i="22" s="1"/>
  <c r="W13" i="22" s="1"/>
  <c r="X156" i="10"/>
  <c r="X84" i="9"/>
  <c r="X129" i="8"/>
  <c r="X131" i="8" s="1"/>
  <c r="X88" i="8"/>
  <c r="X85" i="8"/>
  <c r="X86" i="8" s="1"/>
  <c r="X83" i="8"/>
  <c r="X82" i="8"/>
  <c r="W81" i="8"/>
  <c r="X80" i="8"/>
  <c r="W78" i="8"/>
  <c r="W77" i="8"/>
  <c r="X76" i="8"/>
  <c r="T7" i="85" s="1"/>
  <c r="W76" i="8"/>
  <c r="W75" i="8"/>
  <c r="W73" i="8"/>
  <c r="W72" i="8"/>
  <c r="W71" i="8"/>
  <c r="W70" i="8"/>
  <c r="W69" i="8"/>
  <c r="X66" i="8"/>
  <c r="X64" i="8"/>
  <c r="X65" i="8" s="1"/>
  <c r="X62" i="8"/>
  <c r="X59" i="8"/>
  <c r="X56" i="8"/>
  <c r="W50" i="8"/>
  <c r="X48" i="8"/>
  <c r="X49" i="8" s="1"/>
  <c r="W48" i="8"/>
  <c r="X46" i="8"/>
  <c r="X45" i="8"/>
  <c r="W45" i="8"/>
  <c r="X44" i="8"/>
  <c r="W44" i="8"/>
  <c r="X43" i="8"/>
  <c r="W43" i="8"/>
  <c r="X42" i="8"/>
  <c r="W42" i="8"/>
  <c r="X40" i="8"/>
  <c r="W40" i="8"/>
  <c r="X39" i="8"/>
  <c r="W39" i="8"/>
  <c r="X38" i="8"/>
  <c r="W38" i="8"/>
  <c r="X25" i="8"/>
  <c r="X20" i="8"/>
  <c r="X16" i="8"/>
  <c r="W16" i="8"/>
  <c r="X14" i="8"/>
  <c r="W14" i="8"/>
  <c r="X13" i="8"/>
  <c r="W13" i="8"/>
  <c r="X12" i="8"/>
  <c r="W12" i="8"/>
  <c r="W6" i="8"/>
  <c r="X72" i="9" l="1"/>
  <c r="X80" i="9"/>
  <c r="W62" i="9"/>
  <c r="X85" i="9"/>
  <c r="X53" i="9"/>
  <c r="X86" i="9"/>
  <c r="X81" i="9"/>
  <c r="X52" i="9"/>
  <c r="AA51" i="59" s="1"/>
  <c r="X78" i="9"/>
  <c r="X76" i="9"/>
  <c r="X77" i="9" s="1"/>
  <c r="X82" i="9"/>
  <c r="AA55" i="59" s="1"/>
  <c r="X73" i="9"/>
  <c r="X74" i="9" s="1"/>
  <c r="X87" i="9"/>
  <c r="AA54" i="59" s="1"/>
  <c r="X83" i="9"/>
  <c r="W15" i="8"/>
  <c r="W22" i="22"/>
  <c r="W24" i="22" s="1"/>
  <c r="W25" i="22" s="1"/>
  <c r="W27" i="22" s="1"/>
  <c r="W28" i="8"/>
  <c r="W6" i="49"/>
  <c r="X15" i="8"/>
  <c r="W41" i="8"/>
  <c r="X63" i="8"/>
  <c r="X60" i="8"/>
  <c r="X57" i="8"/>
  <c r="X61" i="8" s="1"/>
  <c r="X34" i="8" s="1"/>
  <c r="X67" i="8"/>
  <c r="X35" i="8" s="1"/>
  <c r="W22" i="8"/>
  <c r="W8" i="49" s="1"/>
  <c r="W79" i="8"/>
  <c r="X158" i="10"/>
  <c r="X160" i="10"/>
  <c r="X130" i="8"/>
  <c r="X41" i="8"/>
  <c r="X36" i="8"/>
  <c r="X71" i="8"/>
  <c r="W23" i="8"/>
  <c r="W26" i="8"/>
  <c r="W30" i="8"/>
  <c r="W49" i="8"/>
  <c r="W74" i="8" s="1"/>
  <c r="W29" i="8"/>
  <c r="W24" i="8"/>
  <c r="W27" i="8"/>
  <c r="V66" i="26"/>
  <c r="W69" i="11" s="1"/>
  <c r="W125" i="26"/>
  <c r="V125" i="26"/>
  <c r="V123" i="26"/>
  <c r="W109" i="26"/>
  <c r="V107" i="26"/>
  <c r="V105" i="26"/>
  <c r="V103" i="26"/>
  <c r="V101" i="26"/>
  <c r="W70" i="11" s="1"/>
  <c r="V99" i="26"/>
  <c r="V97" i="26"/>
  <c r="W98" i="9" s="1"/>
  <c r="V95" i="26"/>
  <c r="V93" i="26"/>
  <c r="V85" i="17" s="1"/>
  <c r="W89" i="26"/>
  <c r="W82" i="26"/>
  <c r="W81" i="26"/>
  <c r="V79" i="26"/>
  <c r="V77" i="26"/>
  <c r="W74" i="26"/>
  <c r="V72" i="26"/>
  <c r="V70" i="26"/>
  <c r="V68" i="26"/>
  <c r="V64" i="26"/>
  <c r="W141" i="10" s="1"/>
  <c r="V62" i="26"/>
  <c r="V83" i="17" s="1"/>
  <c r="V60" i="26"/>
  <c r="V58" i="26"/>
  <c r="W83" i="8" s="1"/>
  <c r="V53" i="26"/>
  <c r="V51" i="26"/>
  <c r="W49" i="26"/>
  <c r="W56" i="26" s="1"/>
  <c r="V47" i="26"/>
  <c r="V49" i="26" s="1"/>
  <c r="V42" i="26"/>
  <c r="W78" i="7" s="1"/>
  <c r="V40" i="26"/>
  <c r="V38" i="26"/>
  <c r="V36" i="26"/>
  <c r="W68" i="11" s="1"/>
  <c r="W44" i="26"/>
  <c r="V34" i="26"/>
  <c r="W140" i="10" s="1"/>
  <c r="V32" i="26"/>
  <c r="V30" i="26"/>
  <c r="V28" i="26"/>
  <c r="V82" i="17" s="1"/>
  <c r="V26" i="26"/>
  <c r="V25" i="17" s="1"/>
  <c r="V32" i="17" s="1"/>
  <c r="V24" i="26"/>
  <c r="W82" i="8" s="1"/>
  <c r="V22" i="26"/>
  <c r="V20" i="26"/>
  <c r="V15" i="26"/>
  <c r="V16" i="26" s="1"/>
  <c r="V13" i="26"/>
  <c r="V14" i="26" s="1"/>
  <c r="W11" i="26"/>
  <c r="W18" i="26" s="1"/>
  <c r="V10" i="26"/>
  <c r="V8" i="26"/>
  <c r="W104" i="7"/>
  <c r="W103" i="7"/>
  <c r="W102" i="7"/>
  <c r="W101" i="7"/>
  <c r="W100" i="7"/>
  <c r="W99" i="7"/>
  <c r="W98" i="7"/>
  <c r="W97" i="7"/>
  <c r="W94" i="7"/>
  <c r="W79" i="7"/>
  <c r="X78" i="7"/>
  <c r="X76" i="7"/>
  <c r="X69" i="7"/>
  <c r="W69" i="7"/>
  <c r="X65" i="7"/>
  <c r="X67" i="7" s="1"/>
  <c r="W65" i="7"/>
  <c r="W67" i="7" s="1"/>
  <c r="X61" i="7"/>
  <c r="W61" i="7"/>
  <c r="W56" i="7"/>
  <c r="W55" i="7"/>
  <c r="W54" i="7"/>
  <c r="W53" i="7"/>
  <c r="W52" i="7"/>
  <c r="W51" i="7"/>
  <c r="W90" i="7" s="1"/>
  <c r="W50" i="7"/>
  <c r="W49" i="7"/>
  <c r="X46" i="7"/>
  <c r="X19" i="7"/>
  <c r="W48" i="39" s="1"/>
  <c r="W50" i="39" s="1"/>
  <c r="Z2" i="6"/>
  <c r="Z49" i="6"/>
  <c r="Z48" i="6"/>
  <c r="Z46" i="6"/>
  <c r="Z45" i="6"/>
  <c r="Z43" i="6"/>
  <c r="Z42" i="6"/>
  <c r="Z40" i="6"/>
  <c r="Z39" i="6"/>
  <c r="W133" i="6"/>
  <c r="W129" i="6"/>
  <c r="W75" i="7" l="1"/>
  <c r="Z28" i="59" s="1"/>
  <c r="W25" i="7"/>
  <c r="W85" i="7" s="1"/>
  <c r="X56" i="7"/>
  <c r="X55" i="7"/>
  <c r="X54" i="7"/>
  <c r="X53" i="7"/>
  <c r="X52" i="7"/>
  <c r="X51" i="7"/>
  <c r="X90" i="7" s="1"/>
  <c r="X50" i="7"/>
  <c r="X49" i="7"/>
  <c r="W17" i="49"/>
  <c r="W18" i="49" s="1"/>
  <c r="W129" i="8"/>
  <c r="W131" i="8" s="1"/>
  <c r="X79" i="9"/>
  <c r="X32" i="7"/>
  <c r="X84" i="7" s="1"/>
  <c r="X33" i="7"/>
  <c r="X94" i="7" s="1"/>
  <c r="X30" i="7"/>
  <c r="X91" i="7" s="1"/>
  <c r="X22" i="7"/>
  <c r="W63" i="8"/>
  <c r="W10" i="49" s="1"/>
  <c r="W9" i="49"/>
  <c r="X70" i="8"/>
  <c r="X10" i="49"/>
  <c r="X12" i="49" s="1"/>
  <c r="X29" i="7"/>
  <c r="X89" i="7" s="1"/>
  <c r="AA35" i="59" s="1"/>
  <c r="X27" i="7"/>
  <c r="X87" i="7" s="1"/>
  <c r="AA33" i="59" s="1"/>
  <c r="X24" i="7"/>
  <c r="X77" i="7"/>
  <c r="AA36" i="59" s="1"/>
  <c r="X25" i="7"/>
  <c r="X85" i="7" s="1"/>
  <c r="Z47" i="6"/>
  <c r="Z41" i="6"/>
  <c r="X72" i="8"/>
  <c r="X33" i="8"/>
  <c r="W97" i="9"/>
  <c r="X69" i="8"/>
  <c r="X132" i="8"/>
  <c r="X51" i="8" s="1"/>
  <c r="X50" i="8"/>
  <c r="W65" i="8"/>
  <c r="W25" i="8"/>
  <c r="W67" i="8"/>
  <c r="W35" i="8" s="1"/>
  <c r="W57" i="8"/>
  <c r="W61" i="8" s="1"/>
  <c r="W34" i="8" s="1"/>
  <c r="X68" i="8"/>
  <c r="V11" i="26"/>
  <c r="V17" i="26" s="1"/>
  <c r="V109" i="26"/>
  <c r="V82" i="26"/>
  <c r="V84" i="26"/>
  <c r="V81" i="26"/>
  <c r="V74" i="26"/>
  <c r="V167" i="26" s="1"/>
  <c r="V162" i="26"/>
  <c r="V50" i="26"/>
  <c r="V55" i="26"/>
  <c r="V44" i="26"/>
  <c r="W17" i="26"/>
  <c r="W12" i="26"/>
  <c r="W50" i="26"/>
  <c r="W55" i="26"/>
  <c r="V56" i="26"/>
  <c r="W19" i="7"/>
  <c r="W37" i="7" s="1"/>
  <c r="W21" i="7"/>
  <c r="W81" i="7" s="1"/>
  <c r="Z29" i="59" s="1"/>
  <c r="W32" i="7"/>
  <c r="W84" i="7" s="1"/>
  <c r="W23" i="7"/>
  <c r="W83" i="7" s="1"/>
  <c r="Z31" i="59" s="1"/>
  <c r="W27" i="7"/>
  <c r="W87" i="7" s="1"/>
  <c r="Z33" i="59" s="1"/>
  <c r="W29" i="7"/>
  <c r="W89" i="7" s="1"/>
  <c r="Z35" i="59" s="1"/>
  <c r="W22" i="7"/>
  <c r="W82" i="7" s="1"/>
  <c r="Z30" i="59" s="1"/>
  <c r="W24" i="7"/>
  <c r="W93" i="7" s="1"/>
  <c r="Z32" i="59" s="1"/>
  <c r="X26" i="7"/>
  <c r="X86" i="7" s="1"/>
  <c r="X28" i="7"/>
  <c r="X88" i="7" s="1"/>
  <c r="AA34" i="59" s="1"/>
  <c r="X63" i="7"/>
  <c r="X70" i="7"/>
  <c r="X72" i="7"/>
  <c r="X75" i="7"/>
  <c r="AA28" i="59" s="1"/>
  <c r="X21" i="7"/>
  <c r="X23" i="7"/>
  <c r="W26" i="7"/>
  <c r="W86" i="7" s="1"/>
  <c r="W28" i="7"/>
  <c r="W88" i="7" s="1"/>
  <c r="Z34" i="59" s="1"/>
  <c r="W30" i="7"/>
  <c r="W91" i="7" s="1"/>
  <c r="W62" i="7"/>
  <c r="W70" i="7"/>
  <c r="W72" i="7"/>
  <c r="Z44" i="6"/>
  <c r="Z50" i="6"/>
  <c r="X82" i="7" l="1"/>
  <c r="AA30" i="59" s="1"/>
  <c r="W12" i="49"/>
  <c r="W130" i="8"/>
  <c r="W132" i="8" s="1"/>
  <c r="X34" i="7"/>
  <c r="X48" i="7" s="1"/>
  <c r="V89" i="26"/>
  <c r="V84" i="17"/>
  <c r="W33" i="8"/>
  <c r="X93" i="7"/>
  <c r="AA32" i="59" s="1"/>
  <c r="X83" i="7"/>
  <c r="AA31" i="59" s="1"/>
  <c r="V18" i="26"/>
  <c r="V12" i="26"/>
  <c r="W36" i="8"/>
  <c r="V166" i="26"/>
  <c r="V159" i="26"/>
  <c r="W95" i="7"/>
  <c r="W34" i="7"/>
  <c r="W48" i="7" s="1"/>
  <c r="X81" i="7"/>
  <c r="X95" i="7" l="1"/>
  <c r="AA29" i="59"/>
  <c r="X57" i="7"/>
  <c r="X71" i="7"/>
  <c r="W57" i="7"/>
  <c r="W71" i="7"/>
  <c r="Z53" i="59" l="1"/>
  <c r="W16" i="36"/>
  <c r="W90" i="9" l="1"/>
  <c r="W19" i="9" s="1"/>
  <c r="W89" i="9"/>
  <c r="W40" i="35"/>
  <c r="W39" i="35"/>
  <c r="W37" i="35"/>
  <c r="X34" i="35"/>
  <c r="X44" i="35" s="1"/>
  <c r="W34" i="35"/>
  <c r="W31" i="35"/>
  <c r="X39" i="35"/>
  <c r="X24" i="35"/>
  <c r="X33" i="36" s="1"/>
  <c r="X34" i="36" s="1"/>
  <c r="X35" i="36" s="1"/>
  <c r="X36" i="36" s="1"/>
  <c r="W24" i="35"/>
  <c r="X19" i="35"/>
  <c r="X26" i="9" s="1"/>
  <c r="W19" i="35"/>
  <c r="W26" i="9" s="1"/>
  <c r="X11" i="35"/>
  <c r="W10" i="35"/>
  <c r="W14" i="35" s="1"/>
  <c r="W9" i="35"/>
  <c r="X8" i="35"/>
  <c r="W8" i="35"/>
  <c r="W44" i="35" l="1"/>
  <c r="W45" i="35" s="1"/>
  <c r="W28" i="28"/>
  <c r="W91" i="9"/>
  <c r="W11" i="35"/>
  <c r="W35" i="35"/>
  <c r="W13" i="35"/>
  <c r="W15" i="35" s="1"/>
  <c r="W33" i="28" l="1"/>
  <c r="W50" i="28"/>
  <c r="W55" i="28" s="1"/>
  <c r="W61" i="28" l="1"/>
  <c r="W361" i="28"/>
  <c r="U106" i="7"/>
  <c r="U105" i="7"/>
  <c r="U104" i="7"/>
  <c r="U103" i="7"/>
  <c r="U102" i="7"/>
  <c r="U101" i="7"/>
  <c r="U100" i="7"/>
  <c r="U99" i="7"/>
  <c r="U98" i="7"/>
  <c r="U97" i="7"/>
  <c r="U79" i="7"/>
  <c r="U56" i="7"/>
  <c r="U55" i="7"/>
  <c r="U54" i="7"/>
  <c r="U53" i="7"/>
  <c r="U52" i="7"/>
  <c r="U51" i="7"/>
  <c r="U90" i="7" s="1"/>
  <c r="U50" i="7"/>
  <c r="U49" i="7"/>
  <c r="U33" i="7"/>
  <c r="U94" i="7" s="1"/>
  <c r="U28" i="7"/>
  <c r="U88" i="7" s="1"/>
  <c r="V87" i="8"/>
  <c r="U75" i="8"/>
  <c r="U71" i="8"/>
  <c r="U50" i="8"/>
  <c r="U54" i="36"/>
  <c r="S54" i="36"/>
  <c r="S46" i="36" s="1"/>
  <c r="Q54" i="36"/>
  <c r="O54" i="36"/>
  <c r="M54" i="36"/>
  <c r="K54" i="36"/>
  <c r="I54" i="36"/>
  <c r="G54" i="36"/>
  <c r="U53" i="36"/>
  <c r="S53" i="36"/>
  <c r="Q53" i="36"/>
  <c r="O53" i="36"/>
  <c r="M53" i="36"/>
  <c r="K53" i="36"/>
  <c r="I53" i="36"/>
  <c r="G53" i="36"/>
  <c r="U51" i="36"/>
  <c r="S51" i="36"/>
  <c r="S43" i="36" s="1"/>
  <c r="S45" i="36" s="1"/>
  <c r="Q51" i="36"/>
  <c r="O51" i="36"/>
  <c r="M51" i="36"/>
  <c r="K51" i="36"/>
  <c r="I51" i="36"/>
  <c r="G51" i="36"/>
  <c r="U49" i="36"/>
  <c r="S49" i="36"/>
  <c r="Q49" i="36"/>
  <c r="O49" i="36"/>
  <c r="M49" i="36"/>
  <c r="K49" i="36"/>
  <c r="I49" i="36"/>
  <c r="G49" i="36"/>
  <c r="U48" i="36"/>
  <c r="S48" i="36"/>
  <c r="S40" i="36" s="1"/>
  <c r="S42" i="36" s="1"/>
  <c r="Q48" i="36"/>
  <c r="O48" i="36"/>
  <c r="M48" i="36"/>
  <c r="K48" i="36"/>
  <c r="I48" i="36"/>
  <c r="G48" i="36"/>
  <c r="T46" i="36"/>
  <c r="T54" i="36" s="1"/>
  <c r="P46" i="36"/>
  <c r="P54" i="36" s="1"/>
  <c r="L46" i="36"/>
  <c r="L54" i="36" s="1"/>
  <c r="H46" i="36"/>
  <c r="H54" i="36" s="1"/>
  <c r="T44" i="36"/>
  <c r="T52" i="36" s="1"/>
  <c r="P44" i="36"/>
  <c r="L44" i="36"/>
  <c r="L52" i="36" s="1"/>
  <c r="H44" i="36"/>
  <c r="H52" i="36" s="1"/>
  <c r="T43" i="36"/>
  <c r="P43" i="36"/>
  <c r="P51" i="36" s="1"/>
  <c r="L43" i="36"/>
  <c r="H43" i="36"/>
  <c r="T41" i="36"/>
  <c r="T49" i="36" s="1"/>
  <c r="P41" i="36"/>
  <c r="P49" i="36" s="1"/>
  <c r="L41" i="36"/>
  <c r="L49" i="36" s="1"/>
  <c r="H41" i="36"/>
  <c r="H49" i="36" s="1"/>
  <c r="T40" i="36"/>
  <c r="T48" i="36" s="1"/>
  <c r="P40" i="36"/>
  <c r="L40" i="36"/>
  <c r="H40" i="36"/>
  <c r="H48" i="36" s="1"/>
  <c r="T38" i="36"/>
  <c r="P38" i="36"/>
  <c r="L38" i="36"/>
  <c r="H38" i="36"/>
  <c r="F46" i="36"/>
  <c r="F54" i="36" s="1"/>
  <c r="F44" i="36"/>
  <c r="F43" i="36"/>
  <c r="F51" i="36" s="1"/>
  <c r="F41" i="36"/>
  <c r="F49" i="36" s="1"/>
  <c r="F40" i="36"/>
  <c r="F48" i="36" s="1"/>
  <c r="N41" i="36"/>
  <c r="N43" i="36"/>
  <c r="AB61" i="9"/>
  <c r="AF61" i="9" s="1"/>
  <c r="J56" i="9"/>
  <c r="J58" i="9"/>
  <c r="J59" i="9"/>
  <c r="J44" i="36" s="1"/>
  <c r="J61" i="9"/>
  <c r="O78" i="9"/>
  <c r="O76" i="9"/>
  <c r="O75" i="9"/>
  <c r="O73" i="9"/>
  <c r="O72" i="9"/>
  <c r="K78" i="9"/>
  <c r="K76" i="9"/>
  <c r="K75" i="9"/>
  <c r="K73" i="9"/>
  <c r="K72" i="9"/>
  <c r="G78" i="9"/>
  <c r="G76" i="9"/>
  <c r="G75" i="9"/>
  <c r="G73" i="9"/>
  <c r="G72" i="9"/>
  <c r="E78" i="9"/>
  <c r="E76" i="9"/>
  <c r="E75" i="9"/>
  <c r="E73" i="9"/>
  <c r="E72" i="9"/>
  <c r="D61" i="9"/>
  <c r="D59" i="9"/>
  <c r="D58" i="9"/>
  <c r="D56" i="9"/>
  <c r="D77" i="9"/>
  <c r="H60" i="9"/>
  <c r="F60" i="9"/>
  <c r="T60" i="9"/>
  <c r="P60" i="9"/>
  <c r="L60" i="9"/>
  <c r="F38" i="36"/>
  <c r="U31" i="36"/>
  <c r="V31" i="36"/>
  <c r="U29" i="36"/>
  <c r="U28" i="36"/>
  <c r="U27" i="36"/>
  <c r="U23" i="36"/>
  <c r="U22" i="36"/>
  <c r="U21" i="36"/>
  <c r="U17" i="36"/>
  <c r="U16" i="36"/>
  <c r="U9" i="36"/>
  <c r="U8" i="36"/>
  <c r="U7" i="36"/>
  <c r="U5" i="36"/>
  <c r="T45" i="36" l="1"/>
  <c r="AY52" i="36"/>
  <c r="BA52" i="36"/>
  <c r="N60" i="9"/>
  <c r="AW52" i="36"/>
  <c r="AU52" i="36"/>
  <c r="AJ61" i="9"/>
  <c r="AF46" i="36"/>
  <c r="D60" i="9"/>
  <c r="I50" i="36"/>
  <c r="L42" i="36"/>
  <c r="Z60" i="9"/>
  <c r="H45" i="36"/>
  <c r="O74" i="9"/>
  <c r="P52" i="36"/>
  <c r="Z44" i="36"/>
  <c r="E74" i="9"/>
  <c r="W364" i="28"/>
  <c r="W387" i="28"/>
  <c r="W77" i="28"/>
  <c r="W365" i="28" s="1"/>
  <c r="W62" i="28"/>
  <c r="P42" i="36"/>
  <c r="E77" i="9"/>
  <c r="J41" i="36"/>
  <c r="J43" i="36"/>
  <c r="R61" i="9"/>
  <c r="L45" i="36"/>
  <c r="J46" i="36"/>
  <c r="N44" i="36"/>
  <c r="N45" i="36" s="1"/>
  <c r="N46" i="36"/>
  <c r="U50" i="36"/>
  <c r="H51" i="36"/>
  <c r="H53" i="36" s="1"/>
  <c r="T51" i="36"/>
  <c r="T53" i="36" s="1"/>
  <c r="G77" i="9"/>
  <c r="K77" i="9"/>
  <c r="O77" i="9"/>
  <c r="K74" i="9"/>
  <c r="G74" i="9"/>
  <c r="M50" i="36"/>
  <c r="Q50" i="36"/>
  <c r="T50" i="36"/>
  <c r="O50" i="36"/>
  <c r="S50" i="36"/>
  <c r="K50" i="36"/>
  <c r="G50" i="36"/>
  <c r="H50" i="36"/>
  <c r="L48" i="36"/>
  <c r="L50" i="36" s="1"/>
  <c r="L51" i="36"/>
  <c r="L53" i="36" s="1"/>
  <c r="P45" i="36"/>
  <c r="P48" i="36"/>
  <c r="P50" i="36" s="1"/>
  <c r="T42" i="36"/>
  <c r="H42" i="36"/>
  <c r="F50" i="36"/>
  <c r="R60" i="9"/>
  <c r="R56" i="9"/>
  <c r="J60" i="9"/>
  <c r="R58" i="9"/>
  <c r="R59" i="9"/>
  <c r="P53" i="36" l="1"/>
  <c r="BE52" i="36"/>
  <c r="AP61" i="9"/>
  <c r="AJ46" i="36"/>
  <c r="AB60" i="9"/>
  <c r="AF60" i="9" s="1"/>
  <c r="AJ60" i="9" s="1"/>
  <c r="AP60" i="9" s="1"/>
  <c r="AT60" i="9" s="1"/>
  <c r="AX60" i="9" s="1"/>
  <c r="BF60" i="9" s="1"/>
  <c r="W386" i="28"/>
  <c r="W81" i="28"/>
  <c r="W385" i="28"/>
  <c r="AB44" i="36"/>
  <c r="V60" i="9"/>
  <c r="V58" i="9"/>
  <c r="R43" i="36"/>
  <c r="V61" i="9"/>
  <c r="R46" i="36"/>
  <c r="J45" i="36"/>
  <c r="V59" i="9"/>
  <c r="R44" i="36"/>
  <c r="V56" i="9"/>
  <c r="R41" i="36"/>
  <c r="AT61" i="9" l="1"/>
  <c r="AX61" i="9" s="1"/>
  <c r="AP46" i="36"/>
  <c r="V46" i="36"/>
  <c r="V44" i="36"/>
  <c r="R45" i="36"/>
  <c r="V41" i="36"/>
  <c r="V43" i="36"/>
  <c r="BF61" i="9" l="1"/>
  <c r="AX46" i="36"/>
  <c r="AT46" i="36"/>
  <c r="V45" i="36"/>
  <c r="M65" i="39" l="1"/>
  <c r="M64" i="39"/>
  <c r="T66" i="8" l="1"/>
  <c r="T67" i="8" s="1"/>
  <c r="T64" i="8"/>
  <c r="T65" i="8" s="1"/>
  <c r="T62" i="8"/>
  <c r="T63" i="8" s="1"/>
  <c r="T59" i="8"/>
  <c r="T56" i="8"/>
  <c r="T57" i="8" s="1"/>
  <c r="P66" i="8"/>
  <c r="P64" i="8"/>
  <c r="P62" i="8"/>
  <c r="P59" i="8"/>
  <c r="P56" i="8"/>
  <c r="L66" i="8"/>
  <c r="L67" i="8" s="1"/>
  <c r="L64" i="8"/>
  <c r="L65" i="8" s="1"/>
  <c r="L62" i="8"/>
  <c r="L63" i="8" s="1"/>
  <c r="L59" i="8"/>
  <c r="L56" i="8"/>
  <c r="L60" i="8" s="1"/>
  <c r="H66" i="8"/>
  <c r="H67" i="8" s="1"/>
  <c r="H64" i="8"/>
  <c r="H65" i="8" s="1"/>
  <c r="H62" i="8"/>
  <c r="H63" i="8" s="1"/>
  <c r="H59" i="8"/>
  <c r="H56" i="8"/>
  <c r="H60" i="8" s="1"/>
  <c r="F66" i="8"/>
  <c r="F64" i="8"/>
  <c r="F62" i="8"/>
  <c r="F56" i="8"/>
  <c r="H6" i="39"/>
  <c r="L6" i="39" s="1"/>
  <c r="P6" i="39" s="1"/>
  <c r="T6" i="39" s="1"/>
  <c r="I6" i="39"/>
  <c r="Q6" i="39" s="1"/>
  <c r="U6" i="39" s="1"/>
  <c r="H7" i="39"/>
  <c r="L7" i="39" s="1"/>
  <c r="P7" i="39" s="1"/>
  <c r="T7" i="39" s="1"/>
  <c r="I7" i="39"/>
  <c r="Q7" i="39" s="1"/>
  <c r="U7" i="39" s="1"/>
  <c r="H9" i="39"/>
  <c r="L9" i="39" s="1"/>
  <c r="P9" i="39" s="1"/>
  <c r="T9" i="39" s="1"/>
  <c r="I9" i="39"/>
  <c r="Q9" i="39" s="1"/>
  <c r="U9" i="39" s="1"/>
  <c r="H10" i="39"/>
  <c r="L10" i="39" s="1"/>
  <c r="P10" i="39" s="1"/>
  <c r="T10" i="39" s="1"/>
  <c r="I10" i="39"/>
  <c r="Q10" i="39" s="1"/>
  <c r="U10" i="39" s="1"/>
  <c r="H11" i="39"/>
  <c r="L11" i="39" s="1"/>
  <c r="P11" i="39" s="1"/>
  <c r="T11" i="39" s="1"/>
  <c r="I11" i="39"/>
  <c r="Q11" i="39" s="1"/>
  <c r="U11" i="39" s="1"/>
  <c r="H12" i="39"/>
  <c r="L12" i="39" s="1"/>
  <c r="P12" i="39" s="1"/>
  <c r="T12" i="39" s="1"/>
  <c r="I12" i="39"/>
  <c r="Q12" i="39" s="1"/>
  <c r="U12" i="39" s="1"/>
  <c r="H13" i="39"/>
  <c r="L13" i="39" s="1"/>
  <c r="P13" i="39" s="1"/>
  <c r="T13" i="39" s="1"/>
  <c r="I13" i="39"/>
  <c r="Q13" i="39" s="1"/>
  <c r="U13" i="39" s="1"/>
  <c r="H14" i="39"/>
  <c r="L14" i="39" s="1"/>
  <c r="P14" i="39" s="1"/>
  <c r="T14" i="39" s="1"/>
  <c r="I14" i="39"/>
  <c r="Q14" i="39" s="1"/>
  <c r="U14" i="39" s="1"/>
  <c r="H15" i="39"/>
  <c r="L15" i="39" s="1"/>
  <c r="P15" i="39" s="1"/>
  <c r="T15" i="39" s="1"/>
  <c r="I15" i="39"/>
  <c r="Q15" i="39" s="1"/>
  <c r="U15" i="39" s="1"/>
  <c r="H16" i="39"/>
  <c r="L16" i="39" s="1"/>
  <c r="P16" i="39" s="1"/>
  <c r="T16" i="39" s="1"/>
  <c r="I16" i="39"/>
  <c r="Q16" i="39" s="1"/>
  <c r="U16" i="39" s="1"/>
  <c r="H17" i="39"/>
  <c r="L17" i="39" s="1"/>
  <c r="P17" i="39" s="1"/>
  <c r="T17" i="39" s="1"/>
  <c r="I17" i="39"/>
  <c r="Q17" i="39" s="1"/>
  <c r="U17" i="39" s="1"/>
  <c r="H18" i="39"/>
  <c r="L18" i="39" s="1"/>
  <c r="P18" i="39" s="1"/>
  <c r="T18" i="39" s="1"/>
  <c r="I18" i="39"/>
  <c r="Q18" i="39" s="1"/>
  <c r="U18" i="39" s="1"/>
  <c r="H19" i="39"/>
  <c r="L19" i="39" s="1"/>
  <c r="P19" i="39" s="1"/>
  <c r="T19" i="39" s="1"/>
  <c r="I19" i="39"/>
  <c r="Q19" i="39" s="1"/>
  <c r="U19" i="39" s="1"/>
  <c r="H22" i="39"/>
  <c r="L22" i="39" s="1"/>
  <c r="P22" i="39" s="1"/>
  <c r="T22" i="39" s="1"/>
  <c r="H23" i="39"/>
  <c r="H27" i="39"/>
  <c r="L27" i="39" s="1"/>
  <c r="P27" i="39" s="1"/>
  <c r="T27" i="39" s="1"/>
  <c r="I27" i="39"/>
  <c r="H28" i="39"/>
  <c r="L28" i="39" s="1"/>
  <c r="P28" i="39" s="1"/>
  <c r="T28" i="39" s="1"/>
  <c r="I28" i="39"/>
  <c r="H29" i="39"/>
  <c r="L29" i="39" s="1"/>
  <c r="P29" i="39" s="1"/>
  <c r="T29" i="39" s="1"/>
  <c r="I29" i="39"/>
  <c r="H30" i="39"/>
  <c r="L30" i="39" s="1"/>
  <c r="P30" i="39" s="1"/>
  <c r="T30" i="39" s="1"/>
  <c r="I30" i="39"/>
  <c r="H33" i="39"/>
  <c r="L33" i="39" s="1"/>
  <c r="P33" i="39" s="1"/>
  <c r="T33" i="39" s="1"/>
  <c r="H36" i="39"/>
  <c r="L36" i="39" s="1"/>
  <c r="P36" i="39" s="1"/>
  <c r="T36" i="39" s="1"/>
  <c r="I36" i="39"/>
  <c r="Q36" i="39" s="1"/>
  <c r="U36" i="39" s="1"/>
  <c r="H37" i="39"/>
  <c r="L37" i="39" s="1"/>
  <c r="P37" i="39" s="1"/>
  <c r="T37" i="39" s="1"/>
  <c r="I37" i="39"/>
  <c r="Q37" i="39" s="1"/>
  <c r="U37" i="39" s="1"/>
  <c r="H38" i="39"/>
  <c r="L38" i="39" s="1"/>
  <c r="P38" i="39" s="1"/>
  <c r="T38" i="39" s="1"/>
  <c r="I38" i="39"/>
  <c r="Q38" i="39" s="1"/>
  <c r="U38" i="39" s="1"/>
  <c r="H41" i="39"/>
  <c r="L41" i="39" s="1"/>
  <c r="P41" i="39" s="1"/>
  <c r="T41" i="39" s="1"/>
  <c r="I41" i="39"/>
  <c r="Q41" i="39" s="1"/>
  <c r="U41" i="39" s="1"/>
  <c r="H42" i="39"/>
  <c r="L42" i="39" s="1"/>
  <c r="P42" i="39" s="1"/>
  <c r="T42" i="39" s="1"/>
  <c r="I42" i="39"/>
  <c r="Q42" i="39" s="1"/>
  <c r="U42" i="39" s="1"/>
  <c r="H44" i="39"/>
  <c r="H45" i="39"/>
  <c r="L45" i="39" s="1"/>
  <c r="P45" i="39" s="1"/>
  <c r="T45" i="39" s="1"/>
  <c r="I45" i="39"/>
  <c r="Q45" i="39" s="1"/>
  <c r="U45" i="39" s="1"/>
  <c r="H46" i="39"/>
  <c r="L46" i="39" s="1"/>
  <c r="P46" i="39" s="1"/>
  <c r="T46" i="39" s="1"/>
  <c r="I46" i="39"/>
  <c r="Q46" i="39" s="1"/>
  <c r="U46" i="39" s="1"/>
  <c r="H47" i="39"/>
  <c r="L47" i="39" s="1"/>
  <c r="P47" i="39" s="1"/>
  <c r="T47" i="39" s="1"/>
  <c r="I47" i="39"/>
  <c r="Q47" i="39" s="1"/>
  <c r="U47" i="39" s="1"/>
  <c r="H48" i="39"/>
  <c r="L48" i="39" s="1"/>
  <c r="P48" i="39" s="1"/>
  <c r="T48" i="39" s="1"/>
  <c r="H53" i="39"/>
  <c r="L53" i="39" s="1"/>
  <c r="P53" i="39" s="1"/>
  <c r="T53" i="39" s="1"/>
  <c r="I53" i="39"/>
  <c r="Q53" i="39" s="1"/>
  <c r="U53" i="39" s="1"/>
  <c r="H54" i="39"/>
  <c r="L54" i="39" s="1"/>
  <c r="P54" i="39" s="1"/>
  <c r="T54" i="39" s="1"/>
  <c r="I54" i="39"/>
  <c r="Q54" i="39" s="1"/>
  <c r="U54" i="39" s="1"/>
  <c r="H55" i="39"/>
  <c r="L55" i="39" s="1"/>
  <c r="P55" i="39" s="1"/>
  <c r="T55" i="39" s="1"/>
  <c r="I55" i="39"/>
  <c r="Q55" i="39" s="1"/>
  <c r="U55" i="39" s="1"/>
  <c r="H56" i="39"/>
  <c r="L56" i="39" s="1"/>
  <c r="P56" i="39" s="1"/>
  <c r="T56" i="39" s="1"/>
  <c r="I56" i="39"/>
  <c r="Q56" i="39" s="1"/>
  <c r="U56" i="39" s="1"/>
  <c r="H57" i="39"/>
  <c r="L57" i="39" s="1"/>
  <c r="P57" i="39" s="1"/>
  <c r="T57" i="39" s="1"/>
  <c r="I57" i="39"/>
  <c r="Q57" i="39" s="1"/>
  <c r="U57" i="39" s="1"/>
  <c r="H58" i="39"/>
  <c r="L58" i="39" s="1"/>
  <c r="P58" i="39" s="1"/>
  <c r="T58" i="39" s="1"/>
  <c r="I58" i="39"/>
  <c r="Q58" i="39" s="1"/>
  <c r="U58" i="39" s="1"/>
  <c r="H59" i="39"/>
  <c r="L59" i="39" s="1"/>
  <c r="P59" i="39" s="1"/>
  <c r="T59" i="39" s="1"/>
  <c r="I59" i="39"/>
  <c r="Q59" i="39" s="1"/>
  <c r="U59" i="39" s="1"/>
  <c r="H60" i="39"/>
  <c r="L60" i="39" s="1"/>
  <c r="P60" i="39" s="1"/>
  <c r="T60" i="39" s="1"/>
  <c r="I60" i="39"/>
  <c r="Q60" i="39" s="1"/>
  <c r="U60" i="39" s="1"/>
  <c r="H62" i="39"/>
  <c r="L62" i="39" s="1"/>
  <c r="P62" i="39" s="1"/>
  <c r="T62" i="39" s="1"/>
  <c r="I62" i="39"/>
  <c r="Q62" i="39" s="1"/>
  <c r="U62" i="39" s="1"/>
  <c r="E8" i="39"/>
  <c r="E21" i="39" s="1"/>
  <c r="F8" i="39"/>
  <c r="H8" i="39" s="1"/>
  <c r="G8" i="39"/>
  <c r="G21" i="39" s="1"/>
  <c r="J8" i="39"/>
  <c r="J21" i="39" s="1"/>
  <c r="K8" i="39"/>
  <c r="K21" i="39" s="1"/>
  <c r="N8" i="39"/>
  <c r="N21" i="39" s="1"/>
  <c r="N23" i="39" s="1"/>
  <c r="O8" i="39"/>
  <c r="O21" i="39" s="1"/>
  <c r="R8" i="39"/>
  <c r="R21" i="39" s="1"/>
  <c r="S8" i="39"/>
  <c r="S21" i="39" s="1"/>
  <c r="N49" i="39"/>
  <c r="N50" i="39" s="1"/>
  <c r="J49" i="39"/>
  <c r="J50" i="39" s="1"/>
  <c r="F49" i="39"/>
  <c r="H49" i="39" s="1"/>
  <c r="O49" i="39"/>
  <c r="R44" i="39"/>
  <c r="N44" i="39"/>
  <c r="J44" i="39"/>
  <c r="H5" i="39"/>
  <c r="L5" i="39" s="1"/>
  <c r="P5" i="39" s="1"/>
  <c r="T5" i="39" s="1"/>
  <c r="N56" i="8" l="1"/>
  <c r="N60" i="8" s="1"/>
  <c r="Z56" i="8"/>
  <c r="N62" i="8"/>
  <c r="P63" i="8"/>
  <c r="Z62" i="8"/>
  <c r="P65" i="8"/>
  <c r="Z64" i="8"/>
  <c r="P67" i="8"/>
  <c r="Z66" i="8"/>
  <c r="N66" i="8"/>
  <c r="N64" i="8"/>
  <c r="Y21" i="39"/>
  <c r="Y8" i="39"/>
  <c r="M21" i="39"/>
  <c r="M8" i="39"/>
  <c r="L49" i="39"/>
  <c r="P49" i="39" s="1"/>
  <c r="T49" i="39" s="1"/>
  <c r="T60" i="8"/>
  <c r="T61" i="8"/>
  <c r="L8" i="39"/>
  <c r="P8" i="39" s="1"/>
  <c r="T8" i="39" s="1"/>
  <c r="P57" i="8"/>
  <c r="P61" i="8" s="1"/>
  <c r="L44" i="39"/>
  <c r="P44" i="39" s="1"/>
  <c r="T44" i="39" s="1"/>
  <c r="Q27" i="39"/>
  <c r="U27" i="39" s="1"/>
  <c r="Q28" i="39"/>
  <c r="U28" i="39" s="1"/>
  <c r="Q29" i="39"/>
  <c r="U29" i="39" s="1"/>
  <c r="F50" i="39"/>
  <c r="H50" i="39" s="1"/>
  <c r="L50" i="39" s="1"/>
  <c r="P50" i="39" s="1"/>
  <c r="T50" i="39" s="1"/>
  <c r="F21" i="39"/>
  <c r="H21" i="39" s="1"/>
  <c r="L21" i="39" s="1"/>
  <c r="P21" i="39" s="1"/>
  <c r="T21" i="39" s="1"/>
  <c r="I8" i="39"/>
  <c r="Q8" i="39" s="1"/>
  <c r="U8" i="39" s="1"/>
  <c r="L57" i="8"/>
  <c r="L61" i="8" s="1"/>
  <c r="P60" i="8"/>
  <c r="Q30" i="39"/>
  <c r="U30" i="39" s="1"/>
  <c r="H57" i="8"/>
  <c r="H61" i="8" s="1"/>
  <c r="J23" i="39"/>
  <c r="L23" i="39" s="1"/>
  <c r="P23" i="39" s="1"/>
  <c r="T23" i="39" s="1"/>
  <c r="G49" i="39"/>
  <c r="I5" i="39"/>
  <c r="K22" i="39"/>
  <c r="S44" i="39"/>
  <c r="K49" i="39"/>
  <c r="K44" i="39"/>
  <c r="O22" i="39"/>
  <c r="G22" i="39"/>
  <c r="E44" i="39"/>
  <c r="E49" i="39"/>
  <c r="O44" i="39"/>
  <c r="G44" i="39"/>
  <c r="S22" i="39"/>
  <c r="S23" i="39" s="1"/>
  <c r="S49" i="39"/>
  <c r="Y49" i="39" s="1"/>
  <c r="E22" i="39"/>
  <c r="S94" i="7"/>
  <c r="M22" i="39" l="1"/>
  <c r="Z52" i="8"/>
  <c r="AB64" i="8"/>
  <c r="AF64" i="8" s="1"/>
  <c r="AJ64" i="8" s="1"/>
  <c r="M49" i="39"/>
  <c r="AA49" i="39" s="1"/>
  <c r="AE49" i="39" s="1"/>
  <c r="AI49" i="39" s="1"/>
  <c r="AO49" i="39" s="1"/>
  <c r="AS49" i="39" s="1"/>
  <c r="AW49" i="39" s="1"/>
  <c r="BE49" i="39" s="1"/>
  <c r="AA21" i="39"/>
  <c r="AA8" i="39"/>
  <c r="AE8" i="39" s="1"/>
  <c r="M44" i="39"/>
  <c r="I21" i="39"/>
  <c r="Q21" i="39" s="1"/>
  <c r="U21" i="39" s="1"/>
  <c r="Y44" i="39"/>
  <c r="Y22" i="39"/>
  <c r="AA22" i="39" s="1"/>
  <c r="AE22" i="39" s="1"/>
  <c r="AI22" i="39" s="1"/>
  <c r="AO22" i="39" s="1"/>
  <c r="AS22" i="39" s="1"/>
  <c r="AW22" i="39" s="1"/>
  <c r="BE22" i="39" s="1"/>
  <c r="I22" i="39"/>
  <c r="I44" i="39"/>
  <c r="I49" i="39"/>
  <c r="Q5" i="39"/>
  <c r="K23" i="39"/>
  <c r="G23" i="39"/>
  <c r="O23" i="39"/>
  <c r="Y23" i="39" s="1"/>
  <c r="AI8" i="39" l="1"/>
  <c r="AE21" i="39"/>
  <c r="AO8" i="39"/>
  <c r="AS8" i="39" s="1"/>
  <c r="AS21" i="39" s="1"/>
  <c r="AW21" i="39" s="1"/>
  <c r="BE21" i="39" s="1"/>
  <c r="AI21" i="39"/>
  <c r="AO21" i="39" s="1"/>
  <c r="Q49" i="39"/>
  <c r="Q22" i="39"/>
  <c r="U22" i="39" s="1"/>
  <c r="AP64" i="8"/>
  <c r="AT64" i="8" s="1"/>
  <c r="AX64" i="8" s="1"/>
  <c r="BF64" i="8" s="1"/>
  <c r="Q44" i="39"/>
  <c r="U44" i="39" s="1"/>
  <c r="AA44" i="39"/>
  <c r="AE44" i="39" s="1"/>
  <c r="AI44" i="39" s="1"/>
  <c r="AO44" i="39" s="1"/>
  <c r="AS44" i="39" s="1"/>
  <c r="AW44" i="39" s="1"/>
  <c r="BE44" i="39" s="1"/>
  <c r="U5" i="39"/>
  <c r="AW8" i="39" l="1"/>
  <c r="BE8" i="39" s="1"/>
  <c r="U49" i="39"/>
  <c r="Q52" i="39"/>
  <c r="S56" i="7"/>
  <c r="S55" i="7"/>
  <c r="S54" i="7"/>
  <c r="S53" i="7"/>
  <c r="S52" i="7"/>
  <c r="S51" i="7"/>
  <c r="S90" i="7" s="1"/>
  <c r="S50" i="7"/>
  <c r="S49" i="7"/>
  <c r="O56" i="7"/>
  <c r="O55" i="7"/>
  <c r="O54" i="7"/>
  <c r="O53" i="7"/>
  <c r="O52" i="7"/>
  <c r="O51" i="7"/>
  <c r="O50" i="7"/>
  <c r="O49" i="7"/>
  <c r="K56" i="7"/>
  <c r="K55" i="7"/>
  <c r="K54" i="7"/>
  <c r="K53" i="7"/>
  <c r="K52" i="7"/>
  <c r="K51" i="7"/>
  <c r="K50" i="7"/>
  <c r="K49" i="7"/>
  <c r="G56" i="7"/>
  <c r="G55" i="7"/>
  <c r="G54" i="7"/>
  <c r="G53" i="7"/>
  <c r="G52" i="7"/>
  <c r="G51" i="7"/>
  <c r="G50" i="7"/>
  <c r="G49" i="7"/>
  <c r="E56" i="7"/>
  <c r="E55" i="7"/>
  <c r="E54" i="7"/>
  <c r="E53" i="7"/>
  <c r="E52" i="7"/>
  <c r="E51" i="7"/>
  <c r="E50" i="7"/>
  <c r="E49" i="7"/>
  <c r="V303" i="28" l="1"/>
  <c r="N25" i="22" l="1"/>
  <c r="N31" i="22" s="1"/>
  <c r="N22" i="22"/>
  <c r="N21" i="22"/>
  <c r="N13" i="22"/>
  <c r="N11" i="22"/>
  <c r="N17" i="22" s="1"/>
  <c r="N8" i="22"/>
  <c r="N7" i="22"/>
  <c r="N87" i="8"/>
  <c r="N19" i="22" l="1"/>
  <c r="N18" i="22"/>
  <c r="N16" i="22"/>
  <c r="N30" i="22"/>
  <c r="O94" i="7"/>
  <c r="M94" i="7"/>
  <c r="I85" i="7"/>
  <c r="J85" i="7"/>
  <c r="E90" i="7"/>
  <c r="G90" i="7"/>
  <c r="K90" i="7"/>
  <c r="E94" i="7"/>
  <c r="G94" i="7"/>
  <c r="I94" i="7"/>
  <c r="K94" i="7"/>
  <c r="D88" i="7"/>
  <c r="D90" i="7"/>
  <c r="D94" i="7"/>
  <c r="E69" i="8"/>
  <c r="T62" i="11" l="1"/>
  <c r="F6" i="35" l="1"/>
  <c r="F5" i="6" s="1"/>
  <c r="M58" i="6" l="1"/>
  <c r="M57" i="6"/>
  <c r="M56" i="6"/>
  <c r="U13" i="49" l="1"/>
  <c r="S71" i="77"/>
  <c r="S113" i="77" s="1"/>
  <c r="O64" i="77"/>
  <c r="Y64" i="77" s="1"/>
  <c r="K64" i="77"/>
  <c r="K71" i="77" s="1"/>
  <c r="K113" i="77" s="1"/>
  <c r="D19" i="35"/>
  <c r="O71" i="77" l="1"/>
  <c r="V340" i="28"/>
  <c r="Y71" i="77" l="1"/>
  <c r="Y113" i="77" s="1"/>
  <c r="O113" i="77"/>
  <c r="V337" i="28"/>
  <c r="V328" i="28"/>
  <c r="Q66" i="77" l="1"/>
  <c r="U66" i="77" s="1"/>
  <c r="Q67" i="77"/>
  <c r="U67" i="77" s="1"/>
  <c r="Q68" i="77"/>
  <c r="U68" i="77" s="1"/>
  <c r="Q65" i="77"/>
  <c r="U65" i="77" s="1"/>
  <c r="H65" i="77"/>
  <c r="H66" i="77"/>
  <c r="H67" i="77"/>
  <c r="H68" i="77"/>
  <c r="I66" i="77"/>
  <c r="I67" i="77"/>
  <c r="I68" i="77"/>
  <c r="I65" i="77"/>
  <c r="H64" i="77"/>
  <c r="G64" i="77"/>
  <c r="E64" i="77"/>
  <c r="M64" i="77" l="1"/>
  <c r="AA64" i="77" s="1"/>
  <c r="AE64" i="77" s="1"/>
  <c r="AI64" i="77" s="1"/>
  <c r="AO64" i="77" s="1"/>
  <c r="AS64" i="77" s="1"/>
  <c r="U61" i="83"/>
  <c r="AA61" i="83" s="1"/>
  <c r="AG61" i="83" s="1"/>
  <c r="AQ61" i="83" s="1"/>
  <c r="U62" i="83"/>
  <c r="AA62" i="83" s="1"/>
  <c r="AG62" i="83" s="1"/>
  <c r="AQ62" i="83" s="1"/>
  <c r="U63" i="83"/>
  <c r="AA63" i="83" s="1"/>
  <c r="AG63" i="83" s="1"/>
  <c r="AQ63" i="83" s="1"/>
  <c r="U64" i="83"/>
  <c r="AA64" i="83" s="1"/>
  <c r="AG64" i="83" s="1"/>
  <c r="AQ64" i="83" s="1"/>
  <c r="U65" i="83"/>
  <c r="AA65" i="83" s="1"/>
  <c r="AG65" i="83" s="1"/>
  <c r="AQ65" i="83" s="1"/>
  <c r="U66" i="83"/>
  <c r="AA66" i="83" s="1"/>
  <c r="AG66" i="83" s="1"/>
  <c r="AQ66" i="83" s="1"/>
  <c r="U59" i="83"/>
  <c r="AA59" i="83" s="1"/>
  <c r="AG59" i="83" s="1"/>
  <c r="AQ59" i="83" s="1"/>
  <c r="U44" i="83"/>
  <c r="AA44" i="83" s="1"/>
  <c r="U45" i="83"/>
  <c r="AA45" i="83" s="1"/>
  <c r="U46" i="83"/>
  <c r="AA46" i="83" s="1"/>
  <c r="U47" i="83"/>
  <c r="AA47" i="83" s="1"/>
  <c r="U51" i="83"/>
  <c r="AA51" i="83" s="1"/>
  <c r="U52" i="83"/>
  <c r="AA52" i="83" s="1"/>
  <c r="U54" i="83"/>
  <c r="AA54" i="83" s="1"/>
  <c r="U55" i="83"/>
  <c r="AA55" i="83" s="1"/>
  <c r="U56" i="83"/>
  <c r="AA56" i="83" s="1"/>
  <c r="U57" i="83"/>
  <c r="AA57" i="83" s="1"/>
  <c r="U43" i="83"/>
  <c r="AA43" i="83" s="1"/>
  <c r="U39" i="83"/>
  <c r="U42" i="83" s="1"/>
  <c r="U33" i="83"/>
  <c r="U34" i="83"/>
  <c r="U35" i="83"/>
  <c r="U36" i="83"/>
  <c r="U37" i="83"/>
  <c r="U32" i="83"/>
  <c r="G5" i="83"/>
  <c r="G6" i="83"/>
  <c r="G7" i="83"/>
  <c r="G8" i="83"/>
  <c r="G10" i="83"/>
  <c r="G11" i="83"/>
  <c r="G12" i="83"/>
  <c r="G14" i="83"/>
  <c r="G15" i="83"/>
  <c r="G16" i="83"/>
  <c r="G17" i="83"/>
  <c r="G20" i="83"/>
  <c r="G25" i="83"/>
  <c r="G26" i="83"/>
  <c r="G27" i="83"/>
  <c r="G28" i="83"/>
  <c r="G29" i="83"/>
  <c r="G30" i="83"/>
  <c r="I5" i="83"/>
  <c r="I6" i="83"/>
  <c r="I7" i="83"/>
  <c r="I8" i="83"/>
  <c r="I10" i="83"/>
  <c r="I11" i="83"/>
  <c r="I12" i="83"/>
  <c r="I14" i="83"/>
  <c r="I15" i="83"/>
  <c r="I16" i="83"/>
  <c r="I17" i="83"/>
  <c r="I21" i="83"/>
  <c r="I23" i="83"/>
  <c r="I25" i="83"/>
  <c r="I26" i="83"/>
  <c r="I27" i="83"/>
  <c r="I28" i="83"/>
  <c r="I29" i="83"/>
  <c r="I30" i="83"/>
  <c r="I4" i="83"/>
  <c r="M5" i="83"/>
  <c r="M6" i="83"/>
  <c r="M7" i="83"/>
  <c r="M8" i="83"/>
  <c r="M10" i="83"/>
  <c r="M11" i="83"/>
  <c r="M12" i="83"/>
  <c r="M14" i="83"/>
  <c r="M15" i="83"/>
  <c r="M16" i="83"/>
  <c r="M17" i="83"/>
  <c r="M20" i="83"/>
  <c r="M22" i="83"/>
  <c r="M23" i="83"/>
  <c r="M24" i="83"/>
  <c r="M25" i="83"/>
  <c r="M26" i="83"/>
  <c r="M27" i="83"/>
  <c r="M28" i="83"/>
  <c r="M29" i="83"/>
  <c r="M30" i="83"/>
  <c r="Q5" i="83"/>
  <c r="Q6" i="83"/>
  <c r="Q7" i="83"/>
  <c r="Q8" i="83"/>
  <c r="Q9" i="83"/>
  <c r="Q10" i="83"/>
  <c r="Q11" i="83"/>
  <c r="Q12" i="83"/>
  <c r="Q14" i="83"/>
  <c r="Q15" i="83"/>
  <c r="Q16" i="83"/>
  <c r="Q17" i="83"/>
  <c r="Q20" i="83"/>
  <c r="Q21" i="83"/>
  <c r="Q23" i="83"/>
  <c r="Q25" i="83"/>
  <c r="Q26" i="83"/>
  <c r="Q27" i="83"/>
  <c r="Q29" i="83"/>
  <c r="Q30" i="83"/>
  <c r="Q4" i="83"/>
  <c r="U5" i="83"/>
  <c r="U6" i="83"/>
  <c r="U7" i="83"/>
  <c r="U8" i="83"/>
  <c r="U9" i="83"/>
  <c r="U10" i="83"/>
  <c r="U11" i="83"/>
  <c r="U12" i="83"/>
  <c r="U14" i="83"/>
  <c r="U15" i="83"/>
  <c r="U16" i="83"/>
  <c r="U17" i="83"/>
  <c r="U19" i="83"/>
  <c r="U20" i="83"/>
  <c r="U21" i="83"/>
  <c r="U22" i="83"/>
  <c r="U23" i="83"/>
  <c r="U24" i="83"/>
  <c r="U25" i="83"/>
  <c r="U26" i="83"/>
  <c r="U27" i="83"/>
  <c r="U28" i="83"/>
  <c r="U29" i="83"/>
  <c r="U30" i="83"/>
  <c r="U4" i="83"/>
  <c r="S14" i="85"/>
  <c r="S12" i="85"/>
  <c r="AY59" i="83" l="1"/>
  <c r="BE59" i="83"/>
  <c r="AY66" i="83"/>
  <c r="BE66" i="83"/>
  <c r="AY65" i="83"/>
  <c r="BE65" i="83"/>
  <c r="AY64" i="83"/>
  <c r="BE64" i="83"/>
  <c r="AY63" i="83"/>
  <c r="BE63" i="83"/>
  <c r="AY62" i="83"/>
  <c r="AY67" i="83" s="1"/>
  <c r="BE62" i="83"/>
  <c r="AY61" i="83"/>
  <c r="BE61" i="83"/>
  <c r="AW64" i="77"/>
  <c r="BE64" i="77" s="1"/>
  <c r="AQ67" i="83"/>
  <c r="BE67" i="83" s="1"/>
  <c r="AA4" i="83"/>
  <c r="AA20" i="83"/>
  <c r="AA14" i="83"/>
  <c r="AA9" i="83"/>
  <c r="AA5" i="83"/>
  <c r="AA25" i="83"/>
  <c r="AA12" i="83"/>
  <c r="AA8" i="83"/>
  <c r="AA29" i="83"/>
  <c r="AA23" i="83"/>
  <c r="AA16" i="83"/>
  <c r="AA11" i="83"/>
  <c r="AA7" i="83"/>
  <c r="AA67" i="83"/>
  <c r="AA30" i="83"/>
  <c r="AA17" i="83"/>
  <c r="AA27" i="83"/>
  <c r="AA21" i="83"/>
  <c r="AA15" i="83"/>
  <c r="AA10" i="83"/>
  <c r="AA6" i="83"/>
  <c r="AA58" i="83"/>
  <c r="AA26" i="83"/>
  <c r="U67" i="83"/>
  <c r="U58" i="83"/>
  <c r="U31" i="83"/>
  <c r="D53" i="36"/>
  <c r="F52" i="36"/>
  <c r="F53" i="36" s="1"/>
  <c r="E53" i="36"/>
  <c r="F45" i="36"/>
  <c r="U38" i="83" l="1"/>
  <c r="U68" i="83" s="1"/>
  <c r="Q4" i="50" l="1"/>
  <c r="M11" i="61"/>
  <c r="M12" i="61"/>
  <c r="M13" i="61"/>
  <c r="M14" i="61"/>
  <c r="I11" i="61"/>
  <c r="I12" i="61"/>
  <c r="I13" i="61"/>
  <c r="I14" i="61"/>
  <c r="I4" i="50"/>
  <c r="G11" i="61"/>
  <c r="G12" i="61"/>
  <c r="G13" i="61"/>
  <c r="G14" i="61"/>
  <c r="U4" i="50"/>
  <c r="U32" i="50" s="1"/>
  <c r="U94" i="50" s="1"/>
  <c r="T5" i="36"/>
  <c r="U96" i="50" l="1"/>
  <c r="U95" i="50"/>
  <c r="AA4" i="50"/>
  <c r="U13" i="61"/>
  <c r="U12" i="61"/>
  <c r="U11" i="61"/>
  <c r="U9" i="61"/>
  <c r="U14" i="61"/>
  <c r="U16" i="61"/>
  <c r="Q14" i="61"/>
  <c r="Q13" i="61"/>
  <c r="Q11" i="61"/>
  <c r="BG57" i="50"/>
  <c r="Q12" i="61"/>
  <c r="O11" i="61"/>
  <c r="K11" i="61"/>
  <c r="O13" i="61"/>
  <c r="K13" i="61"/>
  <c r="K12" i="61"/>
  <c r="O12" i="61"/>
  <c r="K14" i="61"/>
  <c r="O14" i="61"/>
  <c r="T89" i="50"/>
  <c r="T90" i="50" s="1"/>
  <c r="AA12" i="61" l="1"/>
  <c r="AC12" i="61" s="1"/>
  <c r="AA11" i="61"/>
  <c r="AC11" i="61" s="1"/>
  <c r="AA13" i="61"/>
  <c r="AC13" i="61" s="1"/>
  <c r="AA14" i="61"/>
  <c r="AC14" i="61" s="1"/>
  <c r="S13" i="61"/>
  <c r="W13" i="61" s="1"/>
  <c r="S14" i="61"/>
  <c r="W14" i="61" s="1"/>
  <c r="S12" i="61"/>
  <c r="W12" i="61" s="1"/>
  <c r="S11" i="61"/>
  <c r="W11" i="61" s="1"/>
  <c r="S9" i="17" l="1"/>
  <c r="V115" i="28" l="1"/>
  <c r="R148" i="28" l="1"/>
  <c r="V148" i="28" s="1"/>
  <c r="R167" i="28"/>
  <c r="V167" i="28" s="1"/>
  <c r="R210" i="28"/>
  <c r="V210" i="28" s="1"/>
  <c r="R211" i="28"/>
  <c r="V211" i="28" s="1"/>
  <c r="R212" i="28"/>
  <c r="V212" i="28" s="1"/>
  <c r="J205" i="28"/>
  <c r="V278" i="28"/>
  <c r="J272" i="28"/>
  <c r="J271" i="28"/>
  <c r="J266" i="28"/>
  <c r="J265" i="28"/>
  <c r="J254" i="28"/>
  <c r="J256" i="28"/>
  <c r="T289" i="28"/>
  <c r="Z289" i="28" s="1"/>
  <c r="AB289" i="28" s="1"/>
  <c r="T294" i="28"/>
  <c r="Z294" i="28" s="1"/>
  <c r="AB294" i="28" s="1"/>
  <c r="AF294" i="28" s="1"/>
  <c r="AJ294" i="28" s="1"/>
  <c r="AP294" i="28" s="1"/>
  <c r="AT294" i="28" s="1"/>
  <c r="AX294" i="28" s="1"/>
  <c r="BF294" i="28" s="1"/>
  <c r="V297" i="28"/>
  <c r="V298" i="28"/>
  <c r="AF289" i="28" l="1"/>
  <c r="AJ289" i="28" s="1"/>
  <c r="AP289" i="28" s="1"/>
  <c r="AT289" i="28" s="1"/>
  <c r="AX289" i="28" s="1"/>
  <c r="BF289" i="28" s="1"/>
  <c r="R265" i="28"/>
  <c r="V265" i="28" s="1"/>
  <c r="R256" i="28"/>
  <c r="V256" i="28" s="1"/>
  <c r="R271" i="28"/>
  <c r="V271" i="28" s="1"/>
  <c r="R205" i="28"/>
  <c r="V205" i="28" s="1"/>
  <c r="R266" i="28"/>
  <c r="V266" i="28" s="1"/>
  <c r="R254" i="28"/>
  <c r="V254" i="28" s="1"/>
  <c r="R272" i="28"/>
  <c r="V272" i="28" s="1"/>
  <c r="T31" i="28"/>
  <c r="T30" i="28"/>
  <c r="T29" i="28"/>
  <c r="T28" i="28"/>
  <c r="S76" i="17"/>
  <c r="T112" i="10" l="1"/>
  <c r="T44" i="11"/>
  <c r="Z44" i="11" s="1"/>
  <c r="AB44" i="11" s="1"/>
  <c r="AF44" i="11" s="1"/>
  <c r="AJ44" i="11" s="1"/>
  <c r="AP44" i="11" s="1"/>
  <c r="AT44" i="11" s="1"/>
  <c r="AX44" i="11" s="1"/>
  <c r="T43" i="11"/>
  <c r="G73" i="45"/>
  <c r="I73" i="45"/>
  <c r="I106" i="50" s="1"/>
  <c r="M73" i="45"/>
  <c r="M106" i="50" s="1"/>
  <c r="Q73" i="45"/>
  <c r="U73" i="45"/>
  <c r="Z112" i="10" l="1"/>
  <c r="V112" i="10"/>
  <c r="T126" i="10"/>
  <c r="T124" i="10"/>
  <c r="T162" i="10" s="1"/>
  <c r="T51" i="11"/>
  <c r="Z43" i="11"/>
  <c r="AB43" i="11" s="1"/>
  <c r="AF43" i="11" s="1"/>
  <c r="AJ43" i="11" s="1"/>
  <c r="AP43" i="11" s="1"/>
  <c r="AT43" i="11" s="1"/>
  <c r="AX43" i="11" s="1"/>
  <c r="T53" i="11"/>
  <c r="S37" i="45"/>
  <c r="W37" i="45" s="1"/>
  <c r="U60" i="45"/>
  <c r="AA60" i="45" s="1"/>
  <c r="AB112" i="10" l="1"/>
  <c r="AF112" i="10" s="1"/>
  <c r="AJ112" i="10" s="1"/>
  <c r="AP112" i="10" s="1"/>
  <c r="AT112" i="10" s="1"/>
  <c r="AX112" i="10" s="1"/>
  <c r="BF112" i="10" s="1"/>
  <c r="Z126" i="10"/>
  <c r="AC60" i="45"/>
  <c r="AG60" i="45" s="1"/>
  <c r="S37" i="27"/>
  <c r="S35" i="27"/>
  <c r="S29" i="27"/>
  <c r="S27" i="27"/>
  <c r="S20" i="27"/>
  <c r="S19" i="27"/>
  <c r="S18" i="27"/>
  <c r="AK60" i="45" l="1"/>
  <c r="AG74" i="45"/>
  <c r="AG98" i="45" s="1"/>
  <c r="T58" i="6"/>
  <c r="T57" i="6"/>
  <c r="T56" i="6"/>
  <c r="S58" i="73"/>
  <c r="Q56" i="73"/>
  <c r="U56" i="73" s="1"/>
  <c r="Q90" i="73"/>
  <c r="U90" i="73" s="1"/>
  <c r="T135" i="6"/>
  <c r="T134" i="6"/>
  <c r="T133" i="6"/>
  <c r="T125" i="6"/>
  <c r="T124" i="6"/>
  <c r="T123" i="6"/>
  <c r="T122" i="6"/>
  <c r="T121" i="6"/>
  <c r="T130" i="6"/>
  <c r="T129" i="6"/>
  <c r="T128" i="6"/>
  <c r="T127" i="6"/>
  <c r="AG107" i="45" l="1"/>
  <c r="AQ60" i="45"/>
  <c r="AK74" i="45"/>
  <c r="Q46" i="73"/>
  <c r="U46" i="73" s="1"/>
  <c r="Q43" i="73"/>
  <c r="U43" i="73" s="1"/>
  <c r="Q45" i="73"/>
  <c r="U45" i="73" s="1"/>
  <c r="T52" i="6"/>
  <c r="T51" i="6"/>
  <c r="AK107" i="45" l="1"/>
  <c r="AK98" i="45"/>
  <c r="AU60" i="45"/>
  <c r="AQ74" i="45"/>
  <c r="U158" i="6"/>
  <c r="T103" i="9"/>
  <c r="S34" i="26"/>
  <c r="S36" i="26"/>
  <c r="S38" i="26"/>
  <c r="S14" i="26"/>
  <c r="S16" i="26"/>
  <c r="AQ107" i="45" l="1"/>
  <c r="AQ98" i="45"/>
  <c r="AU74" i="45"/>
  <c r="AY60" i="45"/>
  <c r="T32" i="36"/>
  <c r="BG60" i="45" l="1"/>
  <c r="BG74" i="45" s="1"/>
  <c r="AY74" i="45"/>
  <c r="AU107" i="45"/>
  <c r="AU98" i="45"/>
  <c r="L88" i="8"/>
  <c r="T88" i="8"/>
  <c r="AY98" i="45" l="1"/>
  <c r="AY107" i="45"/>
  <c r="BG107" i="45"/>
  <c r="BG98" i="45"/>
  <c r="T109" i="9"/>
  <c r="Z109" i="9" s="1"/>
  <c r="T108" i="9"/>
  <c r="Z108" i="9" s="1"/>
  <c r="T64" i="9" l="1"/>
  <c r="Z64" i="9" s="1"/>
  <c r="T95" i="9"/>
  <c r="T93" i="9"/>
  <c r="T33" i="9"/>
  <c r="T30" i="9"/>
  <c r="U165" i="73"/>
  <c r="P16" i="52" l="1"/>
  <c r="O16" i="52"/>
  <c r="S16" i="52"/>
  <c r="T16" i="52"/>
  <c r="T8" i="52"/>
  <c r="S8" i="52"/>
  <c r="V17" i="61"/>
  <c r="U34" i="50"/>
  <c r="U35" i="50"/>
  <c r="U36" i="50"/>
  <c r="U37" i="50"/>
  <c r="U38" i="50"/>
  <c r="U39" i="50"/>
  <c r="U33" i="50"/>
  <c r="V89" i="50"/>
  <c r="V90" i="50" s="1"/>
  <c r="U87" i="50"/>
  <c r="W87" i="50" s="1"/>
  <c r="U86" i="50"/>
  <c r="S21" i="27"/>
  <c r="S24" i="27" s="1"/>
  <c r="S26" i="27"/>
  <c r="S28" i="27"/>
  <c r="R39" i="27"/>
  <c r="S36" i="27"/>
  <c r="S39" i="27" s="1"/>
  <c r="R33" i="27"/>
  <c r="R21" i="27"/>
  <c r="T28" i="22"/>
  <c r="T24" i="22"/>
  <c r="T23" i="22"/>
  <c r="T14" i="22"/>
  <c r="T10" i="22"/>
  <c r="T12" i="22" s="1"/>
  <c r="T9" i="22"/>
  <c r="R15" i="26"/>
  <c r="R13" i="26"/>
  <c r="U107" i="50" l="1"/>
  <c r="U108" i="50" s="1"/>
  <c r="U40" i="50"/>
  <c r="U103" i="50" s="1"/>
  <c r="U104" i="50" s="1"/>
  <c r="S33" i="27"/>
  <c r="S17" i="52"/>
  <c r="T26" i="22"/>
  <c r="T17" i="52"/>
  <c r="U17" i="61"/>
  <c r="T128" i="10"/>
  <c r="T129" i="10" s="1"/>
  <c r="W86" i="50"/>
  <c r="R24" i="27"/>
  <c r="S30" i="15"/>
  <c r="S29" i="15"/>
  <c r="S28" i="15"/>
  <c r="S24" i="15"/>
  <c r="S23" i="15"/>
  <c r="S22" i="15"/>
  <c r="S21" i="15"/>
  <c r="S20" i="15"/>
  <c r="R18" i="15"/>
  <c r="S17" i="15"/>
  <c r="R17" i="15"/>
  <c r="S14" i="15"/>
  <c r="R11" i="15"/>
  <c r="S10" i="15"/>
  <c r="S9" i="15"/>
  <c r="R9" i="15"/>
  <c r="S8" i="15"/>
  <c r="R8" i="15"/>
  <c r="S7" i="15"/>
  <c r="S6" i="15"/>
  <c r="S5" i="15"/>
  <c r="R50" i="17"/>
  <c r="R123" i="26"/>
  <c r="S109" i="26"/>
  <c r="R107" i="26"/>
  <c r="R105" i="26"/>
  <c r="R103" i="26"/>
  <c r="R101" i="26"/>
  <c r="S70" i="11" s="1"/>
  <c r="R99" i="26"/>
  <c r="R97" i="26"/>
  <c r="S98" i="9" s="1"/>
  <c r="R95" i="26"/>
  <c r="R93" i="26"/>
  <c r="S89" i="26"/>
  <c r="S82" i="26"/>
  <c r="S81" i="26"/>
  <c r="R79" i="26"/>
  <c r="R77" i="26"/>
  <c r="R84" i="26" s="1"/>
  <c r="S74" i="26"/>
  <c r="R72" i="26"/>
  <c r="R70" i="26"/>
  <c r="R68" i="26"/>
  <c r="T90" i="45" s="1"/>
  <c r="R66" i="26"/>
  <c r="S69" i="11" s="1"/>
  <c r="R64" i="26"/>
  <c r="S141" i="10" s="1"/>
  <c r="R62" i="26"/>
  <c r="R60" i="26"/>
  <c r="R58" i="26"/>
  <c r="R53" i="26"/>
  <c r="R51" i="26"/>
  <c r="S49" i="26"/>
  <c r="S50" i="26" s="1"/>
  <c r="R47" i="26"/>
  <c r="R49" i="26" s="1"/>
  <c r="R162" i="26" s="1"/>
  <c r="S44" i="26"/>
  <c r="R42" i="26"/>
  <c r="R40" i="26"/>
  <c r="R38" i="26"/>
  <c r="T89" i="45" s="1"/>
  <c r="R36" i="26"/>
  <c r="S68" i="11" s="1"/>
  <c r="R34" i="26"/>
  <c r="S140" i="10" s="1"/>
  <c r="R32" i="26"/>
  <c r="R30" i="26"/>
  <c r="R28" i="26"/>
  <c r="R26" i="26"/>
  <c r="R25" i="17" s="1"/>
  <c r="R24" i="26"/>
  <c r="R22" i="26"/>
  <c r="R20" i="26"/>
  <c r="R16" i="26"/>
  <c r="R14" i="26"/>
  <c r="S11" i="26"/>
  <c r="S18" i="26" s="1"/>
  <c r="R10" i="26"/>
  <c r="R8" i="26"/>
  <c r="A15" i="17"/>
  <c r="S11" i="17"/>
  <c r="O11" i="17"/>
  <c r="R34" i="17"/>
  <c r="S25" i="17"/>
  <c r="S21" i="17"/>
  <c r="S15" i="17" s="1"/>
  <c r="R20" i="17"/>
  <c r="R18" i="17"/>
  <c r="R17" i="17"/>
  <c r="R15" i="17"/>
  <c r="R29" i="17" s="1"/>
  <c r="R14" i="17"/>
  <c r="S13" i="17"/>
  <c r="S8" i="17"/>
  <c r="S12" i="17" s="1"/>
  <c r="R8" i="17"/>
  <c r="R10" i="17" s="1"/>
  <c r="W47" i="38"/>
  <c r="W46" i="38"/>
  <c r="W45" i="38"/>
  <c r="W44" i="38"/>
  <c r="W42" i="38"/>
  <c r="W41" i="38" s="1"/>
  <c r="W39" i="38"/>
  <c r="W38" i="38"/>
  <c r="W37" i="38"/>
  <c r="W36" i="38"/>
  <c r="W33" i="38"/>
  <c r="W32" i="38"/>
  <c r="W31" i="38"/>
  <c r="W30" i="38"/>
  <c r="W29" i="38"/>
  <c r="W28" i="38"/>
  <c r="T87" i="45" s="1"/>
  <c r="W27" i="38"/>
  <c r="W26" i="38"/>
  <c r="W25" i="38"/>
  <c r="W24" i="38"/>
  <c r="S99" i="9" s="1"/>
  <c r="W23" i="38"/>
  <c r="W22" i="38"/>
  <c r="W21" i="38"/>
  <c r="W20" i="38"/>
  <c r="W15" i="38"/>
  <c r="W14" i="38"/>
  <c r="W11" i="38"/>
  <c r="W10" i="38"/>
  <c r="W9" i="38"/>
  <c r="W8" i="38"/>
  <c r="W7" i="38"/>
  <c r="T142" i="10"/>
  <c r="T141" i="10"/>
  <c r="T140" i="10"/>
  <c r="T138" i="10"/>
  <c r="S137" i="10"/>
  <c r="T136" i="10"/>
  <c r="S136" i="10"/>
  <c r="T134" i="10"/>
  <c r="S134" i="10"/>
  <c r="T131" i="10"/>
  <c r="S131" i="10"/>
  <c r="S132" i="10" s="1"/>
  <c r="S170" i="10"/>
  <c r="T70" i="11"/>
  <c r="T69" i="11"/>
  <c r="T68" i="11"/>
  <c r="T66" i="11"/>
  <c r="S66" i="11"/>
  <c r="S65" i="11"/>
  <c r="T64" i="11"/>
  <c r="S64" i="11"/>
  <c r="S62" i="11"/>
  <c r="T59" i="11"/>
  <c r="S59" i="11"/>
  <c r="T86" i="45"/>
  <c r="U91" i="45"/>
  <c r="U90" i="45"/>
  <c r="U89" i="45"/>
  <c r="U87" i="45"/>
  <c r="U85" i="45"/>
  <c r="T85" i="45"/>
  <c r="U83" i="45"/>
  <c r="T83" i="45"/>
  <c r="U80" i="45"/>
  <c r="U81" i="45" s="1"/>
  <c r="T80" i="45"/>
  <c r="T81" i="45" s="1"/>
  <c r="T99" i="9"/>
  <c r="T98" i="9"/>
  <c r="T97" i="9"/>
  <c r="S104" i="9"/>
  <c r="S102" i="9"/>
  <c r="S101" i="9"/>
  <c r="U80" i="50" l="1"/>
  <c r="W6" i="38"/>
  <c r="T139" i="10"/>
  <c r="R14" i="15"/>
  <c r="R15" i="15" s="1"/>
  <c r="W13" i="38"/>
  <c r="T60" i="11"/>
  <c r="R11" i="26"/>
  <c r="R12" i="26" s="1"/>
  <c r="T132" i="10"/>
  <c r="R21" i="17"/>
  <c r="R33" i="17" s="1"/>
  <c r="S143" i="10"/>
  <c r="T143" i="10"/>
  <c r="U88" i="45"/>
  <c r="S10" i="17"/>
  <c r="S31" i="15"/>
  <c r="R109" i="26"/>
  <c r="R81" i="26"/>
  <c r="R74" i="26"/>
  <c r="R167" i="26" s="1"/>
  <c r="R55" i="26"/>
  <c r="S97" i="9"/>
  <c r="R12" i="15"/>
  <c r="R89" i="26"/>
  <c r="S55" i="26"/>
  <c r="S56" i="26"/>
  <c r="R44" i="26"/>
  <c r="R50" i="26"/>
  <c r="S12" i="26"/>
  <c r="S17" i="26"/>
  <c r="R56" i="26"/>
  <c r="R82" i="26"/>
  <c r="S14" i="17"/>
  <c r="S32" i="17"/>
  <c r="S33" i="17"/>
  <c r="S31" i="17"/>
  <c r="S29" i="17"/>
  <c r="S30" i="17"/>
  <c r="W43" i="38"/>
  <c r="W35" i="38"/>
  <c r="S138" i="10"/>
  <c r="S139" i="10" s="1"/>
  <c r="T88" i="45"/>
  <c r="W19" i="38"/>
  <c r="S67" i="11"/>
  <c r="S60" i="11"/>
  <c r="T67" i="11"/>
  <c r="T83" i="8"/>
  <c r="S83" i="8"/>
  <c r="T82" i="8"/>
  <c r="S82" i="8"/>
  <c r="S81" i="8"/>
  <c r="S76" i="8"/>
  <c r="O76" i="8"/>
  <c r="K76" i="8"/>
  <c r="G76" i="8"/>
  <c r="E76" i="8"/>
  <c r="Q75" i="8"/>
  <c r="T129" i="8"/>
  <c r="S50" i="8"/>
  <c r="S71" i="8"/>
  <c r="T72" i="8"/>
  <c r="T36" i="8"/>
  <c r="T45" i="8"/>
  <c r="S45" i="8"/>
  <c r="S34" i="15" l="1"/>
  <c r="S15" i="15" s="1"/>
  <c r="S16" i="15" s="1"/>
  <c r="R18" i="26"/>
  <c r="R17" i="26"/>
  <c r="T130" i="8"/>
  <c r="T131" i="8"/>
  <c r="R30" i="17"/>
  <c r="R31" i="17"/>
  <c r="R32" i="17"/>
  <c r="R166" i="26"/>
  <c r="R159" i="26"/>
  <c r="W40" i="38"/>
  <c r="W16" i="38"/>
  <c r="W18" i="38"/>
  <c r="T71" i="8"/>
  <c r="T132" i="8" l="1"/>
  <c r="T51" i="8" s="1"/>
  <c r="W17" i="38"/>
  <c r="T50" i="8"/>
  <c r="S106" i="7" l="1"/>
  <c r="S105" i="7"/>
  <c r="S104" i="7"/>
  <c r="S103" i="7"/>
  <c r="S102" i="7"/>
  <c r="S101" i="7"/>
  <c r="S100" i="7"/>
  <c r="S99" i="7"/>
  <c r="S98" i="7"/>
  <c r="S97" i="7"/>
  <c r="S69" i="7"/>
  <c r="S65" i="7"/>
  <c r="S67" i="7" s="1"/>
  <c r="S129" i="6"/>
  <c r="T53" i="6"/>
  <c r="T50" i="6"/>
  <c r="T47" i="6"/>
  <c r="T44" i="6"/>
  <c r="T41" i="6"/>
  <c r="S73" i="77"/>
  <c r="S115" i="77" s="1"/>
  <c r="U393" i="28"/>
  <c r="S393" i="28"/>
  <c r="U392" i="28"/>
  <c r="S392" i="28"/>
  <c r="T384" i="28"/>
  <c r="S310" i="28"/>
  <c r="T299" i="28"/>
  <c r="T300" i="28" s="1"/>
  <c r="T241" i="28"/>
  <c r="T380" i="28" s="1"/>
  <c r="S241" i="28"/>
  <c r="T235" i="28"/>
  <c r="T234" i="28"/>
  <c r="S234" i="28"/>
  <c r="T198" i="28"/>
  <c r="T376" i="28" s="1"/>
  <c r="S198" i="28"/>
  <c r="T185" i="28"/>
  <c r="T184" i="28"/>
  <c r="T82" i="28"/>
  <c r="T81" i="28"/>
  <c r="T79" i="28"/>
  <c r="T75" i="28"/>
  <c r="T71" i="28"/>
  <c r="T67" i="28"/>
  <c r="S54" i="28"/>
  <c r="S53" i="28"/>
  <c r="S52" i="28"/>
  <c r="T47" i="28"/>
  <c r="T40" i="28"/>
  <c r="T54" i="28"/>
  <c r="T53" i="28"/>
  <c r="T51" i="28"/>
  <c r="T50" i="28"/>
  <c r="T26" i="28"/>
  <c r="S21" i="28"/>
  <c r="T19" i="28"/>
  <c r="S14" i="28"/>
  <c r="S235" i="28" s="1"/>
  <c r="T12" i="28"/>
  <c r="T58" i="28" s="1"/>
  <c r="S7" i="28"/>
  <c r="S201" i="73"/>
  <c r="S184" i="73"/>
  <c r="S23" i="73"/>
  <c r="S110" i="73"/>
  <c r="S11" i="15" s="1"/>
  <c r="S34" i="73"/>
  <c r="S11" i="49"/>
  <c r="X22" i="59"/>
  <c r="T22" i="59"/>
  <c r="X15" i="59"/>
  <c r="W52" i="59"/>
  <c r="W44" i="59"/>
  <c r="W43" i="59"/>
  <c r="W42" i="59"/>
  <c r="W41" i="59"/>
  <c r="V53" i="59"/>
  <c r="V22" i="59"/>
  <c r="V15" i="59"/>
  <c r="H15" i="35"/>
  <c r="F15" i="35"/>
  <c r="T15" i="35"/>
  <c r="P15" i="35"/>
  <c r="L15" i="35"/>
  <c r="T11" i="35"/>
  <c r="P11" i="35"/>
  <c r="F11" i="35"/>
  <c r="H11" i="35"/>
  <c r="L11" i="35"/>
  <c r="S8" i="35"/>
  <c r="O8" i="35"/>
  <c r="G8" i="35"/>
  <c r="K8" i="35"/>
  <c r="S40" i="35"/>
  <c r="S37" i="35"/>
  <c r="T34" i="35"/>
  <c r="T44" i="35" s="1"/>
  <c r="S34" i="35"/>
  <c r="S44" i="35" s="1"/>
  <c r="S39" i="35"/>
  <c r="S31" i="35"/>
  <c r="T24" i="35"/>
  <c r="T33" i="36" s="1"/>
  <c r="T34" i="36" s="1"/>
  <c r="T35" i="36" s="1"/>
  <c r="T36" i="36" s="1"/>
  <c r="S24" i="35"/>
  <c r="T19" i="35"/>
  <c r="S19" i="35"/>
  <c r="S10" i="35"/>
  <c r="S14" i="35" s="1"/>
  <c r="S9" i="35"/>
  <c r="S13" i="35" s="1"/>
  <c r="T7" i="35"/>
  <c r="T6" i="35"/>
  <c r="P52" i="6"/>
  <c r="Z52" i="6" s="1"/>
  <c r="L52" i="6"/>
  <c r="H52" i="6"/>
  <c r="F52" i="6"/>
  <c r="P51" i="6"/>
  <c r="L51" i="6"/>
  <c r="H51" i="6"/>
  <c r="F51" i="6"/>
  <c r="P50" i="6"/>
  <c r="L50" i="6"/>
  <c r="H50" i="6"/>
  <c r="F50" i="6"/>
  <c r="N49" i="6"/>
  <c r="N48" i="6"/>
  <c r="P47" i="6"/>
  <c r="L47" i="6"/>
  <c r="H47" i="6"/>
  <c r="F47" i="6"/>
  <c r="N46" i="6"/>
  <c r="N45" i="6"/>
  <c r="P44" i="6"/>
  <c r="L44" i="6"/>
  <c r="H44" i="6"/>
  <c r="F44" i="6"/>
  <c r="N43" i="6"/>
  <c r="N42" i="6"/>
  <c r="P41" i="6"/>
  <c r="L41" i="6"/>
  <c r="H41" i="6"/>
  <c r="F41" i="6"/>
  <c r="N40" i="6"/>
  <c r="N39" i="6"/>
  <c r="L53" i="6" l="1"/>
  <c r="K33" i="39"/>
  <c r="O33" i="39"/>
  <c r="F53" i="6"/>
  <c r="T8" i="35"/>
  <c r="R49" i="6"/>
  <c r="V49" i="6" s="1"/>
  <c r="AB49" i="6"/>
  <c r="AF49" i="6" s="1"/>
  <c r="AJ49" i="6" s="1"/>
  <c r="AP49" i="6" s="1"/>
  <c r="AT49" i="6" s="1"/>
  <c r="AX49" i="6" s="1"/>
  <c r="BF49" i="6" s="1"/>
  <c r="P53" i="6"/>
  <c r="Z51" i="6"/>
  <c r="Z53" i="6" s="1"/>
  <c r="R39" i="6"/>
  <c r="V39" i="6" s="1"/>
  <c r="AB39" i="6"/>
  <c r="AF39" i="6" s="1"/>
  <c r="AJ39" i="6" s="1"/>
  <c r="N44" i="6"/>
  <c r="E33" i="39"/>
  <c r="R40" i="6"/>
  <c r="V40" i="6" s="1"/>
  <c r="AB40" i="6"/>
  <c r="AF40" i="6" s="1"/>
  <c r="G33" i="39"/>
  <c r="R46" i="6"/>
  <c r="V46" i="6" s="1"/>
  <c r="AB46" i="6"/>
  <c r="AF46" i="6" s="1"/>
  <c r="AJ46" i="6" s="1"/>
  <c r="AP46" i="6" s="1"/>
  <c r="R42" i="6"/>
  <c r="V42" i="6" s="1"/>
  <c r="AB42" i="6"/>
  <c r="AF42" i="6" s="1"/>
  <c r="R48" i="6"/>
  <c r="AB48" i="6"/>
  <c r="AF48" i="6" s="1"/>
  <c r="S15" i="35"/>
  <c r="S11" i="35"/>
  <c r="S28" i="28"/>
  <c r="S33" i="28" s="1"/>
  <c r="S61" i="28" s="1"/>
  <c r="S77" i="28" s="1"/>
  <c r="S33" i="39"/>
  <c r="R43" i="6"/>
  <c r="V43" i="6" s="1"/>
  <c r="AB43" i="6"/>
  <c r="AF43" i="6" s="1"/>
  <c r="AJ43" i="6" s="1"/>
  <c r="AP43" i="6" s="1"/>
  <c r="AT43" i="6" s="1"/>
  <c r="AX43" i="6" s="1"/>
  <c r="BF43" i="6" s="1"/>
  <c r="R45" i="6"/>
  <c r="V45" i="6" s="1"/>
  <c r="AB45" i="6"/>
  <c r="AF45" i="6" s="1"/>
  <c r="N41" i="6"/>
  <c r="T386" i="28"/>
  <c r="T236" i="28"/>
  <c r="T378" i="28" s="1"/>
  <c r="T383" i="28"/>
  <c r="T382" i="28"/>
  <c r="T392" i="28"/>
  <c r="T59" i="28"/>
  <c r="S12" i="15"/>
  <c r="S13" i="15" s="1"/>
  <c r="S19" i="28"/>
  <c r="S236" i="28" s="1"/>
  <c r="S379" i="28" s="1"/>
  <c r="T393" i="28"/>
  <c r="T60" i="28"/>
  <c r="S26" i="28"/>
  <c r="S12" i="28"/>
  <c r="T52" i="28"/>
  <c r="T83" i="28"/>
  <c r="T186" i="28"/>
  <c r="T377" i="28"/>
  <c r="T33" i="28"/>
  <c r="T373" i="28"/>
  <c r="T381" i="28"/>
  <c r="N50" i="6"/>
  <c r="N51" i="6"/>
  <c r="N52" i="6"/>
  <c r="R52" i="6" s="1"/>
  <c r="V52" i="6" s="1"/>
  <c r="N47" i="6"/>
  <c r="S35" i="35"/>
  <c r="T71" i="83" s="1"/>
  <c r="S45" i="35"/>
  <c r="H53" i="6"/>
  <c r="Y33" i="39" l="1"/>
  <c r="N53" i="6"/>
  <c r="R50" i="6"/>
  <c r="AJ42" i="6"/>
  <c r="AF44" i="6"/>
  <c r="AF41" i="6"/>
  <c r="AJ40" i="6"/>
  <c r="AP40" i="6" s="1"/>
  <c r="AT40" i="6" s="1"/>
  <c r="AX40" i="6" s="1"/>
  <c r="AP39" i="6"/>
  <c r="AF47" i="6"/>
  <c r="AJ45" i="6"/>
  <c r="AJ48" i="6"/>
  <c r="AF50" i="6"/>
  <c r="AT46" i="6"/>
  <c r="AX46" i="6" s="1"/>
  <c r="BF46" i="6" s="1"/>
  <c r="V44" i="6"/>
  <c r="M33" i="39"/>
  <c r="AA33" i="39" s="1"/>
  <c r="AE33" i="39" s="1"/>
  <c r="AI33" i="39" s="1"/>
  <c r="AO33" i="39" s="1"/>
  <c r="AS33" i="39" s="1"/>
  <c r="AW33" i="39" s="1"/>
  <c r="BE33" i="39" s="1"/>
  <c r="R41" i="6"/>
  <c r="S50" i="28"/>
  <c r="S55" i="28" s="1"/>
  <c r="V48" i="6"/>
  <c r="V50" i="6" s="1"/>
  <c r="V47" i="6"/>
  <c r="R44" i="6"/>
  <c r="V41" i="6"/>
  <c r="AB50" i="6"/>
  <c r="R51" i="6"/>
  <c r="R53" i="6" s="1"/>
  <c r="AB51" i="6"/>
  <c r="AF51" i="6" s="1"/>
  <c r="R47" i="6"/>
  <c r="AB47" i="6"/>
  <c r="AB52" i="6"/>
  <c r="AF52" i="6" s="1"/>
  <c r="AJ52" i="6" s="1"/>
  <c r="AP52" i="6" s="1"/>
  <c r="AT52" i="6" s="1"/>
  <c r="AX52" i="6" s="1"/>
  <c r="BF52" i="6" s="1"/>
  <c r="I33" i="39"/>
  <c r="AB44" i="6"/>
  <c r="AB41" i="6"/>
  <c r="T365" i="28"/>
  <c r="T364" i="28"/>
  <c r="T379" i="28"/>
  <c r="T371" i="28"/>
  <c r="T370" i="28"/>
  <c r="S59" i="28"/>
  <c r="S69" i="28" s="1"/>
  <c r="S361" i="28"/>
  <c r="S386" i="28" s="1"/>
  <c r="T374" i="28"/>
  <c r="S300" i="28"/>
  <c r="S60" i="28"/>
  <c r="S385" i="28"/>
  <c r="T387" i="28"/>
  <c r="T385" i="28"/>
  <c r="T61" i="28"/>
  <c r="S371" i="28"/>
  <c r="T375" i="28"/>
  <c r="T84" i="28"/>
  <c r="S58" i="28"/>
  <c r="S186" i="28"/>
  <c r="S375" i="28" s="1"/>
  <c r="T55" i="28"/>
  <c r="T56" i="28" s="1"/>
  <c r="D12" i="8"/>
  <c r="BF40" i="6" l="1"/>
  <c r="Q33" i="39"/>
  <c r="U33" i="39" s="1"/>
  <c r="AJ51" i="6"/>
  <c r="AF53" i="6"/>
  <c r="AJ47" i="6"/>
  <c r="AP45" i="6"/>
  <c r="AJ41" i="6"/>
  <c r="AJ50" i="6"/>
  <c r="AP48" i="6"/>
  <c r="AT39" i="6"/>
  <c r="AP41" i="6"/>
  <c r="AJ44" i="6"/>
  <c r="AP42" i="6"/>
  <c r="V51" i="6"/>
  <c r="V53" i="6" s="1"/>
  <c r="AB53" i="6"/>
  <c r="S387" i="28"/>
  <c r="S365" i="28"/>
  <c r="S364" i="28"/>
  <c r="S378" i="28"/>
  <c r="S377" i="28"/>
  <c r="S383" i="28"/>
  <c r="S65" i="28"/>
  <c r="S62" i="28"/>
  <c r="S370" i="28"/>
  <c r="T62" i="28"/>
  <c r="S73" i="28"/>
  <c r="R14" i="85"/>
  <c r="AT41" i="6" l="1"/>
  <c r="AX39" i="6"/>
  <c r="AT45" i="6"/>
  <c r="AP47" i="6"/>
  <c r="AP51" i="6"/>
  <c r="AJ53" i="6"/>
  <c r="AT42" i="6"/>
  <c r="AP44" i="6"/>
  <c r="AT48" i="6"/>
  <c r="AP50" i="6"/>
  <c r="S81" i="28"/>
  <c r="S374" i="28"/>
  <c r="S373" i="28"/>
  <c r="S382" i="28"/>
  <c r="S381" i="28"/>
  <c r="R12" i="85"/>
  <c r="Q12" i="85"/>
  <c r="P12" i="85"/>
  <c r="O12" i="85"/>
  <c r="N12" i="85"/>
  <c r="M12" i="85"/>
  <c r="L12" i="85"/>
  <c r="K12" i="85"/>
  <c r="J12" i="85"/>
  <c r="I12" i="85"/>
  <c r="H12" i="85"/>
  <c r="G12" i="85"/>
  <c r="F12" i="85"/>
  <c r="AT44" i="6" l="1"/>
  <c r="AX42" i="6"/>
  <c r="AT50" i="6"/>
  <c r="AX48" i="6"/>
  <c r="AT47" i="6"/>
  <c r="AX45" i="6"/>
  <c r="BF39" i="6"/>
  <c r="BF41" i="6" s="1"/>
  <c r="AX41" i="6"/>
  <c r="AT51" i="6"/>
  <c r="AP53" i="6"/>
  <c r="Q33" i="7"/>
  <c r="Q94" i="7" s="1"/>
  <c r="P19" i="77"/>
  <c r="Q19" i="77"/>
  <c r="P20" i="77"/>
  <c r="T20" i="77" s="1"/>
  <c r="Q20" i="77"/>
  <c r="U20" i="77" s="1"/>
  <c r="P25" i="77"/>
  <c r="T25" i="77" s="1"/>
  <c r="Q25" i="77"/>
  <c r="U25" i="77" s="1"/>
  <c r="P40" i="77"/>
  <c r="T40" i="77" s="1"/>
  <c r="Q40" i="77"/>
  <c r="U40" i="77" s="1"/>
  <c r="P55" i="77"/>
  <c r="T55" i="77" s="1"/>
  <c r="Q55" i="77"/>
  <c r="U55" i="77" s="1"/>
  <c r="AA88" i="7"/>
  <c r="AD34" i="59" s="1"/>
  <c r="AB34" i="59"/>
  <c r="X34" i="59"/>
  <c r="I13" i="7"/>
  <c r="BF42" i="6" l="1"/>
  <c r="BF44" i="6" s="1"/>
  <c r="AX44" i="6"/>
  <c r="BF45" i="6"/>
  <c r="BF47" i="6" s="1"/>
  <c r="AX47" i="6"/>
  <c r="BF48" i="6"/>
  <c r="BF50" i="6" s="1"/>
  <c r="AX50" i="6"/>
  <c r="AT53" i="6"/>
  <c r="AX51" i="6"/>
  <c r="U19" i="77"/>
  <c r="T19" i="77"/>
  <c r="K29" i="83"/>
  <c r="O29" i="83"/>
  <c r="BF51" i="6" l="1"/>
  <c r="BF53" i="6" s="1"/>
  <c r="AX53" i="6"/>
  <c r="S29" i="83"/>
  <c r="W29" i="83" s="1"/>
  <c r="AC29" i="83"/>
  <c r="AG29" i="83" s="1"/>
  <c r="AK29" i="83" s="1"/>
  <c r="AQ29" i="83" s="1"/>
  <c r="Q39" i="83"/>
  <c r="Q42" i="83" s="1"/>
  <c r="Q33" i="83"/>
  <c r="AA33" i="83" s="1"/>
  <c r="Q34" i="83"/>
  <c r="AA34" i="83" s="1"/>
  <c r="Q35" i="83"/>
  <c r="AA35" i="83" s="1"/>
  <c r="Q36" i="83"/>
  <c r="AA36" i="83" s="1"/>
  <c r="Q37" i="83"/>
  <c r="AA37" i="83" s="1"/>
  <c r="Q32" i="83"/>
  <c r="AA32" i="83" s="1"/>
  <c r="Q67" i="83"/>
  <c r="Q58" i="83"/>
  <c r="Q28" i="7"/>
  <c r="Q88" i="7" s="1"/>
  <c r="T34" i="59" s="1"/>
  <c r="M28" i="7"/>
  <c r="M88" i="7" s="1"/>
  <c r="P34" i="59" s="1"/>
  <c r="M13" i="7"/>
  <c r="N152" i="9"/>
  <c r="R152" i="9" s="1"/>
  <c r="N153" i="9"/>
  <c r="R153" i="9" s="1"/>
  <c r="N151" i="9"/>
  <c r="R151" i="9" s="1"/>
  <c r="N143" i="9"/>
  <c r="R143" i="9" s="1"/>
  <c r="N144" i="9"/>
  <c r="R144" i="9" s="1"/>
  <c r="N145" i="9"/>
  <c r="R145" i="9" s="1"/>
  <c r="N146" i="9"/>
  <c r="R146" i="9" s="1"/>
  <c r="N142" i="9"/>
  <c r="R142" i="9" s="1"/>
  <c r="AU29" i="83" l="1"/>
  <c r="AY29" i="83" s="1"/>
  <c r="BG29" i="83" s="1"/>
  <c r="BE29" i="83"/>
  <c r="Q13" i="7"/>
  <c r="U13" i="7" s="1"/>
  <c r="AA13" i="7"/>
  <c r="AE13" i="7" s="1"/>
  <c r="AI13" i="7" s="1"/>
  <c r="AO13" i="7" s="1"/>
  <c r="AS13" i="7" s="1"/>
  <c r="AW13" i="7" s="1"/>
  <c r="BE13" i="7" s="1"/>
  <c r="AA38" i="83"/>
  <c r="AA39" i="83"/>
  <c r="AA42" i="83" s="1"/>
  <c r="R13" i="7"/>
  <c r="V13" i="7" s="1"/>
  <c r="Q38" i="83"/>
  <c r="F147" i="9"/>
  <c r="F148" i="9" s="1"/>
  <c r="H147" i="9"/>
  <c r="H148" i="9" s="1"/>
  <c r="L147" i="9"/>
  <c r="L148" i="9" s="1"/>
  <c r="N147" i="9"/>
  <c r="R147" i="9"/>
  <c r="P147" i="9"/>
  <c r="P148" i="9" s="1"/>
  <c r="R89" i="50" l="1"/>
  <c r="R90" i="50" s="1"/>
  <c r="P89" i="50"/>
  <c r="P90" i="50" s="1"/>
  <c r="N89" i="50"/>
  <c r="N90" i="50" s="1"/>
  <c r="L89" i="50"/>
  <c r="L90" i="50" s="1"/>
  <c r="J89" i="50"/>
  <c r="J90" i="50" s="1"/>
  <c r="P103" i="9" l="1"/>
  <c r="P79" i="8"/>
  <c r="P156" i="6"/>
  <c r="P107" i="10" l="1"/>
  <c r="P87" i="10"/>
  <c r="P62" i="10"/>
  <c r="P61" i="10"/>
  <c r="P48" i="10"/>
  <c r="P98" i="10"/>
  <c r="Q99" i="50" l="1"/>
  <c r="Z98" i="10"/>
  <c r="AB98" i="10" s="1"/>
  <c r="AF98" i="10" s="1"/>
  <c r="AJ98" i="10" s="1"/>
  <c r="AP98" i="10" s="1"/>
  <c r="AT98" i="10" s="1"/>
  <c r="AX98" i="10" s="1"/>
  <c r="BF98" i="10" s="1"/>
  <c r="R98" i="10"/>
  <c r="V98" i="10" s="1"/>
  <c r="Q98" i="50"/>
  <c r="Z48" i="10"/>
  <c r="R48" i="10"/>
  <c r="V48" i="10" s="1"/>
  <c r="P125" i="10"/>
  <c r="P124" i="10"/>
  <c r="Q29" i="50"/>
  <c r="Z61" i="10"/>
  <c r="AB61" i="10" s="1"/>
  <c r="AF61" i="10" s="1"/>
  <c r="AJ61" i="10" s="1"/>
  <c r="AP61" i="10" s="1"/>
  <c r="AT61" i="10" s="1"/>
  <c r="AX61" i="10" s="1"/>
  <c r="BF61" i="10" s="1"/>
  <c r="R61" i="10"/>
  <c r="V61" i="10" s="1"/>
  <c r="Z62" i="10"/>
  <c r="AB62" i="10" s="1"/>
  <c r="AF62" i="10" s="1"/>
  <c r="AJ62" i="10" s="1"/>
  <c r="AP62" i="10" s="1"/>
  <c r="AT62" i="10" s="1"/>
  <c r="AX62" i="10" s="1"/>
  <c r="BF62" i="10" s="1"/>
  <c r="R62" i="10"/>
  <c r="V62" i="10" s="1"/>
  <c r="Q26" i="50"/>
  <c r="Z87" i="10"/>
  <c r="Z107" i="10"/>
  <c r="AB107" i="10" s="1"/>
  <c r="AF107" i="10" s="1"/>
  <c r="AJ107" i="10" s="1"/>
  <c r="AP107" i="10" s="1"/>
  <c r="AT107" i="10" s="1"/>
  <c r="AX107" i="10" s="1"/>
  <c r="BF107" i="10" s="1"/>
  <c r="R107" i="10"/>
  <c r="V107" i="10" s="1"/>
  <c r="P165" i="10"/>
  <c r="P162" i="10"/>
  <c r="Q19" i="83"/>
  <c r="AA19" i="83" s="1"/>
  <c r="Q24" i="83"/>
  <c r="AA24" i="83" s="1"/>
  <c r="Q22" i="83"/>
  <c r="AA22" i="83" s="1"/>
  <c r="Q28" i="83"/>
  <c r="AA28" i="83" s="1"/>
  <c r="CO7" i="71"/>
  <c r="BW68" i="71"/>
  <c r="BW70" i="71"/>
  <c r="BW71" i="71"/>
  <c r="BW72" i="71"/>
  <c r="CO72" i="71"/>
  <c r="O36" i="72"/>
  <c r="O38" i="72"/>
  <c r="O39" i="72"/>
  <c r="O37" i="72"/>
  <c r="O40" i="72"/>
  <c r="K26" i="72"/>
  <c r="K20" i="72"/>
  <c r="K21" i="72"/>
  <c r="K15" i="72"/>
  <c r="K16" i="72"/>
  <c r="O8" i="72"/>
  <c r="O11" i="72"/>
  <c r="O15" i="72"/>
  <c r="O16" i="72"/>
  <c r="O9" i="72"/>
  <c r="O12" i="72"/>
  <c r="O13" i="72"/>
  <c r="O10" i="72"/>
  <c r="AB48" i="10" l="1"/>
  <c r="AF48" i="10" s="1"/>
  <c r="AJ48" i="10" s="1"/>
  <c r="AP48" i="10" s="1"/>
  <c r="AT48" i="10" s="1"/>
  <c r="AX48" i="10" s="1"/>
  <c r="BF48" i="10" s="1"/>
  <c r="Z125" i="10"/>
  <c r="Z124" i="10"/>
  <c r="Q100" i="50"/>
  <c r="AA98" i="50"/>
  <c r="AA29" i="50"/>
  <c r="AC29" i="50" s="1"/>
  <c r="AG29" i="50" s="1"/>
  <c r="AK29" i="50" s="1"/>
  <c r="AQ29" i="50" s="1"/>
  <c r="AU29" i="50" s="1"/>
  <c r="AY29" i="50" s="1"/>
  <c r="S29" i="50"/>
  <c r="W29" i="50" s="1"/>
  <c r="AA26" i="50"/>
  <c r="Q32" i="50"/>
  <c r="Q94" i="50" s="1"/>
  <c r="P127" i="10"/>
  <c r="Q93" i="50"/>
  <c r="Q96" i="50" s="1"/>
  <c r="AA99" i="50"/>
  <c r="AC99" i="50" s="1"/>
  <c r="AG99" i="50" s="1"/>
  <c r="AK99" i="50" s="1"/>
  <c r="AQ99" i="50" s="1"/>
  <c r="AU99" i="50" s="1"/>
  <c r="AY99" i="50" s="1"/>
  <c r="BG99" i="50" s="1"/>
  <c r="S99" i="50"/>
  <c r="W99" i="50" s="1"/>
  <c r="P166" i="10"/>
  <c r="Z165" i="10"/>
  <c r="CU58" i="71"/>
  <c r="CU61" i="71"/>
  <c r="CU48" i="71"/>
  <c r="CU33" i="71"/>
  <c r="CU25" i="71"/>
  <c r="CU56" i="71"/>
  <c r="CU28" i="71"/>
  <c r="CU54" i="71"/>
  <c r="CU23" i="71"/>
  <c r="CU17" i="71"/>
  <c r="CU12" i="71"/>
  <c r="CU71" i="71"/>
  <c r="CU41" i="71"/>
  <c r="CU43" i="71"/>
  <c r="CU44" i="71"/>
  <c r="CU60" i="71"/>
  <c r="CU68" i="71"/>
  <c r="CU63" i="71"/>
  <c r="CU51" i="71"/>
  <c r="CU35" i="71"/>
  <c r="CU67" i="71"/>
  <c r="CU55" i="71"/>
  <c r="CU39" i="71"/>
  <c r="CU24" i="71"/>
  <c r="CU37" i="71"/>
  <c r="CU45" i="71"/>
  <c r="CU62" i="71"/>
  <c r="CU50" i="71"/>
  <c r="CU34" i="71"/>
  <c r="CU70" i="71"/>
  <c r="CU57" i="71"/>
  <c r="CU42" i="71"/>
  <c r="CU26" i="71"/>
  <c r="CU53" i="71"/>
  <c r="CU32" i="71"/>
  <c r="CU64" i="71"/>
  <c r="CU52" i="71"/>
  <c r="CU36" i="71"/>
  <c r="CU65" i="71"/>
  <c r="CU72" i="71"/>
  <c r="CU59" i="71"/>
  <c r="CU31" i="71"/>
  <c r="CU66" i="71"/>
  <c r="CU38" i="71"/>
  <c r="CU19" i="71"/>
  <c r="CU7" i="71"/>
  <c r="CU11" i="71"/>
  <c r="CU9" i="71"/>
  <c r="CU18" i="71"/>
  <c r="CU13" i="71"/>
  <c r="CU20" i="71"/>
  <c r="CU8" i="71"/>
  <c r="CU21" i="71"/>
  <c r="CU15" i="71"/>
  <c r="CU14" i="71"/>
  <c r="CU16" i="71"/>
  <c r="CU10" i="71"/>
  <c r="K23" i="72"/>
  <c r="AA31" i="83"/>
  <c r="Q16" i="61"/>
  <c r="AA16" i="61" s="1"/>
  <c r="Q31" i="83"/>
  <c r="Q68" i="83" s="1"/>
  <c r="AA68" i="83" s="1"/>
  <c r="N50" i="17"/>
  <c r="O9" i="17"/>
  <c r="Y9" i="17" s="1"/>
  <c r="N107" i="26"/>
  <c r="N105" i="26"/>
  <c r="N103" i="26"/>
  <c r="N101" i="26"/>
  <c r="N99" i="26"/>
  <c r="N97" i="26"/>
  <c r="N95" i="26"/>
  <c r="N93" i="26"/>
  <c r="N79" i="26"/>
  <c r="N77" i="26"/>
  <c r="N71" i="26"/>
  <c r="N70" i="26" s="1"/>
  <c r="N60" i="26"/>
  <c r="N72" i="26"/>
  <c r="N68" i="26"/>
  <c r="N66" i="26"/>
  <c r="N64" i="26"/>
  <c r="N62" i="26"/>
  <c r="N58" i="26"/>
  <c r="N53" i="26"/>
  <c r="X53" i="26" s="1"/>
  <c r="N51" i="26"/>
  <c r="X51" i="26" s="1"/>
  <c r="N47" i="26"/>
  <c r="N10" i="26"/>
  <c r="N8" i="26"/>
  <c r="N42" i="26"/>
  <c r="N40" i="26"/>
  <c r="N38" i="26"/>
  <c r="N36" i="26"/>
  <c r="J36" i="26"/>
  <c r="N34" i="26"/>
  <c r="J34" i="26"/>
  <c r="N32" i="26"/>
  <c r="J32" i="26"/>
  <c r="N30" i="26"/>
  <c r="J30" i="26"/>
  <c r="N28" i="26"/>
  <c r="J28" i="26"/>
  <c r="N26" i="26"/>
  <c r="J26" i="26"/>
  <c r="N24" i="26"/>
  <c r="J24" i="26"/>
  <c r="N22" i="26"/>
  <c r="N20" i="26"/>
  <c r="N15" i="26"/>
  <c r="N16" i="26" s="1"/>
  <c r="N13" i="26"/>
  <c r="N14" i="26" s="1"/>
  <c r="AA100" i="50" l="1"/>
  <c r="Q95" i="50"/>
  <c r="AA32" i="50"/>
  <c r="AA94" i="50" s="1"/>
  <c r="AA93" i="50"/>
  <c r="AA96" i="50" s="1"/>
  <c r="O13" i="17"/>
  <c r="N44" i="26"/>
  <c r="N109" i="26"/>
  <c r="N74" i="26"/>
  <c r="AA95" i="50" l="1"/>
  <c r="Z128" i="10"/>
  <c r="Z129" i="10" s="1"/>
  <c r="N21" i="27"/>
  <c r="O20" i="27" l="1"/>
  <c r="O19" i="27"/>
  <c r="O18" i="27"/>
  <c r="O29" i="27" l="1"/>
  <c r="O28" i="27"/>
  <c r="O27" i="27"/>
  <c r="O37" i="27"/>
  <c r="O35" i="27"/>
  <c r="R90" i="28" l="1"/>
  <c r="V90" i="28" s="1"/>
  <c r="R99" i="28"/>
  <c r="V99" i="28" s="1"/>
  <c r="R119" i="28"/>
  <c r="V119" i="28" s="1"/>
  <c r="R118" i="28"/>
  <c r="V118" i="28" s="1"/>
  <c r="R100" i="28"/>
  <c r="V100" i="28" s="1"/>
  <c r="R87" i="28"/>
  <c r="V87" i="28" s="1"/>
  <c r="R157" i="28"/>
  <c r="V157" i="28" s="1"/>
  <c r="R213" i="28"/>
  <c r="V213" i="28" s="1"/>
  <c r="R156" i="28"/>
  <c r="V156" i="28" s="1"/>
  <c r="R120" i="28"/>
  <c r="V120" i="28" s="1"/>
  <c r="R158" i="28"/>
  <c r="V158" i="28" s="1"/>
  <c r="R126" i="28"/>
  <c r="V126" i="28" s="1"/>
  <c r="R244" i="28"/>
  <c r="V244" i="28" s="1"/>
  <c r="AB244" i="28" s="1"/>
  <c r="AF244" i="28" s="1"/>
  <c r="AJ244" i="28" s="1"/>
  <c r="AP244" i="28" s="1"/>
  <c r="AT244" i="28" s="1"/>
  <c r="AX244" i="28" s="1"/>
  <c r="BF244" i="28" s="1"/>
  <c r="Q34" i="50"/>
  <c r="AA34" i="50" s="1"/>
  <c r="Q35" i="50"/>
  <c r="AA35" i="50" s="1"/>
  <c r="Q36" i="50"/>
  <c r="AA36" i="50" s="1"/>
  <c r="Q37" i="50"/>
  <c r="AA37" i="50" s="1"/>
  <c r="Q38" i="50"/>
  <c r="AA38" i="50" s="1"/>
  <c r="Q39" i="50"/>
  <c r="AA39" i="50" s="1"/>
  <c r="Q33" i="50"/>
  <c r="Q9" i="61"/>
  <c r="Q86" i="50"/>
  <c r="Q40" i="50" l="1"/>
  <c r="Q103" i="50" s="1"/>
  <c r="Q104" i="50" s="1"/>
  <c r="AA33" i="50"/>
  <c r="AA40" i="50" s="1"/>
  <c r="AA103" i="50" s="1"/>
  <c r="AA104" i="50" s="1"/>
  <c r="AA41" i="50"/>
  <c r="P128" i="10"/>
  <c r="P129" i="10" s="1"/>
  <c r="Q139" i="73"/>
  <c r="U139" i="73" s="1"/>
  <c r="O29" i="15"/>
  <c r="O28" i="15"/>
  <c r="O24" i="15"/>
  <c r="O23" i="15"/>
  <c r="O22" i="15"/>
  <c r="O21" i="15"/>
  <c r="O20" i="15"/>
  <c r="Y20" i="15" s="1"/>
  <c r="N18" i="15"/>
  <c r="O17" i="15"/>
  <c r="O14" i="15"/>
  <c r="Y14" i="15" s="1"/>
  <c r="N11" i="15"/>
  <c r="O10" i="15"/>
  <c r="Y10" i="15" s="1"/>
  <c r="O9" i="15"/>
  <c r="N9" i="15"/>
  <c r="O8" i="15"/>
  <c r="N8" i="15"/>
  <c r="O7" i="15"/>
  <c r="O6" i="15"/>
  <c r="O5" i="15"/>
  <c r="Y28" i="15" l="1"/>
  <c r="Q107" i="50"/>
  <c r="Q108" i="50" s="1"/>
  <c r="Q80" i="50"/>
  <c r="N12" i="15"/>
  <c r="X11" i="15"/>
  <c r="Q75" i="73"/>
  <c r="U75" i="73" s="1"/>
  <c r="Q37" i="73"/>
  <c r="U37" i="73" s="1"/>
  <c r="Q86" i="73"/>
  <c r="U86" i="73" s="1"/>
  <c r="Q38" i="73"/>
  <c r="U38" i="73" s="1"/>
  <c r="Q42" i="73"/>
  <c r="U42" i="73" s="1"/>
  <c r="O31" i="15"/>
  <c r="Y31" i="15" l="1"/>
  <c r="O34" i="15"/>
  <c r="O15" i="15" s="1"/>
  <c r="O16" i="15" s="1"/>
  <c r="AA107" i="50"/>
  <c r="AA108" i="50" s="1"/>
  <c r="AA80" i="50"/>
  <c r="G36" i="50"/>
  <c r="I36" i="50"/>
  <c r="M36" i="50"/>
  <c r="R19" i="11"/>
  <c r="V19" i="11" s="1"/>
  <c r="R20" i="11"/>
  <c r="V20" i="11" s="1"/>
  <c r="R22" i="11"/>
  <c r="V22" i="11" s="1"/>
  <c r="R21" i="11"/>
  <c r="V21" i="11" s="1"/>
  <c r="R23" i="11"/>
  <c r="V23" i="11" s="1"/>
  <c r="R27" i="11"/>
  <c r="Y34" i="15" l="1"/>
  <c r="K36" i="50"/>
  <c r="O36" i="50"/>
  <c r="V27" i="11"/>
  <c r="Y15" i="15"/>
  <c r="Y16" i="15" s="1"/>
  <c r="S10" i="45"/>
  <c r="W10" i="45" s="1"/>
  <c r="S36" i="50" l="1"/>
  <c r="W36" i="50" s="1"/>
  <c r="AC36" i="50"/>
  <c r="AG36" i="50" s="1"/>
  <c r="AK36" i="50" s="1"/>
  <c r="AQ36" i="50" s="1"/>
  <c r="AU36" i="50" s="1"/>
  <c r="AY36" i="50" s="1"/>
  <c r="BG36" i="50" s="1"/>
  <c r="BG30" i="50" l="1"/>
  <c r="R159" i="9"/>
  <c r="R158" i="9"/>
  <c r="R157" i="9"/>
  <c r="P95" i="9" l="1"/>
  <c r="T96" i="38" l="1"/>
  <c r="T95" i="38"/>
  <c r="T94" i="38"/>
  <c r="T93" i="38"/>
  <c r="S92" i="38"/>
  <c r="T91" i="38"/>
  <c r="S90" i="38"/>
  <c r="T88" i="38"/>
  <c r="T87" i="38"/>
  <c r="T86" i="38"/>
  <c r="T85" i="38"/>
  <c r="S84" i="38"/>
  <c r="T82" i="38"/>
  <c r="T81" i="38"/>
  <c r="T80" i="38"/>
  <c r="T79" i="38"/>
  <c r="T78" i="38"/>
  <c r="T77" i="38"/>
  <c r="T76" i="38"/>
  <c r="T75" i="38"/>
  <c r="T74" i="38"/>
  <c r="T73" i="38"/>
  <c r="T72" i="38"/>
  <c r="T71" i="38"/>
  <c r="T70" i="38"/>
  <c r="T69" i="38"/>
  <c r="S68" i="38"/>
  <c r="T64" i="38"/>
  <c r="T63" i="38"/>
  <c r="S62" i="38"/>
  <c r="T59" i="38"/>
  <c r="T58" i="38"/>
  <c r="T57" i="38"/>
  <c r="T56" i="38"/>
  <c r="S55" i="38"/>
  <c r="S53" i="38"/>
  <c r="T52" i="38"/>
  <c r="S52" i="38"/>
  <c r="S47" i="38"/>
  <c r="AC47" i="38" s="1"/>
  <c r="S46" i="38"/>
  <c r="AC46" i="38" s="1"/>
  <c r="S45" i="38"/>
  <c r="AC45" i="38" s="1"/>
  <c r="S44" i="38"/>
  <c r="AC44" i="38" s="1"/>
  <c r="T43" i="38"/>
  <c r="T92" i="38" s="1"/>
  <c r="S42" i="38"/>
  <c r="T41" i="38"/>
  <c r="T90" i="38" s="1"/>
  <c r="S39" i="38"/>
  <c r="AC39" i="38" s="1"/>
  <c r="S38" i="38"/>
  <c r="AC38" i="38" s="1"/>
  <c r="S37" i="38"/>
  <c r="AC37" i="38" s="1"/>
  <c r="S36" i="38"/>
  <c r="AC36" i="38" s="1"/>
  <c r="T35" i="38"/>
  <c r="T84" i="38" s="1"/>
  <c r="S33" i="38"/>
  <c r="AC33" i="38" s="1"/>
  <c r="S32" i="38"/>
  <c r="AC32" i="38" s="1"/>
  <c r="S31" i="38"/>
  <c r="AC31" i="38" s="1"/>
  <c r="S30" i="38"/>
  <c r="AC30" i="38" s="1"/>
  <c r="S29" i="38"/>
  <c r="AC29" i="38" s="1"/>
  <c r="S28" i="38"/>
  <c r="AC28" i="38" s="1"/>
  <c r="S27" i="38"/>
  <c r="AC27" i="38" s="1"/>
  <c r="S26" i="38"/>
  <c r="AC26" i="38" s="1"/>
  <c r="S25" i="38"/>
  <c r="AC25" i="38" s="1"/>
  <c r="S24" i="38"/>
  <c r="AC24" i="38" s="1"/>
  <c r="S23" i="38"/>
  <c r="AC23" i="38" s="1"/>
  <c r="S22" i="38"/>
  <c r="AC22" i="38" s="1"/>
  <c r="S21" i="38"/>
  <c r="AC21" i="38" s="1"/>
  <c r="S20" i="38"/>
  <c r="AC20" i="38" s="1"/>
  <c r="T19" i="38"/>
  <c r="T68" i="38" s="1"/>
  <c r="S15" i="38"/>
  <c r="AC15" i="38" s="1"/>
  <c r="S14" i="38"/>
  <c r="AC14" i="38" s="1"/>
  <c r="T13" i="38"/>
  <c r="T62" i="38" s="1"/>
  <c r="S11" i="38"/>
  <c r="AC11" i="38" s="1"/>
  <c r="AC60" i="38" s="1"/>
  <c r="S10" i="38"/>
  <c r="AC10" i="38" s="1"/>
  <c r="S9" i="38"/>
  <c r="AC9" i="38" s="1"/>
  <c r="S8" i="38"/>
  <c r="AC8" i="38" s="1"/>
  <c r="S7" i="38"/>
  <c r="T55" i="38"/>
  <c r="S41" i="38" l="1"/>
  <c r="AC41" i="38" s="1"/>
  <c r="AC42" i="38"/>
  <c r="S6" i="38"/>
  <c r="AC6" i="38" s="1"/>
  <c r="AC7" i="38"/>
  <c r="S35" i="38"/>
  <c r="AC35" i="38" s="1"/>
  <c r="S43" i="38"/>
  <c r="S65" i="38"/>
  <c r="S89" i="38"/>
  <c r="S67" i="38"/>
  <c r="S19" i="38"/>
  <c r="AC19" i="38" s="1"/>
  <c r="S13" i="38"/>
  <c r="AC13" i="38" s="1"/>
  <c r="T40" i="38"/>
  <c r="T89" i="38" s="1"/>
  <c r="T18" i="38"/>
  <c r="T16" i="38"/>
  <c r="T65" i="38" s="1"/>
  <c r="O20" i="72"/>
  <c r="Q105" i="45"/>
  <c r="Q104" i="45"/>
  <c r="Q102" i="45"/>
  <c r="Q96" i="45"/>
  <c r="Q103" i="45" s="1"/>
  <c r="Q91" i="45"/>
  <c r="Q90" i="45"/>
  <c r="Q89" i="45"/>
  <c r="Q87" i="45"/>
  <c r="Q88" i="45" s="1"/>
  <c r="P87" i="45"/>
  <c r="P88" i="45" s="1"/>
  <c r="P86" i="45"/>
  <c r="Q85" i="45"/>
  <c r="P85" i="45"/>
  <c r="Q83" i="45"/>
  <c r="P83" i="45"/>
  <c r="Q80" i="45"/>
  <c r="Q81" i="45" s="1"/>
  <c r="P80" i="45"/>
  <c r="P81" i="45" s="1"/>
  <c r="Q74" i="45"/>
  <c r="Q107" i="45" s="1"/>
  <c r="Q72" i="45"/>
  <c r="Q106" i="45" s="1"/>
  <c r="P83" i="11"/>
  <c r="P81" i="11"/>
  <c r="P75" i="11"/>
  <c r="P76" i="11" s="1"/>
  <c r="P70" i="11"/>
  <c r="P69" i="11"/>
  <c r="P68" i="11"/>
  <c r="P66" i="11"/>
  <c r="O66" i="11"/>
  <c r="O65" i="11"/>
  <c r="P64" i="11"/>
  <c r="O64" i="11"/>
  <c r="P62" i="11"/>
  <c r="O62" i="11"/>
  <c r="P59" i="11"/>
  <c r="Z59" i="11" s="1"/>
  <c r="O59" i="11"/>
  <c r="P77" i="11"/>
  <c r="P84" i="11"/>
  <c r="S40" i="38" l="1"/>
  <c r="AC40" i="38" s="1"/>
  <c r="AC43" i="38"/>
  <c r="P67" i="11"/>
  <c r="Z66" i="11"/>
  <c r="O60" i="11"/>
  <c r="Y59" i="11"/>
  <c r="O67" i="11"/>
  <c r="S18" i="38"/>
  <c r="AC18" i="38" s="1"/>
  <c r="T67" i="38"/>
  <c r="P60" i="11"/>
  <c r="S16" i="38"/>
  <c r="AC16" i="38" s="1"/>
  <c r="S66" i="38"/>
  <c r="P54" i="11"/>
  <c r="Q92" i="45"/>
  <c r="T17" i="38"/>
  <c r="T66" i="38" s="1"/>
  <c r="Q98" i="45"/>
  <c r="Q76" i="45"/>
  <c r="Q77" i="45" s="1"/>
  <c r="P71" i="11"/>
  <c r="Q108" i="45"/>
  <c r="Q110" i="45"/>
  <c r="Q97" i="45"/>
  <c r="Q75" i="45"/>
  <c r="P56" i="11"/>
  <c r="P82" i="11"/>
  <c r="P88" i="11" s="1"/>
  <c r="P85" i="11"/>
  <c r="P86" i="11" s="1"/>
  <c r="S17" i="38" l="1"/>
  <c r="AC17" i="38" s="1"/>
  <c r="P155" i="10"/>
  <c r="P153" i="10"/>
  <c r="P147" i="10"/>
  <c r="P154" i="10" s="1"/>
  <c r="P142" i="10"/>
  <c r="P141" i="10"/>
  <c r="P140" i="10"/>
  <c r="P138" i="10"/>
  <c r="O138" i="10"/>
  <c r="O137" i="10"/>
  <c r="P136" i="10"/>
  <c r="O136" i="10"/>
  <c r="P134" i="10"/>
  <c r="O134" i="10"/>
  <c r="P131" i="10"/>
  <c r="Z131" i="10" s="1"/>
  <c r="O131" i="10"/>
  <c r="O132" i="10" s="1"/>
  <c r="P149" i="10"/>
  <c r="P139" i="10" l="1"/>
  <c r="Z138" i="10"/>
  <c r="O139" i="10"/>
  <c r="P132" i="10"/>
  <c r="P143" i="10"/>
  <c r="P156" i="10"/>
  <c r="P160" i="10" s="1"/>
  <c r="P148" i="10"/>
  <c r="P157" i="10"/>
  <c r="O104" i="9"/>
  <c r="O102" i="9"/>
  <c r="O101" i="9"/>
  <c r="P99" i="9"/>
  <c r="O99" i="9"/>
  <c r="P98" i="9"/>
  <c r="P97" i="9"/>
  <c r="P93" i="9"/>
  <c r="O53" i="9"/>
  <c r="O52" i="9"/>
  <c r="O51" i="9"/>
  <c r="O47" i="9"/>
  <c r="P46" i="9"/>
  <c r="P36" i="9"/>
  <c r="Q117" i="50" s="1"/>
  <c r="Q118" i="50" s="1"/>
  <c r="P35" i="9"/>
  <c r="P47" i="9" s="1"/>
  <c r="P34" i="9"/>
  <c r="P31" i="9"/>
  <c r="P25" i="9"/>
  <c r="O24" i="9"/>
  <c r="O22" i="9"/>
  <c r="P19" i="9"/>
  <c r="P39" i="36" s="1"/>
  <c r="P10" i="9"/>
  <c r="P5" i="9"/>
  <c r="P96" i="9" s="1"/>
  <c r="Q50" i="8"/>
  <c r="P48" i="9" l="1"/>
  <c r="P49" i="9" s="1"/>
  <c r="Q87" i="50"/>
  <c r="P57" i="9"/>
  <c r="P62" i="9" s="1"/>
  <c r="P37" i="9"/>
  <c r="P14" i="9"/>
  <c r="P90" i="9"/>
  <c r="P94" i="9"/>
  <c r="O18" i="15" s="1"/>
  <c r="P89" i="9"/>
  <c r="P100" i="9"/>
  <c r="P158" i="10"/>
  <c r="O25" i="9"/>
  <c r="O88" i="9" s="1"/>
  <c r="P78" i="9" l="1"/>
  <c r="P76" i="9"/>
  <c r="P75" i="9"/>
  <c r="P73" i="9"/>
  <c r="P72" i="9"/>
  <c r="P91" i="9"/>
  <c r="P80" i="9"/>
  <c r="P86" i="9"/>
  <c r="P82" i="9"/>
  <c r="P81" i="9"/>
  <c r="P52" i="9"/>
  <c r="P87" i="9"/>
  <c r="P84" i="9"/>
  <c r="P53" i="9"/>
  <c r="P85" i="9"/>
  <c r="P83" i="9"/>
  <c r="P77" i="9" l="1"/>
  <c r="P74" i="9"/>
  <c r="D79" i="8"/>
  <c r="P79" i="9" l="1"/>
  <c r="P129" i="8"/>
  <c r="P130" i="8" l="1"/>
  <c r="P50" i="8" s="1"/>
  <c r="P131" i="8"/>
  <c r="Q71" i="8"/>
  <c r="R87" i="8"/>
  <c r="P88" i="8"/>
  <c r="P85" i="8"/>
  <c r="O85" i="8"/>
  <c r="P83" i="8"/>
  <c r="P82" i="8"/>
  <c r="O81" i="8"/>
  <c r="O78" i="8"/>
  <c r="O77" i="8"/>
  <c r="O75" i="8"/>
  <c r="O73" i="8"/>
  <c r="O72" i="8"/>
  <c r="O71" i="8"/>
  <c r="O70" i="8"/>
  <c r="O69" i="8"/>
  <c r="O50" i="8"/>
  <c r="P48" i="8"/>
  <c r="O48" i="8"/>
  <c r="O45" i="8"/>
  <c r="O44" i="8"/>
  <c r="O43" i="8"/>
  <c r="O42" i="8"/>
  <c r="O40" i="8"/>
  <c r="O39" i="8"/>
  <c r="O38" i="8"/>
  <c r="P25" i="8"/>
  <c r="P16" i="8"/>
  <c r="O16" i="8"/>
  <c r="P14" i="8"/>
  <c r="O14" i="8"/>
  <c r="P13" i="8"/>
  <c r="O13" i="8"/>
  <c r="P12" i="8"/>
  <c r="P6" i="8"/>
  <c r="O6" i="8"/>
  <c r="P46" i="8" l="1"/>
  <c r="P132" i="8"/>
  <c r="P51" i="8" s="1"/>
  <c r="P33" i="8"/>
  <c r="P72" i="8"/>
  <c r="O49" i="8"/>
  <c r="O79" i="8"/>
  <c r="O41" i="8"/>
  <c r="O26" i="8"/>
  <c r="O86" i="8"/>
  <c r="P15" i="8"/>
  <c r="P44" i="8"/>
  <c r="P86" i="8"/>
  <c r="P40" i="8"/>
  <c r="P43" i="8"/>
  <c r="O23" i="8"/>
  <c r="P80" i="8"/>
  <c r="O24" i="8"/>
  <c r="O29" i="8"/>
  <c r="P49" i="8"/>
  <c r="O22" i="8"/>
  <c r="O27" i="8"/>
  <c r="P38" i="8"/>
  <c r="O30" i="8"/>
  <c r="P39" i="8"/>
  <c r="P42" i="8"/>
  <c r="P45" i="8"/>
  <c r="P76" i="8"/>
  <c r="O28" i="8"/>
  <c r="O106" i="7"/>
  <c r="O105" i="7"/>
  <c r="O104" i="7"/>
  <c r="O103" i="7"/>
  <c r="O102" i="7"/>
  <c r="O101" i="7"/>
  <c r="O100" i="7"/>
  <c r="O99" i="7"/>
  <c r="O98" i="7"/>
  <c r="O97" i="7"/>
  <c r="O90" i="7"/>
  <c r="O79" i="7"/>
  <c r="P78" i="7"/>
  <c r="P76" i="7"/>
  <c r="O76" i="7"/>
  <c r="P69" i="7"/>
  <c r="O69" i="7"/>
  <c r="P65" i="7"/>
  <c r="P67" i="7" s="1"/>
  <c r="O65" i="7"/>
  <c r="O67" i="7" s="1"/>
  <c r="P61" i="7"/>
  <c r="O61" i="7"/>
  <c r="P19" i="7"/>
  <c r="O19" i="7"/>
  <c r="O37" i="7" s="1"/>
  <c r="O46" i="7" s="1"/>
  <c r="O29" i="7" l="1"/>
  <c r="O89" i="7" s="1"/>
  <c r="O25" i="7"/>
  <c r="O85" i="7" s="1"/>
  <c r="P52" i="7"/>
  <c r="P51" i="7"/>
  <c r="P90" i="7" s="1"/>
  <c r="P50" i="7"/>
  <c r="P49" i="7"/>
  <c r="P56" i="7"/>
  <c r="P55" i="7"/>
  <c r="P54" i="7"/>
  <c r="P53" i="7"/>
  <c r="O129" i="8"/>
  <c r="O131" i="8" s="1"/>
  <c r="O22" i="7"/>
  <c r="O82" i="7" s="1"/>
  <c r="O23" i="7"/>
  <c r="O83" i="7" s="1"/>
  <c r="P23" i="7"/>
  <c r="O57" i="8"/>
  <c r="O61" i="8" s="1"/>
  <c r="O34" i="8" s="1"/>
  <c r="P29" i="7"/>
  <c r="P89" i="7" s="1"/>
  <c r="P37" i="7"/>
  <c r="P46" i="7" s="1"/>
  <c r="O48" i="39"/>
  <c r="P35" i="8"/>
  <c r="P70" i="8"/>
  <c r="P33" i="7"/>
  <c r="P94" i="7" s="1"/>
  <c r="O65" i="8"/>
  <c r="O36" i="8" s="1"/>
  <c r="P27" i="7"/>
  <c r="P87" i="7" s="1"/>
  <c r="P21" i="7"/>
  <c r="P81" i="7" s="1"/>
  <c r="P24" i="7"/>
  <c r="O75" i="7"/>
  <c r="O28" i="7"/>
  <c r="P75" i="7"/>
  <c r="P28" i="7"/>
  <c r="P88" i="7" s="1"/>
  <c r="S34" i="59" s="1"/>
  <c r="P71" i="8"/>
  <c r="P36" i="8"/>
  <c r="Z36" i="8" s="1"/>
  <c r="P41" i="8"/>
  <c r="O25" i="8"/>
  <c r="O63" i="8"/>
  <c r="O33" i="8" s="1"/>
  <c r="O67" i="8"/>
  <c r="O35" i="8" s="1"/>
  <c r="O24" i="7"/>
  <c r="O93" i="7" s="1"/>
  <c r="O21" i="7"/>
  <c r="O32" i="7"/>
  <c r="O84" i="7" s="1"/>
  <c r="O27" i="7"/>
  <c r="O87" i="7" s="1"/>
  <c r="P70" i="7"/>
  <c r="P25" i="7"/>
  <c r="P85" i="7" s="1"/>
  <c r="P30" i="7"/>
  <c r="P91" i="7" s="1"/>
  <c r="P63" i="7"/>
  <c r="P72" i="7"/>
  <c r="P22" i="7"/>
  <c r="P26" i="7"/>
  <c r="P86" i="7" s="1"/>
  <c r="P93" i="7"/>
  <c r="P32" i="7"/>
  <c r="P84" i="7" s="1"/>
  <c r="P77" i="7"/>
  <c r="O77" i="7"/>
  <c r="O26" i="7"/>
  <c r="O86" i="7" s="1"/>
  <c r="O30" i="7"/>
  <c r="O91" i="7" s="1"/>
  <c r="O70" i="7"/>
  <c r="O81" i="7"/>
  <c r="O62" i="7"/>
  <c r="O72" i="7"/>
  <c r="P83" i="7" l="1"/>
  <c r="O130" i="8"/>
  <c r="O132" i="8" s="1"/>
  <c r="P82" i="7"/>
  <c r="P95" i="7" s="1"/>
  <c r="O50" i="39"/>
  <c r="P69" i="8"/>
  <c r="O88" i="7"/>
  <c r="O95" i="7" s="1"/>
  <c r="P34" i="8"/>
  <c r="P68" i="8"/>
  <c r="O34" i="7"/>
  <c r="O48" i="7" s="1"/>
  <c r="O57" i="7" s="1"/>
  <c r="P34" i="7"/>
  <c r="P48" i="7" l="1"/>
  <c r="P71" i="7" s="1"/>
  <c r="R34" i="59"/>
  <c r="O71" i="7"/>
  <c r="O192" i="6"/>
  <c r="O191" i="6"/>
  <c r="O190" i="6"/>
  <c r="O188" i="6"/>
  <c r="P186" i="6"/>
  <c r="O186" i="6"/>
  <c r="P185" i="6"/>
  <c r="P184" i="6"/>
  <c r="O183" i="6"/>
  <c r="O182" i="6"/>
  <c r="O179" i="6"/>
  <c r="O178" i="6"/>
  <c r="O177" i="6"/>
  <c r="O176" i="6"/>
  <c r="O175" i="6"/>
  <c r="O174" i="6"/>
  <c r="O172" i="6"/>
  <c r="O171" i="6"/>
  <c r="O170" i="6"/>
  <c r="O162" i="6"/>
  <c r="P160" i="6"/>
  <c r="O160" i="6"/>
  <c r="P159" i="6"/>
  <c r="O158" i="6"/>
  <c r="O157" i="6"/>
  <c r="O154" i="6"/>
  <c r="O153" i="6"/>
  <c r="O152" i="6"/>
  <c r="O151" i="6"/>
  <c r="O150" i="6"/>
  <c r="O149" i="6"/>
  <c r="O147" i="6"/>
  <c r="O146" i="6"/>
  <c r="O145" i="6"/>
  <c r="P135" i="6"/>
  <c r="P134" i="6"/>
  <c r="P133" i="6"/>
  <c r="O133" i="6"/>
  <c r="P130" i="6"/>
  <c r="O130" i="6"/>
  <c r="P129" i="6"/>
  <c r="Z129" i="6" s="1"/>
  <c r="O129" i="6"/>
  <c r="Y129" i="6" s="1"/>
  <c r="P128" i="6"/>
  <c r="O128" i="6"/>
  <c r="P127" i="6"/>
  <c r="O127" i="6"/>
  <c r="P125" i="6"/>
  <c r="Z125" i="6" s="1"/>
  <c r="P124" i="6"/>
  <c r="Z124" i="6" s="1"/>
  <c r="P123" i="6"/>
  <c r="Z123" i="6" s="1"/>
  <c r="P122" i="6"/>
  <c r="Z122" i="6" s="1"/>
  <c r="P121" i="6"/>
  <c r="Z121" i="6" s="1"/>
  <c r="P114" i="6"/>
  <c r="O114" i="6"/>
  <c r="P109" i="6"/>
  <c r="O109" i="6"/>
  <c r="P97" i="6"/>
  <c r="O97" i="6"/>
  <c r="P92" i="6"/>
  <c r="O92" i="6"/>
  <c r="O81" i="6"/>
  <c r="O79" i="6"/>
  <c r="O78" i="6"/>
  <c r="O76" i="6"/>
  <c r="O75" i="6"/>
  <c r="P73" i="6"/>
  <c r="O73" i="6"/>
  <c r="P65" i="6"/>
  <c r="O65" i="6"/>
  <c r="P62" i="6"/>
  <c r="O62" i="6"/>
  <c r="O37" i="6"/>
  <c r="P28" i="6"/>
  <c r="P25" i="6"/>
  <c r="P22" i="6"/>
  <c r="O14" i="6"/>
  <c r="O24" i="6" s="1"/>
  <c r="O13" i="6"/>
  <c r="O12" i="6"/>
  <c r="O11" i="6"/>
  <c r="O7" i="6"/>
  <c r="O73" i="77"/>
  <c r="O115" i="77" s="1"/>
  <c r="P57" i="7" l="1"/>
  <c r="P29" i="6"/>
  <c r="P19" i="6"/>
  <c r="O156" i="6"/>
  <c r="P98" i="6"/>
  <c r="P102" i="6" s="1"/>
  <c r="P143" i="6" s="1"/>
  <c r="P191" i="6"/>
  <c r="O126" i="6"/>
  <c r="O115" i="6"/>
  <c r="O119" i="6" s="1"/>
  <c r="O168" i="6" s="1"/>
  <c r="P115" i="6"/>
  <c r="P119" i="6" s="1"/>
  <c r="P168" i="6" s="1"/>
  <c r="O131" i="6"/>
  <c r="O23" i="6"/>
  <c r="O25" i="6" s="1"/>
  <c r="O161" i="6"/>
  <c r="O26" i="6"/>
  <c r="P30" i="6"/>
  <c r="O21" i="6"/>
  <c r="O98" i="6"/>
  <c r="O102" i="6" s="1"/>
  <c r="O140" i="6" s="1"/>
  <c r="O187" i="6"/>
  <c r="O18" i="6"/>
  <c r="O27" i="6"/>
  <c r="O15" i="6"/>
  <c r="O80" i="6" s="1"/>
  <c r="P131" i="6"/>
  <c r="O181" i="6"/>
  <c r="O17" i="6"/>
  <c r="O20" i="6"/>
  <c r="P126" i="6"/>
  <c r="O393" i="28"/>
  <c r="O392" i="28"/>
  <c r="Q393" i="28"/>
  <c r="Q392" i="28"/>
  <c r="Z360" i="28"/>
  <c r="P310" i="28"/>
  <c r="Z310" i="28" s="1"/>
  <c r="O310" i="28"/>
  <c r="Y310" i="28" s="1"/>
  <c r="P299" i="28"/>
  <c r="P241" i="28"/>
  <c r="P380" i="28" s="1"/>
  <c r="O241" i="28"/>
  <c r="P235" i="28"/>
  <c r="Z235" i="28" s="1"/>
  <c r="P234" i="28"/>
  <c r="Z234" i="28" s="1"/>
  <c r="O234" i="28"/>
  <c r="Y234" i="28" s="1"/>
  <c r="P198" i="28"/>
  <c r="O198" i="28"/>
  <c r="Y198" i="28" s="1"/>
  <c r="P185" i="28"/>
  <c r="Z185" i="28" s="1"/>
  <c r="P184" i="28"/>
  <c r="Z184" i="28" s="1"/>
  <c r="P82" i="28"/>
  <c r="Z82" i="28" s="1"/>
  <c r="P81" i="28"/>
  <c r="Z81" i="28" s="1"/>
  <c r="P79" i="28"/>
  <c r="Z79" i="28" s="1"/>
  <c r="P75" i="28"/>
  <c r="Z75" i="28" s="1"/>
  <c r="P71" i="28"/>
  <c r="Z71" i="28" s="1"/>
  <c r="P67" i="28"/>
  <c r="Z67" i="28" s="1"/>
  <c r="O54" i="28"/>
  <c r="Y54" i="28" s="1"/>
  <c r="O53" i="28"/>
  <c r="Y53" i="28" s="1"/>
  <c r="O52" i="28"/>
  <c r="Y52" i="28" s="1"/>
  <c r="P47" i="28"/>
  <c r="Z47" i="28" s="1"/>
  <c r="P40" i="28"/>
  <c r="Z40" i="28" s="1"/>
  <c r="P31" i="28"/>
  <c r="P30" i="28"/>
  <c r="Z30" i="28" s="1"/>
  <c r="P29" i="28"/>
  <c r="Z29" i="28" s="1"/>
  <c r="P28" i="28"/>
  <c r="P26" i="28"/>
  <c r="Z26" i="28" s="1"/>
  <c r="P19" i="28"/>
  <c r="Z19" i="28" s="1"/>
  <c r="P12" i="28"/>
  <c r="O201" i="73"/>
  <c r="Y201" i="73" s="1"/>
  <c r="O184" i="73"/>
  <c r="Y184" i="73" s="1"/>
  <c r="O173" i="73"/>
  <c r="O116" i="73"/>
  <c r="O110" i="73"/>
  <c r="O104" i="73"/>
  <c r="O58" i="73"/>
  <c r="Y58" i="73" s="1"/>
  <c r="O53" i="73"/>
  <c r="O48" i="73"/>
  <c r="O34" i="73"/>
  <c r="Y34" i="73" s="1"/>
  <c r="O23" i="73"/>
  <c r="Y23" i="73" s="1"/>
  <c r="O128" i="73" l="1"/>
  <c r="O11" i="15"/>
  <c r="O12" i="15" s="1"/>
  <c r="Y110" i="73"/>
  <c r="O113" i="73"/>
  <c r="Z241" i="28"/>
  <c r="Z380" i="28" s="1"/>
  <c r="P376" i="28"/>
  <c r="Z198" i="28"/>
  <c r="P58" i="28"/>
  <c r="Z58" i="28" s="1"/>
  <c r="Z12" i="28"/>
  <c r="P384" i="28"/>
  <c r="P50" i="28"/>
  <c r="Z50" i="28" s="1"/>
  <c r="Z28" i="28"/>
  <c r="P54" i="28"/>
  <c r="Z54" i="28" s="1"/>
  <c r="Z32" i="28"/>
  <c r="AB32" i="28" s="1"/>
  <c r="AF32" i="28" s="1"/>
  <c r="AJ32" i="28" s="1"/>
  <c r="AP32" i="28" s="1"/>
  <c r="AT32" i="28" s="1"/>
  <c r="AX32" i="28" s="1"/>
  <c r="BF32" i="28" s="1"/>
  <c r="P300" i="28"/>
  <c r="P383" i="28" s="1"/>
  <c r="Z299" i="28"/>
  <c r="P60" i="28"/>
  <c r="Z60" i="28" s="1"/>
  <c r="P53" i="28"/>
  <c r="Z53" i="28" s="1"/>
  <c r="Z31" i="28"/>
  <c r="O171" i="73"/>
  <c r="P31" i="6"/>
  <c r="P186" i="28"/>
  <c r="P140" i="6"/>
  <c r="P393" i="28"/>
  <c r="P51" i="28"/>
  <c r="Z51" i="28" s="1"/>
  <c r="P166" i="6"/>
  <c r="P141" i="6"/>
  <c r="O132" i="6"/>
  <c r="O136" i="6" s="1"/>
  <c r="O202" i="6" s="1"/>
  <c r="O165" i="6"/>
  <c r="O166" i="6"/>
  <c r="P165" i="6"/>
  <c r="P132" i="6"/>
  <c r="P136" i="6" s="1"/>
  <c r="P192" i="6" s="1"/>
  <c r="O28" i="6"/>
  <c r="O77" i="6"/>
  <c r="O22" i="6"/>
  <c r="O141" i="6"/>
  <c r="O142" i="6" s="1"/>
  <c r="O143" i="6"/>
  <c r="O29" i="6"/>
  <c r="O19" i="6"/>
  <c r="O30" i="6"/>
  <c r="P83" i="28"/>
  <c r="Z83" i="28" s="1"/>
  <c r="P377" i="28"/>
  <c r="P52" i="28"/>
  <c r="Z52" i="28" s="1"/>
  <c r="P392" i="28"/>
  <c r="P33" i="28"/>
  <c r="Z33" i="28" s="1"/>
  <c r="P381" i="28"/>
  <c r="P236" i="28"/>
  <c r="P59" i="28"/>
  <c r="Z59" i="28" s="1"/>
  <c r="P373" i="28"/>
  <c r="O33" i="35"/>
  <c r="O32" i="35"/>
  <c r="O30" i="35"/>
  <c r="O29" i="35"/>
  <c r="O28" i="35"/>
  <c r="O21" i="35"/>
  <c r="O12" i="8" s="1"/>
  <c r="O15" i="8" s="1"/>
  <c r="O18" i="35"/>
  <c r="O16" i="35"/>
  <c r="O115" i="73" l="1"/>
  <c r="Y11" i="15"/>
  <c r="P382" i="28"/>
  <c r="P375" i="28"/>
  <c r="Z186" i="28"/>
  <c r="P385" i="28"/>
  <c r="P370" i="28"/>
  <c r="Z236" i="28"/>
  <c r="P386" i="28"/>
  <c r="Z361" i="28"/>
  <c r="O13" i="15"/>
  <c r="Y12" i="15"/>
  <c r="P142" i="6"/>
  <c r="O43" i="36"/>
  <c r="O45" i="36" s="1"/>
  <c r="O40" i="36"/>
  <c r="O42" i="36" s="1"/>
  <c r="O46" i="36"/>
  <c r="P374" i="28"/>
  <c r="N17" i="15"/>
  <c r="N14" i="15" s="1"/>
  <c r="O5" i="9"/>
  <c r="O52" i="11"/>
  <c r="O90" i="11" s="1"/>
  <c r="O14" i="28"/>
  <c r="Y14" i="28" s="1"/>
  <c r="P73" i="45"/>
  <c r="P112" i="45" s="1"/>
  <c r="O21" i="28"/>
  <c r="Y21" i="28" s="1"/>
  <c r="O170" i="10"/>
  <c r="O7" i="28"/>
  <c r="Y7" i="28" s="1"/>
  <c r="P365" i="28"/>
  <c r="P55" i="28"/>
  <c r="P378" i="28"/>
  <c r="P371" i="28"/>
  <c r="P379" i="28"/>
  <c r="P167" i="6"/>
  <c r="O196" i="6"/>
  <c r="O199" i="6"/>
  <c r="O200" i="6"/>
  <c r="O197" i="6"/>
  <c r="O198" i="6"/>
  <c r="O204" i="6"/>
  <c r="O205" i="6"/>
  <c r="O208" i="6"/>
  <c r="O211" i="6" s="1"/>
  <c r="O203" i="6"/>
  <c r="O167" i="6"/>
  <c r="O31" i="6"/>
  <c r="P204" i="6"/>
  <c r="P198" i="6"/>
  <c r="P197" i="6"/>
  <c r="P210" i="6"/>
  <c r="P203" i="6"/>
  <c r="P200" i="6"/>
  <c r="P205" i="6"/>
  <c r="P190" i="6"/>
  <c r="P196" i="6"/>
  <c r="P199" i="6"/>
  <c r="P208" i="6"/>
  <c r="P202" i="6"/>
  <c r="P209" i="6"/>
  <c r="P84" i="28"/>
  <c r="P364" i="28"/>
  <c r="P61" i="28"/>
  <c r="Z61" i="28" s="1"/>
  <c r="P387" i="28"/>
  <c r="P17" i="49"/>
  <c r="P18" i="49" s="1"/>
  <c r="P11" i="49"/>
  <c r="O11" i="49"/>
  <c r="P9" i="49"/>
  <c r="P8" i="49"/>
  <c r="P6" i="49"/>
  <c r="T15" i="59"/>
  <c r="S72" i="59"/>
  <c r="S71" i="59"/>
  <c r="S70" i="59"/>
  <c r="R69" i="59"/>
  <c r="S68" i="59"/>
  <c r="R68" i="59"/>
  <c r="S67" i="59"/>
  <c r="S66" i="59"/>
  <c r="R66" i="59"/>
  <c r="S63" i="59"/>
  <c r="S62" i="59"/>
  <c r="R62" i="59"/>
  <c r="S59" i="59"/>
  <c r="S58" i="59"/>
  <c r="R58" i="59"/>
  <c r="S55" i="59"/>
  <c r="R55" i="59"/>
  <c r="S54" i="59"/>
  <c r="R54" i="59"/>
  <c r="S53" i="59"/>
  <c r="R53" i="59"/>
  <c r="S52" i="59"/>
  <c r="R52" i="59"/>
  <c r="S51" i="59"/>
  <c r="R51" i="59"/>
  <c r="R46" i="59"/>
  <c r="S45" i="59"/>
  <c r="R45" i="59"/>
  <c r="S44" i="59"/>
  <c r="R44" i="59"/>
  <c r="S43" i="59"/>
  <c r="R43" i="59"/>
  <c r="S42" i="59"/>
  <c r="R42" i="59"/>
  <c r="S41" i="59"/>
  <c r="R41" i="59"/>
  <c r="R39" i="59"/>
  <c r="R38" i="59"/>
  <c r="R37" i="59"/>
  <c r="S36" i="59"/>
  <c r="R36" i="59"/>
  <c r="S35" i="59"/>
  <c r="R35" i="59"/>
  <c r="S33" i="59"/>
  <c r="R33" i="59"/>
  <c r="S32" i="59"/>
  <c r="R32" i="59"/>
  <c r="S31" i="59"/>
  <c r="R31" i="59"/>
  <c r="S30" i="59"/>
  <c r="R30" i="59"/>
  <c r="S29" i="59"/>
  <c r="R29" i="59"/>
  <c r="S28" i="59"/>
  <c r="R28" i="59"/>
  <c r="S27" i="59"/>
  <c r="R27" i="59"/>
  <c r="S26" i="59"/>
  <c r="R26" i="59"/>
  <c r="S25" i="59"/>
  <c r="R25" i="59"/>
  <c r="S24" i="59"/>
  <c r="R24" i="59"/>
  <c r="S23" i="59"/>
  <c r="R23" i="59"/>
  <c r="S22" i="59"/>
  <c r="R22" i="59"/>
  <c r="S20" i="59"/>
  <c r="R20" i="59"/>
  <c r="S19" i="59"/>
  <c r="R19" i="59"/>
  <c r="S18" i="59"/>
  <c r="R18" i="59"/>
  <c r="S17" i="59"/>
  <c r="R17" i="59"/>
  <c r="S16" i="59"/>
  <c r="R16" i="59"/>
  <c r="S15" i="59"/>
  <c r="R15" i="59"/>
  <c r="S12" i="59"/>
  <c r="R12" i="59"/>
  <c r="P56" i="28" l="1"/>
  <c r="Z55" i="28"/>
  <c r="O26" i="28"/>
  <c r="Y26" i="28" s="1"/>
  <c r="N15" i="15"/>
  <c r="X15" i="15" s="1"/>
  <c r="X14" i="15"/>
  <c r="O56" i="9"/>
  <c r="O55" i="9"/>
  <c r="O59" i="9"/>
  <c r="O61" i="9"/>
  <c r="O58" i="9"/>
  <c r="O12" i="28"/>
  <c r="Y12" i="28" s="1"/>
  <c r="O235" i="28"/>
  <c r="Y235" i="28" s="1"/>
  <c r="O19" i="28"/>
  <c r="Y19" i="28" s="1"/>
  <c r="O143" i="10"/>
  <c r="O71" i="11"/>
  <c r="O54" i="11"/>
  <c r="O51" i="11"/>
  <c r="O67" i="9"/>
  <c r="O92" i="9"/>
  <c r="O64" i="9"/>
  <c r="O69" i="9"/>
  <c r="O63" i="9"/>
  <c r="O95" i="9"/>
  <c r="O66" i="9"/>
  <c r="O65" i="9"/>
  <c r="O7" i="9"/>
  <c r="O70" i="9"/>
  <c r="O27" i="9"/>
  <c r="O68" i="9"/>
  <c r="O100" i="9"/>
  <c r="P92" i="45"/>
  <c r="P76" i="45"/>
  <c r="P72" i="45"/>
  <c r="P75" i="45"/>
  <c r="O201" i="6"/>
  <c r="O206" i="6"/>
  <c r="P211" i="6"/>
  <c r="P201" i="6"/>
  <c r="P206" i="6"/>
  <c r="S11" i="59" s="1"/>
  <c r="P62" i="28"/>
  <c r="Z62" i="28" s="1"/>
  <c r="P32" i="36"/>
  <c r="O32" i="36"/>
  <c r="O29" i="36"/>
  <c r="O28" i="36"/>
  <c r="O27" i="36"/>
  <c r="P26" i="36"/>
  <c r="P23" i="36"/>
  <c r="S65" i="59" s="1"/>
  <c r="O23" i="36"/>
  <c r="R65" i="59" s="1"/>
  <c r="P22" i="36"/>
  <c r="S61" i="59" s="1"/>
  <c r="O22" i="36"/>
  <c r="R61" i="59" s="1"/>
  <c r="P21" i="36"/>
  <c r="S57" i="59" s="1"/>
  <c r="O21" i="36"/>
  <c r="R57" i="59" s="1"/>
  <c r="P17" i="36"/>
  <c r="S48" i="59" s="1"/>
  <c r="O17" i="36"/>
  <c r="P16" i="36"/>
  <c r="S47" i="59" s="1"/>
  <c r="O16" i="36"/>
  <c r="O13" i="36"/>
  <c r="R40" i="59" s="1"/>
  <c r="P12" i="36"/>
  <c r="S39" i="59" s="1"/>
  <c r="P11" i="36"/>
  <c r="S38" i="59" s="1"/>
  <c r="P10" i="36"/>
  <c r="O9" i="36"/>
  <c r="R10" i="59" s="1"/>
  <c r="P8" i="36"/>
  <c r="S9" i="59" s="1"/>
  <c r="O8" i="36"/>
  <c r="R9" i="59" s="1"/>
  <c r="P7" i="36"/>
  <c r="S8" i="59" s="1"/>
  <c r="O7" i="36"/>
  <c r="R8" i="59" s="1"/>
  <c r="P5" i="36"/>
  <c r="O5" i="36"/>
  <c r="P28" i="21"/>
  <c r="O27" i="21"/>
  <c r="P24" i="21"/>
  <c r="P18" i="21"/>
  <c r="P15" i="21"/>
  <c r="P12" i="21"/>
  <c r="P390" i="28" s="1"/>
  <c r="O12" i="21"/>
  <c r="O15" i="21" s="1"/>
  <c r="O38" i="36" l="1"/>
  <c r="P25" i="21"/>
  <c r="O39" i="36"/>
  <c r="O60" i="28"/>
  <c r="Y60" i="28" s="1"/>
  <c r="O300" i="28"/>
  <c r="O383" i="28" s="1"/>
  <c r="O60" i="9"/>
  <c r="O57" i="9"/>
  <c r="P19" i="36"/>
  <c r="S50" i="59" s="1"/>
  <c r="O207" i="6"/>
  <c r="O212" i="6" s="1"/>
  <c r="O28" i="21"/>
  <c r="O236" i="28"/>
  <c r="Y236" i="28" s="1"/>
  <c r="O59" i="28"/>
  <c r="Y59" i="28" s="1"/>
  <c r="O89" i="9"/>
  <c r="R47" i="59"/>
  <c r="N5" i="15"/>
  <c r="R70" i="59"/>
  <c r="O13" i="49"/>
  <c r="R6" i="59"/>
  <c r="N6" i="15"/>
  <c r="R71" i="59"/>
  <c r="O186" i="28"/>
  <c r="O58" i="28"/>
  <c r="Y58" i="28" s="1"/>
  <c r="O90" i="9"/>
  <c r="O19" i="9" s="1"/>
  <c r="R48" i="59"/>
  <c r="N7" i="15"/>
  <c r="R72" i="59"/>
  <c r="P20" i="21"/>
  <c r="P391" i="28"/>
  <c r="P18" i="36"/>
  <c r="S49" i="59" s="1"/>
  <c r="P13" i="49"/>
  <c r="S6" i="59"/>
  <c r="P13" i="36"/>
  <c r="S40" i="59" s="1"/>
  <c r="S37" i="59"/>
  <c r="P207" i="6"/>
  <c r="O22" i="21"/>
  <c r="O40" i="35"/>
  <c r="O39" i="35"/>
  <c r="O37" i="35"/>
  <c r="P34" i="35"/>
  <c r="P44" i="35" s="1"/>
  <c r="O34" i="35"/>
  <c r="O31" i="35"/>
  <c r="P30" i="35"/>
  <c r="Q112" i="45" s="1"/>
  <c r="P29" i="35"/>
  <c r="P28" i="35"/>
  <c r="P170" i="10" s="1"/>
  <c r="P24" i="35"/>
  <c r="P33" i="36" s="1"/>
  <c r="P34" i="36" s="1"/>
  <c r="P35" i="36" s="1"/>
  <c r="O24" i="35"/>
  <c r="O33" i="36" s="1"/>
  <c r="O34" i="36" s="1"/>
  <c r="O35" i="36" s="1"/>
  <c r="P19" i="35"/>
  <c r="P26" i="9" s="1"/>
  <c r="O19" i="35"/>
  <c r="O26" i="9" s="1"/>
  <c r="O10" i="35"/>
  <c r="O9" i="35"/>
  <c r="P7" i="35"/>
  <c r="P6" i="6" s="1"/>
  <c r="P6" i="35"/>
  <c r="O36" i="36" l="1"/>
  <c r="O30" i="36" s="1"/>
  <c r="R73" i="59" s="1"/>
  <c r="P36" i="36"/>
  <c r="P30" i="36" s="1"/>
  <c r="S73" i="59" s="1"/>
  <c r="P39" i="35"/>
  <c r="P90" i="11"/>
  <c r="O73" i="28"/>
  <c r="Y73" i="28" s="1"/>
  <c r="O14" i="35"/>
  <c r="Y10" i="35"/>
  <c r="Y300" i="28"/>
  <c r="O375" i="28"/>
  <c r="Y186" i="28"/>
  <c r="O62" i="9"/>
  <c r="O69" i="28"/>
  <c r="P5" i="6"/>
  <c r="P11" i="6" s="1"/>
  <c r="P8" i="35"/>
  <c r="O13" i="35"/>
  <c r="O11" i="35"/>
  <c r="O91" i="9"/>
  <c r="O65" i="28"/>
  <c r="Y65" i="28" s="1"/>
  <c r="O44" i="35"/>
  <c r="O45" i="35" s="1"/>
  <c r="O28" i="28"/>
  <c r="Y28" i="28" s="1"/>
  <c r="O371" i="28"/>
  <c r="O379" i="28"/>
  <c r="P31" i="35"/>
  <c r="P35" i="35" s="1"/>
  <c r="P12" i="6"/>
  <c r="P14" i="6"/>
  <c r="P212" i="6"/>
  <c r="P9" i="36"/>
  <c r="S10" i="59" s="1"/>
  <c r="O35" i="35"/>
  <c r="O44" i="83"/>
  <c r="O45" i="83"/>
  <c r="O46" i="83"/>
  <c r="O47" i="83"/>
  <c r="O51" i="83"/>
  <c r="O52" i="83"/>
  <c r="O54" i="83"/>
  <c r="O55" i="83"/>
  <c r="O56" i="83"/>
  <c r="O57" i="83"/>
  <c r="BG61" i="50"/>
  <c r="BG62" i="50"/>
  <c r="Q71" i="83" l="1"/>
  <c r="Q83" i="50"/>
  <c r="O382" i="28"/>
  <c r="O381" i="28"/>
  <c r="O15" i="35"/>
  <c r="O378" i="28"/>
  <c r="Y69" i="28"/>
  <c r="O370" i="28"/>
  <c r="S56" i="83"/>
  <c r="W56" i="83" s="1"/>
  <c r="AC56" i="83"/>
  <c r="AG56" i="83" s="1"/>
  <c r="AK56" i="83" s="1"/>
  <c r="AQ56" i="83" s="1"/>
  <c r="S55" i="83"/>
  <c r="W55" i="83" s="1"/>
  <c r="AC55" i="83"/>
  <c r="AG55" i="83" s="1"/>
  <c r="AK55" i="83" s="1"/>
  <c r="AQ55" i="83" s="1"/>
  <c r="S47" i="83"/>
  <c r="W47" i="83" s="1"/>
  <c r="AC47" i="83"/>
  <c r="AG47" i="83" s="1"/>
  <c r="AK47" i="83" s="1"/>
  <c r="AQ47" i="83" s="1"/>
  <c r="S44" i="83"/>
  <c r="W44" i="83" s="1"/>
  <c r="AC44" i="83"/>
  <c r="AG44" i="83" s="1"/>
  <c r="AK44" i="83" s="1"/>
  <c r="AQ44" i="83" s="1"/>
  <c r="O377" i="28"/>
  <c r="S54" i="83"/>
  <c r="W54" i="83" s="1"/>
  <c r="AC54" i="83"/>
  <c r="AG54" i="83" s="1"/>
  <c r="AK54" i="83" s="1"/>
  <c r="AQ54" i="83" s="1"/>
  <c r="S46" i="83"/>
  <c r="W46" i="83" s="1"/>
  <c r="AC46" i="83"/>
  <c r="AG46" i="83" s="1"/>
  <c r="AK46" i="83" s="1"/>
  <c r="AQ46" i="83" s="1"/>
  <c r="S51" i="83"/>
  <c r="W51" i="83" s="1"/>
  <c r="AC51" i="83"/>
  <c r="AG51" i="83" s="1"/>
  <c r="AK51" i="83" s="1"/>
  <c r="AQ51" i="83" s="1"/>
  <c r="S57" i="83"/>
  <c r="W57" i="83" s="1"/>
  <c r="AC57" i="83"/>
  <c r="AG57" i="83" s="1"/>
  <c r="AK57" i="83" s="1"/>
  <c r="AQ57" i="83" s="1"/>
  <c r="S52" i="83"/>
  <c r="W52" i="83" s="1"/>
  <c r="AC52" i="83"/>
  <c r="AG52" i="83" s="1"/>
  <c r="AK52" i="83" s="1"/>
  <c r="AQ52" i="83" s="1"/>
  <c r="S45" i="83"/>
  <c r="W45" i="83" s="1"/>
  <c r="AC45" i="83"/>
  <c r="AG45" i="83" s="1"/>
  <c r="AK45" i="83" s="1"/>
  <c r="AQ45" i="83" s="1"/>
  <c r="Q69" i="83"/>
  <c r="BG72" i="50"/>
  <c r="BG51" i="50"/>
  <c r="BG75" i="50"/>
  <c r="BG71" i="50"/>
  <c r="BG63" i="50"/>
  <c r="BG54" i="50"/>
  <c r="BG50" i="50"/>
  <c r="BG76" i="50"/>
  <c r="BG64" i="50"/>
  <c r="BG78" i="50"/>
  <c r="BG74" i="50"/>
  <c r="BG69" i="50"/>
  <c r="BG53" i="50"/>
  <c r="BG49" i="50"/>
  <c r="BG56" i="50"/>
  <c r="BG77" i="50"/>
  <c r="BG73" i="50"/>
  <c r="BG66" i="50"/>
  <c r="BG65" i="50"/>
  <c r="BG52" i="50"/>
  <c r="P7" i="6"/>
  <c r="P13" i="6"/>
  <c r="P71" i="83"/>
  <c r="O33" i="28"/>
  <c r="Y33" i="28" s="1"/>
  <c r="O50" i="28"/>
  <c r="P25" i="36"/>
  <c r="S69" i="59" s="1"/>
  <c r="O374" i="28"/>
  <c r="O373" i="28"/>
  <c r="P182" i="6"/>
  <c r="P187" i="6"/>
  <c r="G127" i="50"/>
  <c r="AU47" i="83" l="1"/>
  <c r="AY47" i="83" s="1"/>
  <c r="BG47" i="83" s="1"/>
  <c r="BE47" i="83"/>
  <c r="AU57" i="83"/>
  <c r="AY57" i="83" s="1"/>
  <c r="BG57" i="83" s="1"/>
  <c r="BE57" i="83"/>
  <c r="AU55" i="83"/>
  <c r="AY55" i="83" s="1"/>
  <c r="BG55" i="83" s="1"/>
  <c r="BE55" i="83"/>
  <c r="AU51" i="83"/>
  <c r="AY51" i="83" s="1"/>
  <c r="BG51" i="83" s="1"/>
  <c r="BE51" i="83"/>
  <c r="AU56" i="83"/>
  <c r="AY56" i="83" s="1"/>
  <c r="BG56" i="83" s="1"/>
  <c r="BE56" i="83"/>
  <c r="AU46" i="83"/>
  <c r="AY46" i="83" s="1"/>
  <c r="BG46" i="83" s="1"/>
  <c r="BE46" i="83"/>
  <c r="AU54" i="83"/>
  <c r="AY54" i="83" s="1"/>
  <c r="BG54" i="83" s="1"/>
  <c r="BE54" i="83"/>
  <c r="AU45" i="83"/>
  <c r="AY45" i="83" s="1"/>
  <c r="BG45" i="83" s="1"/>
  <c r="BE45" i="83"/>
  <c r="AU44" i="83"/>
  <c r="AY44" i="83" s="1"/>
  <c r="BG44" i="83" s="1"/>
  <c r="BE44" i="83"/>
  <c r="AU52" i="83"/>
  <c r="AY52" i="83" s="1"/>
  <c r="BG52" i="83" s="1"/>
  <c r="BE52" i="83"/>
  <c r="P161" i="6"/>
  <c r="Q81" i="50"/>
  <c r="P15" i="6"/>
  <c r="P77" i="6" s="1"/>
  <c r="P157" i="6"/>
  <c r="O55" i="28"/>
  <c r="Y50" i="28"/>
  <c r="O61" i="28"/>
  <c r="Y61" i="28" s="1"/>
  <c r="O361" i="28"/>
  <c r="Y361" i="28" s="1"/>
  <c r="G128" i="50"/>
  <c r="P35" i="6" l="1"/>
  <c r="P80" i="6"/>
  <c r="P34" i="6"/>
  <c r="P36" i="6"/>
  <c r="P33" i="6"/>
  <c r="O390" i="28"/>
  <c r="Y55" i="28"/>
  <c r="O387" i="28"/>
  <c r="O364" i="28"/>
  <c r="O77" i="28"/>
  <c r="Y77" i="28" s="1"/>
  <c r="O62" i="28"/>
  <c r="Y62" i="28" s="1"/>
  <c r="P37" i="6" l="1"/>
  <c r="O391" i="28"/>
  <c r="O365" i="28"/>
  <c r="O386" i="28"/>
  <c r="O81" i="28"/>
  <c r="Y81" i="28" s="1"/>
  <c r="O385" i="28"/>
  <c r="G110" i="50" l="1"/>
  <c r="M67" i="83" l="1"/>
  <c r="I67" i="83"/>
  <c r="G67" i="83"/>
  <c r="O66" i="83"/>
  <c r="K66" i="83"/>
  <c r="S66" i="83" s="1"/>
  <c r="O65" i="83"/>
  <c r="K65" i="83"/>
  <c r="S65" i="83" s="1"/>
  <c r="O64" i="83"/>
  <c r="K64" i="83"/>
  <c r="S64" i="83" s="1"/>
  <c r="O63" i="83"/>
  <c r="K63" i="83"/>
  <c r="O62" i="83"/>
  <c r="K62" i="83"/>
  <c r="O61" i="83"/>
  <c r="K61" i="83"/>
  <c r="O59" i="83"/>
  <c r="K59" i="83"/>
  <c r="S59" i="83" s="1"/>
  <c r="M58" i="83"/>
  <c r="K57" i="83"/>
  <c r="K56" i="83"/>
  <c r="K55" i="83"/>
  <c r="K54" i="83"/>
  <c r="K52" i="83"/>
  <c r="K51" i="83"/>
  <c r="K47" i="83"/>
  <c r="K46" i="83"/>
  <c r="K45" i="83"/>
  <c r="K44" i="83"/>
  <c r="O43" i="83"/>
  <c r="AC43" i="83" s="1"/>
  <c r="AG43" i="83" s="1"/>
  <c r="K43" i="83"/>
  <c r="I58" i="83"/>
  <c r="M39" i="83"/>
  <c r="M42" i="83" s="1"/>
  <c r="I39" i="83"/>
  <c r="I42" i="83" s="1"/>
  <c r="G39" i="83"/>
  <c r="G42" i="83" s="1"/>
  <c r="M37" i="83"/>
  <c r="I37" i="83"/>
  <c r="G37" i="83"/>
  <c r="M36" i="83"/>
  <c r="I36" i="83"/>
  <c r="G36" i="83"/>
  <c r="M35" i="83"/>
  <c r="I35" i="83"/>
  <c r="G35" i="83"/>
  <c r="M34" i="83"/>
  <c r="I34" i="83"/>
  <c r="G34" i="83"/>
  <c r="M33" i="83"/>
  <c r="I33" i="83"/>
  <c r="G33" i="83"/>
  <c r="M32" i="83"/>
  <c r="I32" i="83"/>
  <c r="G32" i="83"/>
  <c r="AG58" i="83" l="1"/>
  <c r="AK43" i="83"/>
  <c r="W59" i="83"/>
  <c r="AC59" i="83"/>
  <c r="AK59" i="83" s="1"/>
  <c r="S62" i="83"/>
  <c r="W62" i="83" s="1"/>
  <c r="AC62" i="83"/>
  <c r="AK62" i="83" s="1"/>
  <c r="W64" i="83"/>
  <c r="AC64" i="83"/>
  <c r="AK64" i="83" s="1"/>
  <c r="W66" i="83"/>
  <c r="AC66" i="83"/>
  <c r="AK66" i="83" s="1"/>
  <c r="S61" i="83"/>
  <c r="W61" i="83" s="1"/>
  <c r="AC61" i="83"/>
  <c r="AK61" i="83" s="1"/>
  <c r="S63" i="83"/>
  <c r="W63" i="83" s="1"/>
  <c r="AC63" i="83"/>
  <c r="AK63" i="83" s="1"/>
  <c r="W65" i="83"/>
  <c r="AC65" i="83"/>
  <c r="AK65" i="83" s="1"/>
  <c r="O58" i="83"/>
  <c r="AC58" i="83" s="1"/>
  <c r="S43" i="83"/>
  <c r="K39" i="83"/>
  <c r="K42" i="83" s="1"/>
  <c r="K28" i="83"/>
  <c r="K15" i="83"/>
  <c r="O30" i="83"/>
  <c r="O5" i="83"/>
  <c r="K14" i="83"/>
  <c r="K27" i="83"/>
  <c r="K7" i="83"/>
  <c r="O16" i="83"/>
  <c r="O7" i="83"/>
  <c r="O35" i="83"/>
  <c r="K8" i="83"/>
  <c r="O17" i="83"/>
  <c r="O32" i="83"/>
  <c r="O36" i="83"/>
  <c r="O10" i="83"/>
  <c r="K34" i="83"/>
  <c r="O12" i="83"/>
  <c r="O6" i="83"/>
  <c r="O14" i="83"/>
  <c r="K32" i="83"/>
  <c r="K67" i="83"/>
  <c r="K5" i="83"/>
  <c r="K11" i="83"/>
  <c r="O25" i="83"/>
  <c r="K16" i="83"/>
  <c r="O27" i="83"/>
  <c r="I38" i="83"/>
  <c r="M38" i="83"/>
  <c r="O33" i="83"/>
  <c r="O37" i="83"/>
  <c r="O67" i="83"/>
  <c r="AC67" i="83" s="1"/>
  <c r="O8" i="83"/>
  <c r="O26" i="83"/>
  <c r="K35" i="83"/>
  <c r="K17" i="83"/>
  <c r="O11" i="83"/>
  <c r="K12" i="83"/>
  <c r="O15" i="83"/>
  <c r="K26" i="83"/>
  <c r="O28" i="83"/>
  <c r="O39" i="83"/>
  <c r="K37" i="83"/>
  <c r="K6" i="83"/>
  <c r="O34" i="83"/>
  <c r="K10" i="83"/>
  <c r="K30" i="83"/>
  <c r="G38" i="83"/>
  <c r="K33" i="83"/>
  <c r="G58" i="83"/>
  <c r="K25" i="83"/>
  <c r="K58" i="83"/>
  <c r="K36" i="83"/>
  <c r="AK58" i="83" l="1"/>
  <c r="AQ43" i="83"/>
  <c r="BE43" i="83" s="1"/>
  <c r="AK67" i="83"/>
  <c r="AG67" i="83"/>
  <c r="W67" i="83"/>
  <c r="AC39" i="83"/>
  <c r="O42" i="83"/>
  <c r="S67" i="83"/>
  <c r="S12" i="83"/>
  <c r="W12" i="83" s="1"/>
  <c r="AC12" i="83"/>
  <c r="AG12" i="83" s="1"/>
  <c r="AK12" i="83" s="1"/>
  <c r="AQ12" i="83" s="1"/>
  <c r="S32" i="83"/>
  <c r="W32" i="83" s="1"/>
  <c r="AC32" i="83"/>
  <c r="AG32" i="83" s="1"/>
  <c r="AK32" i="83" s="1"/>
  <c r="AQ32" i="83" s="1"/>
  <c r="S28" i="83"/>
  <c r="W28" i="83" s="1"/>
  <c r="AC28" i="83"/>
  <c r="AG28" i="83" s="1"/>
  <c r="AK28" i="83" s="1"/>
  <c r="AQ28" i="83" s="1"/>
  <c r="S11" i="83"/>
  <c r="W11" i="83" s="1"/>
  <c r="AC11" i="83"/>
  <c r="AG11" i="83" s="1"/>
  <c r="AK11" i="83" s="1"/>
  <c r="AQ11" i="83" s="1"/>
  <c r="S8" i="83"/>
  <c r="W8" i="83" s="1"/>
  <c r="AC8" i="83"/>
  <c r="AG8" i="83" s="1"/>
  <c r="AK8" i="83" s="1"/>
  <c r="AQ8" i="83" s="1"/>
  <c r="S25" i="83"/>
  <c r="W25" i="83" s="1"/>
  <c r="AC25" i="83"/>
  <c r="AG25" i="83" s="1"/>
  <c r="AK25" i="83" s="1"/>
  <c r="AQ25" i="83" s="1"/>
  <c r="S17" i="83"/>
  <c r="W17" i="83" s="1"/>
  <c r="AC17" i="83"/>
  <c r="AG17" i="83" s="1"/>
  <c r="AK17" i="83" s="1"/>
  <c r="AQ17" i="83" s="1"/>
  <c r="S16" i="83"/>
  <c r="W16" i="83" s="1"/>
  <c r="AC16" i="83"/>
  <c r="AG16" i="83" s="1"/>
  <c r="AK16" i="83" s="1"/>
  <c r="AQ16" i="83" s="1"/>
  <c r="S5" i="83"/>
  <c r="W5" i="83" s="1"/>
  <c r="AC5" i="83"/>
  <c r="AG5" i="83" s="1"/>
  <c r="AK5" i="83" s="1"/>
  <c r="AQ5" i="83" s="1"/>
  <c r="S34" i="83"/>
  <c r="W34" i="83" s="1"/>
  <c r="AC34" i="83"/>
  <c r="AG34" i="83" s="1"/>
  <c r="AK34" i="83" s="1"/>
  <c r="AQ34" i="83" s="1"/>
  <c r="S33" i="83"/>
  <c r="W33" i="83" s="1"/>
  <c r="AC33" i="83"/>
  <c r="AG33" i="83" s="1"/>
  <c r="AK33" i="83" s="1"/>
  <c r="AQ33" i="83" s="1"/>
  <c r="S14" i="83"/>
  <c r="W14" i="83" s="1"/>
  <c r="AC14" i="83"/>
  <c r="AG14" i="83" s="1"/>
  <c r="AK14" i="83" s="1"/>
  <c r="AQ14" i="83" s="1"/>
  <c r="S10" i="83"/>
  <c r="W10" i="83" s="1"/>
  <c r="AC10" i="83"/>
  <c r="AG10" i="83" s="1"/>
  <c r="AK10" i="83" s="1"/>
  <c r="AQ10" i="83" s="1"/>
  <c r="S30" i="83"/>
  <c r="W30" i="83" s="1"/>
  <c r="AC30" i="83"/>
  <c r="AG30" i="83" s="1"/>
  <c r="AK30" i="83" s="1"/>
  <c r="AQ30" i="83" s="1"/>
  <c r="S7" i="83"/>
  <c r="W7" i="83" s="1"/>
  <c r="AC7" i="83"/>
  <c r="AG7" i="83" s="1"/>
  <c r="AK7" i="83" s="1"/>
  <c r="AQ7" i="83" s="1"/>
  <c r="S15" i="83"/>
  <c r="W15" i="83" s="1"/>
  <c r="AC15" i="83"/>
  <c r="AG15" i="83" s="1"/>
  <c r="AK15" i="83" s="1"/>
  <c r="AQ15" i="83" s="1"/>
  <c r="S37" i="83"/>
  <c r="W37" i="83" s="1"/>
  <c r="AC37" i="83"/>
  <c r="AG37" i="83" s="1"/>
  <c r="AK37" i="83" s="1"/>
  <c r="AQ37" i="83" s="1"/>
  <c r="S27" i="83"/>
  <c r="W27" i="83" s="1"/>
  <c r="AC27" i="83"/>
  <c r="AG27" i="83" s="1"/>
  <c r="AK27" i="83" s="1"/>
  <c r="AQ27" i="83" s="1"/>
  <c r="S6" i="83"/>
  <c r="W6" i="83" s="1"/>
  <c r="AC6" i="83"/>
  <c r="AG6" i="83" s="1"/>
  <c r="AK6" i="83" s="1"/>
  <c r="AQ6" i="83" s="1"/>
  <c r="S36" i="83"/>
  <c r="W36" i="83" s="1"/>
  <c r="AC36" i="83"/>
  <c r="AG36" i="83" s="1"/>
  <c r="AK36" i="83" s="1"/>
  <c r="AQ36" i="83" s="1"/>
  <c r="S35" i="83"/>
  <c r="W35" i="83" s="1"/>
  <c r="AC35" i="83"/>
  <c r="AG35" i="83" s="1"/>
  <c r="AK35" i="83" s="1"/>
  <c r="AQ35" i="83" s="1"/>
  <c r="S26" i="83"/>
  <c r="W26" i="83" s="1"/>
  <c r="AC26" i="83"/>
  <c r="AG26" i="83" s="1"/>
  <c r="AK26" i="83" s="1"/>
  <c r="AQ26" i="83" s="1"/>
  <c r="S58" i="83"/>
  <c r="W43" i="83"/>
  <c r="W58" i="83" s="1"/>
  <c r="S39" i="83"/>
  <c r="K38" i="83"/>
  <c r="O38" i="83"/>
  <c r="AC38" i="83" s="1"/>
  <c r="N17" i="8"/>
  <c r="AU36" i="83" l="1"/>
  <c r="AY36" i="83" s="1"/>
  <c r="BG36" i="83" s="1"/>
  <c r="BE36" i="83"/>
  <c r="AU32" i="83"/>
  <c r="AY32" i="83" s="1"/>
  <c r="BG32" i="83" s="1"/>
  <c r="BE32" i="83"/>
  <c r="AU37" i="83"/>
  <c r="AY37" i="83" s="1"/>
  <c r="BG37" i="83" s="1"/>
  <c r="BE37" i="83"/>
  <c r="AU33" i="83"/>
  <c r="AY33" i="83" s="1"/>
  <c r="BG33" i="83" s="1"/>
  <c r="BE33" i="83"/>
  <c r="AU34" i="83"/>
  <c r="AY34" i="83" s="1"/>
  <c r="BG34" i="83" s="1"/>
  <c r="BE34" i="83"/>
  <c r="AU35" i="83"/>
  <c r="AY35" i="83" s="1"/>
  <c r="BG35" i="83" s="1"/>
  <c r="BG38" i="83" s="1"/>
  <c r="BE35" i="83"/>
  <c r="AU10" i="83"/>
  <c r="AY10" i="83" s="1"/>
  <c r="BG10" i="83" s="1"/>
  <c r="BE10" i="83"/>
  <c r="AU15" i="83"/>
  <c r="AY15" i="83" s="1"/>
  <c r="BG15" i="83" s="1"/>
  <c r="BE15" i="83"/>
  <c r="AU7" i="83"/>
  <c r="AY7" i="83" s="1"/>
  <c r="BG7" i="83" s="1"/>
  <c r="BE7" i="83"/>
  <c r="AU5" i="83"/>
  <c r="AY5" i="83" s="1"/>
  <c r="BG5" i="83" s="1"/>
  <c r="BE5" i="83"/>
  <c r="AU28" i="83"/>
  <c r="AY28" i="83" s="1"/>
  <c r="BG28" i="83" s="1"/>
  <c r="BE28" i="83"/>
  <c r="AU11" i="83"/>
  <c r="AY11" i="83" s="1"/>
  <c r="BG11" i="83" s="1"/>
  <c r="BE11" i="83"/>
  <c r="AU26" i="83"/>
  <c r="AY26" i="83" s="1"/>
  <c r="BG26" i="83" s="1"/>
  <c r="BE26" i="83"/>
  <c r="AU12" i="83"/>
  <c r="AY12" i="83" s="1"/>
  <c r="BG12" i="83" s="1"/>
  <c r="BE12" i="83"/>
  <c r="AU14" i="83"/>
  <c r="AY14" i="83" s="1"/>
  <c r="BG14" i="83" s="1"/>
  <c r="BE14" i="83"/>
  <c r="AU30" i="83"/>
  <c r="AY30" i="83" s="1"/>
  <c r="BG30" i="83" s="1"/>
  <c r="BE30" i="83"/>
  <c r="AU16" i="83"/>
  <c r="AY16" i="83" s="1"/>
  <c r="BG16" i="83" s="1"/>
  <c r="BE16" i="83"/>
  <c r="AU8" i="83"/>
  <c r="AY8" i="83" s="1"/>
  <c r="BG8" i="83" s="1"/>
  <c r="BE8" i="83"/>
  <c r="AU6" i="83"/>
  <c r="AY6" i="83" s="1"/>
  <c r="BG6" i="83" s="1"/>
  <c r="BE6" i="83"/>
  <c r="AU17" i="83"/>
  <c r="AY17" i="83" s="1"/>
  <c r="BG17" i="83" s="1"/>
  <c r="BE17" i="83"/>
  <c r="AU27" i="83"/>
  <c r="AY27" i="83" s="1"/>
  <c r="BG27" i="83" s="1"/>
  <c r="BE27" i="83"/>
  <c r="AU25" i="83"/>
  <c r="AY25" i="83" s="1"/>
  <c r="BG25" i="83" s="1"/>
  <c r="BE25" i="83"/>
  <c r="AQ58" i="83"/>
  <c r="BE58" i="83" s="1"/>
  <c r="AU43" i="83"/>
  <c r="AQ38" i="83"/>
  <c r="BE38" i="83" s="1"/>
  <c r="AK38" i="83"/>
  <c r="AG38" i="83"/>
  <c r="AC42" i="83"/>
  <c r="AG39" i="83"/>
  <c r="W38" i="83"/>
  <c r="S38" i="83"/>
  <c r="BG8" i="50"/>
  <c r="BG29" i="50"/>
  <c r="BG28" i="50"/>
  <c r="BG11" i="50"/>
  <c r="BG10" i="50"/>
  <c r="BG6" i="50"/>
  <c r="BG31" i="50"/>
  <c r="BG27" i="50"/>
  <c r="BG12" i="50"/>
  <c r="BG5" i="50"/>
  <c r="BG7" i="50"/>
  <c r="S42" i="83"/>
  <c r="W39" i="83"/>
  <c r="W42" i="83" s="1"/>
  <c r="N108" i="9"/>
  <c r="AB108" i="9" s="1"/>
  <c r="AF108" i="9" s="1"/>
  <c r="AJ108" i="9" s="1"/>
  <c r="AP108" i="9" s="1"/>
  <c r="AT108" i="9" s="1"/>
  <c r="AX108" i="9" s="1"/>
  <c r="BF108" i="9" s="1"/>
  <c r="N109" i="9"/>
  <c r="AB109" i="9" s="1"/>
  <c r="AF109" i="9" s="1"/>
  <c r="AJ109" i="9" s="1"/>
  <c r="AP109" i="9" s="1"/>
  <c r="AT109" i="9" s="1"/>
  <c r="AX109" i="9" s="1"/>
  <c r="BF109" i="9" s="1"/>
  <c r="P73" i="77"/>
  <c r="P75" i="77"/>
  <c r="T75" i="77" s="1"/>
  <c r="P74" i="77"/>
  <c r="T74" i="77" s="1"/>
  <c r="Q72" i="77"/>
  <c r="Q114" i="77" s="1"/>
  <c r="P71" i="77"/>
  <c r="P113" i="77" s="1"/>
  <c r="Q69" i="77"/>
  <c r="U69" i="77" s="1"/>
  <c r="P69" i="77"/>
  <c r="T69" i="77" s="1"/>
  <c r="Q63" i="77"/>
  <c r="Q112" i="77" s="1"/>
  <c r="Q62" i="77"/>
  <c r="Q61" i="77"/>
  <c r="Q60" i="77"/>
  <c r="Q59" i="77"/>
  <c r="Q57" i="77"/>
  <c r="U57" i="77" s="1"/>
  <c r="P57" i="77"/>
  <c r="T57" i="77" s="1"/>
  <c r="Q56" i="77"/>
  <c r="Q54" i="77"/>
  <c r="Q53" i="77"/>
  <c r="Q52" i="77"/>
  <c r="P52" i="77"/>
  <c r="Q51" i="77"/>
  <c r="Q50" i="77"/>
  <c r="Q49" i="77"/>
  <c r="Q48" i="77"/>
  <c r="Q111" i="77" s="1"/>
  <c r="Q47" i="77"/>
  <c r="Q46" i="77"/>
  <c r="Q45" i="77"/>
  <c r="Q44" i="77"/>
  <c r="Q42" i="77"/>
  <c r="U42" i="77" s="1"/>
  <c r="P42" i="77"/>
  <c r="T42" i="77" s="1"/>
  <c r="Q41" i="77"/>
  <c r="Q39" i="77"/>
  <c r="Q38" i="77"/>
  <c r="Q37" i="77"/>
  <c r="Q36" i="77"/>
  <c r="Q35" i="77"/>
  <c r="Q34" i="77"/>
  <c r="Q108" i="77" s="1"/>
  <c r="Q31" i="77"/>
  <c r="Q30" i="77"/>
  <c r="Q33" i="77" s="1"/>
  <c r="Q106" i="77" s="1"/>
  <c r="Q28" i="77"/>
  <c r="Q27" i="77"/>
  <c r="Q26" i="77"/>
  <c r="Q24" i="77"/>
  <c r="Q22" i="77"/>
  <c r="P22" i="77"/>
  <c r="Q21" i="77"/>
  <c r="Q17" i="77"/>
  <c r="Q16" i="77"/>
  <c r="Q15" i="77"/>
  <c r="Q14" i="77"/>
  <c r="Q11" i="77"/>
  <c r="Q10" i="77"/>
  <c r="Q9" i="77"/>
  <c r="Q8" i="77"/>
  <c r="Q6" i="77"/>
  <c r="Q5" i="77"/>
  <c r="L4" i="77"/>
  <c r="L7" i="77" s="1"/>
  <c r="M4" i="77"/>
  <c r="M7" i="77" s="1"/>
  <c r="M214" i="73"/>
  <c r="AA214" i="73" s="1"/>
  <c r="M213" i="73"/>
  <c r="AA213" i="73" s="1"/>
  <c r="M212" i="73"/>
  <c r="M209" i="73"/>
  <c r="M207" i="73"/>
  <c r="M205" i="73"/>
  <c r="M203" i="73"/>
  <c r="M202" i="73"/>
  <c r="M200" i="73"/>
  <c r="M199" i="73"/>
  <c r="AA199" i="73" s="1"/>
  <c r="M198" i="73"/>
  <c r="M197" i="73"/>
  <c r="M196" i="73"/>
  <c r="M195" i="73"/>
  <c r="M191" i="73"/>
  <c r="M190" i="73"/>
  <c r="AA190" i="73" s="1"/>
  <c r="M189" i="73"/>
  <c r="M188" i="73"/>
  <c r="AA188" i="73" s="1"/>
  <c r="AE187" i="73"/>
  <c r="AI187" i="73" s="1"/>
  <c r="AO187" i="73" s="1"/>
  <c r="AS187" i="73" s="1"/>
  <c r="AW187" i="73" s="1"/>
  <c r="BE187" i="73" s="1"/>
  <c r="AE186" i="73"/>
  <c r="AI186" i="73" s="1"/>
  <c r="AO186" i="73" s="1"/>
  <c r="AS186" i="73" s="1"/>
  <c r="AW186" i="73" s="1"/>
  <c r="BE186" i="73" s="1"/>
  <c r="AE185" i="73"/>
  <c r="AI185" i="73" s="1"/>
  <c r="AO185" i="73" s="1"/>
  <c r="AS185" i="73" s="1"/>
  <c r="AW185" i="73" s="1"/>
  <c r="BE185" i="73" s="1"/>
  <c r="Q170" i="73"/>
  <c r="Q169" i="73"/>
  <c r="U169" i="73" s="1"/>
  <c r="Q168" i="73"/>
  <c r="Q166" i="73"/>
  <c r="Q164" i="73"/>
  <c r="Q158" i="73"/>
  <c r="U158" i="73" s="1"/>
  <c r="Q157" i="73"/>
  <c r="U157" i="73" s="1"/>
  <c r="Q156" i="73"/>
  <c r="U156" i="73" s="1"/>
  <c r="Q154" i="73"/>
  <c r="U154" i="73" s="1"/>
  <c r="Q152" i="73"/>
  <c r="U152" i="73" s="1"/>
  <c r="Q150" i="73"/>
  <c r="U150" i="73" s="1"/>
  <c r="Q148" i="73"/>
  <c r="U148" i="73" s="1"/>
  <c r="Q145" i="73"/>
  <c r="U145" i="73" s="1"/>
  <c r="Q144" i="73"/>
  <c r="U144" i="73" s="1"/>
  <c r="Q143" i="73"/>
  <c r="U143" i="73" s="1"/>
  <c r="Q142" i="73"/>
  <c r="U142" i="73" s="1"/>
  <c r="Q141" i="73"/>
  <c r="U141" i="73" s="1"/>
  <c r="Q149" i="73"/>
  <c r="U149" i="73" s="1"/>
  <c r="Q138" i="73"/>
  <c r="U138" i="73" s="1"/>
  <c r="Q137" i="73"/>
  <c r="U137" i="73" s="1"/>
  <c r="Q136" i="73"/>
  <c r="U136" i="73" s="1"/>
  <c r="Q135" i="73"/>
  <c r="U135" i="73" s="1"/>
  <c r="Q134" i="73"/>
  <c r="U134" i="73" s="1"/>
  <c r="Q133" i="73"/>
  <c r="U133" i="73" s="1"/>
  <c r="M132" i="73"/>
  <c r="AA132" i="73" s="1"/>
  <c r="M127" i="73"/>
  <c r="AA127" i="73" s="1"/>
  <c r="M126" i="73"/>
  <c r="M124" i="73"/>
  <c r="M122" i="73"/>
  <c r="AA122" i="73" s="1"/>
  <c r="M121" i="73"/>
  <c r="AA121" i="73" s="1"/>
  <c r="M119" i="73"/>
  <c r="AA119" i="73" s="1"/>
  <c r="M118" i="73"/>
  <c r="AA118" i="73" s="1"/>
  <c r="M117" i="73"/>
  <c r="AA117" i="73" s="1"/>
  <c r="M112" i="73"/>
  <c r="M111" i="73"/>
  <c r="M109" i="73"/>
  <c r="M108" i="73"/>
  <c r="M107" i="73"/>
  <c r="AA107" i="73" s="1"/>
  <c r="M106" i="73"/>
  <c r="M105" i="73"/>
  <c r="M103" i="73"/>
  <c r="M102" i="73"/>
  <c r="M100" i="73"/>
  <c r="M99" i="73"/>
  <c r="M66" i="73"/>
  <c r="M64" i="73"/>
  <c r="M60" i="73"/>
  <c r="M59" i="73"/>
  <c r="AA59" i="73" s="1"/>
  <c r="M57" i="73"/>
  <c r="AA57" i="73" s="1"/>
  <c r="M55" i="73"/>
  <c r="AA55" i="73" s="1"/>
  <c r="M54" i="73"/>
  <c r="M52" i="73"/>
  <c r="AA52" i="73" s="1"/>
  <c r="M51" i="73"/>
  <c r="AA51" i="73" s="1"/>
  <c r="M50" i="73"/>
  <c r="AA50" i="73" s="1"/>
  <c r="M49" i="73"/>
  <c r="M35" i="73"/>
  <c r="M33" i="73"/>
  <c r="AA33" i="73" s="1"/>
  <c r="M24" i="73"/>
  <c r="T73" i="77" l="1"/>
  <c r="T115" i="77" s="1"/>
  <c r="P115" i="77"/>
  <c r="Q110" i="77"/>
  <c r="Q109" i="77"/>
  <c r="AU38" i="83"/>
  <c r="AY38" i="83"/>
  <c r="AA195" i="73"/>
  <c r="AG11" i="61"/>
  <c r="AK11" i="61" s="1"/>
  <c r="AQ11" i="61" s="1"/>
  <c r="AU11" i="61" s="1"/>
  <c r="AY11" i="61" s="1"/>
  <c r="BG11" i="61" s="1"/>
  <c r="BG14" i="50"/>
  <c r="AG12" i="61"/>
  <c r="AK12" i="61" s="1"/>
  <c r="AQ12" i="61" s="1"/>
  <c r="AU12" i="61" s="1"/>
  <c r="AY12" i="61" s="1"/>
  <c r="BG12" i="61" s="1"/>
  <c r="BG15" i="50"/>
  <c r="AG14" i="61"/>
  <c r="AK14" i="61" s="1"/>
  <c r="AQ14" i="61" s="1"/>
  <c r="AU14" i="61" s="1"/>
  <c r="AY14" i="61" s="1"/>
  <c r="BG14" i="61" s="1"/>
  <c r="BG17" i="50"/>
  <c r="AG13" i="61"/>
  <c r="AK13" i="61" s="1"/>
  <c r="AQ13" i="61" s="1"/>
  <c r="AU13" i="61" s="1"/>
  <c r="AY13" i="61" s="1"/>
  <c r="BG13" i="61" s="1"/>
  <c r="BG16" i="50"/>
  <c r="AA189" i="73"/>
  <c r="AE189" i="73" s="1"/>
  <c r="AA207" i="73"/>
  <c r="AE207" i="73" s="1"/>
  <c r="AA205" i="73"/>
  <c r="AE205" i="73" s="1"/>
  <c r="AA209" i="73"/>
  <c r="AE209" i="73" s="1"/>
  <c r="AA191" i="73"/>
  <c r="AE191" i="73" s="1"/>
  <c r="AE190" i="73" s="1"/>
  <c r="AA212" i="73"/>
  <c r="AE212" i="73" s="1"/>
  <c r="AI212" i="73" s="1"/>
  <c r="AO212" i="73" s="1"/>
  <c r="AS212" i="73" s="1"/>
  <c r="AW212" i="73" s="1"/>
  <c r="BE212" i="73" s="1"/>
  <c r="M123" i="73"/>
  <c r="AA123" i="73" s="1"/>
  <c r="AA124" i="73"/>
  <c r="AA196" i="73"/>
  <c r="AE196" i="73" s="1"/>
  <c r="AA197" i="73"/>
  <c r="AE197" i="73" s="1"/>
  <c r="AI197" i="73" s="1"/>
  <c r="AO197" i="73" s="1"/>
  <c r="AS197" i="73" s="1"/>
  <c r="AW197" i="73" s="1"/>
  <c r="BE197" i="73" s="1"/>
  <c r="Q103" i="73"/>
  <c r="AA103" i="73"/>
  <c r="Q109" i="73"/>
  <c r="AA109" i="73"/>
  <c r="AA198" i="73"/>
  <c r="AE198" i="73" s="1"/>
  <c r="AI198" i="73" s="1"/>
  <c r="AO198" i="73" s="1"/>
  <c r="AS198" i="73" s="1"/>
  <c r="AW198" i="73" s="1"/>
  <c r="BE198" i="73" s="1"/>
  <c r="Q111" i="73"/>
  <c r="AA111" i="73"/>
  <c r="Q49" i="73"/>
  <c r="AA49" i="73"/>
  <c r="Q105" i="73"/>
  <c r="AA105" i="73"/>
  <c r="Q54" i="73"/>
  <c r="AA54" i="73"/>
  <c r="AA64" i="73"/>
  <c r="AE64" i="73" s="1"/>
  <c r="AI64" i="73" s="1"/>
  <c r="AO64" i="73" s="1"/>
  <c r="AS64" i="73" s="1"/>
  <c r="AW64" i="73" s="1"/>
  <c r="BE64" i="73" s="1"/>
  <c r="Q112" i="73"/>
  <c r="AA112" i="73"/>
  <c r="AA200" i="73"/>
  <c r="AE200" i="73" s="1"/>
  <c r="Q102" i="73"/>
  <c r="AA102" i="73"/>
  <c r="Q108" i="73"/>
  <c r="AA108" i="73"/>
  <c r="AA60" i="73"/>
  <c r="AE60" i="73" s="1"/>
  <c r="AI60" i="73" s="1"/>
  <c r="AO60" i="73" s="1"/>
  <c r="AS60" i="73" s="1"/>
  <c r="AW60" i="73" s="1"/>
  <c r="BE60" i="73" s="1"/>
  <c r="Q66" i="73"/>
  <c r="AA66" i="73"/>
  <c r="AA202" i="73"/>
  <c r="AE202" i="73" s="1"/>
  <c r="AI202" i="73" s="1"/>
  <c r="AO202" i="73" s="1"/>
  <c r="AS202" i="73" s="1"/>
  <c r="AW202" i="73" s="1"/>
  <c r="BE202" i="73" s="1"/>
  <c r="Q100" i="73"/>
  <c r="AA100" i="73"/>
  <c r="Q106" i="73"/>
  <c r="AA106" i="73"/>
  <c r="M125" i="73"/>
  <c r="AA125" i="73" s="1"/>
  <c r="AA126" i="73"/>
  <c r="Q24" i="73"/>
  <c r="AA24" i="73"/>
  <c r="Q35" i="73"/>
  <c r="AA35" i="73"/>
  <c r="Q99" i="73"/>
  <c r="AA99" i="73"/>
  <c r="AA203" i="73"/>
  <c r="AE203" i="73" s="1"/>
  <c r="AI203" i="73" s="1"/>
  <c r="AO203" i="73" s="1"/>
  <c r="AS203" i="73" s="1"/>
  <c r="AW203" i="73" s="1"/>
  <c r="BE203" i="73" s="1"/>
  <c r="AU58" i="83"/>
  <c r="AY43" i="83"/>
  <c r="Q58" i="77"/>
  <c r="Q29" i="77"/>
  <c r="Q43" i="77"/>
  <c r="Q18" i="77"/>
  <c r="Q23" i="77"/>
  <c r="Q103" i="77" s="1"/>
  <c r="M120" i="73"/>
  <c r="AA120" i="73" s="1"/>
  <c r="AG42" i="83"/>
  <c r="AK39" i="83"/>
  <c r="Q121" i="73"/>
  <c r="Q107" i="73"/>
  <c r="U107" i="73" s="1"/>
  <c r="AE107" i="73"/>
  <c r="AI107" i="73" s="1"/>
  <c r="AO107" i="73" s="1"/>
  <c r="AS107" i="73" s="1"/>
  <c r="AW107" i="73" s="1"/>
  <c r="BE107" i="73" s="1"/>
  <c r="R109" i="9"/>
  <c r="V109" i="9" s="1"/>
  <c r="R108" i="9"/>
  <c r="V108" i="9" s="1"/>
  <c r="Q178" i="73"/>
  <c r="U178" i="73" s="1"/>
  <c r="Q26" i="73"/>
  <c r="Q31" i="73"/>
  <c r="Q36" i="73"/>
  <c r="Q47" i="73"/>
  <c r="Q52" i="73"/>
  <c r="AE52" i="73"/>
  <c r="AI52" i="73" s="1"/>
  <c r="AO52" i="73" s="1"/>
  <c r="AS52" i="73" s="1"/>
  <c r="AW52" i="73" s="1"/>
  <c r="BE52" i="73" s="1"/>
  <c r="Q59" i="73"/>
  <c r="U59" i="73" s="1"/>
  <c r="AE59" i="73"/>
  <c r="AI59" i="73" s="1"/>
  <c r="AO59" i="73" s="1"/>
  <c r="AS59" i="73" s="1"/>
  <c r="AW59" i="73" s="1"/>
  <c r="BE59" i="73" s="1"/>
  <c r="Q67" i="73"/>
  <c r="Q74" i="73"/>
  <c r="U74" i="73" s="1"/>
  <c r="Q79" i="73"/>
  <c r="U79" i="73" s="1"/>
  <c r="Q85" i="73"/>
  <c r="U85" i="73" s="1"/>
  <c r="Q89" i="73"/>
  <c r="U89" i="73" s="1"/>
  <c r="Q28" i="73"/>
  <c r="Q32" i="73"/>
  <c r="Q39" i="73"/>
  <c r="U39" i="73" s="1"/>
  <c r="Q60" i="73"/>
  <c r="U60" i="73" s="1"/>
  <c r="Q68" i="73"/>
  <c r="U68" i="73" s="1"/>
  <c r="Q76" i="73"/>
  <c r="U76" i="73" s="1"/>
  <c r="Q80" i="73"/>
  <c r="U80" i="73" s="1"/>
  <c r="Q87" i="73"/>
  <c r="U87" i="73" s="1"/>
  <c r="Q93" i="73"/>
  <c r="U93" i="73" s="1"/>
  <c r="Q29" i="73"/>
  <c r="Q33" i="73"/>
  <c r="AE33" i="73"/>
  <c r="AI33" i="73" s="1"/>
  <c r="AO33" i="73" s="1"/>
  <c r="AS33" i="73" s="1"/>
  <c r="AW33" i="73" s="1"/>
  <c r="BE33" i="73" s="1"/>
  <c r="Q40" i="73"/>
  <c r="U40" i="73" s="1"/>
  <c r="Q50" i="73"/>
  <c r="U50" i="73" s="1"/>
  <c r="AE50" i="73"/>
  <c r="AI50" i="73" s="1"/>
  <c r="AO50" i="73" s="1"/>
  <c r="AS50" i="73" s="1"/>
  <c r="AW50" i="73" s="1"/>
  <c r="BE50" i="73" s="1"/>
  <c r="Q55" i="73"/>
  <c r="AE55" i="73"/>
  <c r="AI55" i="73" s="1"/>
  <c r="AO55" i="73" s="1"/>
  <c r="AS55" i="73" s="1"/>
  <c r="AW55" i="73" s="1"/>
  <c r="BE55" i="73" s="1"/>
  <c r="Q64" i="73"/>
  <c r="Q69" i="73"/>
  <c r="U69" i="73" s="1"/>
  <c r="Q77" i="73"/>
  <c r="U77" i="73" s="1"/>
  <c r="Q81" i="73"/>
  <c r="U81" i="73" s="1"/>
  <c r="Q91" i="73"/>
  <c r="U91" i="73" s="1"/>
  <c r="Q25" i="73"/>
  <c r="Q41" i="73"/>
  <c r="Q51" i="73"/>
  <c r="AE51" i="73"/>
  <c r="AI51" i="73" s="1"/>
  <c r="AO51" i="73" s="1"/>
  <c r="AS51" i="73" s="1"/>
  <c r="AW51" i="73" s="1"/>
  <c r="BE51" i="73" s="1"/>
  <c r="Q57" i="73"/>
  <c r="AE57" i="73"/>
  <c r="AI57" i="73" s="1"/>
  <c r="AO57" i="73" s="1"/>
  <c r="AS57" i="73" s="1"/>
  <c r="AW57" i="73" s="1"/>
  <c r="BE57" i="73" s="1"/>
  <c r="Q73" i="73"/>
  <c r="U73" i="73" s="1"/>
  <c r="Q78" i="73"/>
  <c r="U78" i="73" s="1"/>
  <c r="Q84" i="73"/>
  <c r="U84" i="73" s="1"/>
  <c r="Q92" i="73"/>
  <c r="U92" i="73" s="1"/>
  <c r="Q30" i="73"/>
  <c r="U30" i="73" s="1"/>
  <c r="Q102" i="77" l="1"/>
  <c r="Q104" i="77"/>
  <c r="Q105" i="77"/>
  <c r="Q107" i="77" s="1"/>
  <c r="AI191" i="73"/>
  <c r="AI190" i="73" s="1"/>
  <c r="AI209" i="73"/>
  <c r="AO209" i="73" s="1"/>
  <c r="AS209" i="73" s="1"/>
  <c r="AW209" i="73" s="1"/>
  <c r="BE209" i="73" s="1"/>
  <c r="AE208" i="73"/>
  <c r="AI200" i="73"/>
  <c r="AO200" i="73" s="1"/>
  <c r="AS200" i="73" s="1"/>
  <c r="AW200" i="73" s="1"/>
  <c r="BE200" i="73" s="1"/>
  <c r="AE199" i="73"/>
  <c r="AI205" i="73"/>
  <c r="AO205" i="73" s="1"/>
  <c r="AS205" i="73" s="1"/>
  <c r="AW205" i="73" s="1"/>
  <c r="BE205" i="73" s="1"/>
  <c r="AE204" i="73"/>
  <c r="AE195" i="73"/>
  <c r="AI196" i="73"/>
  <c r="AI195" i="73" s="1"/>
  <c r="AO195" i="73" s="1"/>
  <c r="AS195" i="73" s="1"/>
  <c r="AW195" i="73" s="1"/>
  <c r="BE195" i="73" s="1"/>
  <c r="AI207" i="73"/>
  <c r="AO207" i="73" s="1"/>
  <c r="AS207" i="73" s="1"/>
  <c r="AW207" i="73" s="1"/>
  <c r="BE207" i="73" s="1"/>
  <c r="AE206" i="73"/>
  <c r="AI189" i="73"/>
  <c r="AO189" i="73" s="1"/>
  <c r="AS189" i="73" s="1"/>
  <c r="AW189" i="73" s="1"/>
  <c r="BE189" i="73" s="1"/>
  <c r="AE188" i="73"/>
  <c r="AY58" i="83"/>
  <c r="BG43" i="83"/>
  <c r="BG58" i="83" s="1"/>
  <c r="AI188" i="73"/>
  <c r="AO188" i="73" s="1"/>
  <c r="AS188" i="73" s="1"/>
  <c r="AW188" i="73" s="1"/>
  <c r="BE188" i="73" s="1"/>
  <c r="AO191" i="73"/>
  <c r="AS191" i="73" s="1"/>
  <c r="AW191" i="73" s="1"/>
  <c r="BE191" i="73" s="1"/>
  <c r="AO190" i="73"/>
  <c r="AK42" i="83"/>
  <c r="AQ39" i="83"/>
  <c r="BE39" i="83" s="1"/>
  <c r="BE42" i="83" s="1"/>
  <c r="AE121" i="73"/>
  <c r="U121" i="73"/>
  <c r="N107" i="9"/>
  <c r="AB107" i="9" s="1"/>
  <c r="AF107" i="9" s="1"/>
  <c r="AJ107" i="9" s="1"/>
  <c r="AP107" i="9" s="1"/>
  <c r="AT107" i="9" s="1"/>
  <c r="AX107" i="9" s="1"/>
  <c r="BF107" i="9" s="1"/>
  <c r="N106" i="9"/>
  <c r="J107" i="9"/>
  <c r="J106" i="9"/>
  <c r="AI204" i="73" l="1"/>
  <c r="AO204" i="73" s="1"/>
  <c r="AS204" i="73" s="1"/>
  <c r="AW204" i="73" s="1"/>
  <c r="BE204" i="73" s="1"/>
  <c r="AS190" i="73"/>
  <c r="AW190" i="73" s="1"/>
  <c r="BE190" i="73" s="1"/>
  <c r="AI199" i="73"/>
  <c r="AO199" i="73" s="1"/>
  <c r="AS199" i="73" s="1"/>
  <c r="AW199" i="73" s="1"/>
  <c r="BE199" i="73" s="1"/>
  <c r="AI208" i="73"/>
  <c r="AO208" i="73" s="1"/>
  <c r="AS208" i="73" s="1"/>
  <c r="AW208" i="73" s="1"/>
  <c r="BE208" i="73" s="1"/>
  <c r="AO196" i="73"/>
  <c r="AS196" i="73" s="1"/>
  <c r="AW196" i="73" s="1"/>
  <c r="BE196" i="73" s="1"/>
  <c r="AI206" i="73"/>
  <c r="AO206" i="73" s="1"/>
  <c r="AS206" i="73" s="1"/>
  <c r="AW206" i="73" s="1"/>
  <c r="BE206" i="73" s="1"/>
  <c r="AQ42" i="83"/>
  <c r="AU39" i="83"/>
  <c r="AI121" i="73"/>
  <c r="R107" i="9"/>
  <c r="V107" i="9" s="1"/>
  <c r="R106" i="9"/>
  <c r="V106" i="9" s="1"/>
  <c r="AB106" i="9"/>
  <c r="AF106" i="9" s="1"/>
  <c r="AJ106" i="9" s="1"/>
  <c r="AP106" i="9" s="1"/>
  <c r="AT106" i="9" s="1"/>
  <c r="AX106" i="9" s="1"/>
  <c r="BF106" i="9" s="1"/>
  <c r="AU42" i="83" l="1"/>
  <c r="AY39" i="83"/>
  <c r="AO121" i="73"/>
  <c r="AS121" i="73" s="1"/>
  <c r="AW121" i="73" s="1"/>
  <c r="BE121" i="73" s="1"/>
  <c r="R114" i="28"/>
  <c r="V114" i="28" s="1"/>
  <c r="M71" i="8"/>
  <c r="I71" i="8"/>
  <c r="AY42" i="83" l="1"/>
  <c r="BG39" i="83"/>
  <c r="BG42" i="83" s="1"/>
  <c r="L26" i="10"/>
  <c r="L25" i="10"/>
  <c r="M97" i="50" s="1"/>
  <c r="L11" i="10"/>
  <c r="L37" i="10"/>
  <c r="N37" i="10" s="1"/>
  <c r="L68" i="10"/>
  <c r="L69" i="10"/>
  <c r="R37" i="10" l="1"/>
  <c r="V37" i="10" s="1"/>
  <c r="AB37" i="10"/>
  <c r="AF37" i="10" s="1"/>
  <c r="AJ37" i="10" s="1"/>
  <c r="AP37" i="10" s="1"/>
  <c r="AT37" i="10" s="1"/>
  <c r="AX37" i="10" s="1"/>
  <c r="BF37" i="10" s="1"/>
  <c r="L165" i="10"/>
  <c r="M9" i="50"/>
  <c r="L125" i="10"/>
  <c r="L124" i="10"/>
  <c r="M98" i="50"/>
  <c r="O98" i="50" s="1"/>
  <c r="N68" i="10"/>
  <c r="L162" i="10"/>
  <c r="M9" i="83"/>
  <c r="M4" i="50"/>
  <c r="M32" i="50" s="1"/>
  <c r="M94" i="50" s="1"/>
  <c r="M4" i="83"/>
  <c r="M21" i="83"/>
  <c r="M19" i="83"/>
  <c r="M85" i="7"/>
  <c r="L127" i="10" l="1"/>
  <c r="M93" i="50"/>
  <c r="R68" i="10"/>
  <c r="V68" i="10" s="1"/>
  <c r="AB68" i="10"/>
  <c r="AF68" i="10" s="1"/>
  <c r="AJ68" i="10" s="1"/>
  <c r="AP68" i="10" s="1"/>
  <c r="AT68" i="10" s="1"/>
  <c r="AX68" i="10" s="1"/>
  <c r="BF68" i="10" s="1"/>
  <c r="AC98" i="50"/>
  <c r="AG98" i="50" s="1"/>
  <c r="AK98" i="50" s="1"/>
  <c r="AQ98" i="50" s="1"/>
  <c r="AU98" i="50" s="1"/>
  <c r="AY98" i="50" s="1"/>
  <c r="BG98" i="50" s="1"/>
  <c r="S98" i="50"/>
  <c r="W98" i="50" s="1"/>
  <c r="M100" i="50"/>
  <c r="M95" i="50"/>
  <c r="M96" i="50"/>
  <c r="L166" i="10"/>
  <c r="M16" i="61"/>
  <c r="M31" i="83"/>
  <c r="M68" i="83" s="1"/>
  <c r="M34" i="50"/>
  <c r="M35" i="50"/>
  <c r="M37" i="50"/>
  <c r="M38" i="50"/>
  <c r="M39" i="50"/>
  <c r="M33" i="50"/>
  <c r="M40" i="50" l="1"/>
  <c r="M103" i="50" s="1"/>
  <c r="M104" i="50" s="1"/>
  <c r="M107" i="50"/>
  <c r="M108" i="50" s="1"/>
  <c r="M80" i="50"/>
  <c r="L16" i="52"/>
  <c r="K16" i="52"/>
  <c r="M11" i="52" l="1"/>
  <c r="Q11" i="52" l="1"/>
  <c r="U11" i="52" s="1"/>
  <c r="AA11" i="52"/>
  <c r="AE11" i="52" s="1"/>
  <c r="AI11" i="52" s="1"/>
  <c r="AO11" i="52" s="1"/>
  <c r="AS11" i="52" s="1"/>
  <c r="AW11" i="52" s="1"/>
  <c r="BE11" i="52" s="1"/>
  <c r="M15" i="52"/>
  <c r="N15" i="52"/>
  <c r="R15" i="52" l="1"/>
  <c r="V15" i="52" s="1"/>
  <c r="AB15" i="52"/>
  <c r="AF15" i="52" s="1"/>
  <c r="AJ15" i="52" s="1"/>
  <c r="AP15" i="52" s="1"/>
  <c r="AT15" i="52" s="1"/>
  <c r="AX15" i="52" s="1"/>
  <c r="BF15" i="52" s="1"/>
  <c r="Q15" i="52"/>
  <c r="U15" i="52" s="1"/>
  <c r="AA15" i="52"/>
  <c r="AE15" i="52" s="1"/>
  <c r="AI15" i="52" s="1"/>
  <c r="AO15" i="52" s="1"/>
  <c r="AS15" i="52" s="1"/>
  <c r="AW15" i="52" s="1"/>
  <c r="BE15" i="52" s="1"/>
  <c r="K30" i="15"/>
  <c r="K29" i="15"/>
  <c r="K28" i="15"/>
  <c r="K24" i="15"/>
  <c r="K23" i="15"/>
  <c r="K22" i="15"/>
  <c r="K21" i="15"/>
  <c r="K20" i="15"/>
  <c r="J18" i="15"/>
  <c r="K17" i="15"/>
  <c r="K14" i="15"/>
  <c r="J11" i="15"/>
  <c r="J12" i="15" s="1"/>
  <c r="K10" i="15"/>
  <c r="K9" i="15"/>
  <c r="J9" i="15"/>
  <c r="K8" i="15"/>
  <c r="J8" i="15"/>
  <c r="K7" i="15"/>
  <c r="K6" i="15"/>
  <c r="K5" i="15"/>
  <c r="J107" i="26"/>
  <c r="K31" i="15" l="1"/>
  <c r="K34" i="15" s="1"/>
  <c r="K15" i="15" s="1"/>
  <c r="K16" i="15" s="1"/>
  <c r="J123" i="26"/>
  <c r="K109" i="26"/>
  <c r="J105" i="26"/>
  <c r="J103" i="26"/>
  <c r="J101" i="26"/>
  <c r="J99" i="26"/>
  <c r="J97" i="26"/>
  <c r="J95" i="26"/>
  <c r="J93" i="26"/>
  <c r="K89" i="26"/>
  <c r="K82" i="26"/>
  <c r="K81" i="26"/>
  <c r="J79" i="26"/>
  <c r="J77" i="26"/>
  <c r="J84" i="26" s="1"/>
  <c r="J89" i="26" s="1"/>
  <c r="K74" i="26"/>
  <c r="J72" i="26"/>
  <c r="J70" i="26"/>
  <c r="J68" i="26"/>
  <c r="J66" i="26"/>
  <c r="J64" i="26"/>
  <c r="J62" i="26"/>
  <c r="J60" i="26"/>
  <c r="J58" i="26"/>
  <c r="J53" i="26"/>
  <c r="J51" i="26"/>
  <c r="K49" i="26"/>
  <c r="K56" i="26" s="1"/>
  <c r="J47" i="26"/>
  <c r="J49" i="26" s="1"/>
  <c r="K44" i="26"/>
  <c r="J42" i="26"/>
  <c r="J40" i="26"/>
  <c r="J38" i="26"/>
  <c r="J22" i="26"/>
  <c r="J20" i="26"/>
  <c r="J16" i="26"/>
  <c r="J14" i="26"/>
  <c r="K11" i="26"/>
  <c r="K18" i="26" s="1"/>
  <c r="J10" i="26"/>
  <c r="J8" i="26"/>
  <c r="J109" i="26" l="1"/>
  <c r="J81" i="26"/>
  <c r="J82" i="26"/>
  <c r="J74" i="26"/>
  <c r="K55" i="26"/>
  <c r="J44" i="26"/>
  <c r="J11" i="26"/>
  <c r="J18" i="26" s="1"/>
  <c r="J56" i="26"/>
  <c r="J55" i="26"/>
  <c r="K17" i="26"/>
  <c r="K12" i="26"/>
  <c r="K50" i="26"/>
  <c r="K9" i="17"/>
  <c r="J12" i="26" l="1"/>
  <c r="J17" i="26"/>
  <c r="G393" i="28"/>
  <c r="I393" i="28"/>
  <c r="K393" i="28"/>
  <c r="M393" i="28"/>
  <c r="E392" i="28"/>
  <c r="G392" i="28"/>
  <c r="I392" i="28"/>
  <c r="K392" i="28"/>
  <c r="M392" i="28"/>
  <c r="K41" i="50" l="1"/>
  <c r="K47" i="50" s="1"/>
  <c r="O41" i="50"/>
  <c r="O47" i="50" s="1"/>
  <c r="I107" i="50"/>
  <c r="I108" i="50" s="1"/>
  <c r="P96" i="38"/>
  <c r="P95" i="38"/>
  <c r="P94" i="38"/>
  <c r="P93" i="38"/>
  <c r="O92" i="38"/>
  <c r="P91" i="38"/>
  <c r="O90" i="38"/>
  <c r="P88" i="38"/>
  <c r="P87" i="38"/>
  <c r="P86" i="38"/>
  <c r="P85" i="38"/>
  <c r="O84" i="38"/>
  <c r="P82" i="38"/>
  <c r="P81" i="38"/>
  <c r="P80" i="38"/>
  <c r="P79" i="38"/>
  <c r="P78" i="38"/>
  <c r="P77" i="38"/>
  <c r="P76" i="38"/>
  <c r="P75" i="38"/>
  <c r="P74" i="38"/>
  <c r="P73" i="38"/>
  <c r="P72" i="38"/>
  <c r="P71" i="38"/>
  <c r="P70" i="38"/>
  <c r="P69" i="38"/>
  <c r="O68" i="38"/>
  <c r="P64" i="38"/>
  <c r="P63" i="38"/>
  <c r="O62" i="38"/>
  <c r="P59" i="38"/>
  <c r="P58" i="38"/>
  <c r="P57" i="38"/>
  <c r="P56" i="38"/>
  <c r="O55" i="38"/>
  <c r="O53" i="38"/>
  <c r="P52" i="38"/>
  <c r="O52" i="38"/>
  <c r="O47" i="38"/>
  <c r="O46" i="38"/>
  <c r="O45" i="38"/>
  <c r="O44" i="38"/>
  <c r="P43" i="38"/>
  <c r="O42" i="38"/>
  <c r="O41" i="38" s="1"/>
  <c r="P41" i="38"/>
  <c r="P90" i="38" s="1"/>
  <c r="O39" i="38"/>
  <c r="O38" i="38"/>
  <c r="O37" i="38"/>
  <c r="O36" i="38"/>
  <c r="P35" i="38"/>
  <c r="P84" i="38" s="1"/>
  <c r="O33" i="38"/>
  <c r="O32" i="38"/>
  <c r="O31" i="38"/>
  <c r="O30" i="38"/>
  <c r="O29" i="38"/>
  <c r="O28" i="38"/>
  <c r="O27" i="38"/>
  <c r="O26" i="38"/>
  <c r="O25" i="38"/>
  <c r="O24" i="38"/>
  <c r="O23" i="38"/>
  <c r="O22" i="38"/>
  <c r="O21" i="38"/>
  <c r="O20" i="38"/>
  <c r="P19" i="38"/>
  <c r="P68" i="38" s="1"/>
  <c r="O15" i="38"/>
  <c r="O14" i="38"/>
  <c r="P13" i="38"/>
  <c r="P62" i="38" s="1"/>
  <c r="O11" i="38"/>
  <c r="O10" i="38"/>
  <c r="O9" i="38"/>
  <c r="O8" i="38"/>
  <c r="O7" i="38"/>
  <c r="P55" i="38"/>
  <c r="S41" i="50" l="1"/>
  <c r="S47" i="50" s="1"/>
  <c r="AC41" i="50"/>
  <c r="AC47" i="50" s="1"/>
  <c r="K107" i="50"/>
  <c r="O6" i="38"/>
  <c r="O89" i="38"/>
  <c r="O65" i="38"/>
  <c r="P40" i="38"/>
  <c r="P89" i="38" s="1"/>
  <c r="P18" i="38"/>
  <c r="P67" i="38" s="1"/>
  <c r="O43" i="38"/>
  <c r="O40" i="38" s="1"/>
  <c r="O13" i="38"/>
  <c r="O35" i="38"/>
  <c r="O67" i="38"/>
  <c r="O19" i="38"/>
  <c r="P92" i="38"/>
  <c r="P16" i="38"/>
  <c r="P65" i="38" s="1"/>
  <c r="J113" i="17"/>
  <c r="J111" i="17"/>
  <c r="K85" i="17"/>
  <c r="J85" i="17"/>
  <c r="K84" i="17"/>
  <c r="J84" i="17"/>
  <c r="K83" i="17"/>
  <c r="J83" i="17"/>
  <c r="K82" i="17"/>
  <c r="J82" i="17"/>
  <c r="K81" i="17"/>
  <c r="J81" i="17"/>
  <c r="K77" i="17"/>
  <c r="J77" i="17"/>
  <c r="K66" i="17"/>
  <c r="K68" i="17" s="1"/>
  <c r="J66" i="17"/>
  <c r="J68" i="17" s="1"/>
  <c r="J60" i="17"/>
  <c r="K58" i="17"/>
  <c r="K61" i="17" s="1"/>
  <c r="J57" i="17"/>
  <c r="J56" i="17"/>
  <c r="J54" i="17"/>
  <c r="K51" i="17"/>
  <c r="K52" i="17" s="1"/>
  <c r="J51" i="17"/>
  <c r="K48" i="17"/>
  <c r="J47" i="17"/>
  <c r="K46" i="17"/>
  <c r="J45" i="17"/>
  <c r="K43" i="17"/>
  <c r="K49" i="17" s="1"/>
  <c r="J43" i="17"/>
  <c r="K42" i="17"/>
  <c r="K40" i="17"/>
  <c r="K38" i="17"/>
  <c r="J34" i="17"/>
  <c r="K25" i="17"/>
  <c r="J25" i="17"/>
  <c r="K21" i="17"/>
  <c r="K15" i="17" s="1"/>
  <c r="J20" i="17"/>
  <c r="J18" i="17"/>
  <c r="J17" i="17"/>
  <c r="J15" i="17"/>
  <c r="J29" i="17" s="1"/>
  <c r="J14" i="17"/>
  <c r="K13" i="17"/>
  <c r="K11" i="17"/>
  <c r="K8" i="17"/>
  <c r="J8" i="17"/>
  <c r="J10" i="17" s="1"/>
  <c r="AG41" i="50" l="1"/>
  <c r="AG47" i="50" s="1"/>
  <c r="W41" i="50"/>
  <c r="W47" i="50" s="1"/>
  <c r="O107" i="50"/>
  <c r="O66" i="38"/>
  <c r="J21" i="17"/>
  <c r="J31" i="17" s="1"/>
  <c r="J58" i="17"/>
  <c r="J61" i="17" s="1"/>
  <c r="J49" i="17"/>
  <c r="J53" i="17" s="1"/>
  <c r="P17" i="38"/>
  <c r="P66" i="38" s="1"/>
  <c r="K112" i="17"/>
  <c r="O18" i="38"/>
  <c r="O17" i="38" s="1"/>
  <c r="O16" i="38"/>
  <c r="K12" i="17"/>
  <c r="K14" i="17" s="1"/>
  <c r="J115" i="17"/>
  <c r="K59" i="17"/>
  <c r="K33" i="17"/>
  <c r="K31" i="17"/>
  <c r="K29" i="17"/>
  <c r="K32" i="17"/>
  <c r="J32" i="17"/>
  <c r="J33" i="17"/>
  <c r="K53" i="17"/>
  <c r="K54" i="17" s="1"/>
  <c r="K110" i="17"/>
  <c r="K50" i="17"/>
  <c r="K111" i="17" s="1"/>
  <c r="J112" i="17"/>
  <c r="K10" i="17"/>
  <c r="K30" i="17"/>
  <c r="K44" i="17"/>
  <c r="W107" i="50" l="1"/>
  <c r="AK41" i="50"/>
  <c r="AK47" i="50" s="1"/>
  <c r="S107" i="50"/>
  <c r="AC107" i="50"/>
  <c r="K114" i="17"/>
  <c r="J30" i="17"/>
  <c r="J59" i="17"/>
  <c r="J110" i="17"/>
  <c r="J114" i="17" s="1"/>
  <c r="K113" i="17"/>
  <c r="K115" i="17" s="1"/>
  <c r="M86" i="50"/>
  <c r="M9" i="61"/>
  <c r="K37" i="27"/>
  <c r="K35" i="27"/>
  <c r="K27" i="27"/>
  <c r="K29" i="27"/>
  <c r="K28" i="27"/>
  <c r="K20" i="27"/>
  <c r="K19" i="27"/>
  <c r="K18" i="27"/>
  <c r="AG107" i="50" l="1"/>
  <c r="AQ41" i="50"/>
  <c r="AQ47" i="50" s="1"/>
  <c r="J21" i="27"/>
  <c r="J20" i="27"/>
  <c r="J39" i="27"/>
  <c r="K36" i="27"/>
  <c r="K39" i="27" s="1"/>
  <c r="J33" i="27"/>
  <c r="K26" i="27"/>
  <c r="K33" i="27" s="1"/>
  <c r="K21" i="27"/>
  <c r="K24" i="27" s="1"/>
  <c r="AU41" i="50" l="1"/>
  <c r="AU47" i="50" s="1"/>
  <c r="AK107" i="50"/>
  <c r="J24" i="27"/>
  <c r="AY41" i="50" l="1"/>
  <c r="AY47" i="50" s="1"/>
  <c r="AQ107" i="50"/>
  <c r="L28" i="22"/>
  <c r="L24" i="22"/>
  <c r="L26" i="22" s="1"/>
  <c r="L23" i="22"/>
  <c r="L14" i="22"/>
  <c r="L10" i="22"/>
  <c r="L12" i="22" s="1"/>
  <c r="L9" i="22"/>
  <c r="I157" i="73"/>
  <c r="I138" i="73"/>
  <c r="I152" i="73"/>
  <c r="I137" i="73"/>
  <c r="AU107" i="50" l="1"/>
  <c r="AY107" i="50"/>
  <c r="I60" i="73"/>
  <c r="I77" i="73"/>
  <c r="I78" i="73"/>
  <c r="I89" i="73"/>
  <c r="I80" i="73"/>
  <c r="I79" i="73"/>
  <c r="I73" i="73"/>
  <c r="I30" i="73"/>
  <c r="L160" i="28"/>
  <c r="J147" i="28"/>
  <c r="R147" i="28" l="1"/>
  <c r="V147" i="28" s="1"/>
  <c r="I41" i="72"/>
  <c r="I33" i="72"/>
  <c r="I23" i="72"/>
  <c r="I17" i="72"/>
  <c r="I43" i="72" l="1"/>
  <c r="K65" i="45"/>
  <c r="K61" i="45"/>
  <c r="M105" i="45"/>
  <c r="M104" i="45"/>
  <c r="M102" i="45"/>
  <c r="M96" i="45"/>
  <c r="M103" i="45" s="1"/>
  <c r="M91" i="45"/>
  <c r="M90" i="45"/>
  <c r="L90" i="45"/>
  <c r="M89" i="45"/>
  <c r="L89" i="45"/>
  <c r="M87" i="45"/>
  <c r="M88" i="45" s="1"/>
  <c r="L87" i="45"/>
  <c r="L88" i="45" s="1"/>
  <c r="L86" i="45"/>
  <c r="M85" i="45"/>
  <c r="L85" i="45"/>
  <c r="M83" i="45"/>
  <c r="L83" i="45"/>
  <c r="M80" i="45"/>
  <c r="M81" i="45" s="1"/>
  <c r="L80" i="45"/>
  <c r="L81" i="45" s="1"/>
  <c r="M74" i="45"/>
  <c r="M107" i="45" s="1"/>
  <c r="L73" i="45"/>
  <c r="M72" i="45"/>
  <c r="M106" i="45" s="1"/>
  <c r="R8" i="11"/>
  <c r="V8" i="11" s="1"/>
  <c r="R9" i="11"/>
  <c r="V9" i="11" s="1"/>
  <c r="R10" i="11"/>
  <c r="V10" i="11" s="1"/>
  <c r="R12" i="11"/>
  <c r="V12" i="11" s="1"/>
  <c r="R14" i="11"/>
  <c r="V14" i="11" s="1"/>
  <c r="R13" i="11"/>
  <c r="V13" i="11" s="1"/>
  <c r="R11" i="11"/>
  <c r="V11" i="11" s="1"/>
  <c r="R15" i="11"/>
  <c r="V15" i="11" s="1"/>
  <c r="R25" i="11"/>
  <c r="V25" i="11" s="1"/>
  <c r="R26" i="11"/>
  <c r="V26" i="11" s="1"/>
  <c r="R28" i="11"/>
  <c r="R24" i="11"/>
  <c r="V24" i="11" s="1"/>
  <c r="R30" i="11"/>
  <c r="V30" i="11" s="1"/>
  <c r="R33" i="11"/>
  <c r="V33" i="11" s="1"/>
  <c r="R34" i="11"/>
  <c r="V34" i="11" s="1"/>
  <c r="R32" i="11"/>
  <c r="V32" i="11" s="1"/>
  <c r="R31" i="11"/>
  <c r="V31" i="11" s="1"/>
  <c r="R35" i="11"/>
  <c r="V35" i="11" s="1"/>
  <c r="R36" i="11"/>
  <c r="V36" i="11" s="1"/>
  <c r="R37" i="11"/>
  <c r="V37" i="11" s="1"/>
  <c r="R38" i="11"/>
  <c r="V38" i="11" s="1"/>
  <c r="R39" i="11"/>
  <c r="V39" i="11" s="1"/>
  <c r="L83" i="11"/>
  <c r="L81" i="11"/>
  <c r="L75" i="11"/>
  <c r="L76" i="11" s="1"/>
  <c r="L70" i="11"/>
  <c r="K70" i="11"/>
  <c r="L69" i="11"/>
  <c r="K69" i="11"/>
  <c r="L68" i="11"/>
  <c r="K68" i="11"/>
  <c r="L66" i="11"/>
  <c r="L67" i="11" s="1"/>
  <c r="K66" i="11"/>
  <c r="K67" i="11" s="1"/>
  <c r="K65" i="11"/>
  <c r="L64" i="11"/>
  <c r="K64" i="11"/>
  <c r="L62" i="11"/>
  <c r="K62" i="11"/>
  <c r="L59" i="11"/>
  <c r="L60" i="11" s="1"/>
  <c r="K59" i="11"/>
  <c r="K60" i="11" s="1"/>
  <c r="L77" i="11"/>
  <c r="K52" i="11"/>
  <c r="L84" i="11"/>
  <c r="N7" i="10"/>
  <c r="AB7" i="10" l="1"/>
  <c r="V28" i="11"/>
  <c r="K71" i="11"/>
  <c r="K90" i="11"/>
  <c r="L92" i="45"/>
  <c r="L112" i="45"/>
  <c r="R47" i="11"/>
  <c r="V47" i="11" s="1"/>
  <c r="R45" i="11"/>
  <c r="V45" i="11" s="1"/>
  <c r="R42" i="11"/>
  <c r="V42" i="11" s="1"/>
  <c r="R49" i="11"/>
  <c r="V49" i="11" s="1"/>
  <c r="R44" i="11"/>
  <c r="V44" i="11" s="1"/>
  <c r="R48" i="11"/>
  <c r="V48" i="11" s="1"/>
  <c r="R43" i="11"/>
  <c r="V43" i="11" s="1"/>
  <c r="S59" i="45"/>
  <c r="W59" i="45" s="1"/>
  <c r="S47" i="45"/>
  <c r="W47" i="45" s="1"/>
  <c r="S26" i="45"/>
  <c r="W26" i="45" s="1"/>
  <c r="S13" i="45"/>
  <c r="W13" i="45" s="1"/>
  <c r="S63" i="45"/>
  <c r="W63" i="45" s="1"/>
  <c r="S52" i="45"/>
  <c r="W52" i="45" s="1"/>
  <c r="S33" i="45"/>
  <c r="W33" i="45" s="1"/>
  <c r="S18" i="45"/>
  <c r="W18" i="45" s="1"/>
  <c r="S12" i="45"/>
  <c r="W12" i="45" s="1"/>
  <c r="S65" i="45"/>
  <c r="W65" i="45" s="1"/>
  <c r="S68" i="45"/>
  <c r="W68" i="45" s="1"/>
  <c r="S62" i="45"/>
  <c r="W62" i="45" s="1"/>
  <c r="S56" i="45"/>
  <c r="W56" i="45" s="1"/>
  <c r="S50" i="45"/>
  <c r="W50" i="45" s="1"/>
  <c r="S45" i="45"/>
  <c r="W45" i="45" s="1"/>
  <c r="S32" i="45"/>
  <c r="W32" i="45" s="1"/>
  <c r="S16" i="45"/>
  <c r="W16" i="45" s="1"/>
  <c r="S9" i="45"/>
  <c r="W9" i="45" s="1"/>
  <c r="S61" i="45"/>
  <c r="W61" i="45" s="1"/>
  <c r="S70" i="45"/>
  <c r="W70" i="45" s="1"/>
  <c r="S66" i="45"/>
  <c r="W66" i="45" s="1"/>
  <c r="S53" i="45"/>
  <c r="W53" i="45" s="1"/>
  <c r="S42" i="45"/>
  <c r="W42" i="45" s="1"/>
  <c r="S19" i="45"/>
  <c r="W19" i="45" s="1"/>
  <c r="S7" i="45"/>
  <c r="W7" i="45" s="1"/>
  <c r="S69" i="45"/>
  <c r="W69" i="45" s="1"/>
  <c r="S58" i="45"/>
  <c r="W58" i="45" s="1"/>
  <c r="S46" i="45"/>
  <c r="W46" i="45" s="1"/>
  <c r="S22" i="45"/>
  <c r="S21" i="45"/>
  <c r="W21" i="45" s="1"/>
  <c r="S71" i="45"/>
  <c r="W71" i="45" s="1"/>
  <c r="S67" i="45"/>
  <c r="W67" i="45" s="1"/>
  <c r="S60" i="45"/>
  <c r="W60" i="45" s="1"/>
  <c r="S55" i="45"/>
  <c r="W55" i="45" s="1"/>
  <c r="S49" i="45"/>
  <c r="W49" i="45" s="1"/>
  <c r="S43" i="45"/>
  <c r="W43" i="45" s="1"/>
  <c r="S27" i="45"/>
  <c r="W27" i="45" s="1"/>
  <c r="S20" i="45"/>
  <c r="W20" i="45" s="1"/>
  <c r="S15" i="45"/>
  <c r="W15" i="45" s="1"/>
  <c r="S8" i="45"/>
  <c r="W8" i="45" s="1"/>
  <c r="R7" i="10"/>
  <c r="L71" i="11"/>
  <c r="M92" i="45"/>
  <c r="K54" i="11"/>
  <c r="K51" i="11"/>
  <c r="L76" i="45"/>
  <c r="L72" i="45"/>
  <c r="M98" i="45"/>
  <c r="M110" i="45"/>
  <c r="M75" i="45"/>
  <c r="M108" i="45"/>
  <c r="M76" i="45"/>
  <c r="M77" i="45" s="1"/>
  <c r="M97" i="45"/>
  <c r="L75" i="45"/>
  <c r="L54" i="11"/>
  <c r="L56" i="11"/>
  <c r="L85" i="11"/>
  <c r="L86" i="11" s="1"/>
  <c r="L82" i="11"/>
  <c r="L88" i="11" s="1"/>
  <c r="W22" i="45" l="1"/>
  <c r="AF7" i="10"/>
  <c r="AJ7" i="10" s="1"/>
  <c r="W74" i="45"/>
  <c r="W98" i="45" s="1"/>
  <c r="V7" i="10"/>
  <c r="L155" i="10"/>
  <c r="L153" i="10"/>
  <c r="L147" i="10"/>
  <c r="L154" i="10" s="1"/>
  <c r="L142" i="10"/>
  <c r="L141" i="10"/>
  <c r="K141" i="10"/>
  <c r="L140" i="10"/>
  <c r="K140" i="10"/>
  <c r="L138" i="10"/>
  <c r="L139" i="10" s="1"/>
  <c r="K138" i="10"/>
  <c r="K139" i="10" s="1"/>
  <c r="K137" i="10"/>
  <c r="L136" i="10"/>
  <c r="K136" i="10"/>
  <c r="L134" i="10"/>
  <c r="K134" i="10"/>
  <c r="L131" i="10"/>
  <c r="L132" i="10" s="1"/>
  <c r="K131" i="10"/>
  <c r="K132" i="10" s="1"/>
  <c r="L157" i="10"/>
  <c r="AP7" i="10" l="1"/>
  <c r="AT7" i="10" s="1"/>
  <c r="AX7" i="10" s="1"/>
  <c r="BF7" i="10" s="1"/>
  <c r="K143" i="10"/>
  <c r="K170" i="10"/>
  <c r="W107" i="45"/>
  <c r="L149" i="10"/>
  <c r="L143" i="10"/>
  <c r="L156" i="10"/>
  <c r="L158" i="10" s="1"/>
  <c r="L148" i="10"/>
  <c r="L160" i="10" l="1"/>
  <c r="K104" i="9" l="1"/>
  <c r="K102" i="9"/>
  <c r="K101" i="9"/>
  <c r="L99" i="9"/>
  <c r="K99" i="9"/>
  <c r="L98" i="9"/>
  <c r="K98" i="9"/>
  <c r="L97" i="9"/>
  <c r="K97" i="9"/>
  <c r="L93" i="9"/>
  <c r="K53" i="9"/>
  <c r="K52" i="9"/>
  <c r="K51" i="9"/>
  <c r="K47" i="9"/>
  <c r="L46" i="9"/>
  <c r="L36" i="9"/>
  <c r="M117" i="50" s="1"/>
  <c r="M118" i="50" s="1"/>
  <c r="L35" i="9"/>
  <c r="L47" i="9" s="1"/>
  <c r="L34" i="9"/>
  <c r="L31" i="9"/>
  <c r="L25" i="9"/>
  <c r="K24" i="9"/>
  <c r="K22" i="9"/>
  <c r="L19" i="9"/>
  <c r="L39" i="36" s="1"/>
  <c r="L10" i="9"/>
  <c r="L5" i="9"/>
  <c r="R29" i="8"/>
  <c r="V29" i="8" s="1"/>
  <c r="L129" i="8"/>
  <c r="L85" i="8"/>
  <c r="K85" i="8"/>
  <c r="L83" i="8"/>
  <c r="K83" i="8"/>
  <c r="L82" i="8"/>
  <c r="K82" i="8"/>
  <c r="K81" i="8"/>
  <c r="K78" i="8"/>
  <c r="K77" i="8"/>
  <c r="K75" i="8"/>
  <c r="K73" i="8"/>
  <c r="K72" i="8"/>
  <c r="K71" i="8"/>
  <c r="K70" i="8"/>
  <c r="K69" i="8"/>
  <c r="L72" i="8"/>
  <c r="L36" i="8"/>
  <c r="L70" i="8"/>
  <c r="K50" i="8"/>
  <c r="L48" i="8"/>
  <c r="K48" i="8"/>
  <c r="K45" i="8"/>
  <c r="K44" i="8"/>
  <c r="K43" i="8"/>
  <c r="K42" i="8"/>
  <c r="K40" i="8"/>
  <c r="K39" i="8"/>
  <c r="K38" i="8"/>
  <c r="L25" i="8"/>
  <c r="L16" i="8"/>
  <c r="K16" i="8"/>
  <c r="L14" i="8"/>
  <c r="K14" i="8"/>
  <c r="L13" i="8"/>
  <c r="K13" i="8"/>
  <c r="L12" i="8"/>
  <c r="L6" i="8"/>
  <c r="L80" i="8" s="1"/>
  <c r="K6" i="8"/>
  <c r="K79" i="8" s="1"/>
  <c r="R130" i="9" l="1"/>
  <c r="V130" i="9" s="1"/>
  <c r="R129" i="9"/>
  <c r="V129" i="9" s="1"/>
  <c r="L130" i="8"/>
  <c r="L131" i="8"/>
  <c r="L34" i="8"/>
  <c r="K49" i="8"/>
  <c r="K30" i="8"/>
  <c r="K24" i="8"/>
  <c r="K41" i="8"/>
  <c r="K86" i="8"/>
  <c r="K29" i="8"/>
  <c r="L48" i="9"/>
  <c r="L49" i="9" s="1"/>
  <c r="M87" i="50"/>
  <c r="K26" i="8"/>
  <c r="L96" i="9"/>
  <c r="L33" i="22"/>
  <c r="L15" i="8"/>
  <c r="L45" i="8"/>
  <c r="L42" i="8"/>
  <c r="L86" i="8"/>
  <c r="L39" i="8"/>
  <c r="L43" i="8"/>
  <c r="L76" i="8"/>
  <c r="L40" i="8"/>
  <c r="L46" i="8"/>
  <c r="L49" i="8"/>
  <c r="K5" i="26" s="1"/>
  <c r="L14" i="9"/>
  <c r="K25" i="9"/>
  <c r="K88" i="9" s="1"/>
  <c r="L37" i="9"/>
  <c r="L100" i="9"/>
  <c r="L57" i="9"/>
  <c r="L89" i="9"/>
  <c r="L94" i="9"/>
  <c r="K18" i="15" s="1"/>
  <c r="L90" i="9"/>
  <c r="L71" i="8"/>
  <c r="L35" i="8"/>
  <c r="L33" i="8"/>
  <c r="L69" i="8"/>
  <c r="K22" i="8"/>
  <c r="K27" i="8"/>
  <c r="K23" i="8"/>
  <c r="K28" i="8"/>
  <c r="L38" i="8"/>
  <c r="L44" i="8"/>
  <c r="L62" i="9" l="1"/>
  <c r="K129" i="8"/>
  <c r="K131" i="8" s="1"/>
  <c r="L132" i="8"/>
  <c r="L51" i="8" s="1"/>
  <c r="L73" i="9"/>
  <c r="L78" i="9"/>
  <c r="L72" i="9"/>
  <c r="L76" i="9"/>
  <c r="L75" i="9"/>
  <c r="K57" i="8"/>
  <c r="K61" i="8" s="1"/>
  <c r="K34" i="8" s="1"/>
  <c r="L68" i="8"/>
  <c r="K65" i="8"/>
  <c r="K36" i="8" s="1"/>
  <c r="L50" i="8"/>
  <c r="L86" i="9"/>
  <c r="L41" i="8"/>
  <c r="L91" i="9"/>
  <c r="L52" i="9"/>
  <c r="L81" i="9"/>
  <c r="L87" i="9"/>
  <c r="L53" i="9"/>
  <c r="L83" i="9"/>
  <c r="L85" i="9"/>
  <c r="L84" i="9"/>
  <c r="L80" i="9"/>
  <c r="L82" i="9"/>
  <c r="K67" i="8"/>
  <c r="K35" i="8" s="1"/>
  <c r="K63" i="8"/>
  <c r="K33" i="8" s="1"/>
  <c r="K25" i="8"/>
  <c r="L74" i="9" l="1"/>
  <c r="K130" i="8"/>
  <c r="K132" i="8" s="1"/>
  <c r="L77" i="9"/>
  <c r="L79" i="9" s="1"/>
  <c r="K106" i="7"/>
  <c r="K105" i="7"/>
  <c r="K104" i="7"/>
  <c r="K103" i="7"/>
  <c r="K102" i="7"/>
  <c r="K101" i="7"/>
  <c r="K100" i="7"/>
  <c r="K99" i="7"/>
  <c r="K98" i="7"/>
  <c r="K97" i="7"/>
  <c r="K79" i="7"/>
  <c r="L78" i="7"/>
  <c r="K78" i="7"/>
  <c r="L76" i="7"/>
  <c r="K76" i="7"/>
  <c r="L69" i="7"/>
  <c r="K69" i="7"/>
  <c r="L65" i="7"/>
  <c r="L67" i="7" s="1"/>
  <c r="K65" i="7"/>
  <c r="K67" i="7" s="1"/>
  <c r="L61" i="7"/>
  <c r="K61" i="7"/>
  <c r="K25" i="7" s="1"/>
  <c r="K85" i="7" s="1"/>
  <c r="L19" i="7"/>
  <c r="K19" i="7"/>
  <c r="K37" i="7" s="1"/>
  <c r="K46" i="7" s="1"/>
  <c r="L28" i="7" l="1"/>
  <c r="L88" i="7" s="1"/>
  <c r="O34" i="59" s="1"/>
  <c r="L49" i="7"/>
  <c r="L56" i="7"/>
  <c r="L55" i="7"/>
  <c r="L54" i="7"/>
  <c r="L53" i="7"/>
  <c r="L52" i="7"/>
  <c r="L51" i="7"/>
  <c r="L90" i="7" s="1"/>
  <c r="L50" i="7"/>
  <c r="L37" i="7"/>
  <c r="L46" i="7" s="1"/>
  <c r="K48" i="39"/>
  <c r="K50" i="39" s="1"/>
  <c r="K23" i="7"/>
  <c r="K83" i="7" s="1"/>
  <c r="K28" i="7"/>
  <c r="K88" i="7" s="1"/>
  <c r="L25" i="7"/>
  <c r="L85" i="7" s="1"/>
  <c r="L27" i="7"/>
  <c r="L87" i="7" s="1"/>
  <c r="L32" i="7"/>
  <c r="L84" i="7" s="1"/>
  <c r="L77" i="7"/>
  <c r="L23" i="7"/>
  <c r="K32" i="7"/>
  <c r="K84" i="7" s="1"/>
  <c r="K27" i="7"/>
  <c r="K87" i="7" s="1"/>
  <c r="L70" i="7"/>
  <c r="L33" i="7"/>
  <c r="L94" i="7" s="1"/>
  <c r="K77" i="7"/>
  <c r="K24" i="7"/>
  <c r="K93" i="7" s="1"/>
  <c r="L24" i="7"/>
  <c r="K62" i="7"/>
  <c r="K72" i="7"/>
  <c r="K22" i="7"/>
  <c r="K82" i="7" s="1"/>
  <c r="L63" i="7"/>
  <c r="L72" i="7"/>
  <c r="K75" i="7"/>
  <c r="K21" i="7"/>
  <c r="K81" i="7" s="1"/>
  <c r="K29" i="7"/>
  <c r="K89" i="7" s="1"/>
  <c r="L75" i="7"/>
  <c r="L21" i="7"/>
  <c r="L81" i="7" s="1"/>
  <c r="L29" i="7"/>
  <c r="L89" i="7" s="1"/>
  <c r="K26" i="7"/>
  <c r="K86" i="7" s="1"/>
  <c r="K30" i="7"/>
  <c r="K91" i="7" s="1"/>
  <c r="L22" i="7"/>
  <c r="L82" i="7" s="1"/>
  <c r="L26" i="7"/>
  <c r="L86" i="7" s="1"/>
  <c r="L30" i="7"/>
  <c r="L91" i="7" s="1"/>
  <c r="K70" i="7"/>
  <c r="M107" i="6"/>
  <c r="Q107" i="6" s="1"/>
  <c r="N107" i="6"/>
  <c r="R107" i="6" s="1"/>
  <c r="M90" i="6"/>
  <c r="Q90" i="6" s="1"/>
  <c r="N90" i="6"/>
  <c r="R90" i="6" s="1"/>
  <c r="L83" i="7" l="1"/>
  <c r="L93" i="7"/>
  <c r="N34" i="59"/>
  <c r="K95" i="7"/>
  <c r="K34" i="7"/>
  <c r="K48" i="7" s="1"/>
  <c r="L34" i="7"/>
  <c r="L48" i="7" s="1"/>
  <c r="K192" i="6"/>
  <c r="K191" i="6"/>
  <c r="K190" i="6"/>
  <c r="K188" i="6"/>
  <c r="L186" i="6"/>
  <c r="K186" i="6"/>
  <c r="L185" i="6"/>
  <c r="K185" i="6"/>
  <c r="L184" i="6"/>
  <c r="K184" i="6"/>
  <c r="K183" i="6"/>
  <c r="K182" i="6"/>
  <c r="K179" i="6"/>
  <c r="K178" i="6"/>
  <c r="K177" i="6"/>
  <c r="K176" i="6"/>
  <c r="K162" i="6"/>
  <c r="L160" i="6"/>
  <c r="K160" i="6"/>
  <c r="L159" i="6"/>
  <c r="K159" i="6"/>
  <c r="K158" i="6"/>
  <c r="K157" i="6"/>
  <c r="K154" i="6"/>
  <c r="K153" i="6"/>
  <c r="K152" i="6"/>
  <c r="K151" i="6"/>
  <c r="K150" i="6"/>
  <c r="K149" i="6"/>
  <c r="K147" i="6"/>
  <c r="K146" i="6"/>
  <c r="K145" i="6"/>
  <c r="L135" i="6"/>
  <c r="L134" i="6"/>
  <c r="L133" i="6"/>
  <c r="K133" i="6"/>
  <c r="L130" i="6"/>
  <c r="K130" i="6"/>
  <c r="L129" i="6"/>
  <c r="K129" i="6"/>
  <c r="L128" i="6"/>
  <c r="K128" i="6"/>
  <c r="L127" i="6"/>
  <c r="K127" i="6"/>
  <c r="L125" i="6"/>
  <c r="L124" i="6"/>
  <c r="L123" i="6"/>
  <c r="L122" i="6"/>
  <c r="L121" i="6"/>
  <c r="L114" i="6"/>
  <c r="K114" i="6"/>
  <c r="L109" i="6"/>
  <c r="K109" i="6"/>
  <c r="L97" i="6"/>
  <c r="K97" i="6"/>
  <c r="L92" i="6"/>
  <c r="K92" i="6"/>
  <c r="K81" i="6"/>
  <c r="K79" i="6"/>
  <c r="K78" i="6"/>
  <c r="K76" i="6"/>
  <c r="K75" i="6"/>
  <c r="L73" i="6"/>
  <c r="K73" i="6"/>
  <c r="L65" i="6"/>
  <c r="K65" i="6"/>
  <c r="L62" i="6"/>
  <c r="K62" i="6"/>
  <c r="K37" i="6"/>
  <c r="L28" i="6"/>
  <c r="L25" i="6"/>
  <c r="L22" i="6"/>
  <c r="K14" i="6"/>
  <c r="K18" i="6" s="1"/>
  <c r="K13" i="6"/>
  <c r="K20" i="6" s="1"/>
  <c r="K12" i="6"/>
  <c r="K11" i="6"/>
  <c r="K7" i="6"/>
  <c r="K21" i="6" l="1"/>
  <c r="K22" i="6" s="1"/>
  <c r="L95" i="7"/>
  <c r="L191" i="6"/>
  <c r="L19" i="6"/>
  <c r="L71" i="7"/>
  <c r="L57" i="7"/>
  <c r="K57" i="7"/>
  <c r="K71" i="7"/>
  <c r="L115" i="6"/>
  <c r="L119" i="6" s="1"/>
  <c r="L168" i="6" s="1"/>
  <c r="K131" i="6"/>
  <c r="K115" i="6"/>
  <c r="K119" i="6" s="1"/>
  <c r="K168" i="6" s="1"/>
  <c r="K24" i="6"/>
  <c r="K181" i="6"/>
  <c r="K27" i="6"/>
  <c r="K187" i="6"/>
  <c r="K15" i="6"/>
  <c r="K77" i="6" s="1"/>
  <c r="K23" i="6"/>
  <c r="K161" i="6"/>
  <c r="L30" i="6"/>
  <c r="L131" i="6"/>
  <c r="K126" i="6"/>
  <c r="K17" i="6"/>
  <c r="K98" i="6"/>
  <c r="K102" i="6" s="1"/>
  <c r="K140" i="6" s="1"/>
  <c r="L126" i="6"/>
  <c r="K156" i="6"/>
  <c r="L29" i="6"/>
  <c r="K26" i="6"/>
  <c r="L98" i="6"/>
  <c r="L102" i="6" s="1"/>
  <c r="L140" i="6" s="1"/>
  <c r="N20" i="59"/>
  <c r="K73" i="77"/>
  <c r="K115" i="77" s="1"/>
  <c r="L310" i="28"/>
  <c r="L384" i="28" s="1"/>
  <c r="K310" i="28"/>
  <c r="L299" i="28"/>
  <c r="L300" i="28" s="1"/>
  <c r="L241" i="28"/>
  <c r="L380" i="28" s="1"/>
  <c r="K241" i="28"/>
  <c r="L235" i="28"/>
  <c r="L234" i="28"/>
  <c r="K234" i="28"/>
  <c r="L198" i="28"/>
  <c r="L376" i="28" s="1"/>
  <c r="K198" i="28"/>
  <c r="L185" i="28"/>
  <c r="L184" i="28"/>
  <c r="L82" i="28"/>
  <c r="L81" i="28"/>
  <c r="L79" i="28"/>
  <c r="L75" i="28"/>
  <c r="L71" i="28"/>
  <c r="L67" i="28"/>
  <c r="K54" i="28"/>
  <c r="K53" i="28"/>
  <c r="K52" i="28"/>
  <c r="L47" i="28"/>
  <c r="L40" i="28"/>
  <c r="L31" i="28"/>
  <c r="L30" i="28"/>
  <c r="L52" i="28" s="1"/>
  <c r="L29" i="28"/>
  <c r="L28" i="28"/>
  <c r="L50" i="28" s="1"/>
  <c r="L26" i="28"/>
  <c r="K21" i="28"/>
  <c r="L19" i="28"/>
  <c r="K14" i="28"/>
  <c r="K235" i="28" s="1"/>
  <c r="L12" i="28"/>
  <c r="K7" i="28"/>
  <c r="K12" i="28" s="1"/>
  <c r="K184" i="73"/>
  <c r="K173" i="73"/>
  <c r="K171" i="73"/>
  <c r="K116" i="73"/>
  <c r="K128" i="73" s="1"/>
  <c r="K110" i="73"/>
  <c r="K11" i="15" s="1"/>
  <c r="K12" i="15" s="1"/>
  <c r="K13" i="15" s="1"/>
  <c r="K104" i="73"/>
  <c r="K58" i="73"/>
  <c r="K53" i="73"/>
  <c r="K48" i="73"/>
  <c r="K34" i="73"/>
  <c r="K23" i="73"/>
  <c r="N43" i="59"/>
  <c r="N27" i="59"/>
  <c r="N24" i="59"/>
  <c r="N19" i="59"/>
  <c r="N18" i="59"/>
  <c r="L17" i="49"/>
  <c r="L18" i="49" s="1"/>
  <c r="L11" i="49"/>
  <c r="K11" i="49"/>
  <c r="L9" i="49"/>
  <c r="L8" i="49"/>
  <c r="L6" i="49"/>
  <c r="P15" i="59"/>
  <c r="P53" i="59"/>
  <c r="P22" i="59"/>
  <c r="O72" i="59"/>
  <c r="O71" i="59"/>
  <c r="O70" i="59"/>
  <c r="N69" i="59"/>
  <c r="N68" i="59"/>
  <c r="O67" i="59"/>
  <c r="N67" i="59"/>
  <c r="O66" i="59"/>
  <c r="N66" i="59"/>
  <c r="O63" i="59"/>
  <c r="N63" i="59"/>
  <c r="O62" i="59"/>
  <c r="N62" i="59"/>
  <c r="O59" i="59"/>
  <c r="N59" i="59"/>
  <c r="O58" i="59"/>
  <c r="N58" i="59"/>
  <c r="O55" i="59"/>
  <c r="N55" i="59"/>
  <c r="O54" i="59"/>
  <c r="N54" i="59"/>
  <c r="O53" i="59"/>
  <c r="N53" i="59"/>
  <c r="O52" i="59"/>
  <c r="N52" i="59"/>
  <c r="O51" i="59"/>
  <c r="N51" i="59"/>
  <c r="N46" i="59"/>
  <c r="N45" i="59"/>
  <c r="O44" i="59"/>
  <c r="N44" i="59"/>
  <c r="O43" i="59"/>
  <c r="O42" i="59"/>
  <c r="N42" i="59"/>
  <c r="O41" i="59"/>
  <c r="N41" i="59"/>
  <c r="N39" i="59"/>
  <c r="N38" i="59"/>
  <c r="N37" i="59"/>
  <c r="O36" i="59"/>
  <c r="N36" i="59"/>
  <c r="O35" i="59"/>
  <c r="N35" i="59"/>
  <c r="O33" i="59"/>
  <c r="N33" i="59"/>
  <c r="O32" i="59"/>
  <c r="N32" i="59"/>
  <c r="O31" i="59"/>
  <c r="N31" i="59"/>
  <c r="O30" i="59"/>
  <c r="N30" i="59"/>
  <c r="O29" i="59"/>
  <c r="N29" i="59"/>
  <c r="O28" i="59"/>
  <c r="N28" i="59"/>
  <c r="O27" i="59"/>
  <c r="O26" i="59"/>
  <c r="N26" i="59"/>
  <c r="O25" i="59"/>
  <c r="N25" i="59"/>
  <c r="O24" i="59"/>
  <c r="O23" i="59"/>
  <c r="N23" i="59"/>
  <c r="N22" i="59"/>
  <c r="O20" i="59"/>
  <c r="O19" i="59"/>
  <c r="O18" i="59"/>
  <c r="O17" i="59"/>
  <c r="N17" i="59"/>
  <c r="O16" i="59"/>
  <c r="N16" i="59"/>
  <c r="N15" i="59"/>
  <c r="O12" i="59"/>
  <c r="N12" i="59"/>
  <c r="L23" i="36"/>
  <c r="O65" i="59" s="1"/>
  <c r="K29" i="36"/>
  <c r="J7" i="15" s="1"/>
  <c r="K28" i="36"/>
  <c r="J6" i="15" s="1"/>
  <c r="K27" i="36"/>
  <c r="J5" i="15" s="1"/>
  <c r="L26" i="36"/>
  <c r="O68" i="59"/>
  <c r="K23" i="36"/>
  <c r="N65" i="59" s="1"/>
  <c r="L22" i="36"/>
  <c r="O61" i="59" s="1"/>
  <c r="K22" i="36"/>
  <c r="N61" i="59" s="1"/>
  <c r="L21" i="36"/>
  <c r="O57" i="59" s="1"/>
  <c r="K21" i="36"/>
  <c r="N57" i="59" s="1"/>
  <c r="L17" i="36"/>
  <c r="O48" i="59" s="1"/>
  <c r="K17" i="36"/>
  <c r="L16" i="36"/>
  <c r="K16" i="36"/>
  <c r="K13" i="36"/>
  <c r="N40" i="59" s="1"/>
  <c r="L12" i="36"/>
  <c r="O39" i="59" s="1"/>
  <c r="L11" i="36"/>
  <c r="O38" i="59" s="1"/>
  <c r="L10" i="36"/>
  <c r="K9" i="36"/>
  <c r="N10" i="59" s="1"/>
  <c r="K8" i="36"/>
  <c r="N9" i="59" s="1"/>
  <c r="K7" i="36"/>
  <c r="N8" i="59" s="1"/>
  <c r="L5" i="36"/>
  <c r="O6" i="59" s="1"/>
  <c r="K5" i="36"/>
  <c r="N6" i="59" s="1"/>
  <c r="L28" i="21"/>
  <c r="K27" i="21"/>
  <c r="L24" i="21"/>
  <c r="L18" i="21"/>
  <c r="L15" i="21"/>
  <c r="L12" i="21"/>
  <c r="K12" i="21"/>
  <c r="K33" i="35"/>
  <c r="K32" i="35"/>
  <c r="K21" i="35"/>
  <c r="K12" i="8" s="1"/>
  <c r="K15" i="8" s="1"/>
  <c r="K18" i="35"/>
  <c r="K16" i="35"/>
  <c r="L25" i="21" l="1"/>
  <c r="K113" i="73"/>
  <c r="K115" i="73" s="1"/>
  <c r="K43" i="36"/>
  <c r="K45" i="36" s="1"/>
  <c r="K40" i="36"/>
  <c r="K42" i="36" s="1"/>
  <c r="K46" i="36"/>
  <c r="K89" i="9"/>
  <c r="K80" i="6"/>
  <c r="K90" i="9"/>
  <c r="L18" i="36"/>
  <c r="O49" i="59" s="1"/>
  <c r="N47" i="59"/>
  <c r="L236" i="28"/>
  <c r="L378" i="28" s="1"/>
  <c r="L393" i="28"/>
  <c r="N48" i="59"/>
  <c r="N71" i="59"/>
  <c r="L392" i="28"/>
  <c r="J17" i="15"/>
  <c r="J14" i="15" s="1"/>
  <c r="J15" i="15" s="1"/>
  <c r="K5" i="9"/>
  <c r="K13" i="49"/>
  <c r="K28" i="21"/>
  <c r="N70" i="59"/>
  <c r="N72" i="59"/>
  <c r="K132" i="6"/>
  <c r="K136" i="6" s="1"/>
  <c r="K200" i="6" s="1"/>
  <c r="L166" i="6"/>
  <c r="L13" i="49"/>
  <c r="L31" i="6"/>
  <c r="L13" i="36"/>
  <c r="O40" i="59" s="1"/>
  <c r="O47" i="59"/>
  <c r="L165" i="6"/>
  <c r="L132" i="6"/>
  <c r="L136" i="6" s="1"/>
  <c r="K166" i="6"/>
  <c r="K165" i="6"/>
  <c r="K30" i="6"/>
  <c r="K25" i="6"/>
  <c r="K28" i="6"/>
  <c r="K29" i="6"/>
  <c r="K19" i="6"/>
  <c r="L141" i="6"/>
  <c r="L142" i="6" s="1"/>
  <c r="L143" i="6"/>
  <c r="K141" i="6"/>
  <c r="K142" i="6" s="1"/>
  <c r="K143" i="6"/>
  <c r="L386" i="28"/>
  <c r="L377" i="28"/>
  <c r="L83" i="28"/>
  <c r="L33" i="28"/>
  <c r="L382" i="28"/>
  <c r="L60" i="28"/>
  <c r="L59" i="28"/>
  <c r="K19" i="28"/>
  <c r="K236" i="28" s="1"/>
  <c r="K371" i="28" s="1"/>
  <c r="L186" i="28"/>
  <c r="L58" i="28"/>
  <c r="L373" i="28"/>
  <c r="K186" i="28"/>
  <c r="K58" i="28"/>
  <c r="L51" i="28"/>
  <c r="L54" i="28"/>
  <c r="L383" i="28"/>
  <c r="K26" i="28"/>
  <c r="L53" i="28"/>
  <c r="L381" i="28"/>
  <c r="L10" i="49"/>
  <c r="L12" i="49" s="1"/>
  <c r="K9" i="49"/>
  <c r="K17" i="49"/>
  <c r="K18" i="49" s="1"/>
  <c r="O37" i="59"/>
  <c r="K6" i="49"/>
  <c r="O45" i="59"/>
  <c r="L20" i="21"/>
  <c r="K22" i="21"/>
  <c r="K15" i="21"/>
  <c r="K91" i="9" l="1"/>
  <c r="L14" i="49"/>
  <c r="K55" i="9"/>
  <c r="K58" i="9"/>
  <c r="K61" i="9"/>
  <c r="K59" i="9"/>
  <c r="K56" i="9"/>
  <c r="L371" i="28"/>
  <c r="L370" i="28"/>
  <c r="L379" i="28"/>
  <c r="K208" i="6"/>
  <c r="K211" i="6" s="1"/>
  <c r="K197" i="6"/>
  <c r="K202" i="6"/>
  <c r="K196" i="6"/>
  <c r="K205" i="6"/>
  <c r="L167" i="6"/>
  <c r="L8" i="36" s="1"/>
  <c r="O9" i="59" s="1"/>
  <c r="K167" i="6"/>
  <c r="K198" i="6"/>
  <c r="K203" i="6"/>
  <c r="K199" i="6"/>
  <c r="K204" i="6"/>
  <c r="K69" i="9"/>
  <c r="K92" i="9"/>
  <c r="K65" i="9"/>
  <c r="K100" i="9"/>
  <c r="K63" i="9"/>
  <c r="K7" i="9"/>
  <c r="K67" i="9"/>
  <c r="K70" i="9"/>
  <c r="K64" i="9"/>
  <c r="K66" i="9"/>
  <c r="K68" i="9"/>
  <c r="K33" i="22"/>
  <c r="K95" i="9"/>
  <c r="K27" i="9"/>
  <c r="K19" i="9"/>
  <c r="L387" i="28"/>
  <c r="L365" i="28"/>
  <c r="L84" i="28"/>
  <c r="L61" i="28"/>
  <c r="L62" i="28" s="1"/>
  <c r="L385" i="28"/>
  <c r="K31" i="6"/>
  <c r="L208" i="6"/>
  <c r="L202" i="6"/>
  <c r="L199" i="6"/>
  <c r="L204" i="6"/>
  <c r="L205" i="6"/>
  <c r="L196" i="6"/>
  <c r="L198" i="6"/>
  <c r="L203" i="6"/>
  <c r="L197" i="6"/>
  <c r="L210" i="6"/>
  <c r="L209" i="6"/>
  <c r="L200" i="6"/>
  <c r="L190" i="6"/>
  <c r="L192" i="6"/>
  <c r="O22" i="59"/>
  <c r="K59" i="28"/>
  <c r="K69" i="28" s="1"/>
  <c r="K379" i="28"/>
  <c r="L364" i="28"/>
  <c r="K375" i="28"/>
  <c r="L374" i="28"/>
  <c r="L375" i="28"/>
  <c r="K65" i="28"/>
  <c r="K300" i="28"/>
  <c r="K60" i="28"/>
  <c r="L55" i="28"/>
  <c r="K8" i="49"/>
  <c r="K10" i="49"/>
  <c r="O15" i="59"/>
  <c r="L7" i="36"/>
  <c r="O8" i="59" s="1"/>
  <c r="K201" i="6" l="1"/>
  <c r="L15" i="49"/>
  <c r="L16" i="49" s="1"/>
  <c r="L19" i="49" s="1"/>
  <c r="L20" i="49" s="1"/>
  <c r="K60" i="9"/>
  <c r="K57" i="9"/>
  <c r="K206" i="6"/>
  <c r="K207" i="6" s="1"/>
  <c r="K212" i="6" s="1"/>
  <c r="K12" i="49"/>
  <c r="K14" i="49" s="1"/>
  <c r="K15" i="49" s="1"/>
  <c r="K16" i="49" s="1"/>
  <c r="K19" i="49" s="1"/>
  <c r="K20" i="49" s="1"/>
  <c r="K7" i="22"/>
  <c r="K8" i="22" s="1"/>
  <c r="K10" i="22" s="1"/>
  <c r="K11" i="22" s="1"/>
  <c r="K13" i="22" s="1"/>
  <c r="K21" i="22"/>
  <c r="K22" i="22" s="1"/>
  <c r="K24" i="22" s="1"/>
  <c r="K25" i="22" s="1"/>
  <c r="K27" i="22" s="1"/>
  <c r="L201" i="6"/>
  <c r="L206" i="6"/>
  <c r="L211" i="6"/>
  <c r="L391" i="28"/>
  <c r="K374" i="28"/>
  <c r="K373" i="28"/>
  <c r="K378" i="28"/>
  <c r="K370" i="28"/>
  <c r="K377" i="28"/>
  <c r="K73" i="28"/>
  <c r="K383" i="28"/>
  <c r="L390" i="28"/>
  <c r="L56" i="28"/>
  <c r="K62" i="9" l="1"/>
  <c r="L207" i="6"/>
  <c r="L212" i="6" s="1"/>
  <c r="O11" i="59"/>
  <c r="K382" i="28"/>
  <c r="K381" i="28"/>
  <c r="L9" i="36" l="1"/>
  <c r="O10" i="59" s="1"/>
  <c r="K40" i="35" l="1"/>
  <c r="K37" i="35"/>
  <c r="L34" i="35"/>
  <c r="L44" i="35" s="1"/>
  <c r="K34" i="35"/>
  <c r="L30" i="35"/>
  <c r="M112" i="45" s="1"/>
  <c r="L29" i="35"/>
  <c r="K39" i="35"/>
  <c r="L28" i="35"/>
  <c r="L170" i="10" s="1"/>
  <c r="K31" i="35"/>
  <c r="L24" i="35"/>
  <c r="K24" i="35"/>
  <c r="L19" i="35"/>
  <c r="L26" i="9" s="1"/>
  <c r="K19" i="35"/>
  <c r="K26" i="9" s="1"/>
  <c r="K10" i="35"/>
  <c r="K14" i="35" s="1"/>
  <c r="K9" i="35"/>
  <c r="K11" i="35" s="1"/>
  <c r="L7" i="35"/>
  <c r="L6" i="6" s="1"/>
  <c r="L6" i="35"/>
  <c r="L39" i="35" l="1"/>
  <c r="L90" i="11"/>
  <c r="L5" i="6"/>
  <c r="L7" i="6" s="1"/>
  <c r="L8" i="35"/>
  <c r="K44" i="35"/>
  <c r="K45" i="35" s="1"/>
  <c r="K28" i="28"/>
  <c r="L12" i="6"/>
  <c r="L14" i="6"/>
  <c r="L31" i="35"/>
  <c r="L35" i="35" s="1"/>
  <c r="M83" i="50" s="1"/>
  <c r="K13" i="35"/>
  <c r="K15" i="35" s="1"/>
  <c r="K35" i="35"/>
  <c r="L71" i="83" s="1"/>
  <c r="L11" i="6" l="1"/>
  <c r="L13" i="6"/>
  <c r="K33" i="28"/>
  <c r="K50" i="28"/>
  <c r="K55" i="28" s="1"/>
  <c r="K390" i="28" s="1"/>
  <c r="M71" i="83"/>
  <c r="M69" i="83" s="1"/>
  <c r="L25" i="36"/>
  <c r="O69" i="59" s="1"/>
  <c r="L182" i="6"/>
  <c r="L187" i="6"/>
  <c r="L157" i="6"/>
  <c r="L15" i="6"/>
  <c r="L80" i="6" s="1"/>
  <c r="L161" i="6"/>
  <c r="I86" i="50"/>
  <c r="G86" i="50"/>
  <c r="L77" i="6" l="1"/>
  <c r="K61" i="28"/>
  <c r="K361" i="28"/>
  <c r="K86" i="50"/>
  <c r="O86" i="50"/>
  <c r="L36" i="6"/>
  <c r="L33" i="6"/>
  <c r="L34" i="6"/>
  <c r="L35" i="6"/>
  <c r="S86" i="50" l="1"/>
  <c r="K387" i="28"/>
  <c r="K364" i="28"/>
  <c r="K77" i="28"/>
  <c r="K365" i="28" s="1"/>
  <c r="K62" i="28"/>
  <c r="K391" i="28" s="1"/>
  <c r="L37" i="6"/>
  <c r="K386" i="28" l="1"/>
  <c r="K81" i="28"/>
  <c r="K385" i="28"/>
  <c r="I69" i="77" l="1"/>
  <c r="F105" i="26" l="1"/>
  <c r="F79" i="26"/>
  <c r="F72" i="26"/>
  <c r="D105" i="26"/>
  <c r="D79" i="26"/>
  <c r="D72" i="26"/>
  <c r="F103" i="26"/>
  <c r="F101" i="26"/>
  <c r="F99" i="26"/>
  <c r="F97" i="26"/>
  <c r="F95" i="26"/>
  <c r="F93" i="26"/>
  <c r="F77" i="26"/>
  <c r="F70" i="26"/>
  <c r="F68" i="26"/>
  <c r="F66" i="26"/>
  <c r="F64" i="26"/>
  <c r="F62" i="26"/>
  <c r="F60" i="26"/>
  <c r="F58" i="26"/>
  <c r="F53" i="26"/>
  <c r="F51" i="26"/>
  <c r="F47" i="26"/>
  <c r="F42" i="26"/>
  <c r="F40" i="26"/>
  <c r="F38" i="26"/>
  <c r="F36" i="26"/>
  <c r="F34" i="26"/>
  <c r="F32" i="26"/>
  <c r="F30" i="26"/>
  <c r="F28" i="26"/>
  <c r="F26" i="26"/>
  <c r="F24" i="26"/>
  <c r="F22" i="26"/>
  <c r="F20" i="26"/>
  <c r="D107" i="26"/>
  <c r="D103" i="26"/>
  <c r="D101" i="26"/>
  <c r="D99" i="26"/>
  <c r="D97" i="26"/>
  <c r="D95" i="26"/>
  <c r="D93" i="26"/>
  <c r="D77" i="26"/>
  <c r="D70" i="26"/>
  <c r="D68" i="26"/>
  <c r="D66" i="26"/>
  <c r="D64" i="26"/>
  <c r="D62" i="26"/>
  <c r="D60" i="26"/>
  <c r="D58" i="26"/>
  <c r="D53" i="26"/>
  <c r="D51" i="26"/>
  <c r="D47" i="26"/>
  <c r="D42" i="26"/>
  <c r="D40" i="26"/>
  <c r="D38" i="26"/>
  <c r="D36" i="26"/>
  <c r="D34" i="26"/>
  <c r="D32" i="26"/>
  <c r="D30" i="26"/>
  <c r="D28" i="26"/>
  <c r="D26" i="26"/>
  <c r="D24" i="26"/>
  <c r="D22" i="26"/>
  <c r="D20" i="26"/>
  <c r="I58" i="6"/>
  <c r="I57" i="6"/>
  <c r="I56" i="6"/>
  <c r="Q64" i="77" l="1"/>
  <c r="F129" i="8" l="1"/>
  <c r="H52" i="26" l="1"/>
  <c r="L52" i="26" s="1"/>
  <c r="H86" i="26"/>
  <c r="L86" i="26" s="1"/>
  <c r="I86" i="26"/>
  <c r="M86" i="26" s="1"/>
  <c r="H87" i="26"/>
  <c r="L87" i="26" s="1"/>
  <c r="I87" i="26"/>
  <c r="M87" i="26" s="1"/>
  <c r="H88" i="26"/>
  <c r="I88" i="26"/>
  <c r="I85" i="26"/>
  <c r="M85" i="26" s="1"/>
  <c r="Q85" i="26" s="1"/>
  <c r="U85" i="26" s="1"/>
  <c r="H85" i="26"/>
  <c r="L85" i="26" s="1"/>
  <c r="P52" i="26" l="1"/>
  <c r="T52" i="26" s="1"/>
  <c r="Z52" i="26"/>
  <c r="AD52" i="26" s="1"/>
  <c r="AH52" i="26" s="1"/>
  <c r="AN52" i="26" s="1"/>
  <c r="AR52" i="26" s="1"/>
  <c r="AV52" i="26" s="1"/>
  <c r="BD52" i="26" s="1"/>
  <c r="Q86" i="26"/>
  <c r="U86" i="26" s="1"/>
  <c r="AA86" i="26"/>
  <c r="AE86" i="26" s="1"/>
  <c r="AI86" i="26" s="1"/>
  <c r="AO86" i="26" s="1"/>
  <c r="AS86" i="26" s="1"/>
  <c r="Q87" i="26"/>
  <c r="U87" i="26" s="1"/>
  <c r="AA87" i="26"/>
  <c r="AE87" i="26" s="1"/>
  <c r="AI87" i="26" s="1"/>
  <c r="AO87" i="26" s="1"/>
  <c r="AS87" i="26" s="1"/>
  <c r="J87" i="8"/>
  <c r="J112" i="8"/>
  <c r="J113" i="8"/>
  <c r="J114" i="8"/>
  <c r="J115" i="8"/>
  <c r="J116" i="8"/>
  <c r="J117" i="8"/>
  <c r="J118" i="8"/>
  <c r="J119" i="8"/>
  <c r="J120" i="8"/>
  <c r="J121" i="8"/>
  <c r="J122" i="8"/>
  <c r="E73" i="77"/>
  <c r="E115" i="77" s="1"/>
  <c r="H74" i="77"/>
  <c r="I74" i="77"/>
  <c r="G73" i="77"/>
  <c r="G115" i="77" s="1"/>
  <c r="M73" i="77" l="1"/>
  <c r="I73" i="77"/>
  <c r="I115" i="77" s="1"/>
  <c r="H25" i="10"/>
  <c r="I97" i="50" s="1"/>
  <c r="I100" i="50" s="1"/>
  <c r="H21" i="10"/>
  <c r="I23" i="50" s="1"/>
  <c r="H11" i="10"/>
  <c r="H12" i="10"/>
  <c r="H85" i="10"/>
  <c r="H69" i="10"/>
  <c r="I21" i="50" l="1"/>
  <c r="N12" i="10"/>
  <c r="J12" i="10"/>
  <c r="I9" i="50"/>
  <c r="N11" i="10"/>
  <c r="J11" i="10"/>
  <c r="H125" i="10"/>
  <c r="H124" i="10"/>
  <c r="J69" i="10"/>
  <c r="N69" i="10"/>
  <c r="I26" i="50"/>
  <c r="N85" i="10"/>
  <c r="J85" i="10"/>
  <c r="H165" i="10"/>
  <c r="H162" i="10"/>
  <c r="I24" i="83"/>
  <c r="I20" i="83"/>
  <c r="I19" i="83"/>
  <c r="I9" i="83"/>
  <c r="I22" i="83"/>
  <c r="M17" i="61"/>
  <c r="F142" i="10"/>
  <c r="H142" i="10"/>
  <c r="G91" i="45"/>
  <c r="I91" i="45"/>
  <c r="R85" i="10" l="1"/>
  <c r="V85" i="10" s="1"/>
  <c r="AB85" i="10"/>
  <c r="AF85" i="10" s="1"/>
  <c r="AJ85" i="10" s="1"/>
  <c r="AP85" i="10" s="1"/>
  <c r="AT85" i="10" s="1"/>
  <c r="AX85" i="10" s="1"/>
  <c r="BF85" i="10" s="1"/>
  <c r="R11" i="10"/>
  <c r="V11" i="10" s="1"/>
  <c r="AB11" i="10"/>
  <c r="AF11" i="10" s="1"/>
  <c r="AJ11" i="10" s="1"/>
  <c r="AP11" i="10" s="1"/>
  <c r="AT11" i="10" s="1"/>
  <c r="AX11" i="10" s="1"/>
  <c r="BF11" i="10" s="1"/>
  <c r="I32" i="50"/>
  <c r="I94" i="50" s="1"/>
  <c r="I95" i="50" s="1"/>
  <c r="AB69" i="10"/>
  <c r="AF69" i="10" s="1"/>
  <c r="AJ69" i="10" s="1"/>
  <c r="AP69" i="10" s="1"/>
  <c r="AT69" i="10" s="1"/>
  <c r="AX69" i="10" s="1"/>
  <c r="BF69" i="10" s="1"/>
  <c r="R69" i="10"/>
  <c r="V69" i="10" s="1"/>
  <c r="AB12" i="10"/>
  <c r="AF12" i="10" s="1"/>
  <c r="AJ12" i="10" s="1"/>
  <c r="AP12" i="10" s="1"/>
  <c r="AT12" i="10" s="1"/>
  <c r="AX12" i="10" s="1"/>
  <c r="BF12" i="10" s="1"/>
  <c r="R12" i="10"/>
  <c r="V12" i="10" s="1"/>
  <c r="H127" i="10"/>
  <c r="I93" i="50"/>
  <c r="K21" i="50"/>
  <c r="O21" i="50"/>
  <c r="H166" i="10"/>
  <c r="I16" i="61"/>
  <c r="O20" i="83"/>
  <c r="K20" i="83"/>
  <c r="I31" i="83"/>
  <c r="I68" i="83" s="1"/>
  <c r="L128" i="10"/>
  <c r="L129" i="10" s="1"/>
  <c r="F107" i="26"/>
  <c r="H53" i="26"/>
  <c r="L53" i="26" s="1"/>
  <c r="I96" i="50" l="1"/>
  <c r="S21" i="50"/>
  <c r="W21" i="50" s="1"/>
  <c r="AC21" i="50"/>
  <c r="AG21" i="50" s="1"/>
  <c r="AK21" i="50" s="1"/>
  <c r="AQ21" i="50" s="1"/>
  <c r="AU21" i="50" s="1"/>
  <c r="AY21" i="50" s="1"/>
  <c r="BG21" i="50"/>
  <c r="P53" i="26"/>
  <c r="T53" i="26" s="1"/>
  <c r="Z53" i="26"/>
  <c r="AD53" i="26" s="1"/>
  <c r="AH53" i="26" s="1"/>
  <c r="AN53" i="26" s="1"/>
  <c r="AR53" i="26" s="1"/>
  <c r="AV53" i="26" s="1"/>
  <c r="BD53" i="26" s="1"/>
  <c r="S20" i="83"/>
  <c r="W20" i="83" s="1"/>
  <c r="AC20" i="83"/>
  <c r="AG20" i="83" s="1"/>
  <c r="AK20" i="83" s="1"/>
  <c r="AQ20" i="83" s="1"/>
  <c r="H51" i="26"/>
  <c r="L51" i="26" s="1"/>
  <c r="E109" i="26"/>
  <c r="G109" i="26"/>
  <c r="E74" i="26"/>
  <c r="G74" i="26"/>
  <c r="G44" i="26"/>
  <c r="E44" i="26"/>
  <c r="AU20" i="83" l="1"/>
  <c r="AY20" i="83" s="1"/>
  <c r="BG20" i="83" s="1"/>
  <c r="BE20" i="83"/>
  <c r="M81" i="50"/>
  <c r="P51" i="26"/>
  <c r="Z51" i="26"/>
  <c r="G20" i="15"/>
  <c r="E20" i="15"/>
  <c r="W23" i="59"/>
  <c r="V23" i="59"/>
  <c r="P23" i="59"/>
  <c r="L23" i="59"/>
  <c r="K23" i="59"/>
  <c r="J23" i="59"/>
  <c r="I23" i="59"/>
  <c r="H23" i="59"/>
  <c r="AA16" i="59"/>
  <c r="Z16" i="59"/>
  <c r="W16" i="59"/>
  <c r="V16" i="59"/>
  <c r="P16" i="59"/>
  <c r="L16" i="59"/>
  <c r="K16" i="59"/>
  <c r="J16" i="59"/>
  <c r="I16" i="59"/>
  <c r="H16" i="59"/>
  <c r="AA12" i="59"/>
  <c r="Z12" i="59"/>
  <c r="W12" i="59"/>
  <c r="V12" i="59"/>
  <c r="P12" i="59"/>
  <c r="L12" i="59"/>
  <c r="K12" i="59"/>
  <c r="J12" i="59"/>
  <c r="I12" i="59"/>
  <c r="H12" i="59"/>
  <c r="M20" i="15" l="1"/>
  <c r="I20" i="15"/>
  <c r="F44" i="26"/>
  <c r="L53" i="59"/>
  <c r="J53" i="59"/>
  <c r="H53" i="59"/>
  <c r="K52" i="59"/>
  <c r="I52" i="59"/>
  <c r="G52" i="59"/>
  <c r="E104" i="9"/>
  <c r="H52" i="59" s="1"/>
  <c r="G104" i="9"/>
  <c r="J52" i="59" s="1"/>
  <c r="AD44" i="59"/>
  <c r="AB44" i="59"/>
  <c r="AA44" i="59"/>
  <c r="X44" i="59"/>
  <c r="T44" i="59"/>
  <c r="L44" i="59"/>
  <c r="K44" i="59"/>
  <c r="I44" i="59"/>
  <c r="AD43" i="59"/>
  <c r="AB43" i="59"/>
  <c r="AA43" i="59"/>
  <c r="X43" i="59"/>
  <c r="T43" i="59"/>
  <c r="L43" i="59"/>
  <c r="K43" i="59"/>
  <c r="I43" i="59"/>
  <c r="G44" i="59"/>
  <c r="G43" i="59"/>
  <c r="L22" i="59"/>
  <c r="J22" i="59"/>
  <c r="L15" i="59"/>
  <c r="J15" i="59"/>
  <c r="H22" i="59"/>
  <c r="H15" i="59"/>
  <c r="Q20" i="15" l="1"/>
  <c r="U20" i="15" s="1"/>
  <c r="AA20" i="15"/>
  <c r="AE20" i="15" s="1"/>
  <c r="AI20" i="15" s="1"/>
  <c r="AO20" i="15" s="1"/>
  <c r="AS20" i="15" s="1"/>
  <c r="AW20" i="15" s="1"/>
  <c r="BE20" i="15" s="1"/>
  <c r="H73" i="77"/>
  <c r="H115" i="77" s="1"/>
  <c r="J345" i="28" l="1"/>
  <c r="I59" i="73"/>
  <c r="I64" i="73"/>
  <c r="R345" i="28" l="1"/>
  <c r="V345" i="28" s="1"/>
  <c r="H16" i="52"/>
  <c r="G16" i="52"/>
  <c r="N11" i="52"/>
  <c r="R11" i="52" l="1"/>
  <c r="V11" i="52" s="1"/>
  <c r="AB11" i="52"/>
  <c r="AF11" i="52" s="1"/>
  <c r="AJ11" i="52" s="1"/>
  <c r="AP11" i="52" s="1"/>
  <c r="AT11" i="52" s="1"/>
  <c r="AX11" i="52" s="1"/>
  <c r="BF11" i="52" s="1"/>
  <c r="J1" i="35"/>
  <c r="I1" i="35"/>
  <c r="H103" i="9"/>
  <c r="I178" i="73" l="1"/>
  <c r="I141" i="73"/>
  <c r="I142" i="73"/>
  <c r="I143" i="73"/>
  <c r="I144" i="73"/>
  <c r="I145" i="73"/>
  <c r="I148" i="73"/>
  <c r="I150" i="73"/>
  <c r="I135" i="73"/>
  <c r="I136" i="73"/>
  <c r="I134" i="73"/>
  <c r="I149" i="73"/>
  <c r="I154" i="73"/>
  <c r="I156" i="73"/>
  <c r="F58" i="73"/>
  <c r="F113" i="73" s="1"/>
  <c r="G58" i="73"/>
  <c r="H58" i="73"/>
  <c r="H113" i="73" s="1"/>
  <c r="H115" i="73" s="1"/>
  <c r="E58" i="73"/>
  <c r="I84" i="73"/>
  <c r="I85" i="73"/>
  <c r="I87" i="73"/>
  <c r="I74" i="73"/>
  <c r="I50" i="73"/>
  <c r="I40" i="73"/>
  <c r="I39" i="73"/>
  <c r="M58" i="73" l="1"/>
  <c r="I58" i="73"/>
  <c r="G9" i="17"/>
  <c r="Q58" i="73" l="1"/>
  <c r="AA58" i="73"/>
  <c r="G29" i="27" l="1"/>
  <c r="G37" i="27" l="1"/>
  <c r="G35" i="27"/>
  <c r="G28" i="27"/>
  <c r="G27" i="27"/>
  <c r="G20" i="27"/>
  <c r="G19" i="27"/>
  <c r="G18" i="27"/>
  <c r="J105" i="28" l="1"/>
  <c r="H160" i="28"/>
  <c r="N160" i="28" s="1"/>
  <c r="AB160" i="28" s="1"/>
  <c r="AF160" i="28" s="1"/>
  <c r="AJ160" i="28" s="1"/>
  <c r="AP160" i="28" s="1"/>
  <c r="AT160" i="28" s="1"/>
  <c r="AX160" i="28" s="1"/>
  <c r="BF160" i="28" s="1"/>
  <c r="J95" i="28"/>
  <c r="J94" i="28"/>
  <c r="R94" i="28" l="1"/>
  <c r="V94" i="28" s="1"/>
  <c r="R95" i="28"/>
  <c r="V95" i="28" s="1"/>
  <c r="R105" i="28"/>
  <c r="V105" i="28" s="1"/>
  <c r="J247" i="28"/>
  <c r="R247" i="28" l="1"/>
  <c r="V247" i="28" s="1"/>
  <c r="J10" i="52"/>
  <c r="J11" i="52"/>
  <c r="J12" i="52"/>
  <c r="J13" i="52"/>
  <c r="J14" i="52"/>
  <c r="J15" i="52"/>
  <c r="I10" i="52"/>
  <c r="I11" i="52"/>
  <c r="I12" i="52"/>
  <c r="I13" i="52"/>
  <c r="I14" i="52"/>
  <c r="I15" i="52"/>
  <c r="F39" i="27"/>
  <c r="G36" i="27"/>
  <c r="G39" i="27" s="1"/>
  <c r="F33" i="27"/>
  <c r="G26" i="27"/>
  <c r="G33" i="27" s="1"/>
  <c r="G21" i="27"/>
  <c r="G24" i="27" s="1"/>
  <c r="F24" i="27"/>
  <c r="H28" i="22"/>
  <c r="H24" i="22"/>
  <c r="H26" i="22" s="1"/>
  <c r="H23" i="22"/>
  <c r="H14" i="22"/>
  <c r="H10" i="22"/>
  <c r="H12" i="22" s="1"/>
  <c r="H9" i="22"/>
  <c r="F123" i="26" l="1"/>
  <c r="F109" i="26"/>
  <c r="G89" i="26"/>
  <c r="G82" i="26"/>
  <c r="G81" i="26"/>
  <c r="F82" i="26"/>
  <c r="F84" i="26"/>
  <c r="F89" i="26" s="1"/>
  <c r="F74" i="26"/>
  <c r="G49" i="26"/>
  <c r="G55" i="26" s="1"/>
  <c r="F49" i="26"/>
  <c r="F16" i="26"/>
  <c r="F14" i="26"/>
  <c r="G11" i="26"/>
  <c r="G18" i="26" s="1"/>
  <c r="F10" i="26"/>
  <c r="F8" i="26"/>
  <c r="G30" i="15"/>
  <c r="G29" i="15"/>
  <c r="G28" i="15"/>
  <c r="G24" i="15"/>
  <c r="G23" i="15"/>
  <c r="G22" i="15"/>
  <c r="G21" i="15"/>
  <c r="F18" i="15"/>
  <c r="G17" i="15"/>
  <c r="G14" i="15"/>
  <c r="F11" i="15"/>
  <c r="F12" i="15" s="1"/>
  <c r="G10" i="15"/>
  <c r="G9" i="15"/>
  <c r="F9" i="15"/>
  <c r="G8" i="15"/>
  <c r="F8" i="15"/>
  <c r="G7" i="15"/>
  <c r="G6" i="15"/>
  <c r="G5" i="15"/>
  <c r="G31" i="15" l="1"/>
  <c r="F55" i="26"/>
  <c r="F11" i="26"/>
  <c r="F17" i="26" s="1"/>
  <c r="G50" i="26"/>
  <c r="G56" i="26"/>
  <c r="F56" i="26"/>
  <c r="G17" i="26"/>
  <c r="G12" i="26"/>
  <c r="F81" i="26"/>
  <c r="F113" i="17"/>
  <c r="F111" i="17"/>
  <c r="G85" i="17"/>
  <c r="F85" i="17"/>
  <c r="G84" i="17"/>
  <c r="F84" i="17"/>
  <c r="G83" i="17"/>
  <c r="F83" i="17"/>
  <c r="G82" i="17"/>
  <c r="F82" i="17"/>
  <c r="G81" i="17"/>
  <c r="F81" i="17"/>
  <c r="G77" i="17"/>
  <c r="F77" i="17"/>
  <c r="G66" i="17"/>
  <c r="G68" i="17" s="1"/>
  <c r="F66" i="17"/>
  <c r="F68" i="17" s="1"/>
  <c r="F60" i="17"/>
  <c r="G58" i="17"/>
  <c r="G61" i="17" s="1"/>
  <c r="F57" i="17"/>
  <c r="F56" i="17"/>
  <c r="F54" i="17"/>
  <c r="G51" i="17"/>
  <c r="G52" i="17" s="1"/>
  <c r="F51" i="17"/>
  <c r="G48" i="17"/>
  <c r="F47" i="17"/>
  <c r="G46" i="17"/>
  <c r="F45" i="17"/>
  <c r="G43" i="17"/>
  <c r="G49" i="17" s="1"/>
  <c r="F43" i="17"/>
  <c r="G42" i="17"/>
  <c r="G40" i="17"/>
  <c r="G38" i="17"/>
  <c r="F34" i="17"/>
  <c r="G25" i="17"/>
  <c r="F25" i="17"/>
  <c r="G21" i="17"/>
  <c r="G15" i="17" s="1"/>
  <c r="F20" i="17"/>
  <c r="F18" i="17"/>
  <c r="F17" i="17"/>
  <c r="F15" i="17"/>
  <c r="F29" i="17" s="1"/>
  <c r="F14" i="17"/>
  <c r="G11" i="17"/>
  <c r="G13" i="17"/>
  <c r="G8" i="17"/>
  <c r="F8" i="17"/>
  <c r="L96" i="38"/>
  <c r="L95" i="38"/>
  <c r="L94" i="38"/>
  <c r="L93" i="38"/>
  <c r="K92" i="38"/>
  <c r="L91" i="38"/>
  <c r="K90" i="38"/>
  <c r="L88" i="38"/>
  <c r="L87" i="38"/>
  <c r="L86" i="38"/>
  <c r="L85" i="38"/>
  <c r="K84" i="38"/>
  <c r="L82" i="38"/>
  <c r="L81" i="38"/>
  <c r="L80" i="38"/>
  <c r="L79" i="38"/>
  <c r="L78" i="38"/>
  <c r="L77" i="38"/>
  <c r="L76" i="38"/>
  <c r="L75" i="38"/>
  <c r="L74" i="38"/>
  <c r="L73" i="38"/>
  <c r="L72" i="38"/>
  <c r="L71" i="38"/>
  <c r="L70" i="38"/>
  <c r="L69" i="38"/>
  <c r="K68" i="38"/>
  <c r="L64" i="38"/>
  <c r="L63" i="38"/>
  <c r="K62" i="38"/>
  <c r="L59" i="38"/>
  <c r="L58" i="38"/>
  <c r="L57" i="38"/>
  <c r="L56" i="38"/>
  <c r="K55" i="38"/>
  <c r="K53" i="38"/>
  <c r="L52" i="38"/>
  <c r="K52" i="38"/>
  <c r="K47" i="38"/>
  <c r="K46" i="38"/>
  <c r="K45" i="38"/>
  <c r="K44" i="38"/>
  <c r="L43" i="38"/>
  <c r="L92" i="38" s="1"/>
  <c r="K42" i="38"/>
  <c r="K41" i="38" s="1"/>
  <c r="L41" i="38"/>
  <c r="L90" i="38" s="1"/>
  <c r="K39" i="38"/>
  <c r="K38" i="38"/>
  <c r="K37" i="38"/>
  <c r="K36" i="38"/>
  <c r="L35" i="38"/>
  <c r="L84" i="38" s="1"/>
  <c r="K33" i="38"/>
  <c r="K32" i="38"/>
  <c r="K31" i="38"/>
  <c r="K30" i="38"/>
  <c r="K29" i="38"/>
  <c r="K28" i="38"/>
  <c r="K27" i="38"/>
  <c r="K26" i="38"/>
  <c r="K25" i="38"/>
  <c r="K24" i="38"/>
  <c r="K23" i="38"/>
  <c r="K22" i="38"/>
  <c r="K21" i="38"/>
  <c r="K20" i="38"/>
  <c r="L19" i="38"/>
  <c r="L68" i="38" s="1"/>
  <c r="K15" i="38"/>
  <c r="K14" i="38"/>
  <c r="L13" i="38"/>
  <c r="L62" i="38" s="1"/>
  <c r="K11" i="38"/>
  <c r="K10" i="38"/>
  <c r="K9" i="38"/>
  <c r="K8" i="38"/>
  <c r="K7" i="38"/>
  <c r="L6" i="38"/>
  <c r="L55" i="38" s="1"/>
  <c r="G20" i="72"/>
  <c r="G26" i="72"/>
  <c r="G27" i="72"/>
  <c r="G31" i="72"/>
  <c r="G28" i="72"/>
  <c r="G29" i="72"/>
  <c r="G32" i="72"/>
  <c r="I88" i="50"/>
  <c r="G34" i="15" l="1"/>
  <c r="G15" i="15" s="1"/>
  <c r="G16" i="15" s="1"/>
  <c r="M31" i="15"/>
  <c r="I31" i="15"/>
  <c r="K6" i="38"/>
  <c r="K13" i="38"/>
  <c r="F21" i="17"/>
  <c r="F33" i="17" s="1"/>
  <c r="F112" i="17"/>
  <c r="G112" i="17"/>
  <c r="F18" i="26"/>
  <c r="K89" i="38"/>
  <c r="F12" i="26"/>
  <c r="G12" i="17"/>
  <c r="G113" i="17" s="1"/>
  <c r="F58" i="17"/>
  <c r="F59" i="17" s="1"/>
  <c r="F49" i="17"/>
  <c r="F110" i="17" s="1"/>
  <c r="F115" i="17"/>
  <c r="G59" i="17"/>
  <c r="G53" i="17"/>
  <c r="G54" i="17" s="1"/>
  <c r="G50" i="17"/>
  <c r="G111" i="17" s="1"/>
  <c r="G44" i="17"/>
  <c r="G33" i="17"/>
  <c r="G31" i="17"/>
  <c r="G29" i="17"/>
  <c r="G32" i="17"/>
  <c r="F10" i="17"/>
  <c r="G10" i="17"/>
  <c r="G30" i="17"/>
  <c r="G110" i="17"/>
  <c r="K67" i="38"/>
  <c r="K65" i="38"/>
  <c r="L18" i="38"/>
  <c r="L67" i="38" s="1"/>
  <c r="L40" i="38"/>
  <c r="L89" i="38" s="1"/>
  <c r="K43" i="38"/>
  <c r="K40" i="38" s="1"/>
  <c r="K35" i="38"/>
  <c r="K19" i="38"/>
  <c r="K16" i="38"/>
  <c r="L16" i="38"/>
  <c r="L65" i="38" s="1"/>
  <c r="Q31" i="15" l="1"/>
  <c r="AA31" i="15"/>
  <c r="G14" i="17"/>
  <c r="F31" i="17"/>
  <c r="K66" i="38"/>
  <c r="F32" i="17"/>
  <c r="F61" i="17"/>
  <c r="F114" i="17"/>
  <c r="F30" i="17"/>
  <c r="G114" i="17"/>
  <c r="G115" i="17"/>
  <c r="F53" i="17"/>
  <c r="L17" i="38"/>
  <c r="L66" i="38" s="1"/>
  <c r="K18" i="38"/>
  <c r="K17" i="38" s="1"/>
  <c r="U31" i="15" l="1"/>
  <c r="AE31" i="15"/>
  <c r="K7" i="45"/>
  <c r="K8" i="45"/>
  <c r="K9" i="45"/>
  <c r="K12" i="45"/>
  <c r="K13" i="45"/>
  <c r="K15" i="45"/>
  <c r="K16" i="45"/>
  <c r="K18" i="45"/>
  <c r="K19" i="45"/>
  <c r="K20" i="45"/>
  <c r="K22" i="45"/>
  <c r="K26" i="45"/>
  <c r="K27" i="45"/>
  <c r="K32" i="45"/>
  <c r="K33" i="45"/>
  <c r="K42" i="45"/>
  <c r="K43" i="45"/>
  <c r="K45" i="45"/>
  <c r="K46" i="45"/>
  <c r="K47" i="45"/>
  <c r="K49" i="45"/>
  <c r="K50" i="45"/>
  <c r="K52" i="45"/>
  <c r="K53" i="45"/>
  <c r="K55" i="45"/>
  <c r="K56" i="45"/>
  <c r="K58" i="45"/>
  <c r="K59" i="45"/>
  <c r="K60" i="45"/>
  <c r="K62" i="45"/>
  <c r="K63" i="45"/>
  <c r="K66" i="45"/>
  <c r="K67" i="45"/>
  <c r="K68" i="45"/>
  <c r="K69" i="45"/>
  <c r="K70" i="45"/>
  <c r="K71" i="45"/>
  <c r="I105" i="45"/>
  <c r="I104" i="45"/>
  <c r="I102" i="45"/>
  <c r="I96" i="45"/>
  <c r="I97" i="45" s="1"/>
  <c r="I90" i="45"/>
  <c r="H90" i="45"/>
  <c r="I89" i="45"/>
  <c r="H89" i="45"/>
  <c r="I87" i="45"/>
  <c r="I88" i="45" s="1"/>
  <c r="H87" i="45"/>
  <c r="H88" i="45" s="1"/>
  <c r="H86" i="45"/>
  <c r="I85" i="45"/>
  <c r="H85" i="45"/>
  <c r="I83" i="45"/>
  <c r="H83" i="45"/>
  <c r="I80" i="45"/>
  <c r="I81" i="45" s="1"/>
  <c r="H80" i="45"/>
  <c r="H81" i="45" s="1"/>
  <c r="I74" i="45"/>
  <c r="I107" i="45" s="1"/>
  <c r="I72" i="45"/>
  <c r="I106" i="45" s="1"/>
  <c r="AI31" i="15" l="1"/>
  <c r="I75" i="45"/>
  <c r="I108" i="45"/>
  <c r="I103" i="45"/>
  <c r="I110" i="45" s="1"/>
  <c r="I92" i="45"/>
  <c r="I76" i="45"/>
  <c r="I77" i="45" s="1"/>
  <c r="I98" i="45"/>
  <c r="J42" i="11"/>
  <c r="J43" i="11"/>
  <c r="J44" i="11"/>
  <c r="J45" i="11"/>
  <c r="J47" i="11"/>
  <c r="J48" i="11"/>
  <c r="J49" i="11"/>
  <c r="J50" i="11"/>
  <c r="J8" i="11"/>
  <c r="J9" i="11"/>
  <c r="J10" i="11"/>
  <c r="J12" i="11"/>
  <c r="J14" i="11"/>
  <c r="J13" i="11"/>
  <c r="J11" i="11"/>
  <c r="J15" i="11"/>
  <c r="J25" i="11"/>
  <c r="J26" i="11"/>
  <c r="J28" i="11"/>
  <c r="J24" i="11"/>
  <c r="J30" i="11"/>
  <c r="J33" i="11"/>
  <c r="J34" i="11"/>
  <c r="J32" i="11"/>
  <c r="J31" i="11"/>
  <c r="J35" i="11"/>
  <c r="J36" i="11"/>
  <c r="J37" i="11"/>
  <c r="J38" i="11"/>
  <c r="J39" i="11"/>
  <c r="H83" i="11"/>
  <c r="H81" i="11"/>
  <c r="H75" i="11"/>
  <c r="H76" i="11" s="1"/>
  <c r="H70" i="11"/>
  <c r="G70" i="11"/>
  <c r="H69" i="11"/>
  <c r="G69" i="11"/>
  <c r="H68" i="11"/>
  <c r="G68" i="11"/>
  <c r="H66" i="11"/>
  <c r="H67" i="11" s="1"/>
  <c r="G66" i="11"/>
  <c r="G67" i="11" s="1"/>
  <c r="G65" i="11"/>
  <c r="H64" i="11"/>
  <c r="G64" i="11"/>
  <c r="H62" i="11"/>
  <c r="G62" i="11"/>
  <c r="H59" i="11"/>
  <c r="H60" i="11" s="1"/>
  <c r="G59" i="11"/>
  <c r="G60" i="11" s="1"/>
  <c r="H77" i="11"/>
  <c r="H84" i="11"/>
  <c r="AO31" i="15" l="1"/>
  <c r="H54" i="11"/>
  <c r="H56" i="11"/>
  <c r="H82" i="11"/>
  <c r="H88" i="11" s="1"/>
  <c r="H71" i="11"/>
  <c r="H85" i="11"/>
  <c r="H86" i="11" s="1"/>
  <c r="AS31" i="15" l="1"/>
  <c r="J7" i="10"/>
  <c r="H155" i="10"/>
  <c r="H153" i="10"/>
  <c r="H147" i="10"/>
  <c r="H148" i="10" s="1"/>
  <c r="H141" i="10"/>
  <c r="G141" i="10"/>
  <c r="H140" i="10"/>
  <c r="G140" i="10"/>
  <c r="H138" i="10"/>
  <c r="H139" i="10" s="1"/>
  <c r="G138" i="10"/>
  <c r="G139" i="10" s="1"/>
  <c r="G137" i="10"/>
  <c r="H136" i="10"/>
  <c r="G136" i="10"/>
  <c r="H134" i="10"/>
  <c r="G134" i="10"/>
  <c r="H131" i="10"/>
  <c r="H132" i="10" s="1"/>
  <c r="G131" i="10"/>
  <c r="G132" i="10" s="1"/>
  <c r="H149" i="10"/>
  <c r="AW31" i="15" l="1"/>
  <c r="H143" i="10"/>
  <c r="H154" i="10"/>
  <c r="H157" i="10"/>
  <c r="G102" i="9"/>
  <c r="G101" i="9"/>
  <c r="H99" i="9"/>
  <c r="G99" i="9"/>
  <c r="H98" i="9"/>
  <c r="G98" i="9"/>
  <c r="H97" i="9"/>
  <c r="G97" i="9"/>
  <c r="H93" i="9"/>
  <c r="G53" i="9"/>
  <c r="G52" i="9"/>
  <c r="G51" i="9"/>
  <c r="G47" i="9"/>
  <c r="H46" i="9"/>
  <c r="H36" i="9"/>
  <c r="I117" i="50" s="1"/>
  <c r="I118" i="50" s="1"/>
  <c r="H35" i="9"/>
  <c r="H47" i="9" s="1"/>
  <c r="H34" i="9"/>
  <c r="H31" i="9"/>
  <c r="H25" i="9"/>
  <c r="G24" i="9"/>
  <c r="G22" i="9"/>
  <c r="H19" i="9"/>
  <c r="H39" i="36" s="1"/>
  <c r="H10" i="9"/>
  <c r="H5" i="9"/>
  <c r="BE31" i="15" l="1"/>
  <c r="H48" i="9"/>
  <c r="H49" i="9" s="1"/>
  <c r="I87" i="50"/>
  <c r="I89" i="50" s="1"/>
  <c r="H57" i="9"/>
  <c r="H96" i="9"/>
  <c r="K53" i="59"/>
  <c r="H90" i="9"/>
  <c r="H94" i="9"/>
  <c r="G18" i="15" s="1"/>
  <c r="H33" i="22"/>
  <c r="G125" i="26"/>
  <c r="H156" i="10"/>
  <c r="H158" i="10" s="1"/>
  <c r="H37" i="9"/>
  <c r="G25" i="9"/>
  <c r="G88" i="9" s="1"/>
  <c r="H14" i="9"/>
  <c r="H89" i="9"/>
  <c r="H100" i="9"/>
  <c r="J29" i="8"/>
  <c r="H129" i="8"/>
  <c r="H131" i="8" s="1"/>
  <c r="H88" i="8"/>
  <c r="H85" i="8"/>
  <c r="G85" i="8"/>
  <c r="H83" i="8"/>
  <c r="G83" i="8"/>
  <c r="H82" i="8"/>
  <c r="G82" i="8"/>
  <c r="G81" i="8"/>
  <c r="G78" i="8"/>
  <c r="J44" i="59" s="1"/>
  <c r="G77" i="8"/>
  <c r="J43" i="59" s="1"/>
  <c r="G75" i="8"/>
  <c r="G73" i="8"/>
  <c r="G72" i="8"/>
  <c r="G71" i="8"/>
  <c r="G70" i="8"/>
  <c r="G69" i="8"/>
  <c r="G50" i="8"/>
  <c r="H48" i="8"/>
  <c r="G48" i="8"/>
  <c r="G45" i="8"/>
  <c r="G44" i="8"/>
  <c r="G43" i="8"/>
  <c r="G42" i="8"/>
  <c r="G40" i="8"/>
  <c r="G39" i="8"/>
  <c r="G38" i="8"/>
  <c r="H25" i="8"/>
  <c r="H16" i="8"/>
  <c r="G16" i="8"/>
  <c r="H14" i="8"/>
  <c r="G14" i="8"/>
  <c r="H13" i="8"/>
  <c r="G13" i="8"/>
  <c r="H12" i="8"/>
  <c r="H6" i="8"/>
  <c r="H76" i="8" s="1"/>
  <c r="G6" i="8"/>
  <c r="H76" i="9" l="1"/>
  <c r="H75" i="9"/>
  <c r="H73" i="9"/>
  <c r="H78" i="9"/>
  <c r="H72" i="9"/>
  <c r="H62" i="9"/>
  <c r="G26" i="8"/>
  <c r="G30" i="8"/>
  <c r="G79" i="8"/>
  <c r="G41" i="8"/>
  <c r="G86" i="8"/>
  <c r="H91" i="9"/>
  <c r="H36" i="8"/>
  <c r="H15" i="8"/>
  <c r="H43" i="8"/>
  <c r="H40" i="8"/>
  <c r="H46" i="8"/>
  <c r="H86" i="8"/>
  <c r="H160" i="10"/>
  <c r="H86" i="9"/>
  <c r="H84" i="9"/>
  <c r="H80" i="9"/>
  <c r="H53" i="9"/>
  <c r="H52" i="9"/>
  <c r="H85" i="9"/>
  <c r="H87" i="9"/>
  <c r="H82" i="9"/>
  <c r="H81" i="9"/>
  <c r="H83" i="9"/>
  <c r="H130" i="8"/>
  <c r="H33" i="8"/>
  <c r="H70" i="8"/>
  <c r="H34" i="8"/>
  <c r="H35" i="8"/>
  <c r="H72" i="8"/>
  <c r="G22" i="8"/>
  <c r="G23" i="8"/>
  <c r="H80" i="8"/>
  <c r="G24" i="8"/>
  <c r="G29" i="8"/>
  <c r="H49" i="8"/>
  <c r="G5" i="26" s="1"/>
  <c r="G27" i="8"/>
  <c r="G28" i="8"/>
  <c r="H38" i="8"/>
  <c r="H44" i="8"/>
  <c r="G49" i="8"/>
  <c r="H39" i="8"/>
  <c r="H42" i="8"/>
  <c r="H45" i="8"/>
  <c r="G57" i="8" l="1"/>
  <c r="G61" i="8" s="1"/>
  <c r="G34" i="8" s="1"/>
  <c r="G129" i="8"/>
  <c r="G131" i="8" s="1"/>
  <c r="G130" i="8"/>
  <c r="G132" i="8" s="1"/>
  <c r="G17" i="49"/>
  <c r="G18" i="49" s="1"/>
  <c r="H74" i="9"/>
  <c r="H77" i="9"/>
  <c r="G65" i="8"/>
  <c r="H71" i="8"/>
  <c r="H41" i="8"/>
  <c r="H50" i="8"/>
  <c r="H132" i="8"/>
  <c r="H51" i="8" s="1"/>
  <c r="H68" i="8"/>
  <c r="G67" i="8"/>
  <c r="G35" i="8" s="1"/>
  <c r="G25" i="8"/>
  <c r="G63" i="8"/>
  <c r="G33" i="8" s="1"/>
  <c r="H69" i="8"/>
  <c r="G36" i="8" l="1"/>
  <c r="H79" i="9"/>
  <c r="J38" i="7"/>
  <c r="J39" i="7"/>
  <c r="J40" i="7"/>
  <c r="J41" i="7"/>
  <c r="J42" i="7"/>
  <c r="J43" i="7"/>
  <c r="J44" i="7"/>
  <c r="J45" i="7"/>
  <c r="I38" i="7"/>
  <c r="I39" i="7"/>
  <c r="I40" i="7"/>
  <c r="I41" i="7"/>
  <c r="I42" i="7"/>
  <c r="I43" i="7"/>
  <c r="I44" i="7"/>
  <c r="I45" i="7"/>
  <c r="I7" i="7"/>
  <c r="I8" i="7"/>
  <c r="I9" i="7"/>
  <c r="I10" i="7"/>
  <c r="I11" i="7"/>
  <c r="I12" i="7"/>
  <c r="I14" i="7"/>
  <c r="I15" i="7"/>
  <c r="I17" i="7"/>
  <c r="I18" i="7"/>
  <c r="J7" i="7"/>
  <c r="J8" i="7"/>
  <c r="J9" i="7"/>
  <c r="J10" i="7"/>
  <c r="J11" i="7"/>
  <c r="J12" i="7"/>
  <c r="J14" i="7"/>
  <c r="J15" i="7"/>
  <c r="J17" i="7"/>
  <c r="J18" i="7"/>
  <c r="G106" i="7"/>
  <c r="G105" i="7"/>
  <c r="G104" i="7"/>
  <c r="G103" i="7"/>
  <c r="G102" i="7"/>
  <c r="G101" i="7"/>
  <c r="G100" i="7"/>
  <c r="G99" i="7"/>
  <c r="G98" i="7"/>
  <c r="G97" i="7"/>
  <c r="G79" i="7"/>
  <c r="H78" i="7"/>
  <c r="G78" i="7"/>
  <c r="H76" i="7"/>
  <c r="G76" i="7"/>
  <c r="H69" i="7"/>
  <c r="G69" i="7"/>
  <c r="H65" i="7"/>
  <c r="H67" i="7" s="1"/>
  <c r="G65" i="7"/>
  <c r="G67" i="7" s="1"/>
  <c r="H61" i="7"/>
  <c r="H25" i="7" s="1"/>
  <c r="H85" i="7" s="1"/>
  <c r="G61" i="7"/>
  <c r="G25" i="7" s="1"/>
  <c r="G85" i="7" s="1"/>
  <c r="H19" i="7"/>
  <c r="G19" i="7"/>
  <c r="G37" i="7" s="1"/>
  <c r="G46" i="7" s="1"/>
  <c r="J90" i="6"/>
  <c r="I90" i="6"/>
  <c r="J95" i="6"/>
  <c r="I95" i="6"/>
  <c r="J107" i="6"/>
  <c r="I107" i="6"/>
  <c r="J112" i="6"/>
  <c r="I112" i="6"/>
  <c r="G192" i="6"/>
  <c r="G191" i="6"/>
  <c r="G190" i="6"/>
  <c r="G188" i="6"/>
  <c r="H186" i="6"/>
  <c r="G186" i="6"/>
  <c r="H185" i="6"/>
  <c r="G185" i="6"/>
  <c r="H184" i="6"/>
  <c r="G184" i="6"/>
  <c r="G183" i="6"/>
  <c r="G182" i="6"/>
  <c r="G179" i="6"/>
  <c r="G178" i="6"/>
  <c r="G177" i="6"/>
  <c r="G176" i="6"/>
  <c r="G175" i="6"/>
  <c r="G174" i="6"/>
  <c r="G172" i="6"/>
  <c r="G171" i="6"/>
  <c r="G170" i="6"/>
  <c r="G162" i="6"/>
  <c r="H160" i="6"/>
  <c r="G160" i="6"/>
  <c r="H159" i="6"/>
  <c r="G159" i="6"/>
  <c r="G158" i="6"/>
  <c r="G157" i="6"/>
  <c r="G154" i="6"/>
  <c r="G153" i="6"/>
  <c r="G152" i="6"/>
  <c r="G151" i="6"/>
  <c r="G150" i="6"/>
  <c r="G149" i="6"/>
  <c r="G147" i="6"/>
  <c r="G146" i="6"/>
  <c r="G145" i="6"/>
  <c r="H135" i="6"/>
  <c r="H134" i="6"/>
  <c r="H133" i="6"/>
  <c r="G133" i="6"/>
  <c r="H130" i="6"/>
  <c r="G130" i="6"/>
  <c r="H129" i="6"/>
  <c r="G129" i="6"/>
  <c r="H128" i="6"/>
  <c r="G128" i="6"/>
  <c r="H127" i="6"/>
  <c r="G127" i="6"/>
  <c r="H125" i="6"/>
  <c r="H124" i="6"/>
  <c r="H123" i="6"/>
  <c r="H122" i="6"/>
  <c r="H121" i="6"/>
  <c r="H114" i="6"/>
  <c r="G114" i="6"/>
  <c r="H109" i="6"/>
  <c r="G109" i="6"/>
  <c r="H97" i="6"/>
  <c r="G97" i="6"/>
  <c r="H92" i="6"/>
  <c r="G92" i="6"/>
  <c r="G81" i="6"/>
  <c r="G79" i="6"/>
  <c r="G78" i="6"/>
  <c r="G76" i="6"/>
  <c r="G75" i="6"/>
  <c r="H73" i="6"/>
  <c r="G73" i="6"/>
  <c r="H65" i="6"/>
  <c r="G65" i="6"/>
  <c r="H62" i="6"/>
  <c r="G62" i="6"/>
  <c r="G37" i="6"/>
  <c r="H28" i="6"/>
  <c r="H25" i="6"/>
  <c r="H22" i="6"/>
  <c r="H30" i="6"/>
  <c r="G14" i="6"/>
  <c r="G24" i="6" s="1"/>
  <c r="G13" i="6"/>
  <c r="G20" i="6" s="1"/>
  <c r="G12" i="6"/>
  <c r="G11" i="6"/>
  <c r="G7" i="6"/>
  <c r="H5" i="77"/>
  <c r="I5" i="77"/>
  <c r="H6" i="77"/>
  <c r="I6" i="77"/>
  <c r="H8" i="77"/>
  <c r="I8" i="77"/>
  <c r="H9" i="77"/>
  <c r="I9" i="77"/>
  <c r="H10" i="77"/>
  <c r="I10" i="77"/>
  <c r="H11" i="77"/>
  <c r="I11" i="77"/>
  <c r="H12" i="77"/>
  <c r="H14" i="77"/>
  <c r="I14" i="77"/>
  <c r="H15" i="77"/>
  <c r="I15" i="77"/>
  <c r="H16" i="77"/>
  <c r="I16" i="77"/>
  <c r="H17" i="77"/>
  <c r="I17" i="77"/>
  <c r="H21" i="77"/>
  <c r="I21" i="77"/>
  <c r="H22" i="77"/>
  <c r="I22" i="77"/>
  <c r="H24" i="77"/>
  <c r="I24" i="77"/>
  <c r="H26" i="77"/>
  <c r="I26" i="77"/>
  <c r="H27" i="77"/>
  <c r="I27" i="77"/>
  <c r="H28" i="77"/>
  <c r="I28" i="77"/>
  <c r="H30" i="77"/>
  <c r="I30" i="77"/>
  <c r="H31" i="77"/>
  <c r="I31" i="77"/>
  <c r="H34" i="77"/>
  <c r="I34" i="77"/>
  <c r="H35" i="77"/>
  <c r="I35" i="77"/>
  <c r="H37" i="77"/>
  <c r="I37" i="77"/>
  <c r="H38" i="77"/>
  <c r="I38" i="77"/>
  <c r="H39" i="77"/>
  <c r="I39" i="77"/>
  <c r="H41" i="77"/>
  <c r="I41" i="77"/>
  <c r="H42" i="77"/>
  <c r="I42" i="77"/>
  <c r="H44" i="77"/>
  <c r="I44" i="77"/>
  <c r="H45" i="77"/>
  <c r="I45" i="77"/>
  <c r="H46" i="77"/>
  <c r="I46" i="77"/>
  <c r="H47" i="77"/>
  <c r="I47" i="77"/>
  <c r="H48" i="77"/>
  <c r="H111" i="77" s="1"/>
  <c r="I48" i="77"/>
  <c r="I111" i="77" s="1"/>
  <c r="H49" i="77"/>
  <c r="I49" i="77"/>
  <c r="H50" i="77"/>
  <c r="I50" i="77"/>
  <c r="H52" i="77"/>
  <c r="I52" i="77"/>
  <c r="H53" i="77"/>
  <c r="I53" i="77"/>
  <c r="H54" i="77"/>
  <c r="I54" i="77"/>
  <c r="H56" i="77"/>
  <c r="I56" i="77"/>
  <c r="H57" i="77"/>
  <c r="I57" i="77"/>
  <c r="H59" i="77"/>
  <c r="I59" i="77"/>
  <c r="H60" i="77"/>
  <c r="I60" i="77"/>
  <c r="H62" i="77"/>
  <c r="I62" i="77"/>
  <c r="I110" i="77" s="1"/>
  <c r="I64" i="77"/>
  <c r="H72" i="77"/>
  <c r="H114" i="77" s="1"/>
  <c r="I72" i="77"/>
  <c r="I114" i="77" s="1"/>
  <c r="I75" i="77"/>
  <c r="H33" i="77" l="1"/>
  <c r="H106" i="77" s="1"/>
  <c r="H23" i="77"/>
  <c r="H103" i="77" s="1"/>
  <c r="I108" i="77"/>
  <c r="H108" i="77"/>
  <c r="I109" i="77"/>
  <c r="H109" i="77"/>
  <c r="H110" i="77"/>
  <c r="I33" i="77"/>
  <c r="I106" i="77" s="1"/>
  <c r="H18" i="77"/>
  <c r="I23" i="77"/>
  <c r="I103" i="77" s="1"/>
  <c r="H58" i="77"/>
  <c r="H43" i="77"/>
  <c r="H29" i="77"/>
  <c r="H13" i="77"/>
  <c r="H101" i="77" s="1"/>
  <c r="I58" i="77"/>
  <c r="I43" i="77"/>
  <c r="I29" i="77"/>
  <c r="I18" i="77"/>
  <c r="H56" i="7"/>
  <c r="H55" i="7"/>
  <c r="H54" i="7"/>
  <c r="H53" i="7"/>
  <c r="H52" i="7"/>
  <c r="H51" i="7"/>
  <c r="H90" i="7" s="1"/>
  <c r="H50" i="7"/>
  <c r="H49" i="7"/>
  <c r="H37" i="7"/>
  <c r="H46" i="7" s="1"/>
  <c r="G48" i="39"/>
  <c r="G50" i="39" s="1"/>
  <c r="G75" i="7"/>
  <c r="G28" i="7"/>
  <c r="H28" i="7"/>
  <c r="H88" i="7" s="1"/>
  <c r="H131" i="6"/>
  <c r="H19" i="6"/>
  <c r="H77" i="7"/>
  <c r="G21" i="7"/>
  <c r="G81" i="7" s="1"/>
  <c r="G29" i="7"/>
  <c r="G22" i="7"/>
  <c r="G82" i="7" s="1"/>
  <c r="G26" i="7"/>
  <c r="G86" i="7" s="1"/>
  <c r="G27" i="7"/>
  <c r="G23" i="7"/>
  <c r="G83" i="7" s="1"/>
  <c r="G30" i="7"/>
  <c r="G91" i="7" s="1"/>
  <c r="H70" i="7"/>
  <c r="G24" i="7"/>
  <c r="G93" i="7" s="1"/>
  <c r="G32" i="7"/>
  <c r="G84" i="7" s="1"/>
  <c r="H33" i="7"/>
  <c r="H94" i="7" s="1"/>
  <c r="H22" i="7"/>
  <c r="H29" i="7"/>
  <c r="G62" i="7"/>
  <c r="G72" i="7"/>
  <c r="H75" i="7"/>
  <c r="H63" i="7"/>
  <c r="H72" i="7"/>
  <c r="H23" i="7"/>
  <c r="H26" i="7"/>
  <c r="H86" i="7" s="1"/>
  <c r="H30" i="7"/>
  <c r="H91" i="7" s="1"/>
  <c r="G70" i="7"/>
  <c r="G77" i="7"/>
  <c r="H21" i="7"/>
  <c r="H81" i="7" s="1"/>
  <c r="H24" i="7"/>
  <c r="H27" i="7"/>
  <c r="H32" i="7"/>
  <c r="H84" i="7" s="1"/>
  <c r="G115" i="6"/>
  <c r="G119" i="6" s="1"/>
  <c r="G168" i="6" s="1"/>
  <c r="H115" i="6"/>
  <c r="H119" i="6" s="1"/>
  <c r="H168" i="6" s="1"/>
  <c r="G131" i="6"/>
  <c r="G27" i="6"/>
  <c r="G21" i="6"/>
  <c r="G22" i="6" s="1"/>
  <c r="G156" i="6"/>
  <c r="G23" i="6"/>
  <c r="G25" i="6" s="1"/>
  <c r="G15" i="6"/>
  <c r="G80" i="6" s="1"/>
  <c r="G26" i="6"/>
  <c r="G181" i="6"/>
  <c r="H29" i="6"/>
  <c r="H31" i="6" s="1"/>
  <c r="G98" i="6"/>
  <c r="G102" i="6" s="1"/>
  <c r="G18" i="6"/>
  <c r="H98" i="6"/>
  <c r="H102" i="6" s="1"/>
  <c r="G161" i="6"/>
  <c r="G187" i="6"/>
  <c r="H191" i="6"/>
  <c r="G126" i="6"/>
  <c r="G17" i="6"/>
  <c r="H126" i="6"/>
  <c r="H105" i="77" l="1"/>
  <c r="H107" i="77" s="1"/>
  <c r="H104" i="77"/>
  <c r="H102" i="77"/>
  <c r="I104" i="77"/>
  <c r="I102" i="77"/>
  <c r="I105" i="77"/>
  <c r="I107" i="77" s="1"/>
  <c r="H83" i="7"/>
  <c r="H93" i="7"/>
  <c r="G88" i="7"/>
  <c r="J34" i="59" s="1"/>
  <c r="H89" i="7"/>
  <c r="K35" i="59" s="1"/>
  <c r="G89" i="7"/>
  <c r="J35" i="59" s="1"/>
  <c r="H87" i="7"/>
  <c r="K33" i="59" s="1"/>
  <c r="H82" i="7"/>
  <c r="G87" i="7"/>
  <c r="J33" i="59" s="1"/>
  <c r="H132" i="6"/>
  <c r="H136" i="6" s="1"/>
  <c r="K34" i="59"/>
  <c r="G28" i="6"/>
  <c r="G77" i="6"/>
  <c r="G34" i="7"/>
  <c r="G48" i="7" s="1"/>
  <c r="G71" i="7" s="1"/>
  <c r="H34" i="7"/>
  <c r="H48" i="7" s="1"/>
  <c r="G165" i="6"/>
  <c r="G166" i="6"/>
  <c r="H166" i="6"/>
  <c r="K22" i="59" s="1"/>
  <c r="H165" i="6"/>
  <c r="G132" i="6"/>
  <c r="G136" i="6" s="1"/>
  <c r="G205" i="6" s="1"/>
  <c r="G30" i="6"/>
  <c r="H141" i="6"/>
  <c r="K15" i="59" s="1"/>
  <c r="H143" i="6"/>
  <c r="G29" i="6"/>
  <c r="G19" i="6"/>
  <c r="G141" i="6"/>
  <c r="G143" i="6"/>
  <c r="H140" i="6"/>
  <c r="G140" i="6"/>
  <c r="G95" i="7" l="1"/>
  <c r="H142" i="6"/>
  <c r="H167" i="6"/>
  <c r="G31" i="6"/>
  <c r="H95" i="7"/>
  <c r="G57" i="7"/>
  <c r="H57" i="7"/>
  <c r="H71" i="7"/>
  <c r="G167" i="6"/>
  <c r="G200" i="6"/>
  <c r="G208" i="6"/>
  <c r="G211" i="6" s="1"/>
  <c r="G203" i="6"/>
  <c r="G199" i="6"/>
  <c r="G197" i="6"/>
  <c r="G196" i="6"/>
  <c r="G202" i="6"/>
  <c r="G198" i="6"/>
  <c r="G204" i="6"/>
  <c r="H204" i="6"/>
  <c r="H198" i="6"/>
  <c r="H209" i="6"/>
  <c r="H196" i="6"/>
  <c r="H199" i="6"/>
  <c r="H202" i="6"/>
  <c r="H203" i="6"/>
  <c r="H210" i="6"/>
  <c r="H208" i="6"/>
  <c r="H197" i="6"/>
  <c r="H200" i="6"/>
  <c r="H205" i="6"/>
  <c r="G142" i="6"/>
  <c r="H192" i="6"/>
  <c r="H190" i="6"/>
  <c r="G206" i="6" l="1"/>
  <c r="H211" i="6"/>
  <c r="G201" i="6"/>
  <c r="H206" i="6"/>
  <c r="K11" i="59" s="1"/>
  <c r="H201" i="6"/>
  <c r="G207" i="6" l="1"/>
  <c r="G212" i="6" s="1"/>
  <c r="H207" i="6"/>
  <c r="H212" i="6" s="1"/>
  <c r="J351" i="28" l="1"/>
  <c r="J352" i="28"/>
  <c r="J353" i="28"/>
  <c r="J354" i="28"/>
  <c r="J356" i="28"/>
  <c r="J357" i="28"/>
  <c r="J358" i="28"/>
  <c r="J359" i="28"/>
  <c r="J350" i="28"/>
  <c r="J316" i="28"/>
  <c r="J317" i="28"/>
  <c r="J318" i="28"/>
  <c r="J319" i="28"/>
  <c r="J320" i="28"/>
  <c r="J321" i="28"/>
  <c r="J323" i="28"/>
  <c r="J325" i="28"/>
  <c r="J326" i="28"/>
  <c r="J327" i="28"/>
  <c r="J330" i="28"/>
  <c r="J331" i="28"/>
  <c r="J332" i="28"/>
  <c r="J333" i="28"/>
  <c r="J334" i="28"/>
  <c r="J335" i="28"/>
  <c r="J342" i="28"/>
  <c r="J315" i="28"/>
  <c r="J301" i="28"/>
  <c r="J302" i="28"/>
  <c r="J308" i="28"/>
  <c r="J245" i="28"/>
  <c r="J248" i="28"/>
  <c r="J249" i="28"/>
  <c r="J251" i="28"/>
  <c r="J252" i="28"/>
  <c r="J257" i="28"/>
  <c r="J258" i="28"/>
  <c r="J259" i="28"/>
  <c r="J260" i="28"/>
  <c r="J261" i="28"/>
  <c r="J262" i="28"/>
  <c r="J263" i="28"/>
  <c r="J267" i="28"/>
  <c r="J268" i="28"/>
  <c r="J269" i="28"/>
  <c r="J274" i="28"/>
  <c r="J276" i="28"/>
  <c r="J280" i="28"/>
  <c r="J281" i="28"/>
  <c r="J283" i="28"/>
  <c r="J284" i="28"/>
  <c r="J285" i="28"/>
  <c r="J289" i="28"/>
  <c r="J291" i="28"/>
  <c r="J292" i="28"/>
  <c r="J293" i="28"/>
  <c r="J294" i="28"/>
  <c r="J296" i="28"/>
  <c r="J202" i="28"/>
  <c r="J203" i="28"/>
  <c r="J204" i="28"/>
  <c r="J206" i="28"/>
  <c r="J207" i="28"/>
  <c r="J208" i="28"/>
  <c r="J209" i="28"/>
  <c r="J214" i="28"/>
  <c r="J216" i="28"/>
  <c r="J217" i="28"/>
  <c r="J218" i="28"/>
  <c r="J219" i="28"/>
  <c r="J220" i="28"/>
  <c r="J221" i="28"/>
  <c r="J222" i="28"/>
  <c r="J224" i="28"/>
  <c r="J225" i="28"/>
  <c r="J226" i="28"/>
  <c r="J227" i="28"/>
  <c r="J228" i="28"/>
  <c r="J229" i="28"/>
  <c r="J230" i="28"/>
  <c r="J232" i="28"/>
  <c r="J231" i="28"/>
  <c r="J233" i="28"/>
  <c r="J237" i="28"/>
  <c r="J238" i="28"/>
  <c r="J239" i="28"/>
  <c r="J240" i="28"/>
  <c r="J201" i="28"/>
  <c r="J189" i="28"/>
  <c r="J193" i="28"/>
  <c r="J196" i="28"/>
  <c r="J197" i="28"/>
  <c r="J88" i="28"/>
  <c r="J89" i="28"/>
  <c r="J91" i="28"/>
  <c r="J92" i="28"/>
  <c r="J93" i="28"/>
  <c r="J96" i="28"/>
  <c r="J97" i="28"/>
  <c r="J101" i="28"/>
  <c r="J102" i="28"/>
  <c r="J107" i="28"/>
  <c r="J108" i="28"/>
  <c r="J109" i="28"/>
  <c r="J110" i="28"/>
  <c r="J111" i="28"/>
  <c r="J113" i="28"/>
  <c r="J116" i="28"/>
  <c r="J121" i="28"/>
  <c r="J122" i="28"/>
  <c r="J123" i="28"/>
  <c r="J124" i="28"/>
  <c r="J125" i="28"/>
  <c r="J127" i="28"/>
  <c r="J128" i="28"/>
  <c r="J129" i="28"/>
  <c r="J130" i="28"/>
  <c r="J131" i="28"/>
  <c r="J132" i="28"/>
  <c r="J133" i="28"/>
  <c r="J134" i="28"/>
  <c r="J137" i="28"/>
  <c r="J138" i="28"/>
  <c r="J139" i="28"/>
  <c r="J140" i="28"/>
  <c r="J141" i="28"/>
  <c r="J142" i="28"/>
  <c r="J143" i="28"/>
  <c r="J144" i="28"/>
  <c r="J146" i="28"/>
  <c r="J149" i="28"/>
  <c r="J150" i="28"/>
  <c r="J154" i="28"/>
  <c r="J155" i="28"/>
  <c r="J159" i="28"/>
  <c r="J160" i="28"/>
  <c r="J161" i="28"/>
  <c r="J162" i="28"/>
  <c r="J163" i="28"/>
  <c r="J165" i="28"/>
  <c r="J166" i="28"/>
  <c r="J168" i="28"/>
  <c r="J169" i="28"/>
  <c r="J171" i="28"/>
  <c r="J172" i="28"/>
  <c r="J174" i="28"/>
  <c r="J175" i="28"/>
  <c r="J176" i="28"/>
  <c r="J177" i="28"/>
  <c r="J178" i="28"/>
  <c r="J179" i="28"/>
  <c r="J180" i="28"/>
  <c r="J181" i="28"/>
  <c r="J182" i="28"/>
  <c r="J183" i="28"/>
  <c r="J86" i="28"/>
  <c r="J78" i="28"/>
  <c r="J77" i="28"/>
  <c r="J74" i="28"/>
  <c r="J73" i="28"/>
  <c r="J70" i="28"/>
  <c r="J69" i="28"/>
  <c r="J66" i="28"/>
  <c r="J65" i="28"/>
  <c r="H28" i="28"/>
  <c r="H50" i="28" s="1"/>
  <c r="H29" i="28"/>
  <c r="H30" i="28"/>
  <c r="H52" i="28" s="1"/>
  <c r="H31" i="28"/>
  <c r="H53" i="28" s="1"/>
  <c r="J43" i="28"/>
  <c r="J44" i="28"/>
  <c r="J45" i="28"/>
  <c r="J46" i="28"/>
  <c r="R46" i="28" s="1"/>
  <c r="V46" i="28" s="1"/>
  <c r="J42" i="28"/>
  <c r="R42" i="28" s="1"/>
  <c r="V42" i="28" s="1"/>
  <c r="AB42" i="28" s="1"/>
  <c r="AF42" i="28" s="1"/>
  <c r="AJ42" i="28" s="1"/>
  <c r="AP42" i="28" s="1"/>
  <c r="AT42" i="28" s="1"/>
  <c r="AX42" i="28" s="1"/>
  <c r="BF42" i="28" s="1"/>
  <c r="J36" i="28"/>
  <c r="R36" i="28" s="1"/>
  <c r="V36" i="28" s="1"/>
  <c r="J37" i="28"/>
  <c r="R37" i="28" s="1"/>
  <c r="V37" i="28" s="1"/>
  <c r="J38" i="28"/>
  <c r="R39" i="28"/>
  <c r="V39" i="28" s="1"/>
  <c r="J35" i="28"/>
  <c r="J22" i="28"/>
  <c r="R22" i="28" s="1"/>
  <c r="V22" i="28" s="1"/>
  <c r="J23" i="28"/>
  <c r="J24" i="28"/>
  <c r="J25" i="28"/>
  <c r="J21" i="28"/>
  <c r="R21" i="28" s="1"/>
  <c r="V21" i="28" s="1"/>
  <c r="AB21" i="28" s="1"/>
  <c r="AF21" i="28" s="1"/>
  <c r="AJ21" i="28" s="1"/>
  <c r="AP21" i="28" s="1"/>
  <c r="AT21" i="28" s="1"/>
  <c r="AX21" i="28" s="1"/>
  <c r="BF21" i="28" s="1"/>
  <c r="I32" i="28"/>
  <c r="I31" i="28"/>
  <c r="I30" i="28"/>
  <c r="I25" i="28"/>
  <c r="I24" i="28"/>
  <c r="I23" i="28"/>
  <c r="I17" i="28"/>
  <c r="M17" i="28" s="1"/>
  <c r="I18" i="28"/>
  <c r="M18" i="28" s="1"/>
  <c r="I16" i="28"/>
  <c r="I11" i="28"/>
  <c r="M11" i="28" s="1"/>
  <c r="J15" i="28"/>
  <c r="R15" i="28" s="1"/>
  <c r="V15" i="28" s="1"/>
  <c r="J16" i="28"/>
  <c r="R16" i="28" s="1"/>
  <c r="V16" i="28" s="1"/>
  <c r="J17" i="28"/>
  <c r="J18" i="28"/>
  <c r="J14" i="28"/>
  <c r="R14" i="28" s="1"/>
  <c r="V14" i="28" s="1"/>
  <c r="AB14" i="28" s="1"/>
  <c r="AF14" i="28" s="1"/>
  <c r="AJ14" i="28" s="1"/>
  <c r="AP14" i="28" s="1"/>
  <c r="AT14" i="28" s="1"/>
  <c r="AX14" i="28" s="1"/>
  <c r="BF14" i="28" s="1"/>
  <c r="J8" i="28"/>
  <c r="N8" i="28" s="1"/>
  <c r="R8" i="28" s="1"/>
  <c r="V8" i="28" s="1"/>
  <c r="AB8" i="28" s="1"/>
  <c r="AF8" i="28" s="1"/>
  <c r="AJ8" i="28" s="1"/>
  <c r="AP8" i="28" s="1"/>
  <c r="AT8" i="28" s="1"/>
  <c r="AX8" i="28" s="1"/>
  <c r="BF8" i="28" s="1"/>
  <c r="J9" i="28"/>
  <c r="N9" i="28" s="1"/>
  <c r="R9" i="28" s="1"/>
  <c r="V9" i="28" s="1"/>
  <c r="J10" i="28"/>
  <c r="N10" i="28" s="1"/>
  <c r="R10" i="28" s="1"/>
  <c r="V10" i="28" s="1"/>
  <c r="AB10" i="28" s="1"/>
  <c r="AF10" i="28" s="1"/>
  <c r="AJ10" i="28" s="1"/>
  <c r="AP10" i="28" s="1"/>
  <c r="AT10" i="28" s="1"/>
  <c r="AX10" i="28" s="1"/>
  <c r="BF10" i="28" s="1"/>
  <c r="J11" i="28"/>
  <c r="N11" i="28" s="1"/>
  <c r="R11" i="28" s="1"/>
  <c r="V11" i="28" s="1"/>
  <c r="AB11" i="28" s="1"/>
  <c r="AF11" i="28" s="1"/>
  <c r="AJ11" i="28" s="1"/>
  <c r="AP11" i="28" s="1"/>
  <c r="AT11" i="28" s="1"/>
  <c r="AX11" i="28" s="1"/>
  <c r="BF11" i="28" s="1"/>
  <c r="J7" i="28"/>
  <c r="N7" i="28" s="1"/>
  <c r="R7" i="28" s="1"/>
  <c r="V7" i="28" s="1"/>
  <c r="AB7" i="28" s="1"/>
  <c r="AF7" i="28" s="1"/>
  <c r="AJ7" i="28" s="1"/>
  <c r="AP7" i="28" s="1"/>
  <c r="AT7" i="28" s="1"/>
  <c r="AX7" i="28" s="1"/>
  <c r="BF7" i="28" s="1"/>
  <c r="I10" i="28"/>
  <c r="M10" i="28" s="1"/>
  <c r="I9" i="28"/>
  <c r="M9" i="28" s="1"/>
  <c r="H310" i="28"/>
  <c r="H384" i="28" s="1"/>
  <c r="G310" i="28"/>
  <c r="H299" i="28"/>
  <c r="H300" i="28" s="1"/>
  <c r="H241" i="28"/>
  <c r="H380" i="28" s="1"/>
  <c r="G241" i="28"/>
  <c r="H235" i="28"/>
  <c r="H234" i="28"/>
  <c r="G234" i="28"/>
  <c r="H198" i="28"/>
  <c r="H376" i="28" s="1"/>
  <c r="G198" i="28"/>
  <c r="H185" i="28"/>
  <c r="H184" i="28"/>
  <c r="H82" i="28"/>
  <c r="H81" i="28"/>
  <c r="H79" i="28"/>
  <c r="H75" i="28"/>
  <c r="H71" i="28"/>
  <c r="H67" i="28"/>
  <c r="G54" i="28"/>
  <c r="G53" i="28"/>
  <c r="G52" i="28"/>
  <c r="H47" i="28"/>
  <c r="H40" i="28"/>
  <c r="H54" i="28"/>
  <c r="H26" i="28"/>
  <c r="H60" i="28" s="1"/>
  <c r="H19" i="28"/>
  <c r="H59" i="28" s="1"/>
  <c r="H12" i="28"/>
  <c r="H58" i="28" s="1"/>
  <c r="AB9" i="28" l="1"/>
  <c r="AF9" i="28" s="1"/>
  <c r="AJ9" i="28" s="1"/>
  <c r="AP9" i="28" s="1"/>
  <c r="AT9" i="28" s="1"/>
  <c r="AX9" i="28" s="1"/>
  <c r="BF9" i="28" s="1"/>
  <c r="R38" i="28"/>
  <c r="V38" i="28" s="1"/>
  <c r="R65" i="28"/>
  <c r="V65" i="28" s="1"/>
  <c r="AB65" i="28" s="1"/>
  <c r="AF65" i="28" s="1"/>
  <c r="AJ65" i="28" s="1"/>
  <c r="AP65" i="28" s="1"/>
  <c r="AT65" i="28" s="1"/>
  <c r="AX65" i="28" s="1"/>
  <c r="BF65" i="28" s="1"/>
  <c r="R73" i="28"/>
  <c r="V73" i="28" s="1"/>
  <c r="R86" i="28"/>
  <c r="V86" i="28" s="1"/>
  <c r="AB86" i="28" s="1"/>
  <c r="AF86" i="28" s="1"/>
  <c r="AJ86" i="28" s="1"/>
  <c r="AP86" i="28" s="1"/>
  <c r="AT86" i="28" s="1"/>
  <c r="AX86" i="28" s="1"/>
  <c r="BF86" i="28" s="1"/>
  <c r="R180" i="28"/>
  <c r="V180" i="28" s="1"/>
  <c r="R176" i="28"/>
  <c r="V176" i="28" s="1"/>
  <c r="R171" i="28"/>
  <c r="V171" i="28" s="1"/>
  <c r="R165" i="28"/>
  <c r="V165" i="28" s="1"/>
  <c r="R160" i="28"/>
  <c r="V160" i="28" s="1"/>
  <c r="R146" i="28"/>
  <c r="V146" i="28" s="1"/>
  <c r="R141" i="28"/>
  <c r="V141" i="28" s="1"/>
  <c r="R138" i="28"/>
  <c r="V138" i="28" s="1"/>
  <c r="R132" i="28"/>
  <c r="V132" i="28" s="1"/>
  <c r="R128" i="28"/>
  <c r="V128" i="28" s="1"/>
  <c r="R123" i="28"/>
  <c r="V123" i="28" s="1"/>
  <c r="R113" i="28"/>
  <c r="V113" i="28" s="1"/>
  <c r="R108" i="28"/>
  <c r="V108" i="28" s="1"/>
  <c r="R97" i="28"/>
  <c r="V97" i="28" s="1"/>
  <c r="R91" i="28"/>
  <c r="V91" i="28" s="1"/>
  <c r="R240" i="28"/>
  <c r="V240" i="28" s="1"/>
  <c r="R233" i="28"/>
  <c r="V233" i="28" s="1"/>
  <c r="R229" i="28"/>
  <c r="V229" i="28" s="1"/>
  <c r="R225" i="28"/>
  <c r="V225" i="28" s="1"/>
  <c r="R220" i="28"/>
  <c r="V220" i="28" s="1"/>
  <c r="R216" i="28"/>
  <c r="V216" i="28" s="1"/>
  <c r="R207" i="28"/>
  <c r="V207" i="28" s="1"/>
  <c r="R202" i="28"/>
  <c r="V202" i="28" s="1"/>
  <c r="R292" i="28"/>
  <c r="V292" i="28" s="1"/>
  <c r="R284" i="28"/>
  <c r="V284" i="28" s="1"/>
  <c r="R276" i="28"/>
  <c r="V276" i="28" s="1"/>
  <c r="R267" i="28"/>
  <c r="V267" i="28" s="1"/>
  <c r="R260" i="28"/>
  <c r="V260" i="28" s="1"/>
  <c r="R252" i="28"/>
  <c r="V252" i="28" s="1"/>
  <c r="R334" i="28"/>
  <c r="V334" i="28" s="1"/>
  <c r="R330" i="28"/>
  <c r="V330" i="28" s="1"/>
  <c r="R323" i="28"/>
  <c r="V323" i="28" s="1"/>
  <c r="R318" i="28"/>
  <c r="V318" i="28" s="1"/>
  <c r="R359" i="28"/>
  <c r="V359" i="28" s="1"/>
  <c r="R354" i="28"/>
  <c r="V354" i="28" s="1"/>
  <c r="R17" i="28"/>
  <c r="V17" i="28" s="1"/>
  <c r="Q25" i="28"/>
  <c r="U25" i="28" s="1"/>
  <c r="AA25" i="28" s="1"/>
  <c r="AE25" i="28" s="1"/>
  <c r="AI25" i="28" s="1"/>
  <c r="AO25" i="28" s="1"/>
  <c r="AS25" i="28" s="1"/>
  <c r="AW25" i="28" s="1"/>
  <c r="BE25" i="28" s="1"/>
  <c r="R45" i="28"/>
  <c r="V45" i="28" s="1"/>
  <c r="R66" i="28"/>
  <c r="V66" i="28" s="1"/>
  <c r="R74" i="28"/>
  <c r="V74" i="28" s="1"/>
  <c r="R183" i="28"/>
  <c r="V183" i="28" s="1"/>
  <c r="R179" i="28"/>
  <c r="V179" i="28" s="1"/>
  <c r="R175" i="28"/>
  <c r="V175" i="28" s="1"/>
  <c r="R169" i="28"/>
  <c r="V169" i="28" s="1"/>
  <c r="R163" i="28"/>
  <c r="V163" i="28" s="1"/>
  <c r="R159" i="28"/>
  <c r="V159" i="28" s="1"/>
  <c r="R144" i="28"/>
  <c r="V144" i="28" s="1"/>
  <c r="R140" i="28"/>
  <c r="V140" i="28" s="1"/>
  <c r="R137" i="28"/>
  <c r="V137" i="28" s="1"/>
  <c r="R131" i="28"/>
  <c r="V131" i="28" s="1"/>
  <c r="R127" i="28"/>
  <c r="V127" i="28" s="1"/>
  <c r="R122" i="28"/>
  <c r="V122" i="28" s="1"/>
  <c r="R111" i="28"/>
  <c r="V111" i="28" s="1"/>
  <c r="R107" i="28"/>
  <c r="V107" i="28" s="1"/>
  <c r="R96" i="28"/>
  <c r="V96" i="28" s="1"/>
  <c r="R89" i="28"/>
  <c r="V89" i="28" s="1"/>
  <c r="R193" i="28"/>
  <c r="V193" i="28" s="1"/>
  <c r="R239" i="28"/>
  <c r="V239" i="28" s="1"/>
  <c r="R231" i="28"/>
  <c r="V231" i="28" s="1"/>
  <c r="R228" i="28"/>
  <c r="V228" i="28" s="1"/>
  <c r="R224" i="28"/>
  <c r="V224" i="28" s="1"/>
  <c r="R219" i="28"/>
  <c r="V219" i="28" s="1"/>
  <c r="R214" i="28"/>
  <c r="V214" i="28" s="1"/>
  <c r="R206" i="28"/>
  <c r="V206" i="28" s="1"/>
  <c r="R296" i="28"/>
  <c r="V296" i="28" s="1"/>
  <c r="R291" i="28"/>
  <c r="V291" i="28" s="1"/>
  <c r="R283" i="28"/>
  <c r="V283" i="28" s="1"/>
  <c r="R274" i="28"/>
  <c r="V274" i="28" s="1"/>
  <c r="R263" i="28"/>
  <c r="V263" i="28" s="1"/>
  <c r="R259" i="28"/>
  <c r="V259" i="28" s="1"/>
  <c r="R251" i="28"/>
  <c r="V251" i="28" s="1"/>
  <c r="R308" i="28"/>
  <c r="V308" i="28" s="1"/>
  <c r="R333" i="28"/>
  <c r="V333" i="28" s="1"/>
  <c r="R327" i="28"/>
  <c r="V327" i="28" s="1"/>
  <c r="R321" i="28"/>
  <c r="V321" i="28" s="1"/>
  <c r="R317" i="28"/>
  <c r="V317" i="28" s="1"/>
  <c r="R358" i="28"/>
  <c r="V358" i="28" s="1"/>
  <c r="R353" i="28"/>
  <c r="V353" i="28" s="1"/>
  <c r="Q10" i="28"/>
  <c r="U10" i="28" s="1"/>
  <c r="AA10" i="28" s="1"/>
  <c r="AE10" i="28" s="1"/>
  <c r="AI10" i="28" s="1"/>
  <c r="AO10" i="28" s="1"/>
  <c r="AS10" i="28" s="1"/>
  <c r="AW10" i="28" s="1"/>
  <c r="BE10" i="28" s="1"/>
  <c r="Q24" i="28"/>
  <c r="U24" i="28" s="1"/>
  <c r="AA24" i="28" s="1"/>
  <c r="AE24" i="28" s="1"/>
  <c r="AI24" i="28" s="1"/>
  <c r="AO24" i="28" s="1"/>
  <c r="AS24" i="28" s="1"/>
  <c r="AW24" i="28" s="1"/>
  <c r="BE24" i="28" s="1"/>
  <c r="Q17" i="28"/>
  <c r="U17" i="28" s="1"/>
  <c r="AA17" i="28" s="1"/>
  <c r="AE17" i="28" s="1"/>
  <c r="AI17" i="28" s="1"/>
  <c r="AO17" i="28" s="1"/>
  <c r="AS17" i="28" s="1"/>
  <c r="AW17" i="28" s="1"/>
  <c r="BE17" i="28" s="1"/>
  <c r="Q30" i="28"/>
  <c r="U30" i="28" s="1"/>
  <c r="AA30" i="28" s="1"/>
  <c r="AE30" i="28" s="1"/>
  <c r="AI30" i="28" s="1"/>
  <c r="AO30" i="28" s="1"/>
  <c r="AS30" i="28" s="1"/>
  <c r="AW30" i="28" s="1"/>
  <c r="BE30" i="28" s="1"/>
  <c r="R25" i="28"/>
  <c r="V25" i="28" s="1"/>
  <c r="R35" i="28"/>
  <c r="V35" i="28" s="1"/>
  <c r="AB35" i="28" s="1"/>
  <c r="AF35" i="28" s="1"/>
  <c r="AJ35" i="28" s="1"/>
  <c r="AP35" i="28" s="1"/>
  <c r="AT35" i="28" s="1"/>
  <c r="AX35" i="28" s="1"/>
  <c r="BF35" i="28" s="1"/>
  <c r="R44" i="28"/>
  <c r="V44" i="28" s="1"/>
  <c r="R69" i="28"/>
  <c r="V69" i="28" s="1"/>
  <c r="R77" i="28"/>
  <c r="V77" i="28" s="1"/>
  <c r="R182" i="28"/>
  <c r="V182" i="28" s="1"/>
  <c r="R178" i="28"/>
  <c r="V178" i="28" s="1"/>
  <c r="R174" i="28"/>
  <c r="V174" i="28" s="1"/>
  <c r="R168" i="28"/>
  <c r="V168" i="28" s="1"/>
  <c r="R162" i="28"/>
  <c r="V162" i="28" s="1"/>
  <c r="R155" i="28"/>
  <c r="V155" i="28" s="1"/>
  <c r="R150" i="28"/>
  <c r="V150" i="28" s="1"/>
  <c r="R143" i="28"/>
  <c r="V143" i="28" s="1"/>
  <c r="R134" i="28"/>
  <c r="V134" i="28" s="1"/>
  <c r="R130" i="28"/>
  <c r="V130" i="28" s="1"/>
  <c r="R125" i="28"/>
  <c r="V125" i="28" s="1"/>
  <c r="R121" i="28"/>
  <c r="V121" i="28" s="1"/>
  <c r="R110" i="28"/>
  <c r="V110" i="28" s="1"/>
  <c r="R102" i="28"/>
  <c r="V102" i="28" s="1"/>
  <c r="R93" i="28"/>
  <c r="V93" i="28" s="1"/>
  <c r="R88" i="28"/>
  <c r="V88" i="28" s="1"/>
  <c r="R189" i="28"/>
  <c r="V189" i="28" s="1"/>
  <c r="AB189" i="28" s="1"/>
  <c r="AF189" i="28" s="1"/>
  <c r="AJ189" i="28" s="1"/>
  <c r="AP189" i="28" s="1"/>
  <c r="AT189" i="28" s="1"/>
  <c r="AX189" i="28" s="1"/>
  <c r="BF189" i="28" s="1"/>
  <c r="R238" i="28"/>
  <c r="V238" i="28" s="1"/>
  <c r="AB238" i="28" s="1"/>
  <c r="AF238" i="28" s="1"/>
  <c r="AJ238" i="28" s="1"/>
  <c r="AP238" i="28" s="1"/>
  <c r="AT238" i="28" s="1"/>
  <c r="AX238" i="28" s="1"/>
  <c r="BF238" i="28" s="1"/>
  <c r="R232" i="28"/>
  <c r="V232" i="28" s="1"/>
  <c r="R227" i="28"/>
  <c r="V227" i="28" s="1"/>
  <c r="R222" i="28"/>
  <c r="V222" i="28" s="1"/>
  <c r="R218" i="28"/>
  <c r="V218" i="28" s="1"/>
  <c r="R209" i="28"/>
  <c r="V209" i="28" s="1"/>
  <c r="R204" i="28"/>
  <c r="V204" i="28" s="1"/>
  <c r="R294" i="28"/>
  <c r="V294" i="28" s="1"/>
  <c r="R289" i="28"/>
  <c r="V289" i="28" s="1"/>
  <c r="R281" i="28"/>
  <c r="V281" i="28" s="1"/>
  <c r="R269" i="28"/>
  <c r="V269" i="28" s="1"/>
  <c r="R262" i="28"/>
  <c r="V262" i="28" s="1"/>
  <c r="R258" i="28"/>
  <c r="V258" i="28" s="1"/>
  <c r="R249" i="28"/>
  <c r="V249" i="28" s="1"/>
  <c r="R302" i="28"/>
  <c r="V302" i="28" s="1"/>
  <c r="AB302" i="28" s="1"/>
  <c r="AF302" i="28" s="1"/>
  <c r="AJ302" i="28" s="1"/>
  <c r="AP302" i="28" s="1"/>
  <c r="AT302" i="28" s="1"/>
  <c r="AX302" i="28" s="1"/>
  <c r="BF302" i="28" s="1"/>
  <c r="R342" i="28"/>
  <c r="V342" i="28" s="1"/>
  <c r="R332" i="28"/>
  <c r="V332" i="28" s="1"/>
  <c r="R326" i="28"/>
  <c r="V326" i="28" s="1"/>
  <c r="R320" i="28"/>
  <c r="V320" i="28" s="1"/>
  <c r="R316" i="28"/>
  <c r="V316" i="28" s="1"/>
  <c r="AB316" i="28" s="1"/>
  <c r="AF316" i="28" s="1"/>
  <c r="AJ316" i="28" s="1"/>
  <c r="AP316" i="28" s="1"/>
  <c r="AT316" i="28" s="1"/>
  <c r="AX316" i="28" s="1"/>
  <c r="BF316" i="28" s="1"/>
  <c r="R357" i="28"/>
  <c r="V357" i="28" s="1"/>
  <c r="Q32" i="28"/>
  <c r="U32" i="28" s="1"/>
  <c r="AA32" i="28" s="1"/>
  <c r="AE32" i="28" s="1"/>
  <c r="AI32" i="28" s="1"/>
  <c r="AO32" i="28" s="1"/>
  <c r="AS32" i="28" s="1"/>
  <c r="AW32" i="28" s="1"/>
  <c r="BE32" i="28" s="1"/>
  <c r="Q18" i="28"/>
  <c r="U18" i="28" s="1"/>
  <c r="AA18" i="28" s="1"/>
  <c r="AE18" i="28" s="1"/>
  <c r="AI18" i="28" s="1"/>
  <c r="AO18" i="28" s="1"/>
  <c r="AS18" i="28" s="1"/>
  <c r="AW18" i="28" s="1"/>
  <c r="BE18" i="28" s="1"/>
  <c r="Q9" i="28"/>
  <c r="U9" i="28" s="1"/>
  <c r="AA9" i="28" s="1"/>
  <c r="AE9" i="28" s="1"/>
  <c r="AI9" i="28" s="1"/>
  <c r="AO9" i="28" s="1"/>
  <c r="AS9" i="28" s="1"/>
  <c r="AW9" i="28" s="1"/>
  <c r="BE9" i="28" s="1"/>
  <c r="R18" i="28"/>
  <c r="V18" i="28" s="1"/>
  <c r="Q11" i="28"/>
  <c r="U11" i="28" s="1"/>
  <c r="AA11" i="28" s="1"/>
  <c r="AE11" i="28" s="1"/>
  <c r="AI11" i="28" s="1"/>
  <c r="AO11" i="28" s="1"/>
  <c r="AS11" i="28" s="1"/>
  <c r="AW11" i="28" s="1"/>
  <c r="BE11" i="28" s="1"/>
  <c r="Q31" i="28"/>
  <c r="U31" i="28" s="1"/>
  <c r="AA31" i="28" s="1"/>
  <c r="AE31" i="28" s="1"/>
  <c r="AI31" i="28" s="1"/>
  <c r="AO31" i="28" s="1"/>
  <c r="AS31" i="28" s="1"/>
  <c r="AW31" i="28" s="1"/>
  <c r="BE31" i="28" s="1"/>
  <c r="R24" i="28"/>
  <c r="V24" i="28" s="1"/>
  <c r="R43" i="28"/>
  <c r="V43" i="28" s="1"/>
  <c r="R70" i="28"/>
  <c r="V70" i="28" s="1"/>
  <c r="R78" i="28"/>
  <c r="V78" i="28" s="1"/>
  <c r="R181" i="28"/>
  <c r="V181" i="28" s="1"/>
  <c r="R177" i="28"/>
  <c r="V177" i="28" s="1"/>
  <c r="R172" i="28"/>
  <c r="V172" i="28" s="1"/>
  <c r="R166" i="28"/>
  <c r="V166" i="28" s="1"/>
  <c r="R161" i="28"/>
  <c r="V161" i="28" s="1"/>
  <c r="R154" i="28"/>
  <c r="V154" i="28" s="1"/>
  <c r="R149" i="28"/>
  <c r="V149" i="28" s="1"/>
  <c r="R142" i="28"/>
  <c r="V142" i="28" s="1"/>
  <c r="R139" i="28"/>
  <c r="V139" i="28" s="1"/>
  <c r="R133" i="28"/>
  <c r="V133" i="28" s="1"/>
  <c r="R129" i="28"/>
  <c r="V129" i="28" s="1"/>
  <c r="R124" i="28"/>
  <c r="V124" i="28" s="1"/>
  <c r="R116" i="28"/>
  <c r="V116" i="28" s="1"/>
  <c r="R109" i="28"/>
  <c r="V109" i="28" s="1"/>
  <c r="R101" i="28"/>
  <c r="V101" i="28" s="1"/>
  <c r="R92" i="28"/>
  <c r="V92" i="28" s="1"/>
  <c r="R197" i="28"/>
  <c r="V197" i="28" s="1"/>
  <c r="R201" i="28"/>
  <c r="V201" i="28" s="1"/>
  <c r="AB201" i="28" s="1"/>
  <c r="AF201" i="28" s="1"/>
  <c r="AJ201" i="28" s="1"/>
  <c r="AP201" i="28" s="1"/>
  <c r="AT201" i="28" s="1"/>
  <c r="AX201" i="28" s="1"/>
  <c r="BF201" i="28" s="1"/>
  <c r="R230" i="28"/>
  <c r="V230" i="28" s="1"/>
  <c r="R226" i="28"/>
  <c r="V226" i="28" s="1"/>
  <c r="R221" i="28"/>
  <c r="V221" i="28" s="1"/>
  <c r="R217" i="28"/>
  <c r="V217" i="28" s="1"/>
  <c r="R208" i="28"/>
  <c r="V208" i="28" s="1"/>
  <c r="R203" i="28"/>
  <c r="V203" i="28" s="1"/>
  <c r="R293" i="28"/>
  <c r="V293" i="28" s="1"/>
  <c r="R285" i="28"/>
  <c r="V285" i="28" s="1"/>
  <c r="R280" i="28"/>
  <c r="V280" i="28" s="1"/>
  <c r="R268" i="28"/>
  <c r="V268" i="28" s="1"/>
  <c r="R261" i="28"/>
  <c r="V261" i="28" s="1"/>
  <c r="R257" i="28"/>
  <c r="V257" i="28" s="1"/>
  <c r="R248" i="28"/>
  <c r="V248" i="28" s="1"/>
  <c r="R301" i="28"/>
  <c r="V301" i="28" s="1"/>
  <c r="R335" i="28"/>
  <c r="V335" i="28" s="1"/>
  <c r="R331" i="28"/>
  <c r="V331" i="28" s="1"/>
  <c r="R325" i="28"/>
  <c r="V325" i="28" s="1"/>
  <c r="R350" i="28"/>
  <c r="V350" i="28" s="1"/>
  <c r="R356" i="28"/>
  <c r="V356" i="28" s="1"/>
  <c r="R351" i="28"/>
  <c r="V351" i="28" s="1"/>
  <c r="H236" i="28"/>
  <c r="H379" i="28" s="1"/>
  <c r="H393" i="28"/>
  <c r="R23" i="28"/>
  <c r="V23" i="28" s="1"/>
  <c r="H392" i="28"/>
  <c r="I241" i="28"/>
  <c r="M16" i="28"/>
  <c r="I310" i="28"/>
  <c r="H382" i="28"/>
  <c r="H83" i="28"/>
  <c r="H84" i="28" s="1"/>
  <c r="H365" i="28"/>
  <c r="H33" i="28"/>
  <c r="H61" i="28" s="1"/>
  <c r="H62" i="28" s="1"/>
  <c r="H51" i="28"/>
  <c r="H377" i="28"/>
  <c r="H373" i="28"/>
  <c r="H186" i="28"/>
  <c r="H383" i="28"/>
  <c r="H381" i="28"/>
  <c r="I169" i="73"/>
  <c r="I121" i="73"/>
  <c r="I107" i="73"/>
  <c r="I69" i="73"/>
  <c r="I76" i="73"/>
  <c r="I81" i="73"/>
  <c r="I91" i="73"/>
  <c r="I92" i="73"/>
  <c r="I93" i="73"/>
  <c r="I103" i="73"/>
  <c r="G201" i="73"/>
  <c r="G184" i="73"/>
  <c r="G71" i="77" s="1"/>
  <c r="G113" i="77" s="1"/>
  <c r="G173" i="73"/>
  <c r="G171" i="73"/>
  <c r="G116" i="73"/>
  <c r="G128" i="73" s="1"/>
  <c r="G110" i="73"/>
  <c r="G11" i="15" s="1"/>
  <c r="G12" i="15" s="1"/>
  <c r="G13" i="15" s="1"/>
  <c r="G104" i="73"/>
  <c r="G53" i="73"/>
  <c r="G48" i="73"/>
  <c r="G34" i="73"/>
  <c r="G23" i="73"/>
  <c r="G113" i="73" l="1"/>
  <c r="G115" i="73" s="1"/>
  <c r="R245" i="28"/>
  <c r="V245" i="28" s="1"/>
  <c r="H378" i="28"/>
  <c r="H371" i="28"/>
  <c r="H370" i="28"/>
  <c r="Q23" i="28"/>
  <c r="Q16" i="28"/>
  <c r="H375" i="28"/>
  <c r="H55" i="28"/>
  <c r="H56" i="28" s="1"/>
  <c r="H386" i="28"/>
  <c r="H387" i="28"/>
  <c r="H364" i="28"/>
  <c r="H385" i="28"/>
  <c r="H374" i="28"/>
  <c r="H17" i="49"/>
  <c r="H18" i="49" s="1"/>
  <c r="H11" i="49"/>
  <c r="G11" i="49"/>
  <c r="G10" i="49"/>
  <c r="H9" i="49"/>
  <c r="G9" i="49"/>
  <c r="H8" i="49"/>
  <c r="G8" i="49"/>
  <c r="H6" i="49"/>
  <c r="G6" i="49"/>
  <c r="G29" i="36"/>
  <c r="F7" i="15" s="1"/>
  <c r="G28" i="36"/>
  <c r="F6" i="15" s="1"/>
  <c r="G27" i="36"/>
  <c r="F5" i="15" s="1"/>
  <c r="H26" i="36"/>
  <c r="H23" i="36"/>
  <c r="G23" i="36"/>
  <c r="H22" i="36"/>
  <c r="G22" i="36"/>
  <c r="H21" i="36"/>
  <c r="G21" i="36"/>
  <c r="H17" i="36"/>
  <c r="G17" i="36"/>
  <c r="H16" i="36"/>
  <c r="G16" i="36"/>
  <c r="G13" i="36"/>
  <c r="H12" i="36"/>
  <c r="H11" i="36"/>
  <c r="H10" i="36"/>
  <c r="H9" i="36"/>
  <c r="G9" i="36"/>
  <c r="H8" i="36"/>
  <c r="G8" i="36"/>
  <c r="H7" i="36"/>
  <c r="G7" i="36"/>
  <c r="H5" i="36"/>
  <c r="H13" i="49" s="1"/>
  <c r="G5" i="36"/>
  <c r="G13" i="49" s="1"/>
  <c r="G6" i="21"/>
  <c r="G12" i="21" s="1"/>
  <c r="H28" i="21"/>
  <c r="G27" i="21"/>
  <c r="H24" i="21"/>
  <c r="H25" i="21" s="1"/>
  <c r="H18" i="21"/>
  <c r="H15" i="21"/>
  <c r="H12" i="21"/>
  <c r="H391" i="28" s="1"/>
  <c r="G89" i="9" l="1"/>
  <c r="G90" i="9"/>
  <c r="Q241" i="28"/>
  <c r="U16" i="28"/>
  <c r="Q310" i="28"/>
  <c r="U23" i="28"/>
  <c r="H13" i="36"/>
  <c r="H18" i="36"/>
  <c r="H390" i="28"/>
  <c r="G12" i="49"/>
  <c r="G14" i="49" s="1"/>
  <c r="G15" i="49" s="1"/>
  <c r="G16" i="49" s="1"/>
  <c r="G19" i="49" s="1"/>
  <c r="G20" i="49" s="1"/>
  <c r="H20" i="21"/>
  <c r="G15" i="21"/>
  <c r="G22" i="21"/>
  <c r="G33" i="35"/>
  <c r="G32" i="35"/>
  <c r="G30" i="35"/>
  <c r="G29" i="35"/>
  <c r="G28" i="35"/>
  <c r="G125" i="10" s="1"/>
  <c r="G21" i="35"/>
  <c r="G18" i="35"/>
  <c r="G16" i="35"/>
  <c r="G127" i="10" l="1"/>
  <c r="G124" i="10"/>
  <c r="G91" i="9"/>
  <c r="U310" i="28"/>
  <c r="U241" i="28"/>
  <c r="G40" i="36"/>
  <c r="G42" i="36" s="1"/>
  <c r="G46" i="36"/>
  <c r="G43" i="36"/>
  <c r="G45" i="36" s="1"/>
  <c r="F17" i="15"/>
  <c r="F14" i="15" s="1"/>
  <c r="F15" i="15" s="1"/>
  <c r="G5" i="9"/>
  <c r="G12" i="8"/>
  <c r="G15" i="8" s="1"/>
  <c r="G28" i="21"/>
  <c r="G52" i="11"/>
  <c r="G90" i="11" s="1"/>
  <c r="G14" i="28"/>
  <c r="H73" i="45"/>
  <c r="H112" i="45" s="1"/>
  <c r="G21" i="28"/>
  <c r="G26" i="28" s="1"/>
  <c r="G170" i="10"/>
  <c r="G7" i="28"/>
  <c r="G40" i="35"/>
  <c r="G37" i="35"/>
  <c r="H34" i="35"/>
  <c r="H44" i="35" s="1"/>
  <c r="G34" i="35"/>
  <c r="H30" i="35"/>
  <c r="I112" i="45" s="1"/>
  <c r="H29" i="35"/>
  <c r="G39" i="35"/>
  <c r="H28" i="35"/>
  <c r="H170" i="10" s="1"/>
  <c r="G31" i="35"/>
  <c r="H24" i="35"/>
  <c r="G24" i="35"/>
  <c r="H19" i="35"/>
  <c r="H26" i="9" s="1"/>
  <c r="G19" i="35"/>
  <c r="G26" i="9" s="1"/>
  <c r="G10" i="35"/>
  <c r="G14" i="35" s="1"/>
  <c r="G9" i="35"/>
  <c r="H7" i="35"/>
  <c r="H6" i="6" s="1"/>
  <c r="H6" i="35"/>
  <c r="H39" i="35" l="1"/>
  <c r="H90" i="11"/>
  <c r="Y241" i="28"/>
  <c r="AA16" i="28"/>
  <c r="AA23" i="28"/>
  <c r="H8" i="35"/>
  <c r="G56" i="9"/>
  <c r="G61" i="9"/>
  <c r="G59" i="9"/>
  <c r="G58" i="9"/>
  <c r="G55" i="9"/>
  <c r="G11" i="35"/>
  <c r="G44" i="35"/>
  <c r="G45" i="35" s="1"/>
  <c r="G28" i="28"/>
  <c r="G33" i="28" s="1"/>
  <c r="G65" i="9"/>
  <c r="F125" i="26"/>
  <c r="G68" i="9"/>
  <c r="G92" i="9"/>
  <c r="G66" i="9"/>
  <c r="G100" i="9"/>
  <c r="G7" i="9"/>
  <c r="G64" i="9"/>
  <c r="G19" i="9"/>
  <c r="G67" i="9"/>
  <c r="G70" i="9"/>
  <c r="G33" i="22"/>
  <c r="G27" i="9"/>
  <c r="G69" i="9"/>
  <c r="G95" i="9"/>
  <c r="G63" i="9"/>
  <c r="G19" i="28"/>
  <c r="G235" i="28"/>
  <c r="G51" i="11"/>
  <c r="G71" i="11"/>
  <c r="G54" i="11"/>
  <c r="G300" i="28"/>
  <c r="G383" i="28" s="1"/>
  <c r="G60" i="28"/>
  <c r="G73" i="28" s="1"/>
  <c r="G381" i="28" s="1"/>
  <c r="H92" i="45"/>
  <c r="H72" i="45"/>
  <c r="H75" i="45"/>
  <c r="H76" i="45"/>
  <c r="G12" i="28"/>
  <c r="G143" i="10"/>
  <c r="H12" i="6"/>
  <c r="H14" i="6"/>
  <c r="H5" i="6"/>
  <c r="H31" i="35"/>
  <c r="H35" i="35" s="1"/>
  <c r="G13" i="35"/>
  <c r="G15" i="35" s="1"/>
  <c r="G35" i="35"/>
  <c r="H83" i="50" s="1"/>
  <c r="I71" i="83" l="1"/>
  <c r="I69" i="83" s="1"/>
  <c r="I83" i="50"/>
  <c r="AA310" i="28"/>
  <c r="AE23" i="28"/>
  <c r="AA241" i="28"/>
  <c r="AE16" i="28"/>
  <c r="G57" i="9"/>
  <c r="N56" i="6"/>
  <c r="N58" i="6"/>
  <c r="N57" i="6"/>
  <c r="G60" i="9"/>
  <c r="G50" i="28"/>
  <c r="G55" i="28" s="1"/>
  <c r="G390" i="28" s="1"/>
  <c r="G21" i="22"/>
  <c r="G22" i="22" s="1"/>
  <c r="G24" i="22" s="1"/>
  <c r="G25" i="22" s="1"/>
  <c r="G27" i="22" s="1"/>
  <c r="G7" i="22"/>
  <c r="G8" i="22" s="1"/>
  <c r="G10" i="22" s="1"/>
  <c r="G11" i="22" s="1"/>
  <c r="G13" i="22" s="1"/>
  <c r="G361" i="28"/>
  <c r="G61" i="28"/>
  <c r="G77" i="28" s="1"/>
  <c r="G385" i="28" s="1"/>
  <c r="G382" i="28"/>
  <c r="G236" i="28"/>
  <c r="G379" i="28" s="1"/>
  <c r="G59" i="28"/>
  <c r="G69" i="28" s="1"/>
  <c r="H25" i="36"/>
  <c r="G186" i="28"/>
  <c r="G375" i="28" s="1"/>
  <c r="G58" i="28"/>
  <c r="H182" i="6"/>
  <c r="H187" i="6"/>
  <c r="H11" i="6"/>
  <c r="H7" i="6"/>
  <c r="H13" i="6"/>
  <c r="H157" i="6" s="1"/>
  <c r="F46" i="10"/>
  <c r="F19" i="10"/>
  <c r="F26" i="10"/>
  <c r="F25" i="10"/>
  <c r="F20" i="10"/>
  <c r="F21" i="10"/>
  <c r="F10" i="10"/>
  <c r="F9" i="10"/>
  <c r="F87" i="10"/>
  <c r="F77" i="10"/>
  <c r="J87" i="10" l="1"/>
  <c r="N87" i="10"/>
  <c r="G24" i="50"/>
  <c r="J10" i="10"/>
  <c r="N10" i="10"/>
  <c r="G9" i="50"/>
  <c r="N26" i="10"/>
  <c r="J26" i="10"/>
  <c r="N19" i="10"/>
  <c r="J19" i="10"/>
  <c r="J46" i="10"/>
  <c r="N46" i="10"/>
  <c r="G22" i="50"/>
  <c r="N20" i="10"/>
  <c r="J20" i="10"/>
  <c r="G23" i="50"/>
  <c r="J9" i="10"/>
  <c r="F125" i="10"/>
  <c r="F127" i="10" s="1"/>
  <c r="F124" i="10"/>
  <c r="N9" i="10"/>
  <c r="J21" i="10"/>
  <c r="N21" i="10"/>
  <c r="G26" i="50"/>
  <c r="N77" i="10"/>
  <c r="J77" i="10"/>
  <c r="G97" i="50"/>
  <c r="N25" i="10"/>
  <c r="J25" i="10"/>
  <c r="F165" i="10"/>
  <c r="AE241" i="28"/>
  <c r="AI16" i="28"/>
  <c r="AE310" i="28"/>
  <c r="AI23" i="28"/>
  <c r="G22" i="83"/>
  <c r="G9" i="83"/>
  <c r="G21" i="83"/>
  <c r="G19" i="83"/>
  <c r="G23" i="83"/>
  <c r="G24" i="83"/>
  <c r="G4" i="50"/>
  <c r="G4" i="83"/>
  <c r="G62" i="9"/>
  <c r="F162" i="10"/>
  <c r="G365" i="28"/>
  <c r="G386" i="28"/>
  <c r="G387" i="28"/>
  <c r="G364" i="28"/>
  <c r="G377" i="28"/>
  <c r="G378" i="28"/>
  <c r="G371" i="28"/>
  <c r="G370" i="28"/>
  <c r="G62" i="28"/>
  <c r="G391" i="28" s="1"/>
  <c r="G65" i="28"/>
  <c r="H161" i="6"/>
  <c r="H15" i="6"/>
  <c r="H80" i="6" s="1"/>
  <c r="D85" i="8"/>
  <c r="E71" i="8"/>
  <c r="E45" i="8"/>
  <c r="D78" i="7"/>
  <c r="D76" i="7"/>
  <c r="D186" i="6"/>
  <c r="R77" i="10" l="1"/>
  <c r="V77" i="10" s="1"/>
  <c r="AB77" i="10"/>
  <c r="AF77" i="10" s="1"/>
  <c r="AJ77" i="10" s="1"/>
  <c r="AP77" i="10" s="1"/>
  <c r="AT77" i="10" s="1"/>
  <c r="AX77" i="10" s="1"/>
  <c r="BF77" i="10" s="1"/>
  <c r="R46" i="10"/>
  <c r="V46" i="10" s="1"/>
  <c r="AB46" i="10"/>
  <c r="AF46" i="10" s="1"/>
  <c r="AJ46" i="10" s="1"/>
  <c r="AP46" i="10" s="1"/>
  <c r="AT46" i="10" s="1"/>
  <c r="AX46" i="10" s="1"/>
  <c r="BF46" i="10" s="1"/>
  <c r="K9" i="50"/>
  <c r="O9" i="50"/>
  <c r="O26" i="50"/>
  <c r="K26" i="50"/>
  <c r="J124" i="10"/>
  <c r="J125" i="10"/>
  <c r="R10" i="10"/>
  <c r="V10" i="10" s="1"/>
  <c r="AB10" i="10"/>
  <c r="AF10" i="10" s="1"/>
  <c r="AJ10" i="10" s="1"/>
  <c r="AP10" i="10" s="1"/>
  <c r="AT10" i="10" s="1"/>
  <c r="AX10" i="10" s="1"/>
  <c r="BF10" i="10" s="1"/>
  <c r="AB21" i="10"/>
  <c r="AF21" i="10" s="1"/>
  <c r="AJ21" i="10" s="1"/>
  <c r="AP21" i="10" s="1"/>
  <c r="AT21" i="10" s="1"/>
  <c r="AX21" i="10" s="1"/>
  <c r="BF21" i="10" s="1"/>
  <c r="R21" i="10"/>
  <c r="V21" i="10" s="1"/>
  <c r="K23" i="50"/>
  <c r="O23" i="50"/>
  <c r="R25" i="10"/>
  <c r="V25" i="10" s="1"/>
  <c r="AB25" i="10"/>
  <c r="AF25" i="10" s="1"/>
  <c r="AJ25" i="10" s="1"/>
  <c r="AP25" i="10" s="1"/>
  <c r="AT25" i="10" s="1"/>
  <c r="AX25" i="10" s="1"/>
  <c r="BF25" i="10" s="1"/>
  <c r="R19" i="10"/>
  <c r="V19" i="10" s="1"/>
  <c r="AB19" i="10"/>
  <c r="AF19" i="10" s="1"/>
  <c r="AJ19" i="10" s="1"/>
  <c r="AP19" i="10" s="1"/>
  <c r="AT19" i="10" s="1"/>
  <c r="AX19" i="10" s="1"/>
  <c r="BF19" i="10" s="1"/>
  <c r="K24" i="50"/>
  <c r="O24" i="50"/>
  <c r="O97" i="50"/>
  <c r="K97" i="50"/>
  <c r="K100" i="50" s="1"/>
  <c r="N124" i="10"/>
  <c r="AB9" i="10"/>
  <c r="AF9" i="10" s="1"/>
  <c r="AJ9" i="10" s="1"/>
  <c r="AP9" i="10" s="1"/>
  <c r="AT9" i="10" s="1"/>
  <c r="AX9" i="10" s="1"/>
  <c r="BF9" i="10" s="1"/>
  <c r="R9" i="10"/>
  <c r="V9" i="10" s="1"/>
  <c r="N125" i="10"/>
  <c r="R20" i="10"/>
  <c r="V20" i="10" s="1"/>
  <c r="AB20" i="10"/>
  <c r="AF20" i="10" s="1"/>
  <c r="AJ20" i="10" s="1"/>
  <c r="AP20" i="10" s="1"/>
  <c r="AT20" i="10" s="1"/>
  <c r="AX20" i="10" s="1"/>
  <c r="BF20" i="10" s="1"/>
  <c r="AB87" i="10"/>
  <c r="AF87" i="10" s="1"/>
  <c r="AJ87" i="10" s="1"/>
  <c r="AP87" i="10" s="1"/>
  <c r="AT87" i="10" s="1"/>
  <c r="AX87" i="10" s="1"/>
  <c r="BF87" i="10" s="1"/>
  <c r="R87" i="10"/>
  <c r="V87" i="10" s="1"/>
  <c r="K22" i="50"/>
  <c r="O22" i="50"/>
  <c r="R26" i="10"/>
  <c r="V26" i="10" s="1"/>
  <c r="AB26" i="10"/>
  <c r="AF26" i="10" s="1"/>
  <c r="AJ26" i="10" s="1"/>
  <c r="AP26" i="10" s="1"/>
  <c r="AT26" i="10" s="1"/>
  <c r="AX26" i="10" s="1"/>
  <c r="BF26" i="10" s="1"/>
  <c r="O4" i="50"/>
  <c r="K4" i="50"/>
  <c r="K32" i="50" s="1"/>
  <c r="K94" i="50" s="1"/>
  <c r="F166" i="10"/>
  <c r="AI241" i="28"/>
  <c r="AO241" i="28" s="1"/>
  <c r="AO16" i="28"/>
  <c r="AS16" i="28" s="1"/>
  <c r="AI310" i="28"/>
  <c r="AO310" i="28" s="1"/>
  <c r="AO23" i="28"/>
  <c r="AS23" i="28" s="1"/>
  <c r="G16" i="61"/>
  <c r="K16" i="61" s="1"/>
  <c r="K19" i="83"/>
  <c r="O19" i="83"/>
  <c r="K9" i="83"/>
  <c r="O9" i="83"/>
  <c r="O22" i="83"/>
  <c r="K22" i="83"/>
  <c r="K23" i="83"/>
  <c r="O23" i="83"/>
  <c r="K24" i="83"/>
  <c r="O24" i="83"/>
  <c r="K4" i="83"/>
  <c r="G31" i="83"/>
  <c r="G68" i="83" s="1"/>
  <c r="O4" i="83"/>
  <c r="O21" i="83"/>
  <c r="K21" i="83"/>
  <c r="G100" i="50"/>
  <c r="G81" i="28"/>
  <c r="G374" i="28"/>
  <c r="G373" i="28"/>
  <c r="H77" i="6"/>
  <c r="H36" i="6"/>
  <c r="H34" i="6"/>
  <c r="H35" i="6"/>
  <c r="H33" i="6"/>
  <c r="D160" i="6"/>
  <c r="AC9" i="50" l="1"/>
  <c r="AG9" i="50" s="1"/>
  <c r="AK9" i="50" s="1"/>
  <c r="AQ9" i="50" s="1"/>
  <c r="AU9" i="50" s="1"/>
  <c r="AY9" i="50" s="1"/>
  <c r="S9" i="50"/>
  <c r="W9" i="50" s="1"/>
  <c r="AC97" i="50"/>
  <c r="S97" i="50"/>
  <c r="O100" i="50"/>
  <c r="S22" i="50"/>
  <c r="W22" i="50" s="1"/>
  <c r="AC22" i="50"/>
  <c r="AG22" i="50" s="1"/>
  <c r="AK22" i="50" s="1"/>
  <c r="AQ22" i="50" s="1"/>
  <c r="AU22" i="50" s="1"/>
  <c r="AY22" i="50" s="1"/>
  <c r="O93" i="50"/>
  <c r="S24" i="50"/>
  <c r="W24" i="50" s="1"/>
  <c r="AC24" i="50"/>
  <c r="AG24" i="50" s="1"/>
  <c r="AK24" i="50" s="1"/>
  <c r="AQ24" i="50" s="1"/>
  <c r="AU24" i="50" s="1"/>
  <c r="AY24" i="50" s="1"/>
  <c r="BG24" i="50" s="1"/>
  <c r="S23" i="50"/>
  <c r="W23" i="50" s="1"/>
  <c r="AC23" i="50"/>
  <c r="AG23" i="50" s="1"/>
  <c r="AK23" i="50" s="1"/>
  <c r="AQ23" i="50" s="1"/>
  <c r="AU23" i="50" s="1"/>
  <c r="AY23" i="50" s="1"/>
  <c r="BG23" i="50" s="1"/>
  <c r="K93" i="50"/>
  <c r="K96" i="50" s="1"/>
  <c r="S26" i="50"/>
  <c r="W26" i="50" s="1"/>
  <c r="AC26" i="50"/>
  <c r="AG26" i="50" s="1"/>
  <c r="AK26" i="50" s="1"/>
  <c r="AQ26" i="50" s="1"/>
  <c r="AU26" i="50" s="1"/>
  <c r="AY26" i="50" s="1"/>
  <c r="K95" i="50"/>
  <c r="O32" i="50"/>
  <c r="O94" i="50" s="1"/>
  <c r="AC4" i="50"/>
  <c r="S4" i="50"/>
  <c r="AS310" i="28"/>
  <c r="AW23" i="28"/>
  <c r="AS241" i="28"/>
  <c r="AW16" i="28"/>
  <c r="O16" i="61"/>
  <c r="AC16" i="61" s="1"/>
  <c r="BG9" i="50"/>
  <c r="BG22" i="50"/>
  <c r="BG26" i="50"/>
  <c r="S21" i="83"/>
  <c r="W21" i="83" s="1"/>
  <c r="AC21" i="83"/>
  <c r="AG21" i="83" s="1"/>
  <c r="AK21" i="83" s="1"/>
  <c r="AQ21" i="83" s="1"/>
  <c r="S24" i="83"/>
  <c r="W24" i="83" s="1"/>
  <c r="AC24" i="83"/>
  <c r="AG24" i="83" s="1"/>
  <c r="AK24" i="83" s="1"/>
  <c r="AQ24" i="83" s="1"/>
  <c r="S23" i="83"/>
  <c r="W23" i="83" s="1"/>
  <c r="AC23" i="83"/>
  <c r="AG23" i="83" s="1"/>
  <c r="AK23" i="83" s="1"/>
  <c r="AQ23" i="83" s="1"/>
  <c r="S9" i="83"/>
  <c r="W9" i="83" s="1"/>
  <c r="AC9" i="83"/>
  <c r="AG9" i="83" s="1"/>
  <c r="AK9" i="83" s="1"/>
  <c r="AQ9" i="83" s="1"/>
  <c r="S19" i="83"/>
  <c r="W19" i="83" s="1"/>
  <c r="AC19" i="83"/>
  <c r="AG19" i="83" s="1"/>
  <c r="AK19" i="83" s="1"/>
  <c r="AQ19" i="83" s="1"/>
  <c r="S4" i="83"/>
  <c r="W4" i="83" s="1"/>
  <c r="AC4" i="83"/>
  <c r="AG4" i="83" s="1"/>
  <c r="AK4" i="83" s="1"/>
  <c r="AQ4" i="83" s="1"/>
  <c r="S22" i="83"/>
  <c r="W22" i="83" s="1"/>
  <c r="AC22" i="83"/>
  <c r="AG22" i="83" s="1"/>
  <c r="AK22" i="83" s="1"/>
  <c r="AQ22" i="83" s="1"/>
  <c r="BG20" i="50"/>
  <c r="H37" i="6"/>
  <c r="O31" i="83"/>
  <c r="AC31" i="83" s="1"/>
  <c r="O68" i="83"/>
  <c r="K68" i="83"/>
  <c r="K31" i="83"/>
  <c r="D58" i="77"/>
  <c r="D29" i="77"/>
  <c r="D23" i="77"/>
  <c r="D18" i="77"/>
  <c r="D13" i="77"/>
  <c r="E12" i="77"/>
  <c r="E13" i="77" s="1"/>
  <c r="E101" i="77" s="1"/>
  <c r="D7" i="77"/>
  <c r="W97" i="50" l="1"/>
  <c r="W100" i="50" s="1"/>
  <c r="S100" i="50"/>
  <c r="AG97" i="50"/>
  <c r="AC100" i="50"/>
  <c r="S32" i="50"/>
  <c r="S94" i="50" s="1"/>
  <c r="W4" i="50"/>
  <c r="W32" i="50" s="1"/>
  <c r="W94" i="50" s="1"/>
  <c r="AC32" i="50"/>
  <c r="AC94" i="50" s="1"/>
  <c r="AG4" i="50"/>
  <c r="O95" i="50"/>
  <c r="O96" i="50"/>
  <c r="AU4" i="83"/>
  <c r="AY4" i="83" s="1"/>
  <c r="BG4" i="83" s="1"/>
  <c r="BE4" i="83"/>
  <c r="AU19" i="83"/>
  <c r="AY19" i="83" s="1"/>
  <c r="BG19" i="83" s="1"/>
  <c r="BE19" i="83"/>
  <c r="AU24" i="83"/>
  <c r="AY24" i="83" s="1"/>
  <c r="BG24" i="83" s="1"/>
  <c r="BE24" i="83"/>
  <c r="AU23" i="83"/>
  <c r="AY23" i="83" s="1"/>
  <c r="BG23" i="83" s="1"/>
  <c r="BE23" i="83"/>
  <c r="AU22" i="83"/>
  <c r="AY22" i="83" s="1"/>
  <c r="BG22" i="83" s="1"/>
  <c r="BE22" i="83"/>
  <c r="AU9" i="83"/>
  <c r="AY9" i="83" s="1"/>
  <c r="BG9" i="83" s="1"/>
  <c r="BE9" i="83"/>
  <c r="AU21" i="83"/>
  <c r="AY21" i="83" s="1"/>
  <c r="BG21" i="83" s="1"/>
  <c r="BE21" i="83"/>
  <c r="AW241" i="28"/>
  <c r="BE16" i="28"/>
  <c r="BE241" i="28" s="1"/>
  <c r="AW310" i="28"/>
  <c r="BE23" i="28"/>
  <c r="BE310" i="28" s="1"/>
  <c r="S16" i="61"/>
  <c r="W16" i="61" s="1"/>
  <c r="AQ31" i="83"/>
  <c r="BE31" i="83" s="1"/>
  <c r="AK31" i="83"/>
  <c r="AG31" i="83"/>
  <c r="W31" i="83"/>
  <c r="AG16" i="61"/>
  <c r="AK16" i="61" s="1"/>
  <c r="AQ16" i="61" s="1"/>
  <c r="AU16" i="61" s="1"/>
  <c r="AY16" i="61" s="1"/>
  <c r="BG16" i="61" s="1"/>
  <c r="AE17" i="61"/>
  <c r="S31" i="83"/>
  <c r="S68" i="83"/>
  <c r="W68" i="83" s="1"/>
  <c r="AC68" i="83"/>
  <c r="AG68" i="83" s="1"/>
  <c r="AK68" i="83" s="1"/>
  <c r="AQ68" i="83" s="1"/>
  <c r="AU68" i="83" s="1"/>
  <c r="AY68" i="83" s="1"/>
  <c r="BG68" i="83" s="1"/>
  <c r="M12" i="77"/>
  <c r="I12" i="77"/>
  <c r="I13" i="77" s="1"/>
  <c r="I101" i="77" s="1"/>
  <c r="D47" i="28"/>
  <c r="D360" i="28" s="1"/>
  <c r="D40" i="28"/>
  <c r="D343" i="28" s="1"/>
  <c r="D26" i="28"/>
  <c r="D300" i="28" s="1"/>
  <c r="D19" i="28"/>
  <c r="D236" i="28" s="1"/>
  <c r="D12" i="28"/>
  <c r="D186" i="28" s="1"/>
  <c r="E310" i="28"/>
  <c r="M310" i="28" s="1"/>
  <c r="D310" i="28"/>
  <c r="E198" i="28"/>
  <c r="D198" i="28"/>
  <c r="E241" i="28"/>
  <c r="M241" i="28" s="1"/>
  <c r="D241" i="28"/>
  <c r="E54" i="28"/>
  <c r="E53" i="28"/>
  <c r="E52" i="28"/>
  <c r="D32" i="28"/>
  <c r="D54" i="28" s="1"/>
  <c r="D31" i="28"/>
  <c r="D53" i="28" s="1"/>
  <c r="D30" i="28"/>
  <c r="D52" i="28" s="1"/>
  <c r="D28" i="28"/>
  <c r="AG100" i="50" l="1"/>
  <c r="AK97" i="50"/>
  <c r="AK4" i="50"/>
  <c r="AG32" i="50"/>
  <c r="AG94" i="50" s="1"/>
  <c r="AU31" i="83"/>
  <c r="AY31" i="83"/>
  <c r="BG31" i="83"/>
  <c r="AA12" i="77"/>
  <c r="M13" i="77"/>
  <c r="Q12" i="77"/>
  <c r="Q13" i="77" s="1"/>
  <c r="Q101" i="77" s="1"/>
  <c r="I52" i="28"/>
  <c r="M52" i="28"/>
  <c r="Q52" i="28" s="1"/>
  <c r="U52" i="28" s="1"/>
  <c r="AA52" i="28" s="1"/>
  <c r="AE52" i="28" s="1"/>
  <c r="AI52" i="28" s="1"/>
  <c r="AO52" i="28" s="1"/>
  <c r="AS52" i="28" s="1"/>
  <c r="AW52" i="28" s="1"/>
  <c r="BE52" i="28" s="1"/>
  <c r="I53" i="28"/>
  <c r="M53" i="28"/>
  <c r="AA53" i="28" s="1"/>
  <c r="AE53" i="28" s="1"/>
  <c r="AI53" i="28" s="1"/>
  <c r="AO53" i="28" s="1"/>
  <c r="AS53" i="28" s="1"/>
  <c r="AW53" i="28" s="1"/>
  <c r="BE53" i="28" s="1"/>
  <c r="I54" i="28"/>
  <c r="M54" i="28"/>
  <c r="AA54" i="28" s="1"/>
  <c r="AE54" i="28" s="1"/>
  <c r="AI54" i="28" s="1"/>
  <c r="AO54" i="28" s="1"/>
  <c r="AS54" i="28" s="1"/>
  <c r="AW54" i="28" s="1"/>
  <c r="BE54" i="28" s="1"/>
  <c r="I198" i="28"/>
  <c r="M198" i="28"/>
  <c r="Q198" i="28" s="1"/>
  <c r="U198" i="28" s="1"/>
  <c r="AA198" i="28" s="1"/>
  <c r="AE198" i="28" s="1"/>
  <c r="AI198" i="28" s="1"/>
  <c r="AO198" i="28" s="1"/>
  <c r="AS198" i="28" s="1"/>
  <c r="AW198" i="28" s="1"/>
  <c r="BE198" i="28" s="1"/>
  <c r="D33" i="28"/>
  <c r="D361" i="28" s="1"/>
  <c r="D50" i="28"/>
  <c r="E65" i="73"/>
  <c r="AK100" i="50" l="1"/>
  <c r="AQ97" i="50"/>
  <c r="AK32" i="50"/>
  <c r="AK94" i="50" s="1"/>
  <c r="AQ4" i="50"/>
  <c r="AE12" i="77"/>
  <c r="AA13" i="77"/>
  <c r="Q54" i="28"/>
  <c r="U54" i="28" s="1"/>
  <c r="Q53" i="28"/>
  <c r="U53" i="28" s="1"/>
  <c r="I65" i="73"/>
  <c r="M65" i="73"/>
  <c r="AE103" i="73"/>
  <c r="AI103" i="73" s="1"/>
  <c r="AO103" i="73" s="1"/>
  <c r="AS103" i="73" s="1"/>
  <c r="AW103" i="73" s="1"/>
  <c r="BE103" i="73" s="1"/>
  <c r="U103" i="73"/>
  <c r="D27" i="21"/>
  <c r="AU97" i="50" l="1"/>
  <c r="AQ100" i="50"/>
  <c r="AQ32" i="50"/>
  <c r="AQ94" i="50" s="1"/>
  <c r="AU4" i="50"/>
  <c r="Q65" i="73"/>
  <c r="AA65" i="73"/>
  <c r="AI12" i="77"/>
  <c r="AE13" i="77"/>
  <c r="AE101" i="77" s="1"/>
  <c r="E29" i="15"/>
  <c r="AU100" i="50" l="1"/>
  <c r="AY97" i="50"/>
  <c r="AU32" i="50"/>
  <c r="AU94" i="50" s="1"/>
  <c r="AY4" i="50"/>
  <c r="AO12" i="77"/>
  <c r="AI13" i="77"/>
  <c r="AI101" i="77" s="1"/>
  <c r="F16" i="52"/>
  <c r="E16" i="52"/>
  <c r="F299" i="28"/>
  <c r="F235" i="28"/>
  <c r="F234" i="28"/>
  <c r="F185" i="28"/>
  <c r="F184" i="28"/>
  <c r="F47" i="28"/>
  <c r="F40" i="28"/>
  <c r="BG97" i="50" l="1"/>
  <c r="BG100" i="50" s="1"/>
  <c r="AY100" i="50"/>
  <c r="AY32" i="50"/>
  <c r="AY94" i="50" s="1"/>
  <c r="BG4" i="50"/>
  <c r="BG32" i="50" s="1"/>
  <c r="BG94" i="50" s="1"/>
  <c r="AS12" i="77"/>
  <c r="AO13" i="77"/>
  <c r="AO101" i="77" s="1"/>
  <c r="J47" i="28"/>
  <c r="N47" i="28"/>
  <c r="R47" i="28" s="1"/>
  <c r="V47" i="28" s="1"/>
  <c r="AB47" i="28" s="1"/>
  <c r="AF47" i="28" s="1"/>
  <c r="AJ47" i="28" s="1"/>
  <c r="AP47" i="28" s="1"/>
  <c r="AT47" i="28" s="1"/>
  <c r="AX47" i="28" s="1"/>
  <c r="BF47" i="28" s="1"/>
  <c r="J299" i="28"/>
  <c r="N299" i="28"/>
  <c r="AB299" i="28" s="1"/>
  <c r="AF299" i="28" s="1"/>
  <c r="AJ299" i="28" s="1"/>
  <c r="AP299" i="28" s="1"/>
  <c r="AT299" i="28" s="1"/>
  <c r="AX299" i="28" s="1"/>
  <c r="BF299" i="28" s="1"/>
  <c r="J235" i="28"/>
  <c r="N235" i="28"/>
  <c r="AB235" i="28" s="1"/>
  <c r="AF235" i="28" s="1"/>
  <c r="AJ235" i="28" s="1"/>
  <c r="AP235" i="28" s="1"/>
  <c r="AT235" i="28" s="1"/>
  <c r="AX235" i="28" s="1"/>
  <c r="BF235" i="28" s="1"/>
  <c r="J184" i="28"/>
  <c r="N184" i="28"/>
  <c r="AB184" i="28" s="1"/>
  <c r="AF184" i="28" s="1"/>
  <c r="AJ184" i="28" s="1"/>
  <c r="AP184" i="28" s="1"/>
  <c r="AT184" i="28" s="1"/>
  <c r="AX184" i="28" s="1"/>
  <c r="BF184" i="28" s="1"/>
  <c r="J185" i="28"/>
  <c r="N185" i="28"/>
  <c r="AB185" i="28" s="1"/>
  <c r="AF185" i="28" s="1"/>
  <c r="AJ185" i="28" s="1"/>
  <c r="AP185" i="28" s="1"/>
  <c r="AT185" i="28" s="1"/>
  <c r="AX185" i="28" s="1"/>
  <c r="BF185" i="28" s="1"/>
  <c r="J40" i="28"/>
  <c r="N40" i="28"/>
  <c r="R40" i="28" s="1"/>
  <c r="V40" i="28" s="1"/>
  <c r="AB40" i="28" s="1"/>
  <c r="AF40" i="28" s="1"/>
  <c r="J234" i="28"/>
  <c r="N234" i="28"/>
  <c r="AB234" i="28" s="1"/>
  <c r="AF234" i="28" s="1"/>
  <c r="AJ234" i="28" s="1"/>
  <c r="AP234" i="28" s="1"/>
  <c r="AT234" i="28" s="1"/>
  <c r="AX234" i="28" s="1"/>
  <c r="BF234" i="28" s="1"/>
  <c r="F33" i="28"/>
  <c r="F31" i="28"/>
  <c r="N31" i="28" s="1"/>
  <c r="AB31" i="28" s="1"/>
  <c r="AF31" i="28" s="1"/>
  <c r="AJ31" i="28" s="1"/>
  <c r="AP31" i="28" s="1"/>
  <c r="AT31" i="28" s="1"/>
  <c r="AX31" i="28" s="1"/>
  <c r="BF31" i="28" s="1"/>
  <c r="F30" i="28"/>
  <c r="N30" i="28" s="1"/>
  <c r="AB30" i="28" s="1"/>
  <c r="AF30" i="28" s="1"/>
  <c r="AJ30" i="28" s="1"/>
  <c r="AP30" i="28" s="1"/>
  <c r="AT30" i="28" s="1"/>
  <c r="AX30" i="28" s="1"/>
  <c r="BF30" i="28" s="1"/>
  <c r="F29" i="28"/>
  <c r="F28" i="28"/>
  <c r="G34" i="50"/>
  <c r="G35" i="50"/>
  <c r="G37" i="50"/>
  <c r="G38" i="50"/>
  <c r="G39" i="50"/>
  <c r="G33" i="50"/>
  <c r="AS13" i="77" l="1"/>
  <c r="AS101" i="77" s="1"/>
  <c r="AW12" i="77"/>
  <c r="AF393" i="28"/>
  <c r="AJ40" i="28"/>
  <c r="R185" i="28"/>
  <c r="V185" i="28" s="1"/>
  <c r="R299" i="28"/>
  <c r="V299" i="28" s="1"/>
  <c r="J33" i="28"/>
  <c r="N33" i="28"/>
  <c r="AB33" i="28" s="1"/>
  <c r="AF33" i="28" s="1"/>
  <c r="AJ33" i="28" s="1"/>
  <c r="AP33" i="28" s="1"/>
  <c r="AT33" i="28" s="1"/>
  <c r="AX33" i="28" s="1"/>
  <c r="BF33" i="28" s="1"/>
  <c r="R184" i="28"/>
  <c r="V184" i="28" s="1"/>
  <c r="R234" i="28"/>
  <c r="V234" i="28" s="1"/>
  <c r="R235" i="28"/>
  <c r="V235" i="28" s="1"/>
  <c r="F53" i="28"/>
  <c r="J31" i="28"/>
  <c r="F50" i="28"/>
  <c r="J28" i="28"/>
  <c r="N28" i="28" s="1"/>
  <c r="R28" i="28" s="1"/>
  <c r="V28" i="28" s="1"/>
  <c r="AB28" i="28" s="1"/>
  <c r="AF28" i="28" s="1"/>
  <c r="AJ28" i="28" s="1"/>
  <c r="AP28" i="28" s="1"/>
  <c r="AT28" i="28" s="1"/>
  <c r="AX28" i="28" s="1"/>
  <c r="BF28" i="28" s="1"/>
  <c r="F54" i="28"/>
  <c r="J32" i="28"/>
  <c r="F51" i="28"/>
  <c r="J29" i="28"/>
  <c r="N29" i="28" s="1"/>
  <c r="F52" i="28"/>
  <c r="J30" i="28"/>
  <c r="R30" i="28" s="1"/>
  <c r="V30" i="28" s="1"/>
  <c r="E37" i="27"/>
  <c r="E35" i="27"/>
  <c r="E29" i="27"/>
  <c r="E28" i="27"/>
  <c r="E27" i="27"/>
  <c r="E22" i="27"/>
  <c r="E20" i="27"/>
  <c r="E19" i="27"/>
  <c r="E18" i="27"/>
  <c r="AW13" i="77" l="1"/>
  <c r="AW101" i="77" s="1"/>
  <c r="BE12" i="77"/>
  <c r="BE13" i="77" s="1"/>
  <c r="BE101" i="77" s="1"/>
  <c r="F121" i="77" s="1"/>
  <c r="AJ393" i="28"/>
  <c r="AP40" i="28"/>
  <c r="R29" i="28"/>
  <c r="V29" i="28" s="1"/>
  <c r="AB29" i="28"/>
  <c r="AF29" i="28" s="1"/>
  <c r="AJ29" i="28" s="1"/>
  <c r="AP29" i="28" s="1"/>
  <c r="AT29" i="28" s="1"/>
  <c r="AX29" i="28" s="1"/>
  <c r="BF29" i="28" s="1"/>
  <c r="J51" i="28"/>
  <c r="N51" i="28"/>
  <c r="AB51" i="28" s="1"/>
  <c r="AF51" i="28" s="1"/>
  <c r="AJ51" i="28" s="1"/>
  <c r="AP51" i="28" s="1"/>
  <c r="AT51" i="28" s="1"/>
  <c r="AX51" i="28" s="1"/>
  <c r="BF51" i="28" s="1"/>
  <c r="J50" i="28"/>
  <c r="N50" i="28"/>
  <c r="AB50" i="28" s="1"/>
  <c r="AF50" i="28" s="1"/>
  <c r="AJ50" i="28" s="1"/>
  <c r="AP50" i="28" s="1"/>
  <c r="AT50" i="28" s="1"/>
  <c r="AX50" i="28" s="1"/>
  <c r="BF50" i="28" s="1"/>
  <c r="J52" i="28"/>
  <c r="N52" i="28"/>
  <c r="AB52" i="28" s="1"/>
  <c r="AF52" i="28" s="1"/>
  <c r="AJ52" i="28" s="1"/>
  <c r="AP52" i="28" s="1"/>
  <c r="AT52" i="28" s="1"/>
  <c r="AX52" i="28" s="1"/>
  <c r="BF52" i="28" s="1"/>
  <c r="J54" i="28"/>
  <c r="N54" i="28"/>
  <c r="AB54" i="28" s="1"/>
  <c r="AF54" i="28" s="1"/>
  <c r="AJ54" i="28" s="1"/>
  <c r="AP54" i="28" s="1"/>
  <c r="AT54" i="28" s="1"/>
  <c r="AX54" i="28" s="1"/>
  <c r="BF54" i="28" s="1"/>
  <c r="J53" i="28"/>
  <c r="N53" i="28"/>
  <c r="AB53" i="28" s="1"/>
  <c r="AF53" i="28" s="1"/>
  <c r="AJ53" i="28" s="1"/>
  <c r="AP53" i="28" s="1"/>
  <c r="AT53" i="28" s="1"/>
  <c r="AX53" i="28" s="1"/>
  <c r="BF53" i="28" s="1"/>
  <c r="R33" i="28"/>
  <c r="V33" i="28" s="1"/>
  <c r="R32" i="28"/>
  <c r="V32" i="28" s="1"/>
  <c r="R31" i="28"/>
  <c r="V31" i="28" s="1"/>
  <c r="D18" i="27"/>
  <c r="AP393" i="28" l="1"/>
  <c r="AT40" i="28"/>
  <c r="R53" i="28"/>
  <c r="V53" i="28" s="1"/>
  <c r="R52" i="28"/>
  <c r="V52" i="28" s="1"/>
  <c r="R51" i="28"/>
  <c r="V51" i="28" s="1"/>
  <c r="R54" i="28"/>
  <c r="V54" i="28" s="1"/>
  <c r="R50" i="28"/>
  <c r="V50" i="28" s="1"/>
  <c r="F28" i="22"/>
  <c r="F24" i="22"/>
  <c r="F23" i="22"/>
  <c r="F14" i="22"/>
  <c r="F10" i="22"/>
  <c r="F9" i="22"/>
  <c r="D39" i="27"/>
  <c r="E36" i="27"/>
  <c r="E39" i="27" s="1"/>
  <c r="D33" i="27"/>
  <c r="E26" i="27"/>
  <c r="E33" i="27" s="1"/>
  <c r="D24" i="27"/>
  <c r="E21" i="27"/>
  <c r="E24" i="27" s="1"/>
  <c r="G107" i="50"/>
  <c r="G32" i="50"/>
  <c r="G94" i="50" s="1"/>
  <c r="G9" i="61"/>
  <c r="AB128" i="10" l="1"/>
  <c r="AT393" i="28"/>
  <c r="AX40" i="28"/>
  <c r="F26" i="22"/>
  <c r="N24" i="22"/>
  <c r="N10" i="22"/>
  <c r="N15" i="22" s="1"/>
  <c r="G121" i="50"/>
  <c r="F12" i="22"/>
  <c r="J15" i="22"/>
  <c r="D123" i="26"/>
  <c r="E89" i="26"/>
  <c r="E82" i="26"/>
  <c r="E81" i="26"/>
  <c r="D84" i="26"/>
  <c r="D89" i="26" s="1"/>
  <c r="E49" i="26"/>
  <c r="E55" i="26" s="1"/>
  <c r="D49" i="26"/>
  <c r="D16" i="26"/>
  <c r="D14" i="26"/>
  <c r="E11" i="26"/>
  <c r="E17" i="26" s="1"/>
  <c r="D10" i="26"/>
  <c r="D8" i="26"/>
  <c r="E30" i="15"/>
  <c r="E28" i="15"/>
  <c r="E24" i="15"/>
  <c r="E23" i="15"/>
  <c r="E22" i="15"/>
  <c r="E21" i="15"/>
  <c r="D18" i="15"/>
  <c r="E17" i="15"/>
  <c r="E14" i="15"/>
  <c r="D11" i="15"/>
  <c r="D12" i="15" s="1"/>
  <c r="E10" i="15"/>
  <c r="E9" i="15"/>
  <c r="D9" i="15"/>
  <c r="E8" i="15"/>
  <c r="D8" i="15"/>
  <c r="E7" i="15"/>
  <c r="E6" i="15"/>
  <c r="E5" i="15"/>
  <c r="E34" i="15" l="1"/>
  <c r="E15" i="15" s="1"/>
  <c r="E16" i="15" s="1"/>
  <c r="M28" i="15"/>
  <c r="I28" i="15"/>
  <c r="I34" i="15" s="1"/>
  <c r="AX393" i="28"/>
  <c r="BF40" i="28"/>
  <c r="BF393" i="28" s="1"/>
  <c r="G123" i="50"/>
  <c r="G129" i="50" s="1"/>
  <c r="G122" i="50"/>
  <c r="D11" i="26"/>
  <c r="D17" i="26" s="1"/>
  <c r="D109" i="26"/>
  <c r="D74" i="26"/>
  <c r="D44" i="26"/>
  <c r="D82" i="26"/>
  <c r="D81" i="26"/>
  <c r="D55" i="26"/>
  <c r="E50" i="26"/>
  <c r="E56" i="26"/>
  <c r="D56" i="26"/>
  <c r="D50" i="26"/>
  <c r="E12" i="26"/>
  <c r="E18" i="26"/>
  <c r="Q28" i="15" l="1"/>
  <c r="AA28" i="15"/>
  <c r="M34" i="15"/>
  <c r="D18" i="26"/>
  <c r="D12" i="26"/>
  <c r="F133" i="6"/>
  <c r="F125" i="6"/>
  <c r="F124" i="6"/>
  <c r="F123" i="6"/>
  <c r="F122" i="6"/>
  <c r="F129" i="6"/>
  <c r="J129" i="6" s="1"/>
  <c r="AE28" i="15" l="1"/>
  <c r="AA34" i="15"/>
  <c r="U28" i="15"/>
  <c r="U34" i="15" s="1"/>
  <c r="Q34" i="15"/>
  <c r="J123" i="6"/>
  <c r="N123" i="6"/>
  <c r="AB123" i="6" s="1"/>
  <c r="AF123" i="6" s="1"/>
  <c r="E9" i="17"/>
  <c r="M9" i="17" s="1"/>
  <c r="AA9" i="17" s="1"/>
  <c r="AE9" i="17" s="1"/>
  <c r="AI28" i="15" l="1"/>
  <c r="AE34" i="15"/>
  <c r="AJ123" i="6"/>
  <c r="AI9" i="17"/>
  <c r="AO9" i="17" s="1"/>
  <c r="AS9" i="17" s="1"/>
  <c r="AW9" i="17" s="1"/>
  <c r="R123" i="6"/>
  <c r="V123" i="6" s="1"/>
  <c r="E104" i="73"/>
  <c r="M104" i="73" s="1"/>
  <c r="AO28" i="15" l="1"/>
  <c r="AI34" i="15"/>
  <c r="Q104" i="73"/>
  <c r="BE9" i="17"/>
  <c r="BE13" i="17" s="1"/>
  <c r="AW13" i="17"/>
  <c r="AP123" i="6"/>
  <c r="G106" i="50"/>
  <c r="AS28" i="15" l="1"/>
  <c r="AO34" i="15"/>
  <c r="AT123" i="6"/>
  <c r="AX123" i="6" s="1"/>
  <c r="G108" i="50"/>
  <c r="G10" i="72"/>
  <c r="S10" i="72"/>
  <c r="AW28" i="15" l="1"/>
  <c r="AS34" i="15"/>
  <c r="BF123" i="6"/>
  <c r="BE28" i="15" l="1"/>
  <c r="BE34" i="15" s="1"/>
  <c r="AW34" i="15"/>
  <c r="G88" i="50"/>
  <c r="K88" i="50" s="1"/>
  <c r="F95" i="9"/>
  <c r="N95" i="9" s="1"/>
  <c r="F131" i="8" l="1"/>
  <c r="F88" i="8"/>
  <c r="F85" i="8"/>
  <c r="N85" i="8" s="1"/>
  <c r="F83" i="8"/>
  <c r="F82" i="8"/>
  <c r="F67" i="8"/>
  <c r="F63" i="8"/>
  <c r="F59" i="8"/>
  <c r="F48" i="8"/>
  <c r="F25" i="8"/>
  <c r="F16" i="8"/>
  <c r="F14" i="8"/>
  <c r="N14" i="8" s="1"/>
  <c r="F13" i="8"/>
  <c r="N13" i="8" s="1"/>
  <c r="F12" i="8"/>
  <c r="F6" i="8"/>
  <c r="F43" i="8" s="1"/>
  <c r="D29" i="8"/>
  <c r="F60" i="8" l="1"/>
  <c r="R64" i="8"/>
  <c r="V64" i="8" s="1"/>
  <c r="D65" i="8"/>
  <c r="D36" i="8" s="1"/>
  <c r="F65" i="8"/>
  <c r="J64" i="8"/>
  <c r="J54" i="8" s="1"/>
  <c r="F15" i="8"/>
  <c r="F76" i="8"/>
  <c r="F86" i="8"/>
  <c r="F38" i="8"/>
  <c r="F44" i="8"/>
  <c r="F70" i="8"/>
  <c r="F33" i="8"/>
  <c r="N33" i="8" s="1"/>
  <c r="F72" i="8"/>
  <c r="F35" i="8"/>
  <c r="N35" i="8" s="1"/>
  <c r="F39" i="8"/>
  <c r="F45" i="8"/>
  <c r="F80" i="8"/>
  <c r="F40" i="8"/>
  <c r="F46" i="8"/>
  <c r="F57" i="8"/>
  <c r="F130" i="8"/>
  <c r="F42" i="8"/>
  <c r="F49" i="8"/>
  <c r="E122" i="6"/>
  <c r="E123" i="6"/>
  <c r="E124" i="6"/>
  <c r="I124" i="6" s="1"/>
  <c r="E125" i="6"/>
  <c r="D122" i="6"/>
  <c r="D123" i="6"/>
  <c r="D124" i="6"/>
  <c r="D125" i="6"/>
  <c r="E128" i="6"/>
  <c r="E129" i="6"/>
  <c r="I129" i="6" s="1"/>
  <c r="D128" i="6"/>
  <c r="D129" i="6"/>
  <c r="D130" i="6"/>
  <c r="F36" i="8" l="1"/>
  <c r="N36" i="8" s="1"/>
  <c r="AB36" i="8" s="1"/>
  <c r="AF36" i="8" s="1"/>
  <c r="AJ36" i="8" s="1"/>
  <c r="AP36" i="8" s="1"/>
  <c r="AT36" i="8" s="1"/>
  <c r="AX36" i="8" s="1"/>
  <c r="BF36" i="8" s="1"/>
  <c r="N54" i="8"/>
  <c r="N65" i="8" s="1"/>
  <c r="F71" i="8"/>
  <c r="I123" i="6"/>
  <c r="M123" i="6"/>
  <c r="J65" i="8"/>
  <c r="F41" i="8"/>
  <c r="F50" i="8"/>
  <c r="F132" i="8"/>
  <c r="F51" i="8" s="1"/>
  <c r="F61" i="8"/>
  <c r="E184" i="73"/>
  <c r="Q123" i="6" l="1"/>
  <c r="U123" i="6" s="1"/>
  <c r="M70" i="77"/>
  <c r="E71" i="77"/>
  <c r="E113" i="77" s="1"/>
  <c r="R54" i="8"/>
  <c r="V54" i="8" s="1"/>
  <c r="R36" i="8"/>
  <c r="V36" i="8" s="1"/>
  <c r="J71" i="8"/>
  <c r="J36" i="8"/>
  <c r="R65" i="8"/>
  <c r="V65" i="8" s="1"/>
  <c r="V71" i="8" s="1"/>
  <c r="N71" i="8"/>
  <c r="M184" i="73"/>
  <c r="F34" i="8"/>
  <c r="N34" i="8" s="1"/>
  <c r="F68" i="8"/>
  <c r="F69" i="8"/>
  <c r="D13" i="36"/>
  <c r="E6" i="21"/>
  <c r="D6" i="21"/>
  <c r="AA184" i="73" l="1"/>
  <c r="R71" i="8"/>
  <c r="M71" i="77"/>
  <c r="I70" i="77"/>
  <c r="I71" i="77" s="1"/>
  <c r="I113" i="77" s="1"/>
  <c r="D33" i="35"/>
  <c r="D32" i="35"/>
  <c r="E33" i="35"/>
  <c r="E32" i="35"/>
  <c r="E30" i="35"/>
  <c r="E21" i="28" s="1"/>
  <c r="E29" i="35"/>
  <c r="E14" i="28" s="1"/>
  <c r="I14" i="28" s="1"/>
  <c r="M14" i="28" s="1"/>
  <c r="E28" i="35"/>
  <c r="E7" i="28" s="1"/>
  <c r="I21" i="28" l="1"/>
  <c r="M21" i="28"/>
  <c r="Q21" i="28" s="1"/>
  <c r="U21" i="28" s="1"/>
  <c r="AA21" i="28" s="1"/>
  <c r="AE21" i="28" s="1"/>
  <c r="AI21" i="28" s="1"/>
  <c r="AO21" i="28" s="1"/>
  <c r="AS21" i="28" s="1"/>
  <c r="AW21" i="28" s="1"/>
  <c r="BE21" i="28" s="1"/>
  <c r="Q14" i="28"/>
  <c r="U14" i="28" s="1"/>
  <c r="AA14" i="28" s="1"/>
  <c r="AE14" i="28" s="1"/>
  <c r="AI14" i="28" s="1"/>
  <c r="AO14" i="28" s="1"/>
  <c r="AS14" i="28" s="1"/>
  <c r="AW14" i="28" s="1"/>
  <c r="BE14" i="28" s="1"/>
  <c r="Q70" i="77"/>
  <c r="Q71" i="77" s="1"/>
  <c r="Q113" i="77" s="1"/>
  <c r="I7" i="28"/>
  <c r="M7" i="28" s="1"/>
  <c r="E18" i="35"/>
  <c r="D17" i="15" s="1"/>
  <c r="D14" i="15" s="1"/>
  <c r="D15" i="15" s="1"/>
  <c r="E17" i="35"/>
  <c r="E16" i="35"/>
  <c r="D18" i="35"/>
  <c r="D17" i="35"/>
  <c r="D16" i="35"/>
  <c r="Q7" i="28" l="1"/>
  <c r="U7" i="28" s="1"/>
  <c r="AA7" i="28" s="1"/>
  <c r="AE7" i="28" s="1"/>
  <c r="AI7" i="28" s="1"/>
  <c r="AO7" i="28" s="1"/>
  <c r="AS7" i="28" s="1"/>
  <c r="AW7" i="28" s="1"/>
  <c r="BE7" i="28" s="1"/>
  <c r="AA70" i="77"/>
  <c r="AE70" i="77" s="1"/>
  <c r="AI70" i="77" s="1"/>
  <c r="AO70" i="77" s="1"/>
  <c r="AS70" i="77" s="1"/>
  <c r="AW70" i="77" l="1"/>
  <c r="BE70" i="77" s="1"/>
  <c r="H10" i="15"/>
  <c r="I10" i="15" l="1"/>
  <c r="V104" i="73" l="1"/>
  <c r="V113" i="73" s="1"/>
  <c r="V115" i="73" s="1"/>
  <c r="T104" i="73"/>
  <c r="T113" i="73" s="1"/>
  <c r="T115" i="73" s="1"/>
  <c r="S104" i="73"/>
  <c r="Y104" i="73" s="1"/>
  <c r="AA104" i="73" s="1"/>
  <c r="Z85" i="26" l="1"/>
  <c r="AA85" i="26"/>
  <c r="AE85" i="26" s="1"/>
  <c r="AI85" i="26" s="1"/>
  <c r="AO85" i="26" s="1"/>
  <c r="AS85" i="26" s="1"/>
  <c r="Z86" i="26"/>
  <c r="Z87" i="26"/>
  <c r="I68" i="73" l="1"/>
  <c r="M129" i="6" l="1"/>
  <c r="N129" i="6"/>
  <c r="AB129" i="6" s="1"/>
  <c r="AF129" i="6" s="1"/>
  <c r="M112" i="6"/>
  <c r="Q112" i="6" s="1"/>
  <c r="U112" i="6" s="1"/>
  <c r="N112" i="6"/>
  <c r="Y112" i="6"/>
  <c r="Z112" i="6"/>
  <c r="M95" i="6"/>
  <c r="Q95" i="6" s="1"/>
  <c r="U95" i="6" s="1"/>
  <c r="N95" i="6"/>
  <c r="R95" i="6" s="1"/>
  <c r="V95" i="6" s="1"/>
  <c r="Y95" i="6"/>
  <c r="Z95" i="6"/>
  <c r="AJ129" i="6" l="1"/>
  <c r="Q129" i="6"/>
  <c r="U129" i="6" s="1"/>
  <c r="AA129" i="6"/>
  <c r="AE129" i="6" s="1"/>
  <c r="AI129" i="6" s="1"/>
  <c r="R112" i="6"/>
  <c r="V112" i="6" s="1"/>
  <c r="AB112" i="6"/>
  <c r="AF112" i="6" s="1"/>
  <c r="AJ112" i="6" s="1"/>
  <c r="AP112" i="6" s="1"/>
  <c r="AT112" i="6" s="1"/>
  <c r="AX112" i="6" s="1"/>
  <c r="BF112" i="6" s="1"/>
  <c r="R129" i="6"/>
  <c r="V129" i="6" s="1"/>
  <c r="AA95" i="6"/>
  <c r="AE95" i="6" s="1"/>
  <c r="AA112" i="6"/>
  <c r="AE112" i="6" s="1"/>
  <c r="AI112" i="6" s="1"/>
  <c r="AO112" i="6" s="1"/>
  <c r="AS112" i="6" s="1"/>
  <c r="AB95" i="6"/>
  <c r="AF95" i="6" s="1"/>
  <c r="AJ95" i="6" s="1"/>
  <c r="AP95" i="6" s="1"/>
  <c r="AT95" i="6" s="1"/>
  <c r="AI95" i="6" l="1"/>
  <c r="AO95" i="6" s="1"/>
  <c r="AS95" i="6" s="1"/>
  <c r="AO129" i="6"/>
  <c r="AP129" i="6"/>
  <c r="AO7" i="71"/>
  <c r="AO8" i="71"/>
  <c r="AO9" i="71"/>
  <c r="AO10" i="71"/>
  <c r="AO11" i="71"/>
  <c r="AO12" i="71"/>
  <c r="AO13" i="71"/>
  <c r="AO14" i="71"/>
  <c r="AO15" i="71"/>
  <c r="AO16" i="71"/>
  <c r="AO18" i="71"/>
  <c r="AO19" i="71"/>
  <c r="AO20" i="71"/>
  <c r="AO21" i="71"/>
  <c r="AO23" i="71"/>
  <c r="AO24" i="71"/>
  <c r="AO25" i="71"/>
  <c r="AO26" i="71"/>
  <c r="AO28" i="71"/>
  <c r="AO31" i="71"/>
  <c r="AO32" i="71"/>
  <c r="AO33" i="71"/>
  <c r="AO34" i="71"/>
  <c r="AO35" i="71"/>
  <c r="AO36" i="71"/>
  <c r="AO37" i="71"/>
  <c r="AO38" i="71"/>
  <c r="AO39" i="71"/>
  <c r="AO41" i="71"/>
  <c r="AO42" i="71"/>
  <c r="AO43" i="71"/>
  <c r="AO44" i="71"/>
  <c r="AO45" i="71"/>
  <c r="AO50" i="71"/>
  <c r="AO52" i="71"/>
  <c r="AO53" i="71"/>
  <c r="AO54" i="71"/>
  <c r="AO55" i="71"/>
  <c r="AO56" i="71"/>
  <c r="AO57" i="71"/>
  <c r="AO58" i="71"/>
  <c r="AO59" i="71"/>
  <c r="AO60" i="71"/>
  <c r="AO61" i="71"/>
  <c r="AO62" i="71"/>
  <c r="AO63" i="71"/>
  <c r="AO64" i="71"/>
  <c r="AO65" i="71"/>
  <c r="AP65" i="71" s="1"/>
  <c r="AO66" i="71"/>
  <c r="AO67" i="71"/>
  <c r="AO68" i="71"/>
  <c r="AO70" i="71"/>
  <c r="AT129" i="6" l="1"/>
  <c r="AX129" i="6" s="1"/>
  <c r="AS129" i="6"/>
  <c r="AW129" i="6" s="1"/>
  <c r="AP61" i="71"/>
  <c r="AP53" i="71"/>
  <c r="AP54" i="71"/>
  <c r="AP37" i="71"/>
  <c r="AP23" i="71"/>
  <c r="AP9" i="71"/>
  <c r="AP36" i="71"/>
  <c r="AP21" i="71"/>
  <c r="AP8" i="71"/>
  <c r="AP64" i="71"/>
  <c r="AP56" i="71"/>
  <c r="AP52" i="71"/>
  <c r="AP35" i="71"/>
  <c r="AP20" i="71"/>
  <c r="AP7" i="71"/>
  <c r="AP55" i="71"/>
  <c r="AP34" i="71"/>
  <c r="AP19" i="71"/>
  <c r="AP18" i="71"/>
  <c r="AP26" i="71"/>
  <c r="AP57" i="71"/>
  <c r="AP25" i="71"/>
  <c r="AP70" i="71"/>
  <c r="AP44" i="71"/>
  <c r="AP31" i="71"/>
  <c r="AP28" i="71"/>
  <c r="AP42" i="71"/>
  <c r="AP39" i="71"/>
  <c r="AP38" i="71"/>
  <c r="AP15" i="71"/>
  <c r="AP13" i="71"/>
  <c r="AP12" i="71"/>
  <c r="AP24" i="71"/>
  <c r="AP11" i="71"/>
  <c r="AP10" i="71"/>
  <c r="AP60" i="71"/>
  <c r="AP58" i="71"/>
  <c r="AP43" i="71"/>
  <c r="AP41" i="71"/>
  <c r="AP32" i="71"/>
  <c r="AP14" i="71"/>
  <c r="AP16" i="71"/>
  <c r="AP33" i="71"/>
  <c r="AP45" i="71"/>
  <c r="AP59" i="71"/>
  <c r="AP63" i="71"/>
  <c r="AP50" i="71"/>
  <c r="AP68" i="71"/>
  <c r="AP62" i="71"/>
  <c r="AP66" i="71"/>
  <c r="AP67" i="71"/>
  <c r="BE129" i="6" l="1"/>
  <c r="BF129" i="6"/>
  <c r="E40" i="8"/>
  <c r="BC51" i="36" l="1"/>
  <c r="BC49" i="36"/>
  <c r="BC48" i="36"/>
  <c r="BC29" i="36"/>
  <c r="BC28" i="36"/>
  <c r="BC27" i="36"/>
  <c r="BC23" i="36"/>
  <c r="BC22" i="36"/>
  <c r="BC21" i="36"/>
  <c r="BC16" i="36"/>
  <c r="BC9" i="36"/>
  <c r="BC8" i="36"/>
  <c r="BC7" i="36"/>
  <c r="BC5" i="36"/>
  <c r="BA51" i="36"/>
  <c r="BA49" i="36"/>
  <c r="BA48" i="36"/>
  <c r="BB46" i="36"/>
  <c r="BB54" i="36" s="1"/>
  <c r="BB43" i="36"/>
  <c r="BB41" i="36"/>
  <c r="BB49" i="36" s="1"/>
  <c r="BA41" i="36"/>
  <c r="BB40" i="36"/>
  <c r="BB48" i="36" s="1"/>
  <c r="BB39" i="36"/>
  <c r="BB17" i="36" s="1"/>
  <c r="BE48" i="59" s="1"/>
  <c r="BB38" i="36"/>
  <c r="BB16" i="36" s="1"/>
  <c r="BE47" i="59" s="1"/>
  <c r="BA38" i="36"/>
  <c r="BB31" i="36"/>
  <c r="BA31" i="36"/>
  <c r="BA29" i="36"/>
  <c r="BA28" i="36"/>
  <c r="BA27" i="36"/>
  <c r="BA23" i="36"/>
  <c r="BA22" i="36"/>
  <c r="BA21" i="36"/>
  <c r="BA16" i="36"/>
  <c r="BA9" i="36"/>
  <c r="BA8" i="36"/>
  <c r="BA7" i="36"/>
  <c r="BA5" i="36"/>
  <c r="BB45" i="36" l="1"/>
  <c r="BB51" i="36"/>
  <c r="BB53" i="36" s="1"/>
  <c r="BA50" i="36"/>
  <c r="BC50" i="36"/>
  <c r="BB42" i="36"/>
  <c r="BB18" i="36" l="1"/>
  <c r="BE49" i="59" s="1"/>
  <c r="BB50" i="36"/>
  <c r="BB19" i="36" s="1"/>
  <c r="BE50" i="59" s="1"/>
  <c r="AA71" i="77" l="1"/>
  <c r="P70" i="77"/>
  <c r="T70" i="77" s="1"/>
  <c r="AE71" i="77" l="1"/>
  <c r="AA113" i="77"/>
  <c r="P44" i="77"/>
  <c r="P45" i="77"/>
  <c r="P46" i="77"/>
  <c r="P37" i="77"/>
  <c r="P38" i="77"/>
  <c r="P39" i="77"/>
  <c r="P41" i="77"/>
  <c r="AI71" i="77" l="1"/>
  <c r="AE113" i="77"/>
  <c r="Q88" i="50"/>
  <c r="Q89" i="50" s="1"/>
  <c r="Q90" i="50" s="1"/>
  <c r="U88" i="50"/>
  <c r="AO71" i="77" l="1"/>
  <c r="AI113" i="77"/>
  <c r="W88" i="50"/>
  <c r="W89" i="50" s="1"/>
  <c r="U89" i="50"/>
  <c r="U90" i="50" s="1"/>
  <c r="AS71" i="77" l="1"/>
  <c r="AO113" i="77"/>
  <c r="U25" i="73"/>
  <c r="U29" i="73"/>
  <c r="U36" i="73"/>
  <c r="U55" i="73"/>
  <c r="U64" i="73"/>
  <c r="U66" i="73"/>
  <c r="U99" i="73"/>
  <c r="U102" i="73"/>
  <c r="U106" i="73"/>
  <c r="U111" i="73"/>
  <c r="Q117" i="73"/>
  <c r="U117" i="73" s="1"/>
  <c r="Q122" i="73"/>
  <c r="Q132" i="73"/>
  <c r="Q161" i="73"/>
  <c r="U161" i="73" s="1"/>
  <c r="Q175" i="73"/>
  <c r="U175" i="73" s="1"/>
  <c r="Q177" i="73"/>
  <c r="U177" i="73" s="1"/>
  <c r="Q189" i="73"/>
  <c r="Q200" i="73"/>
  <c r="Q203" i="73"/>
  <c r="U203" i="73" s="1"/>
  <c r="Q212" i="73"/>
  <c r="U212" i="73" s="1"/>
  <c r="Q214" i="73"/>
  <c r="U214" i="73" s="1"/>
  <c r="I185" i="73"/>
  <c r="I189" i="73"/>
  <c r="I188" i="73" s="1"/>
  <c r="I191" i="73"/>
  <c r="I190" i="73" s="1"/>
  <c r="I196" i="73"/>
  <c r="I195" i="73" s="1"/>
  <c r="I197" i="73"/>
  <c r="I198" i="73"/>
  <c r="I200" i="73"/>
  <c r="I199" i="73" s="1"/>
  <c r="I202" i="73"/>
  <c r="I203" i="73"/>
  <c r="I205" i="73"/>
  <c r="I204" i="73" s="1"/>
  <c r="I207" i="73"/>
  <c r="I206" i="73" s="1"/>
  <c r="I209" i="73"/>
  <c r="I208" i="73" s="1"/>
  <c r="I212" i="73"/>
  <c r="I213" i="73"/>
  <c r="I214" i="73"/>
  <c r="I174" i="73"/>
  <c r="I175" i="73"/>
  <c r="I177" i="73"/>
  <c r="I132" i="73"/>
  <c r="I133" i="73"/>
  <c r="I158" i="73"/>
  <c r="I161" i="73"/>
  <c r="I163" i="73"/>
  <c r="I164" i="73"/>
  <c r="I166" i="73"/>
  <c r="I168" i="73"/>
  <c r="I170" i="73"/>
  <c r="I117" i="73"/>
  <c r="I118" i="73"/>
  <c r="I119" i="73"/>
  <c r="I122" i="73"/>
  <c r="I120" i="73" s="1"/>
  <c r="I124" i="73"/>
  <c r="I123" i="73" s="1"/>
  <c r="I126" i="73"/>
  <c r="I125" i="73" s="1"/>
  <c r="I127" i="73"/>
  <c r="I24" i="73"/>
  <c r="I25" i="73"/>
  <c r="I26" i="73"/>
  <c r="I28" i="73"/>
  <c r="I29" i="73"/>
  <c r="I31" i="73"/>
  <c r="I32" i="73"/>
  <c r="I33" i="73"/>
  <c r="I35" i="73"/>
  <c r="I36" i="73"/>
  <c r="I41" i="73"/>
  <c r="I47" i="73"/>
  <c r="I49" i="73"/>
  <c r="I51" i="73"/>
  <c r="I52" i="73"/>
  <c r="I54" i="73"/>
  <c r="I55" i="73"/>
  <c r="I57" i="73"/>
  <c r="I109" i="73"/>
  <c r="I66" i="73"/>
  <c r="I67" i="73"/>
  <c r="I99" i="73"/>
  <c r="I100" i="73"/>
  <c r="I102" i="73"/>
  <c r="I106" i="73"/>
  <c r="I108" i="73"/>
  <c r="I111" i="73"/>
  <c r="I112" i="73"/>
  <c r="AS113" i="77" l="1"/>
  <c r="AW71" i="77"/>
  <c r="U200" i="73"/>
  <c r="U199" i="73" s="1"/>
  <c r="Q199" i="73"/>
  <c r="U189" i="73"/>
  <c r="U188" i="73" s="1"/>
  <c r="Q188" i="73"/>
  <c r="U122" i="73"/>
  <c r="U120" i="73" s="1"/>
  <c r="Q120" i="73"/>
  <c r="U132" i="73"/>
  <c r="AE108" i="73"/>
  <c r="AI108" i="73" s="1"/>
  <c r="AO108" i="73" s="1"/>
  <c r="AS108" i="73" s="1"/>
  <c r="AW108" i="73" s="1"/>
  <c r="BE108" i="73" s="1"/>
  <c r="AE101" i="73"/>
  <c r="AI101" i="73" s="1"/>
  <c r="AO101" i="73" s="1"/>
  <c r="AS101" i="73" s="1"/>
  <c r="AW101" i="73" s="1"/>
  <c r="BE101" i="73" s="1"/>
  <c r="AE112" i="73"/>
  <c r="AI112" i="73" s="1"/>
  <c r="AO112" i="73" s="1"/>
  <c r="AS112" i="73" s="1"/>
  <c r="AW112" i="73" s="1"/>
  <c r="BE112" i="73" s="1"/>
  <c r="AE100" i="73"/>
  <c r="AI100" i="73" s="1"/>
  <c r="AO100" i="73" s="1"/>
  <c r="AS100" i="73" s="1"/>
  <c r="AW100" i="73" s="1"/>
  <c r="BE100" i="73" s="1"/>
  <c r="AE54" i="73"/>
  <c r="AI54" i="73" s="1"/>
  <c r="AO54" i="73" s="1"/>
  <c r="AS54" i="73" s="1"/>
  <c r="AW54" i="73" s="1"/>
  <c r="BE54" i="73" s="1"/>
  <c r="AE35" i="73"/>
  <c r="AI35" i="73" s="1"/>
  <c r="AO35" i="73" s="1"/>
  <c r="AS35" i="73" s="1"/>
  <c r="AW35" i="73" s="1"/>
  <c r="BE35" i="73" s="1"/>
  <c r="AE118" i="73"/>
  <c r="AI118" i="73" s="1"/>
  <c r="AO118" i="73" s="1"/>
  <c r="AS118" i="73" s="1"/>
  <c r="AW118" i="73" s="1"/>
  <c r="BE118" i="73" s="1"/>
  <c r="AE109" i="73"/>
  <c r="AI109" i="73" s="1"/>
  <c r="AO109" i="73" s="1"/>
  <c r="AS109" i="73" s="1"/>
  <c r="AW109" i="73" s="1"/>
  <c r="BE109" i="73" s="1"/>
  <c r="BE10" i="15" s="1"/>
  <c r="AE24" i="73"/>
  <c r="AI24" i="73" s="1"/>
  <c r="AO24" i="73" s="1"/>
  <c r="AS24" i="73" s="1"/>
  <c r="AW24" i="73" s="1"/>
  <c r="BE24" i="73" s="1"/>
  <c r="Q185" i="73"/>
  <c r="U185" i="73" s="1"/>
  <c r="U108" i="73"/>
  <c r="U52" i="73"/>
  <c r="AE117" i="73"/>
  <c r="AI117" i="73" s="1"/>
  <c r="AO117" i="73" s="1"/>
  <c r="AS117" i="73" s="1"/>
  <c r="AW117" i="73" s="1"/>
  <c r="BE117" i="73" s="1"/>
  <c r="U170" i="73"/>
  <c r="U164" i="73"/>
  <c r="Q118" i="73"/>
  <c r="U118" i="73" s="1"/>
  <c r="U41" i="73"/>
  <c r="Q198" i="73"/>
  <c r="U198" i="73" s="1"/>
  <c r="U57" i="73"/>
  <c r="Q126" i="73"/>
  <c r="U100" i="73"/>
  <c r="U35" i="73"/>
  <c r="U33" i="73"/>
  <c r="Q205" i="73"/>
  <c r="Q174" i="73"/>
  <c r="U174" i="73" s="1"/>
  <c r="Q124" i="73"/>
  <c r="U54" i="73"/>
  <c r="U168" i="73"/>
  <c r="U28" i="73"/>
  <c r="U26" i="73"/>
  <c r="AE111" i="73"/>
  <c r="AI111" i="73" s="1"/>
  <c r="AO111" i="73" s="1"/>
  <c r="AS111" i="73" s="1"/>
  <c r="AW111" i="73" s="1"/>
  <c r="BE111" i="73" s="1"/>
  <c r="Q213" i="73"/>
  <c r="U213" i="73" s="1"/>
  <c r="U112" i="73"/>
  <c r="U24" i="73"/>
  <c r="Q197" i="73"/>
  <c r="U197" i="73" s="1"/>
  <c r="Q202" i="73"/>
  <c r="U202" i="73" s="1"/>
  <c r="Q196" i="73"/>
  <c r="U47" i="73"/>
  <c r="AE99" i="73"/>
  <c r="AI99" i="73" s="1"/>
  <c r="AO99" i="73" s="1"/>
  <c r="AS99" i="73" s="1"/>
  <c r="AW99" i="73" s="1"/>
  <c r="BE99" i="73" s="1"/>
  <c r="Q209" i="73"/>
  <c r="Q127" i="73"/>
  <c r="AE66" i="73"/>
  <c r="AI66" i="73" s="1"/>
  <c r="AO66" i="73" s="1"/>
  <c r="AS66" i="73" s="1"/>
  <c r="U51" i="73"/>
  <c r="Q163" i="73"/>
  <c r="U163" i="73" s="1"/>
  <c r="U67" i="73"/>
  <c r="Q207" i="73"/>
  <c r="AE49" i="73"/>
  <c r="AI49" i="73" s="1"/>
  <c r="AO49" i="73" s="1"/>
  <c r="AS49" i="73" s="1"/>
  <c r="AW49" i="73" s="1"/>
  <c r="BE49" i="73" s="1"/>
  <c r="U49" i="73"/>
  <c r="U32" i="73"/>
  <c r="AE119" i="73"/>
  <c r="AI119" i="73" s="1"/>
  <c r="AO119" i="73" s="1"/>
  <c r="AS119" i="73" s="1"/>
  <c r="AW119" i="73" s="1"/>
  <c r="BE119" i="73" s="1"/>
  <c r="Q119" i="73"/>
  <c r="U119" i="73" s="1"/>
  <c r="Q191" i="73"/>
  <c r="Q190" i="73" s="1"/>
  <c r="AE132" i="73"/>
  <c r="AI132" i="73" s="1"/>
  <c r="AO132" i="73" s="1"/>
  <c r="AS132" i="73" s="1"/>
  <c r="AW132" i="73" s="1"/>
  <c r="BE132" i="73" s="1"/>
  <c r="AE106" i="73"/>
  <c r="AI106" i="73" s="1"/>
  <c r="AO106" i="73" s="1"/>
  <c r="AS106" i="73" s="1"/>
  <c r="AW106" i="73" s="1"/>
  <c r="BE106" i="73" s="1"/>
  <c r="U166" i="73"/>
  <c r="U31" i="73"/>
  <c r="AE102" i="73"/>
  <c r="AI102" i="73" s="1"/>
  <c r="AO102" i="73" s="1"/>
  <c r="AS102" i="73" s="1"/>
  <c r="AW102" i="73" s="1"/>
  <c r="BE102" i="73" s="1"/>
  <c r="BE71" i="77" l="1"/>
  <c r="BE113" i="77" s="1"/>
  <c r="F134" i="77" s="1"/>
  <c r="AW113" i="77"/>
  <c r="AW66" i="73"/>
  <c r="BE66" i="73" s="1"/>
  <c r="BH82" i="73"/>
  <c r="U207" i="73"/>
  <c r="U206" i="73" s="1"/>
  <c r="Q206" i="73"/>
  <c r="U205" i="73"/>
  <c r="U204" i="73" s="1"/>
  <c r="Q204" i="73"/>
  <c r="U209" i="73"/>
  <c r="U208" i="73" s="1"/>
  <c r="Q208" i="73"/>
  <c r="U196" i="73"/>
  <c r="U195" i="73" s="1"/>
  <c r="Q195" i="73"/>
  <c r="U191" i="73"/>
  <c r="U190" i="73" s="1"/>
  <c r="AE122" i="73"/>
  <c r="AE126" i="73"/>
  <c r="AE124" i="73"/>
  <c r="U124" i="73"/>
  <c r="U123" i="73" s="1"/>
  <c r="Q123" i="73"/>
  <c r="U126" i="73"/>
  <c r="U125" i="73" s="1"/>
  <c r="Q125" i="73"/>
  <c r="U127" i="73"/>
  <c r="AE127" i="73"/>
  <c r="U109" i="73"/>
  <c r="AI124" i="73" l="1"/>
  <c r="AE123" i="73"/>
  <c r="AI126" i="73"/>
  <c r="AE125" i="73"/>
  <c r="AI122" i="73"/>
  <c r="AE120" i="73"/>
  <c r="AI127" i="73"/>
  <c r="AO122" i="73" l="1"/>
  <c r="AS122" i="73" s="1"/>
  <c r="AI120" i="73"/>
  <c r="AO120" i="73" s="1"/>
  <c r="AO126" i="73"/>
  <c r="AS126" i="73" s="1"/>
  <c r="AI125" i="73"/>
  <c r="AO125" i="73" s="1"/>
  <c r="AO127" i="73"/>
  <c r="AS127" i="73" s="1"/>
  <c r="AW127" i="73" s="1"/>
  <c r="BE127" i="73" s="1"/>
  <c r="AO124" i="73"/>
  <c r="AS124" i="73" s="1"/>
  <c r="AI123" i="73"/>
  <c r="AO123" i="73" s="1"/>
  <c r="AS123" i="73" l="1"/>
  <c r="AW124" i="73"/>
  <c r="AS125" i="73"/>
  <c r="AW126" i="73"/>
  <c r="AS120" i="73"/>
  <c r="AW122" i="73"/>
  <c r="AD72" i="77"/>
  <c r="P72" i="77"/>
  <c r="U72" i="77"/>
  <c r="U114" i="77" s="1"/>
  <c r="Q74" i="77"/>
  <c r="U74" i="77" s="1"/>
  <c r="Q75" i="77"/>
  <c r="U75" i="77" s="1"/>
  <c r="AD73" i="77"/>
  <c r="AH73" i="77" l="1"/>
  <c r="AD115" i="77"/>
  <c r="T72" i="77"/>
  <c r="T114" i="77" s="1"/>
  <c r="P114" i="77"/>
  <c r="AH72" i="77"/>
  <c r="AD114" i="77"/>
  <c r="AW120" i="73"/>
  <c r="BE122" i="73"/>
  <c r="BE120" i="73" s="1"/>
  <c r="AW125" i="73"/>
  <c r="BE126" i="73"/>
  <c r="BE125" i="73" s="1"/>
  <c r="AW123" i="73"/>
  <c r="BE124" i="73"/>
  <c r="BE123" i="73" s="1"/>
  <c r="Y73" i="77"/>
  <c r="Q73" i="77"/>
  <c r="U73" i="77" l="1"/>
  <c r="U115" i="77" s="1"/>
  <c r="Q115" i="77"/>
  <c r="AN72" i="77"/>
  <c r="AH114" i="77"/>
  <c r="AA73" i="77"/>
  <c r="Y115" i="77"/>
  <c r="AN73" i="77"/>
  <c r="AH115" i="77"/>
  <c r="H17" i="61"/>
  <c r="J17" i="61"/>
  <c r="L17" i="61"/>
  <c r="N17" i="61"/>
  <c r="P17" i="61"/>
  <c r="R17" i="61"/>
  <c r="T17" i="61"/>
  <c r="X17" i="61"/>
  <c r="Z17" i="61"/>
  <c r="AB17" i="61"/>
  <c r="AR73" i="77" l="1"/>
  <c r="AN115" i="77"/>
  <c r="AE73" i="77"/>
  <c r="AA115" i="77"/>
  <c r="AR72" i="77"/>
  <c r="AN114" i="77"/>
  <c r="M18" i="7"/>
  <c r="AV72" i="77" l="1"/>
  <c r="AV114" i="77" s="1"/>
  <c r="AR114" i="77"/>
  <c r="AI73" i="77"/>
  <c r="AE115" i="77"/>
  <c r="AV73" i="77"/>
  <c r="AV115" i="77" s="1"/>
  <c r="AR115" i="77"/>
  <c r="Q18" i="7"/>
  <c r="U18" i="7" s="1"/>
  <c r="AA18" i="7"/>
  <c r="AE18" i="7" s="1"/>
  <c r="AI18" i="7" s="1"/>
  <c r="AO18" i="7" s="1"/>
  <c r="AS18" i="7" s="1"/>
  <c r="AW18" i="7" s="1"/>
  <c r="BE18" i="7" s="1"/>
  <c r="R18" i="7"/>
  <c r="V18" i="7" s="1"/>
  <c r="AO73" i="77" l="1"/>
  <c r="AI115" i="77"/>
  <c r="B24" i="15"/>
  <c r="AS73" i="77" l="1"/>
  <c r="AO115" i="77"/>
  <c r="AJ31" i="36"/>
  <c r="AI31" i="36"/>
  <c r="AS115" i="77" l="1"/>
  <c r="AW73" i="77"/>
  <c r="Z213" i="73"/>
  <c r="E210" i="73"/>
  <c r="BE73" i="77" l="1"/>
  <c r="BE115" i="77" s="1"/>
  <c r="AW115" i="77"/>
  <c r="M210" i="73"/>
  <c r="I210" i="73"/>
  <c r="AA210" i="73" l="1"/>
  <c r="AE210" i="73" s="1"/>
  <c r="Q210" i="73"/>
  <c r="E19" i="7"/>
  <c r="F19" i="7"/>
  <c r="S19" i="7"/>
  <c r="S37" i="7" s="1"/>
  <c r="T19" i="7"/>
  <c r="S48" i="39" s="1"/>
  <c r="D19" i="7"/>
  <c r="U210" i="73" l="1"/>
  <c r="AI210" i="73"/>
  <c r="E48" i="39"/>
  <c r="M48" i="39" s="1"/>
  <c r="S50" i="39"/>
  <c r="Y50" i="39" s="1"/>
  <c r="Y48" i="39"/>
  <c r="S46" i="7"/>
  <c r="AO210" i="73" l="1"/>
  <c r="I48" i="39"/>
  <c r="Q48" i="39" s="1"/>
  <c r="U48" i="39" s="1"/>
  <c r="E50" i="39"/>
  <c r="M50" i="39" s="1"/>
  <c r="AA50" i="39" s="1"/>
  <c r="AE50" i="39" s="1"/>
  <c r="AI50" i="39" s="1"/>
  <c r="AO50" i="39" s="1"/>
  <c r="AS50" i="39" s="1"/>
  <c r="AW50" i="39" s="1"/>
  <c r="BE50" i="39" s="1"/>
  <c r="AA48" i="39"/>
  <c r="AE48" i="39" s="1"/>
  <c r="AI48" i="39" s="1"/>
  <c r="AO48" i="39" s="1"/>
  <c r="AS48" i="39" s="1"/>
  <c r="AW48" i="39" s="1"/>
  <c r="BE48" i="39" s="1"/>
  <c r="AS210" i="73" l="1"/>
  <c r="I50" i="39"/>
  <c r="Q50" i="39"/>
  <c r="U50" i="39" s="1"/>
  <c r="AW210" i="73" l="1"/>
  <c r="BE210" i="73" s="1"/>
  <c r="BJ24" i="21"/>
  <c r="Y123" i="6" l="1"/>
  <c r="AA123" i="6" s="1"/>
  <c r="AE123" i="6" s="1"/>
  <c r="AI123" i="6" s="1"/>
  <c r="AO123" i="6" l="1"/>
  <c r="AS123" i="6" s="1"/>
  <c r="AW123" i="6" s="1"/>
  <c r="Y105" i="45"/>
  <c r="Y104" i="45"/>
  <c r="Y102" i="45"/>
  <c r="BE123" i="6" l="1"/>
  <c r="W20" i="72"/>
  <c r="Y20" i="72" l="1"/>
  <c r="AC20" i="72" s="1"/>
  <c r="AG20" i="72" s="1"/>
  <c r="AM20" i="72" s="1"/>
  <c r="R127" i="8"/>
  <c r="V127" i="8" s="1"/>
  <c r="J127" i="8"/>
  <c r="AQ20" i="72" l="1"/>
  <c r="AU20" i="72" s="1"/>
  <c r="BC20" i="72" l="1"/>
  <c r="N165" i="10"/>
  <c r="AF126" i="10" l="1"/>
  <c r="AB126" i="10"/>
  <c r="AF157" i="10"/>
  <c r="AJ126" i="10"/>
  <c r="R50" i="11"/>
  <c r="V50" i="11" s="1"/>
  <c r="AB41" i="11"/>
  <c r="AF41" i="11" s="1"/>
  <c r="AB165" i="10" l="1"/>
  <c r="AB125" i="10"/>
  <c r="AC93" i="50" s="1"/>
  <c r="AB124" i="10"/>
  <c r="AJ157" i="10"/>
  <c r="AP126" i="10"/>
  <c r="AF149" i="10"/>
  <c r="AF53" i="11"/>
  <c r="AF85" i="11" s="1"/>
  <c r="AJ41" i="11"/>
  <c r="T37" i="35"/>
  <c r="X37" i="35"/>
  <c r="P37" i="35"/>
  <c r="H37" i="35"/>
  <c r="F37" i="35"/>
  <c r="L37" i="35"/>
  <c r="AC95" i="50" l="1"/>
  <c r="AC96" i="50"/>
  <c r="AF124" i="10"/>
  <c r="AF125" i="10"/>
  <c r="AG93" i="50" s="1"/>
  <c r="AB129" i="10"/>
  <c r="AJ149" i="10"/>
  <c r="AT126" i="10"/>
  <c r="AF77" i="11"/>
  <c r="AJ53" i="11"/>
  <c r="AJ85" i="11" s="1"/>
  <c r="AP41" i="11"/>
  <c r="AT41" i="11" s="1"/>
  <c r="AF165" i="10"/>
  <c r="Z17" i="49"/>
  <c r="Z18" i="49" s="1"/>
  <c r="Z92" i="8"/>
  <c r="R106" i="8"/>
  <c r="V106" i="8" s="1"/>
  <c r="R107" i="8"/>
  <c r="V107" i="8" s="1"/>
  <c r="R109" i="8"/>
  <c r="V109" i="8" s="1"/>
  <c r="AG95" i="50" l="1"/>
  <c r="AG96" i="50"/>
  <c r="AJ124" i="10"/>
  <c r="AJ125" i="10"/>
  <c r="AK93" i="50" s="1"/>
  <c r="AT53" i="11"/>
  <c r="AX41" i="11"/>
  <c r="AX53" i="11" s="1"/>
  <c r="AT149" i="10"/>
  <c r="AJ165" i="10"/>
  <c r="AJ77" i="11"/>
  <c r="AP157" i="10"/>
  <c r="AP149" i="10"/>
  <c r="AT85" i="11"/>
  <c r="AT77" i="11"/>
  <c r="AP53" i="11"/>
  <c r="AF166" i="10"/>
  <c r="AF143" i="10"/>
  <c r="AI59" i="59" s="1"/>
  <c r="AF156" i="10"/>
  <c r="AF158" i="10" s="1"/>
  <c r="AF162" i="10"/>
  <c r="Z9" i="52"/>
  <c r="Y9" i="52"/>
  <c r="Z5" i="52"/>
  <c r="Y5" i="52"/>
  <c r="AK95" i="50" l="1"/>
  <c r="AK96" i="50"/>
  <c r="AP125" i="10"/>
  <c r="AQ93" i="50" s="1"/>
  <c r="AP124" i="10"/>
  <c r="AP156" i="10" s="1"/>
  <c r="AP158" i="10" s="1"/>
  <c r="AX126" i="10"/>
  <c r="AX149" i="10" s="1"/>
  <c r="BF126" i="10"/>
  <c r="AP165" i="10"/>
  <c r="AT157" i="10"/>
  <c r="AX77" i="11"/>
  <c r="AX85" i="11"/>
  <c r="AJ166" i="10"/>
  <c r="AP85" i="11"/>
  <c r="AP77" i="11"/>
  <c r="AJ156" i="10"/>
  <c r="AJ158" i="10" s="1"/>
  <c r="AJ162" i="10"/>
  <c r="AJ143" i="10"/>
  <c r="AM59" i="59" s="1"/>
  <c r="Y8" i="52"/>
  <c r="Z16" i="52"/>
  <c r="Y16" i="52"/>
  <c r="Z8" i="52"/>
  <c r="U63" i="77"/>
  <c r="U112" i="77" s="1"/>
  <c r="P63" i="77"/>
  <c r="U62" i="77"/>
  <c r="U110" i="77" s="1"/>
  <c r="P62" i="77"/>
  <c r="U61" i="77"/>
  <c r="P61" i="77"/>
  <c r="T61" i="77" s="1"/>
  <c r="U60" i="77"/>
  <c r="P60" i="77"/>
  <c r="T60" i="77" s="1"/>
  <c r="U59" i="77"/>
  <c r="P59" i="77"/>
  <c r="T59" i="77" s="1"/>
  <c r="U56" i="77"/>
  <c r="P56" i="77"/>
  <c r="T56" i="77" s="1"/>
  <c r="U54" i="77"/>
  <c r="P54" i="77"/>
  <c r="U53" i="77"/>
  <c r="P53" i="77"/>
  <c r="T53" i="77" s="1"/>
  <c r="U52" i="77"/>
  <c r="T52" i="77"/>
  <c r="U51" i="77"/>
  <c r="P51" i="77"/>
  <c r="T51" i="77" s="1"/>
  <c r="U50" i="77"/>
  <c r="P50" i="77"/>
  <c r="T50" i="77" s="1"/>
  <c r="U49" i="77"/>
  <c r="P49" i="77"/>
  <c r="U48" i="77"/>
  <c r="U111" i="77" s="1"/>
  <c r="P48" i="77"/>
  <c r="U47" i="77"/>
  <c r="P47" i="77"/>
  <c r="T47" i="77" s="1"/>
  <c r="U41" i="77"/>
  <c r="T41" i="77"/>
  <c r="U39" i="77"/>
  <c r="T39" i="77"/>
  <c r="U38" i="77"/>
  <c r="T38" i="77"/>
  <c r="U37" i="77"/>
  <c r="T37" i="77"/>
  <c r="U36" i="77"/>
  <c r="P36" i="77"/>
  <c r="T36" i="77" s="1"/>
  <c r="U35" i="77"/>
  <c r="P35" i="77"/>
  <c r="T35" i="77" s="1"/>
  <c r="U34" i="77"/>
  <c r="P34" i="77"/>
  <c r="U31" i="77"/>
  <c r="P31" i="77"/>
  <c r="T31" i="77" s="1"/>
  <c r="U30" i="77"/>
  <c r="P30" i="77"/>
  <c r="U28" i="77"/>
  <c r="P28" i="77"/>
  <c r="T28" i="77" s="1"/>
  <c r="U27" i="77"/>
  <c r="P27" i="77"/>
  <c r="T27" i="77" s="1"/>
  <c r="U26" i="77"/>
  <c r="P26" i="77"/>
  <c r="T26" i="77" s="1"/>
  <c r="U24" i="77"/>
  <c r="P24" i="77"/>
  <c r="U22" i="77"/>
  <c r="T22" i="77"/>
  <c r="U21" i="77"/>
  <c r="P21" i="77"/>
  <c r="U17" i="77"/>
  <c r="P17" i="77"/>
  <c r="T17" i="77" s="1"/>
  <c r="U16" i="77"/>
  <c r="U18" i="77" s="1"/>
  <c r="P16" i="77"/>
  <c r="U15" i="77"/>
  <c r="P15" i="77"/>
  <c r="T15" i="77" s="1"/>
  <c r="U14" i="77"/>
  <c r="P14" i="77"/>
  <c r="T14" i="77" s="1"/>
  <c r="U12" i="77"/>
  <c r="P12" i="77"/>
  <c r="T12" i="77" s="1"/>
  <c r="U11" i="77"/>
  <c r="P11" i="77"/>
  <c r="T11" i="77" s="1"/>
  <c r="U10" i="77"/>
  <c r="P10" i="77"/>
  <c r="U9" i="77"/>
  <c r="P9" i="77"/>
  <c r="T9" i="77" s="1"/>
  <c r="U8" i="77"/>
  <c r="P8" i="77"/>
  <c r="T8" i="77" s="1"/>
  <c r="U6" i="77"/>
  <c r="P6" i="77"/>
  <c r="T6" i="77" s="1"/>
  <c r="U5" i="77"/>
  <c r="P5" i="77"/>
  <c r="T5" i="77" s="1"/>
  <c r="Y4" i="77"/>
  <c r="X4" i="77"/>
  <c r="I4" i="77"/>
  <c r="H4" i="77"/>
  <c r="T62" i="77" l="1"/>
  <c r="T110" i="77" s="1"/>
  <c r="P110" i="77"/>
  <c r="T48" i="77"/>
  <c r="T111" i="77" s="1"/>
  <c r="P111" i="77"/>
  <c r="U102" i="77"/>
  <c r="U104" i="77"/>
  <c r="T54" i="77"/>
  <c r="P109" i="77"/>
  <c r="T109" i="77"/>
  <c r="U109" i="77"/>
  <c r="T63" i="77"/>
  <c r="T112" i="77" s="1"/>
  <c r="P112" i="77"/>
  <c r="P108" i="77"/>
  <c r="U108" i="77"/>
  <c r="AQ95" i="50"/>
  <c r="AQ96" i="50"/>
  <c r="AP166" i="10"/>
  <c r="BF157" i="10"/>
  <c r="BF149" i="10"/>
  <c r="AP143" i="10"/>
  <c r="AS59" i="59" s="1"/>
  <c r="AX157" i="10"/>
  <c r="AT124" i="10"/>
  <c r="AT156" i="10" s="1"/>
  <c r="AT158" i="10" s="1"/>
  <c r="AT125" i="10"/>
  <c r="AU93" i="50" s="1"/>
  <c r="U33" i="77"/>
  <c r="U106" i="77" s="1"/>
  <c r="U23" i="77"/>
  <c r="U103" i="77" s="1"/>
  <c r="U43" i="77"/>
  <c r="U29" i="77"/>
  <c r="AP162" i="10"/>
  <c r="AT165" i="10"/>
  <c r="T10" i="77"/>
  <c r="T13" i="77" s="1"/>
  <c r="T101" i="77" s="1"/>
  <c r="P13" i="77"/>
  <c r="P101" i="77" s="1"/>
  <c r="T49" i="77"/>
  <c r="T58" i="77" s="1"/>
  <c r="P58" i="77"/>
  <c r="AA4" i="77"/>
  <c r="Y7" i="77"/>
  <c r="P4" i="77"/>
  <c r="H7" i="77"/>
  <c r="H100" i="77" s="1"/>
  <c r="Q4" i="77"/>
  <c r="I7" i="77"/>
  <c r="I100" i="77" s="1"/>
  <c r="U13" i="77"/>
  <c r="U101" i="77" s="1"/>
  <c r="U58" i="77"/>
  <c r="Z4" i="77"/>
  <c r="X7" i="77"/>
  <c r="T16" i="77"/>
  <c r="T18" i="77" s="1"/>
  <c r="P18" i="77"/>
  <c r="T21" i="77"/>
  <c r="T23" i="77" s="1"/>
  <c r="T103" i="77" s="1"/>
  <c r="P23" i="77"/>
  <c r="P103" i="77" s="1"/>
  <c r="T24" i="77"/>
  <c r="T29" i="77" s="1"/>
  <c r="P29" i="77"/>
  <c r="T30" i="77"/>
  <c r="T33" i="77" s="1"/>
  <c r="T106" i="77" s="1"/>
  <c r="P33" i="77"/>
  <c r="P106" i="77" s="1"/>
  <c r="T34" i="77"/>
  <c r="P43" i="77"/>
  <c r="T46" i="77"/>
  <c r="U46" i="77"/>
  <c r="U44" i="77"/>
  <c r="T45" i="77"/>
  <c r="U45" i="77"/>
  <c r="T44" i="77"/>
  <c r="Y17" i="52"/>
  <c r="Z17" i="52"/>
  <c r="T102" i="77" l="1"/>
  <c r="T104" i="77"/>
  <c r="T105" i="77"/>
  <c r="T107" i="77" s="1"/>
  <c r="U105" i="77"/>
  <c r="U107" i="77" s="1"/>
  <c r="P102" i="77"/>
  <c r="P104" i="77"/>
  <c r="T43" i="77"/>
  <c r="T108" i="77"/>
  <c r="P105" i="77"/>
  <c r="P107" i="77" s="1"/>
  <c r="AU95" i="50"/>
  <c r="AU96" i="50"/>
  <c r="AT143" i="10"/>
  <c r="AW59" i="59" s="1"/>
  <c r="AT162" i="10"/>
  <c r="AX124" i="10"/>
  <c r="AX162" i="10" s="1"/>
  <c r="AX125" i="10"/>
  <c r="AY93" i="50" s="1"/>
  <c r="AX165" i="10"/>
  <c r="AT166" i="10"/>
  <c r="T4" i="77"/>
  <c r="T7" i="77" s="1"/>
  <c r="T100" i="77" s="1"/>
  <c r="P7" i="77"/>
  <c r="P100" i="77" s="1"/>
  <c r="AD4" i="77"/>
  <c r="Z7" i="77"/>
  <c r="U4" i="77"/>
  <c r="U7" i="77" s="1"/>
  <c r="U100" i="77" s="1"/>
  <c r="Q7" i="77"/>
  <c r="Q100" i="77" s="1"/>
  <c r="AE4" i="77"/>
  <c r="AA7" i="77"/>
  <c r="P64" i="77"/>
  <c r="T64" i="77" s="1"/>
  <c r="AY95" i="50" l="1"/>
  <c r="AY96" i="50"/>
  <c r="AX156" i="10"/>
  <c r="AX166" i="10"/>
  <c r="BF125" i="10"/>
  <c r="BG93" i="50" s="1"/>
  <c r="BF124" i="10"/>
  <c r="AX143" i="10"/>
  <c r="BA59" i="59" s="1"/>
  <c r="AX158" i="10"/>
  <c r="AH4" i="77"/>
  <c r="AD7" i="77"/>
  <c r="AD100" i="77" s="1"/>
  <c r="AI4" i="77"/>
  <c r="AE7" i="77"/>
  <c r="AE100" i="77" s="1"/>
  <c r="T71" i="77"/>
  <c r="T113" i="77" s="1"/>
  <c r="M6" i="71"/>
  <c r="M77" i="71" s="1"/>
  <c r="Y74" i="45"/>
  <c r="Y107" i="45" s="1"/>
  <c r="U74" i="45"/>
  <c r="X31" i="35"/>
  <c r="X35" i="35" s="1"/>
  <c r="T73" i="45"/>
  <c r="T112" i="45" s="1"/>
  <c r="Y72" i="45"/>
  <c r="Y106" i="45" s="1"/>
  <c r="U72" i="45"/>
  <c r="F55" i="11"/>
  <c r="R41" i="11"/>
  <c r="V41" i="11" s="1"/>
  <c r="J41" i="11"/>
  <c r="S52" i="11"/>
  <c r="S90" i="11" s="1"/>
  <c r="X38" i="35"/>
  <c r="X45" i="35" s="1"/>
  <c r="P38" i="35"/>
  <c r="P45" i="35" s="1"/>
  <c r="L38" i="35"/>
  <c r="L45" i="35" s="1"/>
  <c r="H38" i="35"/>
  <c r="H45" i="35" s="1"/>
  <c r="BG96" i="50" l="1"/>
  <c r="BG95" i="50"/>
  <c r="BF156" i="10"/>
  <c r="BF162" i="10"/>
  <c r="R125" i="10"/>
  <c r="S93" i="50" s="1"/>
  <c r="BF143" i="10"/>
  <c r="BI59" i="59" s="1"/>
  <c r="AI7" i="77"/>
  <c r="AI100" i="77" s="1"/>
  <c r="AO4" i="77"/>
  <c r="AN4" i="77"/>
  <c r="AH7" i="77"/>
  <c r="AH100" i="77" s="1"/>
  <c r="Y71" i="83"/>
  <c r="Y69" i="83" s="1"/>
  <c r="N162" i="10"/>
  <c r="N166" i="10"/>
  <c r="S51" i="11"/>
  <c r="S71" i="11"/>
  <c r="T29" i="35"/>
  <c r="T71" i="11"/>
  <c r="T76" i="45"/>
  <c r="T92" i="45"/>
  <c r="T30" i="35"/>
  <c r="U112" i="45" s="1"/>
  <c r="U92" i="45"/>
  <c r="T38" i="35"/>
  <c r="T28" i="35"/>
  <c r="T170" i="10" s="1"/>
  <c r="Y108" i="45"/>
  <c r="T75" i="45"/>
  <c r="Y76" i="45"/>
  <c r="Y77" i="45" s="1"/>
  <c r="U75" i="45"/>
  <c r="T54" i="11"/>
  <c r="T72" i="45"/>
  <c r="Y75" i="45"/>
  <c r="U76" i="45"/>
  <c r="U77" i="45" s="1"/>
  <c r="T56" i="11"/>
  <c r="S54" i="11"/>
  <c r="S95" i="50" l="1"/>
  <c r="S96" i="50"/>
  <c r="V126" i="10"/>
  <c r="R126" i="10"/>
  <c r="R124" i="10"/>
  <c r="V125" i="10"/>
  <c r="W93" i="50" s="1"/>
  <c r="V124" i="10"/>
  <c r="BF158" i="10"/>
  <c r="AR4" i="77"/>
  <c r="AN7" i="77"/>
  <c r="AN100" i="77" s="1"/>
  <c r="AS4" i="77"/>
  <c r="AO7" i="77"/>
  <c r="AO100" i="77" s="1"/>
  <c r="T39" i="35"/>
  <c r="T45" i="35" s="1"/>
  <c r="T90" i="11"/>
  <c r="Y81" i="50"/>
  <c r="T31" i="35"/>
  <c r="T35" i="35" s="1"/>
  <c r="U83" i="50" s="1"/>
  <c r="W96" i="50" l="1"/>
  <c r="W95" i="50"/>
  <c r="AS7" i="77"/>
  <c r="AS100" i="77" s="1"/>
  <c r="AW4" i="77"/>
  <c r="AR7" i="77"/>
  <c r="AR100" i="77" s="1"/>
  <c r="AV4" i="77"/>
  <c r="U71" i="83"/>
  <c r="T51" i="35"/>
  <c r="AV7" i="77" l="1"/>
  <c r="AV100" i="77" s="1"/>
  <c r="BD4" i="77"/>
  <c r="BD7" i="77" s="1"/>
  <c r="AW7" i="77"/>
  <c r="AW100" i="77" s="1"/>
  <c r="BE4" i="77"/>
  <c r="BE7" i="77" s="1"/>
  <c r="BE100" i="77" s="1"/>
  <c r="F120" i="77" s="1"/>
  <c r="U81" i="50"/>
  <c r="U69" i="83"/>
  <c r="AA71" i="83"/>
  <c r="Y183" i="6"/>
  <c r="AA69" i="83" l="1"/>
  <c r="W66" i="11" l="1"/>
  <c r="W138" i="10"/>
  <c r="W99" i="9"/>
  <c r="W100" i="9" s="1"/>
  <c r="W85" i="8"/>
  <c r="W86" i="8" s="1"/>
  <c r="W76" i="7"/>
  <c r="W77" i="7" s="1"/>
  <c r="Z36" i="59" s="1"/>
  <c r="W42" i="72"/>
  <c r="W26" i="72"/>
  <c r="W21" i="72"/>
  <c r="W23" i="72" s="1"/>
  <c r="W15" i="72"/>
  <c r="W16" i="72"/>
  <c r="W67" i="11" l="1"/>
  <c r="Y66" i="11"/>
  <c r="W139" i="10"/>
  <c r="Y138" i="10"/>
  <c r="Y96" i="45"/>
  <c r="Y103" i="45" s="1"/>
  <c r="Y110" i="45" s="1"/>
  <c r="Y91" i="45"/>
  <c r="Y90" i="45"/>
  <c r="X90" i="45"/>
  <c r="Y89" i="45"/>
  <c r="X89" i="45"/>
  <c r="Y87" i="45"/>
  <c r="Y88" i="45" s="1"/>
  <c r="X86" i="45"/>
  <c r="Y85" i="45"/>
  <c r="X85" i="45"/>
  <c r="Y83" i="45"/>
  <c r="X83" i="45"/>
  <c r="Y80" i="45"/>
  <c r="Y81" i="45" s="1"/>
  <c r="X80" i="45"/>
  <c r="X81" i="45" s="1"/>
  <c r="AA74" i="45" l="1"/>
  <c r="Z53" i="11"/>
  <c r="Y98" i="45"/>
  <c r="Y92" i="45"/>
  <c r="Y97" i="45"/>
  <c r="AA107" i="45" l="1"/>
  <c r="AA98" i="45"/>
  <c r="Z162" i="10"/>
  <c r="Z166" i="10"/>
  <c r="Z39" i="9"/>
  <c r="Z40" i="9"/>
  <c r="Z41" i="9"/>
  <c r="Z42" i="9"/>
  <c r="AA127" i="50" s="1"/>
  <c r="AA128" i="50" s="1"/>
  <c r="AA129" i="50" s="1"/>
  <c r="Z43" i="9"/>
  <c r="Z44" i="9"/>
  <c r="Z52" i="59"/>
  <c r="AB166" i="10" l="1"/>
  <c r="AB94" i="8"/>
  <c r="AB99" i="8"/>
  <c r="AB110" i="8"/>
  <c r="AB112" i="8"/>
  <c r="AB115" i="8"/>
  <c r="AB116" i="8"/>
  <c r="AB118" i="8"/>
  <c r="AB119" i="8"/>
  <c r="AB121" i="8"/>
  <c r="AB122" i="8"/>
  <c r="Z44" i="59"/>
  <c r="Z43" i="59"/>
  <c r="W5" i="26" l="1"/>
  <c r="Y6" i="7" l="1"/>
  <c r="W106" i="7"/>
  <c r="W105" i="7"/>
  <c r="Y19" i="7" l="1"/>
  <c r="X73" i="45" l="1"/>
  <c r="X112" i="45" l="1"/>
  <c r="X75" i="45"/>
  <c r="X72" i="45"/>
  <c r="X76" i="45"/>
  <c r="X92" i="45"/>
  <c r="Z111" i="6" l="1"/>
  <c r="Y111" i="6"/>
  <c r="Z107" i="6"/>
  <c r="AB107" i="6" s="1"/>
  <c r="AF107" i="6" s="1"/>
  <c r="AJ107" i="6" s="1"/>
  <c r="AP107" i="6" s="1"/>
  <c r="AT107" i="6" s="1"/>
  <c r="AX107" i="6" s="1"/>
  <c r="BF107" i="6" s="1"/>
  <c r="Y107" i="6"/>
  <c r="AA107" i="6" s="1"/>
  <c r="AE107" i="6" s="1"/>
  <c r="AI107" i="6" s="1"/>
  <c r="AO107" i="6" s="1"/>
  <c r="AS107" i="6" s="1"/>
  <c r="AW107" i="6" s="1"/>
  <c r="BE107" i="6" s="1"/>
  <c r="Z94" i="6"/>
  <c r="Y94" i="6"/>
  <c r="Z90" i="6"/>
  <c r="AB90" i="6" s="1"/>
  <c r="AF90" i="6" s="1"/>
  <c r="AJ90" i="6" s="1"/>
  <c r="AP90" i="6" s="1"/>
  <c r="AT90" i="6" s="1"/>
  <c r="AX90" i="6" s="1"/>
  <c r="BF90" i="6" s="1"/>
  <c r="Z91" i="6"/>
  <c r="Y90" i="6"/>
  <c r="W192" i="6"/>
  <c r="W191" i="6"/>
  <c r="W190" i="6"/>
  <c r="W188" i="6"/>
  <c r="X186" i="6"/>
  <c r="X185" i="6"/>
  <c r="W185" i="6"/>
  <c r="X184" i="6"/>
  <c r="W184" i="6"/>
  <c r="W183" i="6"/>
  <c r="W182" i="6"/>
  <c r="W179" i="6"/>
  <c r="W178" i="6"/>
  <c r="W177" i="6"/>
  <c r="W176" i="6"/>
  <c r="W175" i="6"/>
  <c r="W174" i="6"/>
  <c r="W172" i="6"/>
  <c r="W171" i="6"/>
  <c r="W170" i="6"/>
  <c r="W162" i="6"/>
  <c r="X160" i="6"/>
  <c r="X159" i="6"/>
  <c r="W159" i="6"/>
  <c r="W158" i="6"/>
  <c r="W157" i="6"/>
  <c r="W154" i="6"/>
  <c r="W153" i="6"/>
  <c r="W152" i="6"/>
  <c r="W151" i="6"/>
  <c r="W150" i="6"/>
  <c r="W149" i="6"/>
  <c r="W147" i="6"/>
  <c r="W146" i="6"/>
  <c r="W145" i="6"/>
  <c r="X135" i="6"/>
  <c r="Z135" i="6" s="1"/>
  <c r="X134" i="6"/>
  <c r="Z134" i="6" s="1"/>
  <c r="X133" i="6"/>
  <c r="Z133" i="6" s="1"/>
  <c r="X130" i="6"/>
  <c r="Z130" i="6" s="1"/>
  <c r="W130" i="6"/>
  <c r="X128" i="6"/>
  <c r="Z128" i="6" s="1"/>
  <c r="W128" i="6"/>
  <c r="X127" i="6"/>
  <c r="Z127" i="6" s="1"/>
  <c r="W127" i="6"/>
  <c r="X114" i="6"/>
  <c r="W114" i="6"/>
  <c r="X109" i="6"/>
  <c r="W109" i="6"/>
  <c r="X97" i="6"/>
  <c r="W97" i="6"/>
  <c r="X92" i="6"/>
  <c r="W92" i="6"/>
  <c r="W83" i="6"/>
  <c r="W82" i="6"/>
  <c r="W81" i="6"/>
  <c r="W79" i="6"/>
  <c r="W78" i="6"/>
  <c r="W76" i="6"/>
  <c r="W75" i="6"/>
  <c r="X73" i="6"/>
  <c r="W73" i="6"/>
  <c r="X65" i="6"/>
  <c r="W65" i="6"/>
  <c r="X62" i="6"/>
  <c r="W62" i="6"/>
  <c r="W36" i="6"/>
  <c r="W35" i="6"/>
  <c r="W34" i="6"/>
  <c r="W33" i="6"/>
  <c r="X28" i="6"/>
  <c r="X25" i="6"/>
  <c r="X22" i="6"/>
  <c r="W9" i="6"/>
  <c r="W8" i="6"/>
  <c r="W6" i="6"/>
  <c r="W14" i="6" s="1"/>
  <c r="W5" i="6"/>
  <c r="Y57" i="6" l="1"/>
  <c r="AB23" i="59" s="1"/>
  <c r="Y58" i="6"/>
  <c r="AB12" i="59" s="1"/>
  <c r="Y56" i="6"/>
  <c r="AB16" i="59" s="1"/>
  <c r="W37" i="6"/>
  <c r="W11" i="6"/>
  <c r="AA90" i="6"/>
  <c r="AE90" i="6" s="1"/>
  <c r="AI90" i="6" s="1"/>
  <c r="AO90" i="6" s="1"/>
  <c r="AS90" i="6" s="1"/>
  <c r="AW90" i="6" s="1"/>
  <c r="BE90" i="6" s="1"/>
  <c r="W131" i="6"/>
  <c r="X115" i="6"/>
  <c r="X119" i="6" s="1"/>
  <c r="X166" i="6" s="1"/>
  <c r="AA22" i="59" s="1"/>
  <c r="X131" i="6"/>
  <c r="W115" i="6"/>
  <c r="W119" i="6" s="1"/>
  <c r="W166" i="6" s="1"/>
  <c r="W12" i="6"/>
  <c r="W7" i="6"/>
  <c r="W98" i="6"/>
  <c r="W102" i="6" s="1"/>
  <c r="W143" i="6" s="1"/>
  <c r="W18" i="6"/>
  <c r="W21" i="6"/>
  <c r="W27" i="6"/>
  <c r="W24" i="6"/>
  <c r="W181" i="6"/>
  <c r="X98" i="6"/>
  <c r="X102" i="6" s="1"/>
  <c r="W126" i="6"/>
  <c r="W13" i="6"/>
  <c r="X126" i="6"/>
  <c r="W132" i="6" l="1"/>
  <c r="W140" i="6"/>
  <c r="X132" i="6"/>
  <c r="X168" i="6"/>
  <c r="X165" i="6"/>
  <c r="X167" i="6" s="1"/>
  <c r="W165" i="6"/>
  <c r="W167" i="6" s="1"/>
  <c r="W168" i="6"/>
  <c r="W141" i="6"/>
  <c r="X143" i="6"/>
  <c r="W30" i="6"/>
  <c r="W26" i="6"/>
  <c r="W28" i="6" s="1"/>
  <c r="W17" i="6"/>
  <c r="W23" i="6"/>
  <c r="W25" i="6" s="1"/>
  <c r="W15" i="6"/>
  <c r="W80" i="6" s="1"/>
  <c r="W20" i="6"/>
  <c r="W22" i="6" s="1"/>
  <c r="X141" i="6"/>
  <c r="AA15" i="59" s="1"/>
  <c r="W156" i="6"/>
  <c r="X140" i="6"/>
  <c r="W142" i="6" l="1"/>
  <c r="X136" i="6"/>
  <c r="X190" i="6" s="1"/>
  <c r="W136" i="6"/>
  <c r="W204" i="6" s="1"/>
  <c r="W77" i="6"/>
  <c r="X142" i="6"/>
  <c r="W19" i="6"/>
  <c r="W29" i="6"/>
  <c r="W31" i="6" s="1"/>
  <c r="X200" i="6" l="1"/>
  <c r="X198" i="6"/>
  <c r="X202" i="6"/>
  <c r="X197" i="6"/>
  <c r="X210" i="6"/>
  <c r="X209" i="6"/>
  <c r="X196" i="6"/>
  <c r="X204" i="6"/>
  <c r="X203" i="6"/>
  <c r="X205" i="6"/>
  <c r="X208" i="6"/>
  <c r="X199" i="6"/>
  <c r="X192" i="6"/>
  <c r="W197" i="6"/>
  <c r="W203" i="6"/>
  <c r="W200" i="6"/>
  <c r="W198" i="6"/>
  <c r="W205" i="6"/>
  <c r="W199" i="6"/>
  <c r="W196" i="6"/>
  <c r="W202" i="6"/>
  <c r="W208" i="6"/>
  <c r="X206" i="6" l="1"/>
  <c r="AA11" i="59" s="1"/>
  <c r="X201" i="6"/>
  <c r="X211" i="6"/>
  <c r="W206" i="6"/>
  <c r="W211" i="6"/>
  <c r="W201" i="6"/>
  <c r="X207" i="6" l="1"/>
  <c r="X212" i="6" s="1"/>
  <c r="W207" i="6"/>
  <c r="AA72" i="59"/>
  <c r="AA71" i="59"/>
  <c r="AA70" i="59"/>
  <c r="Z69" i="59"/>
  <c r="AA68" i="59"/>
  <c r="Z68" i="59"/>
  <c r="Z55" i="59"/>
  <c r="Z54" i="59"/>
  <c r="Z51" i="59"/>
  <c r="Z46" i="59"/>
  <c r="Z45" i="59"/>
  <c r="AA42" i="59"/>
  <c r="Z42" i="59"/>
  <c r="AA41" i="59"/>
  <c r="Z41" i="59"/>
  <c r="Z39" i="59"/>
  <c r="Z38" i="59"/>
  <c r="Z37" i="59"/>
  <c r="AA27" i="59"/>
  <c r="Z27" i="59"/>
  <c r="AA26" i="59"/>
  <c r="Z26" i="59"/>
  <c r="AA25" i="59"/>
  <c r="Z25" i="59"/>
  <c r="AA24" i="59"/>
  <c r="Z24" i="59"/>
  <c r="AA20" i="59"/>
  <c r="Z20" i="59"/>
  <c r="AA19" i="59"/>
  <c r="Z19" i="59"/>
  <c r="AA18" i="59"/>
  <c r="Z18" i="59"/>
  <c r="AA17" i="59"/>
  <c r="Z17" i="59"/>
  <c r="W212" i="6" l="1"/>
  <c r="W29" i="36"/>
  <c r="V7" i="15" s="1"/>
  <c r="W28" i="36"/>
  <c r="V6" i="15" s="1"/>
  <c r="W27" i="36"/>
  <c r="V5" i="15" s="1"/>
  <c r="W23" i="36"/>
  <c r="Z65" i="59" s="1"/>
  <c r="W22" i="36"/>
  <c r="Z61" i="59" s="1"/>
  <c r="W21" i="36"/>
  <c r="Z57" i="59" s="1"/>
  <c r="X17" i="36"/>
  <c r="AA48" i="59" s="1"/>
  <c r="X16" i="36"/>
  <c r="AA47" i="59" s="1"/>
  <c r="W13" i="36"/>
  <c r="Z40" i="59" s="1"/>
  <c r="X12" i="36"/>
  <c r="AA39" i="59" s="1"/>
  <c r="X11" i="36"/>
  <c r="AA38" i="59" s="1"/>
  <c r="X10" i="36"/>
  <c r="AA37" i="59" s="1"/>
  <c r="X9" i="36"/>
  <c r="AA10" i="59" s="1"/>
  <c r="W9" i="36"/>
  <c r="Z10" i="59" s="1"/>
  <c r="X8" i="36"/>
  <c r="AA9" i="59" s="1"/>
  <c r="W8" i="36"/>
  <c r="Z9" i="59" s="1"/>
  <c r="X7" i="36"/>
  <c r="AA8" i="59" s="1"/>
  <c r="W7" i="36"/>
  <c r="Z8" i="59" s="1"/>
  <c r="W5" i="36"/>
  <c r="W13" i="49" s="1"/>
  <c r="W14" i="49" s="1"/>
  <c r="W15" i="49" s="1"/>
  <c r="W16" i="49" s="1"/>
  <c r="W19" i="49" s="1"/>
  <c r="W20" i="49" s="1"/>
  <c r="W27" i="21"/>
  <c r="W12" i="21"/>
  <c r="W22" i="21" l="1"/>
  <c r="W390" i="28"/>
  <c r="W391" i="28"/>
  <c r="Z72" i="59"/>
  <c r="Z71" i="59"/>
  <c r="Z70" i="59"/>
  <c r="Z47" i="59"/>
  <c r="Z48" i="59"/>
  <c r="Z6" i="59"/>
  <c r="W28" i="21"/>
  <c r="X13" i="36"/>
  <c r="AA40" i="59" s="1"/>
  <c r="X18" i="36"/>
  <c r="AA49" i="59" s="1"/>
  <c r="W15" i="21"/>
  <c r="Z40" i="35" l="1"/>
  <c r="Z9" i="35" l="1"/>
  <c r="Z16" i="35"/>
  <c r="Z17" i="35"/>
  <c r="Z18" i="35"/>
  <c r="Y21" i="35"/>
  <c r="Z21" i="35"/>
  <c r="Y22" i="35"/>
  <c r="Z22" i="35"/>
  <c r="Y23" i="35"/>
  <c r="Z23" i="35"/>
  <c r="Y25" i="35"/>
  <c r="Z25" i="35"/>
  <c r="Y26" i="35"/>
  <c r="X9" i="15" s="1"/>
  <c r="Z26" i="35"/>
  <c r="Y9" i="15" s="1"/>
  <c r="Z28" i="35"/>
  <c r="Z170" i="10" s="1"/>
  <c r="Y29" i="35"/>
  <c r="Y52" i="11" s="1"/>
  <c r="Z29" i="35"/>
  <c r="Y30" i="35"/>
  <c r="Z73" i="45" s="1"/>
  <c r="Z112" i="45" s="1"/>
  <c r="Z30" i="35"/>
  <c r="Y32" i="35"/>
  <c r="Y33" i="35"/>
  <c r="Z33" i="35"/>
  <c r="Z37" i="35"/>
  <c r="Z38" i="35"/>
  <c r="Y46" i="35"/>
  <c r="Y47" i="35"/>
  <c r="Y49" i="35"/>
  <c r="Z49" i="35"/>
  <c r="Y51" i="11" l="1"/>
  <c r="Y90" i="11"/>
  <c r="Y17" i="15"/>
  <c r="Z52" i="36"/>
  <c r="Z11" i="35"/>
  <c r="Z76" i="45"/>
  <c r="Z72" i="45"/>
  <c r="Z24" i="35"/>
  <c r="Z31" i="35"/>
  <c r="Y34" i="35"/>
  <c r="Y44" i="35" s="1"/>
  <c r="Y24" i="35"/>
  <c r="X5" i="6" l="1"/>
  <c r="X6" i="6" l="1"/>
  <c r="X7" i="6" s="1"/>
  <c r="X13" i="6"/>
  <c r="X11" i="6"/>
  <c r="X14" i="6" l="1"/>
  <c r="X15" i="6" s="1"/>
  <c r="X12" i="6"/>
  <c r="X161" i="6"/>
  <c r="X157" i="6"/>
  <c r="X80" i="6" l="1"/>
  <c r="X77" i="6"/>
  <c r="X182" i="6"/>
  <c r="X187" i="6"/>
  <c r="X35" i="6"/>
  <c r="X34" i="6"/>
  <c r="X36" i="6"/>
  <c r="N39" i="27" l="1"/>
  <c r="N33" i="27"/>
  <c r="N10" i="52" l="1"/>
  <c r="AB10" i="52" s="1"/>
  <c r="AF10" i="52" s="1"/>
  <c r="AJ10" i="52" s="1"/>
  <c r="AP10" i="52" s="1"/>
  <c r="AT10" i="52" s="1"/>
  <c r="AX10" i="52" s="1"/>
  <c r="BF10" i="52" s="1"/>
  <c r="M10" i="52"/>
  <c r="AA10" i="52" s="1"/>
  <c r="AE10" i="52" s="1"/>
  <c r="AI10" i="52" s="1"/>
  <c r="AO10" i="52" s="1"/>
  <c r="AS10" i="52" s="1"/>
  <c r="AW10" i="52" s="1"/>
  <c r="BE10" i="52" s="1"/>
  <c r="Q10" i="52" l="1"/>
  <c r="U10" i="52" s="1"/>
  <c r="R10" i="52"/>
  <c r="V10" i="52" s="1"/>
  <c r="W72" i="59" l="1"/>
  <c r="W71" i="59"/>
  <c r="W70" i="59"/>
  <c r="V69" i="59"/>
  <c r="W68" i="59"/>
  <c r="V68" i="59"/>
  <c r="V46" i="59"/>
  <c r="V45" i="59"/>
  <c r="V41" i="59"/>
  <c r="V39" i="59"/>
  <c r="V38" i="59"/>
  <c r="V37" i="59"/>
  <c r="W27" i="59"/>
  <c r="W26" i="59"/>
  <c r="W25" i="59"/>
  <c r="W24" i="59"/>
  <c r="W20" i="59"/>
  <c r="W19" i="59"/>
  <c r="W18" i="59"/>
  <c r="W17" i="59"/>
  <c r="T19" i="36" l="1"/>
  <c r="U162" i="6" l="1"/>
  <c r="U188" i="6"/>
  <c r="U107" i="6"/>
  <c r="V107" i="6"/>
  <c r="U90" i="6"/>
  <c r="V90" i="6"/>
  <c r="T15" i="21" l="1"/>
  <c r="Q41" i="72" l="1"/>
  <c r="Q33" i="72"/>
  <c r="Q23" i="72"/>
  <c r="Q17" i="72"/>
  <c r="BI6" i="71"/>
  <c r="BI77" i="71" s="1"/>
  <c r="R85" i="17"/>
  <c r="R83" i="17"/>
  <c r="R82" i="17"/>
  <c r="R113" i="17"/>
  <c r="R111" i="17"/>
  <c r="S85" i="17"/>
  <c r="S84" i="17"/>
  <c r="S83" i="17"/>
  <c r="S82" i="17"/>
  <c r="S81" i="17"/>
  <c r="R81" i="17"/>
  <c r="S77" i="17"/>
  <c r="R77" i="17"/>
  <c r="S66" i="17"/>
  <c r="S68" i="17" s="1"/>
  <c r="R66" i="17"/>
  <c r="R68" i="17" s="1"/>
  <c r="R60" i="17"/>
  <c r="S58" i="17"/>
  <c r="S59" i="17" s="1"/>
  <c r="R57" i="17"/>
  <c r="R56" i="17"/>
  <c r="R54" i="17"/>
  <c r="S51" i="17"/>
  <c r="S52" i="17" s="1"/>
  <c r="R51" i="17"/>
  <c r="S48" i="17"/>
  <c r="R47" i="17"/>
  <c r="S46" i="17"/>
  <c r="R45" i="17"/>
  <c r="S43" i="17"/>
  <c r="S49" i="17" s="1"/>
  <c r="R43" i="17"/>
  <c r="S42" i="17"/>
  <c r="S40" i="17"/>
  <c r="S38" i="17"/>
  <c r="X96" i="38"/>
  <c r="X95" i="38"/>
  <c r="X94" i="38"/>
  <c r="X93" i="38"/>
  <c r="W92" i="38"/>
  <c r="X91" i="38"/>
  <c r="W90" i="38"/>
  <c r="X88" i="38"/>
  <c r="X87" i="38"/>
  <c r="X86" i="38"/>
  <c r="X85" i="38"/>
  <c r="W84" i="38"/>
  <c r="X82" i="38"/>
  <c r="X81" i="38"/>
  <c r="X80" i="38"/>
  <c r="X79" i="38"/>
  <c r="X78" i="38"/>
  <c r="X77" i="38"/>
  <c r="X76" i="38"/>
  <c r="X75" i="38"/>
  <c r="X74" i="38"/>
  <c r="X73" i="38"/>
  <c r="X72" i="38"/>
  <c r="X71" i="38"/>
  <c r="X70" i="38"/>
  <c r="X69" i="38"/>
  <c r="W68" i="38"/>
  <c r="X64" i="38"/>
  <c r="X63" i="38"/>
  <c r="W62" i="38"/>
  <c r="X59" i="38"/>
  <c r="X58" i="38"/>
  <c r="X57" i="38"/>
  <c r="X56" i="38"/>
  <c r="W55" i="38"/>
  <c r="W53" i="38"/>
  <c r="X52" i="38"/>
  <c r="W52" i="38"/>
  <c r="X43" i="38"/>
  <c r="AD43" i="38" s="1"/>
  <c r="X41" i="38"/>
  <c r="AD41" i="38" s="1"/>
  <c r="X35" i="38"/>
  <c r="AD35" i="38" s="1"/>
  <c r="X19" i="38"/>
  <c r="AD19" i="38" s="1"/>
  <c r="X13" i="38"/>
  <c r="AD13" i="38" s="1"/>
  <c r="U105" i="45"/>
  <c r="AA105" i="45" s="1"/>
  <c r="U104" i="45"/>
  <c r="U102" i="45"/>
  <c r="U96" i="45"/>
  <c r="U103" i="45" s="1"/>
  <c r="W66" i="59"/>
  <c r="V66" i="59"/>
  <c r="U107" i="45"/>
  <c r="U106" i="45"/>
  <c r="T83" i="11"/>
  <c r="T81" i="11"/>
  <c r="T75" i="11"/>
  <c r="T76" i="11" s="1"/>
  <c r="W62" i="59"/>
  <c r="V62" i="59"/>
  <c r="T85" i="11"/>
  <c r="W63" i="59"/>
  <c r="V63" i="59"/>
  <c r="T155" i="10"/>
  <c r="T153" i="10"/>
  <c r="T147" i="10"/>
  <c r="T154" i="10" s="1"/>
  <c r="W58" i="59"/>
  <c r="V58" i="59"/>
  <c r="V159" i="9"/>
  <c r="V158" i="9"/>
  <c r="V157" i="9"/>
  <c r="V52" i="59"/>
  <c r="S53" i="9"/>
  <c r="S52" i="9"/>
  <c r="S51" i="9"/>
  <c r="S47" i="9"/>
  <c r="T46" i="9"/>
  <c r="T36" i="9"/>
  <c r="U117" i="50" s="1"/>
  <c r="U118" i="50" s="1"/>
  <c r="T35" i="9"/>
  <c r="T34" i="9"/>
  <c r="T31" i="9"/>
  <c r="T25" i="9"/>
  <c r="S24" i="9"/>
  <c r="S22" i="9"/>
  <c r="T39" i="36"/>
  <c r="T10" i="9"/>
  <c r="W67" i="38" l="1"/>
  <c r="X92" i="38"/>
  <c r="X84" i="38"/>
  <c r="X68" i="38"/>
  <c r="X62" i="38"/>
  <c r="X55" i="38"/>
  <c r="S112" i="17"/>
  <c r="U108" i="45"/>
  <c r="V55" i="59"/>
  <c r="S25" i="9"/>
  <c r="S88" i="9" s="1"/>
  <c r="T48" i="9"/>
  <c r="V51" i="59"/>
  <c r="V54" i="59"/>
  <c r="Q43" i="72"/>
  <c r="T14" i="9"/>
  <c r="X90" i="38"/>
  <c r="S113" i="17"/>
  <c r="V67" i="59"/>
  <c r="T77" i="11"/>
  <c r="T57" i="9"/>
  <c r="Z57" i="9" s="1"/>
  <c r="R115" i="17"/>
  <c r="R58" i="17"/>
  <c r="R61" i="17" s="1"/>
  <c r="R112" i="17"/>
  <c r="R49" i="17"/>
  <c r="R53" i="17" s="1"/>
  <c r="S50" i="17"/>
  <c r="S111" i="17" s="1"/>
  <c r="S53" i="17"/>
  <c r="S54" i="17" s="1"/>
  <c r="S110" i="17"/>
  <c r="S61" i="17"/>
  <c r="S44" i="17"/>
  <c r="W65" i="38"/>
  <c r="X18" i="38"/>
  <c r="AD18" i="38" s="1"/>
  <c r="X40" i="38"/>
  <c r="AD40" i="38" s="1"/>
  <c r="W89" i="38"/>
  <c r="W66" i="38" s="1"/>
  <c r="X16" i="38"/>
  <c r="AD16" i="38" s="1"/>
  <c r="U110" i="45"/>
  <c r="W67" i="59"/>
  <c r="U97" i="45"/>
  <c r="U98" i="45"/>
  <c r="T84" i="11"/>
  <c r="T86" i="11" s="1"/>
  <c r="T82" i="11"/>
  <c r="T157" i="10"/>
  <c r="T149" i="10"/>
  <c r="T156" i="10"/>
  <c r="V59" i="59"/>
  <c r="T148" i="10"/>
  <c r="T37" i="9"/>
  <c r="T47" i="9"/>
  <c r="Z26" i="36" l="1"/>
  <c r="T62" i="9"/>
  <c r="Z62" i="9" s="1"/>
  <c r="X89" i="38"/>
  <c r="S114" i="17"/>
  <c r="S115" i="17"/>
  <c r="X17" i="38"/>
  <c r="AD17" i="38" s="1"/>
  <c r="R59" i="17"/>
  <c r="R110" i="17"/>
  <c r="R114" i="17" s="1"/>
  <c r="X65" i="38"/>
  <c r="X67" i="38"/>
  <c r="T88" i="11"/>
  <c r="T158" i="10"/>
  <c r="W59" i="59"/>
  <c r="T160" i="10"/>
  <c r="T49" i="9"/>
  <c r="T76" i="9" l="1"/>
  <c r="T75" i="9"/>
  <c r="T73" i="9"/>
  <c r="T78" i="9"/>
  <c r="T72" i="9"/>
  <c r="X66" i="38"/>
  <c r="T87" i="9"/>
  <c r="W54" i="59" s="1"/>
  <c r="T83" i="9"/>
  <c r="T53" i="9"/>
  <c r="T85" i="9"/>
  <c r="T84" i="9"/>
  <c r="T86" i="9"/>
  <c r="T82" i="9"/>
  <c r="W55" i="59" s="1"/>
  <c r="T81" i="9"/>
  <c r="T80" i="9"/>
  <c r="T52" i="9"/>
  <c r="W51" i="59" s="1"/>
  <c r="T77" i="9" l="1"/>
  <c r="T74" i="9"/>
  <c r="AB109" i="8"/>
  <c r="AF109" i="8" s="1"/>
  <c r="AJ109" i="8" s="1"/>
  <c r="AP109" i="8" s="1"/>
  <c r="AT109" i="8" s="1"/>
  <c r="AB107" i="8"/>
  <c r="AF107" i="8" s="1"/>
  <c r="AJ107" i="8" s="1"/>
  <c r="AP107" i="8" s="1"/>
  <c r="AT107" i="8" s="1"/>
  <c r="AB106" i="8"/>
  <c r="AF106" i="8" s="1"/>
  <c r="AJ106" i="8" s="1"/>
  <c r="AP106" i="8" s="1"/>
  <c r="AT106" i="8" s="1"/>
  <c r="T85" i="8"/>
  <c r="Z85" i="8" s="1"/>
  <c r="AB85" i="8" s="1"/>
  <c r="S78" i="8"/>
  <c r="V44" i="59" s="1"/>
  <c r="S77" i="8"/>
  <c r="V43" i="59" s="1"/>
  <c r="S75" i="8"/>
  <c r="V42" i="59" s="1"/>
  <c r="S73" i="8"/>
  <c r="S72" i="8"/>
  <c r="S70" i="8"/>
  <c r="S69" i="8"/>
  <c r="T48" i="8"/>
  <c r="T49" i="8" s="1"/>
  <c r="Z14" i="36" s="1"/>
  <c r="S48" i="8"/>
  <c r="S44" i="8"/>
  <c r="S43" i="8"/>
  <c r="S42" i="8"/>
  <c r="S40" i="8"/>
  <c r="S39" i="8"/>
  <c r="S38" i="8"/>
  <c r="T25" i="8"/>
  <c r="T20" i="8"/>
  <c r="Z20" i="8" s="1"/>
  <c r="T16" i="8"/>
  <c r="S16" i="8"/>
  <c r="T14" i="8"/>
  <c r="Z14" i="8" s="1"/>
  <c r="AB14" i="8" s="1"/>
  <c r="AF14" i="8" s="1"/>
  <c r="AJ14" i="8" s="1"/>
  <c r="AP14" i="8" s="1"/>
  <c r="AT14" i="8" s="1"/>
  <c r="AX14" i="8" s="1"/>
  <c r="BF14" i="8" s="1"/>
  <c r="S14" i="8"/>
  <c r="Y14" i="8" s="1"/>
  <c r="T13" i="8"/>
  <c r="Z13" i="8" s="1"/>
  <c r="AB13" i="8" s="1"/>
  <c r="AF13" i="8" s="1"/>
  <c r="AJ13" i="8" s="1"/>
  <c r="AP13" i="8" s="1"/>
  <c r="AT13" i="8" s="1"/>
  <c r="AX13" i="8" s="1"/>
  <c r="BF13" i="8" s="1"/>
  <c r="S13" i="8"/>
  <c r="Y13" i="8" s="1"/>
  <c r="T12" i="8"/>
  <c r="S12" i="8"/>
  <c r="T79" i="9" l="1"/>
  <c r="S5" i="26"/>
  <c r="S41" i="8"/>
  <c r="T15" i="8"/>
  <c r="T69" i="8"/>
  <c r="T70" i="8"/>
  <c r="S15" i="8"/>
  <c r="T35" i="8"/>
  <c r="Z35" i="8" s="1"/>
  <c r="AB35" i="8" s="1"/>
  <c r="AF35" i="8" s="1"/>
  <c r="AJ35" i="8" s="1"/>
  <c r="AP35" i="8" s="1"/>
  <c r="AT35" i="8" s="1"/>
  <c r="AX35" i="8" s="1"/>
  <c r="BF35" i="8" s="1"/>
  <c r="S79" i="7"/>
  <c r="T78" i="7"/>
  <c r="S78" i="7"/>
  <c r="T76" i="7"/>
  <c r="T69" i="7"/>
  <c r="T65" i="7"/>
  <c r="T67" i="7" s="1"/>
  <c r="T61" i="7"/>
  <c r="S61" i="7"/>
  <c r="S25" i="7" s="1"/>
  <c r="S85" i="7" s="1"/>
  <c r="U192" i="6"/>
  <c r="U191" i="6"/>
  <c r="U190" i="6"/>
  <c r="U183" i="6"/>
  <c r="U182" i="6"/>
  <c r="U179" i="6"/>
  <c r="X27" i="59" s="1"/>
  <c r="U178" i="6"/>
  <c r="X26" i="59" s="1"/>
  <c r="U177" i="6"/>
  <c r="X25" i="59" s="1"/>
  <c r="U176" i="6"/>
  <c r="X24" i="59" s="1"/>
  <c r="U175" i="6"/>
  <c r="U174" i="6"/>
  <c r="U172" i="6"/>
  <c r="U171" i="6"/>
  <c r="U170" i="6"/>
  <c r="U157" i="6"/>
  <c r="U154" i="6"/>
  <c r="X20" i="59" s="1"/>
  <c r="U153" i="6"/>
  <c r="X19" i="59" s="1"/>
  <c r="U152" i="6"/>
  <c r="X18" i="59" s="1"/>
  <c r="U151" i="6"/>
  <c r="X17" i="59" s="1"/>
  <c r="U150" i="6"/>
  <c r="U149" i="6"/>
  <c r="U147" i="6"/>
  <c r="U146" i="6"/>
  <c r="U145" i="6"/>
  <c r="U81" i="6"/>
  <c r="U79" i="6"/>
  <c r="U78" i="6"/>
  <c r="U76" i="6"/>
  <c r="U75" i="6"/>
  <c r="U36" i="6"/>
  <c r="U35" i="6"/>
  <c r="U34" i="6"/>
  <c r="U33" i="6"/>
  <c r="U9" i="6"/>
  <c r="U8" i="6"/>
  <c r="S192" i="6"/>
  <c r="S191" i="6"/>
  <c r="S190" i="6"/>
  <c r="S188" i="6"/>
  <c r="T186" i="6"/>
  <c r="T185" i="6"/>
  <c r="S185" i="6"/>
  <c r="T184" i="6"/>
  <c r="S184" i="6"/>
  <c r="S183" i="6"/>
  <c r="S182" i="6"/>
  <c r="S179" i="6"/>
  <c r="V27" i="59" s="1"/>
  <c r="S178" i="6"/>
  <c r="V26" i="59" s="1"/>
  <c r="S177" i="6"/>
  <c r="V25" i="59" s="1"/>
  <c r="S176" i="6"/>
  <c r="V24" i="59" s="1"/>
  <c r="S175" i="6"/>
  <c r="S174" i="6"/>
  <c r="S172" i="6"/>
  <c r="S171" i="6"/>
  <c r="S170" i="6"/>
  <c r="S162" i="6"/>
  <c r="T160" i="6"/>
  <c r="T159" i="6"/>
  <c r="S159" i="6"/>
  <c r="S158" i="6"/>
  <c r="S157" i="6"/>
  <c r="S154" i="6"/>
  <c r="V20" i="59" s="1"/>
  <c r="S153" i="6"/>
  <c r="V19" i="59" s="1"/>
  <c r="S152" i="6"/>
  <c r="V18" i="59" s="1"/>
  <c r="S151" i="6"/>
  <c r="V17" i="59" s="1"/>
  <c r="S150" i="6"/>
  <c r="S149" i="6"/>
  <c r="S147" i="6"/>
  <c r="S146" i="6"/>
  <c r="S145" i="6"/>
  <c r="S133" i="6"/>
  <c r="Y133" i="6" s="1"/>
  <c r="S130" i="6"/>
  <c r="Y130" i="6" s="1"/>
  <c r="S128" i="6"/>
  <c r="Y128" i="6" s="1"/>
  <c r="S127" i="6"/>
  <c r="Y127" i="6" s="1"/>
  <c r="Y125" i="6"/>
  <c r="Y124" i="6"/>
  <c r="Y122" i="6"/>
  <c r="Y121" i="6"/>
  <c r="T114" i="6"/>
  <c r="S114" i="6"/>
  <c r="T109" i="6"/>
  <c r="S109" i="6"/>
  <c r="T97" i="6"/>
  <c r="S97" i="6"/>
  <c r="T92" i="6"/>
  <c r="S92" i="6"/>
  <c r="S83" i="6"/>
  <c r="S82" i="6"/>
  <c r="S81" i="6"/>
  <c r="S79" i="6"/>
  <c r="S78" i="6"/>
  <c r="S76" i="6"/>
  <c r="S75" i="6"/>
  <c r="T73" i="6"/>
  <c r="S73" i="6"/>
  <c r="T65" i="6"/>
  <c r="S65" i="6"/>
  <c r="T62" i="6"/>
  <c r="S62" i="6"/>
  <c r="S36" i="6"/>
  <c r="S35" i="6"/>
  <c r="S34" i="6"/>
  <c r="S33" i="6"/>
  <c r="T28" i="6"/>
  <c r="T25" i="6"/>
  <c r="T22" i="6"/>
  <c r="T30" i="6"/>
  <c r="S9" i="6"/>
  <c r="S8" i="6"/>
  <c r="T55" i="7" l="1"/>
  <c r="T54" i="7"/>
  <c r="T53" i="7"/>
  <c r="T52" i="7"/>
  <c r="T51" i="7"/>
  <c r="T90" i="7" s="1"/>
  <c r="T50" i="7"/>
  <c r="T49" i="7"/>
  <c r="T56" i="7"/>
  <c r="S32" i="7"/>
  <c r="S84" i="7" s="1"/>
  <c r="S27" i="7"/>
  <c r="S87" i="7" s="1"/>
  <c r="S22" i="7"/>
  <c r="S82" i="7" s="1"/>
  <c r="S30" i="7"/>
  <c r="S91" i="7" s="1"/>
  <c r="S26" i="7"/>
  <c r="S86" i="7" s="1"/>
  <c r="S21" i="7"/>
  <c r="S81" i="7" s="1"/>
  <c r="S29" i="7"/>
  <c r="S89" i="7" s="1"/>
  <c r="S24" i="7"/>
  <c r="S93" i="7" s="1"/>
  <c r="S28" i="7"/>
  <c r="S88" i="7" s="1"/>
  <c r="V34" i="59" s="1"/>
  <c r="S23" i="7"/>
  <c r="S83" i="7" s="1"/>
  <c r="T26" i="7"/>
  <c r="T86" i="7" s="1"/>
  <c r="T25" i="7"/>
  <c r="T85" i="7" s="1"/>
  <c r="T29" i="7"/>
  <c r="T89" i="7" s="1"/>
  <c r="T33" i="7"/>
  <c r="T94" i="7" s="1"/>
  <c r="T28" i="7"/>
  <c r="T88" i="7" s="1"/>
  <c r="W34" i="59" s="1"/>
  <c r="T24" i="7"/>
  <c r="T27" i="7"/>
  <c r="T87" i="7" s="1"/>
  <c r="T22" i="7"/>
  <c r="T32" i="7"/>
  <c r="T84" i="7" s="1"/>
  <c r="T23" i="7"/>
  <c r="T30" i="7"/>
  <c r="T91" i="7" s="1"/>
  <c r="T21" i="7"/>
  <c r="S13" i="6"/>
  <c r="S156" i="6" s="1"/>
  <c r="S7" i="6"/>
  <c r="S75" i="7"/>
  <c r="V28" i="59" s="1"/>
  <c r="S70" i="7"/>
  <c r="T75" i="7"/>
  <c r="W28" i="59" s="1"/>
  <c r="S37" i="6"/>
  <c r="U37" i="6"/>
  <c r="S12" i="6"/>
  <c r="T68" i="8"/>
  <c r="T34" i="8"/>
  <c r="Z34" i="8" s="1"/>
  <c r="AB34" i="8" s="1"/>
  <c r="AF34" i="8" s="1"/>
  <c r="AJ34" i="8" s="1"/>
  <c r="AP34" i="8" s="1"/>
  <c r="AT34" i="8" s="1"/>
  <c r="AX34" i="8" s="1"/>
  <c r="BF34" i="8" s="1"/>
  <c r="S11" i="6"/>
  <c r="T115" i="6"/>
  <c r="T33" i="8"/>
  <c r="Z33" i="8" s="1"/>
  <c r="AB33" i="8" s="1"/>
  <c r="AF33" i="8" s="1"/>
  <c r="AJ33" i="8" s="1"/>
  <c r="AP33" i="8" s="1"/>
  <c r="AT33" i="8" s="1"/>
  <c r="AX33" i="8" s="1"/>
  <c r="BF33" i="8" s="1"/>
  <c r="S72" i="7"/>
  <c r="T70" i="7"/>
  <c r="T63" i="7"/>
  <c r="T72" i="7"/>
  <c r="T77" i="7"/>
  <c r="W36" i="59" s="1"/>
  <c r="S62" i="7"/>
  <c r="T46" i="7"/>
  <c r="T131" i="6"/>
  <c r="T126" i="6"/>
  <c r="S126" i="6"/>
  <c r="S98" i="6"/>
  <c r="S102" i="6" s="1"/>
  <c r="S143" i="6" s="1"/>
  <c r="T191" i="6"/>
  <c r="T19" i="6"/>
  <c r="S17" i="6"/>
  <c r="T29" i="6"/>
  <c r="S14" i="6"/>
  <c r="T98" i="6"/>
  <c r="S115" i="6"/>
  <c r="S119" i="6" s="1"/>
  <c r="S166" i="6" s="1"/>
  <c r="S131" i="6"/>
  <c r="S15" i="6" l="1"/>
  <c r="S77" i="6" s="1"/>
  <c r="S23" i="6"/>
  <c r="S26" i="6"/>
  <c r="S20" i="6"/>
  <c r="T81" i="7"/>
  <c r="T34" i="7"/>
  <c r="T82" i="7"/>
  <c r="W30" i="59" s="1"/>
  <c r="T83" i="7"/>
  <c r="W31" i="59" s="1"/>
  <c r="T93" i="7"/>
  <c r="T119" i="6"/>
  <c r="T165" i="6" s="1"/>
  <c r="T102" i="6"/>
  <c r="W32" i="59"/>
  <c r="W33" i="59"/>
  <c r="W35" i="59"/>
  <c r="T132" i="6"/>
  <c r="S132" i="6"/>
  <c r="S136" i="6" s="1"/>
  <c r="S199" i="6" s="1"/>
  <c r="T31" i="6"/>
  <c r="S141" i="6"/>
  <c r="S140" i="6"/>
  <c r="S168" i="6"/>
  <c r="S165" i="6"/>
  <c r="S167" i="6" s="1"/>
  <c r="S27" i="6"/>
  <c r="S181" i="6"/>
  <c r="S18" i="6"/>
  <c r="S24" i="6"/>
  <c r="S25" i="6" s="1"/>
  <c r="S21" i="6"/>
  <c r="T48" i="7" l="1"/>
  <c r="T71" i="7" s="1"/>
  <c r="S80" i="6"/>
  <c r="S29" i="6"/>
  <c r="T141" i="6"/>
  <c r="W15" i="59" s="1"/>
  <c r="S22" i="6"/>
  <c r="S28" i="6"/>
  <c r="T140" i="6"/>
  <c r="T143" i="6"/>
  <c r="T168" i="6"/>
  <c r="T166" i="6"/>
  <c r="W22" i="59" s="1"/>
  <c r="T136" i="6"/>
  <c r="T204" i="6" s="1"/>
  <c r="T167" i="6"/>
  <c r="S196" i="6"/>
  <c r="S197" i="6"/>
  <c r="S208" i="6"/>
  <c r="S211" i="6" s="1"/>
  <c r="S203" i="6"/>
  <c r="S205" i="6"/>
  <c r="S202" i="6"/>
  <c r="S200" i="6"/>
  <c r="S204" i="6"/>
  <c r="S198" i="6"/>
  <c r="T57" i="7"/>
  <c r="S142" i="6"/>
  <c r="W29" i="59"/>
  <c r="T95" i="7"/>
  <c r="S30" i="6"/>
  <c r="S19" i="6"/>
  <c r="S31" i="6" l="1"/>
  <c r="T142" i="6"/>
  <c r="T205" i="6"/>
  <c r="T210" i="6"/>
  <c r="T198" i="6"/>
  <c r="T199" i="6"/>
  <c r="T200" i="6"/>
  <c r="T209" i="6"/>
  <c r="T192" i="6"/>
  <c r="T208" i="6"/>
  <c r="T190" i="6"/>
  <c r="T196" i="6"/>
  <c r="T203" i="6"/>
  <c r="T197" i="6"/>
  <c r="T202" i="6"/>
  <c r="S201" i="6"/>
  <c r="S206" i="6"/>
  <c r="T211" i="6" l="1"/>
  <c r="T201" i="6"/>
  <c r="T206" i="6"/>
  <c r="W11" i="59" s="1"/>
  <c r="S207" i="6"/>
  <c r="S212" i="6" s="1"/>
  <c r="S32" i="36"/>
  <c r="T207" i="6" l="1"/>
  <c r="T212" i="6" s="1"/>
  <c r="S173" i="73"/>
  <c r="Y173" i="73" s="1"/>
  <c r="S116" i="73"/>
  <c r="S53" i="73"/>
  <c r="Y53" i="73" s="1"/>
  <c r="S48" i="73"/>
  <c r="Y48" i="73" s="1"/>
  <c r="S128" i="73" l="1"/>
  <c r="Y128" i="73" s="1"/>
  <c r="Y116" i="73"/>
  <c r="S113" i="73"/>
  <c r="S171" i="73"/>
  <c r="Y171" i="73" s="1"/>
  <c r="T17" i="49"/>
  <c r="T18" i="49" s="1"/>
  <c r="T11" i="49"/>
  <c r="T9" i="49"/>
  <c r="T8" i="49"/>
  <c r="S29" i="36"/>
  <c r="R7" i="15" s="1"/>
  <c r="S28" i="36"/>
  <c r="R6" i="15" s="1"/>
  <c r="S27" i="36"/>
  <c r="R5" i="15" s="1"/>
  <c r="S23" i="36"/>
  <c r="V65" i="59" s="1"/>
  <c r="S22" i="36"/>
  <c r="V61" i="59" s="1"/>
  <c r="S21" i="36"/>
  <c r="V57" i="59" s="1"/>
  <c r="T17" i="36"/>
  <c r="W48" i="59" s="1"/>
  <c r="S17" i="36"/>
  <c r="T16" i="36"/>
  <c r="W47" i="59" s="1"/>
  <c r="S16" i="36"/>
  <c r="S13" i="36"/>
  <c r="V40" i="59" s="1"/>
  <c r="T12" i="36"/>
  <c r="W39" i="59" s="1"/>
  <c r="T11" i="36"/>
  <c r="W38" i="59" s="1"/>
  <c r="T10" i="36"/>
  <c r="W37" i="59" s="1"/>
  <c r="S9" i="36"/>
  <c r="V10" i="59" s="1"/>
  <c r="S8" i="36"/>
  <c r="V9" i="59" s="1"/>
  <c r="S7" i="36"/>
  <c r="V8" i="59" s="1"/>
  <c r="W6" i="59"/>
  <c r="S5" i="36"/>
  <c r="S13" i="49" s="1"/>
  <c r="T7" i="15"/>
  <c r="T6" i="15"/>
  <c r="T5" i="15"/>
  <c r="X48" i="59"/>
  <c r="X47" i="59"/>
  <c r="X10" i="59"/>
  <c r="X9" i="59"/>
  <c r="X8" i="59"/>
  <c r="X6" i="59"/>
  <c r="T28" i="21"/>
  <c r="S27" i="21"/>
  <c r="T24" i="21"/>
  <c r="T25" i="21" s="1"/>
  <c r="T18" i="21"/>
  <c r="Z18" i="21" s="1"/>
  <c r="T12" i="21"/>
  <c r="S12" i="21"/>
  <c r="S33" i="36"/>
  <c r="S34" i="36" s="1"/>
  <c r="S35" i="36" s="1"/>
  <c r="T26" i="9"/>
  <c r="S26" i="9"/>
  <c r="T5" i="6"/>
  <c r="S115" i="73" l="1"/>
  <c r="Y115" i="73" s="1"/>
  <c r="Y113" i="73"/>
  <c r="S36" i="36"/>
  <c r="S30" i="36" s="1"/>
  <c r="S89" i="9"/>
  <c r="S38" i="36"/>
  <c r="S90" i="9"/>
  <c r="S39" i="36"/>
  <c r="Z58" i="6"/>
  <c r="AC12" i="59" s="1"/>
  <c r="Z57" i="6"/>
  <c r="AC23" i="59" s="1"/>
  <c r="Z56" i="6"/>
  <c r="AC16" i="59" s="1"/>
  <c r="S22" i="21"/>
  <c r="S390" i="28"/>
  <c r="S391" i="28"/>
  <c r="T390" i="28"/>
  <c r="T391" i="28"/>
  <c r="X72" i="59"/>
  <c r="V72" i="59"/>
  <c r="V71" i="59"/>
  <c r="X71" i="59"/>
  <c r="V70" i="59"/>
  <c r="X70" i="59"/>
  <c r="V47" i="59"/>
  <c r="V48" i="59"/>
  <c r="V6" i="59"/>
  <c r="T18" i="36"/>
  <c r="W49" i="59" s="1"/>
  <c r="T11" i="6"/>
  <c r="T13" i="6"/>
  <c r="T6" i="6"/>
  <c r="T7" i="6" s="1"/>
  <c r="T13" i="49"/>
  <c r="T13" i="36"/>
  <c r="W40" i="59" s="1"/>
  <c r="S28" i="21"/>
  <c r="T20" i="21"/>
  <c r="S15" i="21"/>
  <c r="S91" i="9" l="1"/>
  <c r="T161" i="6"/>
  <c r="T157" i="6"/>
  <c r="T12" i="6"/>
  <c r="T14" i="6"/>
  <c r="T182" i="6" l="1"/>
  <c r="T187" i="6"/>
  <c r="T15" i="6"/>
  <c r="T77" i="6" s="1"/>
  <c r="T80" i="6" l="1"/>
  <c r="T35" i="6"/>
  <c r="T33" i="6"/>
  <c r="T34" i="6"/>
  <c r="T36" i="6"/>
  <c r="T37" i="6" l="1"/>
  <c r="K201" i="73" l="1"/>
  <c r="E201" i="73"/>
  <c r="M201" i="73" l="1"/>
  <c r="U70" i="77"/>
  <c r="I201" i="73"/>
  <c r="AA201" i="73" l="1"/>
  <c r="AE201" i="73" s="1"/>
  <c r="AI201" i="73" s="1"/>
  <c r="AO201" i="73" s="1"/>
  <c r="AS201" i="73" s="1"/>
  <c r="AW201" i="73" s="1"/>
  <c r="BE201" i="73" s="1"/>
  <c r="Q201" i="73"/>
  <c r="U201" i="73" s="1"/>
  <c r="R104" i="8" l="1"/>
  <c r="R103" i="8"/>
  <c r="Q106" i="7"/>
  <c r="Q105" i="7"/>
  <c r="Q104" i="7"/>
  <c r="Q103" i="7"/>
  <c r="Q102" i="7"/>
  <c r="Q101" i="7"/>
  <c r="Q100" i="7"/>
  <c r="Q99" i="7"/>
  <c r="Q98" i="7"/>
  <c r="Q97" i="7"/>
  <c r="Q79" i="7"/>
  <c r="Q56" i="7"/>
  <c r="Q55" i="7"/>
  <c r="Q54" i="7"/>
  <c r="Q53" i="7"/>
  <c r="Q52" i="7"/>
  <c r="Q51" i="7"/>
  <c r="Q90" i="7" s="1"/>
  <c r="Q50" i="7"/>
  <c r="Q49" i="7"/>
  <c r="V103" i="8" l="1"/>
  <c r="AB103" i="8" s="1"/>
  <c r="AF103" i="8" s="1"/>
  <c r="AJ103" i="8" s="1"/>
  <c r="AP103" i="8" s="1"/>
  <c r="AT103" i="8" s="1"/>
  <c r="V104" i="8"/>
  <c r="AB104" i="8" s="1"/>
  <c r="AF104" i="8" s="1"/>
  <c r="AJ104" i="8" s="1"/>
  <c r="AP104" i="8" s="1"/>
  <c r="AT104" i="8" s="1"/>
  <c r="Z1" i="35"/>
  <c r="Z19" i="35" s="1"/>
  <c r="Y1" i="35"/>
  <c r="Y7" i="35" s="1"/>
  <c r="Q23" i="36"/>
  <c r="Q22" i="36"/>
  <c r="Q21" i="36"/>
  <c r="M88" i="50" l="1"/>
  <c r="M89" i="50" s="1"/>
  <c r="M90" i="50" s="1"/>
  <c r="Y6" i="35"/>
  <c r="Y8" i="35" s="1"/>
  <c r="Y19" i="35"/>
  <c r="O88" i="50" l="1"/>
  <c r="S88" i="50" s="1"/>
  <c r="Q192" i="6" l="1"/>
  <c r="Q191" i="6"/>
  <c r="Q190" i="6"/>
  <c r="Q188" i="6"/>
  <c r="Q183" i="6"/>
  <c r="Q182" i="6"/>
  <c r="Q179" i="6"/>
  <c r="Q178" i="6"/>
  <c r="Q177" i="6"/>
  <c r="Q176" i="6"/>
  <c r="Q175" i="6"/>
  <c r="Q174" i="6"/>
  <c r="Q172" i="6"/>
  <c r="Q171" i="6"/>
  <c r="Q170" i="6"/>
  <c r="Q162" i="6"/>
  <c r="Q158" i="6"/>
  <c r="Q157" i="6"/>
  <c r="Q154" i="6"/>
  <c r="Q153" i="6"/>
  <c r="Q152" i="6"/>
  <c r="Q151" i="6"/>
  <c r="Q150" i="6"/>
  <c r="Q149" i="6"/>
  <c r="Q147" i="6"/>
  <c r="Q146" i="6"/>
  <c r="Q145" i="6"/>
  <c r="Q81" i="6"/>
  <c r="Q79" i="6"/>
  <c r="Q78" i="6"/>
  <c r="Q76" i="6"/>
  <c r="Q75" i="6"/>
  <c r="Q36" i="6"/>
  <c r="Q35" i="6"/>
  <c r="Q34" i="6"/>
  <c r="Q33" i="6"/>
  <c r="Q9" i="6"/>
  <c r="Q8" i="6"/>
  <c r="Q37" i="6" l="1"/>
  <c r="S8" i="72" l="1"/>
  <c r="S11" i="72"/>
  <c r="S15" i="72"/>
  <c r="S16" i="72"/>
  <c r="S9" i="72"/>
  <c r="S12" i="72"/>
  <c r="S13" i="72"/>
  <c r="M56" i="7" l="1"/>
  <c r="M55" i="7"/>
  <c r="M54" i="7"/>
  <c r="M53" i="7"/>
  <c r="M52" i="7"/>
  <c r="M51" i="7"/>
  <c r="M90" i="7" s="1"/>
  <c r="M50" i="7"/>
  <c r="M49" i="7"/>
  <c r="N24" i="27" l="1"/>
  <c r="Y17" i="35"/>
  <c r="Y14" i="36" s="1"/>
  <c r="Y18" i="35" l="1"/>
  <c r="N1" i="35"/>
  <c r="R1" i="35" s="1"/>
  <c r="V1" i="35" s="1"/>
  <c r="AB1" i="35" s="1"/>
  <c r="AF1" i="35" s="1"/>
  <c r="AJ1" i="35" s="1"/>
  <c r="AP1" i="35" s="1"/>
  <c r="AT1" i="35" s="1"/>
  <c r="AX1" i="35" s="1"/>
  <c r="BF1" i="35" s="1"/>
  <c r="BF19" i="35" s="1"/>
  <c r="BF26" i="9" s="1"/>
  <c r="M1" i="35"/>
  <c r="Q1" i="35" s="1"/>
  <c r="U1" i="35" s="1"/>
  <c r="AA1" i="35" s="1"/>
  <c r="AE1" i="35" s="1"/>
  <c r="Z32" i="35"/>
  <c r="Z34" i="35" s="1"/>
  <c r="Z47" i="35"/>
  <c r="Z46" i="35"/>
  <c r="AI1" i="35" l="1"/>
  <c r="AO1" i="35" s="1"/>
  <c r="AS1" i="35" s="1"/>
  <c r="AW1" i="35" s="1"/>
  <c r="BE1" i="35" s="1"/>
  <c r="BE19" i="35" s="1"/>
  <c r="BE26" i="9" s="1"/>
  <c r="Y26" i="36"/>
  <c r="X17" i="15"/>
  <c r="Z44" i="35"/>
  <c r="Z35" i="35"/>
  <c r="Z25" i="36" l="1"/>
  <c r="AA83" i="50"/>
  <c r="AA81" i="50" s="1"/>
  <c r="Y16" i="35"/>
  <c r="Y28" i="35" l="1"/>
  <c r="BE6" i="71"/>
  <c r="BE77" i="71" s="1"/>
  <c r="BA6" i="71"/>
  <c r="BA77" i="71" s="1"/>
  <c r="AW6" i="71"/>
  <c r="AW77" i="71" s="1"/>
  <c r="AU6" i="71"/>
  <c r="Y31" i="35" l="1"/>
  <c r="Y35" i="35" s="1"/>
  <c r="Y25" i="36" s="1"/>
  <c r="P8" i="52"/>
  <c r="O8" i="52"/>
  <c r="O36" i="27"/>
  <c r="O26" i="27"/>
  <c r="O21" i="27"/>
  <c r="P28" i="22"/>
  <c r="P24" i="22"/>
  <c r="P23" i="22"/>
  <c r="P14" i="22"/>
  <c r="P10" i="22"/>
  <c r="P9" i="22"/>
  <c r="N123" i="26"/>
  <c r="O109" i="26"/>
  <c r="O70" i="11"/>
  <c r="O98" i="9"/>
  <c r="O89" i="26"/>
  <c r="O82" i="26"/>
  <c r="O81" i="26"/>
  <c r="N81" i="26"/>
  <c r="N84" i="26"/>
  <c r="O74" i="26"/>
  <c r="P90" i="45"/>
  <c r="O69" i="11"/>
  <c r="O141" i="10"/>
  <c r="O185" i="6"/>
  <c r="O83" i="8"/>
  <c r="O49" i="26"/>
  <c r="O56" i="26" s="1"/>
  <c r="N49" i="26"/>
  <c r="O44" i="26"/>
  <c r="O11" i="26"/>
  <c r="O17" i="26" s="1"/>
  <c r="N113" i="17"/>
  <c r="N111" i="17"/>
  <c r="O85" i="17"/>
  <c r="O84" i="17"/>
  <c r="O83" i="17"/>
  <c r="O82" i="17"/>
  <c r="O81" i="17"/>
  <c r="N81" i="17"/>
  <c r="O77" i="17"/>
  <c r="N77" i="17"/>
  <c r="O66" i="17"/>
  <c r="O68" i="17" s="1"/>
  <c r="N66" i="17"/>
  <c r="N68" i="17" s="1"/>
  <c r="N60" i="17"/>
  <c r="X60" i="17" s="1"/>
  <c r="O58" i="17"/>
  <c r="Y89" i="17" s="1"/>
  <c r="N57" i="17"/>
  <c r="X57" i="17" s="1"/>
  <c r="N56" i="17"/>
  <c r="N54" i="17"/>
  <c r="O51" i="17"/>
  <c r="N51" i="17"/>
  <c r="X51" i="17" s="1"/>
  <c r="O48" i="17"/>
  <c r="N47" i="17"/>
  <c r="X47" i="17" s="1"/>
  <c r="O46" i="17"/>
  <c r="N45" i="17"/>
  <c r="X45" i="17" s="1"/>
  <c r="O43" i="17"/>
  <c r="N43" i="17"/>
  <c r="X43" i="17" s="1"/>
  <c r="O42" i="17"/>
  <c r="O40" i="17"/>
  <c r="O38" i="17"/>
  <c r="N34" i="17"/>
  <c r="O25" i="17"/>
  <c r="Y25" i="17" s="1"/>
  <c r="O21" i="17"/>
  <c r="N20" i="17"/>
  <c r="X20" i="17" s="1"/>
  <c r="N18" i="17"/>
  <c r="X18" i="17" s="1"/>
  <c r="N17" i="17"/>
  <c r="X17" i="17" s="1"/>
  <c r="N15" i="17"/>
  <c r="X15" i="17" s="1"/>
  <c r="N14" i="17"/>
  <c r="O8" i="17"/>
  <c r="N8" i="17"/>
  <c r="X8" i="17" s="1"/>
  <c r="Z10" i="22" l="1"/>
  <c r="Z15" i="22" s="1"/>
  <c r="R15" i="22"/>
  <c r="Y170" i="10"/>
  <c r="X56" i="17"/>
  <c r="X58" i="17" s="1"/>
  <c r="X61" i="17" s="1"/>
  <c r="X112" i="17"/>
  <c r="O24" i="27"/>
  <c r="O33" i="27"/>
  <c r="Z24" i="22"/>
  <c r="Z26" i="22" s="1"/>
  <c r="O39" i="27"/>
  <c r="O44" i="17"/>
  <c r="N29" i="17"/>
  <c r="O15" i="17"/>
  <c r="O29" i="17" s="1"/>
  <c r="Y34" i="17"/>
  <c r="X21" i="17"/>
  <c r="O52" i="17"/>
  <c r="Y51" i="17"/>
  <c r="O12" i="17"/>
  <c r="Y8" i="17"/>
  <c r="X49" i="17"/>
  <c r="X53" i="17" s="1"/>
  <c r="N21" i="17"/>
  <c r="N33" i="17" s="1"/>
  <c r="N112" i="17"/>
  <c r="O112" i="17"/>
  <c r="Q17" i="61"/>
  <c r="P26" i="22"/>
  <c r="P12" i="22"/>
  <c r="O59" i="17"/>
  <c r="N82" i="26"/>
  <c r="O10" i="17"/>
  <c r="N58" i="17"/>
  <c r="N115" i="17"/>
  <c r="P17" i="52"/>
  <c r="O17" i="52"/>
  <c r="N11" i="26"/>
  <c r="N56" i="26"/>
  <c r="N50" i="26"/>
  <c r="N89" i="26"/>
  <c r="N55" i="26"/>
  <c r="O55" i="26"/>
  <c r="O12" i="26"/>
  <c r="O18" i="26"/>
  <c r="O50" i="26"/>
  <c r="O61" i="17"/>
  <c r="N49" i="17"/>
  <c r="N53" i="17" s="1"/>
  <c r="O49" i="17"/>
  <c r="N10" i="17"/>
  <c r="O28" i="72"/>
  <c r="S28" i="72" s="1"/>
  <c r="O42" i="72"/>
  <c r="S42" i="72" s="1"/>
  <c r="M41" i="72"/>
  <c r="M33" i="72"/>
  <c r="M23" i="72"/>
  <c r="M17" i="72"/>
  <c r="AC79" i="71"/>
  <c r="J79" i="71"/>
  <c r="R67" i="59"/>
  <c r="R63" i="59"/>
  <c r="Y75" i="8"/>
  <c r="P10" i="49"/>
  <c r="P12" i="49" s="1"/>
  <c r="P14" i="49" s="1"/>
  <c r="P15" i="49" s="1"/>
  <c r="P16" i="49" s="1"/>
  <c r="P19" i="49" s="1"/>
  <c r="P20" i="49" s="1"/>
  <c r="Y37" i="7"/>
  <c r="Z12" i="22" l="1"/>
  <c r="O30" i="17"/>
  <c r="Y15" i="17"/>
  <c r="Y32" i="17" s="1"/>
  <c r="O33" i="17"/>
  <c r="O31" i="17"/>
  <c r="O32" i="17"/>
  <c r="O113" i="17"/>
  <c r="N31" i="17"/>
  <c r="N30" i="17"/>
  <c r="N59" i="17"/>
  <c r="X89" i="17"/>
  <c r="X34" i="17"/>
  <c r="X31" i="17"/>
  <c r="X33" i="17"/>
  <c r="X30" i="17"/>
  <c r="Y49" i="17"/>
  <c r="Y112" i="17"/>
  <c r="N61" i="17"/>
  <c r="N17" i="26"/>
  <c r="N12" i="26"/>
  <c r="N110" i="17"/>
  <c r="N114" i="17" s="1"/>
  <c r="O6" i="49"/>
  <c r="O14" i="17"/>
  <c r="N18" i="26"/>
  <c r="P33" i="22"/>
  <c r="O125" i="26"/>
  <c r="N125" i="26"/>
  <c r="O33" i="22"/>
  <c r="O110" i="17"/>
  <c r="O114" i="17" s="1"/>
  <c r="O50" i="17"/>
  <c r="O111" i="17" s="1"/>
  <c r="O53" i="17"/>
  <c r="O54" i="17" s="1"/>
  <c r="M43" i="72"/>
  <c r="R59" i="59"/>
  <c r="O5" i="26"/>
  <c r="O8" i="49"/>
  <c r="O9" i="49"/>
  <c r="O17" i="49"/>
  <c r="O18" i="49" s="1"/>
  <c r="Y31" i="17" l="1"/>
  <c r="Y30" i="17"/>
  <c r="O115" i="17"/>
  <c r="Y33" i="17"/>
  <c r="Y53" i="17"/>
  <c r="Z48" i="9"/>
  <c r="Z47" i="9"/>
  <c r="O7" i="22"/>
  <c r="O21" i="22"/>
  <c r="O10" i="49"/>
  <c r="O12" i="49" s="1"/>
  <c r="O14" i="49" s="1"/>
  <c r="O15" i="49" s="1"/>
  <c r="O16" i="49" s="1"/>
  <c r="O19" i="49" s="1"/>
  <c r="O20" i="49" s="1"/>
  <c r="Z39" i="35"/>
  <c r="Z45" i="35" s="1"/>
  <c r="Y39" i="35"/>
  <c r="Y37" i="35"/>
  <c r="Z49" i="9" l="1"/>
  <c r="Z6" i="35"/>
  <c r="Z7" i="35"/>
  <c r="Y14" i="35"/>
  <c r="Y40" i="35"/>
  <c r="Y45" i="35" s="1"/>
  <c r="Y13" i="35"/>
  <c r="Y9" i="35"/>
  <c r="O22" i="22"/>
  <c r="O8" i="22"/>
  <c r="P15" i="36"/>
  <c r="Z84" i="9" l="1"/>
  <c r="Z86" i="9"/>
  <c r="Z80" i="9"/>
  <c r="Z83" i="9"/>
  <c r="Z85" i="9"/>
  <c r="Z82" i="9"/>
  <c r="Z87" i="9"/>
  <c r="Z81" i="9"/>
  <c r="Z8" i="35"/>
  <c r="Y11" i="35"/>
  <c r="S46" i="59"/>
  <c r="P73" i="8"/>
  <c r="Y15" i="35"/>
  <c r="P51" i="35"/>
  <c r="O24" i="22"/>
  <c r="O10" i="22"/>
  <c r="O51" i="35"/>
  <c r="O25" i="22" l="1"/>
  <c r="O11" i="22"/>
  <c r="O27" i="22" l="1"/>
  <c r="O13" i="22"/>
  <c r="D34" i="17" l="1"/>
  <c r="F86" i="45"/>
  <c r="E65" i="11"/>
  <c r="E137" i="10"/>
  <c r="E102" i="9"/>
  <c r="E101" i="9"/>
  <c r="E84" i="8"/>
  <c r="D20" i="17"/>
  <c r="L20" i="17" s="1"/>
  <c r="Z20" i="17" s="1"/>
  <c r="AD20" i="17" s="1"/>
  <c r="AH20" i="17" s="1"/>
  <c r="AN20" i="17" s="1"/>
  <c r="AR20" i="17" s="1"/>
  <c r="AV20" i="17" s="1"/>
  <c r="D18" i="17"/>
  <c r="L18" i="17" s="1"/>
  <c r="Z18" i="17" s="1"/>
  <c r="AD18" i="17" s="1"/>
  <c r="AH18" i="17" s="1"/>
  <c r="AN18" i="17" s="1"/>
  <c r="AR18" i="17" s="1"/>
  <c r="D17" i="17"/>
  <c r="L17" i="17" s="1"/>
  <c r="Z17" i="17" s="1"/>
  <c r="AD17" i="17" s="1"/>
  <c r="BD20" i="17" l="1"/>
  <c r="BD21" i="17" s="1"/>
  <c r="AV21" i="17"/>
  <c r="AD21" i="17"/>
  <c r="AH17" i="17"/>
  <c r="AN17" i="17" s="1"/>
  <c r="M38" i="27"/>
  <c r="AA38" i="27" s="1"/>
  <c r="AE38" i="27" s="1"/>
  <c r="AI38" i="27" s="1"/>
  <c r="AO38" i="27" s="1"/>
  <c r="AS38" i="27" s="1"/>
  <c r="L38" i="27"/>
  <c r="Z38" i="27" s="1"/>
  <c r="AD38" i="27" s="1"/>
  <c r="AH38" i="27" s="1"/>
  <c r="AN38" i="27" s="1"/>
  <c r="AR38" i="27" s="1"/>
  <c r="M32" i="27"/>
  <c r="L32" i="27"/>
  <c r="M23" i="27"/>
  <c r="L23" i="27"/>
  <c r="L7" i="27"/>
  <c r="Z7" i="27" s="1"/>
  <c r="AD7" i="27" s="1"/>
  <c r="AH7" i="27" s="1"/>
  <c r="AN7" i="27" s="1"/>
  <c r="AR7" i="27" s="1"/>
  <c r="M7" i="27"/>
  <c r="AA7" i="27" s="1"/>
  <c r="AE7" i="27" s="1"/>
  <c r="AI7" i="27" s="1"/>
  <c r="AO7" i="27" s="1"/>
  <c r="AS7" i="27" s="1"/>
  <c r="L8" i="27"/>
  <c r="Z8" i="27" s="1"/>
  <c r="AD8" i="27" s="1"/>
  <c r="AH8" i="27" s="1"/>
  <c r="AN8" i="27" s="1"/>
  <c r="AR8" i="27" s="1"/>
  <c r="M8" i="27"/>
  <c r="AA8" i="27" s="1"/>
  <c r="AE8" i="27" s="1"/>
  <c r="AI8" i="27" s="1"/>
  <c r="AO8" i="27" s="1"/>
  <c r="AS8" i="27" s="1"/>
  <c r="L9" i="27"/>
  <c r="Z9" i="27" s="1"/>
  <c r="AD9" i="27" s="1"/>
  <c r="AH9" i="27" s="1"/>
  <c r="AN9" i="27" s="1"/>
  <c r="AR9" i="27" s="1"/>
  <c r="M9" i="27"/>
  <c r="AA9" i="27" s="1"/>
  <c r="AE9" i="27" s="1"/>
  <c r="AI9" i="27" s="1"/>
  <c r="AO9" i="27" s="1"/>
  <c r="AS9" i="27" s="1"/>
  <c r="L10" i="27"/>
  <c r="Z10" i="27" s="1"/>
  <c r="AD10" i="27" s="1"/>
  <c r="AH10" i="27" s="1"/>
  <c r="AN10" i="27" s="1"/>
  <c r="AR10" i="27" s="1"/>
  <c r="M10" i="27"/>
  <c r="AA10" i="27" s="1"/>
  <c r="AE10" i="27" s="1"/>
  <c r="AI10" i="27" s="1"/>
  <c r="AO10" i="27" s="1"/>
  <c r="AS10" i="27" s="1"/>
  <c r="L11" i="27"/>
  <c r="Z11" i="27" s="1"/>
  <c r="AD11" i="27" s="1"/>
  <c r="AH11" i="27" s="1"/>
  <c r="AN11" i="27" s="1"/>
  <c r="AR11" i="27" s="1"/>
  <c r="M11" i="27"/>
  <c r="AA11" i="27" s="1"/>
  <c r="AE11" i="27" s="1"/>
  <c r="AI11" i="27" s="1"/>
  <c r="AO11" i="27" s="1"/>
  <c r="AS11" i="27" s="1"/>
  <c r="L12" i="27"/>
  <c r="Z12" i="27" s="1"/>
  <c r="AD12" i="27" s="1"/>
  <c r="AH12" i="27" s="1"/>
  <c r="AN12" i="27" s="1"/>
  <c r="AR12" i="27" s="1"/>
  <c r="M12" i="27"/>
  <c r="AA12" i="27" s="1"/>
  <c r="AE12" i="27" s="1"/>
  <c r="AI12" i="27" s="1"/>
  <c r="AO12" i="27" s="1"/>
  <c r="AS12" i="27" s="1"/>
  <c r="L13" i="27"/>
  <c r="Z13" i="27" s="1"/>
  <c r="AD13" i="27" s="1"/>
  <c r="AH13" i="27" s="1"/>
  <c r="AN13" i="27" s="1"/>
  <c r="AR13" i="27" s="1"/>
  <c r="M13" i="27"/>
  <c r="AA13" i="27" s="1"/>
  <c r="AE13" i="27" s="1"/>
  <c r="AI13" i="27" s="1"/>
  <c r="AO13" i="27" s="1"/>
  <c r="AS13" i="27" s="1"/>
  <c r="L14" i="27"/>
  <c r="Z14" i="27" s="1"/>
  <c r="AD14" i="27" s="1"/>
  <c r="AH14" i="27" s="1"/>
  <c r="AN14" i="27" s="1"/>
  <c r="AR14" i="27" s="1"/>
  <c r="M14" i="27"/>
  <c r="AA14" i="27" s="1"/>
  <c r="AE14" i="27" s="1"/>
  <c r="AI14" i="27" s="1"/>
  <c r="AO14" i="27" s="1"/>
  <c r="AS14" i="27" s="1"/>
  <c r="L15" i="27"/>
  <c r="Z15" i="27" s="1"/>
  <c r="AD15" i="27" s="1"/>
  <c r="AH15" i="27" s="1"/>
  <c r="AN15" i="27" s="1"/>
  <c r="AR15" i="27" s="1"/>
  <c r="M15" i="27"/>
  <c r="AA15" i="27" s="1"/>
  <c r="AE15" i="27" s="1"/>
  <c r="AI15" i="27" s="1"/>
  <c r="AO15" i="27" s="1"/>
  <c r="AS15" i="27" s="1"/>
  <c r="M6" i="27"/>
  <c r="AA6" i="27" s="1"/>
  <c r="AE6" i="27" s="1"/>
  <c r="AI6" i="27" s="1"/>
  <c r="AO6" i="27" s="1"/>
  <c r="AS6" i="27" s="1"/>
  <c r="L6" i="27"/>
  <c r="Z6" i="27" s="1"/>
  <c r="AD6" i="27" s="1"/>
  <c r="AH6" i="27" s="1"/>
  <c r="AN6" i="27" s="1"/>
  <c r="AR6" i="27" s="1"/>
  <c r="AV31" i="17" l="1"/>
  <c r="AV33" i="17"/>
  <c r="AV30" i="17"/>
  <c r="BD31" i="17"/>
  <c r="BD33" i="17"/>
  <c r="BD30" i="17"/>
  <c r="AN21" i="17"/>
  <c r="AN31" i="17" s="1"/>
  <c r="AR17" i="17"/>
  <c r="AR21" i="17" s="1"/>
  <c r="AH21" i="17"/>
  <c r="AH33" i="17" s="1"/>
  <c r="AN30" i="17"/>
  <c r="AH30" i="17"/>
  <c r="AD33" i="17"/>
  <c r="AD30" i="17"/>
  <c r="AD31" i="17"/>
  <c r="D48" i="72"/>
  <c r="H48" i="72"/>
  <c r="F45" i="72"/>
  <c r="AH31" i="17" l="1"/>
  <c r="AN33" i="17"/>
  <c r="AR33" i="17"/>
  <c r="AR31" i="17"/>
  <c r="AR30" i="17"/>
  <c r="G40" i="50"/>
  <c r="G103" i="50" l="1"/>
  <c r="E26" i="9"/>
  <c r="F310" i="28"/>
  <c r="F384" i="28" l="1"/>
  <c r="N310" i="28"/>
  <c r="J310" i="28"/>
  <c r="J384" i="28" l="1"/>
  <c r="Y26" i="72"/>
  <c r="AC26" i="72" s="1"/>
  <c r="E41" i="72"/>
  <c r="E47" i="72" s="1"/>
  <c r="I47" i="72"/>
  <c r="E33" i="72"/>
  <c r="E46" i="72" s="1"/>
  <c r="I46" i="72"/>
  <c r="E23" i="72"/>
  <c r="E45" i="72" s="1"/>
  <c r="I45" i="72"/>
  <c r="E17" i="72"/>
  <c r="Y15" i="72"/>
  <c r="AC15" i="72" s="1"/>
  <c r="AG15" i="72" s="1"/>
  <c r="AM15" i="72" s="1"/>
  <c r="Y16" i="72"/>
  <c r="AC16" i="72" s="1"/>
  <c r="AG16" i="72" s="1"/>
  <c r="AM16" i="72" s="1"/>
  <c r="K42" i="72"/>
  <c r="Y42" i="72" s="1"/>
  <c r="AC42" i="72" s="1"/>
  <c r="AG42" i="72" s="1"/>
  <c r="AM42" i="72" s="1"/>
  <c r="K36" i="72"/>
  <c r="Y21" i="72"/>
  <c r="K7" i="72"/>
  <c r="AB6" i="71"/>
  <c r="AB77" i="71" s="1"/>
  <c r="AQ16" i="72" l="1"/>
  <c r="AU16" i="72" s="1"/>
  <c r="BC16" i="72" s="1"/>
  <c r="AQ42" i="72"/>
  <c r="AU42" i="72" s="1"/>
  <c r="BC42" i="72" s="1"/>
  <c r="AQ15" i="72"/>
  <c r="AU15" i="72" s="1"/>
  <c r="BC15" i="72" s="1"/>
  <c r="AC33" i="72"/>
  <c r="AG26" i="72"/>
  <c r="Y23" i="72"/>
  <c r="AC21" i="72"/>
  <c r="N384" i="28"/>
  <c r="R310" i="28"/>
  <c r="K41" i="72"/>
  <c r="E43" i="72"/>
  <c r="E48" i="72" s="1"/>
  <c r="I48" i="72"/>
  <c r="K17" i="72"/>
  <c r="K33" i="72"/>
  <c r="AG33" i="72" l="1"/>
  <c r="AM26" i="72"/>
  <c r="BA33" i="72" s="1"/>
  <c r="AC23" i="72"/>
  <c r="AG21" i="72"/>
  <c r="R384" i="28"/>
  <c r="V310" i="28"/>
  <c r="L21" i="15"/>
  <c r="M10" i="15"/>
  <c r="L10" i="15"/>
  <c r="AG23" i="72" l="1"/>
  <c r="AM21" i="72"/>
  <c r="BA23" i="72" s="1"/>
  <c r="AQ26" i="72"/>
  <c r="AM33" i="72"/>
  <c r="V384" i="28"/>
  <c r="P10" i="15"/>
  <c r="AA10" i="15"/>
  <c r="AE10" i="15" s="1"/>
  <c r="AI10" i="15" s="1"/>
  <c r="AO10" i="15" s="1"/>
  <c r="AS10" i="15" s="1"/>
  <c r="AW10" i="15" s="1"/>
  <c r="Q10" i="15"/>
  <c r="U10" i="15" s="1"/>
  <c r="P21" i="15"/>
  <c r="AQ33" i="72" l="1"/>
  <c r="AU26" i="72"/>
  <c r="AQ21" i="72"/>
  <c r="AM23" i="72"/>
  <c r="T21" i="15"/>
  <c r="Z21" i="15"/>
  <c r="AD21" i="15" s="1"/>
  <c r="AH21" i="15" s="1"/>
  <c r="AN21" i="15" s="1"/>
  <c r="T10" i="15"/>
  <c r="X10" i="15"/>
  <c r="Z384" i="28"/>
  <c r="AB310" i="28"/>
  <c r="F57" i="9"/>
  <c r="N57" i="9" s="1"/>
  <c r="AR21" i="15" l="1"/>
  <c r="AV21" i="15" s="1"/>
  <c r="BD21" i="15" s="1"/>
  <c r="BB21" i="15"/>
  <c r="AQ23" i="72"/>
  <c r="AU21" i="72"/>
  <c r="BC26" i="72"/>
  <c r="BC33" i="72" s="1"/>
  <c r="AU33" i="72"/>
  <c r="AB384" i="28"/>
  <c r="AF310" i="28"/>
  <c r="Z10" i="15"/>
  <c r="AD10" i="15" s="1"/>
  <c r="X12" i="15"/>
  <c r="F62" i="9"/>
  <c r="N62" i="9" s="1"/>
  <c r="J57" i="9"/>
  <c r="N111" i="9"/>
  <c r="N105" i="9"/>
  <c r="R105" i="9" s="1"/>
  <c r="V105" i="9" s="1"/>
  <c r="R92" i="9"/>
  <c r="V92" i="9" s="1"/>
  <c r="N88" i="9"/>
  <c r="R88" i="9" s="1"/>
  <c r="R70" i="9"/>
  <c r="V70" i="9" s="1"/>
  <c r="R69" i="9"/>
  <c r="V69" i="9" s="1"/>
  <c r="R68" i="9"/>
  <c r="V68" i="9" s="1"/>
  <c r="R67" i="9"/>
  <c r="V67" i="9" s="1"/>
  <c r="R66" i="9"/>
  <c r="V66" i="9" s="1"/>
  <c r="R65" i="9"/>
  <c r="V65" i="9" s="1"/>
  <c r="R63" i="9"/>
  <c r="V63" i="9" s="1"/>
  <c r="N55" i="9"/>
  <c r="N45" i="9"/>
  <c r="R45" i="9" s="1"/>
  <c r="V45" i="9" s="1"/>
  <c r="N44" i="9"/>
  <c r="AB44" i="9" s="1"/>
  <c r="AF44" i="9" s="1"/>
  <c r="AJ44" i="9" s="1"/>
  <c r="AP44" i="9" s="1"/>
  <c r="AT44" i="9" s="1"/>
  <c r="AX44" i="9" s="1"/>
  <c r="BF44" i="9" s="1"/>
  <c r="N43" i="9"/>
  <c r="AB43" i="9" s="1"/>
  <c r="AF43" i="9" s="1"/>
  <c r="AJ43" i="9" s="1"/>
  <c r="AP43" i="9" s="1"/>
  <c r="AT43" i="9" s="1"/>
  <c r="AX43" i="9" s="1"/>
  <c r="BF43" i="9" s="1"/>
  <c r="N42" i="9"/>
  <c r="N41" i="9"/>
  <c r="AB41" i="9" s="1"/>
  <c r="AF41" i="9" s="1"/>
  <c r="AJ41" i="9" s="1"/>
  <c r="AP41" i="9" s="1"/>
  <c r="AT41" i="9" s="1"/>
  <c r="AX41" i="9" s="1"/>
  <c r="BF41" i="9" s="1"/>
  <c r="N40" i="9"/>
  <c r="AB40" i="9" s="1"/>
  <c r="AF40" i="9" s="1"/>
  <c r="AJ40" i="9" s="1"/>
  <c r="AP40" i="9" s="1"/>
  <c r="AT40" i="9" s="1"/>
  <c r="AX40" i="9" s="1"/>
  <c r="BF40" i="9" s="1"/>
  <c r="N39" i="9"/>
  <c r="AB39" i="9" s="1"/>
  <c r="AF39" i="9" s="1"/>
  <c r="AJ39" i="9" s="1"/>
  <c r="AP39" i="9" s="1"/>
  <c r="AT39" i="9" s="1"/>
  <c r="AX39" i="9" s="1"/>
  <c r="BF39" i="9" s="1"/>
  <c r="N38" i="9"/>
  <c r="R38" i="9" s="1"/>
  <c r="V38" i="9" s="1"/>
  <c r="N33" i="9"/>
  <c r="R33" i="9" s="1"/>
  <c r="V33" i="9" s="1"/>
  <c r="N32" i="9"/>
  <c r="R32" i="9" s="1"/>
  <c r="V32" i="9" s="1"/>
  <c r="N30" i="9"/>
  <c r="R30" i="9" s="1"/>
  <c r="V30" i="9" s="1"/>
  <c r="N29" i="9"/>
  <c r="R29" i="9" s="1"/>
  <c r="V29" i="9" s="1"/>
  <c r="N27" i="9"/>
  <c r="N24" i="9"/>
  <c r="N23" i="9"/>
  <c r="N22" i="9"/>
  <c r="N20" i="9"/>
  <c r="N93" i="9" s="1"/>
  <c r="N18" i="9"/>
  <c r="R18" i="9" s="1"/>
  <c r="V18" i="9" s="1"/>
  <c r="N17" i="9"/>
  <c r="R17" i="9" s="1"/>
  <c r="V17" i="9" s="1"/>
  <c r="N16" i="9"/>
  <c r="R16" i="9" s="1"/>
  <c r="V16" i="9" s="1"/>
  <c r="N15" i="9"/>
  <c r="N38" i="36" s="1"/>
  <c r="N13" i="9"/>
  <c r="R13" i="9" s="1"/>
  <c r="V13" i="9" s="1"/>
  <c r="N12" i="9"/>
  <c r="R12" i="9" s="1"/>
  <c r="V12" i="9" s="1"/>
  <c r="N11" i="9"/>
  <c r="R11" i="9" s="1"/>
  <c r="V11" i="9" s="1"/>
  <c r="N8" i="9"/>
  <c r="N9" i="9"/>
  <c r="N7" i="9"/>
  <c r="M105" i="9"/>
  <c r="Q105" i="9" s="1"/>
  <c r="U105" i="9" s="1"/>
  <c r="M53" i="9"/>
  <c r="M52" i="9"/>
  <c r="M51" i="9"/>
  <c r="E53" i="9"/>
  <c r="E52" i="9"/>
  <c r="E51" i="9"/>
  <c r="M38" i="9"/>
  <c r="M29" i="9"/>
  <c r="Q29" i="9" s="1"/>
  <c r="U29" i="9" s="1"/>
  <c r="M20" i="9"/>
  <c r="Q20" i="9" s="1"/>
  <c r="U20" i="9" s="1"/>
  <c r="M15" i="9"/>
  <c r="Q15" i="9" s="1"/>
  <c r="U15" i="9" s="1"/>
  <c r="J125" i="26"/>
  <c r="R7" i="38"/>
  <c r="AF7" i="38" s="1"/>
  <c r="AJ7" i="38" s="1"/>
  <c r="R14" i="38"/>
  <c r="AF14" i="38" s="1"/>
  <c r="AJ14" i="38" s="1"/>
  <c r="R20" i="38"/>
  <c r="AF20" i="38" s="1"/>
  <c r="AJ20" i="38" s="1"/>
  <c r="R36" i="38"/>
  <c r="AF36" i="38" s="1"/>
  <c r="AJ36" i="38" s="1"/>
  <c r="R37" i="38"/>
  <c r="AF37" i="38" s="1"/>
  <c r="AJ37" i="38" s="1"/>
  <c r="R38" i="38"/>
  <c r="AF38" i="38" s="1"/>
  <c r="AJ38" i="38" s="1"/>
  <c r="R39" i="38"/>
  <c r="AF39" i="38" s="1"/>
  <c r="AJ39" i="38" s="1"/>
  <c r="R42" i="38"/>
  <c r="AF42" i="38" s="1"/>
  <c r="AJ42" i="38" s="1"/>
  <c r="R44" i="38"/>
  <c r="AF44" i="38" s="1"/>
  <c r="AJ44" i="38" s="1"/>
  <c r="R45" i="38"/>
  <c r="AF45" i="38" s="1"/>
  <c r="AJ45" i="38" s="1"/>
  <c r="R46" i="38"/>
  <c r="AF46" i="38" s="1"/>
  <c r="AJ46" i="38" s="1"/>
  <c r="R47" i="38"/>
  <c r="AF47" i="38" s="1"/>
  <c r="AJ47" i="38" s="1"/>
  <c r="AB42" i="9" l="1"/>
  <c r="O127" i="50"/>
  <c r="O128" i="50" s="1"/>
  <c r="O129" i="50" s="1"/>
  <c r="BC21" i="72"/>
  <c r="BC23" i="72" s="1"/>
  <c r="AU23" i="72"/>
  <c r="AN45" i="38"/>
  <c r="AN38" i="38"/>
  <c r="AN14" i="38"/>
  <c r="AN46" i="38"/>
  <c r="AN44" i="38"/>
  <c r="AN37" i="38"/>
  <c r="AN7" i="38"/>
  <c r="AN20" i="38"/>
  <c r="AF186" i="6"/>
  <c r="AN47" i="38"/>
  <c r="AN42" i="38"/>
  <c r="AN36" i="38"/>
  <c r="AF160" i="6"/>
  <c r="AN39" i="38"/>
  <c r="AH10" i="15"/>
  <c r="AN10" i="15" s="1"/>
  <c r="AR10" i="15" s="1"/>
  <c r="AV10" i="15" s="1"/>
  <c r="AL10" i="15"/>
  <c r="AL12" i="15" s="1"/>
  <c r="AF384" i="28"/>
  <c r="AJ310" i="28"/>
  <c r="V88" i="9"/>
  <c r="R111" i="9"/>
  <c r="V111" i="9" s="1"/>
  <c r="AB111" i="9"/>
  <c r="AF111" i="9" s="1"/>
  <c r="AJ111" i="9" s="1"/>
  <c r="AP111" i="9" s="1"/>
  <c r="AT111" i="9" s="1"/>
  <c r="AX111" i="9" s="1"/>
  <c r="BF111" i="9" s="1"/>
  <c r="N40" i="36"/>
  <c r="R57" i="9"/>
  <c r="AB62" i="9"/>
  <c r="AF62" i="9" s="1"/>
  <c r="AJ62" i="9" s="1"/>
  <c r="AP62" i="9" s="1"/>
  <c r="AT62" i="9" s="1"/>
  <c r="AX62" i="9" s="1"/>
  <c r="BF62" i="9" s="1"/>
  <c r="J62" i="9"/>
  <c r="R55" i="9"/>
  <c r="R27" i="9"/>
  <c r="V27" i="9" s="1"/>
  <c r="N148" i="9"/>
  <c r="R113" i="9"/>
  <c r="V113" i="9" s="1"/>
  <c r="R119" i="9"/>
  <c r="V119" i="9" s="1"/>
  <c r="R125" i="9"/>
  <c r="V125" i="9" s="1"/>
  <c r="R114" i="9"/>
  <c r="V114" i="9" s="1"/>
  <c r="R120" i="9"/>
  <c r="V120" i="9" s="1"/>
  <c r="R126" i="9"/>
  <c r="V126" i="9" s="1"/>
  <c r="R115" i="9"/>
  <c r="V115" i="9" s="1"/>
  <c r="R127" i="9"/>
  <c r="V127" i="9" s="1"/>
  <c r="R116" i="9"/>
  <c r="V116" i="9" s="1"/>
  <c r="R122" i="9"/>
  <c r="V122" i="9" s="1"/>
  <c r="R128" i="9"/>
  <c r="V128" i="9" s="1"/>
  <c r="R117" i="9"/>
  <c r="V117" i="9" s="1"/>
  <c r="R123" i="9"/>
  <c r="V123" i="9" s="1"/>
  <c r="R131" i="9"/>
  <c r="V131" i="9" s="1"/>
  <c r="R112" i="9"/>
  <c r="V112" i="9" s="1"/>
  <c r="R118" i="9"/>
  <c r="V118" i="9" s="1"/>
  <c r="R132" i="9"/>
  <c r="V132" i="9" s="1"/>
  <c r="J48" i="72"/>
  <c r="Q38" i="9"/>
  <c r="U38" i="9" s="1"/>
  <c r="N135" i="9"/>
  <c r="R8" i="9"/>
  <c r="V8" i="9" s="1"/>
  <c r="R39" i="9"/>
  <c r="V39" i="9" s="1"/>
  <c r="R40" i="9"/>
  <c r="V40" i="9" s="1"/>
  <c r="N101" i="9"/>
  <c r="R20" i="9"/>
  <c r="V20" i="9" s="1"/>
  <c r="R41" i="9"/>
  <c r="V41" i="9" s="1"/>
  <c r="N137" i="9"/>
  <c r="R22" i="9"/>
  <c r="V22" i="9" s="1"/>
  <c r="R42" i="9"/>
  <c r="Q51" i="9"/>
  <c r="U51" i="9" s="1"/>
  <c r="N134" i="9"/>
  <c r="R7" i="9"/>
  <c r="V7" i="9" s="1"/>
  <c r="N51" i="9"/>
  <c r="R15" i="9"/>
  <c r="N138" i="9"/>
  <c r="R23" i="9"/>
  <c r="V23" i="9" s="1"/>
  <c r="R43" i="9"/>
  <c r="V43" i="9" s="1"/>
  <c r="N136" i="9"/>
  <c r="R9" i="9"/>
  <c r="V9" i="9" s="1"/>
  <c r="N139" i="9"/>
  <c r="R24" i="9"/>
  <c r="V24" i="9" s="1"/>
  <c r="Q44" i="72"/>
  <c r="R44" i="9"/>
  <c r="V44" i="9" s="1"/>
  <c r="R124" i="9"/>
  <c r="V124" i="9" s="1"/>
  <c r="R121" i="9"/>
  <c r="V121" i="9" s="1"/>
  <c r="K46" i="72"/>
  <c r="K47" i="72"/>
  <c r="K44" i="72"/>
  <c r="K125" i="26"/>
  <c r="N35" i="9"/>
  <c r="R35" i="9" s="1"/>
  <c r="V35" i="9" s="1"/>
  <c r="N31" i="9"/>
  <c r="R31" i="9" s="1"/>
  <c r="V31" i="9" s="1"/>
  <c r="N36" i="9"/>
  <c r="N46" i="9"/>
  <c r="R46" i="9" s="1"/>
  <c r="V46" i="9" s="1"/>
  <c r="N34" i="9"/>
  <c r="R36" i="9" l="1"/>
  <c r="O117" i="50"/>
  <c r="O118" i="50" s="1"/>
  <c r="V42" i="9"/>
  <c r="W127" i="50" s="1"/>
  <c r="W128" i="50" s="1"/>
  <c r="W129" i="50" s="1"/>
  <c r="S127" i="50"/>
  <c r="S128" i="50" s="1"/>
  <c r="S129" i="50" s="1"/>
  <c r="AF42" i="9"/>
  <c r="AC127" i="50"/>
  <c r="AC128" i="50" s="1"/>
  <c r="AC129" i="50" s="1"/>
  <c r="AT20" i="38"/>
  <c r="AJ186" i="6"/>
  <c r="AT37" i="38"/>
  <c r="AT46" i="38"/>
  <c r="AT38" i="38"/>
  <c r="AT36" i="38"/>
  <c r="AJ160" i="6"/>
  <c r="AT47" i="38"/>
  <c r="AT39" i="38"/>
  <c r="AT7" i="38"/>
  <c r="AT44" i="38"/>
  <c r="AT14" i="38"/>
  <c r="AT45" i="38"/>
  <c r="AT42" i="38"/>
  <c r="AJ384" i="28"/>
  <c r="AP310" i="28"/>
  <c r="V25" i="9"/>
  <c r="R62" i="9"/>
  <c r="N42" i="36"/>
  <c r="V55" i="9"/>
  <c r="R40" i="36"/>
  <c r="V93" i="9"/>
  <c r="V57" i="9"/>
  <c r="V15" i="9"/>
  <c r="R38" i="36"/>
  <c r="V10" i="9"/>
  <c r="R148" i="9"/>
  <c r="R137" i="9"/>
  <c r="V137" i="9" s="1"/>
  <c r="R138" i="9"/>
  <c r="V138" i="9" s="1"/>
  <c r="R139" i="9"/>
  <c r="V139" i="9" s="1"/>
  <c r="R135" i="9"/>
  <c r="V135" i="9" s="1"/>
  <c r="N37" i="9"/>
  <c r="R37" i="9" s="1"/>
  <c r="V37" i="9" s="1"/>
  <c r="R34" i="9"/>
  <c r="V34" i="9" s="1"/>
  <c r="R136" i="9"/>
  <c r="V136" i="9" s="1"/>
  <c r="R51" i="9"/>
  <c r="R134" i="9"/>
  <c r="V134" i="9" s="1"/>
  <c r="R10" i="9"/>
  <c r="R25" i="9"/>
  <c r="R101" i="9"/>
  <c r="V101" i="9" s="1"/>
  <c r="R93" i="9"/>
  <c r="AJ42" i="9" l="1"/>
  <c r="AG127" i="50"/>
  <c r="AG128" i="50" s="1"/>
  <c r="AG129" i="50" s="1"/>
  <c r="V36" i="9"/>
  <c r="W117" i="50" s="1"/>
  <c r="W118" i="50" s="1"/>
  <c r="S117" i="50"/>
  <c r="S118" i="50" s="1"/>
  <c r="AX45" i="38"/>
  <c r="BB45" i="38" s="1"/>
  <c r="BJ45" i="38" s="1"/>
  <c r="AX44" i="38"/>
  <c r="BB44" i="38" s="1"/>
  <c r="BJ44" i="38" s="1"/>
  <c r="AX39" i="38"/>
  <c r="BB39" i="38" s="1"/>
  <c r="BJ39" i="38" s="1"/>
  <c r="AX38" i="38"/>
  <c r="BB38" i="38" s="1"/>
  <c r="BJ38" i="38" s="1"/>
  <c r="AX36" i="38"/>
  <c r="BB36" i="38" s="1"/>
  <c r="BJ36" i="38" s="1"/>
  <c r="BD161" i="6" s="1"/>
  <c r="AP160" i="6"/>
  <c r="AX46" i="38"/>
  <c r="BB46" i="38" s="1"/>
  <c r="BJ46" i="38" s="1"/>
  <c r="AP384" i="28"/>
  <c r="AT310" i="28"/>
  <c r="AX42" i="38"/>
  <c r="BB42" i="38" s="1"/>
  <c r="BJ42" i="38" s="1"/>
  <c r="AX14" i="38"/>
  <c r="BB14" i="38" s="1"/>
  <c r="BJ14" i="38" s="1"/>
  <c r="AX7" i="38"/>
  <c r="BB7" i="38" s="1"/>
  <c r="BJ7" i="38" s="1"/>
  <c r="AX47" i="38"/>
  <c r="BB47" i="38" s="1"/>
  <c r="BJ47" i="38" s="1"/>
  <c r="AX20" i="38"/>
  <c r="BB20" i="38" s="1"/>
  <c r="BJ20" i="38" s="1"/>
  <c r="BD187" i="6" s="1"/>
  <c r="AP186" i="6"/>
  <c r="AX37" i="38"/>
  <c r="BB37" i="38" s="1"/>
  <c r="BJ37" i="38" s="1"/>
  <c r="R42" i="36"/>
  <c r="V51" i="9"/>
  <c r="V40" i="36"/>
  <c r="V38" i="36"/>
  <c r="V62" i="9"/>
  <c r="M75" i="8"/>
  <c r="X42" i="59" s="1"/>
  <c r="E75" i="8"/>
  <c r="M72" i="8"/>
  <c r="M70" i="8"/>
  <c r="M69" i="8"/>
  <c r="E72" i="8"/>
  <c r="E70" i="8"/>
  <c r="E50" i="8"/>
  <c r="M44" i="8"/>
  <c r="M43" i="8"/>
  <c r="M42" i="8"/>
  <c r="E44" i="8"/>
  <c r="E43" i="8"/>
  <c r="E42" i="8"/>
  <c r="E14" i="8"/>
  <c r="M14" i="8" s="1"/>
  <c r="AA14" i="8" s="1"/>
  <c r="AE14" i="8" s="1"/>
  <c r="AI14" i="8" s="1"/>
  <c r="AO14" i="8" s="1"/>
  <c r="AS14" i="8" s="1"/>
  <c r="AW14" i="8" s="1"/>
  <c r="BE14" i="8" s="1"/>
  <c r="E13" i="8"/>
  <c r="M13" i="8" s="1"/>
  <c r="AA13" i="8" s="1"/>
  <c r="AE13" i="8" s="1"/>
  <c r="AI13" i="8" s="1"/>
  <c r="AO13" i="8" s="1"/>
  <c r="AS13" i="8" s="1"/>
  <c r="AW13" i="8" s="1"/>
  <c r="BE13" i="8" s="1"/>
  <c r="E12" i="8"/>
  <c r="M81" i="8"/>
  <c r="E81" i="8"/>
  <c r="M78" i="8"/>
  <c r="P44" i="59" s="1"/>
  <c r="M77" i="8"/>
  <c r="P43" i="59" s="1"/>
  <c r="E78" i="8"/>
  <c r="H44" i="59" s="1"/>
  <c r="E77" i="8"/>
  <c r="H43" i="59" s="1"/>
  <c r="M59" i="8"/>
  <c r="Q59" i="8" s="1"/>
  <c r="U59" i="8" s="1"/>
  <c r="N32" i="8"/>
  <c r="N11" i="49" s="1"/>
  <c r="M32" i="8"/>
  <c r="N9" i="49"/>
  <c r="N8" i="49"/>
  <c r="M20" i="8"/>
  <c r="Q20" i="8" s="1"/>
  <c r="U20" i="8" s="1"/>
  <c r="Q19" i="8"/>
  <c r="U19" i="8" s="1"/>
  <c r="Q18" i="8"/>
  <c r="U18" i="8" s="1"/>
  <c r="M17" i="8"/>
  <c r="Q10" i="8"/>
  <c r="U10" i="8" s="1"/>
  <c r="Q9" i="8"/>
  <c r="U9" i="8" s="1"/>
  <c r="N8" i="8"/>
  <c r="R8" i="8" s="1"/>
  <c r="V8" i="8" s="1"/>
  <c r="M8" i="8"/>
  <c r="N68" i="7"/>
  <c r="M68" i="7"/>
  <c r="R66" i="7"/>
  <c r="V66" i="7" s="1"/>
  <c r="Q66" i="7"/>
  <c r="U66" i="7" s="1"/>
  <c r="N62" i="7"/>
  <c r="N60" i="7"/>
  <c r="M60" i="7"/>
  <c r="Q60" i="7" s="1"/>
  <c r="U60" i="7" s="1"/>
  <c r="N59" i="7"/>
  <c r="M59" i="7"/>
  <c r="Q59" i="7" s="1"/>
  <c r="U59" i="7" s="1"/>
  <c r="R45" i="7"/>
  <c r="V45" i="7" s="1"/>
  <c r="R44" i="7"/>
  <c r="V44" i="7" s="1"/>
  <c r="R43" i="7"/>
  <c r="V43" i="7" s="1"/>
  <c r="R42" i="7"/>
  <c r="V42" i="7" s="1"/>
  <c r="R41" i="7"/>
  <c r="V41" i="7" s="1"/>
  <c r="R40" i="7"/>
  <c r="V40" i="7" s="1"/>
  <c r="R39" i="7"/>
  <c r="V39" i="7" s="1"/>
  <c r="R38" i="7"/>
  <c r="V38" i="7" s="1"/>
  <c r="M7" i="7"/>
  <c r="AA7" i="7" s="1"/>
  <c r="AE7" i="7" s="1"/>
  <c r="AI7" i="7" s="1"/>
  <c r="AO7" i="7" s="1"/>
  <c r="AS7" i="7" s="1"/>
  <c r="AW7" i="7" s="1"/>
  <c r="M8" i="7"/>
  <c r="M9" i="7"/>
  <c r="M10" i="7"/>
  <c r="M11" i="7"/>
  <c r="M12" i="7"/>
  <c r="M14" i="7"/>
  <c r="M15" i="7"/>
  <c r="M17" i="7"/>
  <c r="N6" i="7"/>
  <c r="M6" i="7"/>
  <c r="M106" i="7"/>
  <c r="M105" i="7"/>
  <c r="M104" i="7"/>
  <c r="M103" i="7"/>
  <c r="M102" i="7"/>
  <c r="M101" i="7"/>
  <c r="M100" i="7"/>
  <c r="M99" i="7"/>
  <c r="M98" i="7"/>
  <c r="M97" i="7"/>
  <c r="M79" i="7"/>
  <c r="BE7" i="7" l="1"/>
  <c r="AP42" i="9"/>
  <c r="AK127" i="50"/>
  <c r="AK128" i="50" s="1"/>
  <c r="AK129" i="50" s="1"/>
  <c r="BB161" i="6"/>
  <c r="BB187" i="6"/>
  <c r="AT384" i="28"/>
  <c r="AX310" i="28"/>
  <c r="AX160" i="6"/>
  <c r="AX186" i="6"/>
  <c r="AT186" i="6"/>
  <c r="AT160" i="6"/>
  <c r="Q8" i="8"/>
  <c r="U8" i="8" s="1"/>
  <c r="Q68" i="7"/>
  <c r="U68" i="7" s="1"/>
  <c r="U69" i="7" s="1"/>
  <c r="R68" i="7"/>
  <c r="V68" i="7" s="1"/>
  <c r="R6" i="7"/>
  <c r="V6" i="7" s="1"/>
  <c r="Q8" i="7"/>
  <c r="U8" i="7" s="1"/>
  <c r="AA8" i="7"/>
  <c r="AE8" i="7" s="1"/>
  <c r="R62" i="7"/>
  <c r="V62" i="7" s="1"/>
  <c r="Q17" i="7"/>
  <c r="U17" i="7" s="1"/>
  <c r="AA17" i="7"/>
  <c r="AE17" i="7" s="1"/>
  <c r="AI17" i="7" s="1"/>
  <c r="AO17" i="7" s="1"/>
  <c r="AS17" i="7" s="1"/>
  <c r="AW17" i="7" s="1"/>
  <c r="BE17" i="7" s="1"/>
  <c r="Q15" i="7"/>
  <c r="U15" i="7" s="1"/>
  <c r="AA15" i="7"/>
  <c r="AE15" i="7" s="1"/>
  <c r="AI15" i="7" s="1"/>
  <c r="AO15" i="7" s="1"/>
  <c r="AS15" i="7" s="1"/>
  <c r="AW15" i="7" s="1"/>
  <c r="BE15" i="7" s="1"/>
  <c r="Q12" i="7"/>
  <c r="U12" i="7" s="1"/>
  <c r="AA12" i="7"/>
  <c r="AE12" i="7" s="1"/>
  <c r="AI12" i="7" s="1"/>
  <c r="AO12" i="7" s="1"/>
  <c r="AS12" i="7" s="1"/>
  <c r="AW12" i="7" s="1"/>
  <c r="BE12" i="7" s="1"/>
  <c r="R60" i="7"/>
  <c r="V60" i="7" s="1"/>
  <c r="Q14" i="7"/>
  <c r="U14" i="7" s="1"/>
  <c r="AA14" i="7"/>
  <c r="AE14" i="7" s="1"/>
  <c r="AI14" i="7" s="1"/>
  <c r="AO14" i="7" s="1"/>
  <c r="AS14" i="7" s="1"/>
  <c r="AW14" i="7" s="1"/>
  <c r="BE14" i="7" s="1"/>
  <c r="Q11" i="7"/>
  <c r="U11" i="7" s="1"/>
  <c r="AA11" i="7"/>
  <c r="AE11" i="7" s="1"/>
  <c r="AI11" i="7" s="1"/>
  <c r="AO11" i="7" s="1"/>
  <c r="AS11" i="7" s="1"/>
  <c r="AW11" i="7" s="1"/>
  <c r="BE11" i="7" s="1"/>
  <c r="Q10" i="7"/>
  <c r="U10" i="7" s="1"/>
  <c r="AA10" i="7"/>
  <c r="AE10" i="7" s="1"/>
  <c r="AI10" i="7" s="1"/>
  <c r="AO10" i="7" s="1"/>
  <c r="AS10" i="7" s="1"/>
  <c r="AW10" i="7" s="1"/>
  <c r="BE10" i="7" s="1"/>
  <c r="Q6" i="7"/>
  <c r="U6" i="7" s="1"/>
  <c r="AA6" i="7"/>
  <c r="AE6" i="7" s="1"/>
  <c r="AI6" i="7" s="1"/>
  <c r="Q9" i="7"/>
  <c r="U9" i="7" s="1"/>
  <c r="AA9" i="7"/>
  <c r="AE9" i="7" s="1"/>
  <c r="AI9" i="7" s="1"/>
  <c r="AO9" i="7" s="1"/>
  <c r="AS9" i="7" s="1"/>
  <c r="AW9" i="7" s="1"/>
  <c r="BE9" i="7" s="1"/>
  <c r="R59" i="7"/>
  <c r="V59" i="7" s="1"/>
  <c r="R15" i="7"/>
  <c r="V15" i="7" s="1"/>
  <c r="R12" i="7"/>
  <c r="V12" i="7" s="1"/>
  <c r="R8" i="7"/>
  <c r="V8" i="7" s="1"/>
  <c r="R17" i="7"/>
  <c r="V17" i="7" s="1"/>
  <c r="R14" i="7"/>
  <c r="V14" i="7" s="1"/>
  <c r="R11" i="7"/>
  <c r="V11" i="7" s="1"/>
  <c r="R9" i="7"/>
  <c r="V9" i="7" s="1"/>
  <c r="U61" i="7"/>
  <c r="V69" i="7"/>
  <c r="V42" i="36"/>
  <c r="R10" i="7"/>
  <c r="V10" i="7" s="1"/>
  <c r="N129" i="8"/>
  <c r="N130" i="8" s="1"/>
  <c r="Q32" i="8"/>
  <c r="U32" i="8" s="1"/>
  <c r="U11" i="49" s="1"/>
  <c r="M11" i="49"/>
  <c r="R7" i="7"/>
  <c r="V7" i="7" s="1"/>
  <c r="N19" i="7"/>
  <c r="Q7" i="7"/>
  <c r="U7" i="7" s="1"/>
  <c r="M19" i="7"/>
  <c r="N81" i="8"/>
  <c r="R79" i="8"/>
  <c r="V79" i="8" s="1"/>
  <c r="R58" i="8"/>
  <c r="V58" i="8" s="1"/>
  <c r="R9" i="8"/>
  <c r="V9" i="8" s="1"/>
  <c r="R22" i="8"/>
  <c r="V22" i="8" s="1"/>
  <c r="R23" i="8"/>
  <c r="V23" i="8" s="1"/>
  <c r="R10" i="8"/>
  <c r="V10" i="8" s="1"/>
  <c r="R24" i="8"/>
  <c r="V24" i="8" s="1"/>
  <c r="R26" i="8"/>
  <c r="R27" i="8"/>
  <c r="R28" i="8"/>
  <c r="V28" i="8" s="1"/>
  <c r="R30" i="8"/>
  <c r="V30" i="8" s="1"/>
  <c r="R18" i="8"/>
  <c r="V18" i="8" s="1"/>
  <c r="R32" i="8"/>
  <c r="V32" i="8" s="1"/>
  <c r="V11" i="49" s="1"/>
  <c r="R19" i="8"/>
  <c r="V19" i="8" s="1"/>
  <c r="M8" i="15"/>
  <c r="R17" i="8"/>
  <c r="Q13" i="8"/>
  <c r="U13" i="8" s="1"/>
  <c r="L8" i="15"/>
  <c r="Q17" i="8"/>
  <c r="R69" i="7"/>
  <c r="R61" i="7"/>
  <c r="Q61" i="7"/>
  <c r="Q14" i="8"/>
  <c r="U14" i="8" s="1"/>
  <c r="M12" i="8"/>
  <c r="M69" i="7"/>
  <c r="N69" i="7"/>
  <c r="N61" i="7"/>
  <c r="M61" i="7"/>
  <c r="AT42" i="9" l="1"/>
  <c r="AQ127" i="50"/>
  <c r="AQ128" i="50" s="1"/>
  <c r="AQ129" i="50" s="1"/>
  <c r="AX384" i="28"/>
  <c r="BF310" i="28"/>
  <c r="BF384" i="28" s="1"/>
  <c r="V61" i="7"/>
  <c r="Q69" i="7"/>
  <c r="AO6" i="7"/>
  <c r="AE19" i="7"/>
  <c r="AI8" i="7"/>
  <c r="AO8" i="7" s="1"/>
  <c r="AS8" i="7" s="1"/>
  <c r="AW8" i="7" s="1"/>
  <c r="V63" i="7"/>
  <c r="N53" i="7"/>
  <c r="N51" i="7"/>
  <c r="N90" i="7" s="1"/>
  <c r="N52" i="7"/>
  <c r="N54" i="7"/>
  <c r="N55" i="7"/>
  <c r="N50" i="7"/>
  <c r="N56" i="7"/>
  <c r="U19" i="7"/>
  <c r="Q12" i="8"/>
  <c r="U12" i="8" s="1"/>
  <c r="U15" i="8" s="1"/>
  <c r="V26" i="7"/>
  <c r="V86" i="7" s="1"/>
  <c r="V50" i="7"/>
  <c r="V27" i="7"/>
  <c r="V87" i="7" s="1"/>
  <c r="Y33" i="59" s="1"/>
  <c r="V29" i="7"/>
  <c r="V89" i="7" s="1"/>
  <c r="Y35" i="59" s="1"/>
  <c r="V22" i="7"/>
  <c r="V25" i="7"/>
  <c r="V85" i="7" s="1"/>
  <c r="N131" i="8"/>
  <c r="N132" i="8" s="1"/>
  <c r="V24" i="7"/>
  <c r="Q8" i="15"/>
  <c r="V17" i="8"/>
  <c r="U8" i="15" s="1"/>
  <c r="V26" i="8"/>
  <c r="V25" i="8"/>
  <c r="V8" i="49"/>
  <c r="V72" i="7"/>
  <c r="V56" i="7"/>
  <c r="V23" i="7"/>
  <c r="U70" i="7"/>
  <c r="U75" i="7"/>
  <c r="P8" i="15"/>
  <c r="U17" i="8"/>
  <c r="T8" i="15" s="1"/>
  <c r="V75" i="7"/>
  <c r="Y28" i="59" s="1"/>
  <c r="V70" i="7"/>
  <c r="V28" i="7"/>
  <c r="V88" i="7" s="1"/>
  <c r="Y34" i="59" s="1"/>
  <c r="V33" i="7"/>
  <c r="V94" i="7" s="1"/>
  <c r="V19" i="7"/>
  <c r="V53" i="7"/>
  <c r="V30" i="7"/>
  <c r="V91" i="7" s="1"/>
  <c r="V55" i="7"/>
  <c r="V32" i="7"/>
  <c r="V84" i="7" s="1"/>
  <c r="V27" i="8"/>
  <c r="V9" i="49"/>
  <c r="V54" i="7"/>
  <c r="V21" i="7"/>
  <c r="V49" i="7"/>
  <c r="V51" i="7"/>
  <c r="V90" i="7" s="1"/>
  <c r="V52" i="7"/>
  <c r="R33" i="7"/>
  <c r="R94" i="7" s="1"/>
  <c r="R28" i="7"/>
  <c r="N25" i="7"/>
  <c r="N85" i="7" s="1"/>
  <c r="N28" i="7"/>
  <c r="R19" i="7"/>
  <c r="N50" i="8"/>
  <c r="R129" i="8"/>
  <c r="R131" i="8" s="1"/>
  <c r="R8" i="49"/>
  <c r="Q11" i="49"/>
  <c r="R9" i="49"/>
  <c r="R11" i="49"/>
  <c r="R25" i="7"/>
  <c r="R85" i="7" s="1"/>
  <c r="R25" i="8"/>
  <c r="R22" i="7"/>
  <c r="N29" i="7"/>
  <c r="N89" i="7" s="1"/>
  <c r="Q35" i="59" s="1"/>
  <c r="N33" i="7"/>
  <c r="N94" i="7" s="1"/>
  <c r="R55" i="7"/>
  <c r="R24" i="7"/>
  <c r="R51" i="7"/>
  <c r="R90" i="7" s="1"/>
  <c r="R23" i="7"/>
  <c r="R21" i="7"/>
  <c r="R56" i="7"/>
  <c r="R52" i="7"/>
  <c r="Q19" i="7"/>
  <c r="R81" i="8"/>
  <c r="V81" i="8" s="1"/>
  <c r="Q15" i="8"/>
  <c r="R75" i="7"/>
  <c r="R70" i="7"/>
  <c r="N70" i="7"/>
  <c r="Q75" i="7"/>
  <c r="Q70" i="7"/>
  <c r="R30" i="7"/>
  <c r="R91" i="7" s="1"/>
  <c r="R50" i="7"/>
  <c r="R54" i="7"/>
  <c r="R26" i="7"/>
  <c r="R86" i="7" s="1"/>
  <c r="X28" i="59"/>
  <c r="R49" i="7"/>
  <c r="R53" i="7"/>
  <c r="R27" i="7"/>
  <c r="R87" i="7" s="1"/>
  <c r="U33" i="59" s="1"/>
  <c r="R63" i="7"/>
  <c r="R32" i="7"/>
  <c r="R84" i="7" s="1"/>
  <c r="R72" i="7"/>
  <c r="R29" i="7"/>
  <c r="R89" i="7" s="1"/>
  <c r="U35" i="59" s="1"/>
  <c r="N72" i="7"/>
  <c r="N27" i="7"/>
  <c r="N87" i="7" s="1"/>
  <c r="Q33" i="59" s="1"/>
  <c r="N24" i="7"/>
  <c r="N49" i="7"/>
  <c r="M70" i="7"/>
  <c r="N30" i="7"/>
  <c r="N91" i="7" s="1"/>
  <c r="N22" i="7"/>
  <c r="N23" i="7"/>
  <c r="N21" i="7"/>
  <c r="N26" i="7"/>
  <c r="N86" i="7" s="1"/>
  <c r="N63" i="7"/>
  <c r="N32" i="7"/>
  <c r="N84" i="7" s="1"/>
  <c r="N75" i="7"/>
  <c r="M75" i="7"/>
  <c r="BE8" i="7" l="1"/>
  <c r="BE19" i="7" s="1"/>
  <c r="AW19" i="7"/>
  <c r="AX42" i="9"/>
  <c r="AU127" i="50"/>
  <c r="AU128" i="50" s="1"/>
  <c r="AU129" i="50" s="1"/>
  <c r="AI19" i="7"/>
  <c r="AS6" i="7"/>
  <c r="AS19" i="7" s="1"/>
  <c r="AO19" i="7"/>
  <c r="V83" i="7"/>
  <c r="Y31" i="59" s="1"/>
  <c r="V82" i="7"/>
  <c r="V93" i="7"/>
  <c r="R130" i="8"/>
  <c r="R132" i="8" s="1"/>
  <c r="V81" i="7"/>
  <c r="V34" i="7"/>
  <c r="V48" i="7" s="1"/>
  <c r="V129" i="8"/>
  <c r="V131" i="8" s="1"/>
  <c r="N88" i="7"/>
  <c r="Q34" i="59" s="1"/>
  <c r="R88" i="7"/>
  <c r="U34" i="59" s="1"/>
  <c r="N51" i="8"/>
  <c r="R82" i="7"/>
  <c r="R83" i="7"/>
  <c r="R81" i="7"/>
  <c r="R34" i="7"/>
  <c r="R48" i="7" s="1"/>
  <c r="N34" i="7"/>
  <c r="N48" i="7" s="1"/>
  <c r="N71" i="7" s="1"/>
  <c r="R93" i="7"/>
  <c r="N93" i="7"/>
  <c r="N82" i="7"/>
  <c r="N83" i="7"/>
  <c r="N81" i="7"/>
  <c r="BF42" i="9" l="1"/>
  <c r="AY127" i="50"/>
  <c r="AY128" i="50" s="1"/>
  <c r="AY129" i="50" s="1"/>
  <c r="V95" i="7"/>
  <c r="V130" i="8"/>
  <c r="V50" i="8" s="1"/>
  <c r="V71" i="7"/>
  <c r="V57" i="7"/>
  <c r="R51" i="8"/>
  <c r="R50" i="8"/>
  <c r="Y30" i="59"/>
  <c r="R95" i="7"/>
  <c r="Y29" i="59"/>
  <c r="N95" i="7"/>
  <c r="Y32" i="59"/>
  <c r="N181" i="6"/>
  <c r="N156" i="6"/>
  <c r="M116" i="6"/>
  <c r="N118" i="6"/>
  <c r="N117" i="6"/>
  <c r="N116" i="6"/>
  <c r="N113" i="6"/>
  <c r="M113" i="6"/>
  <c r="N111" i="6"/>
  <c r="M111" i="6"/>
  <c r="N110" i="6"/>
  <c r="M110" i="6"/>
  <c r="N108" i="6"/>
  <c r="R108" i="6" s="1"/>
  <c r="V108" i="6" s="1"/>
  <c r="M108" i="6"/>
  <c r="Q108" i="6" s="1"/>
  <c r="U108" i="6" s="1"/>
  <c r="N106" i="6"/>
  <c r="M106" i="6"/>
  <c r="N105" i="6"/>
  <c r="M105" i="6"/>
  <c r="N104" i="6"/>
  <c r="M104" i="6"/>
  <c r="M99" i="6"/>
  <c r="Q99" i="6" s="1"/>
  <c r="N101" i="6"/>
  <c r="N100" i="6"/>
  <c r="N99" i="6"/>
  <c r="N96" i="6"/>
  <c r="M96" i="6"/>
  <c r="N94" i="6"/>
  <c r="M94" i="6"/>
  <c r="N93" i="6"/>
  <c r="M93" i="6"/>
  <c r="N91" i="6"/>
  <c r="R91" i="6" s="1"/>
  <c r="M91" i="6"/>
  <c r="N89" i="6"/>
  <c r="M89" i="6"/>
  <c r="N88" i="6"/>
  <c r="M88" i="6"/>
  <c r="N87" i="6"/>
  <c r="M87" i="6"/>
  <c r="N84" i="6"/>
  <c r="N83" i="6"/>
  <c r="N82" i="6"/>
  <c r="N72" i="6"/>
  <c r="AB72" i="6" s="1"/>
  <c r="AF72" i="6" s="1"/>
  <c r="AJ72" i="6" s="1"/>
  <c r="AP72" i="6" s="1"/>
  <c r="AT72" i="6" s="1"/>
  <c r="AX72" i="6" s="1"/>
  <c r="BF72" i="6" s="1"/>
  <c r="M72" i="6"/>
  <c r="N71" i="6"/>
  <c r="AB71" i="6" s="1"/>
  <c r="AF71" i="6" s="1"/>
  <c r="AJ71" i="6" s="1"/>
  <c r="AP71" i="6" s="1"/>
  <c r="AT71" i="6" s="1"/>
  <c r="AX71" i="6" s="1"/>
  <c r="BF71" i="6" s="1"/>
  <c r="M71" i="6"/>
  <c r="N70" i="6"/>
  <c r="AB70" i="6" s="1"/>
  <c r="AF70" i="6" s="1"/>
  <c r="AJ70" i="6" s="1"/>
  <c r="AP70" i="6" s="1"/>
  <c r="AT70" i="6" s="1"/>
  <c r="AX70" i="6" s="1"/>
  <c r="BF70" i="6" s="1"/>
  <c r="M70" i="6"/>
  <c r="N69" i="6"/>
  <c r="AB69" i="6" s="1"/>
  <c r="AF69" i="6" s="1"/>
  <c r="AJ69" i="6" s="1"/>
  <c r="AP69" i="6" s="1"/>
  <c r="AT69" i="6" s="1"/>
  <c r="AX69" i="6" s="1"/>
  <c r="BF69" i="6" s="1"/>
  <c r="M69" i="6"/>
  <c r="N68" i="6"/>
  <c r="M68" i="6"/>
  <c r="N66" i="6"/>
  <c r="M66" i="6"/>
  <c r="N64" i="6"/>
  <c r="M64" i="6"/>
  <c r="N63" i="6"/>
  <c r="M63" i="6"/>
  <c r="N61" i="6"/>
  <c r="M61" i="6"/>
  <c r="N60" i="6"/>
  <c r="M60" i="6"/>
  <c r="N27" i="6"/>
  <c r="N26" i="6"/>
  <c r="N24" i="6"/>
  <c r="N23" i="6"/>
  <c r="N21" i="6"/>
  <c r="N20" i="6"/>
  <c r="BE9" i="72" l="1"/>
  <c r="BG127" i="50"/>
  <c r="BG128" i="50" s="1"/>
  <c r="R118" i="6"/>
  <c r="V118" i="6" s="1"/>
  <c r="R110" i="6"/>
  <c r="V110" i="6" s="1"/>
  <c r="R113" i="6"/>
  <c r="V113" i="6" s="1"/>
  <c r="R70" i="6"/>
  <c r="V70" i="6" s="1"/>
  <c r="R116" i="6"/>
  <c r="V116" i="6" s="1"/>
  <c r="R111" i="6"/>
  <c r="V111" i="6" s="1"/>
  <c r="AB111" i="6"/>
  <c r="AF111" i="6" s="1"/>
  <c r="AJ111" i="6" s="1"/>
  <c r="AP111" i="6" s="1"/>
  <c r="AT111" i="6" s="1"/>
  <c r="AX111" i="6" s="1"/>
  <c r="BF111" i="6" s="1"/>
  <c r="R117" i="6"/>
  <c r="V117" i="6" s="1"/>
  <c r="Q116" i="6"/>
  <c r="U99" i="6"/>
  <c r="V132" i="8"/>
  <c r="V51" i="8" s="1"/>
  <c r="Q91" i="6"/>
  <c r="U91" i="6" s="1"/>
  <c r="R181" i="6"/>
  <c r="N158" i="6"/>
  <c r="R156" i="6"/>
  <c r="R101" i="6"/>
  <c r="V101" i="6" s="1"/>
  <c r="R99" i="6"/>
  <c r="V99" i="6" s="1"/>
  <c r="R100" i="6"/>
  <c r="V100" i="6" s="1"/>
  <c r="V91" i="6"/>
  <c r="AB91" i="6"/>
  <c r="AF91" i="6" s="1"/>
  <c r="AJ91" i="6" s="1"/>
  <c r="AP91" i="6" s="1"/>
  <c r="AT91" i="6" s="1"/>
  <c r="AX91" i="6" s="1"/>
  <c r="BF91" i="6" s="1"/>
  <c r="R66" i="6"/>
  <c r="V66" i="6" s="1"/>
  <c r="Q66" i="6"/>
  <c r="U66" i="6" s="1"/>
  <c r="Q64" i="6"/>
  <c r="U64" i="6" s="1"/>
  <c r="R64" i="6"/>
  <c r="R63" i="6"/>
  <c r="V63" i="6" s="1"/>
  <c r="Q63" i="6"/>
  <c r="U63" i="6" s="1"/>
  <c r="Q60" i="6"/>
  <c r="R60" i="6"/>
  <c r="V60" i="6" s="1"/>
  <c r="R61" i="6"/>
  <c r="Q61" i="6"/>
  <c r="U61" i="6" s="1"/>
  <c r="R27" i="6"/>
  <c r="V27" i="6" s="1"/>
  <c r="R26" i="6"/>
  <c r="V26" i="6" s="1"/>
  <c r="R24" i="6"/>
  <c r="V24" i="6" s="1"/>
  <c r="R23" i="6"/>
  <c r="R21" i="6"/>
  <c r="V21" i="6" s="1"/>
  <c r="R20" i="6"/>
  <c r="R104" i="6"/>
  <c r="V104" i="6" s="1"/>
  <c r="R105" i="6"/>
  <c r="V105" i="6" s="1"/>
  <c r="Q105" i="6"/>
  <c r="U105" i="6" s="1"/>
  <c r="Q106" i="6"/>
  <c r="U106" i="6" s="1"/>
  <c r="Q111" i="6"/>
  <c r="U111" i="6" s="1"/>
  <c r="AA111" i="6"/>
  <c r="AE111" i="6" s="1"/>
  <c r="AI111" i="6" s="1"/>
  <c r="AO111" i="6" s="1"/>
  <c r="AS111" i="6" s="1"/>
  <c r="AW111" i="6" s="1"/>
  <c r="BE111" i="6" s="1"/>
  <c r="Q104" i="6"/>
  <c r="U104" i="6" s="1"/>
  <c r="Q113" i="6"/>
  <c r="U113" i="6" s="1"/>
  <c r="Q110" i="6"/>
  <c r="U110" i="6" s="1"/>
  <c r="R106" i="6"/>
  <c r="V106" i="6" s="1"/>
  <c r="R87" i="6"/>
  <c r="V87" i="6" s="1"/>
  <c r="R69" i="6"/>
  <c r="V69" i="6" s="1"/>
  <c r="Q93" i="6"/>
  <c r="U93" i="6" s="1"/>
  <c r="Q96" i="6"/>
  <c r="U96" i="6" s="1"/>
  <c r="R82" i="6"/>
  <c r="V82" i="6" s="1"/>
  <c r="R88" i="6"/>
  <c r="V88" i="6" s="1"/>
  <c r="R93" i="6"/>
  <c r="V93" i="6" s="1"/>
  <c r="Q87" i="6"/>
  <c r="U87" i="6" s="1"/>
  <c r="Q72" i="6"/>
  <c r="U72" i="6" s="1"/>
  <c r="R83" i="6"/>
  <c r="V83" i="6" s="1"/>
  <c r="Q89" i="6"/>
  <c r="U89" i="6" s="1"/>
  <c r="Q94" i="6"/>
  <c r="U94" i="6" s="1"/>
  <c r="AA94" i="6"/>
  <c r="AE94" i="6" s="1"/>
  <c r="AI94" i="6" s="1"/>
  <c r="AO94" i="6" s="1"/>
  <c r="AS94" i="6" s="1"/>
  <c r="AW94" i="6" s="1"/>
  <c r="BE94" i="6" s="1"/>
  <c r="R68" i="6"/>
  <c r="V68" i="6" s="1"/>
  <c r="R71" i="6"/>
  <c r="V71" i="6" s="1"/>
  <c r="Q69" i="6"/>
  <c r="U69" i="6" s="1"/>
  <c r="R96" i="6"/>
  <c r="V96" i="6" s="1"/>
  <c r="R72" i="6"/>
  <c r="V72" i="6" s="1"/>
  <c r="Q88" i="6"/>
  <c r="U88" i="6" s="1"/>
  <c r="Q70" i="6"/>
  <c r="U70" i="6" s="1"/>
  <c r="Q68" i="6"/>
  <c r="U68" i="6" s="1"/>
  <c r="Q71" i="6"/>
  <c r="U71" i="6" s="1"/>
  <c r="R84" i="6"/>
  <c r="V84" i="6" s="1"/>
  <c r="R89" i="6"/>
  <c r="V89" i="6" s="1"/>
  <c r="R94" i="6"/>
  <c r="V94" i="6" s="1"/>
  <c r="AB94" i="6"/>
  <c r="AF94" i="6" s="1"/>
  <c r="AJ94" i="6" s="1"/>
  <c r="AP94" i="6" s="1"/>
  <c r="AT94" i="6" s="1"/>
  <c r="AX94" i="6" s="1"/>
  <c r="BF94" i="6" s="1"/>
  <c r="U60" i="6"/>
  <c r="R25" i="6" l="1"/>
  <c r="R114" i="6"/>
  <c r="V64" i="6"/>
  <c r="V61" i="6"/>
  <c r="U116" i="6"/>
  <c r="V28" i="6"/>
  <c r="V23" i="6"/>
  <c r="V25" i="6" s="1"/>
  <c r="U62" i="6"/>
  <c r="Q62" i="6"/>
  <c r="R28" i="6"/>
  <c r="Q65" i="6"/>
  <c r="R22" i="6"/>
  <c r="R65" i="6"/>
  <c r="R62" i="6"/>
  <c r="U65" i="6"/>
  <c r="V181" i="6"/>
  <c r="R158" i="6"/>
  <c r="V156" i="6"/>
  <c r="V92" i="6"/>
  <c r="V20" i="6"/>
  <c r="V22" i="6" s="1"/>
  <c r="V97" i="6"/>
  <c r="U114" i="6"/>
  <c r="Q114" i="6"/>
  <c r="U109" i="6"/>
  <c r="Q109" i="6"/>
  <c r="R73" i="6"/>
  <c r="V73" i="6"/>
  <c r="Q73" i="6"/>
  <c r="R109" i="6"/>
  <c r="U92" i="6"/>
  <c r="V114" i="6"/>
  <c r="V109" i="6"/>
  <c r="U73" i="6"/>
  <c r="Q92" i="6"/>
  <c r="U97" i="6"/>
  <c r="R97" i="6"/>
  <c r="R92" i="6"/>
  <c r="Q97" i="6"/>
  <c r="V65" i="6"/>
  <c r="O100" i="45"/>
  <c r="O99" i="45"/>
  <c r="O95" i="45"/>
  <c r="O94" i="45"/>
  <c r="O84" i="45"/>
  <c r="N84" i="45"/>
  <c r="O82" i="45"/>
  <c r="N82" i="45"/>
  <c r="O74" i="45"/>
  <c r="O6" i="45"/>
  <c r="O73" i="45" s="1"/>
  <c r="O106" i="50" s="1"/>
  <c r="O108" i="50" s="1"/>
  <c r="O5" i="45"/>
  <c r="O86" i="45" s="1"/>
  <c r="N5" i="45"/>
  <c r="V62" i="6" l="1"/>
  <c r="R115" i="6"/>
  <c r="R119" i="6" s="1"/>
  <c r="R165" i="6" s="1"/>
  <c r="V98" i="6"/>
  <c r="V102" i="6" s="1"/>
  <c r="Q115" i="6"/>
  <c r="Q119" i="6" s="1"/>
  <c r="Q168" i="6" s="1"/>
  <c r="V158" i="6"/>
  <c r="U115" i="6"/>
  <c r="U119" i="6" s="1"/>
  <c r="U166" i="6" s="1"/>
  <c r="R98" i="6"/>
  <c r="R102" i="6" s="1"/>
  <c r="U98" i="6"/>
  <c r="U102" i="6" s="1"/>
  <c r="U140" i="6" s="1"/>
  <c r="V115" i="6"/>
  <c r="V119" i="6" s="1"/>
  <c r="V168" i="6" s="1"/>
  <c r="Q98" i="6"/>
  <c r="Q102" i="6" s="1"/>
  <c r="Q140" i="6" s="1"/>
  <c r="N86" i="45"/>
  <c r="U168" i="6" l="1"/>
  <c r="V165" i="6"/>
  <c r="Q165" i="6"/>
  <c r="V166" i="6"/>
  <c r="Y22" i="59" s="1"/>
  <c r="U165" i="6"/>
  <c r="U167" i="6" s="1"/>
  <c r="R168" i="6"/>
  <c r="R166" i="6"/>
  <c r="U22" i="59" s="1"/>
  <c r="Q166" i="6"/>
  <c r="R140" i="6"/>
  <c r="V140" i="6"/>
  <c r="V141" i="6"/>
  <c r="V142" i="6" s="1"/>
  <c r="V7" i="36" s="1"/>
  <c r="V143" i="6"/>
  <c r="R141" i="6"/>
  <c r="R143" i="6"/>
  <c r="U141" i="6"/>
  <c r="U142" i="6" s="1"/>
  <c r="U143" i="6"/>
  <c r="Q141" i="6"/>
  <c r="Q142" i="6" s="1"/>
  <c r="Q143" i="6"/>
  <c r="AC74" i="45"/>
  <c r="Y15" i="59" l="1"/>
  <c r="Q167" i="6"/>
  <c r="R167" i="6"/>
  <c r="V167" i="6"/>
  <c r="V8" i="36" s="1"/>
  <c r="R142" i="6"/>
  <c r="U15" i="59"/>
  <c r="N78" i="11" l="1"/>
  <c r="N83" i="11" s="1"/>
  <c r="N74" i="11"/>
  <c r="N73" i="11"/>
  <c r="N7" i="11"/>
  <c r="N5" i="11"/>
  <c r="M5" i="11"/>
  <c r="N150" i="10"/>
  <c r="N155" i="10" s="1"/>
  <c r="N146" i="10"/>
  <c r="N145" i="10"/>
  <c r="N5" i="10"/>
  <c r="M5" i="10"/>
  <c r="N137" i="10" l="1"/>
  <c r="N127" i="10"/>
  <c r="BG68" i="50"/>
  <c r="N65" i="11"/>
  <c r="N57" i="11"/>
  <c r="N134" i="10"/>
  <c r="Q58" i="59" s="1"/>
  <c r="M65" i="11"/>
  <c r="AB53" i="11"/>
  <c r="N53" i="11"/>
  <c r="N55" i="11"/>
  <c r="N52" i="11"/>
  <c r="N51" i="11"/>
  <c r="N75" i="11"/>
  <c r="N82" i="11" s="1"/>
  <c r="M137" i="10"/>
  <c r="M62" i="11"/>
  <c r="P62" i="59" s="1"/>
  <c r="N136" i="10"/>
  <c r="N147" i="10"/>
  <c r="N154" i="10" s="1"/>
  <c r="N153" i="10"/>
  <c r="N62" i="11"/>
  <c r="Q62" i="59" s="1"/>
  <c r="N64" i="11"/>
  <c r="M64" i="11"/>
  <c r="N81" i="11"/>
  <c r="M136" i="10"/>
  <c r="M134" i="10"/>
  <c r="P58" i="59" s="1"/>
  <c r="BG79" i="50" l="1"/>
  <c r="BG121" i="50"/>
  <c r="N54" i="11"/>
  <c r="N148" i="10"/>
  <c r="N56" i="11"/>
  <c r="N76" i="11"/>
  <c r="V53" i="11"/>
  <c r="V85" i="11" s="1"/>
  <c r="R53" i="11"/>
  <c r="BG122" i="50" l="1"/>
  <c r="BG123" i="50"/>
  <c r="BG129" i="50" s="1"/>
  <c r="V77" i="11"/>
  <c r="N27" i="21"/>
  <c r="N26" i="21"/>
  <c r="N23" i="21"/>
  <c r="N22" i="21"/>
  <c r="N19" i="21"/>
  <c r="AB19" i="21" s="1"/>
  <c r="AF19" i="21" s="1"/>
  <c r="AJ19" i="21" s="1"/>
  <c r="AP19" i="21" s="1"/>
  <c r="AT19" i="21" s="1"/>
  <c r="AX19" i="21" s="1"/>
  <c r="N17" i="21"/>
  <c r="AB17" i="21" s="1"/>
  <c r="AF17" i="21" s="1"/>
  <c r="AJ17" i="21" s="1"/>
  <c r="AP17" i="21" s="1"/>
  <c r="AT17" i="21" s="1"/>
  <c r="AX17" i="21" s="1"/>
  <c r="N16" i="21"/>
  <c r="AB16" i="21" s="1"/>
  <c r="AF16" i="21" s="1"/>
  <c r="AJ16" i="21" s="1"/>
  <c r="AP16" i="21" s="1"/>
  <c r="AT16" i="21" s="1"/>
  <c r="AX16" i="21" s="1"/>
  <c r="M7" i="21"/>
  <c r="AA7" i="21" s="1"/>
  <c r="AE7" i="21" s="1"/>
  <c r="AI7" i="21" s="1"/>
  <c r="AO7" i="21" s="1"/>
  <c r="AS7" i="21" s="1"/>
  <c r="AW7" i="21" s="1"/>
  <c r="BE7" i="21" s="1"/>
  <c r="N7" i="21"/>
  <c r="AB7" i="21" s="1"/>
  <c r="AF7" i="21" s="1"/>
  <c r="AJ7" i="21" s="1"/>
  <c r="AP7" i="21" s="1"/>
  <c r="AT7" i="21" s="1"/>
  <c r="AX7" i="21" s="1"/>
  <c r="BF7" i="21" s="1"/>
  <c r="M8" i="21"/>
  <c r="AA8" i="21" s="1"/>
  <c r="AE8" i="21" s="1"/>
  <c r="AI8" i="21" s="1"/>
  <c r="AO8" i="21" s="1"/>
  <c r="AS8" i="21" s="1"/>
  <c r="AW8" i="21" s="1"/>
  <c r="BE8" i="21" s="1"/>
  <c r="N8" i="21"/>
  <c r="AB8" i="21" s="1"/>
  <c r="AF8" i="21" s="1"/>
  <c r="AJ8" i="21" s="1"/>
  <c r="AP8" i="21" s="1"/>
  <c r="AT8" i="21" s="1"/>
  <c r="AX8" i="21" s="1"/>
  <c r="BF8" i="21" s="1"/>
  <c r="M9" i="21"/>
  <c r="AA9" i="21" s="1"/>
  <c r="AE9" i="21" s="1"/>
  <c r="AI9" i="21" s="1"/>
  <c r="AO9" i="21" s="1"/>
  <c r="AS9" i="21" s="1"/>
  <c r="AW9" i="21" s="1"/>
  <c r="BE9" i="21" s="1"/>
  <c r="N9" i="21"/>
  <c r="AB9" i="21" s="1"/>
  <c r="AF9" i="21" s="1"/>
  <c r="AJ9" i="21" s="1"/>
  <c r="AP9" i="21" s="1"/>
  <c r="AT9" i="21" s="1"/>
  <c r="AX9" i="21" s="1"/>
  <c r="BF9" i="21" s="1"/>
  <c r="M10" i="21"/>
  <c r="AA10" i="21" s="1"/>
  <c r="AE10" i="21" s="1"/>
  <c r="AI10" i="21" s="1"/>
  <c r="AO10" i="21" s="1"/>
  <c r="AS10" i="21" s="1"/>
  <c r="AW10" i="21" s="1"/>
  <c r="BE10" i="21" s="1"/>
  <c r="N10" i="21"/>
  <c r="AB10" i="21" s="1"/>
  <c r="AF10" i="21" s="1"/>
  <c r="AJ10" i="21" s="1"/>
  <c r="AP10" i="21" s="1"/>
  <c r="AT10" i="21" s="1"/>
  <c r="AX10" i="21" s="1"/>
  <c r="BF10" i="21" s="1"/>
  <c r="M11" i="21"/>
  <c r="AA11" i="21" s="1"/>
  <c r="AE11" i="21" s="1"/>
  <c r="AI11" i="21" s="1"/>
  <c r="AO11" i="21" s="1"/>
  <c r="AS11" i="21" s="1"/>
  <c r="AW11" i="21" s="1"/>
  <c r="BE11" i="21" s="1"/>
  <c r="N11" i="21"/>
  <c r="AB11" i="21" s="1"/>
  <c r="AF11" i="21" s="1"/>
  <c r="AJ11" i="21" s="1"/>
  <c r="AP11" i="21" s="1"/>
  <c r="AT11" i="21" s="1"/>
  <c r="AX11" i="21" s="1"/>
  <c r="BF11" i="21" s="1"/>
  <c r="N6" i="21"/>
  <c r="N49" i="35"/>
  <c r="R49" i="35" s="1"/>
  <c r="M49" i="35"/>
  <c r="M47" i="35"/>
  <c r="AA47" i="35" s="1"/>
  <c r="AE47" i="35" s="1"/>
  <c r="AI47" i="35" s="1"/>
  <c r="AO47" i="35" s="1"/>
  <c r="M46" i="35"/>
  <c r="AA46" i="35" s="1"/>
  <c r="AE46" i="35" s="1"/>
  <c r="AI46" i="35" s="1"/>
  <c r="AO46" i="35" s="1"/>
  <c r="N40" i="35"/>
  <c r="N33" i="35"/>
  <c r="AB33" i="35" s="1"/>
  <c r="AF33" i="35" s="1"/>
  <c r="AJ33" i="35" s="1"/>
  <c r="AP33" i="35" s="1"/>
  <c r="M33" i="35"/>
  <c r="AA33" i="35" s="1"/>
  <c r="AE33" i="35" s="1"/>
  <c r="AI33" i="35" s="1"/>
  <c r="AO33" i="35" s="1"/>
  <c r="N32" i="35"/>
  <c r="M32" i="35"/>
  <c r="AA32" i="35" s="1"/>
  <c r="M30" i="35"/>
  <c r="M29" i="35"/>
  <c r="M28" i="35"/>
  <c r="M125" i="10" s="1"/>
  <c r="N26" i="35"/>
  <c r="M26" i="35"/>
  <c r="N25" i="35"/>
  <c r="AB25" i="35" s="1"/>
  <c r="AF25" i="35" s="1"/>
  <c r="AJ25" i="35" s="1"/>
  <c r="AP25" i="35" s="1"/>
  <c r="M25" i="35"/>
  <c r="AA25" i="35" s="1"/>
  <c r="AE25" i="35" s="1"/>
  <c r="AI25" i="35" s="1"/>
  <c r="AO25" i="35" s="1"/>
  <c r="N23" i="35"/>
  <c r="AB23" i="35" s="1"/>
  <c r="AF23" i="35" s="1"/>
  <c r="AJ23" i="35" s="1"/>
  <c r="AP23" i="35" s="1"/>
  <c r="M23" i="35"/>
  <c r="AA23" i="35" s="1"/>
  <c r="AE23" i="35" s="1"/>
  <c r="AI23" i="35" s="1"/>
  <c r="AO23" i="35" s="1"/>
  <c r="N22" i="35"/>
  <c r="AB22" i="35" s="1"/>
  <c r="AF22" i="35" s="1"/>
  <c r="AJ22" i="35" s="1"/>
  <c r="AP22" i="35" s="1"/>
  <c r="M22" i="35"/>
  <c r="AA22" i="35" s="1"/>
  <c r="AE22" i="35" s="1"/>
  <c r="AI22" i="35" s="1"/>
  <c r="AO22" i="35" s="1"/>
  <c r="N21" i="35"/>
  <c r="AB21" i="35" s="1"/>
  <c r="AF21" i="35" s="1"/>
  <c r="AJ21" i="35" s="1"/>
  <c r="AP21" i="35" s="1"/>
  <c r="M21" i="35"/>
  <c r="AA21" i="35" s="1"/>
  <c r="AE21" i="35" s="1"/>
  <c r="AI21" i="35" s="1"/>
  <c r="AO21" i="35" s="1"/>
  <c r="N18" i="35"/>
  <c r="M18" i="35"/>
  <c r="N17" i="35"/>
  <c r="AB17" i="35" s="1"/>
  <c r="AF17" i="35" s="1"/>
  <c r="AJ17" i="35" s="1"/>
  <c r="AP17" i="35" s="1"/>
  <c r="M17" i="35"/>
  <c r="AA17" i="35" s="1"/>
  <c r="AE17" i="35" s="1"/>
  <c r="AI17" i="35" s="1"/>
  <c r="AO17" i="35" s="1"/>
  <c r="N16" i="35"/>
  <c r="AB16" i="35" s="1"/>
  <c r="AF16" i="35" s="1"/>
  <c r="AJ16" i="35" s="1"/>
  <c r="AP16" i="35" s="1"/>
  <c r="M16" i="35"/>
  <c r="AA16" i="35" s="1"/>
  <c r="AE16" i="35" s="1"/>
  <c r="AI16" i="35" s="1"/>
  <c r="AO16" i="35" s="1"/>
  <c r="N14" i="35"/>
  <c r="N13" i="35"/>
  <c r="AB10" i="35"/>
  <c r="AF10" i="35" s="1"/>
  <c r="AJ10" i="35" s="1"/>
  <c r="AP10" i="35" s="1"/>
  <c r="N9" i="35"/>
  <c r="AB32" i="35" l="1"/>
  <c r="O110" i="50"/>
  <c r="M124" i="10"/>
  <c r="M127" i="10"/>
  <c r="AS47" i="35"/>
  <c r="AW47" i="35" s="1"/>
  <c r="AS22" i="35"/>
  <c r="AW22" i="35" s="1"/>
  <c r="BE22" i="35" s="1"/>
  <c r="AT21" i="35"/>
  <c r="AX21" i="35" s="1"/>
  <c r="BF21" i="35" s="1"/>
  <c r="AT17" i="35"/>
  <c r="AX17" i="35" s="1"/>
  <c r="BF17" i="35" s="1"/>
  <c r="AT25" i="35"/>
  <c r="AX25" i="35" s="1"/>
  <c r="BF25" i="35" s="1"/>
  <c r="AS23" i="35"/>
  <c r="AW23" i="35" s="1"/>
  <c r="BE23" i="35" s="1"/>
  <c r="AT33" i="35"/>
  <c r="AX33" i="35" s="1"/>
  <c r="BF33" i="35" s="1"/>
  <c r="AS33" i="35"/>
  <c r="AW33" i="35" s="1"/>
  <c r="AT23" i="35"/>
  <c r="AX23" i="35" s="1"/>
  <c r="BF23" i="35" s="1"/>
  <c r="AT16" i="35"/>
  <c r="AX16" i="35" s="1"/>
  <c r="BF16" i="35" s="1"/>
  <c r="AS17" i="35"/>
  <c r="AW17" i="35" s="1"/>
  <c r="BE17" i="35" s="1"/>
  <c r="AT10" i="35"/>
  <c r="AX10" i="35" s="1"/>
  <c r="AS16" i="35"/>
  <c r="AW16" i="35" s="1"/>
  <c r="BE16" i="35" s="1"/>
  <c r="AS21" i="35"/>
  <c r="AW21" i="35" s="1"/>
  <c r="BE21" i="35" s="1"/>
  <c r="AS25" i="35"/>
  <c r="AW25" i="35" s="1"/>
  <c r="BE25" i="35" s="1"/>
  <c r="AS46" i="35"/>
  <c r="AW46" i="35" s="1"/>
  <c r="AX11" i="36"/>
  <c r="BA38" i="59" s="1"/>
  <c r="AE86" i="50"/>
  <c r="AE32" i="35"/>
  <c r="AP24" i="35"/>
  <c r="AT22" i="35"/>
  <c r="AP11" i="36"/>
  <c r="AS38" i="59" s="1"/>
  <c r="AP12" i="36"/>
  <c r="AS39" i="59" s="1"/>
  <c r="AO24" i="35"/>
  <c r="AJ11" i="36"/>
  <c r="AM38" i="59" s="1"/>
  <c r="AJ12" i="36"/>
  <c r="AM39" i="59" s="1"/>
  <c r="AI24" i="35"/>
  <c r="AJ24" i="35"/>
  <c r="AF11" i="36"/>
  <c r="AI38" i="59" s="1"/>
  <c r="AF12" i="36"/>
  <c r="AI39" i="59" s="1"/>
  <c r="AF24" i="35"/>
  <c r="AE24" i="35"/>
  <c r="M46" i="36"/>
  <c r="M43" i="36"/>
  <c r="M45" i="36" s="1"/>
  <c r="M40" i="36"/>
  <c r="M42" i="36" s="1"/>
  <c r="N49" i="36"/>
  <c r="N51" i="36"/>
  <c r="N52" i="36"/>
  <c r="BC52" i="36" s="1"/>
  <c r="N54" i="36"/>
  <c r="N48" i="36"/>
  <c r="N15" i="35"/>
  <c r="AB9" i="35"/>
  <c r="AF9" i="35" s="1"/>
  <c r="N11" i="35"/>
  <c r="AA30" i="35"/>
  <c r="AE30" i="35" s="1"/>
  <c r="N73" i="45"/>
  <c r="N112" i="45" s="1"/>
  <c r="R41" i="35"/>
  <c r="V41" i="35" s="1"/>
  <c r="L9" i="15"/>
  <c r="AA26" i="35"/>
  <c r="AE26" i="35" s="1"/>
  <c r="M9" i="15"/>
  <c r="AB26" i="35"/>
  <c r="AF26" i="35" s="1"/>
  <c r="L17" i="15"/>
  <c r="AA18" i="35"/>
  <c r="AE18" i="35" s="1"/>
  <c r="AI18" i="35" s="1"/>
  <c r="AO18" i="35" s="1"/>
  <c r="AA28" i="35"/>
  <c r="M17" i="15"/>
  <c r="AB18" i="35"/>
  <c r="AF18" i="35" s="1"/>
  <c r="AJ18" i="35" s="1"/>
  <c r="AP18" i="35" s="1"/>
  <c r="AA29" i="35"/>
  <c r="AE29" i="35" s="1"/>
  <c r="M52" i="11"/>
  <c r="M90" i="11" s="1"/>
  <c r="AB40" i="35"/>
  <c r="AF40" i="35" s="1"/>
  <c r="AJ40" i="35" s="1"/>
  <c r="AP40" i="35" s="1"/>
  <c r="R40" i="35"/>
  <c r="V40" i="35" s="1"/>
  <c r="AB49" i="35"/>
  <c r="AF49" i="35" s="1"/>
  <c r="N19" i="35"/>
  <c r="AA49" i="35"/>
  <c r="AE49" i="35" s="1"/>
  <c r="M19" i="35"/>
  <c r="M26" i="9" s="1"/>
  <c r="N28" i="21"/>
  <c r="N12" i="21"/>
  <c r="N24" i="21"/>
  <c r="N25" i="21" s="1"/>
  <c r="O112" i="50" l="1"/>
  <c r="O113" i="50"/>
  <c r="AF32" i="35"/>
  <c r="AC110" i="50"/>
  <c r="AE28" i="35"/>
  <c r="AA125" i="10"/>
  <c r="BF14" i="36"/>
  <c r="AT11" i="36"/>
  <c r="AW38" i="59" s="1"/>
  <c r="AT12" i="36"/>
  <c r="AW39" i="59" s="1"/>
  <c r="AW24" i="35"/>
  <c r="BE24" i="35"/>
  <c r="AX12" i="36"/>
  <c r="BA39" i="59" s="1"/>
  <c r="AS18" i="35"/>
  <c r="AW18" i="35" s="1"/>
  <c r="AW46" i="36" s="1"/>
  <c r="AT40" i="35"/>
  <c r="AX40" i="35" s="1"/>
  <c r="BF40" i="35" s="1"/>
  <c r="AT18" i="35"/>
  <c r="AX18" i="35" s="1"/>
  <c r="AS24" i="35"/>
  <c r="AT24" i="35"/>
  <c r="AX22" i="35"/>
  <c r="AW17" i="15"/>
  <c r="AX5" i="9"/>
  <c r="AI49" i="35"/>
  <c r="AE19" i="35"/>
  <c r="AE26" i="9" s="1"/>
  <c r="AJ26" i="35"/>
  <c r="AE9" i="15"/>
  <c r="AJ9" i="35"/>
  <c r="AF11" i="35"/>
  <c r="AF19" i="35"/>
  <c r="AF26" i="9" s="1"/>
  <c r="AJ49" i="35"/>
  <c r="AS17" i="15"/>
  <c r="AT5" i="9"/>
  <c r="AT54" i="36"/>
  <c r="AI26" i="35"/>
  <c r="AD9" i="15"/>
  <c r="AI86" i="50"/>
  <c r="AI32" i="35"/>
  <c r="AE34" i="35"/>
  <c r="AE44" i="35" s="1"/>
  <c r="AE89" i="50"/>
  <c r="AE90" i="50" s="1"/>
  <c r="AG86" i="50"/>
  <c r="AO5" i="9"/>
  <c r="AN17" i="15"/>
  <c r="AO40" i="36"/>
  <c r="AO42" i="36" s="1"/>
  <c r="AO43" i="36"/>
  <c r="AO45" i="36" s="1"/>
  <c r="AO46" i="36"/>
  <c r="AP5" i="9"/>
  <c r="AO17" i="15"/>
  <c r="AP54" i="36"/>
  <c r="AJ54" i="36"/>
  <c r="AI17" i="15"/>
  <c r="AJ5" i="9"/>
  <c r="AI43" i="36"/>
  <c r="AI45" i="36" s="1"/>
  <c r="AI46" i="36"/>
  <c r="AI40" i="36"/>
  <c r="AI42" i="36" s="1"/>
  <c r="AH17" i="15"/>
  <c r="AI5" i="9"/>
  <c r="AE52" i="11"/>
  <c r="AE51" i="11" s="1"/>
  <c r="AI29" i="35"/>
  <c r="AF73" i="45"/>
  <c r="AF72" i="45" s="1"/>
  <c r="AI30" i="35"/>
  <c r="AD17" i="15"/>
  <c r="AE40" i="36"/>
  <c r="AE42" i="36" s="1"/>
  <c r="AE43" i="36"/>
  <c r="AE45" i="36" s="1"/>
  <c r="AE46" i="36"/>
  <c r="AE5" i="9"/>
  <c r="AF5" i="9"/>
  <c r="AE17" i="15"/>
  <c r="AF54" i="36"/>
  <c r="M143" i="10"/>
  <c r="P59" i="59" s="1"/>
  <c r="M170" i="10"/>
  <c r="AE31" i="35"/>
  <c r="AE35" i="35" s="1"/>
  <c r="AF83" i="50" s="1"/>
  <c r="N50" i="36"/>
  <c r="AB52" i="36"/>
  <c r="N53" i="36"/>
  <c r="AB11" i="35"/>
  <c r="M51" i="11"/>
  <c r="M54" i="11"/>
  <c r="AA170" i="10"/>
  <c r="AA52" i="11"/>
  <c r="N76" i="45"/>
  <c r="N72" i="45"/>
  <c r="N75" i="45"/>
  <c r="M71" i="11"/>
  <c r="P63" i="59" s="1"/>
  <c r="AB73" i="45"/>
  <c r="AB112" i="45" s="1"/>
  <c r="F26" i="9"/>
  <c r="AC112" i="50" l="1"/>
  <c r="AC113" i="50"/>
  <c r="AG110" i="50"/>
  <c r="AF34" i="35"/>
  <c r="AF44" i="35" s="1"/>
  <c r="AJ32" i="35"/>
  <c r="AA124" i="10"/>
  <c r="AI28" i="35"/>
  <c r="AE125" i="10"/>
  <c r="AW40" i="36"/>
  <c r="AW42" i="36" s="1"/>
  <c r="AS5" i="9"/>
  <c r="AR17" i="15"/>
  <c r="AS43" i="36"/>
  <c r="AS45" i="36" s="1"/>
  <c r="AW5" i="9"/>
  <c r="AW33" i="22" s="1"/>
  <c r="BE18" i="35"/>
  <c r="AW43" i="36"/>
  <c r="AW45" i="36" s="1"/>
  <c r="AV17" i="15"/>
  <c r="AS40" i="36"/>
  <c r="AS42" i="36" s="1"/>
  <c r="AX24" i="35"/>
  <c r="BF22" i="35"/>
  <c r="BF24" i="35" s="1"/>
  <c r="AS46" i="36"/>
  <c r="AX54" i="36"/>
  <c r="BF18" i="35"/>
  <c r="BA53" i="59"/>
  <c r="AX33" i="22"/>
  <c r="AX78" i="9"/>
  <c r="AX79" i="9"/>
  <c r="AX77" i="9"/>
  <c r="AW125" i="26"/>
  <c r="AI34" i="35"/>
  <c r="AI44" i="35" s="1"/>
  <c r="AO44" i="35" s="1"/>
  <c r="AM86" i="50"/>
  <c r="AM89" i="50" s="1"/>
  <c r="AM90" i="50" s="1"/>
  <c r="AO32" i="35"/>
  <c r="AG89" i="50"/>
  <c r="AK86" i="50"/>
  <c r="AK89" i="50" s="1"/>
  <c r="AI89" i="50"/>
  <c r="AI90" i="50" s="1"/>
  <c r="AI9" i="15"/>
  <c r="AP26" i="35"/>
  <c r="AT33" i="22"/>
  <c r="AS125" i="26"/>
  <c r="AW53" i="59"/>
  <c r="AT77" i="9"/>
  <c r="AT78" i="9"/>
  <c r="AT79" i="9"/>
  <c r="AP49" i="35"/>
  <c r="AJ19" i="35"/>
  <c r="AJ26" i="9" s="1"/>
  <c r="AO26" i="35"/>
  <c r="AH9" i="15"/>
  <c r="AS33" i="22"/>
  <c r="AR125" i="26"/>
  <c r="AP9" i="35"/>
  <c r="AJ11" i="35"/>
  <c r="AO49" i="35"/>
  <c r="AI19" i="35"/>
  <c r="AI26" i="9" s="1"/>
  <c r="AP79" i="9"/>
  <c r="AP33" i="22"/>
  <c r="AO125" i="26"/>
  <c r="AS53" i="59"/>
  <c r="AP78" i="9"/>
  <c r="AP77" i="9"/>
  <c r="AO33" i="22"/>
  <c r="AN125" i="26"/>
  <c r="AJ73" i="45"/>
  <c r="AJ76" i="45" s="1"/>
  <c r="AO30" i="35"/>
  <c r="AI52" i="11"/>
  <c r="AI51" i="11" s="1"/>
  <c r="AO29" i="35"/>
  <c r="AE90" i="11"/>
  <c r="AF76" i="45"/>
  <c r="AF112" i="45"/>
  <c r="AI31" i="35"/>
  <c r="AI33" i="22"/>
  <c r="AH125" i="26"/>
  <c r="AJ33" i="22"/>
  <c r="AJ77" i="9"/>
  <c r="AM53" i="59"/>
  <c r="AJ79" i="9"/>
  <c r="AI125" i="26"/>
  <c r="AJ78" i="9"/>
  <c r="AF33" i="22"/>
  <c r="AE125" i="26"/>
  <c r="AF78" i="9"/>
  <c r="AF79" i="9"/>
  <c r="AI53" i="59"/>
  <c r="AF77" i="9"/>
  <c r="AE33" i="22"/>
  <c r="AD125" i="26"/>
  <c r="AA51" i="11"/>
  <c r="AA90" i="11"/>
  <c r="AB76" i="45"/>
  <c r="AB72" i="45"/>
  <c r="BI40" i="35"/>
  <c r="BI37" i="35"/>
  <c r="AK110" i="50" l="1"/>
  <c r="AP32" i="35"/>
  <c r="AJ34" i="35"/>
  <c r="AJ44" i="35" s="1"/>
  <c r="AP44" i="35" s="1"/>
  <c r="AG112" i="50"/>
  <c r="AG113" i="50"/>
  <c r="AO28" i="35"/>
  <c r="AI125" i="10"/>
  <c r="AE124" i="10"/>
  <c r="AE143" i="10"/>
  <c r="AH59" i="59" s="1"/>
  <c r="BF5" i="9"/>
  <c r="AV125" i="26"/>
  <c r="AI35" i="35"/>
  <c r="AJ83" i="50" s="1"/>
  <c r="AS29" i="35"/>
  <c r="AS52" i="11" s="1"/>
  <c r="AO86" i="50"/>
  <c r="AO89" i="50" s="1"/>
  <c r="AO90" i="50" s="1"/>
  <c r="AS86" i="50"/>
  <c r="AS32" i="35"/>
  <c r="AO34" i="35"/>
  <c r="AP73" i="45"/>
  <c r="AP76" i="45" s="1"/>
  <c r="AS30" i="35"/>
  <c r="AS49" i="35"/>
  <c r="AO19" i="35"/>
  <c r="AO26" i="9" s="1"/>
  <c r="AT49" i="35"/>
  <c r="AP19" i="35"/>
  <c r="AP26" i="9" s="1"/>
  <c r="AT26" i="35"/>
  <c r="AO9" i="15"/>
  <c r="AT9" i="35"/>
  <c r="AP11" i="35"/>
  <c r="AN9" i="15"/>
  <c r="AS26" i="35"/>
  <c r="AJ72" i="45"/>
  <c r="AI90" i="11"/>
  <c r="AJ112" i="45"/>
  <c r="AO52" i="11"/>
  <c r="AO31" i="35"/>
  <c r="BN40" i="35"/>
  <c r="BK44" i="35"/>
  <c r="BK40" i="35"/>
  <c r="BK39" i="35"/>
  <c r="BK37" i="35"/>
  <c r="BJ45" i="35"/>
  <c r="BL45" i="35"/>
  <c r="BM45" i="35"/>
  <c r="BI45" i="35"/>
  <c r="AQ110" i="50" l="1"/>
  <c r="AP34" i="35"/>
  <c r="AT32" i="35"/>
  <c r="AK112" i="50"/>
  <c r="AK113" i="50"/>
  <c r="AI124" i="10"/>
  <c r="AI143" i="10"/>
  <c r="AL59" i="59" s="1"/>
  <c r="AO125" i="10"/>
  <c r="AS28" i="35"/>
  <c r="BF33" i="22"/>
  <c r="BE125" i="26"/>
  <c r="BI53" i="59"/>
  <c r="AQ86" i="50"/>
  <c r="AQ89" i="50" s="1"/>
  <c r="AS51" i="11"/>
  <c r="AS90" i="11"/>
  <c r="AW29" i="35"/>
  <c r="AW52" i="11" s="1"/>
  <c r="BF77" i="9"/>
  <c r="BF78" i="9"/>
  <c r="BF79" i="9"/>
  <c r="AT11" i="35"/>
  <c r="AX9" i="35"/>
  <c r="AX11" i="35" s="1"/>
  <c r="AS9" i="15"/>
  <c r="AX26" i="35"/>
  <c r="AW9" i="15" s="1"/>
  <c r="AT19" i="35"/>
  <c r="AT26" i="9" s="1"/>
  <c r="AX49" i="35"/>
  <c r="AX19" i="35" s="1"/>
  <c r="AX26" i="9" s="1"/>
  <c r="AS19" i="35"/>
  <c r="AS26" i="9" s="1"/>
  <c r="AW49" i="35"/>
  <c r="AW19" i="35" s="1"/>
  <c r="AW26" i="9" s="1"/>
  <c r="AS34" i="35"/>
  <c r="AS44" i="35" s="1"/>
  <c r="AW86" i="50"/>
  <c r="AW32" i="35"/>
  <c r="AR9" i="15"/>
  <c r="AW26" i="35"/>
  <c r="AT73" i="45"/>
  <c r="AT76" i="45" s="1"/>
  <c r="AW30" i="35"/>
  <c r="BE30" i="35" s="1"/>
  <c r="AP72" i="45"/>
  <c r="AO35" i="35"/>
  <c r="AP112" i="45"/>
  <c r="AS89" i="50"/>
  <c r="AS90" i="50" s="1"/>
  <c r="AU86" i="50"/>
  <c r="AO90" i="11"/>
  <c r="AO51" i="11"/>
  <c r="BK45" i="35"/>
  <c r="BK51" i="35" s="1"/>
  <c r="BI51" i="35"/>
  <c r="BJ51" i="35"/>
  <c r="BL51" i="35"/>
  <c r="AU110" i="50" l="1"/>
  <c r="AX32" i="35"/>
  <c r="AT34" i="35"/>
  <c r="AT44" i="35" s="1"/>
  <c r="AQ112" i="50"/>
  <c r="AQ113" i="50"/>
  <c r="AW28" i="35"/>
  <c r="AS125" i="10"/>
  <c r="AO124" i="10"/>
  <c r="AO143" i="10"/>
  <c r="AR59" i="59" s="1"/>
  <c r="BE81" i="50"/>
  <c r="AP83" i="50"/>
  <c r="AS31" i="35"/>
  <c r="AU89" i="50"/>
  <c r="BC86" i="50"/>
  <c r="BC89" i="50" s="1"/>
  <c r="BC90" i="50" s="1"/>
  <c r="AW90" i="11"/>
  <c r="AW54" i="11"/>
  <c r="AW51" i="11"/>
  <c r="BE29" i="35"/>
  <c r="AV9" i="15"/>
  <c r="BE26" i="35"/>
  <c r="AW34" i="35"/>
  <c r="AW44" i="35" s="1"/>
  <c r="BE44" i="35" s="1"/>
  <c r="BE32" i="35"/>
  <c r="BE34" i="35" s="1"/>
  <c r="AT112" i="45"/>
  <c r="AT72" i="45"/>
  <c r="AS35" i="35"/>
  <c r="AT83" i="50" s="1"/>
  <c r="AW89" i="50"/>
  <c r="AW90" i="50" s="1"/>
  <c r="AY86" i="50"/>
  <c r="AY89" i="50" s="1"/>
  <c r="AX73" i="45"/>
  <c r="AW31" i="35"/>
  <c r="AW35" i="35" s="1"/>
  <c r="AX83" i="50" s="1"/>
  <c r="K51" i="35"/>
  <c r="N37" i="35"/>
  <c r="AB37" i="35" s="1"/>
  <c r="AF37" i="35" s="1"/>
  <c r="AJ37" i="35" s="1"/>
  <c r="AP37" i="35" s="1"/>
  <c r="AY110" i="50" l="1"/>
  <c r="BF32" i="35"/>
  <c r="AX34" i="35"/>
  <c r="AX44" i="35" s="1"/>
  <c r="BF44" i="35" s="1"/>
  <c r="AU112" i="50"/>
  <c r="AU113" i="50"/>
  <c r="AS124" i="10"/>
  <c r="AS143" i="10"/>
  <c r="AV59" i="59" s="1"/>
  <c r="BE28" i="35"/>
  <c r="BE125" i="10" s="1"/>
  <c r="AW125" i="10"/>
  <c r="AT37" i="35"/>
  <c r="AX37" i="35" s="1"/>
  <c r="BF37" i="35" s="1"/>
  <c r="AX72" i="45"/>
  <c r="AX76" i="45"/>
  <c r="AX112" i="45"/>
  <c r="L51" i="35"/>
  <c r="BG110" i="50" l="1"/>
  <c r="BF34" i="35"/>
  <c r="AY112" i="50"/>
  <c r="AY113" i="50"/>
  <c r="AW124" i="10"/>
  <c r="AW143" i="10"/>
  <c r="AZ59" i="59" s="1"/>
  <c r="BE124" i="10"/>
  <c r="BE143" i="10"/>
  <c r="BH59" i="59" s="1"/>
  <c r="BE31" i="35"/>
  <c r="BE35" i="35" s="1"/>
  <c r="H21" i="15"/>
  <c r="BE25" i="36" l="1"/>
  <c r="BH69" i="59" s="1"/>
  <c r="BF83" i="50"/>
  <c r="I101" i="17"/>
  <c r="Q101" i="17" s="1"/>
  <c r="U101" i="17" s="1"/>
  <c r="I102" i="17"/>
  <c r="Q102" i="17" s="1"/>
  <c r="U102" i="17" s="1"/>
  <c r="I103" i="17"/>
  <c r="Q103" i="17" s="1"/>
  <c r="U103" i="17" s="1"/>
  <c r="I104" i="17"/>
  <c r="Q104" i="17" s="1"/>
  <c r="U104" i="17" s="1"/>
  <c r="I105" i="17"/>
  <c r="Q105" i="17" s="1"/>
  <c r="U105" i="17" s="1"/>
  <c r="I106" i="17"/>
  <c r="Q106" i="17" s="1"/>
  <c r="U106" i="17" s="1"/>
  <c r="I107" i="17"/>
  <c r="Q107" i="17" s="1"/>
  <c r="U107" i="17" s="1"/>
  <c r="I108" i="17"/>
  <c r="Q108" i="17" s="1"/>
  <c r="U108" i="17" s="1"/>
  <c r="G8" i="72" l="1"/>
  <c r="G11" i="72"/>
  <c r="G15" i="72"/>
  <c r="G16" i="72"/>
  <c r="G9" i="72"/>
  <c r="G12" i="72"/>
  <c r="G13" i="72"/>
  <c r="G21" i="72"/>
  <c r="G36" i="72"/>
  <c r="G38" i="72"/>
  <c r="G39" i="72"/>
  <c r="G37" i="72"/>
  <c r="G40" i="72"/>
  <c r="G42" i="72"/>
  <c r="J9" i="52"/>
  <c r="I9" i="52"/>
  <c r="J6" i="52"/>
  <c r="J7" i="52"/>
  <c r="J5" i="52"/>
  <c r="I6" i="52"/>
  <c r="I7" i="52"/>
  <c r="I5" i="52"/>
  <c r="J8" i="52" l="1"/>
  <c r="J16" i="52"/>
  <c r="I8" i="52"/>
  <c r="G41" i="72"/>
  <c r="G33" i="72"/>
  <c r="G23" i="72"/>
  <c r="I16" i="52"/>
  <c r="J17" i="52" l="1"/>
  <c r="I17" i="52"/>
  <c r="H9" i="17"/>
  <c r="P9" i="17" s="1"/>
  <c r="T9" i="17" s="1"/>
  <c r="E11" i="17"/>
  <c r="G79" i="71" l="1"/>
  <c r="Y79" i="71"/>
  <c r="Z79" i="71"/>
  <c r="AA79" i="71"/>
  <c r="AD79" i="71"/>
  <c r="I187" i="73" l="1"/>
  <c r="I186" i="73"/>
  <c r="Q186" i="73" l="1"/>
  <c r="U186" i="73" s="1"/>
  <c r="Q187" i="73"/>
  <c r="U187" i="73" s="1"/>
  <c r="I184" i="73"/>
  <c r="Q184" i="73" l="1"/>
  <c r="U184" i="73" l="1"/>
  <c r="U64" i="77"/>
  <c r="F52" i="11"/>
  <c r="U71" i="77" l="1"/>
  <c r="U113" i="77" s="1"/>
  <c r="F56" i="11"/>
  <c r="G102" i="50"/>
  <c r="F167" i="26"/>
  <c r="N71" i="11"/>
  <c r="Q63" i="59" s="1"/>
  <c r="N22" i="36"/>
  <c r="Q61" i="59" s="1"/>
  <c r="F29" i="35"/>
  <c r="F90" i="11" s="1"/>
  <c r="F162" i="26"/>
  <c r="G104" i="50" l="1"/>
  <c r="N29" i="35"/>
  <c r="F166" i="26"/>
  <c r="F159" i="26"/>
  <c r="AB29" i="35" l="1"/>
  <c r="AF29" i="35" s="1"/>
  <c r="N90" i="11"/>
  <c r="I34" i="50"/>
  <c r="I35" i="50"/>
  <c r="I37" i="50"/>
  <c r="I38" i="50"/>
  <c r="I39" i="50"/>
  <c r="O39" i="50" l="1"/>
  <c r="K39" i="50"/>
  <c r="O38" i="50"/>
  <c r="K38" i="50"/>
  <c r="K37" i="50"/>
  <c r="O37" i="50"/>
  <c r="K35" i="50"/>
  <c r="O35" i="50"/>
  <c r="K34" i="50"/>
  <c r="O34" i="50"/>
  <c r="AJ29" i="35"/>
  <c r="I9" i="61"/>
  <c r="O9" i="61" s="1"/>
  <c r="K74" i="45"/>
  <c r="S34" i="50" l="1"/>
  <c r="W34" i="50" s="1"/>
  <c r="AC34" i="50"/>
  <c r="AG34" i="50" s="1"/>
  <c r="AK34" i="50" s="1"/>
  <c r="AQ34" i="50" s="1"/>
  <c r="AU34" i="50" s="1"/>
  <c r="AY34" i="50" s="1"/>
  <c r="S35" i="50"/>
  <c r="W35" i="50" s="1"/>
  <c r="AC35" i="50"/>
  <c r="AG35" i="50" s="1"/>
  <c r="AK35" i="50" s="1"/>
  <c r="AQ35" i="50" s="1"/>
  <c r="AU35" i="50" s="1"/>
  <c r="AY35" i="50" s="1"/>
  <c r="BG35" i="50" s="1"/>
  <c r="S37" i="50"/>
  <c r="W37" i="50" s="1"/>
  <c r="AC37" i="50"/>
  <c r="AG37" i="50" s="1"/>
  <c r="AK37" i="50" s="1"/>
  <c r="AQ37" i="50" s="1"/>
  <c r="AU37" i="50" s="1"/>
  <c r="AY37" i="50" s="1"/>
  <c r="BG37" i="50" s="1"/>
  <c r="S38" i="50"/>
  <c r="W38" i="50" s="1"/>
  <c r="AC38" i="50"/>
  <c r="AG38" i="50" s="1"/>
  <c r="AK38" i="50" s="1"/>
  <c r="AQ38" i="50" s="1"/>
  <c r="AU38" i="50" s="1"/>
  <c r="AY38" i="50" s="1"/>
  <c r="BG38" i="50" s="1"/>
  <c r="AC39" i="50"/>
  <c r="AG39" i="50" s="1"/>
  <c r="AK39" i="50" s="1"/>
  <c r="AQ39" i="50" s="1"/>
  <c r="AU39" i="50" s="1"/>
  <c r="AY39" i="50" s="1"/>
  <c r="BG39" i="50" s="1"/>
  <c r="S39" i="50"/>
  <c r="W39" i="50" s="1"/>
  <c r="AP29" i="35"/>
  <c r="BG34" i="50"/>
  <c r="F71" i="11"/>
  <c r="AT29" i="35" l="1"/>
  <c r="AX29" i="35" s="1"/>
  <c r="J53" i="11"/>
  <c r="BF29" i="35" l="1"/>
  <c r="M101" i="9"/>
  <c r="Q101" i="9" s="1"/>
  <c r="U101" i="9" s="1"/>
  <c r="J112" i="9" l="1"/>
  <c r="J113" i="9"/>
  <c r="J114" i="9"/>
  <c r="J115" i="9"/>
  <c r="J116" i="9"/>
  <c r="J117" i="9"/>
  <c r="J118" i="9"/>
  <c r="J119" i="9"/>
  <c r="J120" i="9"/>
  <c r="J121" i="9"/>
  <c r="J122" i="9"/>
  <c r="J123" i="9"/>
  <c r="J124" i="9"/>
  <c r="J125" i="9"/>
  <c r="J126" i="9"/>
  <c r="J127" i="9"/>
  <c r="J128" i="9"/>
  <c r="J131" i="9"/>
  <c r="J132" i="9"/>
  <c r="J30" i="9"/>
  <c r="J32" i="9"/>
  <c r="J33" i="9"/>
  <c r="J38" i="9"/>
  <c r="J39" i="9"/>
  <c r="G45" i="72" s="1"/>
  <c r="J40" i="9"/>
  <c r="G46" i="72" s="1"/>
  <c r="J41" i="9"/>
  <c r="G47" i="72" s="1"/>
  <c r="J42" i="9"/>
  <c r="K127" i="50" s="1"/>
  <c r="K128" i="50" s="1"/>
  <c r="K129" i="50" s="1"/>
  <c r="J43" i="9"/>
  <c r="J44" i="9"/>
  <c r="J45" i="9"/>
  <c r="J159" i="9"/>
  <c r="J158" i="9"/>
  <c r="J157" i="9"/>
  <c r="A41" i="9" l="1"/>
  <c r="H10" i="49" l="1"/>
  <c r="H12" i="49" s="1"/>
  <c r="H14" i="49" s="1"/>
  <c r="H15" i="49" s="1"/>
  <c r="H16" i="49" s="1"/>
  <c r="H19" i="49" s="1"/>
  <c r="H20" i="49" s="1"/>
  <c r="AA79" i="7" l="1"/>
  <c r="Y79" i="7"/>
  <c r="I79" i="7"/>
  <c r="E79" i="7"/>
  <c r="AA106" i="7"/>
  <c r="AA105" i="7"/>
  <c r="AA104" i="7"/>
  <c r="AA103" i="7"/>
  <c r="AA102" i="7"/>
  <c r="AA101" i="7"/>
  <c r="AA100" i="7"/>
  <c r="AA99" i="7"/>
  <c r="AA98" i="7"/>
  <c r="AA97" i="7"/>
  <c r="Y106" i="7"/>
  <c r="Y105" i="7"/>
  <c r="Y104" i="7"/>
  <c r="Y103" i="7"/>
  <c r="Y102" i="7"/>
  <c r="Y101" i="7"/>
  <c r="Y100" i="7"/>
  <c r="Y99" i="7"/>
  <c r="Y98" i="7"/>
  <c r="Y97" i="7"/>
  <c r="I106" i="7"/>
  <c r="I105" i="7"/>
  <c r="I104" i="7"/>
  <c r="I103" i="7"/>
  <c r="I102" i="7"/>
  <c r="I101" i="7"/>
  <c r="I100" i="7"/>
  <c r="I99" i="7"/>
  <c r="I98" i="7"/>
  <c r="I97" i="7"/>
  <c r="E106" i="7"/>
  <c r="E105" i="7"/>
  <c r="E104" i="7"/>
  <c r="E103" i="7"/>
  <c r="E102" i="7"/>
  <c r="E101" i="7"/>
  <c r="E100" i="7"/>
  <c r="E99" i="7"/>
  <c r="E98" i="7"/>
  <c r="E97" i="7"/>
  <c r="AA56" i="7"/>
  <c r="AA55" i="7"/>
  <c r="AA54" i="7"/>
  <c r="AA53" i="7"/>
  <c r="AA52" i="7"/>
  <c r="AA51" i="7"/>
  <c r="AA90" i="7" s="1"/>
  <c r="AA50" i="7"/>
  <c r="AA49" i="7"/>
  <c r="Y56" i="7"/>
  <c r="Y55" i="7"/>
  <c r="Y54" i="7"/>
  <c r="Y53" i="7"/>
  <c r="Y52" i="7"/>
  <c r="Y51" i="7"/>
  <c r="Y90" i="7" s="1"/>
  <c r="Y50" i="7"/>
  <c r="Y49" i="7"/>
  <c r="I56" i="7"/>
  <c r="I55" i="7"/>
  <c r="I54" i="7"/>
  <c r="I53" i="7"/>
  <c r="I52" i="7"/>
  <c r="I51" i="7"/>
  <c r="I90" i="7" s="1"/>
  <c r="I50" i="7"/>
  <c r="I49" i="7"/>
  <c r="AA192" i="6" l="1"/>
  <c r="AA191" i="6"/>
  <c r="AA190" i="6"/>
  <c r="Y192" i="6"/>
  <c r="Y191" i="6"/>
  <c r="Y190" i="6"/>
  <c r="M192" i="6"/>
  <c r="M191" i="6"/>
  <c r="M190" i="6"/>
  <c r="I192" i="6"/>
  <c r="I191" i="6"/>
  <c r="I190" i="6"/>
  <c r="E192" i="6"/>
  <c r="E191" i="6"/>
  <c r="E190" i="6"/>
  <c r="AA188" i="6"/>
  <c r="AA183" i="6"/>
  <c r="AA182" i="6"/>
  <c r="Y188" i="6"/>
  <c r="Y182" i="6"/>
  <c r="M188" i="6"/>
  <c r="M183" i="6"/>
  <c r="M182" i="6"/>
  <c r="I188" i="6"/>
  <c r="I183" i="6"/>
  <c r="I182" i="6"/>
  <c r="E188" i="6"/>
  <c r="E183" i="6"/>
  <c r="E182" i="6"/>
  <c r="AA162" i="6"/>
  <c r="AA158" i="6"/>
  <c r="AA157" i="6"/>
  <c r="Y162" i="6"/>
  <c r="Y158" i="6"/>
  <c r="Y157" i="6"/>
  <c r="M162" i="6"/>
  <c r="M158" i="6"/>
  <c r="M157" i="6"/>
  <c r="I162" i="6"/>
  <c r="I158" i="6"/>
  <c r="I157" i="6"/>
  <c r="E162" i="6"/>
  <c r="E158" i="6"/>
  <c r="E157" i="6"/>
  <c r="AA179" i="6"/>
  <c r="AA178" i="6"/>
  <c r="AA177" i="6"/>
  <c r="AA176" i="6"/>
  <c r="AA175" i="6"/>
  <c r="AA174" i="6"/>
  <c r="AA172" i="6"/>
  <c r="AA171" i="6"/>
  <c r="AA170" i="6"/>
  <c r="Y179" i="6"/>
  <c r="Y178" i="6"/>
  <c r="Y177" i="6"/>
  <c r="Y176" i="6"/>
  <c r="Y175" i="6"/>
  <c r="Y174" i="6"/>
  <c r="Y172" i="6"/>
  <c r="Y171" i="6"/>
  <c r="Y170" i="6"/>
  <c r="M179" i="6"/>
  <c r="P27" i="59" s="1"/>
  <c r="M178" i="6"/>
  <c r="P26" i="59" s="1"/>
  <c r="M177" i="6"/>
  <c r="P25" i="59" s="1"/>
  <c r="M176" i="6"/>
  <c r="P24" i="59" s="1"/>
  <c r="M175" i="6"/>
  <c r="M174" i="6"/>
  <c r="M172" i="6"/>
  <c r="M171" i="6"/>
  <c r="M170" i="6"/>
  <c r="I179" i="6"/>
  <c r="I178" i="6"/>
  <c r="I177" i="6"/>
  <c r="I176" i="6"/>
  <c r="I175" i="6"/>
  <c r="I174" i="6"/>
  <c r="I172" i="6"/>
  <c r="I171" i="6"/>
  <c r="I170" i="6"/>
  <c r="E179" i="6"/>
  <c r="E178" i="6"/>
  <c r="E177" i="6"/>
  <c r="E176" i="6"/>
  <c r="E175" i="6"/>
  <c r="E174" i="6"/>
  <c r="E172" i="6"/>
  <c r="E171" i="6"/>
  <c r="E170" i="6"/>
  <c r="AA154" i="6"/>
  <c r="AA153" i="6"/>
  <c r="AA152" i="6"/>
  <c r="AA151" i="6"/>
  <c r="AA150" i="6"/>
  <c r="AA149" i="6"/>
  <c r="Y154" i="6"/>
  <c r="Y153" i="6"/>
  <c r="Y152" i="6"/>
  <c r="Y151" i="6"/>
  <c r="Y150" i="6"/>
  <c r="Y149" i="6"/>
  <c r="M154" i="6"/>
  <c r="P20" i="59" s="1"/>
  <c r="M153" i="6"/>
  <c r="P19" i="59" s="1"/>
  <c r="M152" i="6"/>
  <c r="P18" i="59" s="1"/>
  <c r="M151" i="6"/>
  <c r="P17" i="59" s="1"/>
  <c r="M150" i="6"/>
  <c r="M149" i="6"/>
  <c r="I154" i="6"/>
  <c r="I153" i="6"/>
  <c r="I152" i="6"/>
  <c r="I151" i="6"/>
  <c r="I150" i="6"/>
  <c r="I149" i="6"/>
  <c r="E154" i="6"/>
  <c r="E153" i="6"/>
  <c r="E152" i="6"/>
  <c r="E151" i="6"/>
  <c r="E150" i="6"/>
  <c r="E149" i="6"/>
  <c r="AA147" i="6"/>
  <c r="AA146" i="6"/>
  <c r="AA145" i="6"/>
  <c r="Y147" i="6"/>
  <c r="Y146" i="6"/>
  <c r="Y145" i="6"/>
  <c r="M147" i="6"/>
  <c r="M146" i="6"/>
  <c r="M145" i="6"/>
  <c r="I147" i="6"/>
  <c r="I146" i="6"/>
  <c r="I145" i="6"/>
  <c r="E147" i="6"/>
  <c r="E146" i="6"/>
  <c r="E145" i="6"/>
  <c r="M84" i="6"/>
  <c r="M83" i="6"/>
  <c r="M82" i="6"/>
  <c r="AA81" i="6"/>
  <c r="AA79" i="6"/>
  <c r="AA78" i="6"/>
  <c r="AA76" i="6"/>
  <c r="AA75" i="6"/>
  <c r="Y81" i="6"/>
  <c r="Y79" i="6"/>
  <c r="Y78" i="6"/>
  <c r="Y76" i="6"/>
  <c r="Y75" i="6"/>
  <c r="M81" i="6"/>
  <c r="M79" i="6"/>
  <c r="M78" i="6"/>
  <c r="M76" i="6"/>
  <c r="M75" i="6"/>
  <c r="I81" i="6"/>
  <c r="I79" i="6"/>
  <c r="I78" i="6"/>
  <c r="I76" i="6"/>
  <c r="I75" i="6"/>
  <c r="E81" i="6"/>
  <c r="E79" i="6"/>
  <c r="E78" i="6"/>
  <c r="E76" i="6"/>
  <c r="E75" i="6"/>
  <c r="AA36" i="6"/>
  <c r="AA35" i="6"/>
  <c r="AA34" i="6"/>
  <c r="AA33" i="6"/>
  <c r="Y36" i="6"/>
  <c r="Y35" i="6"/>
  <c r="Y34" i="6"/>
  <c r="Y33" i="6"/>
  <c r="M36" i="6"/>
  <c r="M35" i="6"/>
  <c r="M34" i="6"/>
  <c r="M33" i="6"/>
  <c r="I36" i="6"/>
  <c r="I35" i="6"/>
  <c r="I34" i="6"/>
  <c r="I33" i="6"/>
  <c r="AA9" i="6"/>
  <c r="AA8" i="6"/>
  <c r="Y9" i="6"/>
  <c r="Y8" i="6"/>
  <c r="M9" i="6"/>
  <c r="M8" i="6"/>
  <c r="I9" i="6"/>
  <c r="I8" i="6"/>
  <c r="I111" i="6"/>
  <c r="J111" i="6"/>
  <c r="I94" i="6"/>
  <c r="J94" i="6"/>
  <c r="Q82" i="6" l="1"/>
  <c r="U82" i="6" s="1"/>
  <c r="Q83" i="6"/>
  <c r="U83" i="6" s="1"/>
  <c r="Q84" i="6"/>
  <c r="U84" i="6" s="1"/>
  <c r="K72" i="59" l="1"/>
  <c r="K71" i="59"/>
  <c r="K70" i="59"/>
  <c r="J69" i="59"/>
  <c r="K68" i="59"/>
  <c r="J68" i="59"/>
  <c r="K67" i="59"/>
  <c r="J67" i="59"/>
  <c r="K66" i="59"/>
  <c r="J66" i="59"/>
  <c r="K65" i="59"/>
  <c r="K63" i="59"/>
  <c r="J63" i="59"/>
  <c r="K62" i="59"/>
  <c r="J62" i="59"/>
  <c r="K61" i="59"/>
  <c r="J59" i="59"/>
  <c r="K58" i="59"/>
  <c r="J58" i="59"/>
  <c r="K57" i="59"/>
  <c r="K55" i="59"/>
  <c r="J55" i="59"/>
  <c r="K54" i="59"/>
  <c r="J54" i="59"/>
  <c r="K51" i="59"/>
  <c r="J51" i="59"/>
  <c r="J46" i="59"/>
  <c r="J45" i="59"/>
  <c r="K42" i="59"/>
  <c r="J42" i="59"/>
  <c r="K41" i="59"/>
  <c r="J41" i="59"/>
  <c r="J39" i="59"/>
  <c r="J38" i="59"/>
  <c r="J37" i="59"/>
  <c r="K27" i="59"/>
  <c r="J27" i="59"/>
  <c r="K26" i="59"/>
  <c r="J26" i="59"/>
  <c r="K25" i="59"/>
  <c r="J25" i="59"/>
  <c r="K24" i="59"/>
  <c r="J24" i="59"/>
  <c r="K20" i="59"/>
  <c r="J20" i="59"/>
  <c r="K19" i="59"/>
  <c r="J19" i="59"/>
  <c r="K18" i="59"/>
  <c r="J18" i="59"/>
  <c r="K17" i="59"/>
  <c r="J17" i="59"/>
  <c r="M116" i="73" l="1"/>
  <c r="M128" i="73" l="1"/>
  <c r="AA128" i="73" s="1"/>
  <c r="AA116" i="73"/>
  <c r="I116" i="73"/>
  <c r="I128" i="73" s="1"/>
  <c r="Q116" i="73" l="1"/>
  <c r="BE51" i="36"/>
  <c r="BE49" i="36"/>
  <c r="BE48" i="36"/>
  <c r="AA54" i="36"/>
  <c r="AA51" i="36"/>
  <c r="AA53" i="36" s="1"/>
  <c r="AA49" i="36"/>
  <c r="AA48" i="36"/>
  <c r="Y54" i="36"/>
  <c r="Y51" i="36"/>
  <c r="Y53" i="36" s="1"/>
  <c r="Y49" i="36"/>
  <c r="Y48" i="36"/>
  <c r="BE29" i="36"/>
  <c r="BE28" i="36"/>
  <c r="BE27" i="36"/>
  <c r="AA29" i="36"/>
  <c r="AA28" i="36"/>
  <c r="AA27" i="36"/>
  <c r="Q29" i="36"/>
  <c r="P7" i="15" s="1"/>
  <c r="Q28" i="36"/>
  <c r="P6" i="15" s="1"/>
  <c r="Q27" i="36"/>
  <c r="P5" i="15" s="1"/>
  <c r="M29" i="36"/>
  <c r="M28" i="36"/>
  <c r="M27" i="36"/>
  <c r="I29" i="36"/>
  <c r="L72" i="59" s="1"/>
  <c r="I28" i="36"/>
  <c r="L71" i="59" s="1"/>
  <c r="I27" i="36"/>
  <c r="L70" i="59" s="1"/>
  <c r="BE23" i="36"/>
  <c r="BE22" i="36"/>
  <c r="BE21" i="36"/>
  <c r="AA23" i="36"/>
  <c r="AA22" i="36"/>
  <c r="AA21" i="36"/>
  <c r="M23" i="36"/>
  <c r="P65" i="59" s="1"/>
  <c r="M22" i="36"/>
  <c r="P61" i="59" s="1"/>
  <c r="M21" i="36"/>
  <c r="P57" i="59" s="1"/>
  <c r="I23" i="36"/>
  <c r="L65" i="59" s="1"/>
  <c r="I22" i="36"/>
  <c r="L61" i="59" s="1"/>
  <c r="I21" i="36"/>
  <c r="L57" i="59" s="1"/>
  <c r="J65" i="59"/>
  <c r="J61" i="59"/>
  <c r="J57" i="59"/>
  <c r="BE16" i="36"/>
  <c r="AA17" i="36"/>
  <c r="AD48" i="59" s="1"/>
  <c r="AA16" i="36"/>
  <c r="AD47" i="59" s="1"/>
  <c r="Q17" i="36"/>
  <c r="Q16" i="36"/>
  <c r="M17" i="36"/>
  <c r="P48" i="59" s="1"/>
  <c r="M16" i="36"/>
  <c r="P47" i="59" s="1"/>
  <c r="I17" i="36"/>
  <c r="L48" i="59" s="1"/>
  <c r="I16" i="36"/>
  <c r="L47" i="59" s="1"/>
  <c r="BE9" i="36"/>
  <c r="BE8" i="36"/>
  <c r="BE7" i="36"/>
  <c r="BE5" i="36"/>
  <c r="AA9" i="36"/>
  <c r="AA8" i="36"/>
  <c r="AA7" i="36"/>
  <c r="AA5" i="36"/>
  <c r="Q9" i="36"/>
  <c r="Q8" i="36"/>
  <c r="Q7" i="36"/>
  <c r="Q5" i="36"/>
  <c r="Q13" i="49" s="1"/>
  <c r="M9" i="36"/>
  <c r="P10" i="59" s="1"/>
  <c r="M8" i="36"/>
  <c r="P9" i="59" s="1"/>
  <c r="M7" i="36"/>
  <c r="P8" i="59" s="1"/>
  <c r="M5" i="36"/>
  <c r="M13" i="49" s="1"/>
  <c r="I9" i="36"/>
  <c r="L10" i="59" s="1"/>
  <c r="I8" i="36"/>
  <c r="L9" i="59" s="1"/>
  <c r="I7" i="36"/>
  <c r="L8" i="59" s="1"/>
  <c r="I5" i="36"/>
  <c r="J10" i="59"/>
  <c r="J9" i="59"/>
  <c r="J8" i="59"/>
  <c r="E54" i="36"/>
  <c r="E51" i="36"/>
  <c r="E49" i="36"/>
  <c r="E48" i="36"/>
  <c r="D50" i="36"/>
  <c r="E29" i="36"/>
  <c r="D7" i="15" s="1"/>
  <c r="E28" i="36"/>
  <c r="D6" i="15" s="1"/>
  <c r="E27" i="36"/>
  <c r="D5" i="15" s="1"/>
  <c r="E23" i="36"/>
  <c r="E22" i="36"/>
  <c r="E21" i="36"/>
  <c r="E17" i="36"/>
  <c r="E16" i="36"/>
  <c r="E9" i="36"/>
  <c r="E8" i="36"/>
  <c r="E7" i="36"/>
  <c r="E5" i="36"/>
  <c r="D19" i="36" l="1"/>
  <c r="U116" i="73"/>
  <c r="U128" i="73" s="1"/>
  <c r="Q128" i="73"/>
  <c r="AE116" i="73"/>
  <c r="AI19" i="36"/>
  <c r="AL50" i="59" s="1"/>
  <c r="Y19" i="36"/>
  <c r="AB50" i="59" s="1"/>
  <c r="M19" i="36"/>
  <c r="P50" i="59" s="1"/>
  <c r="BC19" i="36"/>
  <c r="BE19" i="36"/>
  <c r="J71" i="59"/>
  <c r="L5" i="15"/>
  <c r="P70" i="59"/>
  <c r="P6" i="59"/>
  <c r="J72" i="59"/>
  <c r="L6" i="15"/>
  <c r="P71" i="59"/>
  <c r="L7" i="15"/>
  <c r="P72" i="59"/>
  <c r="J70" i="59"/>
  <c r="J6" i="59"/>
  <c r="J47" i="59"/>
  <c r="J48" i="59"/>
  <c r="L6" i="59"/>
  <c r="I13" i="49"/>
  <c r="Y50" i="36"/>
  <c r="AA50" i="36"/>
  <c r="BE50" i="36"/>
  <c r="AO19" i="36" l="1"/>
  <c r="AR50" i="59" s="1"/>
  <c r="AU19" i="36"/>
  <c r="AX50" i="59" s="1"/>
  <c r="AW19" i="36"/>
  <c r="AZ50" i="59" s="1"/>
  <c r="AA19" i="36"/>
  <c r="AD50" i="59" s="1"/>
  <c r="G19" i="36"/>
  <c r="J50" i="59" s="1"/>
  <c r="K19" i="36"/>
  <c r="N50" i="59" s="1"/>
  <c r="U19" i="36"/>
  <c r="X50" i="59" s="1"/>
  <c r="AG19" i="36"/>
  <c r="AJ50" i="59" s="1"/>
  <c r="AQ19" i="36"/>
  <c r="AT50" i="59" s="1"/>
  <c r="S19" i="36"/>
  <c r="V50" i="59" s="1"/>
  <c r="I19" i="36"/>
  <c r="L50" i="59" s="1"/>
  <c r="E19" i="36"/>
  <c r="AC19" i="36"/>
  <c r="AF50" i="59" s="1"/>
  <c r="AK19" i="36"/>
  <c r="AN50" i="59" s="1"/>
  <c r="AS19" i="36"/>
  <c r="AV50" i="59" s="1"/>
  <c r="W19" i="36"/>
  <c r="Z50" i="59" s="1"/>
  <c r="BA19" i="36"/>
  <c r="Q19" i="36"/>
  <c r="O19" i="36"/>
  <c r="R50" i="59" s="1"/>
  <c r="AE19" i="36"/>
  <c r="AH50" i="59" s="1"/>
  <c r="AM19" i="36"/>
  <c r="AP50" i="59" s="1"/>
  <c r="AI116" i="73"/>
  <c r="AE128" i="73"/>
  <c r="H32" i="36"/>
  <c r="G32" i="36"/>
  <c r="K48" i="59"/>
  <c r="J40" i="59"/>
  <c r="K39" i="59"/>
  <c r="K38" i="59"/>
  <c r="K10" i="59"/>
  <c r="K9" i="59"/>
  <c r="K8" i="59"/>
  <c r="J10" i="21"/>
  <c r="J6" i="21"/>
  <c r="J40" i="35"/>
  <c r="J41" i="35"/>
  <c r="H33" i="36"/>
  <c r="H34" i="36" s="1"/>
  <c r="G33" i="36"/>
  <c r="G34" i="36" s="1"/>
  <c r="AO116" i="73" l="1"/>
  <c r="AS116" i="73" s="1"/>
  <c r="AI128" i="73"/>
  <c r="AO128" i="73" s="1"/>
  <c r="G38" i="36"/>
  <c r="G39" i="36"/>
  <c r="H19" i="36"/>
  <c r="H35" i="36"/>
  <c r="H36" i="36" s="1"/>
  <c r="K49" i="59"/>
  <c r="K47" i="59"/>
  <c r="K40" i="59"/>
  <c r="K37" i="59"/>
  <c r="K6" i="59"/>
  <c r="G35" i="36"/>
  <c r="G36" i="36" s="1"/>
  <c r="AS128" i="73" l="1"/>
  <c r="AW116" i="73"/>
  <c r="K50" i="59"/>
  <c r="G30" i="36"/>
  <c r="J73" i="59" s="1"/>
  <c r="H30" i="36"/>
  <c r="K73" i="59" s="1"/>
  <c r="G51" i="35"/>
  <c r="K69" i="59"/>
  <c r="H51" i="35"/>
  <c r="AW128" i="73" l="1"/>
  <c r="BE116" i="73"/>
  <c r="BE128" i="73" s="1"/>
  <c r="F63" i="22"/>
  <c r="F58" i="22"/>
  <c r="F52" i="22"/>
  <c r="F44" i="22"/>
  <c r="F64" i="22"/>
  <c r="F51" i="22"/>
  <c r="F59" i="22"/>
  <c r="F43" i="22"/>
  <c r="F45" i="22" l="1"/>
  <c r="F47" i="22" s="1"/>
  <c r="F48" i="22" s="1"/>
  <c r="F53" i="22"/>
  <c r="F55" i="22" s="1"/>
  <c r="F56" i="22" s="1"/>
  <c r="F60" i="22"/>
  <c r="F61" i="22" s="1"/>
  <c r="F65" i="22"/>
  <c r="F66" i="22" s="1"/>
  <c r="L14" i="15" l="1"/>
  <c r="P14" i="15" s="1"/>
  <c r="L12" i="15"/>
  <c r="P12" i="15" s="1"/>
  <c r="H12" i="15"/>
  <c r="L11" i="15"/>
  <c r="P11" i="15" s="1"/>
  <c r="H11" i="15"/>
  <c r="I14" i="15"/>
  <c r="M14" i="15"/>
  <c r="L15" i="15"/>
  <c r="H14" i="15"/>
  <c r="T12" i="15" l="1"/>
  <c r="T11" i="15"/>
  <c r="Z11" i="15"/>
  <c r="AD11" i="15" s="1"/>
  <c r="AH11" i="15" s="1"/>
  <c r="AN11" i="15" s="1"/>
  <c r="AR11" i="15" s="1"/>
  <c r="AV11" i="15" s="1"/>
  <c r="BD11" i="15" s="1"/>
  <c r="T14" i="15"/>
  <c r="Q14" i="15"/>
  <c r="U14" i="15" s="1"/>
  <c r="P15" i="15"/>
  <c r="Z14" i="15"/>
  <c r="AD14" i="15" s="1"/>
  <c r="AH14" i="15" s="1"/>
  <c r="AN14" i="15" s="1"/>
  <c r="AR14" i="15" s="1"/>
  <c r="AV14" i="15" s="1"/>
  <c r="BD14" i="15" s="1"/>
  <c r="D167" i="26"/>
  <c r="T15" i="15" l="1"/>
  <c r="Z15" i="15"/>
  <c r="AD15" i="15" s="1"/>
  <c r="AH15" i="15" s="1"/>
  <c r="AN15" i="15" s="1"/>
  <c r="AR15" i="15" s="1"/>
  <c r="AV15" i="15" s="1"/>
  <c r="BD15" i="15" s="1"/>
  <c r="D162" i="26"/>
  <c r="D159" i="26"/>
  <c r="D15" i="17"/>
  <c r="D113" i="17"/>
  <c r="D111" i="17"/>
  <c r="E85" i="17"/>
  <c r="D85" i="17"/>
  <c r="E84" i="17"/>
  <c r="D84" i="17"/>
  <c r="E83" i="17"/>
  <c r="D83" i="17"/>
  <c r="E82" i="17"/>
  <c r="D82" i="17"/>
  <c r="E81" i="17"/>
  <c r="D81" i="17"/>
  <c r="E77" i="17"/>
  <c r="D77" i="17"/>
  <c r="E66" i="17"/>
  <c r="E68" i="17" s="1"/>
  <c r="D66" i="17"/>
  <c r="D68" i="17" s="1"/>
  <c r="D60" i="17"/>
  <c r="E58" i="17"/>
  <c r="E59" i="17" s="1"/>
  <c r="D57" i="17"/>
  <c r="D56" i="17"/>
  <c r="D54" i="17"/>
  <c r="E51" i="17"/>
  <c r="D51" i="17"/>
  <c r="E48" i="17"/>
  <c r="D47" i="17"/>
  <c r="E46" i="17"/>
  <c r="D45" i="17"/>
  <c r="E43" i="17"/>
  <c r="E44" i="17" s="1"/>
  <c r="D43" i="17"/>
  <c r="L43" i="17" s="1"/>
  <c r="Z43" i="17" s="1"/>
  <c r="AD43" i="17" s="1"/>
  <c r="E42" i="17"/>
  <c r="E40" i="17"/>
  <c r="E38" i="17"/>
  <c r="E25" i="17"/>
  <c r="M25" i="17" s="1"/>
  <c r="AA25" i="17" s="1"/>
  <c r="AE25" i="17" s="1"/>
  <c r="D25" i="17"/>
  <c r="L25" i="17" s="1"/>
  <c r="E21" i="17"/>
  <c r="E15" i="17" s="1"/>
  <c r="D14" i="17"/>
  <c r="E13" i="17"/>
  <c r="E8" i="17"/>
  <c r="D8" i="17"/>
  <c r="AH43" i="17" l="1"/>
  <c r="AN43" i="17" s="1"/>
  <c r="AR43" i="17" s="1"/>
  <c r="AI25" i="17"/>
  <c r="AO25" i="17" s="1"/>
  <c r="AS25" i="17" s="1"/>
  <c r="AW25" i="17" s="1"/>
  <c r="D29" i="17"/>
  <c r="L15" i="17"/>
  <c r="Z15" i="17" s="1"/>
  <c r="AD15" i="17" s="1"/>
  <c r="D10" i="17"/>
  <c r="L8" i="17"/>
  <c r="Z8" i="17" s="1"/>
  <c r="AD8" i="17" s="1"/>
  <c r="E30" i="17"/>
  <c r="M15" i="17"/>
  <c r="AA15" i="17" s="1"/>
  <c r="AE15" i="17" s="1"/>
  <c r="E10" i="17"/>
  <c r="M8" i="17"/>
  <c r="AA8" i="17" s="1"/>
  <c r="AE8" i="17" s="1"/>
  <c r="E52" i="17"/>
  <c r="M51" i="17"/>
  <c r="AA51" i="17" s="1"/>
  <c r="AE51" i="17" s="1"/>
  <c r="Z16" i="15"/>
  <c r="D58" i="17"/>
  <c r="D59" i="17" s="1"/>
  <c r="E12" i="17"/>
  <c r="D21" i="17"/>
  <c r="D30" i="17" s="1"/>
  <c r="D166" i="26"/>
  <c r="D49" i="17"/>
  <c r="D110" i="17" s="1"/>
  <c r="E32" i="17"/>
  <c r="D115" i="17"/>
  <c r="D112" i="17"/>
  <c r="E29" i="17"/>
  <c r="E31" i="17"/>
  <c r="E33" i="17"/>
  <c r="E49" i="17"/>
  <c r="E112" i="17"/>
  <c r="E61" i="17"/>
  <c r="BE25" i="17" l="1"/>
  <c r="AE33" i="17"/>
  <c r="AI15" i="17"/>
  <c r="AO15" i="17" s="1"/>
  <c r="AS15" i="17" s="1"/>
  <c r="AW15" i="17" s="1"/>
  <c r="AE31" i="17"/>
  <c r="AE30" i="17"/>
  <c r="AH8" i="17"/>
  <c r="AN8" i="17" s="1"/>
  <c r="AR8" i="17" s="1"/>
  <c r="AV8" i="17" s="1"/>
  <c r="BD8" i="17" s="1"/>
  <c r="AE32" i="17"/>
  <c r="AI51" i="17"/>
  <c r="AO51" i="17" s="1"/>
  <c r="AS51" i="17" s="1"/>
  <c r="AW51" i="17" s="1"/>
  <c r="BE51" i="17" s="1"/>
  <c r="AI8" i="17"/>
  <c r="AO8" i="17" s="1"/>
  <c r="AS8" i="17" s="1"/>
  <c r="AW8" i="17" s="1"/>
  <c r="BE8" i="17" s="1"/>
  <c r="AE112" i="17"/>
  <c r="AE10" i="17"/>
  <c r="AH15" i="17"/>
  <c r="AN15" i="17" s="1"/>
  <c r="AR15" i="17" s="1"/>
  <c r="D61" i="17"/>
  <c r="E113" i="17"/>
  <c r="AA112" i="17"/>
  <c r="D33" i="17"/>
  <c r="D32" i="17"/>
  <c r="D31" i="17"/>
  <c r="E14" i="17"/>
  <c r="D114" i="17"/>
  <c r="D53" i="17"/>
  <c r="E53" i="17"/>
  <c r="E54" i="17" s="1"/>
  <c r="E50" i="17"/>
  <c r="E111" i="17" s="1"/>
  <c r="E110" i="17"/>
  <c r="E114" i="17" s="1"/>
  <c r="G74" i="45"/>
  <c r="F73" i="45"/>
  <c r="G105" i="45"/>
  <c r="O105" i="45" s="1"/>
  <c r="G104" i="45"/>
  <c r="G102" i="45"/>
  <c r="G96" i="45"/>
  <c r="G103" i="45" s="1"/>
  <c r="G90" i="45"/>
  <c r="F90" i="45"/>
  <c r="G89" i="45"/>
  <c r="F89" i="45"/>
  <c r="G87" i="45"/>
  <c r="G85" i="45"/>
  <c r="F85" i="45"/>
  <c r="G83" i="45"/>
  <c r="F83" i="45"/>
  <c r="G80" i="45"/>
  <c r="F80" i="45"/>
  <c r="N80" i="45" s="1"/>
  <c r="AW29" i="17" l="1"/>
  <c r="BE15" i="17"/>
  <c r="BE32" i="17" s="1"/>
  <c r="AW33" i="17"/>
  <c r="AW30" i="17"/>
  <c r="AW31" i="17"/>
  <c r="BE52" i="17"/>
  <c r="BE53" i="17"/>
  <c r="BE54" i="17" s="1"/>
  <c r="BE112" i="17"/>
  <c r="BE114" i="17" s="1"/>
  <c r="BE12" i="17"/>
  <c r="BE10" i="17"/>
  <c r="AW32" i="17"/>
  <c r="AW10" i="17"/>
  <c r="AW112" i="17"/>
  <c r="AW114" i="17" s="1"/>
  <c r="AW12" i="17"/>
  <c r="AW52" i="17"/>
  <c r="AW53" i="17"/>
  <c r="AW54" i="17" s="1"/>
  <c r="AS112" i="17"/>
  <c r="AS10" i="17"/>
  <c r="AS33" i="17"/>
  <c r="AS31" i="17"/>
  <c r="AS30" i="17"/>
  <c r="AS32" i="17"/>
  <c r="AO33" i="17"/>
  <c r="AO31" i="17"/>
  <c r="AO30" i="17"/>
  <c r="AO112" i="17"/>
  <c r="AO10" i="17"/>
  <c r="E115" i="17"/>
  <c r="AO32" i="17"/>
  <c r="AI33" i="17"/>
  <c r="AI31" i="17"/>
  <c r="AI30" i="17"/>
  <c r="AI112" i="17"/>
  <c r="AI10" i="17"/>
  <c r="AI32" i="17"/>
  <c r="F75" i="45"/>
  <c r="F112" i="45"/>
  <c r="G76" i="45"/>
  <c r="G81" i="45"/>
  <c r="O80" i="45"/>
  <c r="F81" i="45"/>
  <c r="G88" i="45"/>
  <c r="O87" i="45"/>
  <c r="G72" i="45"/>
  <c r="G106" i="45" s="1"/>
  <c r="G110" i="45" s="1"/>
  <c r="G107" i="45"/>
  <c r="F72" i="45"/>
  <c r="F92" i="45"/>
  <c r="G97" i="45"/>
  <c r="F76" i="45"/>
  <c r="G98" i="45"/>
  <c r="BE113" i="17" l="1"/>
  <c r="BE115" i="17" s="1"/>
  <c r="BE14" i="17"/>
  <c r="BE29" i="17"/>
  <c r="BE33" i="17"/>
  <c r="BE30" i="17"/>
  <c r="BE31" i="17"/>
  <c r="AW113" i="17"/>
  <c r="AW115" i="17" s="1"/>
  <c r="AW14" i="17"/>
  <c r="O72" i="45"/>
  <c r="F30" i="35"/>
  <c r="G92" i="45"/>
  <c r="G108" i="45"/>
  <c r="G75" i="45"/>
  <c r="F23" i="36" s="1"/>
  <c r="G77" i="45"/>
  <c r="E62" i="11"/>
  <c r="E52" i="11"/>
  <c r="F51" i="11"/>
  <c r="E71" i="11" l="1"/>
  <c r="E90" i="11"/>
  <c r="N30" i="35"/>
  <c r="G112" i="45"/>
  <c r="O75" i="45"/>
  <c r="O76" i="45"/>
  <c r="O77" i="45" s="1"/>
  <c r="F54" i="11"/>
  <c r="F22" i="36" s="1"/>
  <c r="E51" i="11"/>
  <c r="E54" i="11"/>
  <c r="AB30" i="35" l="1"/>
  <c r="AF30" i="35" s="1"/>
  <c r="O112" i="45"/>
  <c r="N84" i="11"/>
  <c r="N88" i="11" s="1"/>
  <c r="F83" i="11"/>
  <c r="F81" i="11"/>
  <c r="F75" i="11"/>
  <c r="F82" i="11" s="1"/>
  <c r="F70" i="11"/>
  <c r="E70" i="11"/>
  <c r="F69" i="11"/>
  <c r="E69" i="11"/>
  <c r="F68" i="11"/>
  <c r="E68" i="11"/>
  <c r="F66" i="11"/>
  <c r="N66" i="11" s="1"/>
  <c r="F64" i="11"/>
  <c r="E64" i="11"/>
  <c r="F62" i="11"/>
  <c r="F59" i="11"/>
  <c r="E59" i="11"/>
  <c r="M59" i="11" s="1"/>
  <c r="F53" i="11"/>
  <c r="AJ30" i="35" l="1"/>
  <c r="AP30" i="35" s="1"/>
  <c r="E60" i="11"/>
  <c r="M60" i="11"/>
  <c r="F60" i="11"/>
  <c r="N59" i="11"/>
  <c r="N60" i="11" s="1"/>
  <c r="N77" i="11"/>
  <c r="N85" i="11"/>
  <c r="N86" i="11" s="1"/>
  <c r="F67" i="11"/>
  <c r="N67" i="11"/>
  <c r="F85" i="11"/>
  <c r="F76" i="11"/>
  <c r="F77" i="11"/>
  <c r="F84" i="11"/>
  <c r="AT30" i="35" l="1"/>
  <c r="AX30" i="35" s="1"/>
  <c r="BF30" i="35" s="1"/>
  <c r="F38" i="35"/>
  <c r="N38" i="35" s="1"/>
  <c r="G93" i="50"/>
  <c r="F86" i="11"/>
  <c r="F28" i="35"/>
  <c r="F143" i="10"/>
  <c r="F88" i="11"/>
  <c r="N28" i="35" l="1"/>
  <c r="F170" i="10"/>
  <c r="J38" i="35"/>
  <c r="G96" i="50"/>
  <c r="G95" i="50"/>
  <c r="R38" i="35"/>
  <c r="V38" i="35" s="1"/>
  <c r="AB38" i="35"/>
  <c r="AF38" i="35" s="1"/>
  <c r="AJ38" i="35" s="1"/>
  <c r="AP38" i="35" s="1"/>
  <c r="F21" i="36"/>
  <c r="E125" i="10"/>
  <c r="F155" i="10"/>
  <c r="F153" i="10"/>
  <c r="F147" i="10"/>
  <c r="F154" i="10" s="1"/>
  <c r="F141" i="10"/>
  <c r="E141" i="10"/>
  <c r="F140" i="10"/>
  <c r="E140" i="10"/>
  <c r="F138" i="10"/>
  <c r="N138" i="10" s="1"/>
  <c r="AB138" i="10" s="1"/>
  <c r="AF138" i="10" s="1"/>
  <c r="F136" i="10"/>
  <c r="E136" i="10"/>
  <c r="F134" i="10"/>
  <c r="E134" i="10"/>
  <c r="F131" i="10"/>
  <c r="N131" i="10" s="1"/>
  <c r="E131" i="10"/>
  <c r="AT38" i="35" l="1"/>
  <c r="AX38" i="35" s="1"/>
  <c r="BF38" i="35" s="1"/>
  <c r="AJ138" i="10"/>
  <c r="AP138" i="10" s="1"/>
  <c r="E127" i="10"/>
  <c r="E170" i="10"/>
  <c r="AB28" i="35"/>
  <c r="N170" i="10"/>
  <c r="R64" i="9"/>
  <c r="V64" i="9" s="1"/>
  <c r="R95" i="9"/>
  <c r="V95" i="9" s="1"/>
  <c r="E132" i="10"/>
  <c r="F132" i="10"/>
  <c r="F139" i="10"/>
  <c r="F157" i="10"/>
  <c r="E124" i="10"/>
  <c r="F148" i="10"/>
  <c r="E143" i="10"/>
  <c r="F149" i="10"/>
  <c r="F156" i="10"/>
  <c r="AT138" i="10" l="1"/>
  <c r="AX138" i="10" s="1"/>
  <c r="AF28" i="35"/>
  <c r="AB170" i="10"/>
  <c r="F158" i="10"/>
  <c r="N132" i="10"/>
  <c r="F160" i="10"/>
  <c r="BF138" i="10" l="1"/>
  <c r="AJ28" i="35"/>
  <c r="AP28" i="35" s="1"/>
  <c r="AF31" i="35"/>
  <c r="AF35" i="35" s="1"/>
  <c r="AG83" i="50" s="1"/>
  <c r="AP31" i="35" l="1"/>
  <c r="AP35" i="35" s="1"/>
  <c r="AQ83" i="50" s="1"/>
  <c r="AT28" i="35"/>
  <c r="AX28" i="35" s="1"/>
  <c r="BF28" i="35" s="1"/>
  <c r="AJ31" i="35"/>
  <c r="AJ35" i="35" s="1"/>
  <c r="AK83" i="50" s="1"/>
  <c r="F99" i="9"/>
  <c r="N99" i="9" s="1"/>
  <c r="F98" i="9"/>
  <c r="E98" i="9"/>
  <c r="F97" i="9"/>
  <c r="E97" i="9"/>
  <c r="F93" i="9"/>
  <c r="E90" i="9"/>
  <c r="E89" i="9"/>
  <c r="E47" i="9"/>
  <c r="F46" i="9"/>
  <c r="F36" i="9"/>
  <c r="F35" i="9"/>
  <c r="F34" i="9"/>
  <c r="F31" i="9"/>
  <c r="F25" i="9"/>
  <c r="E24" i="9"/>
  <c r="E22" i="9"/>
  <c r="F19" i="9"/>
  <c r="F39" i="36" s="1"/>
  <c r="F10" i="9"/>
  <c r="F5" i="9"/>
  <c r="I53" i="59" s="1"/>
  <c r="E5" i="9"/>
  <c r="N20" i="8"/>
  <c r="R20" i="8" s="1"/>
  <c r="V20" i="8" s="1"/>
  <c r="BF31" i="35" l="1"/>
  <c r="BF35" i="35" s="1"/>
  <c r="AX31" i="35"/>
  <c r="AX35" i="35" s="1"/>
  <c r="AY83" i="50" s="1"/>
  <c r="AT31" i="35"/>
  <c r="AT35" i="35" s="1"/>
  <c r="AU83" i="50" s="1"/>
  <c r="E59" i="9"/>
  <c r="M59" i="9" s="1"/>
  <c r="E55" i="9"/>
  <c r="E61" i="9"/>
  <c r="M61" i="9" s="1"/>
  <c r="E56" i="9"/>
  <c r="M56" i="9" s="1"/>
  <c r="E58" i="9"/>
  <c r="M58" i="9" s="1"/>
  <c r="G117" i="50"/>
  <c r="G87" i="50"/>
  <c r="G89" i="50" s="1"/>
  <c r="F33" i="22"/>
  <c r="E125" i="26"/>
  <c r="E33" i="22"/>
  <c r="D125" i="26"/>
  <c r="J46" i="9"/>
  <c r="M47" i="9"/>
  <c r="M24" i="9"/>
  <c r="Q24" i="9" s="1"/>
  <c r="U24" i="9" s="1"/>
  <c r="J34" i="9"/>
  <c r="R99" i="9"/>
  <c r="V99" i="9" s="1"/>
  <c r="J31" i="9"/>
  <c r="N19" i="9"/>
  <c r="M22" i="9"/>
  <c r="Q22" i="9" s="1"/>
  <c r="U22" i="9" s="1"/>
  <c r="F14" i="9"/>
  <c r="F47" i="9"/>
  <c r="J35" i="9"/>
  <c r="F48" i="9"/>
  <c r="J36" i="9"/>
  <c r="K117" i="50" s="1"/>
  <c r="K118" i="50" s="1"/>
  <c r="E91" i="9"/>
  <c r="E67" i="9"/>
  <c r="F94" i="9"/>
  <c r="E18" i="15" s="1"/>
  <c r="F37" i="9"/>
  <c r="F100" i="9"/>
  <c r="F90" i="9"/>
  <c r="E25" i="9"/>
  <c r="E64" i="9"/>
  <c r="F89" i="9"/>
  <c r="E95" i="9"/>
  <c r="M95" i="9" s="1"/>
  <c r="Q95" i="9" s="1"/>
  <c r="E19" i="9"/>
  <c r="M19" i="9" s="1"/>
  <c r="Q19" i="9" s="1"/>
  <c r="E27" i="9"/>
  <c r="M27" i="9" s="1"/>
  <c r="Q27" i="9" s="1"/>
  <c r="E65" i="9"/>
  <c r="E69" i="9"/>
  <c r="E92" i="9"/>
  <c r="M92" i="9" s="1"/>
  <c r="Q92" i="9" s="1"/>
  <c r="E68" i="9"/>
  <c r="E7" i="9"/>
  <c r="E66" i="9"/>
  <c r="E70" i="9"/>
  <c r="F96" i="9"/>
  <c r="E63" i="9"/>
  <c r="BF25" i="36" l="1"/>
  <c r="BI69" i="59" s="1"/>
  <c r="BG83" i="50"/>
  <c r="U25" i="9"/>
  <c r="U88" i="9" s="1"/>
  <c r="M64" i="9"/>
  <c r="Q64" i="9" s="1"/>
  <c r="M66" i="9"/>
  <c r="Q66" i="9" s="1"/>
  <c r="M70" i="9"/>
  <c r="Q70" i="9" s="1"/>
  <c r="M68" i="9"/>
  <c r="Q68" i="9" s="1"/>
  <c r="M69" i="9"/>
  <c r="Q69" i="9" s="1"/>
  <c r="M67" i="9"/>
  <c r="Q67" i="9" s="1"/>
  <c r="M63" i="9"/>
  <c r="Q63" i="9" s="1"/>
  <c r="M65" i="9"/>
  <c r="Q65" i="9" s="1"/>
  <c r="I56" i="9"/>
  <c r="I61" i="9"/>
  <c r="R19" i="9"/>
  <c r="N39" i="36"/>
  <c r="E57" i="9"/>
  <c r="M57" i="9" s="1"/>
  <c r="E60" i="9"/>
  <c r="M60" i="9" s="1"/>
  <c r="I58" i="9"/>
  <c r="I59" i="9"/>
  <c r="Q47" i="9"/>
  <c r="U47" i="9" s="1"/>
  <c r="K87" i="50"/>
  <c r="K89" i="50" s="1"/>
  <c r="O87" i="50"/>
  <c r="G118" i="50"/>
  <c r="E21" i="22"/>
  <c r="M21" i="22" s="1"/>
  <c r="E7" i="22"/>
  <c r="N14" i="9"/>
  <c r="R14" i="9" s="1"/>
  <c r="V14" i="9" s="1"/>
  <c r="J37" i="9"/>
  <c r="E88" i="9"/>
  <c r="Q25" i="9"/>
  <c r="Q88" i="9" s="1"/>
  <c r="J48" i="9"/>
  <c r="N48" i="9"/>
  <c r="J47" i="9"/>
  <c r="N47" i="9"/>
  <c r="F49" i="9"/>
  <c r="Q93" i="9"/>
  <c r="M55" i="9"/>
  <c r="F91" i="9"/>
  <c r="Q53" i="9" l="1"/>
  <c r="Q80" i="9"/>
  <c r="Q84" i="9"/>
  <c r="Q86" i="9"/>
  <c r="Q82" i="9"/>
  <c r="Q85" i="9"/>
  <c r="Q87" i="9"/>
  <c r="Q83" i="9"/>
  <c r="Q81" i="9"/>
  <c r="E22" i="22"/>
  <c r="M22" i="22" s="1"/>
  <c r="M7" i="22"/>
  <c r="M15" i="22" s="1"/>
  <c r="E8" i="22"/>
  <c r="M8" i="22" s="1"/>
  <c r="E62" i="9"/>
  <c r="M62" i="9" s="1"/>
  <c r="I57" i="9"/>
  <c r="Q58" i="9"/>
  <c r="F75" i="9"/>
  <c r="F73" i="9"/>
  <c r="F78" i="9"/>
  <c r="F72" i="9"/>
  <c r="F76" i="9"/>
  <c r="U53" i="9"/>
  <c r="U52" i="9"/>
  <c r="X51" i="59" s="1"/>
  <c r="V19" i="9"/>
  <c r="R39" i="36"/>
  <c r="Q56" i="9"/>
  <c r="Q59" i="9"/>
  <c r="I60" i="9"/>
  <c r="Q61" i="9"/>
  <c r="Q55" i="9"/>
  <c r="S87" i="50"/>
  <c r="S89" i="50" s="1"/>
  <c r="O89" i="50"/>
  <c r="F86" i="9"/>
  <c r="F53" i="9"/>
  <c r="F85" i="9"/>
  <c r="Q52" i="9"/>
  <c r="J49" i="9"/>
  <c r="F82" i="9"/>
  <c r="F81" i="9"/>
  <c r="F52" i="9"/>
  <c r="F80" i="9"/>
  <c r="F84" i="9"/>
  <c r="R47" i="9"/>
  <c r="V47" i="9" s="1"/>
  <c r="AB47" i="9"/>
  <c r="AF47" i="9" s="1"/>
  <c r="AJ47" i="9" s="1"/>
  <c r="AP47" i="9" s="1"/>
  <c r="AT47" i="9" s="1"/>
  <c r="AX47" i="9" s="1"/>
  <c r="BF47" i="9" s="1"/>
  <c r="N49" i="9"/>
  <c r="R48" i="9"/>
  <c r="V48" i="9" s="1"/>
  <c r="AB48" i="9"/>
  <c r="AF48" i="9" s="1"/>
  <c r="AJ48" i="9" s="1"/>
  <c r="AP48" i="9" s="1"/>
  <c r="AT48" i="9" s="1"/>
  <c r="AX48" i="9" s="1"/>
  <c r="BF48" i="9" s="1"/>
  <c r="F83" i="9"/>
  <c r="F87" i="9"/>
  <c r="E16" i="8"/>
  <c r="M16" i="8" s="1"/>
  <c r="D16" i="8"/>
  <c r="F74" i="9" l="1"/>
  <c r="Q16" i="8"/>
  <c r="U16" i="8" s="1"/>
  <c r="E10" i="22"/>
  <c r="M10" i="22" s="1"/>
  <c r="M9" i="22"/>
  <c r="M17" i="22" s="1"/>
  <c r="E24" i="22"/>
  <c r="M24" i="22" s="1"/>
  <c r="M23" i="22"/>
  <c r="Q60" i="9"/>
  <c r="F77" i="9"/>
  <c r="Q57" i="9"/>
  <c r="I62" i="9"/>
  <c r="V39" i="36"/>
  <c r="R49" i="9"/>
  <c r="V49" i="9" s="1"/>
  <c r="AB49" i="9"/>
  <c r="AF49" i="9" s="1"/>
  <c r="D65" i="7"/>
  <c r="M18" i="22" l="1"/>
  <c r="AJ49" i="9"/>
  <c r="E11" i="22"/>
  <c r="M11" i="22" s="1"/>
  <c r="M12" i="22" s="1"/>
  <c r="E25" i="22"/>
  <c r="M25" i="22" s="1"/>
  <c r="M30" i="22"/>
  <c r="M19" i="22"/>
  <c r="F79" i="9"/>
  <c r="M16" i="22"/>
  <c r="R86" i="9"/>
  <c r="R84" i="9"/>
  <c r="V53" i="9"/>
  <c r="V52" i="9"/>
  <c r="V87" i="9"/>
  <c r="V84" i="9"/>
  <c r="V85" i="9"/>
  <c r="V82" i="9"/>
  <c r="V86" i="9"/>
  <c r="V83" i="9"/>
  <c r="V80" i="9"/>
  <c r="V81" i="9"/>
  <c r="R81" i="9"/>
  <c r="R83" i="9"/>
  <c r="Q62" i="9"/>
  <c r="R80" i="9"/>
  <c r="R82" i="9"/>
  <c r="R52" i="9"/>
  <c r="R85" i="9"/>
  <c r="R87" i="9"/>
  <c r="R53" i="9"/>
  <c r="F135" i="7"/>
  <c r="F129" i="7"/>
  <c r="F78" i="7"/>
  <c r="E78" i="7"/>
  <c r="F76" i="7"/>
  <c r="F69" i="7"/>
  <c r="E69" i="7"/>
  <c r="F65" i="7"/>
  <c r="F67" i="7" s="1"/>
  <c r="E65" i="7"/>
  <c r="E67" i="7" s="1"/>
  <c r="F61" i="7"/>
  <c r="F25" i="7" s="1"/>
  <c r="F85" i="7" s="1"/>
  <c r="E61" i="7"/>
  <c r="F37" i="7"/>
  <c r="E37" i="7"/>
  <c r="M37" i="7" s="1"/>
  <c r="AA37" i="7" s="1"/>
  <c r="AE37" i="7" s="1"/>
  <c r="F128" i="6"/>
  <c r="F17" i="49"/>
  <c r="F18" i="49" s="1"/>
  <c r="F11" i="49"/>
  <c r="E11" i="49"/>
  <c r="F9" i="49"/>
  <c r="F8" i="49"/>
  <c r="N360" i="28"/>
  <c r="F241" i="28"/>
  <c r="E235" i="28"/>
  <c r="E234" i="28"/>
  <c r="F198" i="28"/>
  <c r="N198" i="28" s="1"/>
  <c r="F186" i="28"/>
  <c r="F82" i="28"/>
  <c r="F81" i="28"/>
  <c r="F79" i="28"/>
  <c r="F75" i="28"/>
  <c r="F71" i="28"/>
  <c r="F67" i="28"/>
  <c r="F26" i="28"/>
  <c r="N26" i="28" s="1"/>
  <c r="F19" i="28"/>
  <c r="N19" i="28" s="1"/>
  <c r="F12" i="28"/>
  <c r="N241" i="28" l="1"/>
  <c r="N380" i="28" s="1"/>
  <c r="F380" i="28"/>
  <c r="E13" i="22"/>
  <c r="M13" i="22" s="1"/>
  <c r="M14" i="22" s="1"/>
  <c r="AE46" i="7"/>
  <c r="AI37" i="7"/>
  <c r="E28" i="7"/>
  <c r="E88" i="7" s="1"/>
  <c r="H34" i="59" s="1"/>
  <c r="E25" i="7"/>
  <c r="E85" i="7" s="1"/>
  <c r="AP49" i="9"/>
  <c r="F28" i="7"/>
  <c r="F51" i="7"/>
  <c r="F90" i="7" s="1"/>
  <c r="F52" i="7"/>
  <c r="F53" i="7"/>
  <c r="F54" i="7"/>
  <c r="F55" i="7"/>
  <c r="F56" i="7"/>
  <c r="F50" i="7"/>
  <c r="J79" i="28"/>
  <c r="N79" i="28"/>
  <c r="AB79" i="28" s="1"/>
  <c r="AF79" i="28" s="1"/>
  <c r="AJ79" i="28" s="1"/>
  <c r="J75" i="28"/>
  <c r="N75" i="28"/>
  <c r="AB75" i="28" s="1"/>
  <c r="AF75" i="28" s="1"/>
  <c r="AJ75" i="28" s="1"/>
  <c r="AP75" i="28" s="1"/>
  <c r="AT75" i="28" s="1"/>
  <c r="AX75" i="28" s="1"/>
  <c r="BF75" i="28" s="1"/>
  <c r="J81" i="28"/>
  <c r="N81" i="28"/>
  <c r="R81" i="28" s="1"/>
  <c r="V81" i="28" s="1"/>
  <c r="AB81" i="28" s="1"/>
  <c r="AF81" i="28" s="1"/>
  <c r="AJ81" i="28" s="1"/>
  <c r="AP81" i="28" s="1"/>
  <c r="AT81" i="28" s="1"/>
  <c r="AX81" i="28" s="1"/>
  <c r="BF81" i="28" s="1"/>
  <c r="I234" i="28"/>
  <c r="M234" i="28"/>
  <c r="Q234" i="28" s="1"/>
  <c r="U234" i="28" s="1"/>
  <c r="AA234" i="28" s="1"/>
  <c r="AE234" i="28" s="1"/>
  <c r="AI234" i="28" s="1"/>
  <c r="AO234" i="28" s="1"/>
  <c r="AS234" i="28" s="1"/>
  <c r="AW234" i="28" s="1"/>
  <c r="BE234" i="28" s="1"/>
  <c r="J186" i="28"/>
  <c r="N186" i="28"/>
  <c r="J67" i="28"/>
  <c r="N67" i="28"/>
  <c r="R67" i="28" s="1"/>
  <c r="V67" i="28" s="1"/>
  <c r="AB67" i="28" s="1"/>
  <c r="AF67" i="28" s="1"/>
  <c r="AJ67" i="28" s="1"/>
  <c r="AP67" i="28" s="1"/>
  <c r="AT67" i="28" s="1"/>
  <c r="AX67" i="28" s="1"/>
  <c r="BF67" i="28" s="1"/>
  <c r="J12" i="28"/>
  <c r="N12" i="28"/>
  <c r="J71" i="28"/>
  <c r="N71" i="28"/>
  <c r="AB71" i="28" s="1"/>
  <c r="AF71" i="28" s="1"/>
  <c r="AJ71" i="28" s="1"/>
  <c r="AP71" i="28" s="1"/>
  <c r="AT71" i="28" s="1"/>
  <c r="AX71" i="28" s="1"/>
  <c r="BF71" i="28" s="1"/>
  <c r="J82" i="28"/>
  <c r="N82" i="28"/>
  <c r="AB82" i="28" s="1"/>
  <c r="AF82" i="28" s="1"/>
  <c r="AJ82" i="28" s="1"/>
  <c r="AP82" i="28" s="1"/>
  <c r="AT82" i="28" s="1"/>
  <c r="AX82" i="28" s="1"/>
  <c r="BF82" i="28" s="1"/>
  <c r="I235" i="28"/>
  <c r="M235" i="28"/>
  <c r="Q235" i="28" s="1"/>
  <c r="U235" i="28" s="1"/>
  <c r="AA235" i="28" s="1"/>
  <c r="AE235" i="28" s="1"/>
  <c r="AI235" i="28" s="1"/>
  <c r="AO235" i="28" s="1"/>
  <c r="AS235" i="28" s="1"/>
  <c r="AW235" i="28" s="1"/>
  <c r="BE235" i="28" s="1"/>
  <c r="E27" i="22"/>
  <c r="M27" i="22" s="1"/>
  <c r="M26" i="22"/>
  <c r="F88" i="7"/>
  <c r="I34" i="59" s="1"/>
  <c r="Y54" i="59"/>
  <c r="Y55" i="59"/>
  <c r="Y51" i="59"/>
  <c r="F33" i="7"/>
  <c r="F94" i="7" s="1"/>
  <c r="N104" i="7"/>
  <c r="N98" i="7"/>
  <c r="N102" i="7"/>
  <c r="N101" i="7"/>
  <c r="N99" i="7"/>
  <c r="J343" i="28"/>
  <c r="F393" i="28"/>
  <c r="J360" i="28"/>
  <c r="J392" i="28" s="1"/>
  <c r="F392" i="28"/>
  <c r="J241" i="28"/>
  <c r="J380" i="28" s="1"/>
  <c r="F377" i="28"/>
  <c r="J19" i="28"/>
  <c r="F381" i="28"/>
  <c r="J26" i="28"/>
  <c r="F376" i="28"/>
  <c r="J198" i="28"/>
  <c r="E27" i="7"/>
  <c r="E87" i="7" s="1"/>
  <c r="E23" i="7"/>
  <c r="E83" i="7" s="1"/>
  <c r="E29" i="7"/>
  <c r="E89" i="7" s="1"/>
  <c r="E30" i="7"/>
  <c r="E91" i="7" s="1"/>
  <c r="E22" i="7"/>
  <c r="E82" i="7" s="1"/>
  <c r="E32" i="7"/>
  <c r="E84" i="7" s="1"/>
  <c r="E21" i="7"/>
  <c r="E81" i="7" s="1"/>
  <c r="E24" i="7"/>
  <c r="E93" i="7" s="1"/>
  <c r="E26" i="7"/>
  <c r="E86" i="7" s="1"/>
  <c r="F385" i="28"/>
  <c r="F58" i="28"/>
  <c r="F373" i="28"/>
  <c r="F374" i="28"/>
  <c r="F375" i="28"/>
  <c r="F131" i="7"/>
  <c r="F137" i="7"/>
  <c r="J128" i="6"/>
  <c r="N128" i="6"/>
  <c r="AB128" i="6" s="1"/>
  <c r="AF128" i="6" s="1"/>
  <c r="F26" i="7"/>
  <c r="F86" i="7" s="1"/>
  <c r="F23" i="7"/>
  <c r="F29" i="7"/>
  <c r="F89" i="7" s="1"/>
  <c r="F32" i="7"/>
  <c r="F84" i="7" s="1"/>
  <c r="F22" i="7"/>
  <c r="F24" i="7"/>
  <c r="F30" i="7"/>
  <c r="F91" i="7" s="1"/>
  <c r="F27" i="7"/>
  <c r="F87" i="7" s="1"/>
  <c r="M6" i="21"/>
  <c r="M12" i="21" s="1"/>
  <c r="M22" i="21" s="1"/>
  <c r="I6" i="21"/>
  <c r="I128" i="6"/>
  <c r="M128" i="6"/>
  <c r="E26" i="28"/>
  <c r="M26" i="28" s="1"/>
  <c r="E12" i="28"/>
  <c r="M12" i="28" s="1"/>
  <c r="E19" i="28"/>
  <c r="M19" i="28" s="1"/>
  <c r="F300" i="28"/>
  <c r="F77" i="7"/>
  <c r="F114" i="7"/>
  <c r="F49" i="7"/>
  <c r="E75" i="7"/>
  <c r="E62" i="7"/>
  <c r="E70" i="7"/>
  <c r="E72" i="7"/>
  <c r="F46" i="7"/>
  <c r="F21" i="7"/>
  <c r="F81" i="7" s="1"/>
  <c r="F63" i="7"/>
  <c r="F70" i="7"/>
  <c r="F72" i="7"/>
  <c r="F75" i="7"/>
  <c r="N361" i="28"/>
  <c r="F83" i="28"/>
  <c r="N83" i="28" s="1"/>
  <c r="AB83" i="28" s="1"/>
  <c r="AF83" i="28" s="1"/>
  <c r="F60" i="28"/>
  <c r="F236" i="28"/>
  <c r="F55" i="28"/>
  <c r="F59" i="28"/>
  <c r="F61" i="28"/>
  <c r="AJ128" i="6" l="1"/>
  <c r="AI46" i="7"/>
  <c r="AO37" i="7"/>
  <c r="AT49" i="9"/>
  <c r="AX49" i="9" s="1"/>
  <c r="BF49" i="9" s="1"/>
  <c r="AJ385" i="28"/>
  <c r="AP79" i="28"/>
  <c r="AF84" i="28"/>
  <c r="AJ83" i="28"/>
  <c r="AF385" i="28"/>
  <c r="J374" i="28"/>
  <c r="Q128" i="6"/>
  <c r="U128" i="6" s="1"/>
  <c r="AA128" i="6"/>
  <c r="AE128" i="6" s="1"/>
  <c r="AI128" i="6" s="1"/>
  <c r="R75" i="28"/>
  <c r="V75" i="28" s="1"/>
  <c r="J373" i="28"/>
  <c r="J375" i="28"/>
  <c r="J236" i="28"/>
  <c r="J370" i="28" s="1"/>
  <c r="N236" i="28"/>
  <c r="N370" i="28" s="1"/>
  <c r="J55" i="28"/>
  <c r="N55" i="28"/>
  <c r="R55" i="28" s="1"/>
  <c r="V55" i="28" s="1"/>
  <c r="AB55" i="28" s="1"/>
  <c r="AF55" i="28" s="1"/>
  <c r="AJ55" i="28" s="1"/>
  <c r="AP55" i="28" s="1"/>
  <c r="AT55" i="28" s="1"/>
  <c r="AX55" i="28" s="1"/>
  <c r="BF55" i="28" s="1"/>
  <c r="BF390" i="28" s="1"/>
  <c r="J61" i="28"/>
  <c r="N61" i="28"/>
  <c r="AB61" i="28" s="1"/>
  <c r="AF61" i="28" s="1"/>
  <c r="AJ61" i="28" s="1"/>
  <c r="AP61" i="28" s="1"/>
  <c r="AT61" i="28" s="1"/>
  <c r="AX61" i="28" s="1"/>
  <c r="BF61" i="28" s="1"/>
  <c r="J60" i="28"/>
  <c r="N60" i="28"/>
  <c r="AB60" i="28" s="1"/>
  <c r="AF60" i="28" s="1"/>
  <c r="AJ60" i="28" s="1"/>
  <c r="AP60" i="28" s="1"/>
  <c r="AT60" i="28" s="1"/>
  <c r="AX60" i="28" s="1"/>
  <c r="BF60" i="28" s="1"/>
  <c r="J59" i="28"/>
  <c r="N59" i="28"/>
  <c r="AB59" i="28" s="1"/>
  <c r="AF59" i="28" s="1"/>
  <c r="AJ59" i="28" s="1"/>
  <c r="AP59" i="28" s="1"/>
  <c r="AT59" i="28" s="1"/>
  <c r="AX59" i="28" s="1"/>
  <c r="BF59" i="28" s="1"/>
  <c r="J300" i="28"/>
  <c r="J383" i="28" s="1"/>
  <c r="N300" i="28"/>
  <c r="N382" i="28" s="1"/>
  <c r="J58" i="28"/>
  <c r="N58" i="28"/>
  <c r="R71" i="28"/>
  <c r="V71" i="28" s="1"/>
  <c r="M31" i="22"/>
  <c r="M29" i="22"/>
  <c r="R186" i="28"/>
  <c r="V186" i="28" s="1"/>
  <c r="R82" i="28"/>
  <c r="V82" i="28" s="1"/>
  <c r="R79" i="28"/>
  <c r="V79" i="28" s="1"/>
  <c r="R128" i="6"/>
  <c r="V128" i="6" s="1"/>
  <c r="F93" i="7"/>
  <c r="F83" i="7"/>
  <c r="F82" i="7"/>
  <c r="J393" i="28"/>
  <c r="N373" i="28"/>
  <c r="R12" i="28"/>
  <c r="V12" i="28" s="1"/>
  <c r="R19" i="28"/>
  <c r="V19" i="28" s="1"/>
  <c r="J377" i="28"/>
  <c r="J376" i="28"/>
  <c r="N385" i="28"/>
  <c r="F387" i="28"/>
  <c r="J361" i="28"/>
  <c r="J381" i="28"/>
  <c r="F84" i="28"/>
  <c r="J83" i="28"/>
  <c r="N374" i="28"/>
  <c r="N375" i="28"/>
  <c r="E59" i="28"/>
  <c r="I19" i="28"/>
  <c r="E58" i="28"/>
  <c r="I12" i="28"/>
  <c r="E300" i="28"/>
  <c r="M300" i="28" s="1"/>
  <c r="I26" i="28"/>
  <c r="F56" i="28"/>
  <c r="F386" i="28"/>
  <c r="F382" i="28"/>
  <c r="F383" i="28"/>
  <c r="F371" i="28"/>
  <c r="F378" i="28"/>
  <c r="F370" i="28"/>
  <c r="F379" i="28"/>
  <c r="E186" i="28"/>
  <c r="M186" i="28" s="1"/>
  <c r="F115" i="7"/>
  <c r="F117" i="7" s="1"/>
  <c r="F138" i="7"/>
  <c r="F132" i="7"/>
  <c r="F34" i="7"/>
  <c r="F48" i="7" s="1"/>
  <c r="F57" i="7" s="1"/>
  <c r="F365" i="28"/>
  <c r="E60" i="28"/>
  <c r="M60" i="28" s="1"/>
  <c r="AA60" i="28" s="1"/>
  <c r="AE60" i="28" s="1"/>
  <c r="AI60" i="28" s="1"/>
  <c r="AO60" i="28" s="1"/>
  <c r="AS60" i="28" s="1"/>
  <c r="AW60" i="28" s="1"/>
  <c r="BE60" i="28" s="1"/>
  <c r="E236" i="28"/>
  <c r="M236" i="28" s="1"/>
  <c r="F364" i="28"/>
  <c r="F62" i="28"/>
  <c r="N62" i="28" s="1"/>
  <c r="BF56" i="28" l="1"/>
  <c r="AX56" i="28"/>
  <c r="AP128" i="6"/>
  <c r="AS37" i="7"/>
  <c r="AO46" i="7"/>
  <c r="AP385" i="28"/>
  <c r="AT79" i="28"/>
  <c r="AO128" i="6"/>
  <c r="AT56" i="28"/>
  <c r="AP56" i="28"/>
  <c r="AJ84" i="28"/>
  <c r="AP83" i="28"/>
  <c r="J371" i="28"/>
  <c r="AJ56" i="28"/>
  <c r="J379" i="28"/>
  <c r="J378" i="28"/>
  <c r="AF56" i="28"/>
  <c r="J382" i="28"/>
  <c r="N378" i="28"/>
  <c r="R59" i="28"/>
  <c r="V59" i="28" s="1"/>
  <c r="R61" i="28"/>
  <c r="V61" i="28" s="1"/>
  <c r="N56" i="28"/>
  <c r="I59" i="28"/>
  <c r="M59" i="28"/>
  <c r="AA59" i="28" s="1"/>
  <c r="AE59" i="28" s="1"/>
  <c r="AI59" i="28" s="1"/>
  <c r="AO59" i="28" s="1"/>
  <c r="AS59" i="28" s="1"/>
  <c r="AW59" i="28" s="1"/>
  <c r="BE59" i="28" s="1"/>
  <c r="R300" i="28"/>
  <c r="V300" i="28" s="1"/>
  <c r="R60" i="28"/>
  <c r="V60" i="28" s="1"/>
  <c r="I58" i="28"/>
  <c r="M58" i="28"/>
  <c r="Q58" i="28" s="1"/>
  <c r="U58" i="28" s="1"/>
  <c r="AA58" i="28" s="1"/>
  <c r="AE58" i="28" s="1"/>
  <c r="AI58" i="28" s="1"/>
  <c r="AO58" i="28" s="1"/>
  <c r="AS58" i="28" s="1"/>
  <c r="AW58" i="28" s="1"/>
  <c r="BE58" i="28" s="1"/>
  <c r="N390" i="28"/>
  <c r="R58" i="28"/>
  <c r="V58" i="28" s="1"/>
  <c r="AB58" i="28" s="1"/>
  <c r="AF58" i="28" s="1"/>
  <c r="AJ58" i="28" s="1"/>
  <c r="AP58" i="28" s="1"/>
  <c r="AT58" i="28" s="1"/>
  <c r="AX58" i="28" s="1"/>
  <c r="BF58" i="28" s="1"/>
  <c r="R236" i="28"/>
  <c r="R379" i="28" s="1"/>
  <c r="R56" i="28"/>
  <c r="R374" i="28"/>
  <c r="R385" i="28"/>
  <c r="Q26" i="28"/>
  <c r="U26" i="28" s="1"/>
  <c r="AA26" i="28" s="1"/>
  <c r="AE26" i="28" s="1"/>
  <c r="AI26" i="28" s="1"/>
  <c r="AO26" i="28" s="1"/>
  <c r="AS26" i="28" s="1"/>
  <c r="AW26" i="28" s="1"/>
  <c r="BE26" i="28" s="1"/>
  <c r="AB19" i="28"/>
  <c r="AF19" i="28" s="1"/>
  <c r="Z379" i="28"/>
  <c r="Z377" i="28"/>
  <c r="AB12" i="28"/>
  <c r="AF12" i="28" s="1"/>
  <c r="Z373" i="28"/>
  <c r="N392" i="28"/>
  <c r="Z56" i="28"/>
  <c r="R26" i="28"/>
  <c r="V26" i="28" s="1"/>
  <c r="AB26" i="28" s="1"/>
  <c r="AF26" i="28" s="1"/>
  <c r="AB236" i="28"/>
  <c r="AF236" i="28" s="1"/>
  <c r="AJ236" i="28" s="1"/>
  <c r="AP236" i="28" s="1"/>
  <c r="AT236" i="28" s="1"/>
  <c r="AX236" i="28" s="1"/>
  <c r="BF236" i="28" s="1"/>
  <c r="Z371" i="28"/>
  <c r="Z370" i="28"/>
  <c r="Q12" i="28"/>
  <c r="U12" i="28" s="1"/>
  <c r="V385" i="28"/>
  <c r="V56" i="28"/>
  <c r="Q19" i="28"/>
  <c r="U19" i="28" s="1"/>
  <c r="AA19" i="28" s="1"/>
  <c r="AE19" i="28" s="1"/>
  <c r="AI19" i="28" s="1"/>
  <c r="AO19" i="28" s="1"/>
  <c r="AS19" i="28" s="1"/>
  <c r="AW19" i="28" s="1"/>
  <c r="BE19" i="28" s="1"/>
  <c r="AB56" i="28"/>
  <c r="V374" i="28"/>
  <c r="R360" i="28"/>
  <c r="V360" i="28" s="1"/>
  <c r="V377" i="28"/>
  <c r="V373" i="28"/>
  <c r="V375" i="28"/>
  <c r="N371" i="28"/>
  <c r="E65" i="28"/>
  <c r="N393" i="28"/>
  <c r="R343" i="28"/>
  <c r="N376" i="28"/>
  <c r="R198" i="28"/>
  <c r="R241" i="28"/>
  <c r="R380" i="28" s="1"/>
  <c r="R373" i="28"/>
  <c r="R375" i="28"/>
  <c r="R377" i="28"/>
  <c r="N383" i="28"/>
  <c r="N381" i="28"/>
  <c r="J365" i="28"/>
  <c r="J386" i="28"/>
  <c r="J84" i="28"/>
  <c r="N377" i="28"/>
  <c r="N379" i="28"/>
  <c r="E69" i="28"/>
  <c r="E375" i="28"/>
  <c r="I186" i="28"/>
  <c r="E371" i="28"/>
  <c r="I236" i="28"/>
  <c r="E73" i="28"/>
  <c r="I60" i="28"/>
  <c r="E383" i="28"/>
  <c r="I300" i="28"/>
  <c r="J62" i="28"/>
  <c r="F71" i="7"/>
  <c r="F118" i="7"/>
  <c r="F116" i="7"/>
  <c r="E379" i="28"/>
  <c r="E46" i="7"/>
  <c r="R371" i="28" l="1"/>
  <c r="BF370" i="28"/>
  <c r="BF378" i="28"/>
  <c r="AS46" i="7"/>
  <c r="AW37" i="7"/>
  <c r="AX370" i="28"/>
  <c r="AX378" i="28"/>
  <c r="AT385" i="28"/>
  <c r="AX79" i="28"/>
  <c r="AP84" i="28"/>
  <c r="AT83" i="28"/>
  <c r="AT128" i="6"/>
  <c r="AX128" i="6" s="1"/>
  <c r="AT370" i="28"/>
  <c r="AT378" i="28"/>
  <c r="AS128" i="6"/>
  <c r="AW128" i="6" s="1"/>
  <c r="AP370" i="28"/>
  <c r="AP378" i="28"/>
  <c r="AF373" i="28"/>
  <c r="AJ12" i="28"/>
  <c r="AP12" i="28" s="1"/>
  <c r="AT12" i="28" s="1"/>
  <c r="AX12" i="28" s="1"/>
  <c r="BF12" i="28" s="1"/>
  <c r="AJ370" i="28"/>
  <c r="AJ378" i="28"/>
  <c r="AF381" i="28"/>
  <c r="AJ26" i="28"/>
  <c r="AP26" i="28" s="1"/>
  <c r="AT26" i="28" s="1"/>
  <c r="AX26" i="28" s="1"/>
  <c r="AF377" i="28"/>
  <c r="AJ19" i="28"/>
  <c r="AP19" i="28" s="1"/>
  <c r="AF378" i="28"/>
  <c r="AF371" i="28"/>
  <c r="AF379" i="28"/>
  <c r="AF370" i="28"/>
  <c r="R382" i="28"/>
  <c r="R383" i="28"/>
  <c r="I69" i="28"/>
  <c r="I377" i="28" s="1"/>
  <c r="M69" i="28"/>
  <c r="AA69" i="28" s="1"/>
  <c r="AE69" i="28" s="1"/>
  <c r="AI69" i="28" s="1"/>
  <c r="I65" i="28"/>
  <c r="I373" i="28" s="1"/>
  <c r="M65" i="28"/>
  <c r="Q65" i="28" s="1"/>
  <c r="Q373" i="28" s="1"/>
  <c r="I73" i="28"/>
  <c r="I381" i="28" s="1"/>
  <c r="M73" i="28"/>
  <c r="AA73" i="28" s="1"/>
  <c r="AE73" i="28" s="1"/>
  <c r="AI73" i="28" s="1"/>
  <c r="AO73" i="28" s="1"/>
  <c r="Q59" i="28"/>
  <c r="U59" i="28" s="1"/>
  <c r="V236" i="28"/>
  <c r="R370" i="28"/>
  <c r="R378" i="28"/>
  <c r="F119" i="7"/>
  <c r="V381" i="28"/>
  <c r="R381" i="28"/>
  <c r="V382" i="28"/>
  <c r="Z381" i="28"/>
  <c r="AB379" i="28"/>
  <c r="AB377" i="28"/>
  <c r="Q236" i="28"/>
  <c r="U236" i="28" s="1"/>
  <c r="U379" i="28" s="1"/>
  <c r="Z374" i="28"/>
  <c r="AB186" i="28"/>
  <c r="AB381" i="28"/>
  <c r="AB373" i="28"/>
  <c r="Q60" i="28"/>
  <c r="U60" i="28" s="1"/>
  <c r="Z385" i="28"/>
  <c r="Z375" i="28"/>
  <c r="R361" i="28"/>
  <c r="V361" i="28" s="1"/>
  <c r="AB361" i="28" s="1"/>
  <c r="AF361" i="28" s="1"/>
  <c r="AJ361" i="28" s="1"/>
  <c r="AP361" i="28" s="1"/>
  <c r="AT361" i="28" s="1"/>
  <c r="AX361" i="28" s="1"/>
  <c r="BF361" i="28" s="1"/>
  <c r="V392" i="28"/>
  <c r="AA12" i="28"/>
  <c r="AE12" i="28" s="1"/>
  <c r="AI12" i="28" s="1"/>
  <c r="AO12" i="28" s="1"/>
  <c r="AS12" i="28" s="1"/>
  <c r="AW12" i="28" s="1"/>
  <c r="BE12" i="28" s="1"/>
  <c r="AB370" i="28"/>
  <c r="AB371" i="28"/>
  <c r="AB378" i="28"/>
  <c r="R392" i="28"/>
  <c r="V383" i="28"/>
  <c r="R376" i="28"/>
  <c r="V198" i="28"/>
  <c r="E373" i="28"/>
  <c r="E374" i="28"/>
  <c r="V241" i="28"/>
  <c r="V380" i="28" s="1"/>
  <c r="R393" i="28"/>
  <c r="V343" i="28"/>
  <c r="N391" i="28"/>
  <c r="R62" i="28"/>
  <c r="V62" i="28" s="1"/>
  <c r="N84" i="28"/>
  <c r="R83" i="28"/>
  <c r="E377" i="28"/>
  <c r="N365" i="28"/>
  <c r="N364" i="28"/>
  <c r="N387" i="28"/>
  <c r="N386" i="28"/>
  <c r="E378" i="28"/>
  <c r="M371" i="28"/>
  <c r="E370" i="28"/>
  <c r="M379" i="28"/>
  <c r="I383" i="28"/>
  <c r="I375" i="28"/>
  <c r="E381" i="28"/>
  <c r="I371" i="28"/>
  <c r="I379" i="28"/>
  <c r="E382" i="28"/>
  <c r="N88" i="8"/>
  <c r="N16" i="8"/>
  <c r="N12" i="8"/>
  <c r="AX385" i="28" l="1"/>
  <c r="BF79" i="28"/>
  <c r="BF385" i="28" s="1"/>
  <c r="BF373" i="28"/>
  <c r="AX381" i="28"/>
  <c r="BF26" i="28"/>
  <c r="BF364" i="28"/>
  <c r="BF387" i="28"/>
  <c r="BE128" i="6"/>
  <c r="BF128" i="6"/>
  <c r="AW46" i="7"/>
  <c r="BE37" i="7"/>
  <c r="BE46" i="7" s="1"/>
  <c r="AX373" i="28"/>
  <c r="AT84" i="28"/>
  <c r="AX83" i="28"/>
  <c r="AX365" i="28"/>
  <c r="AX387" i="28"/>
  <c r="AX364" i="28"/>
  <c r="AX386" i="28"/>
  <c r="AT381" i="28"/>
  <c r="AO381" i="28"/>
  <c r="AS73" i="28"/>
  <c r="AW73" i="28" s="1"/>
  <c r="BE73" i="28" s="1"/>
  <c r="AP371" i="28"/>
  <c r="AT19" i="28"/>
  <c r="AX19" i="28" s="1"/>
  <c r="BF19" i="28" s="1"/>
  <c r="AT373" i="28"/>
  <c r="AT387" i="28"/>
  <c r="AT365" i="28"/>
  <c r="AT364" i="28"/>
  <c r="AT386" i="28"/>
  <c r="AP373" i="28"/>
  <c r="AP381" i="28"/>
  <c r="AP377" i="28"/>
  <c r="AP379" i="28"/>
  <c r="AI377" i="28"/>
  <c r="AO69" i="28"/>
  <c r="AS69" i="28" s="1"/>
  <c r="AW69" i="28" s="1"/>
  <c r="BE69" i="28" s="1"/>
  <c r="AP386" i="28"/>
  <c r="AP387" i="28"/>
  <c r="AP364" i="28"/>
  <c r="AP365" i="28"/>
  <c r="AJ379" i="28"/>
  <c r="AJ377" i="28"/>
  <c r="AJ371" i="28"/>
  <c r="AJ381" i="28"/>
  <c r="AJ373" i="28"/>
  <c r="AJ386" i="28"/>
  <c r="AJ365" i="28"/>
  <c r="AJ364" i="28"/>
  <c r="AJ387" i="28"/>
  <c r="AI381" i="28"/>
  <c r="AF365" i="28"/>
  <c r="AF387" i="28"/>
  <c r="AF364" i="28"/>
  <c r="AF386" i="28"/>
  <c r="AB374" i="28"/>
  <c r="AF186" i="28"/>
  <c r="AJ186" i="28" s="1"/>
  <c r="I382" i="28"/>
  <c r="Q69" i="28"/>
  <c r="Q378" i="28" s="1"/>
  <c r="AE377" i="28"/>
  <c r="AE381" i="28"/>
  <c r="Q73" i="28"/>
  <c r="U73" i="28" s="1"/>
  <c r="Y381" i="28" s="1"/>
  <c r="M370" i="28"/>
  <c r="I378" i="28"/>
  <c r="I374" i="28"/>
  <c r="I370" i="28"/>
  <c r="M378" i="28"/>
  <c r="M377" i="28"/>
  <c r="M373" i="28"/>
  <c r="Z378" i="28"/>
  <c r="V370" i="28"/>
  <c r="V379" i="28"/>
  <c r="V371" i="28"/>
  <c r="V378" i="28"/>
  <c r="R386" i="28"/>
  <c r="Q371" i="28"/>
  <c r="Q379" i="28"/>
  <c r="R387" i="28"/>
  <c r="V365" i="28"/>
  <c r="R365" i="28"/>
  <c r="V386" i="28"/>
  <c r="AB375" i="28"/>
  <c r="V364" i="28"/>
  <c r="R364" i="28"/>
  <c r="AB365" i="28"/>
  <c r="AB364" i="28"/>
  <c r="AB387" i="28"/>
  <c r="U65" i="28"/>
  <c r="V376" i="28"/>
  <c r="Z392" i="28"/>
  <c r="AB360" i="28"/>
  <c r="AB386" i="28"/>
  <c r="AB385" i="28"/>
  <c r="Z365" i="28"/>
  <c r="Z364" i="28"/>
  <c r="Z387" i="28"/>
  <c r="Z386" i="28"/>
  <c r="U371" i="28"/>
  <c r="Q186" i="28"/>
  <c r="U186" i="28" s="1"/>
  <c r="V393" i="28"/>
  <c r="V387" i="28"/>
  <c r="AB62" i="28"/>
  <c r="AF62" i="28" s="1"/>
  <c r="R84" i="28"/>
  <c r="V83" i="28"/>
  <c r="M383" i="28"/>
  <c r="Q300" i="28"/>
  <c r="M382" i="28"/>
  <c r="M381" i="28"/>
  <c r="M375" i="28"/>
  <c r="M374" i="28"/>
  <c r="R88" i="8"/>
  <c r="V88" i="8" s="1"/>
  <c r="R14" i="8"/>
  <c r="V14" i="8" s="1"/>
  <c r="R13" i="8"/>
  <c r="V13" i="8" s="1"/>
  <c r="R12" i="8"/>
  <c r="V12" i="8" s="1"/>
  <c r="R16" i="8"/>
  <c r="V16" i="8" s="1"/>
  <c r="F112" i="7"/>
  <c r="F120" i="7"/>
  <c r="H65" i="59"/>
  <c r="H61" i="59"/>
  <c r="H57" i="59"/>
  <c r="E173" i="73"/>
  <c r="E162" i="73"/>
  <c r="M162" i="73" s="1"/>
  <c r="AA162" i="73" s="1"/>
  <c r="E110" i="73"/>
  <c r="E98" i="73"/>
  <c r="M98" i="73" s="1"/>
  <c r="E53" i="73"/>
  <c r="M53" i="73" s="1"/>
  <c r="E48" i="73"/>
  <c r="M48" i="73" s="1"/>
  <c r="E34" i="73"/>
  <c r="M34" i="73" s="1"/>
  <c r="E23" i="73"/>
  <c r="Q48" i="73" l="1"/>
  <c r="AA48" i="73"/>
  <c r="Q53" i="73"/>
  <c r="AA53" i="73"/>
  <c r="Q98" i="73"/>
  <c r="AA98" i="73"/>
  <c r="Q34" i="73"/>
  <c r="AA34" i="73"/>
  <c r="BF386" i="28"/>
  <c r="AX84" i="28"/>
  <c r="BF83" i="28"/>
  <c r="BF84" i="28" s="1"/>
  <c r="BF365" i="28"/>
  <c r="BE377" i="28"/>
  <c r="BE381" i="28"/>
  <c r="BF381" i="28"/>
  <c r="BF379" i="28"/>
  <c r="BF377" i="28"/>
  <c r="BF371" i="28"/>
  <c r="AW377" i="28"/>
  <c r="AX377" i="28"/>
  <c r="AX379" i="28"/>
  <c r="AX371" i="28"/>
  <c r="AW381" i="28"/>
  <c r="AS381" i="28"/>
  <c r="E113" i="73"/>
  <c r="E115" i="73" s="1"/>
  <c r="AS377" i="28"/>
  <c r="AT377" i="28"/>
  <c r="AT379" i="28"/>
  <c r="AT371" i="28"/>
  <c r="AJ374" i="28"/>
  <c r="AP186" i="28"/>
  <c r="AT186" i="28" s="1"/>
  <c r="AX186" i="28" s="1"/>
  <c r="BF186" i="28" s="1"/>
  <c r="AO377" i="28"/>
  <c r="AJ375" i="28"/>
  <c r="AJ62" i="28"/>
  <c r="AB392" i="28"/>
  <c r="AF360" i="28"/>
  <c r="Q381" i="28"/>
  <c r="U69" i="28"/>
  <c r="U370" i="28" s="1"/>
  <c r="Q370" i="28"/>
  <c r="Q377" i="28"/>
  <c r="AF374" i="28"/>
  <c r="AF375" i="28"/>
  <c r="U381" i="28"/>
  <c r="Q375" i="28"/>
  <c r="U373" i="28"/>
  <c r="Z393" i="28"/>
  <c r="AB393" i="28"/>
  <c r="Y371" i="28"/>
  <c r="Y370" i="28"/>
  <c r="Y379" i="28"/>
  <c r="AA236" i="28"/>
  <c r="AE236" i="28" s="1"/>
  <c r="AI236" i="28" s="1"/>
  <c r="AO236" i="28" s="1"/>
  <c r="AS236" i="28" s="1"/>
  <c r="AA381" i="28"/>
  <c r="U375" i="28"/>
  <c r="Y374" i="28"/>
  <c r="AA65" i="28"/>
  <c r="AE65" i="28" s="1"/>
  <c r="AI65" i="28" s="1"/>
  <c r="AO65" i="28" s="1"/>
  <c r="AS65" i="28" s="1"/>
  <c r="AW65" i="28" s="1"/>
  <c r="BE65" i="28" s="1"/>
  <c r="Y373" i="28"/>
  <c r="U374" i="28"/>
  <c r="AB241" i="28"/>
  <c r="AB380" i="28" s="1"/>
  <c r="Z376" i="28"/>
  <c r="AB198" i="28"/>
  <c r="Q374" i="28"/>
  <c r="Y378" i="28"/>
  <c r="AA377" i="28"/>
  <c r="Y377" i="28"/>
  <c r="V84" i="28"/>
  <c r="M171" i="73"/>
  <c r="AA171" i="73" s="1"/>
  <c r="V15" i="8"/>
  <c r="Q383" i="28"/>
  <c r="U300" i="28"/>
  <c r="Q382" i="28"/>
  <c r="E11" i="15"/>
  <c r="E12" i="15" s="1"/>
  <c r="E13" i="15" s="1"/>
  <c r="M110" i="73"/>
  <c r="E171" i="73"/>
  <c r="M23" i="73"/>
  <c r="AA23" i="73" s="1"/>
  <c r="M173" i="73"/>
  <c r="AA173" i="73" s="1"/>
  <c r="I105" i="73"/>
  <c r="I104" i="73" s="1"/>
  <c r="I110" i="73"/>
  <c r="I23" i="73"/>
  <c r="I34" i="73"/>
  <c r="I98" i="73"/>
  <c r="I48" i="73"/>
  <c r="I162" i="73"/>
  <c r="I171" i="73" s="1"/>
  <c r="I53" i="73"/>
  <c r="R15" i="8"/>
  <c r="R60" i="8"/>
  <c r="V60" i="8" s="1"/>
  <c r="N55" i="8"/>
  <c r="N67" i="8" s="1"/>
  <c r="R66" i="8"/>
  <c r="V66" i="8" s="1"/>
  <c r="N53" i="8"/>
  <c r="N63" i="8" s="1"/>
  <c r="N10" i="49" s="1"/>
  <c r="N12" i="49" s="1"/>
  <c r="R62" i="8"/>
  <c r="V62" i="8" s="1"/>
  <c r="N52" i="8"/>
  <c r="R56" i="8"/>
  <c r="I173" i="73"/>
  <c r="F10" i="49"/>
  <c r="F12" i="49" s="1"/>
  <c r="F122" i="7"/>
  <c r="F123" i="7" s="1"/>
  <c r="F121" i="7"/>
  <c r="Q110" i="73" l="1"/>
  <c r="AA110" i="73"/>
  <c r="BF374" i="28"/>
  <c r="BF375" i="28"/>
  <c r="BE373" i="28"/>
  <c r="AS378" i="28"/>
  <c r="AW236" i="28"/>
  <c r="BE236" i="28" s="1"/>
  <c r="AX374" i="28"/>
  <c r="AX375" i="28"/>
  <c r="AW373" i="28"/>
  <c r="AS373" i="28"/>
  <c r="AS371" i="28"/>
  <c r="AS370" i="28"/>
  <c r="AS379" i="28"/>
  <c r="AT374" i="28"/>
  <c r="AT375" i="28"/>
  <c r="AP62" i="28"/>
  <c r="AO373" i="28"/>
  <c r="AP374" i="28"/>
  <c r="AP375" i="28"/>
  <c r="AO371" i="28"/>
  <c r="AO370" i="28"/>
  <c r="AO379" i="28"/>
  <c r="AO378" i="28"/>
  <c r="Q23" i="73"/>
  <c r="Q113" i="73" s="1"/>
  <c r="Q115" i="73" s="1"/>
  <c r="M113" i="73"/>
  <c r="AA113" i="73" s="1"/>
  <c r="I113" i="73"/>
  <c r="I115" i="73" s="1"/>
  <c r="AF392" i="28"/>
  <c r="AJ360" i="28"/>
  <c r="AI371" i="28"/>
  <c r="AI370" i="28"/>
  <c r="AI379" i="28"/>
  <c r="AI378" i="28"/>
  <c r="AI373" i="28"/>
  <c r="AE162" i="73"/>
  <c r="U377" i="28"/>
  <c r="AB376" i="28"/>
  <c r="AF198" i="28"/>
  <c r="U378" i="28"/>
  <c r="AF241" i="28"/>
  <c r="AF380" i="28" s="1"/>
  <c r="AE371" i="28"/>
  <c r="AE370" i="28"/>
  <c r="AE379" i="28"/>
  <c r="AE378" i="28"/>
  <c r="AE373" i="28"/>
  <c r="AE173" i="73"/>
  <c r="Z84" i="28"/>
  <c r="AB84" i="28"/>
  <c r="AA373" i="28"/>
  <c r="Y383" i="28"/>
  <c r="AA300" i="28"/>
  <c r="AE300" i="28" s="1"/>
  <c r="AI300" i="28" s="1"/>
  <c r="AO300" i="28" s="1"/>
  <c r="AS300" i="28" s="1"/>
  <c r="AW300" i="28" s="1"/>
  <c r="BE300" i="28" s="1"/>
  <c r="Y382" i="28"/>
  <c r="Y375" i="28"/>
  <c r="AA186" i="28"/>
  <c r="AA378" i="28"/>
  <c r="AA371" i="28"/>
  <c r="AA370" i="28"/>
  <c r="AA379" i="28"/>
  <c r="R63" i="8"/>
  <c r="V63" i="8" s="1"/>
  <c r="V70" i="8" s="1"/>
  <c r="V56" i="8"/>
  <c r="N59" i="8"/>
  <c r="N57" i="8"/>
  <c r="R67" i="8"/>
  <c r="V67" i="8" s="1"/>
  <c r="V72" i="8" s="1"/>
  <c r="U383" i="28"/>
  <c r="U382" i="28"/>
  <c r="Q173" i="73"/>
  <c r="AE105" i="73"/>
  <c r="AE98" i="73"/>
  <c r="AI98" i="73" s="1"/>
  <c r="AO98" i="73" s="1"/>
  <c r="AS98" i="73" s="1"/>
  <c r="AW98" i="73" s="1"/>
  <c r="BE98" i="73" s="1"/>
  <c r="U98" i="73"/>
  <c r="U58" i="73"/>
  <c r="AE58" i="73"/>
  <c r="AI58" i="73" s="1"/>
  <c r="AO58" i="73" s="1"/>
  <c r="AS58" i="73" s="1"/>
  <c r="AW58" i="73" s="1"/>
  <c r="BE58" i="73" s="1"/>
  <c r="AE110" i="73"/>
  <c r="AI110" i="73" s="1"/>
  <c r="AO110" i="73" s="1"/>
  <c r="AS110" i="73" s="1"/>
  <c r="AW110" i="73" s="1"/>
  <c r="BE110" i="73" s="1"/>
  <c r="U110" i="73"/>
  <c r="AE53" i="73"/>
  <c r="AI53" i="73" s="1"/>
  <c r="AO53" i="73" s="1"/>
  <c r="AS53" i="73" s="1"/>
  <c r="AW53" i="73" s="1"/>
  <c r="BE53" i="73" s="1"/>
  <c r="U53" i="73"/>
  <c r="U34" i="73"/>
  <c r="AE34" i="73"/>
  <c r="AI34" i="73" s="1"/>
  <c r="AO34" i="73" s="1"/>
  <c r="AS34" i="73" s="1"/>
  <c r="AW34" i="73" s="1"/>
  <c r="BE34" i="73" s="1"/>
  <c r="Q162" i="73"/>
  <c r="U65" i="73"/>
  <c r="AE65" i="73"/>
  <c r="AI65" i="73" s="1"/>
  <c r="AO65" i="73" s="1"/>
  <c r="AS65" i="73" s="1"/>
  <c r="AW65" i="73" s="1"/>
  <c r="BE65" i="73" s="1"/>
  <c r="AE48" i="73"/>
  <c r="AI48" i="73" s="1"/>
  <c r="AO48" i="73" s="1"/>
  <c r="AS48" i="73" s="1"/>
  <c r="AW48" i="73" s="1"/>
  <c r="BE48" i="73" s="1"/>
  <c r="U48" i="73"/>
  <c r="R34" i="8"/>
  <c r="V34" i="8" s="1"/>
  <c r="R33" i="8"/>
  <c r="V33" i="8" s="1"/>
  <c r="R53" i="8"/>
  <c r="V53" i="8" s="1"/>
  <c r="R35" i="8"/>
  <c r="V35" i="8" s="1"/>
  <c r="R52" i="8"/>
  <c r="R55" i="8"/>
  <c r="V55" i="8" s="1"/>
  <c r="M15" i="15"/>
  <c r="F124" i="7"/>
  <c r="F126" i="7" s="1"/>
  <c r="U23" i="73" l="1"/>
  <c r="R59" i="8"/>
  <c r="V59" i="8" s="1"/>
  <c r="AB59" i="8"/>
  <c r="BE371" i="28"/>
  <c r="BE370" i="28"/>
  <c r="BE379" i="28"/>
  <c r="BE378" i="28"/>
  <c r="BE383" i="28"/>
  <c r="BE382" i="28"/>
  <c r="AW379" i="28"/>
  <c r="AW370" i="28"/>
  <c r="AW371" i="28"/>
  <c r="AW378" i="28"/>
  <c r="AW383" i="28"/>
  <c r="AW382" i="28"/>
  <c r="AS383" i="28"/>
  <c r="AS382" i="28"/>
  <c r="AT62" i="28"/>
  <c r="AX62" i="28" s="1"/>
  <c r="BF62" i="28" s="1"/>
  <c r="BF391" i="28" s="1"/>
  <c r="AO383" i="28"/>
  <c r="AO382" i="28"/>
  <c r="AJ392" i="28"/>
  <c r="AP360" i="28"/>
  <c r="AE23" i="73"/>
  <c r="AI173" i="73"/>
  <c r="AO173" i="73" s="1"/>
  <c r="AS173" i="73" s="1"/>
  <c r="AW173" i="73" s="1"/>
  <c r="BE173" i="73" s="1"/>
  <c r="AE104" i="73"/>
  <c r="AI105" i="73"/>
  <c r="AE171" i="73"/>
  <c r="AI162" i="73"/>
  <c r="AF376" i="28"/>
  <c r="AJ198" i="28"/>
  <c r="AJ241" i="28"/>
  <c r="AJ380" i="28" s="1"/>
  <c r="AI383" i="28"/>
  <c r="AI382" i="28"/>
  <c r="AE383" i="28"/>
  <c r="AE382" i="28"/>
  <c r="AA375" i="28"/>
  <c r="AE186" i="28"/>
  <c r="AI186" i="28" s="1"/>
  <c r="AO186" i="28" s="1"/>
  <c r="AS186" i="28" s="1"/>
  <c r="AW186" i="28" s="1"/>
  <c r="BE186" i="28" s="1"/>
  <c r="V52" i="8"/>
  <c r="U173" i="73"/>
  <c r="R10" i="49"/>
  <c r="R12" i="49" s="1"/>
  <c r="R70" i="8"/>
  <c r="AA374" i="28"/>
  <c r="AA383" i="28"/>
  <c r="AA382" i="28"/>
  <c r="U162" i="73"/>
  <c r="U171" i="73" s="1"/>
  <c r="Q171" i="73"/>
  <c r="V10" i="49"/>
  <c r="V12" i="49" s="1"/>
  <c r="N61" i="8"/>
  <c r="R61" i="8" s="1"/>
  <c r="V61" i="8" s="1"/>
  <c r="R57" i="8"/>
  <c r="V57" i="8" s="1"/>
  <c r="R72" i="8"/>
  <c r="M16" i="15"/>
  <c r="Q15" i="15"/>
  <c r="AA15" i="15"/>
  <c r="AE15" i="15" s="1"/>
  <c r="U105" i="73"/>
  <c r="U104" i="73" s="1"/>
  <c r="U113" i="73" s="1"/>
  <c r="U115" i="73" s="1"/>
  <c r="I15" i="15"/>
  <c r="I16" i="15" s="1"/>
  <c r="BE375" i="28" l="1"/>
  <c r="BE374" i="28"/>
  <c r="AW375" i="28"/>
  <c r="AW374" i="28"/>
  <c r="AS375" i="28"/>
  <c r="AS374" i="28"/>
  <c r="AP392" i="28"/>
  <c r="AT360" i="28"/>
  <c r="AP241" i="28"/>
  <c r="AP380" i="28" s="1"/>
  <c r="AJ376" i="28"/>
  <c r="AP198" i="28"/>
  <c r="BD376" i="28" s="1"/>
  <c r="AO375" i="28"/>
  <c r="AO374" i="28"/>
  <c r="AI104" i="73"/>
  <c r="AO104" i="73" s="1"/>
  <c r="AO105" i="73"/>
  <c r="AS105" i="73" s="1"/>
  <c r="AI171" i="73"/>
  <c r="AO171" i="73" s="1"/>
  <c r="AO162" i="73"/>
  <c r="AS162" i="73" s="1"/>
  <c r="AI23" i="73"/>
  <c r="AE113" i="73"/>
  <c r="AE115" i="73" s="1"/>
  <c r="AI15" i="15"/>
  <c r="AI375" i="28"/>
  <c r="AI374" i="28"/>
  <c r="AE375" i="28"/>
  <c r="AE374" i="28"/>
  <c r="V69" i="8"/>
  <c r="V68" i="8"/>
  <c r="Q16" i="15"/>
  <c r="U15" i="15"/>
  <c r="U16" i="15" s="1"/>
  <c r="R69" i="8"/>
  <c r="R68" i="8"/>
  <c r="D133" i="6"/>
  <c r="D127" i="6"/>
  <c r="D121" i="6"/>
  <c r="D114" i="6"/>
  <c r="D109" i="6"/>
  <c r="D97" i="6"/>
  <c r="D92" i="6"/>
  <c r="D73" i="6"/>
  <c r="D65" i="6"/>
  <c r="D62" i="6"/>
  <c r="D37" i="6"/>
  <c r="D12" i="6"/>
  <c r="D13" i="6"/>
  <c r="E159" i="6"/>
  <c r="F186" i="6"/>
  <c r="N186" i="6" s="1"/>
  <c r="F185" i="6"/>
  <c r="E185" i="6"/>
  <c r="F184" i="6"/>
  <c r="E184" i="6"/>
  <c r="F160" i="6"/>
  <c r="N160" i="6" s="1"/>
  <c r="F159" i="6"/>
  <c r="F135" i="6"/>
  <c r="N135" i="6" s="1"/>
  <c r="F134" i="6"/>
  <c r="N134" i="6" s="1"/>
  <c r="N133" i="6"/>
  <c r="E133" i="6"/>
  <c r="M133" i="6" s="1"/>
  <c r="F130" i="6"/>
  <c r="N130" i="6" s="1"/>
  <c r="AB130" i="6" s="1"/>
  <c r="AF130" i="6" s="1"/>
  <c r="E130" i="6"/>
  <c r="F127" i="6"/>
  <c r="N127" i="6" s="1"/>
  <c r="AB127" i="6" s="1"/>
  <c r="AF127" i="6" s="1"/>
  <c r="E127" i="6"/>
  <c r="M127" i="6" s="1"/>
  <c r="N125" i="6"/>
  <c r="AB125" i="6" s="1"/>
  <c r="AF125" i="6" s="1"/>
  <c r="M125" i="6"/>
  <c r="N124" i="6"/>
  <c r="AB124" i="6" s="1"/>
  <c r="AF124" i="6" s="1"/>
  <c r="M124" i="6"/>
  <c r="N122" i="6"/>
  <c r="AB122" i="6" s="1"/>
  <c r="AF122" i="6" s="1"/>
  <c r="M122" i="6"/>
  <c r="F121" i="6"/>
  <c r="N121" i="6" s="1"/>
  <c r="AB121" i="6" s="1"/>
  <c r="AF121" i="6" s="1"/>
  <c r="E121" i="6"/>
  <c r="M121" i="6" s="1"/>
  <c r="F114" i="6"/>
  <c r="E114" i="6"/>
  <c r="F109" i="6"/>
  <c r="E109" i="6"/>
  <c r="F97" i="6"/>
  <c r="E97" i="6"/>
  <c r="F92" i="6"/>
  <c r="E92" i="6"/>
  <c r="F73" i="6"/>
  <c r="E73" i="6"/>
  <c r="F65" i="6"/>
  <c r="E65" i="6"/>
  <c r="F62" i="6"/>
  <c r="E62" i="6"/>
  <c r="E37" i="6"/>
  <c r="F28" i="6"/>
  <c r="F25" i="6"/>
  <c r="F22" i="6"/>
  <c r="E14" i="6"/>
  <c r="M14" i="6" s="1"/>
  <c r="AT392" i="28" l="1"/>
  <c r="AX360" i="28"/>
  <c r="AS171" i="73"/>
  <c r="AW162" i="73"/>
  <c r="AS104" i="73"/>
  <c r="AW105" i="73"/>
  <c r="AJ121" i="6"/>
  <c r="AF126" i="6"/>
  <c r="AT241" i="28"/>
  <c r="AT380" i="28" s="1"/>
  <c r="AJ124" i="6"/>
  <c r="AJ122" i="6"/>
  <c r="AJ125" i="6"/>
  <c r="AJ130" i="6"/>
  <c r="AJ127" i="6"/>
  <c r="AF131" i="6"/>
  <c r="AP376" i="28"/>
  <c r="AT198" i="28"/>
  <c r="AI113" i="73"/>
  <c r="AI115" i="73" s="1"/>
  <c r="AO23" i="73"/>
  <c r="AO15" i="15"/>
  <c r="AS15" i="15" s="1"/>
  <c r="AW15" i="15" s="1"/>
  <c r="BE15" i="15" s="1"/>
  <c r="Q122" i="6"/>
  <c r="U122" i="6" s="1"/>
  <c r="AA122" i="6"/>
  <c r="AE122" i="6" s="1"/>
  <c r="AI122" i="6" s="1"/>
  <c r="Q121" i="6"/>
  <c r="U121" i="6" s="1"/>
  <c r="AA121" i="6"/>
  <c r="AE121" i="6" s="1"/>
  <c r="Q127" i="6"/>
  <c r="U127" i="6" s="1"/>
  <c r="AA127" i="6"/>
  <c r="AE127" i="6" s="1"/>
  <c r="AI127" i="6" s="1"/>
  <c r="Q133" i="6"/>
  <c r="U133" i="6" s="1"/>
  <c r="AA133" i="6"/>
  <c r="AE133" i="6" s="1"/>
  <c r="AI133" i="6" s="1"/>
  <c r="Q125" i="6"/>
  <c r="U125" i="6" s="1"/>
  <c r="AA125" i="6"/>
  <c r="AE125" i="6" s="1"/>
  <c r="AI125" i="6" s="1"/>
  <c r="Q124" i="6"/>
  <c r="U124" i="6" s="1"/>
  <c r="AA124" i="6"/>
  <c r="AE124" i="6" s="1"/>
  <c r="AI124" i="6" s="1"/>
  <c r="R134" i="6"/>
  <c r="V134" i="6" s="1"/>
  <c r="AB134" i="6"/>
  <c r="AF134" i="6" s="1"/>
  <c r="R125" i="6"/>
  <c r="V125" i="6" s="1"/>
  <c r="R130" i="6"/>
  <c r="V130" i="6" s="1"/>
  <c r="R135" i="6"/>
  <c r="V135" i="6" s="1"/>
  <c r="AB135" i="6"/>
  <c r="AF135" i="6" s="1"/>
  <c r="R121" i="6"/>
  <c r="V121" i="6" s="1"/>
  <c r="R124" i="6"/>
  <c r="V124" i="6" s="1"/>
  <c r="R127" i="6"/>
  <c r="V127" i="6" s="1"/>
  <c r="R133" i="6"/>
  <c r="V133" i="6" s="1"/>
  <c r="AB133" i="6"/>
  <c r="AF133" i="6" s="1"/>
  <c r="R122" i="6"/>
  <c r="M130" i="6"/>
  <c r="D131" i="6"/>
  <c r="Q14" i="6"/>
  <c r="N17" i="6"/>
  <c r="F30" i="6"/>
  <c r="N18" i="6"/>
  <c r="E7" i="6"/>
  <c r="F115" i="6"/>
  <c r="F119" i="6" s="1"/>
  <c r="F191" i="6"/>
  <c r="D156" i="6"/>
  <c r="E11" i="6"/>
  <c r="D11" i="6"/>
  <c r="E13" i="6"/>
  <c r="M13" i="6" s="1"/>
  <c r="F131" i="6"/>
  <c r="D126" i="6"/>
  <c r="F126" i="6"/>
  <c r="D7" i="6"/>
  <c r="D14" i="6"/>
  <c r="D23" i="6"/>
  <c r="D98" i="6"/>
  <c r="D102" i="6" s="1"/>
  <c r="D115" i="6"/>
  <c r="D119" i="6" s="1"/>
  <c r="D165" i="6" s="1"/>
  <c r="D161" i="6"/>
  <c r="D26" i="6"/>
  <c r="D20" i="6"/>
  <c r="D17" i="6"/>
  <c r="E126" i="6"/>
  <c r="E27" i="6"/>
  <c r="M27" i="6" s="1"/>
  <c r="E24" i="6"/>
  <c r="M24" i="6" s="1"/>
  <c r="E21" i="6"/>
  <c r="M21" i="6" s="1"/>
  <c r="E181" i="6"/>
  <c r="E18" i="6"/>
  <c r="M18" i="6" s="1"/>
  <c r="F98" i="6"/>
  <c r="F102" i="6" s="1"/>
  <c r="E131" i="6"/>
  <c r="E12" i="6"/>
  <c r="E98" i="6"/>
  <c r="E102" i="6" s="1"/>
  <c r="E143" i="6" s="1"/>
  <c r="E115" i="6"/>
  <c r="E119" i="6" s="1"/>
  <c r="E168" i="6" s="1"/>
  <c r="F19" i="6"/>
  <c r="F29" i="6"/>
  <c r="AW104" i="73" l="1"/>
  <c r="BE105" i="73"/>
  <c r="BE104" i="73" s="1"/>
  <c r="AW171" i="73"/>
  <c r="BE162" i="73"/>
  <c r="BE171" i="73" s="1"/>
  <c r="AX392" i="28"/>
  <c r="BF360" i="28"/>
  <c r="BF392" i="28" s="1"/>
  <c r="AT376" i="28"/>
  <c r="AX198" i="28"/>
  <c r="AX241" i="28"/>
  <c r="AX380" i="28" s="1"/>
  <c r="R131" i="6"/>
  <c r="AP122" i="6"/>
  <c r="AJ135" i="6"/>
  <c r="AJ134" i="6"/>
  <c r="AO125" i="6"/>
  <c r="AO127" i="6"/>
  <c r="AO122" i="6"/>
  <c r="AP130" i="6"/>
  <c r="AP127" i="6"/>
  <c r="AJ131" i="6"/>
  <c r="AP125" i="6"/>
  <c r="AP124" i="6"/>
  <c r="AF132" i="6"/>
  <c r="AJ133" i="6"/>
  <c r="AO124" i="6"/>
  <c r="AO133" i="6"/>
  <c r="AI121" i="6"/>
  <c r="AE126" i="6"/>
  <c r="AP121" i="6"/>
  <c r="AJ126" i="6"/>
  <c r="AO113" i="73"/>
  <c r="AS23" i="73"/>
  <c r="Q126" i="6"/>
  <c r="Q130" i="6"/>
  <c r="U130" i="6" s="1"/>
  <c r="U131" i="6" s="1"/>
  <c r="AA130" i="6"/>
  <c r="AE130" i="6" s="1"/>
  <c r="Q131" i="6"/>
  <c r="Q132" i="6" s="1"/>
  <c r="Q136" i="6" s="1"/>
  <c r="F140" i="6"/>
  <c r="F168" i="6"/>
  <c r="V122" i="6"/>
  <c r="V126" i="6" s="1"/>
  <c r="R126" i="6"/>
  <c r="U126" i="6"/>
  <c r="D132" i="6"/>
  <c r="D136" i="6" s="1"/>
  <c r="D202" i="6" s="1"/>
  <c r="N30" i="6"/>
  <c r="R30" i="6" s="1"/>
  <c r="V30" i="6" s="1"/>
  <c r="Q181" i="6"/>
  <c r="U14" i="6"/>
  <c r="U181" i="6" s="1"/>
  <c r="Q13" i="6"/>
  <c r="Q15" i="6" s="1"/>
  <c r="Q80" i="6" s="1"/>
  <c r="Q21" i="6"/>
  <c r="U21" i="6" s="1"/>
  <c r="N153" i="6"/>
  <c r="Q18" i="6"/>
  <c r="U18" i="6" s="1"/>
  <c r="Q24" i="6"/>
  <c r="U24" i="6" s="1"/>
  <c r="Q27" i="6"/>
  <c r="U27" i="6" s="1"/>
  <c r="N152" i="6"/>
  <c r="N151" i="6"/>
  <c r="V131" i="6"/>
  <c r="N174" i="6"/>
  <c r="R18" i="6"/>
  <c r="N149" i="6"/>
  <c r="R17" i="6"/>
  <c r="N177" i="6"/>
  <c r="N179" i="6"/>
  <c r="N178" i="6"/>
  <c r="N176" i="6"/>
  <c r="N175" i="6"/>
  <c r="F31" i="6"/>
  <c r="N29" i="6"/>
  <c r="N150" i="6"/>
  <c r="N154" i="6"/>
  <c r="E15" i="6"/>
  <c r="E17" i="6"/>
  <c r="E156" i="6"/>
  <c r="E23" i="6"/>
  <c r="E20" i="6"/>
  <c r="E26" i="6"/>
  <c r="F166" i="6"/>
  <c r="I22" i="59" s="1"/>
  <c r="F165" i="6"/>
  <c r="F132" i="6"/>
  <c r="E132" i="6"/>
  <c r="E136" i="6" s="1"/>
  <c r="D143" i="6"/>
  <c r="D141" i="6"/>
  <c r="D181" i="6"/>
  <c r="D21" i="6"/>
  <c r="D22" i="6" s="1"/>
  <c r="D18" i="6"/>
  <c r="D19" i="6" s="1"/>
  <c r="D24" i="6"/>
  <c r="D25" i="6" s="1"/>
  <c r="D27" i="6"/>
  <c r="D28" i="6" s="1"/>
  <c r="D187" i="6"/>
  <c r="D15" i="6"/>
  <c r="D29" i="6"/>
  <c r="D168" i="6"/>
  <c r="D166" i="6"/>
  <c r="D167" i="6" s="1"/>
  <c r="D140" i="6"/>
  <c r="E141" i="6"/>
  <c r="E165" i="6"/>
  <c r="F143" i="6"/>
  <c r="E140" i="6"/>
  <c r="E30" i="6"/>
  <c r="M30" i="6" s="1"/>
  <c r="F141" i="6"/>
  <c r="E166" i="6"/>
  <c r="BF241" i="28" l="1"/>
  <c r="BF380" i="28" s="1"/>
  <c r="AX376" i="28"/>
  <c r="BF198" i="28"/>
  <c r="BF376" i="28" s="1"/>
  <c r="R132" i="6"/>
  <c r="AS113" i="73"/>
  <c r="AS115" i="73" s="1"/>
  <c r="AW23" i="73"/>
  <c r="AJ132" i="6"/>
  <c r="AJ136" i="6" s="1"/>
  <c r="AE131" i="6"/>
  <c r="AE132" i="6" s="1"/>
  <c r="AE136" i="6" s="1"/>
  <c r="AE202" i="6" s="1"/>
  <c r="AI130" i="6"/>
  <c r="AS133" i="6"/>
  <c r="AP133" i="6"/>
  <c r="AT127" i="6"/>
  <c r="AX127" i="6" s="1"/>
  <c r="AP131" i="6"/>
  <c r="AS122" i="6"/>
  <c r="AW122" i="6" s="1"/>
  <c r="AS125" i="6"/>
  <c r="AW125" i="6" s="1"/>
  <c r="BE125" i="6" s="1"/>
  <c r="AP135" i="6"/>
  <c r="AT121" i="6"/>
  <c r="AX121" i="6" s="1"/>
  <c r="AP126" i="6"/>
  <c r="AF136" i="6"/>
  <c r="AF192" i="6" s="1"/>
  <c r="AT125" i="6"/>
  <c r="AX125" i="6" s="1"/>
  <c r="AT124" i="6"/>
  <c r="AX124" i="6" s="1"/>
  <c r="AO121" i="6"/>
  <c r="AI126" i="6"/>
  <c r="AS124" i="6"/>
  <c r="AW124" i="6" s="1"/>
  <c r="AT130" i="6"/>
  <c r="AX130" i="6" s="1"/>
  <c r="AS127" i="6"/>
  <c r="AW127" i="6" s="1"/>
  <c r="AP134" i="6"/>
  <c r="AT122" i="6"/>
  <c r="AX122" i="6" s="1"/>
  <c r="R150" i="6"/>
  <c r="R151" i="6"/>
  <c r="R154" i="6"/>
  <c r="R152" i="6"/>
  <c r="R153" i="6"/>
  <c r="U132" i="6"/>
  <c r="U136" i="6" s="1"/>
  <c r="U204" i="6" s="1"/>
  <c r="V132" i="6"/>
  <c r="D208" i="6"/>
  <c r="D211" i="6" s="1"/>
  <c r="Q198" i="6"/>
  <c r="Q204" i="6"/>
  <c r="Q203" i="6"/>
  <c r="Q196" i="6"/>
  <c r="Q197" i="6"/>
  <c r="Q202" i="6"/>
  <c r="Q208" i="6"/>
  <c r="Q211" i="6" s="1"/>
  <c r="Q200" i="6"/>
  <c r="Q205" i="6"/>
  <c r="D196" i="6"/>
  <c r="Q199" i="6"/>
  <c r="R136" i="6"/>
  <c r="R192" i="6" s="1"/>
  <c r="F142" i="6"/>
  <c r="I15" i="59"/>
  <c r="E204" i="6"/>
  <c r="E200" i="6"/>
  <c r="E199" i="6"/>
  <c r="E203" i="6"/>
  <c r="E197" i="6"/>
  <c r="E198" i="6"/>
  <c r="E205" i="6"/>
  <c r="D198" i="6"/>
  <c r="D203" i="6"/>
  <c r="D197" i="6"/>
  <c r="D200" i="6"/>
  <c r="D205" i="6"/>
  <c r="D204" i="6"/>
  <c r="D199" i="6"/>
  <c r="Q156" i="6"/>
  <c r="U13" i="6"/>
  <c r="U156" i="6" s="1"/>
  <c r="Q30" i="6"/>
  <c r="U30" i="6" s="1"/>
  <c r="R29" i="6"/>
  <c r="V29" i="6" s="1"/>
  <c r="V31" i="6" s="1"/>
  <c r="Q77" i="6"/>
  <c r="U208" i="6"/>
  <c r="U211" i="6" s="1"/>
  <c r="R149" i="6"/>
  <c r="R175" i="6"/>
  <c r="R174" i="6"/>
  <c r="V18" i="6"/>
  <c r="R176" i="6"/>
  <c r="V17" i="6"/>
  <c r="R19" i="6"/>
  <c r="R178" i="6"/>
  <c r="R179" i="6"/>
  <c r="R177" i="6"/>
  <c r="D80" i="6"/>
  <c r="E80" i="6"/>
  <c r="E25" i="6"/>
  <c r="M23" i="6"/>
  <c r="E22" i="6"/>
  <c r="M20" i="6"/>
  <c r="E28" i="6"/>
  <c r="M26" i="6"/>
  <c r="E19" i="6"/>
  <c r="M17" i="6"/>
  <c r="E29" i="6"/>
  <c r="F136" i="6"/>
  <c r="F198" i="6" s="1"/>
  <c r="E77" i="6"/>
  <c r="E202" i="6"/>
  <c r="D77" i="6"/>
  <c r="F167" i="6"/>
  <c r="E196" i="6"/>
  <c r="E208" i="6"/>
  <c r="E211" i="6" s="1"/>
  <c r="D142" i="6"/>
  <c r="D30" i="6"/>
  <c r="D31" i="6" s="1"/>
  <c r="E142" i="6"/>
  <c r="E167" i="6"/>
  <c r="AW113" i="73" l="1"/>
  <c r="AW115" i="73" s="1"/>
  <c r="BE23" i="73"/>
  <c r="AE196" i="6"/>
  <c r="AE204" i="6"/>
  <c r="AE205" i="6"/>
  <c r="AE200" i="6"/>
  <c r="AE199" i="6"/>
  <c r="BF122" i="6"/>
  <c r="BF124" i="6"/>
  <c r="BE127" i="6"/>
  <c r="BF125" i="6"/>
  <c r="BE122" i="6"/>
  <c r="BF130" i="6"/>
  <c r="AE208" i="6"/>
  <c r="AE211" i="6" s="1"/>
  <c r="AE198" i="6"/>
  <c r="BE124" i="6"/>
  <c r="AP132" i="6"/>
  <c r="AP136" i="6" s="1"/>
  <c r="BF127" i="6"/>
  <c r="AX131" i="6"/>
  <c r="AE197" i="6"/>
  <c r="AE203" i="6"/>
  <c r="BF121" i="6"/>
  <c r="AX126" i="6"/>
  <c r="AJ210" i="6"/>
  <c r="AJ192" i="6"/>
  <c r="AJ209" i="6"/>
  <c r="AJ208" i="6"/>
  <c r="AT135" i="6"/>
  <c r="AO130" i="6"/>
  <c r="AI131" i="6"/>
  <c r="AI132" i="6" s="1"/>
  <c r="AI136" i="6" s="1"/>
  <c r="AS121" i="6"/>
  <c r="AW121" i="6" s="1"/>
  <c r="AO126" i="6"/>
  <c r="AT133" i="6"/>
  <c r="AT126" i="6"/>
  <c r="AT134" i="6"/>
  <c r="AF198" i="6"/>
  <c r="AF204" i="6"/>
  <c r="AF203" i="6"/>
  <c r="AF197" i="6"/>
  <c r="AF205" i="6"/>
  <c r="AF196" i="6"/>
  <c r="AF199" i="6"/>
  <c r="AF200" i="6"/>
  <c r="AF202" i="6"/>
  <c r="AF209" i="6"/>
  <c r="AF210" i="6"/>
  <c r="AF208" i="6"/>
  <c r="AT131" i="6"/>
  <c r="AJ198" i="6"/>
  <c r="AJ204" i="6"/>
  <c r="AJ203" i="6"/>
  <c r="AJ202" i="6"/>
  <c r="AJ199" i="6"/>
  <c r="AJ197" i="6"/>
  <c r="AJ205" i="6"/>
  <c r="AJ196" i="6"/>
  <c r="AJ200" i="6"/>
  <c r="V150" i="6"/>
  <c r="U199" i="6"/>
  <c r="U203" i="6"/>
  <c r="U205" i="6"/>
  <c r="U198" i="6"/>
  <c r="U202" i="6"/>
  <c r="U200" i="6"/>
  <c r="U197" i="6"/>
  <c r="U196" i="6"/>
  <c r="V152" i="6"/>
  <c r="Y18" i="59" s="1"/>
  <c r="V151" i="6"/>
  <c r="Y17" i="59" s="1"/>
  <c r="R191" i="6"/>
  <c r="V149" i="6"/>
  <c r="V154" i="6"/>
  <c r="Y20" i="59" s="1"/>
  <c r="R198" i="6"/>
  <c r="R204" i="6"/>
  <c r="R203" i="6"/>
  <c r="R196" i="6"/>
  <c r="R205" i="6"/>
  <c r="R199" i="6"/>
  <c r="R208" i="6"/>
  <c r="R209" i="6"/>
  <c r="R210" i="6"/>
  <c r="R202" i="6"/>
  <c r="R200" i="6"/>
  <c r="R197" i="6"/>
  <c r="V153" i="6"/>
  <c r="Y19" i="59" s="1"/>
  <c r="V136" i="6"/>
  <c r="Q206" i="6"/>
  <c r="Q201" i="6"/>
  <c r="V176" i="6"/>
  <c r="Y24" i="59" s="1"/>
  <c r="D206" i="6"/>
  <c r="G11" i="59" s="1"/>
  <c r="D201" i="6"/>
  <c r="F192" i="6"/>
  <c r="U15" i="6"/>
  <c r="F204" i="6"/>
  <c r="R31" i="6"/>
  <c r="Q17" i="6"/>
  <c r="Q19" i="6" s="1"/>
  <c r="Q20" i="6"/>
  <c r="Q22" i="6" s="1"/>
  <c r="Q23" i="6"/>
  <c r="Q25" i="6" s="1"/>
  <c r="Q26" i="6"/>
  <c r="Q28" i="6" s="1"/>
  <c r="F199" i="6"/>
  <c r="F202" i="6"/>
  <c r="F197" i="6"/>
  <c r="F190" i="6"/>
  <c r="V177" i="6"/>
  <c r="Y25" i="59" s="1"/>
  <c r="V174" i="6"/>
  <c r="V175" i="6"/>
  <c r="V19" i="6"/>
  <c r="V179" i="6"/>
  <c r="Y27" i="59" s="1"/>
  <c r="V178" i="6"/>
  <c r="Y26" i="59" s="1"/>
  <c r="F196" i="6"/>
  <c r="F208" i="6"/>
  <c r="F210" i="6"/>
  <c r="F209" i="6"/>
  <c r="E31" i="6"/>
  <c r="M29" i="6"/>
  <c r="E206" i="6"/>
  <c r="F205" i="6"/>
  <c r="F203" i="6"/>
  <c r="F200" i="6"/>
  <c r="E201" i="6"/>
  <c r="BE113" i="73" l="1"/>
  <c r="BE115" i="73" s="1"/>
  <c r="BB11" i="59"/>
  <c r="AE206" i="6"/>
  <c r="AP208" i="6"/>
  <c r="AP209" i="6"/>
  <c r="AE201" i="6"/>
  <c r="AE207" i="6" s="1"/>
  <c r="AE212" i="6" s="1"/>
  <c r="AJ206" i="6"/>
  <c r="AM11" i="59" s="1"/>
  <c r="BE121" i="6"/>
  <c r="AW126" i="6"/>
  <c r="AJ201" i="6"/>
  <c r="AX132" i="6"/>
  <c r="BF131" i="6"/>
  <c r="AZ11" i="59"/>
  <c r="AX11" i="59"/>
  <c r="AJ211" i="6"/>
  <c r="BF126" i="6"/>
  <c r="AI202" i="6"/>
  <c r="AI204" i="6"/>
  <c r="AI198" i="6"/>
  <c r="AI203" i="6"/>
  <c r="AI200" i="6"/>
  <c r="AI199" i="6"/>
  <c r="AI197" i="6"/>
  <c r="AI208" i="6"/>
  <c r="AI211" i="6" s="1"/>
  <c r="AI196" i="6"/>
  <c r="AI205" i="6"/>
  <c r="U201" i="6"/>
  <c r="AS130" i="6"/>
  <c r="AW130" i="6" s="1"/>
  <c r="AO131" i="6"/>
  <c r="AV11" i="59"/>
  <c r="AT11" i="59"/>
  <c r="AF201" i="6"/>
  <c r="AP210" i="6"/>
  <c r="AS126" i="6"/>
  <c r="AF206" i="6"/>
  <c r="AI11" i="59" s="1"/>
  <c r="AT132" i="6"/>
  <c r="AT136" i="6" s="1"/>
  <c r="AT209" i="6" s="1"/>
  <c r="AP192" i="6"/>
  <c r="AP198" i="6"/>
  <c r="AP204" i="6"/>
  <c r="AP203" i="6"/>
  <c r="AP205" i="6"/>
  <c r="AP197" i="6"/>
  <c r="AP199" i="6"/>
  <c r="AP202" i="6"/>
  <c r="AP196" i="6"/>
  <c r="AP200" i="6"/>
  <c r="AF211" i="6"/>
  <c r="AO132" i="6"/>
  <c r="AO136" i="6" s="1"/>
  <c r="AO205" i="6" s="1"/>
  <c r="AP11" i="59"/>
  <c r="AR11" i="59"/>
  <c r="AN11" i="59"/>
  <c r="AL11" i="59"/>
  <c r="AJ11" i="59"/>
  <c r="AH11" i="59"/>
  <c r="AF11" i="59"/>
  <c r="U206" i="6"/>
  <c r="AD11" i="59"/>
  <c r="Z11" i="59"/>
  <c r="AB11" i="59"/>
  <c r="R211" i="6"/>
  <c r="R206" i="6"/>
  <c r="U11" i="59" s="1"/>
  <c r="V191" i="6"/>
  <c r="R201" i="6"/>
  <c r="V197" i="6"/>
  <c r="V210" i="6"/>
  <c r="V209" i="6"/>
  <c r="V208" i="6"/>
  <c r="V205" i="6"/>
  <c r="V204" i="6"/>
  <c r="V203" i="6"/>
  <c r="V202" i="6"/>
  <c r="V200" i="6"/>
  <c r="V199" i="6"/>
  <c r="V198" i="6"/>
  <c r="V196" i="6"/>
  <c r="V192" i="6"/>
  <c r="Q207" i="6"/>
  <c r="Q212" i="6" s="1"/>
  <c r="R11" i="59"/>
  <c r="X11" i="59"/>
  <c r="V11" i="59"/>
  <c r="D207" i="6"/>
  <c r="D212" i="6" s="1"/>
  <c r="N11" i="59"/>
  <c r="L11" i="59"/>
  <c r="P11" i="59"/>
  <c r="J11" i="59"/>
  <c r="T11" i="59"/>
  <c r="H11" i="59"/>
  <c r="U17" i="6"/>
  <c r="U19" i="6" s="1"/>
  <c r="U77" i="6"/>
  <c r="U80" i="6"/>
  <c r="F211" i="6"/>
  <c r="U20" i="6"/>
  <c r="U22" i="6" s="1"/>
  <c r="U23" i="6"/>
  <c r="U25" i="6" s="1"/>
  <c r="U26" i="6"/>
  <c r="U28" i="6" s="1"/>
  <c r="Q29" i="6"/>
  <c r="U29" i="6" s="1"/>
  <c r="U31" i="6" s="1"/>
  <c r="F201" i="6"/>
  <c r="F206" i="6"/>
  <c r="I11" i="59" s="1"/>
  <c r="E207" i="6"/>
  <c r="E212" i="6" s="1"/>
  <c r="AP211" i="6" l="1"/>
  <c r="R207" i="6"/>
  <c r="AJ207" i="6"/>
  <c r="AJ9" i="36" s="1"/>
  <c r="AM10" i="59" s="1"/>
  <c r="BF132" i="6"/>
  <c r="AX136" i="6"/>
  <c r="AX192" i="6"/>
  <c r="AP201" i="6"/>
  <c r="BE126" i="6"/>
  <c r="BE130" i="6"/>
  <c r="AW131" i="6"/>
  <c r="AW132" i="6" s="1"/>
  <c r="AW136" i="6" s="1"/>
  <c r="AT208" i="6"/>
  <c r="AT210" i="6"/>
  <c r="AT211" i="6" s="1"/>
  <c r="AP206" i="6"/>
  <c r="AS11" i="59" s="1"/>
  <c r="AT192" i="6"/>
  <c r="AT198" i="6"/>
  <c r="AT204" i="6"/>
  <c r="AT203" i="6"/>
  <c r="AT205" i="6"/>
  <c r="AT199" i="6"/>
  <c r="AT197" i="6"/>
  <c r="AT200" i="6"/>
  <c r="AT196" i="6"/>
  <c r="AT202" i="6"/>
  <c r="AF207" i="6"/>
  <c r="U207" i="6"/>
  <c r="U212" i="6" s="1"/>
  <c r="AO198" i="6"/>
  <c r="AO204" i="6"/>
  <c r="AO203" i="6"/>
  <c r="AO197" i="6"/>
  <c r="AO208" i="6"/>
  <c r="AO211" i="6" s="1"/>
  <c r="AO202" i="6"/>
  <c r="AO200" i="6"/>
  <c r="AO199" i="6"/>
  <c r="AO196" i="6"/>
  <c r="AS131" i="6"/>
  <c r="AS132" i="6" s="1"/>
  <c r="AS136" i="6" s="1"/>
  <c r="AI201" i="6"/>
  <c r="AI206" i="6"/>
  <c r="R212" i="6"/>
  <c r="V211" i="6"/>
  <c r="V206" i="6"/>
  <c r="Y11" i="59" s="1"/>
  <c r="V201" i="6"/>
  <c r="Q31" i="6"/>
  <c r="F207" i="6"/>
  <c r="F212" i="6" s="1"/>
  <c r="J96" i="38"/>
  <c r="J95" i="38"/>
  <c r="J94" i="38"/>
  <c r="J93" i="38"/>
  <c r="I92" i="38"/>
  <c r="J91" i="38"/>
  <c r="I90" i="38"/>
  <c r="J88" i="38"/>
  <c r="J87" i="38"/>
  <c r="J86" i="38"/>
  <c r="J85" i="38"/>
  <c r="I84" i="38"/>
  <c r="J82" i="38"/>
  <c r="J81" i="38"/>
  <c r="J80" i="38"/>
  <c r="J79" i="38"/>
  <c r="J78" i="38"/>
  <c r="J77" i="38"/>
  <c r="J76" i="38"/>
  <c r="J75" i="38"/>
  <c r="J74" i="38"/>
  <c r="J73" i="38"/>
  <c r="J72" i="38"/>
  <c r="J71" i="38"/>
  <c r="J70" i="38"/>
  <c r="J69" i="38"/>
  <c r="I68" i="38"/>
  <c r="J64" i="38"/>
  <c r="J63" i="38"/>
  <c r="I62" i="38"/>
  <c r="J59" i="38"/>
  <c r="J58" i="38"/>
  <c r="J57" i="38"/>
  <c r="J56" i="38"/>
  <c r="I53" i="38"/>
  <c r="J52" i="38"/>
  <c r="I52" i="38"/>
  <c r="I47" i="38"/>
  <c r="Q47" i="38" s="1"/>
  <c r="AE47" i="38" s="1"/>
  <c r="AI47" i="38" s="1"/>
  <c r="I46" i="38"/>
  <c r="Q46" i="38" s="1"/>
  <c r="AE46" i="38" s="1"/>
  <c r="AI46" i="38" s="1"/>
  <c r="I45" i="38"/>
  <c r="Q45" i="38" s="1"/>
  <c r="AE45" i="38" s="1"/>
  <c r="AI45" i="38" s="1"/>
  <c r="I44" i="38"/>
  <c r="Q44" i="38" s="1"/>
  <c r="AE44" i="38" s="1"/>
  <c r="AI44" i="38" s="1"/>
  <c r="J43" i="38"/>
  <c r="I42" i="38"/>
  <c r="J41" i="38"/>
  <c r="I39" i="38"/>
  <c r="Q39" i="38" s="1"/>
  <c r="AE39" i="38" s="1"/>
  <c r="AI39" i="38" s="1"/>
  <c r="I38" i="38"/>
  <c r="Q38" i="38" s="1"/>
  <c r="AE38" i="38" s="1"/>
  <c r="AI38" i="38" s="1"/>
  <c r="I37" i="38"/>
  <c r="Q37" i="38" s="1"/>
  <c r="AE37" i="38" s="1"/>
  <c r="AI37" i="38" s="1"/>
  <c r="I36" i="38"/>
  <c r="J35" i="38"/>
  <c r="I33" i="38"/>
  <c r="Q33" i="38" s="1"/>
  <c r="AE33" i="38" s="1"/>
  <c r="AI33" i="38" s="1"/>
  <c r="I32" i="38"/>
  <c r="Q32" i="38" s="1"/>
  <c r="AE32" i="38" s="1"/>
  <c r="AI32" i="38" s="1"/>
  <c r="I31" i="38"/>
  <c r="Q31" i="38" s="1"/>
  <c r="AE31" i="38" s="1"/>
  <c r="AI31" i="38" s="1"/>
  <c r="I30" i="38"/>
  <c r="Q30" i="38" s="1"/>
  <c r="AE30" i="38" s="1"/>
  <c r="AI30" i="38" s="1"/>
  <c r="I29" i="38"/>
  <c r="Q29" i="38" s="1"/>
  <c r="AE29" i="38" s="1"/>
  <c r="AI29" i="38" s="1"/>
  <c r="I28" i="38"/>
  <c r="Q28" i="38" s="1"/>
  <c r="AE28" i="38" s="1"/>
  <c r="AI28" i="38" s="1"/>
  <c r="I27" i="38"/>
  <c r="Q27" i="38" s="1"/>
  <c r="AE27" i="38" s="1"/>
  <c r="AI27" i="38" s="1"/>
  <c r="I26" i="38"/>
  <c r="Q26" i="38" s="1"/>
  <c r="AE26" i="38" s="1"/>
  <c r="AI26" i="38" s="1"/>
  <c r="I25" i="38"/>
  <c r="Q25" i="38" s="1"/>
  <c r="AE25" i="38" s="1"/>
  <c r="AI25" i="38" s="1"/>
  <c r="I24" i="38"/>
  <c r="Q24" i="38" s="1"/>
  <c r="AE24" i="38" s="1"/>
  <c r="AI24" i="38" s="1"/>
  <c r="I23" i="38"/>
  <c r="Q23" i="38" s="1"/>
  <c r="AE23" i="38" s="1"/>
  <c r="AI23" i="38" s="1"/>
  <c r="I22" i="38"/>
  <c r="Q22" i="38" s="1"/>
  <c r="AE22" i="38" s="1"/>
  <c r="AI22" i="38" s="1"/>
  <c r="I21" i="38"/>
  <c r="Q21" i="38" s="1"/>
  <c r="AE21" i="38" s="1"/>
  <c r="AI21" i="38" s="1"/>
  <c r="I20" i="38"/>
  <c r="J19" i="38"/>
  <c r="R19" i="38" s="1"/>
  <c r="AF19" i="38" s="1"/>
  <c r="AJ19" i="38" s="1"/>
  <c r="I15" i="38"/>
  <c r="Q15" i="38" s="1"/>
  <c r="AE15" i="38" s="1"/>
  <c r="AI15" i="38" s="1"/>
  <c r="I14" i="38"/>
  <c r="Q14" i="38" s="1"/>
  <c r="AE14" i="38" s="1"/>
  <c r="AI14" i="38" s="1"/>
  <c r="J13" i="38"/>
  <c r="AP207" i="6" l="1"/>
  <c r="AJ212" i="6"/>
  <c r="AW200" i="6"/>
  <c r="AW208" i="6"/>
  <c r="AW211" i="6" s="1"/>
  <c r="AW204" i="6"/>
  <c r="AW198" i="6"/>
  <c r="AW203" i="6"/>
  <c r="AW202" i="6"/>
  <c r="AW197" i="6"/>
  <c r="AW199" i="6"/>
  <c r="AW196" i="6"/>
  <c r="AW205" i="6"/>
  <c r="BE131" i="6"/>
  <c r="BE132" i="6" s="1"/>
  <c r="AX210" i="6"/>
  <c r="AX208" i="6"/>
  <c r="AX209" i="6"/>
  <c r="AX198" i="6"/>
  <c r="AX204" i="6"/>
  <c r="AX203" i="6"/>
  <c r="AX197" i="6"/>
  <c r="AX205" i="6"/>
  <c r="AX202" i="6"/>
  <c r="AX196" i="6"/>
  <c r="AX199" i="6"/>
  <c r="AX200" i="6"/>
  <c r="BF136" i="6"/>
  <c r="BF192" i="6"/>
  <c r="AO201" i="6"/>
  <c r="AI207" i="6"/>
  <c r="AI212" i="6" s="1"/>
  <c r="AS203" i="6"/>
  <c r="AS204" i="6"/>
  <c r="AS198" i="6"/>
  <c r="AS199" i="6"/>
  <c r="AS200" i="6"/>
  <c r="AS197" i="6"/>
  <c r="AS202" i="6"/>
  <c r="AS208" i="6"/>
  <c r="AS211" i="6" s="1"/>
  <c r="AS196" i="6"/>
  <c r="AS205" i="6"/>
  <c r="AP212" i="6"/>
  <c r="AP9" i="36"/>
  <c r="AS10" i="59" s="1"/>
  <c r="AF9" i="36"/>
  <c r="AI10" i="59" s="1"/>
  <c r="AF212" i="6"/>
  <c r="AO206" i="6"/>
  <c r="AT206" i="6"/>
  <c r="AW11" i="59" s="1"/>
  <c r="AT201" i="6"/>
  <c r="AT207" i="6" s="1"/>
  <c r="AM46" i="38"/>
  <c r="AM44" i="38"/>
  <c r="AM45" i="38"/>
  <c r="AM47" i="38"/>
  <c r="AM38" i="38"/>
  <c r="AM37" i="38"/>
  <c r="AM39" i="38"/>
  <c r="AM32" i="38"/>
  <c r="AM24" i="38"/>
  <c r="AM25" i="38"/>
  <c r="AM33" i="38"/>
  <c r="AM30" i="38"/>
  <c r="AM22" i="38"/>
  <c r="AM28" i="38"/>
  <c r="AM31" i="38"/>
  <c r="AM26" i="38"/>
  <c r="AM27" i="38"/>
  <c r="AM23" i="38"/>
  <c r="AS23" i="38" s="1"/>
  <c r="BG72" i="38" s="1"/>
  <c r="AE85" i="8"/>
  <c r="AM29" i="38"/>
  <c r="AM15" i="38"/>
  <c r="AM14" i="38"/>
  <c r="AM21" i="38"/>
  <c r="AN19" i="38"/>
  <c r="V207" i="6"/>
  <c r="V212" i="6" s="1"/>
  <c r="I67" i="38"/>
  <c r="J62" i="38"/>
  <c r="R13" i="38"/>
  <c r="AF13" i="38" s="1"/>
  <c r="AJ13" i="38" s="1"/>
  <c r="E99" i="9"/>
  <c r="M99" i="9" s="1"/>
  <c r="I41" i="38"/>
  <c r="Q41" i="38" s="1"/>
  <c r="AE41" i="38" s="1"/>
  <c r="AI41" i="38" s="1"/>
  <c r="Q42" i="38"/>
  <c r="AE42" i="38" s="1"/>
  <c r="AI42" i="38" s="1"/>
  <c r="J92" i="38"/>
  <c r="R43" i="38"/>
  <c r="AF43" i="38" s="1"/>
  <c r="AJ43" i="38" s="1"/>
  <c r="J55" i="38"/>
  <c r="R6" i="38"/>
  <c r="E76" i="7"/>
  <c r="E77" i="7" s="1"/>
  <c r="E138" i="10"/>
  <c r="J84" i="38"/>
  <c r="R35" i="38"/>
  <c r="AF35" i="38" s="1"/>
  <c r="AJ35" i="38" s="1"/>
  <c r="E186" i="6"/>
  <c r="E187" i="6" s="1"/>
  <c r="Q20" i="38"/>
  <c r="AE20" i="38" s="1"/>
  <c r="AI20" i="38" s="1"/>
  <c r="F87" i="45"/>
  <c r="F88" i="45" s="1"/>
  <c r="E66" i="11"/>
  <c r="E160" i="6"/>
  <c r="E161" i="6" s="1"/>
  <c r="Q36" i="38"/>
  <c r="AE36" i="38" s="1"/>
  <c r="AI36" i="38" s="1"/>
  <c r="J90" i="38"/>
  <c r="R41" i="38"/>
  <c r="AF41" i="38" s="1"/>
  <c r="AJ41" i="38" s="1"/>
  <c r="I43" i="38"/>
  <c r="Q43" i="38" s="1"/>
  <c r="AE43" i="38" s="1"/>
  <c r="AI43" i="38" s="1"/>
  <c r="I89" i="38"/>
  <c r="I19" i="38"/>
  <c r="Q19" i="38" s="1"/>
  <c r="AE19" i="38" s="1"/>
  <c r="AI19" i="38" s="1"/>
  <c r="I35" i="38"/>
  <c r="Q35" i="38" s="1"/>
  <c r="AE35" i="38" s="1"/>
  <c r="AI35" i="38" s="1"/>
  <c r="I13" i="38"/>
  <c r="Q13" i="38" s="1"/>
  <c r="AE13" i="38" s="1"/>
  <c r="AI13" i="38" s="1"/>
  <c r="J18" i="38"/>
  <c r="J68" i="38"/>
  <c r="J16" i="38"/>
  <c r="J40" i="38"/>
  <c r="I65" i="59"/>
  <c r="I61" i="59"/>
  <c r="I57" i="59"/>
  <c r="BE136" i="6" l="1"/>
  <c r="AW206" i="6"/>
  <c r="AX201" i="6"/>
  <c r="BE198" i="6"/>
  <c r="BE208" i="6"/>
  <c r="BE204" i="6"/>
  <c r="BE203" i="6"/>
  <c r="BE200" i="6"/>
  <c r="BE197" i="6"/>
  <c r="BE202" i="6"/>
  <c r="BE199" i="6"/>
  <c r="BE196" i="6"/>
  <c r="AX206" i="6"/>
  <c r="BA11" i="59" s="1"/>
  <c r="AX211" i="6"/>
  <c r="AW201" i="6"/>
  <c r="AW207" i="6" s="1"/>
  <c r="AW212" i="6" s="1"/>
  <c r="AO207" i="6"/>
  <c r="AO212" i="6" s="1"/>
  <c r="BF208" i="6"/>
  <c r="BF210" i="6"/>
  <c r="BF209" i="6"/>
  <c r="BF198" i="6"/>
  <c r="BF204" i="6"/>
  <c r="BF203" i="6"/>
  <c r="BF202" i="6"/>
  <c r="BF205" i="6"/>
  <c r="BF200" i="6"/>
  <c r="BF197" i="6"/>
  <c r="BF199" i="6"/>
  <c r="BF196" i="6"/>
  <c r="AN35" i="38"/>
  <c r="AN41" i="38"/>
  <c r="AM42" i="38"/>
  <c r="AS39" i="38"/>
  <c r="BG88" i="38" s="1"/>
  <c r="AM41" i="38"/>
  <c r="AS15" i="38"/>
  <c r="BG64" i="38" s="1"/>
  <c r="AS38" i="38"/>
  <c r="BG87" i="38" s="1"/>
  <c r="I66" i="38"/>
  <c r="AN43" i="38"/>
  <c r="AW23" i="38"/>
  <c r="BA23" i="38" s="1"/>
  <c r="BI23" i="38" s="1"/>
  <c r="AO85" i="8"/>
  <c r="AS37" i="38"/>
  <c r="BG86" i="38" s="1"/>
  <c r="AS44" i="38"/>
  <c r="BG93" i="38" s="1"/>
  <c r="AT9" i="36"/>
  <c r="AW10" i="59" s="1"/>
  <c r="AT212" i="6"/>
  <c r="AS206" i="6"/>
  <c r="AS46" i="38"/>
  <c r="BG95" i="38" s="1"/>
  <c r="AS45" i="38"/>
  <c r="BG94" i="38" s="1"/>
  <c r="AN13" i="38"/>
  <c r="AT19" i="38"/>
  <c r="AS14" i="38"/>
  <c r="BG63" i="38" s="1"/>
  <c r="AS47" i="38"/>
  <c r="BG96" i="38" s="1"/>
  <c r="AS201" i="6"/>
  <c r="AS30" i="38"/>
  <c r="BG79" i="38" s="1"/>
  <c r="AS28" i="38"/>
  <c r="BG77" i="38" s="1"/>
  <c r="AS33" i="38"/>
  <c r="BG82" i="38" s="1"/>
  <c r="AS32" i="38"/>
  <c r="BG81" i="38" s="1"/>
  <c r="AS24" i="38"/>
  <c r="BG73" i="38" s="1"/>
  <c r="AS29" i="38"/>
  <c r="BG78" i="38" s="1"/>
  <c r="AS21" i="38"/>
  <c r="BG70" i="38" s="1"/>
  <c r="AS26" i="38"/>
  <c r="BG75" i="38" s="1"/>
  <c r="AS22" i="38"/>
  <c r="BG71" i="38" s="1"/>
  <c r="AS25" i="38"/>
  <c r="BG74" i="38" s="1"/>
  <c r="AS31" i="38"/>
  <c r="BG80" i="38" s="1"/>
  <c r="AS27" i="38"/>
  <c r="BG76" i="38" s="1"/>
  <c r="AM43" i="38"/>
  <c r="AM36" i="38"/>
  <c r="AS36" i="38" s="1"/>
  <c r="BG85" i="38" s="1"/>
  <c r="AE160" i="6"/>
  <c r="AM35" i="38"/>
  <c r="AI85" i="8"/>
  <c r="AM20" i="38"/>
  <c r="AS20" i="38" s="1"/>
  <c r="BG69" i="38" s="1"/>
  <c r="AE186" i="6"/>
  <c r="AM13" i="38"/>
  <c r="AM19" i="38"/>
  <c r="E67" i="11"/>
  <c r="M66" i="11"/>
  <c r="M67" i="11" s="1"/>
  <c r="E139" i="10"/>
  <c r="M138" i="10"/>
  <c r="AA138" i="10" s="1"/>
  <c r="AE138" i="10" s="1"/>
  <c r="V9" i="36"/>
  <c r="I40" i="38"/>
  <c r="Q40" i="38" s="1"/>
  <c r="AE40" i="38" s="1"/>
  <c r="AI40" i="38" s="1"/>
  <c r="N87" i="45"/>
  <c r="J67" i="38"/>
  <c r="R18" i="38"/>
  <c r="AF18" i="38" s="1"/>
  <c r="AJ18" i="38" s="1"/>
  <c r="J65" i="38"/>
  <c r="R16" i="38"/>
  <c r="E100" i="9"/>
  <c r="Q99" i="9"/>
  <c r="U99" i="9" s="1"/>
  <c r="J89" i="38"/>
  <c r="R40" i="38"/>
  <c r="AF40" i="38" s="1"/>
  <c r="AJ40" i="38" s="1"/>
  <c r="I18" i="38"/>
  <c r="Q18" i="38" s="1"/>
  <c r="AE18" i="38" s="1"/>
  <c r="AI18" i="38" s="1"/>
  <c r="J17" i="38"/>
  <c r="BA86" i="8" l="1"/>
  <c r="BE211" i="6"/>
  <c r="BE205" i="6"/>
  <c r="BE201" i="6"/>
  <c r="BF206" i="6"/>
  <c r="BF211" i="6"/>
  <c r="BF201" i="6"/>
  <c r="BF207" i="6" s="1"/>
  <c r="AS207" i="6"/>
  <c r="AS212" i="6" s="1"/>
  <c r="AX207" i="6"/>
  <c r="AW85" i="8"/>
  <c r="AW27" i="38"/>
  <c r="BA27" i="38" s="1"/>
  <c r="BI27" i="38" s="1"/>
  <c r="AW26" i="38"/>
  <c r="BA26" i="38" s="1"/>
  <c r="BI26" i="38" s="1"/>
  <c r="AW29" i="38"/>
  <c r="BA29" i="38" s="1"/>
  <c r="BI29" i="38" s="1"/>
  <c r="AW32" i="38"/>
  <c r="BA32" i="38" s="1"/>
  <c r="BI32" i="38" s="1"/>
  <c r="AW28" i="38"/>
  <c r="BA28" i="38" s="1"/>
  <c r="BI28" i="38" s="1"/>
  <c r="AW15" i="38"/>
  <c r="BA15" i="38" s="1"/>
  <c r="BI15" i="38" s="1"/>
  <c r="AT41" i="38"/>
  <c r="AN40" i="38"/>
  <c r="AW20" i="38"/>
  <c r="BA20" i="38" s="1"/>
  <c r="BI20" i="38" s="1"/>
  <c r="AO186" i="6"/>
  <c r="AS35" i="38"/>
  <c r="AW36" i="38"/>
  <c r="BA36" i="38" s="1"/>
  <c r="BI36" i="38" s="1"/>
  <c r="AO160" i="6"/>
  <c r="AW47" i="38"/>
  <c r="BA47" i="38" s="1"/>
  <c r="BI47" i="38" s="1"/>
  <c r="AX19" i="38"/>
  <c r="BB19" i="38" s="1"/>
  <c r="BJ19" i="38" s="1"/>
  <c r="AW45" i="38"/>
  <c r="BA45" i="38" s="1"/>
  <c r="BI45" i="38" s="1"/>
  <c r="AS85" i="8"/>
  <c r="AW25" i="38"/>
  <c r="BA25" i="38" s="1"/>
  <c r="BI25" i="38" s="1"/>
  <c r="AW44" i="38"/>
  <c r="BA44" i="38" s="1"/>
  <c r="BI44" i="38" s="1"/>
  <c r="AW39" i="38"/>
  <c r="BA39" i="38" s="1"/>
  <c r="BI39" i="38" s="1"/>
  <c r="AS13" i="38"/>
  <c r="AS43" i="38"/>
  <c r="AW31" i="38"/>
  <c r="BA31" i="38" s="1"/>
  <c r="BI31" i="38" s="1"/>
  <c r="AW22" i="38"/>
  <c r="BA22" i="38" s="1"/>
  <c r="BI22" i="38" s="1"/>
  <c r="AW21" i="38"/>
  <c r="BA21" i="38" s="1"/>
  <c r="BI21" i="38" s="1"/>
  <c r="AW24" i="38"/>
  <c r="BA24" i="38" s="1"/>
  <c r="BI24" i="38" s="1"/>
  <c r="AW33" i="38"/>
  <c r="BA33" i="38" s="1"/>
  <c r="BI33" i="38" s="1"/>
  <c r="AW30" i="38"/>
  <c r="BA30" i="38" s="1"/>
  <c r="BI30" i="38" s="1"/>
  <c r="AW37" i="38"/>
  <c r="BA37" i="38" s="1"/>
  <c r="BI37" i="38" s="1"/>
  <c r="AW38" i="38"/>
  <c r="BA38" i="38" s="1"/>
  <c r="BI38" i="38" s="1"/>
  <c r="AS41" i="38"/>
  <c r="AS42" i="38"/>
  <c r="BG91" i="38" s="1"/>
  <c r="AT35" i="38"/>
  <c r="AW14" i="38"/>
  <c r="BA14" i="38" s="1"/>
  <c r="BI14" i="38" s="1"/>
  <c r="AT13" i="38"/>
  <c r="AW46" i="38"/>
  <c r="BA46" i="38" s="1"/>
  <c r="BI46" i="38" s="1"/>
  <c r="AT43" i="38"/>
  <c r="AS19" i="38"/>
  <c r="AM187" i="6"/>
  <c r="AM40" i="38"/>
  <c r="AI160" i="6"/>
  <c r="AI186" i="6"/>
  <c r="AI138" i="10"/>
  <c r="AO138" i="10" s="1"/>
  <c r="AM18" i="38"/>
  <c r="AE26" i="36"/>
  <c r="AE25" i="36"/>
  <c r="AH69" i="59" s="1"/>
  <c r="AN18" i="38"/>
  <c r="AT18" i="38" s="1"/>
  <c r="AF26" i="36"/>
  <c r="AF25" i="36"/>
  <c r="AI69" i="59" s="1"/>
  <c r="I17" i="38"/>
  <c r="Q17" i="38" s="1"/>
  <c r="AE17" i="38" s="1"/>
  <c r="AI17" i="38" s="1"/>
  <c r="J66" i="38"/>
  <c r="R17" i="38"/>
  <c r="AF17" i="38" s="1"/>
  <c r="AJ17" i="38" s="1"/>
  <c r="D18" i="36"/>
  <c r="F28" i="21"/>
  <c r="E27" i="21"/>
  <c r="M26" i="21"/>
  <c r="F24" i="21"/>
  <c r="F25" i="21" s="1"/>
  <c r="F18" i="21"/>
  <c r="F15" i="21"/>
  <c r="N15" i="21" s="1"/>
  <c r="F12" i="21"/>
  <c r="E12" i="21"/>
  <c r="BA161" i="6" l="1"/>
  <c r="BA187" i="6"/>
  <c r="BE206" i="6"/>
  <c r="BF212" i="6"/>
  <c r="AX212" i="6"/>
  <c r="AX9" i="36"/>
  <c r="BA10" i="59" s="1"/>
  <c r="BE207" i="6"/>
  <c r="AW18" i="36"/>
  <c r="AZ49" i="59" s="1"/>
  <c r="AU18" i="36"/>
  <c r="AX49" i="59" s="1"/>
  <c r="AW186" i="6"/>
  <c r="AW160" i="6"/>
  <c r="AX18" i="38"/>
  <c r="BB18" i="38" s="1"/>
  <c r="BJ18" i="38" s="1"/>
  <c r="AP26" i="36"/>
  <c r="AP25" i="36"/>
  <c r="AS69" i="59" s="1"/>
  <c r="AW35" i="38"/>
  <c r="BA35" i="38" s="1"/>
  <c r="BI35" i="38" s="1"/>
  <c r="AT40" i="38"/>
  <c r="AX13" i="38"/>
  <c r="BB13" i="38" s="1"/>
  <c r="BJ13" i="38" s="1"/>
  <c r="AX35" i="38"/>
  <c r="BB35" i="38" s="1"/>
  <c r="BJ35" i="38" s="1"/>
  <c r="AW41" i="38"/>
  <c r="BA41" i="38" s="1"/>
  <c r="BI41" i="38" s="1"/>
  <c r="AW13" i="38"/>
  <c r="BA13" i="38" s="1"/>
  <c r="BI13" i="38" s="1"/>
  <c r="AS18" i="36"/>
  <c r="AV49" i="59" s="1"/>
  <c r="AQ18" i="36"/>
  <c r="AT49" i="59" s="1"/>
  <c r="AM18" i="36"/>
  <c r="AP49" i="59" s="1"/>
  <c r="AO18" i="36"/>
  <c r="AR49" i="59" s="1"/>
  <c r="AK18" i="36"/>
  <c r="AN49" i="59" s="1"/>
  <c r="AS138" i="10"/>
  <c r="AW138" i="10" s="1"/>
  <c r="AX43" i="38"/>
  <c r="BB43" i="38" s="1"/>
  <c r="BJ43" i="38" s="1"/>
  <c r="AS160" i="6"/>
  <c r="AS40" i="38"/>
  <c r="AW19" i="38"/>
  <c r="BA19" i="38" s="1"/>
  <c r="BI19" i="38" s="1"/>
  <c r="AW42" i="38"/>
  <c r="BA42" i="38" s="1"/>
  <c r="BI42" i="38" s="1"/>
  <c r="AW43" i="38"/>
  <c r="BA43" i="38" s="1"/>
  <c r="BI43" i="38" s="1"/>
  <c r="AS186" i="6"/>
  <c r="AX41" i="38"/>
  <c r="BB41" i="38" s="1"/>
  <c r="BJ41" i="38" s="1"/>
  <c r="AQ69" i="59"/>
  <c r="AS18" i="38"/>
  <c r="AI26" i="36"/>
  <c r="AI25" i="36"/>
  <c r="AL69" i="59" s="1"/>
  <c r="AI18" i="36"/>
  <c r="AL49" i="59" s="1"/>
  <c r="AG18" i="36"/>
  <c r="AJ49" i="59" s="1"/>
  <c r="AE18" i="36"/>
  <c r="AH49" i="59" s="1"/>
  <c r="AC18" i="36"/>
  <c r="AF49" i="59" s="1"/>
  <c r="AJ26" i="36"/>
  <c r="AJ25" i="36"/>
  <c r="AM69" i="59" s="1"/>
  <c r="AN17" i="38"/>
  <c r="AM17" i="38"/>
  <c r="U18" i="36"/>
  <c r="X49" i="59" s="1"/>
  <c r="Y18" i="36"/>
  <c r="AB49" i="59" s="1"/>
  <c r="O18" i="36"/>
  <c r="R49" i="59" s="1"/>
  <c r="K18" i="36"/>
  <c r="N49" i="59" s="1"/>
  <c r="G18" i="36"/>
  <c r="J49" i="59" s="1"/>
  <c r="N18" i="21"/>
  <c r="F20" i="21"/>
  <c r="F390" i="28"/>
  <c r="F391" i="28"/>
  <c r="BA18" i="36"/>
  <c r="BC18" i="36"/>
  <c r="W18" i="36"/>
  <c r="Z49" i="59" s="1"/>
  <c r="S18" i="36"/>
  <c r="V49" i="59" s="1"/>
  <c r="M11" i="15"/>
  <c r="Q11" i="15" s="1"/>
  <c r="U11" i="15" s="1"/>
  <c r="I11" i="15"/>
  <c r="M27" i="21"/>
  <c r="M28" i="21" s="1"/>
  <c r="BE18" i="36"/>
  <c r="Q18" i="36"/>
  <c r="M18" i="36"/>
  <c r="P49" i="59" s="1"/>
  <c r="I18" i="36"/>
  <c r="L49" i="59" s="1"/>
  <c r="E18" i="36"/>
  <c r="AA18" i="36"/>
  <c r="AD49" i="59" s="1"/>
  <c r="E28" i="21"/>
  <c r="E22" i="21"/>
  <c r="E15" i="21"/>
  <c r="M15" i="21" s="1"/>
  <c r="BE138" i="10" l="1"/>
  <c r="BE212" i="6"/>
  <c r="AX26" i="36"/>
  <c r="AX25" i="36"/>
  <c r="BA69" i="59" s="1"/>
  <c r="AX40" i="38"/>
  <c r="BB40" i="38" s="1"/>
  <c r="BJ40" i="38" s="1"/>
  <c r="AW18" i="38"/>
  <c r="BA18" i="38" s="1"/>
  <c r="BI18" i="38" s="1"/>
  <c r="AO26" i="36"/>
  <c r="AO25" i="36"/>
  <c r="AR69" i="59" s="1"/>
  <c r="AW40" i="38"/>
  <c r="BA40" i="38" s="1"/>
  <c r="BI40" i="38" s="1"/>
  <c r="AT26" i="36"/>
  <c r="AT25" i="36"/>
  <c r="AW69" i="59" s="1"/>
  <c r="AS17" i="38"/>
  <c r="AT17" i="38"/>
  <c r="AP69" i="59"/>
  <c r="N20" i="21"/>
  <c r="AB18" i="21"/>
  <c r="AF18" i="21" s="1"/>
  <c r="AJ18" i="21" s="1"/>
  <c r="AP18" i="21" s="1"/>
  <c r="AT18" i="21" s="1"/>
  <c r="AX18" i="21" s="1"/>
  <c r="AA11" i="15"/>
  <c r="AE11" i="15" s="1"/>
  <c r="AI11" i="15" s="1"/>
  <c r="AO11" i="15" s="1"/>
  <c r="AS11" i="15" s="1"/>
  <c r="AW11" i="15" s="1"/>
  <c r="BE11" i="15" s="1"/>
  <c r="M12" i="15"/>
  <c r="I12" i="15"/>
  <c r="N47" i="35"/>
  <c r="AB47" i="35" s="1"/>
  <c r="AF47" i="35" s="1"/>
  <c r="AJ47" i="35" s="1"/>
  <c r="AP47" i="35" s="1"/>
  <c r="N46" i="35"/>
  <c r="AB46" i="35" s="1"/>
  <c r="AF46" i="35" s="1"/>
  <c r="AJ46" i="35" s="1"/>
  <c r="AP46" i="35" s="1"/>
  <c r="E40" i="35"/>
  <c r="D40" i="35"/>
  <c r="F39" i="35"/>
  <c r="E39" i="35"/>
  <c r="M39" i="35" s="1"/>
  <c r="AA39" i="35" s="1"/>
  <c r="AE39" i="35" s="1"/>
  <c r="AI39" i="35" s="1"/>
  <c r="AO39" i="35" s="1"/>
  <c r="D39" i="35"/>
  <c r="E37" i="35"/>
  <c r="M37" i="35" s="1"/>
  <c r="AA37" i="35" s="1"/>
  <c r="AE37" i="35" s="1"/>
  <c r="AI37" i="35" s="1"/>
  <c r="AO37" i="35" s="1"/>
  <c r="D37" i="35"/>
  <c r="F34" i="35"/>
  <c r="F44" i="35" s="1"/>
  <c r="N44" i="35" s="1"/>
  <c r="AB44" i="35" s="1"/>
  <c r="E34" i="35"/>
  <c r="E28" i="28" s="1"/>
  <c r="M28" i="28" s="1"/>
  <c r="D34" i="35"/>
  <c r="D44" i="35" s="1"/>
  <c r="F31" i="35"/>
  <c r="E31" i="35"/>
  <c r="D31" i="35"/>
  <c r="F24" i="35"/>
  <c r="E24" i="35"/>
  <c r="D24" i="35"/>
  <c r="E10" i="35"/>
  <c r="M10" i="35" s="1"/>
  <c r="D10" i="35"/>
  <c r="D14" i="35" s="1"/>
  <c r="E9" i="35"/>
  <c r="D9" i="35"/>
  <c r="E8" i="35"/>
  <c r="D8" i="35"/>
  <c r="F7" i="35"/>
  <c r="F8" i="35" s="1"/>
  <c r="AT47" i="35" l="1"/>
  <c r="AX47" i="35" s="1"/>
  <c r="AS39" i="35"/>
  <c r="AW39" i="35" s="1"/>
  <c r="BE39" i="35" s="1"/>
  <c r="AS37" i="35"/>
  <c r="AW37" i="35" s="1"/>
  <c r="BE37" i="35" s="1"/>
  <c r="AT46" i="35"/>
  <c r="AX46" i="35" s="1"/>
  <c r="AW26" i="36"/>
  <c r="AW25" i="36"/>
  <c r="AZ69" i="59" s="1"/>
  <c r="AX17" i="38"/>
  <c r="BB17" i="38" s="1"/>
  <c r="BJ17" i="38" s="1"/>
  <c r="AW17" i="38"/>
  <c r="BA17" i="38" s="1"/>
  <c r="BI17" i="38" s="1"/>
  <c r="AS25" i="36"/>
  <c r="AV69" i="59" s="1"/>
  <c r="AS26" i="36"/>
  <c r="D13" i="35"/>
  <c r="D15" i="35" s="1"/>
  <c r="D11" i="35"/>
  <c r="M9" i="35"/>
  <c r="AA9" i="35" s="1"/>
  <c r="E11" i="35"/>
  <c r="I28" i="28"/>
  <c r="E33" i="28"/>
  <c r="M33" i="28" s="1"/>
  <c r="E50" i="28"/>
  <c r="M50" i="28" s="1"/>
  <c r="Q12" i="15"/>
  <c r="M13" i="15"/>
  <c r="F6" i="6"/>
  <c r="M40" i="35"/>
  <c r="I40" i="35"/>
  <c r="E14" i="35"/>
  <c r="M14" i="35" s="1"/>
  <c r="AA14" i="35" s="1"/>
  <c r="AE14" i="35" s="1"/>
  <c r="AI14" i="35" s="1"/>
  <c r="AO14" i="35" s="1"/>
  <c r="AA10" i="35"/>
  <c r="J39" i="35"/>
  <c r="N39" i="35"/>
  <c r="F35" i="35"/>
  <c r="F45" i="35"/>
  <c r="E13" i="35"/>
  <c r="D45" i="35"/>
  <c r="D35" i="35"/>
  <c r="E35" i="35"/>
  <c r="F71" i="83" s="1"/>
  <c r="E44" i="35"/>
  <c r="G71" i="83" l="1"/>
  <c r="G83" i="50"/>
  <c r="AS14" i="35"/>
  <c r="AW14" i="35" s="1"/>
  <c r="BE14" i="35" s="1"/>
  <c r="Q28" i="28"/>
  <c r="U28" i="28" s="1"/>
  <c r="AA28" i="28" s="1"/>
  <c r="AE28" i="28" s="1"/>
  <c r="AI28" i="28" s="1"/>
  <c r="AO28" i="28" s="1"/>
  <c r="AS28" i="28" s="1"/>
  <c r="AW28" i="28" s="1"/>
  <c r="BE28" i="28" s="1"/>
  <c r="F14" i="6"/>
  <c r="AA11" i="35"/>
  <c r="M13" i="35"/>
  <c r="E15" i="35"/>
  <c r="M11" i="35"/>
  <c r="Q13" i="15"/>
  <c r="U12" i="15"/>
  <c r="U13" i="15" s="1"/>
  <c r="I50" i="28"/>
  <c r="E55" i="28"/>
  <c r="M55" i="28" s="1"/>
  <c r="J58" i="6"/>
  <c r="M12" i="59" s="1"/>
  <c r="J56" i="6"/>
  <c r="M16" i="59" s="1"/>
  <c r="J57" i="6"/>
  <c r="M23" i="59" s="1"/>
  <c r="I33" i="28"/>
  <c r="E61" i="28"/>
  <c r="M61" i="28" s="1"/>
  <c r="AA61" i="28" s="1"/>
  <c r="AE61" i="28" s="1"/>
  <c r="AI61" i="28" s="1"/>
  <c r="AO61" i="28" s="1"/>
  <c r="AS61" i="28" s="1"/>
  <c r="AW61" i="28" s="1"/>
  <c r="BE61" i="28" s="1"/>
  <c r="E361" i="28"/>
  <c r="M361" i="28" s="1"/>
  <c r="AA361" i="28" s="1"/>
  <c r="O71" i="83"/>
  <c r="AC71" i="83" s="1"/>
  <c r="G69" i="83"/>
  <c r="F12" i="6"/>
  <c r="AA40" i="35"/>
  <c r="AE40" i="35" s="1"/>
  <c r="Q40" i="35"/>
  <c r="U40" i="35" s="1"/>
  <c r="R39" i="35"/>
  <c r="V39" i="35" s="1"/>
  <c r="AB39" i="35"/>
  <c r="AF39" i="35" s="1"/>
  <c r="E45" i="35"/>
  <c r="M44" i="35"/>
  <c r="F51" i="35"/>
  <c r="F13" i="6"/>
  <c r="F11" i="6"/>
  <c r="F7" i="6"/>
  <c r="N14" i="6" l="1"/>
  <c r="N76" i="6" s="1"/>
  <c r="N79" i="6"/>
  <c r="F187" i="6"/>
  <c r="F182" i="6"/>
  <c r="AF45" i="35"/>
  <c r="AF51" i="35" s="1"/>
  <c r="AJ39" i="35"/>
  <c r="AE45" i="35"/>
  <c r="AE51" i="35" s="1"/>
  <c r="AI40" i="35"/>
  <c r="AC69" i="83"/>
  <c r="AG71" i="83"/>
  <c r="Q50" i="28"/>
  <c r="U50" i="28" s="1"/>
  <c r="AA50" i="28" s="1"/>
  <c r="AE50" i="28" s="1"/>
  <c r="AI50" i="28" s="1"/>
  <c r="AO50" i="28" s="1"/>
  <c r="AS50" i="28" s="1"/>
  <c r="AW50" i="28" s="1"/>
  <c r="BE50" i="28" s="1"/>
  <c r="AA13" i="35"/>
  <c r="AE13" i="35" s="1"/>
  <c r="M15" i="35"/>
  <c r="O69" i="83"/>
  <c r="S71" i="83"/>
  <c r="Q23" i="59"/>
  <c r="E387" i="28"/>
  <c r="E364" i="28"/>
  <c r="Q16" i="59"/>
  <c r="I61" i="28"/>
  <c r="E77" i="28"/>
  <c r="M77" i="28" s="1"/>
  <c r="AA77" i="28" s="1"/>
  <c r="AE77" i="28" s="1"/>
  <c r="AI77" i="28" s="1"/>
  <c r="AO77" i="28" s="1"/>
  <c r="AS77" i="28" s="1"/>
  <c r="AW77" i="28" s="1"/>
  <c r="BE77" i="28" s="1"/>
  <c r="E62" i="28"/>
  <c r="M62" i="28" s="1"/>
  <c r="I55" i="28"/>
  <c r="E390" i="28"/>
  <c r="I361" i="28"/>
  <c r="I387" i="28" s="1"/>
  <c r="Q12" i="59"/>
  <c r="N188" i="6"/>
  <c r="R14" i="6"/>
  <c r="N13" i="6"/>
  <c r="N81" i="6" s="1"/>
  <c r="F161" i="6"/>
  <c r="F15" i="6"/>
  <c r="S38" i="72"/>
  <c r="S37" i="72"/>
  <c r="S40" i="72"/>
  <c r="O26" i="72"/>
  <c r="S26" i="72" s="1"/>
  <c r="O31" i="72"/>
  <c r="S31" i="72" s="1"/>
  <c r="O29" i="72"/>
  <c r="S29" i="72" s="1"/>
  <c r="O32" i="72"/>
  <c r="S32" i="72" s="1"/>
  <c r="O21" i="72"/>
  <c r="S21" i="72" s="1"/>
  <c r="N78" i="6" l="1"/>
  <c r="N75" i="6"/>
  <c r="AE15" i="35"/>
  <c r="AI13" i="35"/>
  <c r="AI45" i="35"/>
  <c r="AI51" i="35" s="1"/>
  <c r="AO40" i="35"/>
  <c r="AJ45" i="35"/>
  <c r="AJ51" i="35" s="1"/>
  <c r="AP39" i="35"/>
  <c r="AG69" i="83"/>
  <c r="AK71" i="83"/>
  <c r="Q61" i="28"/>
  <c r="U61" i="28" s="1"/>
  <c r="N162" i="6"/>
  <c r="S69" i="83"/>
  <c r="W71" i="83"/>
  <c r="W69" i="83" s="1"/>
  <c r="I364" i="28"/>
  <c r="I62" i="28"/>
  <c r="E391" i="28"/>
  <c r="Q33" i="28"/>
  <c r="U33" i="28" s="1"/>
  <c r="AA33" i="28" s="1"/>
  <c r="AE33" i="28" s="1"/>
  <c r="AI33" i="28" s="1"/>
  <c r="AO33" i="28" s="1"/>
  <c r="AS33" i="28" s="1"/>
  <c r="AW33" i="28" s="1"/>
  <c r="BE33" i="28" s="1"/>
  <c r="I77" i="28"/>
  <c r="I365" i="28" s="1"/>
  <c r="E81" i="28"/>
  <c r="E386" i="28"/>
  <c r="E385" i="28"/>
  <c r="E365" i="28"/>
  <c r="Q55" i="28"/>
  <c r="U55" i="28" s="1"/>
  <c r="M390" i="28"/>
  <c r="R13" i="6"/>
  <c r="R188" i="6"/>
  <c r="V14" i="6"/>
  <c r="R182" i="6"/>
  <c r="F80" i="6"/>
  <c r="F77" i="6"/>
  <c r="K43" i="72"/>
  <c r="F34" i="6"/>
  <c r="F35" i="6"/>
  <c r="F36" i="6"/>
  <c r="F33" i="6"/>
  <c r="BE361" i="28" l="1"/>
  <c r="BE387" i="28"/>
  <c r="BE385" i="28"/>
  <c r="AW361" i="28"/>
  <c r="AW387" i="28" s="1"/>
  <c r="AW385" i="28"/>
  <c r="AO45" i="35"/>
  <c r="AO51" i="35" s="1"/>
  <c r="AS40" i="35"/>
  <c r="AO13" i="35"/>
  <c r="BC15" i="35" s="1"/>
  <c r="AI15" i="35"/>
  <c r="AS361" i="28"/>
  <c r="AS385" i="28"/>
  <c r="AP45" i="35"/>
  <c r="AP51" i="35" s="1"/>
  <c r="AT39" i="35"/>
  <c r="AK69" i="83"/>
  <c r="AQ71" i="83"/>
  <c r="AO385" i="28"/>
  <c r="AI361" i="28"/>
  <c r="AO361" i="28" s="1"/>
  <c r="AO387" i="28" s="1"/>
  <c r="AI385" i="28"/>
  <c r="AE361" i="28"/>
  <c r="AE387" i="28" s="1"/>
  <c r="AE385" i="28"/>
  <c r="I81" i="28"/>
  <c r="M81" i="28"/>
  <c r="AA81" i="28" s="1"/>
  <c r="AE81" i="28" s="1"/>
  <c r="AI81" i="28" s="1"/>
  <c r="AO81" i="28" s="1"/>
  <c r="AS81" i="28" s="1"/>
  <c r="AW81" i="28" s="1"/>
  <c r="BE81" i="28" s="1"/>
  <c r="AA387" i="28"/>
  <c r="AA55" i="28"/>
  <c r="AE55" i="28" s="1"/>
  <c r="Y387" i="28"/>
  <c r="R162" i="6"/>
  <c r="U361" i="28"/>
  <c r="I386" i="28"/>
  <c r="I385" i="28"/>
  <c r="Q62" i="28"/>
  <c r="U62" i="28" s="1"/>
  <c r="M391" i="28"/>
  <c r="M387" i="28"/>
  <c r="M364" i="28"/>
  <c r="Q361" i="28"/>
  <c r="Q387" i="28" s="1"/>
  <c r="V182" i="6"/>
  <c r="V188" i="6"/>
  <c r="V13" i="6"/>
  <c r="R15" i="6"/>
  <c r="R157" i="6"/>
  <c r="K48" i="72"/>
  <c r="K45" i="72"/>
  <c r="F37" i="6"/>
  <c r="AF6" i="71"/>
  <c r="AF77" i="71" s="1"/>
  <c r="AK6" i="71"/>
  <c r="AK77" i="71" s="1"/>
  <c r="AO6" i="71"/>
  <c r="AO77" i="71" s="1"/>
  <c r="BE365" i="28" l="1"/>
  <c r="BE364" i="28"/>
  <c r="BE386" i="28"/>
  <c r="AT45" i="35"/>
  <c r="AT51" i="35" s="1"/>
  <c r="AX39" i="35"/>
  <c r="AW364" i="28"/>
  <c r="AW365" i="28"/>
  <c r="AW386" i="28"/>
  <c r="AS45" i="35"/>
  <c r="AS51" i="35" s="1"/>
  <c r="AW40" i="35"/>
  <c r="AS13" i="35"/>
  <c r="AO15" i="35"/>
  <c r="AQ69" i="83"/>
  <c r="AU71" i="83"/>
  <c r="AS387" i="28"/>
  <c r="AS364" i="28"/>
  <c r="AS365" i="28"/>
  <c r="AS386" i="28"/>
  <c r="AI387" i="28"/>
  <c r="AO364" i="28"/>
  <c r="AO365" i="28"/>
  <c r="AO386" i="28"/>
  <c r="AI364" i="28"/>
  <c r="AI365" i="28"/>
  <c r="AI386" i="28"/>
  <c r="AI55" i="28"/>
  <c r="Q81" i="28"/>
  <c r="U81" i="28" s="1"/>
  <c r="AE364" i="28"/>
  <c r="AE365" i="28"/>
  <c r="AE386" i="28"/>
  <c r="M365" i="28"/>
  <c r="AA62" i="28"/>
  <c r="AE62" i="28" s="1"/>
  <c r="Y364" i="28"/>
  <c r="AA364" i="28"/>
  <c r="U364" i="28"/>
  <c r="U387" i="28"/>
  <c r="Q364" i="28"/>
  <c r="Q77" i="28"/>
  <c r="U77" i="28" s="1"/>
  <c r="M386" i="28"/>
  <c r="M385" i="28"/>
  <c r="V162" i="6"/>
  <c r="V157" i="6"/>
  <c r="V15" i="6"/>
  <c r="R36" i="6"/>
  <c r="R34" i="6"/>
  <c r="R35" i="6"/>
  <c r="R33" i="6"/>
  <c r="AP6" i="71"/>
  <c r="AP77" i="71" s="1"/>
  <c r="S39" i="72"/>
  <c r="AW45" i="35" l="1"/>
  <c r="AW51" i="35" s="1"/>
  <c r="BE40" i="35"/>
  <c r="BE45" i="35" s="1"/>
  <c r="BE51" i="35" s="1"/>
  <c r="AX45" i="35"/>
  <c r="AX51" i="35" s="1"/>
  <c r="BF39" i="35"/>
  <c r="BF45" i="35" s="1"/>
  <c r="BF51" i="35" s="1"/>
  <c r="AS15" i="35"/>
  <c r="AW13" i="35"/>
  <c r="AU69" i="83"/>
  <c r="AY71" i="83"/>
  <c r="AO55" i="28"/>
  <c r="AI62" i="28"/>
  <c r="AA386" i="28"/>
  <c r="AA385" i="28"/>
  <c r="AA365" i="28"/>
  <c r="Y386" i="28"/>
  <c r="Y385" i="28"/>
  <c r="Y365" i="28"/>
  <c r="U386" i="28"/>
  <c r="U385" i="28"/>
  <c r="U365" i="28"/>
  <c r="Q386" i="28"/>
  <c r="Q385" i="28"/>
  <c r="Q365" i="28"/>
  <c r="R37" i="6"/>
  <c r="V36" i="6"/>
  <c r="V34" i="6"/>
  <c r="V35" i="6"/>
  <c r="V33" i="6"/>
  <c r="K79" i="71"/>
  <c r="H79" i="71"/>
  <c r="O27" i="72"/>
  <c r="S27" i="72" s="1"/>
  <c r="AY69" i="83" l="1"/>
  <c r="BG71" i="83"/>
  <c r="BG69" i="83" s="1"/>
  <c r="AW15" i="35"/>
  <c r="BE13" i="35"/>
  <c r="BE15" i="35" s="1"/>
  <c r="AS55" i="28"/>
  <c r="AW55" i="28" s="1"/>
  <c r="BE55" i="28" s="1"/>
  <c r="BE390" i="28" s="1"/>
  <c r="AO62" i="28"/>
  <c r="V37" i="6"/>
  <c r="AS62" i="28" l="1"/>
  <c r="AW62" i="28" s="1"/>
  <c r="BE62" i="28" s="1"/>
  <c r="BE391" i="28" s="1"/>
  <c r="AA67" i="59"/>
  <c r="X23" i="36" l="1"/>
  <c r="AA65" i="59" s="1"/>
  <c r="T23" i="36"/>
  <c r="W65" i="59" s="1"/>
  <c r="C41" i="72"/>
  <c r="C47" i="72" s="1"/>
  <c r="W36" i="72"/>
  <c r="S36" i="72"/>
  <c r="S41" i="72" s="1"/>
  <c r="C33" i="72"/>
  <c r="C46" i="72" s="1"/>
  <c r="S33" i="72"/>
  <c r="C23" i="72"/>
  <c r="C45" i="72" s="1"/>
  <c r="S23" i="72"/>
  <c r="C17" i="72"/>
  <c r="W7" i="72"/>
  <c r="O7" i="72"/>
  <c r="S7" i="72" s="1"/>
  <c r="G7" i="72"/>
  <c r="F77" i="71"/>
  <c r="F79" i="71" s="1"/>
  <c r="CO6" i="71"/>
  <c r="CO77" i="71" s="1"/>
  <c r="CK6" i="71"/>
  <c r="CK77" i="71" s="1"/>
  <c r="CG6" i="71"/>
  <c r="CG77" i="71" s="1"/>
  <c r="CA6" i="71"/>
  <c r="CA77" i="71" s="1"/>
  <c r="BW6" i="71"/>
  <c r="BW77" i="71" s="1"/>
  <c r="BM6" i="71"/>
  <c r="BM77" i="71" s="1"/>
  <c r="V6" i="71"/>
  <c r="V77" i="71" s="1"/>
  <c r="R6" i="71"/>
  <c r="R77" i="71" s="1"/>
  <c r="N6" i="71"/>
  <c r="N77" i="71" s="1"/>
  <c r="S17" i="72" l="1"/>
  <c r="S43" i="72" s="1"/>
  <c r="G17" i="72"/>
  <c r="C43" i="72"/>
  <c r="C48" i="72" s="1"/>
  <c r="G43" i="72"/>
  <c r="G48" i="72" s="1"/>
  <c r="CU6" i="71"/>
  <c r="CU77" i="71" s="1"/>
  <c r="I79" i="71"/>
  <c r="AG6" i="71"/>
  <c r="AG77" i="71" s="1"/>
  <c r="AB79" i="71"/>
  <c r="W6" i="71"/>
  <c r="W77" i="71" s="1"/>
  <c r="M44" i="72"/>
  <c r="I44" i="72"/>
  <c r="E44" i="72"/>
  <c r="Y7" i="72"/>
  <c r="C44" i="72"/>
  <c r="O41" i="72"/>
  <c r="W33" i="72"/>
  <c r="Y36" i="72"/>
  <c r="AC36" i="72" s="1"/>
  <c r="W17" i="72"/>
  <c r="O17" i="72"/>
  <c r="O23" i="72"/>
  <c r="W41" i="72"/>
  <c r="O33" i="72"/>
  <c r="BA79" i="71"/>
  <c r="BE79" i="71"/>
  <c r="AU77" i="71"/>
  <c r="AU79" i="71" s="1"/>
  <c r="AW79" i="71"/>
  <c r="BI79" i="71"/>
  <c r="AC41" i="72" l="1"/>
  <c r="AG36" i="72"/>
  <c r="AC7" i="72"/>
  <c r="W43" i="72"/>
  <c r="O43" i="72"/>
  <c r="G44" i="72"/>
  <c r="Y41" i="72"/>
  <c r="Y33" i="72"/>
  <c r="Y17" i="72"/>
  <c r="A84" i="9"/>
  <c r="AG41" i="72" l="1"/>
  <c r="AM36" i="72"/>
  <c r="BA41" i="72" s="1"/>
  <c r="AC17" i="72"/>
  <c r="AC43" i="72" s="1"/>
  <c r="AG7" i="72"/>
  <c r="AM7" i="72" s="1"/>
  <c r="BA17" i="72" s="1"/>
  <c r="Y43" i="72"/>
  <c r="X79" i="71"/>
  <c r="AQ79" i="71"/>
  <c r="CU79" i="71"/>
  <c r="BA43" i="72" l="1"/>
  <c r="AQ7" i="72"/>
  <c r="AM17" i="72"/>
  <c r="AM41" i="72"/>
  <c r="AQ36" i="72"/>
  <c r="AG17" i="72"/>
  <c r="AG43" i="72" s="1"/>
  <c r="AR79" i="71"/>
  <c r="AQ41" i="72" l="1"/>
  <c r="AU36" i="72"/>
  <c r="AQ17" i="72"/>
  <c r="AU7" i="72"/>
  <c r="AM43" i="72"/>
  <c r="X161" i="26"/>
  <c r="L161" i="26"/>
  <c r="AU41" i="72" l="1"/>
  <c r="BC36" i="72"/>
  <c r="BC41" i="72" s="1"/>
  <c r="BC7" i="72"/>
  <c r="BC17" i="72" s="1"/>
  <c r="AU17" i="72"/>
  <c r="AQ43" i="72"/>
  <c r="Z161" i="26"/>
  <c r="BC43" i="72" l="1"/>
  <c r="AU43" i="72"/>
  <c r="BE31" i="36"/>
  <c r="BB2" i="36"/>
  <c r="BA2" i="36"/>
  <c r="Y116" i="6" l="1"/>
  <c r="BB13" i="36" l="1"/>
  <c r="BE40" i="59" s="1"/>
  <c r="Z105" i="9" l="1"/>
  <c r="AB105" i="9" s="1"/>
  <c r="AF105" i="9" s="1"/>
  <c r="AJ105" i="9" s="1"/>
  <c r="Y105" i="9"/>
  <c r="AA105" i="9" s="1"/>
  <c r="AE105" i="9" s="1"/>
  <c r="AI105" i="9" s="1"/>
  <c r="J105" i="9"/>
  <c r="I105" i="9"/>
  <c r="BA13" i="36" l="1"/>
  <c r="BL25" i="21" l="1"/>
  <c r="BL20" i="21"/>
  <c r="I68" i="59" l="1"/>
  <c r="I70" i="59"/>
  <c r="I71" i="59"/>
  <c r="I72" i="59"/>
  <c r="I41" i="59"/>
  <c r="I42" i="59"/>
  <c r="T8" i="59"/>
  <c r="AB8" i="59"/>
  <c r="AD8" i="59"/>
  <c r="T9" i="59"/>
  <c r="AB9" i="59"/>
  <c r="AD9" i="59"/>
  <c r="T10" i="59"/>
  <c r="AB10" i="59"/>
  <c r="AD10" i="59"/>
  <c r="I17" i="59"/>
  <c r="I18" i="59"/>
  <c r="I19" i="59"/>
  <c r="I20" i="59"/>
  <c r="I24" i="59"/>
  <c r="I25" i="59"/>
  <c r="I26" i="59"/>
  <c r="I27" i="59"/>
  <c r="AA12" i="15" l="1"/>
  <c r="AE12" i="15" s="1"/>
  <c r="AI12" i="15" l="1"/>
  <c r="BD46" i="36"/>
  <c r="BD54" i="36" s="1"/>
  <c r="BD43" i="36"/>
  <c r="BD41" i="36"/>
  <c r="BD49" i="36" s="1"/>
  <c r="BC41" i="36"/>
  <c r="BD40" i="36"/>
  <c r="BD48" i="36" s="1"/>
  <c r="BD39" i="36"/>
  <c r="BD17" i="36" s="1"/>
  <c r="BG48" i="59" s="1"/>
  <c r="BD38" i="36"/>
  <c r="BD16" i="36" s="1"/>
  <c r="BG47" i="59" s="1"/>
  <c r="BC38" i="36"/>
  <c r="BD45" i="36" l="1"/>
  <c r="BD51" i="36"/>
  <c r="BD53" i="36" s="1"/>
  <c r="AO12" i="15"/>
  <c r="BN20" i="21"/>
  <c r="AS12" i="15" l="1"/>
  <c r="AW12" i="15" s="1"/>
  <c r="BE12" i="15" s="1"/>
  <c r="BE13" i="15" s="1"/>
  <c r="AK50" i="59"/>
  <c r="AH30" i="36"/>
  <c r="AK73" i="59" s="1"/>
  <c r="AG30" i="36" l="1"/>
  <c r="AJ73" i="59" s="1"/>
  <c r="S31" i="52" l="1"/>
  <c r="N31" i="52"/>
  <c r="M31" i="52"/>
  <c r="L31" i="52"/>
  <c r="H31" i="52"/>
  <c r="G31" i="52"/>
  <c r="F31" i="52"/>
  <c r="O30" i="52"/>
  <c r="K30" i="52"/>
  <c r="O29" i="52"/>
  <c r="K29" i="52"/>
  <c r="O28" i="52"/>
  <c r="K28" i="52"/>
  <c r="O27" i="52"/>
  <c r="K27" i="52"/>
  <c r="O26" i="52"/>
  <c r="K26" i="52"/>
  <c r="O25" i="52"/>
  <c r="K25" i="52"/>
  <c r="O24" i="52"/>
  <c r="K24" i="52"/>
  <c r="N14" i="52"/>
  <c r="N13" i="52"/>
  <c r="N12" i="52"/>
  <c r="N9" i="52"/>
  <c r="N7" i="52"/>
  <c r="N6" i="52"/>
  <c r="N5" i="52"/>
  <c r="M14" i="52"/>
  <c r="M13" i="52"/>
  <c r="M12" i="52"/>
  <c r="M9" i="52"/>
  <c r="M7" i="52"/>
  <c r="M6" i="52"/>
  <c r="M5" i="52"/>
  <c r="Q12" i="52" l="1"/>
  <c r="U12" i="52" s="1"/>
  <c r="AA12" i="52"/>
  <c r="AE12" i="52" s="1"/>
  <c r="AI12" i="52" s="1"/>
  <c r="AO12" i="52" s="1"/>
  <c r="AS12" i="52" s="1"/>
  <c r="AW12" i="52" s="1"/>
  <c r="BE12" i="52" s="1"/>
  <c r="R13" i="52"/>
  <c r="V13" i="52" s="1"/>
  <c r="AB13" i="52"/>
  <c r="AF13" i="52" s="1"/>
  <c r="AJ13" i="52" s="1"/>
  <c r="AP13" i="52" s="1"/>
  <c r="AT13" i="52" s="1"/>
  <c r="AX13" i="52" s="1"/>
  <c r="BF13" i="52" s="1"/>
  <c r="Q6" i="52"/>
  <c r="U6" i="52" s="1"/>
  <c r="AA6" i="52"/>
  <c r="AE6" i="52" s="1"/>
  <c r="AI6" i="52" s="1"/>
  <c r="AO6" i="52" s="1"/>
  <c r="AS6" i="52" s="1"/>
  <c r="AW6" i="52" s="1"/>
  <c r="BE6" i="52" s="1"/>
  <c r="Q13" i="52"/>
  <c r="U13" i="52" s="1"/>
  <c r="AA13" i="52"/>
  <c r="AE13" i="52" s="1"/>
  <c r="AI13" i="52" s="1"/>
  <c r="AO13" i="52" s="1"/>
  <c r="AS13" i="52" s="1"/>
  <c r="AW13" i="52" s="1"/>
  <c r="BE13" i="52" s="1"/>
  <c r="R7" i="52"/>
  <c r="V7" i="52" s="1"/>
  <c r="AB7" i="52"/>
  <c r="AF7" i="52" s="1"/>
  <c r="AJ7" i="52" s="1"/>
  <c r="AP7" i="52" s="1"/>
  <c r="AT7" i="52" s="1"/>
  <c r="AX7" i="52" s="1"/>
  <c r="BF7" i="52" s="1"/>
  <c r="R14" i="52"/>
  <c r="V14" i="52" s="1"/>
  <c r="AB14" i="52"/>
  <c r="AF14" i="52" s="1"/>
  <c r="AJ14" i="52" s="1"/>
  <c r="AP14" i="52" s="1"/>
  <c r="AT14" i="52" s="1"/>
  <c r="AX14" i="52" s="1"/>
  <c r="BF14" i="52" s="1"/>
  <c r="R12" i="52"/>
  <c r="V12" i="52" s="1"/>
  <c r="AB12" i="52"/>
  <c r="AF12" i="52" s="1"/>
  <c r="AJ12" i="52" s="1"/>
  <c r="AP12" i="52" s="1"/>
  <c r="AT12" i="52" s="1"/>
  <c r="AX12" i="52" s="1"/>
  <c r="BF12" i="52" s="1"/>
  <c r="R6" i="52"/>
  <c r="V6" i="52" s="1"/>
  <c r="AB6" i="52"/>
  <c r="AF6" i="52" s="1"/>
  <c r="AJ6" i="52" s="1"/>
  <c r="AP6" i="52" s="1"/>
  <c r="AT6" i="52" s="1"/>
  <c r="AX6" i="52" s="1"/>
  <c r="BF6" i="52" s="1"/>
  <c r="Q7" i="52"/>
  <c r="U7" i="52" s="1"/>
  <c r="AA7" i="52"/>
  <c r="AE7" i="52" s="1"/>
  <c r="AI7" i="52" s="1"/>
  <c r="AO7" i="52" s="1"/>
  <c r="AS7" i="52" s="1"/>
  <c r="AW7" i="52" s="1"/>
  <c r="BE7" i="52" s="1"/>
  <c r="Q14" i="52"/>
  <c r="U14" i="52" s="1"/>
  <c r="AA14" i="52"/>
  <c r="AE14" i="52" s="1"/>
  <c r="AI14" i="52" s="1"/>
  <c r="AO14" i="52" s="1"/>
  <c r="AS14" i="52" s="1"/>
  <c r="AW14" i="52" s="1"/>
  <c r="BE14" i="52" s="1"/>
  <c r="N16" i="52"/>
  <c r="M16" i="52"/>
  <c r="AA9" i="52"/>
  <c r="Q9" i="52"/>
  <c r="U9" i="52" s="1"/>
  <c r="AB9" i="52"/>
  <c r="AF9" i="52" s="1"/>
  <c r="R9" i="52"/>
  <c r="V9" i="52" s="1"/>
  <c r="AA5" i="52"/>
  <c r="AE5" i="52" s="1"/>
  <c r="Q5" i="52"/>
  <c r="U5" i="52" s="1"/>
  <c r="AB5" i="52"/>
  <c r="AF5" i="52" s="1"/>
  <c r="R5" i="52"/>
  <c r="V5" i="52" s="1"/>
  <c r="P27" i="52"/>
  <c r="T27" i="52" s="1"/>
  <c r="P25" i="52"/>
  <c r="T25" i="52" s="1"/>
  <c r="P29" i="52"/>
  <c r="T29" i="52" s="1"/>
  <c r="P24" i="52"/>
  <c r="T24" i="52" s="1"/>
  <c r="P26" i="52"/>
  <c r="T26" i="52" s="1"/>
  <c r="P28" i="52"/>
  <c r="T28" i="52" s="1"/>
  <c r="P30" i="52"/>
  <c r="T30" i="52" s="1"/>
  <c r="O31" i="52"/>
  <c r="K31" i="52"/>
  <c r="U16" i="52" l="1"/>
  <c r="AJ5" i="52"/>
  <c r="AF8" i="52"/>
  <c r="AA16" i="52"/>
  <c r="AE9" i="52"/>
  <c r="AI5" i="52"/>
  <c r="AE8" i="52"/>
  <c r="AJ9" i="52"/>
  <c r="AF16" i="52"/>
  <c r="V8" i="52"/>
  <c r="U8" i="52"/>
  <c r="U17" i="52" s="1"/>
  <c r="V16" i="52"/>
  <c r="AB16" i="52"/>
  <c r="Q16" i="52"/>
  <c r="R16" i="52"/>
  <c r="AB8" i="52"/>
  <c r="R8" i="52"/>
  <c r="Q8" i="52"/>
  <c r="AA8" i="52"/>
  <c r="T31" i="52"/>
  <c r="P31" i="52"/>
  <c r="AO5" i="52" l="1"/>
  <c r="AI8" i="52"/>
  <c r="AF17" i="52"/>
  <c r="AI9" i="52"/>
  <c r="AE16" i="52"/>
  <c r="AE17" i="52" s="1"/>
  <c r="V17" i="52"/>
  <c r="AP9" i="52"/>
  <c r="AJ16" i="52"/>
  <c r="AP5" i="52"/>
  <c r="AJ8" i="52"/>
  <c r="R17" i="52"/>
  <c r="AA17" i="52"/>
  <c r="Q17" i="52"/>
  <c r="AB17" i="52"/>
  <c r="AP8" i="52" l="1"/>
  <c r="AT5" i="52"/>
  <c r="AO8" i="52"/>
  <c r="AS5" i="52"/>
  <c r="AP16" i="52"/>
  <c r="AT9" i="52"/>
  <c r="AJ17" i="52"/>
  <c r="AO9" i="52"/>
  <c r="AI16" i="52"/>
  <c r="AI17" i="52" s="1"/>
  <c r="N17" i="49"/>
  <c r="N18" i="49" s="1"/>
  <c r="N92" i="8"/>
  <c r="AT16" i="52" l="1"/>
  <c r="AX9" i="52"/>
  <c r="AS8" i="52"/>
  <c r="AW5" i="52"/>
  <c r="AT8" i="52"/>
  <c r="AX5" i="52"/>
  <c r="AP17" i="52"/>
  <c r="AO16" i="52"/>
  <c r="AO17" i="52" s="1"/>
  <c r="AS9" i="52"/>
  <c r="R105" i="8"/>
  <c r="V105" i="8" s="1"/>
  <c r="R117" i="8"/>
  <c r="V117" i="8" s="1"/>
  <c r="R92" i="8"/>
  <c r="V92" i="8" s="1"/>
  <c r="AB92" i="8"/>
  <c r="AF92" i="8" s="1"/>
  <c r="R108" i="8"/>
  <c r="V108" i="8" s="1"/>
  <c r="R111" i="8"/>
  <c r="R120" i="8"/>
  <c r="V120" i="8" s="1"/>
  <c r="R123" i="8"/>
  <c r="V123" i="8" s="1"/>
  <c r="V125" i="8" s="1"/>
  <c r="N125" i="8"/>
  <c r="N126" i="8" s="1"/>
  <c r="N113" i="8"/>
  <c r="N114" i="8" s="1"/>
  <c r="AS16" i="52" l="1"/>
  <c r="AS17" i="52" s="1"/>
  <c r="AW9" i="52"/>
  <c r="BF9" i="52"/>
  <c r="BF16" i="52" s="1"/>
  <c r="AX16" i="52"/>
  <c r="BF5" i="52"/>
  <c r="BF8" i="52" s="1"/>
  <c r="BF17" i="52" s="1"/>
  <c r="AX8" i="52"/>
  <c r="AX17" i="52" s="1"/>
  <c r="BE5" i="52"/>
  <c r="BE8" i="52" s="1"/>
  <c r="AW8" i="52"/>
  <c r="AT17" i="52"/>
  <c r="AJ92" i="8"/>
  <c r="AB17" i="49"/>
  <c r="AB18" i="49" s="1"/>
  <c r="R17" i="49"/>
  <c r="R18" i="49" s="1"/>
  <c r="V111" i="8"/>
  <c r="R113" i="8"/>
  <c r="R114" i="8" s="1"/>
  <c r="BE9" i="52" l="1"/>
  <c r="BE16" i="52" s="1"/>
  <c r="BE17" i="52" s="1"/>
  <c r="AW16" i="52"/>
  <c r="AW17" i="52" s="1"/>
  <c r="AP92" i="8"/>
  <c r="AT92" i="8" s="1"/>
  <c r="V113" i="8"/>
  <c r="V114" i="8" s="1"/>
  <c r="V17" i="49"/>
  <c r="V18" i="49" s="1"/>
  <c r="AB113" i="8" l="1"/>
  <c r="AB114" i="8"/>
  <c r="H46" i="59" l="1"/>
  <c r="H72" i="59" l="1"/>
  <c r="H71" i="59"/>
  <c r="H70" i="59"/>
  <c r="H68" i="59"/>
  <c r="H55" i="59"/>
  <c r="H54" i="59"/>
  <c r="H51" i="59"/>
  <c r="H48" i="59"/>
  <c r="H47" i="59"/>
  <c r="H45" i="59"/>
  <c r="H42" i="59"/>
  <c r="H41" i="59"/>
  <c r="H8" i="59"/>
  <c r="H9" i="59"/>
  <c r="H10" i="59"/>
  <c r="Y107" i="26" l="1"/>
  <c r="X107" i="26"/>
  <c r="Y105" i="26"/>
  <c r="X105" i="26"/>
  <c r="Y103" i="26"/>
  <c r="X103" i="26"/>
  <c r="Y101" i="26"/>
  <c r="X101" i="26"/>
  <c r="Y99" i="26"/>
  <c r="X99" i="26"/>
  <c r="Y97" i="26"/>
  <c r="X97" i="26"/>
  <c r="Y95" i="26"/>
  <c r="X95" i="26"/>
  <c r="Y93" i="26"/>
  <c r="X93" i="26"/>
  <c r="X88" i="26"/>
  <c r="Y84" i="26"/>
  <c r="Y79" i="26"/>
  <c r="X79" i="26"/>
  <c r="Y77" i="26"/>
  <c r="X72" i="26"/>
  <c r="X70" i="26"/>
  <c r="X68" i="26"/>
  <c r="X66" i="26"/>
  <c r="X64" i="26"/>
  <c r="X62" i="26"/>
  <c r="X60" i="26"/>
  <c r="Y58" i="26"/>
  <c r="X58" i="26"/>
  <c r="Y53" i="26"/>
  <c r="Y51" i="26"/>
  <c r="Y47" i="26"/>
  <c r="Y42" i="26"/>
  <c r="Y40" i="26"/>
  <c r="X40" i="26"/>
  <c r="Y38" i="26"/>
  <c r="Y36" i="26"/>
  <c r="Y34" i="26"/>
  <c r="Y32" i="26"/>
  <c r="Y30" i="26"/>
  <c r="Y28" i="26"/>
  <c r="Y26" i="26"/>
  <c r="Y24" i="26"/>
  <c r="Y22" i="26"/>
  <c r="Y16" i="26"/>
  <c r="Y81" i="26" l="1"/>
  <c r="K105" i="45" l="1"/>
  <c r="S105" i="45" s="1"/>
  <c r="W105" i="45" s="1"/>
  <c r="K100" i="45"/>
  <c r="AC105" i="45" l="1"/>
  <c r="AG105" i="45" s="1"/>
  <c r="AK105" i="45" s="1"/>
  <c r="AQ105" i="45" s="1"/>
  <c r="AU105" i="45" s="1"/>
  <c r="AY105" i="45" s="1"/>
  <c r="BG105" i="45" s="1"/>
  <c r="AC100" i="45"/>
  <c r="AG100" i="45" s="1"/>
  <c r="AK100" i="45" s="1"/>
  <c r="AQ100" i="45" s="1"/>
  <c r="AU100" i="45" s="1"/>
  <c r="AY100" i="45" s="1"/>
  <c r="BG100" i="45" s="1"/>
  <c r="S100" i="45"/>
  <c r="W100" i="45" s="1"/>
  <c r="AA9" i="61" l="1"/>
  <c r="AA84" i="45" l="1"/>
  <c r="Z84" i="45"/>
  <c r="AA82" i="45"/>
  <c r="Z82" i="45"/>
  <c r="AA6" i="45"/>
  <c r="AA73" i="45" s="1"/>
  <c r="AA112" i="45" s="1"/>
  <c r="AA5" i="45"/>
  <c r="Z5" i="45"/>
  <c r="AA2" i="45"/>
  <c r="Z2" i="45"/>
  <c r="AA66" i="59"/>
  <c r="Z66" i="59"/>
  <c r="Z67" i="59"/>
  <c r="Z78" i="11"/>
  <c r="Z83" i="11" s="1"/>
  <c r="Z74" i="11"/>
  <c r="Z73" i="11"/>
  <c r="Z7" i="11"/>
  <c r="Z5" i="11"/>
  <c r="Y5" i="11"/>
  <c r="Z2" i="11"/>
  <c r="Y2" i="11"/>
  <c r="AA62" i="59"/>
  <c r="Z62" i="59"/>
  <c r="Z150" i="10"/>
  <c r="Z155" i="10" s="1"/>
  <c r="Z145" i="10"/>
  <c r="Z146" i="10"/>
  <c r="Z5" i="10"/>
  <c r="Z127" i="10" s="1"/>
  <c r="Y5" i="10"/>
  <c r="Y127" i="10" s="1"/>
  <c r="Z2" i="10"/>
  <c r="Y2" i="10"/>
  <c r="AA58" i="59"/>
  <c r="Z58" i="59"/>
  <c r="D100" i="9"/>
  <c r="D95" i="9"/>
  <c r="D92" i="9"/>
  <c r="D90" i="9"/>
  <c r="D89" i="9"/>
  <c r="D74" i="9"/>
  <c r="D79" i="9" s="1"/>
  <c r="D70" i="9"/>
  <c r="D69" i="9"/>
  <c r="D68" i="9"/>
  <c r="D67" i="9"/>
  <c r="D66" i="9"/>
  <c r="D65" i="9"/>
  <c r="D64" i="9"/>
  <c r="D63" i="9"/>
  <c r="D55" i="9"/>
  <c r="D57" i="9" s="1"/>
  <c r="D62" i="9" s="1"/>
  <c r="D47" i="9"/>
  <c r="D27" i="9"/>
  <c r="D24" i="9"/>
  <c r="D22" i="9"/>
  <c r="D7" i="9"/>
  <c r="D88" i="9" s="1"/>
  <c r="Z18" i="9"/>
  <c r="AB18" i="9" s="1"/>
  <c r="AF18" i="9" s="1"/>
  <c r="AJ18" i="9" s="1"/>
  <c r="AP18" i="9" s="1"/>
  <c r="AT18" i="9" s="1"/>
  <c r="AX18" i="9" s="1"/>
  <c r="BF18" i="9" s="1"/>
  <c r="J18" i="9"/>
  <c r="Z15" i="9"/>
  <c r="Y15" i="9"/>
  <c r="Z8" i="9"/>
  <c r="AB8" i="9" s="1"/>
  <c r="AF8" i="9" s="1"/>
  <c r="Z7" i="9"/>
  <c r="AB7" i="9" s="1"/>
  <c r="AF7" i="9" s="1"/>
  <c r="D86" i="8"/>
  <c r="AU79" i="9" l="1"/>
  <c r="AY79" i="9"/>
  <c r="AJ8" i="9"/>
  <c r="AJ7" i="9"/>
  <c r="AQ79" i="9"/>
  <c r="AK79" i="9"/>
  <c r="AG79" i="9"/>
  <c r="AC79" i="9"/>
  <c r="Z52" i="11"/>
  <c r="Z90" i="11" s="1"/>
  <c r="Z51" i="11"/>
  <c r="S79" i="9"/>
  <c r="W79" i="9"/>
  <c r="AB15" i="9"/>
  <c r="AF15" i="9" s="1"/>
  <c r="AA86" i="45"/>
  <c r="AA102" i="45"/>
  <c r="AA97" i="45"/>
  <c r="Z65" i="11"/>
  <c r="Z57" i="11"/>
  <c r="O79" i="9"/>
  <c r="G79" i="9"/>
  <c r="K79" i="9"/>
  <c r="E79" i="9"/>
  <c r="Y51" i="9"/>
  <c r="AA15" i="9"/>
  <c r="AE15" i="9" s="1"/>
  <c r="Z137" i="10"/>
  <c r="Z21" i="36"/>
  <c r="AA72" i="45"/>
  <c r="AA106" i="45" s="1"/>
  <c r="AA108" i="45" s="1"/>
  <c r="Z86" i="45"/>
  <c r="Z75" i="45"/>
  <c r="Y65" i="11"/>
  <c r="Y54" i="11"/>
  <c r="Z55" i="11"/>
  <c r="Z59" i="59"/>
  <c r="Z81" i="11"/>
  <c r="D25" i="9"/>
  <c r="D26" i="9" s="1"/>
  <c r="D91" i="9"/>
  <c r="Z75" i="11"/>
  <c r="Z76" i="11" s="1"/>
  <c r="Z153" i="10"/>
  <c r="Y137" i="10"/>
  <c r="AA85" i="45"/>
  <c r="Z85" i="45"/>
  <c r="Z83" i="45"/>
  <c r="AB66" i="59" s="1"/>
  <c r="AA83" i="45"/>
  <c r="AC66" i="59" s="1"/>
  <c r="Z85" i="11"/>
  <c r="Y134" i="10"/>
  <c r="AB58" i="59" s="1"/>
  <c r="Z132" i="10"/>
  <c r="Z147" i="10"/>
  <c r="Z154" i="10" s="1"/>
  <c r="Z136" i="10"/>
  <c r="Y136" i="10"/>
  <c r="Z134" i="10"/>
  <c r="AC58" i="59" s="1"/>
  <c r="D19" i="9"/>
  <c r="D73" i="8"/>
  <c r="D48" i="8"/>
  <c r="D49" i="8" s="1"/>
  <c r="D24" i="8"/>
  <c r="D23" i="8"/>
  <c r="D22" i="8"/>
  <c r="D30" i="8"/>
  <c r="D28" i="8"/>
  <c r="D27" i="8"/>
  <c r="D67" i="8" s="1"/>
  <c r="D26" i="8"/>
  <c r="D15" i="8"/>
  <c r="Z6" i="7"/>
  <c r="D69" i="7"/>
  <c r="D67" i="7"/>
  <c r="D61" i="7"/>
  <c r="D25" i="7" s="1"/>
  <c r="D37" i="7"/>
  <c r="D46" i="7" s="1"/>
  <c r="D1" i="7"/>
  <c r="AP7" i="9" l="1"/>
  <c r="U25" i="7"/>
  <c r="U85" i="7" s="1"/>
  <c r="D85" i="7"/>
  <c r="Q25" i="7"/>
  <c r="Q85" i="7" s="1"/>
  <c r="AJ15" i="9"/>
  <c r="AF38" i="36"/>
  <c r="AF16" i="36" s="1"/>
  <c r="AF89" i="9"/>
  <c r="AP8" i="9"/>
  <c r="AI15" i="9"/>
  <c r="AE89" i="9"/>
  <c r="Z54" i="11"/>
  <c r="Z22" i="36" s="1"/>
  <c r="D57" i="8"/>
  <c r="D61" i="8" s="1"/>
  <c r="D34" i="8" s="1"/>
  <c r="D129" i="8"/>
  <c r="D131" i="8" s="1"/>
  <c r="D130" i="8"/>
  <c r="D132" i="8" s="1"/>
  <c r="Z19" i="7"/>
  <c r="AB6" i="7"/>
  <c r="AF6" i="7" s="1"/>
  <c r="D62" i="7"/>
  <c r="AA51" i="9"/>
  <c r="AE51" i="9" s="1"/>
  <c r="Z56" i="11"/>
  <c r="AA75" i="45"/>
  <c r="Z23" i="36" s="1"/>
  <c r="AA76" i="45"/>
  <c r="AA77" i="45" s="1"/>
  <c r="Z63" i="59"/>
  <c r="D21" i="7"/>
  <c r="D29" i="7"/>
  <c r="D24" i="7"/>
  <c r="D27" i="7"/>
  <c r="D23" i="7"/>
  <c r="D32" i="7"/>
  <c r="D26" i="7"/>
  <c r="D22" i="7"/>
  <c r="D63" i="8"/>
  <c r="D33" i="8" s="1"/>
  <c r="Z82" i="11"/>
  <c r="D77" i="7"/>
  <c r="D75" i="7"/>
  <c r="D70" i="7"/>
  <c r="D72" i="7"/>
  <c r="D25" i="8"/>
  <c r="D74" i="7"/>
  <c r="D35" i="8"/>
  <c r="Z148" i="10"/>
  <c r="Z77" i="11"/>
  <c r="AA63" i="59"/>
  <c r="D41" i="8"/>
  <c r="BA26" i="7" l="1"/>
  <c r="BA86" i="7" s="1"/>
  <c r="BC26" i="7"/>
  <c r="BC86" i="7" s="1"/>
  <c r="BC23" i="7"/>
  <c r="BC83" i="7" s="1"/>
  <c r="BF31" i="59" s="1"/>
  <c r="BA23" i="7"/>
  <c r="BA83" i="7" s="1"/>
  <c r="BD31" i="59" s="1"/>
  <c r="BC21" i="7"/>
  <c r="BA21" i="7"/>
  <c r="BC27" i="7"/>
  <c r="BC87" i="7" s="1"/>
  <c r="BF33" i="59" s="1"/>
  <c r="BA27" i="7"/>
  <c r="BA87" i="7" s="1"/>
  <c r="BD33" i="59" s="1"/>
  <c r="BC24" i="7"/>
  <c r="BC93" i="7" s="1"/>
  <c r="BF32" i="59" s="1"/>
  <c r="BA24" i="7"/>
  <c r="BA93" i="7" s="1"/>
  <c r="BD32" i="59" s="1"/>
  <c r="BA22" i="7"/>
  <c r="BA82" i="7" s="1"/>
  <c r="BD30" i="59" s="1"/>
  <c r="BC22" i="7"/>
  <c r="BC82" i="7" s="1"/>
  <c r="BF30" i="59" s="1"/>
  <c r="AI51" i="9"/>
  <c r="BE21" i="7"/>
  <c r="AW21" i="7"/>
  <c r="BE26" i="7"/>
  <c r="BE86" i="7" s="1"/>
  <c r="AW26" i="7"/>
  <c r="AW86" i="7" s="1"/>
  <c r="BE23" i="7"/>
  <c r="BE83" i="7" s="1"/>
  <c r="BH31" i="59" s="1"/>
  <c r="AW23" i="7"/>
  <c r="AW83" i="7" s="1"/>
  <c r="AZ31" i="59" s="1"/>
  <c r="BE24" i="7"/>
  <c r="BE93" i="7" s="1"/>
  <c r="BH32" i="59" s="1"/>
  <c r="AW24" i="7"/>
  <c r="AW93" i="7" s="1"/>
  <c r="AZ32" i="59" s="1"/>
  <c r="BE30" i="7"/>
  <c r="BE91" i="7" s="1"/>
  <c r="AW30" i="7"/>
  <c r="AW91" i="7" s="1"/>
  <c r="BE32" i="7"/>
  <c r="BE84" i="7" s="1"/>
  <c r="AW32" i="7"/>
  <c r="AW84" i="7" s="1"/>
  <c r="BE27" i="7"/>
  <c r="BE87" i="7" s="1"/>
  <c r="BH33" i="59" s="1"/>
  <c r="AW27" i="7"/>
  <c r="AW87" i="7" s="1"/>
  <c r="AZ33" i="59" s="1"/>
  <c r="BE22" i="7"/>
  <c r="BE82" i="7" s="1"/>
  <c r="BH30" i="59" s="1"/>
  <c r="AW22" i="7"/>
  <c r="AW82" i="7" s="1"/>
  <c r="AZ30" i="59" s="1"/>
  <c r="BE29" i="7"/>
  <c r="BE89" i="7" s="1"/>
  <c r="AW29" i="7"/>
  <c r="AW89" i="7" s="1"/>
  <c r="AZ35" i="59" s="1"/>
  <c r="AS26" i="7"/>
  <c r="AS86" i="7" s="1"/>
  <c r="AM26" i="7"/>
  <c r="AM86" i="7" s="1"/>
  <c r="AO26" i="7"/>
  <c r="AO86" i="7" s="1"/>
  <c r="AI26" i="7"/>
  <c r="AI86" i="7" s="1"/>
  <c r="AS30" i="7"/>
  <c r="AS91" i="7" s="1"/>
  <c r="AM30" i="7"/>
  <c r="AM91" i="7" s="1"/>
  <c r="AO30" i="7"/>
  <c r="AO91" i="7" s="1"/>
  <c r="AI30" i="7"/>
  <c r="AI91" i="7" s="1"/>
  <c r="AS32" i="7"/>
  <c r="AS84" i="7" s="1"/>
  <c r="AM32" i="7"/>
  <c r="AM84" i="7" s="1"/>
  <c r="AO32" i="7"/>
  <c r="AO84" i="7" s="1"/>
  <c r="AI32" i="7"/>
  <c r="AI84" i="7" s="1"/>
  <c r="AS29" i="7"/>
  <c r="AS89" i="7" s="1"/>
  <c r="AV35" i="59" s="1"/>
  <c r="AM29" i="7"/>
  <c r="AM89" i="7" s="1"/>
  <c r="AP35" i="59" s="1"/>
  <c r="AO29" i="7"/>
  <c r="AO89" i="7" s="1"/>
  <c r="AR35" i="59" s="1"/>
  <c r="AI29" i="7"/>
  <c r="AI89" i="7" s="1"/>
  <c r="AL35" i="59" s="1"/>
  <c r="AO15" i="9"/>
  <c r="AI89" i="9"/>
  <c r="AS23" i="7"/>
  <c r="AS83" i="7" s="1"/>
  <c r="AV31" i="59" s="1"/>
  <c r="AO23" i="7"/>
  <c r="AO83" i="7" s="1"/>
  <c r="AR31" i="59" s="1"/>
  <c r="AM23" i="7"/>
  <c r="AM83" i="7" s="1"/>
  <c r="AP31" i="59" s="1"/>
  <c r="AI23" i="7"/>
  <c r="AI83" i="7" s="1"/>
  <c r="AL31" i="59" s="1"/>
  <c r="AE21" i="7"/>
  <c r="AE81" i="7" s="1"/>
  <c r="AS21" i="7"/>
  <c r="AM21" i="7"/>
  <c r="AO21" i="7"/>
  <c r="AI21" i="7"/>
  <c r="AJ6" i="7"/>
  <c r="AF19" i="7"/>
  <c r="AT8" i="9"/>
  <c r="AX8" i="9" s="1"/>
  <c r="AP15" i="9"/>
  <c r="AJ38" i="36"/>
  <c r="AJ89" i="9"/>
  <c r="AE24" i="7"/>
  <c r="AE93" i="7" s="1"/>
  <c r="AH32" i="59" s="1"/>
  <c r="AS24" i="7"/>
  <c r="AS93" i="7" s="1"/>
  <c r="AV32" i="59" s="1"/>
  <c r="AM24" i="7"/>
  <c r="AM93" i="7" s="1"/>
  <c r="AP32" i="59" s="1"/>
  <c r="AO24" i="7"/>
  <c r="AO93" i="7" s="1"/>
  <c r="AR32" i="59" s="1"/>
  <c r="AI24" i="7"/>
  <c r="AI93" i="7" s="1"/>
  <c r="AL32" i="59" s="1"/>
  <c r="AS22" i="7"/>
  <c r="AS82" i="7" s="1"/>
  <c r="AV30" i="59" s="1"/>
  <c r="AO22" i="7"/>
  <c r="AO82" i="7" s="1"/>
  <c r="AR30" i="59" s="1"/>
  <c r="AM22" i="7"/>
  <c r="AM82" i="7" s="1"/>
  <c r="AP30" i="59" s="1"/>
  <c r="AI22" i="7"/>
  <c r="AI82" i="7" s="1"/>
  <c r="AL30" i="59" s="1"/>
  <c r="AS27" i="7"/>
  <c r="AS87" i="7" s="1"/>
  <c r="AV33" i="59" s="1"/>
  <c r="AO27" i="7"/>
  <c r="AO87" i="7" s="1"/>
  <c r="AR33" i="59" s="1"/>
  <c r="AM27" i="7"/>
  <c r="AM87" i="7" s="1"/>
  <c r="AP33" i="59" s="1"/>
  <c r="AI27" i="7"/>
  <c r="AI87" i="7" s="1"/>
  <c r="AL33" i="59" s="1"/>
  <c r="AT7" i="9"/>
  <c r="AX7" i="9" s="1"/>
  <c r="AA32" i="7"/>
  <c r="AE32" i="7"/>
  <c r="AE84" i="7" s="1"/>
  <c r="AA23" i="7"/>
  <c r="AE23" i="7"/>
  <c r="AE83" i="7" s="1"/>
  <c r="AH31" i="59" s="1"/>
  <c r="AA22" i="7"/>
  <c r="AE22" i="7"/>
  <c r="AE82" i="7" s="1"/>
  <c r="AH30" i="59" s="1"/>
  <c r="AA29" i="7"/>
  <c r="AE29" i="7"/>
  <c r="AE89" i="7" s="1"/>
  <c r="AH35" i="59" s="1"/>
  <c r="AA27" i="7"/>
  <c r="AE88" i="7"/>
  <c r="AH34" i="59" s="1"/>
  <c r="AE27" i="7"/>
  <c r="AE87" i="7" s="1"/>
  <c r="AH33" i="59" s="1"/>
  <c r="AA26" i="7"/>
  <c r="AE26" i="7"/>
  <c r="AE86" i="7" s="1"/>
  <c r="AA30" i="7"/>
  <c r="AE30" i="7"/>
  <c r="AE91" i="7" s="1"/>
  <c r="AA85" i="7"/>
  <c r="AA24" i="7"/>
  <c r="U22" i="7"/>
  <c r="U82" i="7" s="1"/>
  <c r="X30" i="59" s="1"/>
  <c r="D82" i="7"/>
  <c r="U27" i="7"/>
  <c r="U87" i="7" s="1"/>
  <c r="X33" i="59" s="1"/>
  <c r="D87" i="7"/>
  <c r="G33" i="59" s="1"/>
  <c r="U26" i="7"/>
  <c r="U86" i="7" s="1"/>
  <c r="D86" i="7"/>
  <c r="U24" i="7"/>
  <c r="U93" i="7" s="1"/>
  <c r="D93" i="7"/>
  <c r="U32" i="7"/>
  <c r="U84" i="7" s="1"/>
  <c r="D84" i="7"/>
  <c r="U29" i="7"/>
  <c r="U89" i="7" s="1"/>
  <c r="X35" i="59" s="1"/>
  <c r="D89" i="7"/>
  <c r="G35" i="59" s="1"/>
  <c r="U30" i="7"/>
  <c r="U91" i="7" s="1"/>
  <c r="D91" i="7"/>
  <c r="U23" i="7"/>
  <c r="U83" i="7" s="1"/>
  <c r="D83" i="7"/>
  <c r="U21" i="7"/>
  <c r="D81" i="7"/>
  <c r="I28" i="7"/>
  <c r="D34" i="7"/>
  <c r="D48" i="7" s="1"/>
  <c r="Q21" i="7"/>
  <c r="Q30" i="7"/>
  <c r="Q91" i="7" s="1"/>
  <c r="Q29" i="7"/>
  <c r="Q89" i="7" s="1"/>
  <c r="T35" i="59" s="1"/>
  <c r="V35" i="59"/>
  <c r="Q26" i="7"/>
  <c r="Q86" i="7" s="1"/>
  <c r="Q27" i="7"/>
  <c r="Q87" i="7" s="1"/>
  <c r="T33" i="59" s="1"/>
  <c r="Q22" i="7"/>
  <c r="Q82" i="7" s="1"/>
  <c r="V30" i="59"/>
  <c r="Q32" i="7"/>
  <c r="Q84" i="7" s="1"/>
  <c r="X31" i="59"/>
  <c r="Q23" i="7"/>
  <c r="Q83" i="7" s="1"/>
  <c r="V31" i="59"/>
  <c r="Q24" i="7"/>
  <c r="V33" i="59"/>
  <c r="M27" i="7"/>
  <c r="M87" i="7" s="1"/>
  <c r="P33" i="59" s="1"/>
  <c r="H33" i="59"/>
  <c r="M24" i="7"/>
  <c r="M93" i="7" s="1"/>
  <c r="P32" i="59" s="1"/>
  <c r="M22" i="7"/>
  <c r="M82" i="7" s="1"/>
  <c r="P30" i="59" s="1"/>
  <c r="M29" i="7"/>
  <c r="M89" i="7" s="1"/>
  <c r="P35" i="59" s="1"/>
  <c r="H35" i="59"/>
  <c r="M26" i="7"/>
  <c r="M86" i="7" s="1"/>
  <c r="M21" i="7"/>
  <c r="M32" i="7"/>
  <c r="M84" i="7" s="1"/>
  <c r="M23" i="7"/>
  <c r="M83" i="7" s="1"/>
  <c r="P31" i="59" s="1"/>
  <c r="M30" i="7"/>
  <c r="M91" i="7" s="1"/>
  <c r="Y22" i="7"/>
  <c r="Y82" i="7" s="1"/>
  <c r="I22" i="7"/>
  <c r="I82" i="7" s="1"/>
  <c r="I27" i="7"/>
  <c r="I87" i="7" s="1"/>
  <c r="Y27" i="7"/>
  <c r="Y87" i="7" s="1"/>
  <c r="Y30" i="7"/>
  <c r="Y91" i="7" s="1"/>
  <c r="I30" i="7"/>
  <c r="I91" i="7" s="1"/>
  <c r="Y32" i="7"/>
  <c r="Y84" i="7" s="1"/>
  <c r="I32" i="7"/>
  <c r="I84" i="7" s="1"/>
  <c r="Y29" i="7"/>
  <c r="Y89" i="7" s="1"/>
  <c r="I29" i="7"/>
  <c r="I89" i="7" s="1"/>
  <c r="I23" i="7"/>
  <c r="I83" i="7" s="1"/>
  <c r="Y23" i="7"/>
  <c r="Y83" i="7" s="1"/>
  <c r="Y21" i="7"/>
  <c r="Y81" i="7" s="1"/>
  <c r="AA21" i="7"/>
  <c r="I21" i="7"/>
  <c r="I81" i="7" s="1"/>
  <c r="Y26" i="7"/>
  <c r="Y86" i="7" s="1"/>
  <c r="I26" i="7"/>
  <c r="I86" i="7" s="1"/>
  <c r="Y24" i="7"/>
  <c r="Y93" i="7" s="1"/>
  <c r="I24" i="7"/>
  <c r="I93" i="7" s="1"/>
  <c r="X22" i="36"/>
  <c r="AA61" i="59" s="1"/>
  <c r="BA81" i="7" l="1"/>
  <c r="BA34" i="7"/>
  <c r="BA48" i="7" s="1"/>
  <c r="BC81" i="7"/>
  <c r="BC34" i="7"/>
  <c r="BC48" i="7" s="1"/>
  <c r="BF7" i="9"/>
  <c r="BF8" i="9"/>
  <c r="AW34" i="7"/>
  <c r="AW48" i="7" s="1"/>
  <c r="AW81" i="7"/>
  <c r="BE34" i="7"/>
  <c r="BE48" i="7" s="1"/>
  <c r="BE81" i="7"/>
  <c r="AI81" i="7"/>
  <c r="AI34" i="7"/>
  <c r="AI48" i="7" s="1"/>
  <c r="AO81" i="7"/>
  <c r="AO34" i="7"/>
  <c r="AO48" i="7" s="1"/>
  <c r="AT15" i="9"/>
  <c r="AX15" i="9" s="1"/>
  <c r="AP38" i="36"/>
  <c r="AP16" i="36" s="1"/>
  <c r="AP89" i="9"/>
  <c r="AM81" i="7"/>
  <c r="AM34" i="7"/>
  <c r="AM48" i="7" s="1"/>
  <c r="AP6" i="7"/>
  <c r="AJ19" i="7"/>
  <c r="AS34" i="7"/>
  <c r="AS48" i="7" s="1"/>
  <c r="AS81" i="7"/>
  <c r="AO51" i="9"/>
  <c r="AS15" i="9"/>
  <c r="AO89" i="9"/>
  <c r="AE95" i="7"/>
  <c r="AH29" i="59"/>
  <c r="AE34" i="7"/>
  <c r="AE48" i="7" s="1"/>
  <c r="I88" i="7"/>
  <c r="L34" i="59" s="1"/>
  <c r="U34" i="7"/>
  <c r="U48" i="7" s="1"/>
  <c r="U81" i="7"/>
  <c r="U95" i="7" s="1"/>
  <c r="Y34" i="7"/>
  <c r="Y48" i="7" s="1"/>
  <c r="S34" i="7"/>
  <c r="I34" i="7"/>
  <c r="I48" i="7" s="1"/>
  <c r="I57" i="7" s="1"/>
  <c r="E34" i="7"/>
  <c r="E48" i="7" s="1"/>
  <c r="M34" i="7"/>
  <c r="M48" i="7" s="1"/>
  <c r="Q81" i="7"/>
  <c r="Q34" i="7"/>
  <c r="Q48" i="7" s="1"/>
  <c r="Q71" i="7" s="1"/>
  <c r="D95" i="7"/>
  <c r="AA34" i="7"/>
  <c r="AA48" i="7" s="1"/>
  <c r="AA57" i="7" s="1"/>
  <c r="Q93" i="7"/>
  <c r="X32" i="59"/>
  <c r="M81" i="7"/>
  <c r="D57" i="7"/>
  <c r="D71" i="7"/>
  <c r="BE95" i="7" l="1"/>
  <c r="BH29" i="59"/>
  <c r="BC57" i="7"/>
  <c r="BC71" i="7"/>
  <c r="BF29" i="59"/>
  <c r="BC95" i="7"/>
  <c r="BA71" i="7"/>
  <c r="BA57" i="7"/>
  <c r="BD29" i="59"/>
  <c r="BA95" i="7"/>
  <c r="AS89" i="9"/>
  <c r="AW15" i="9"/>
  <c r="BF15" i="9"/>
  <c r="BF89" i="9" s="1"/>
  <c r="AX38" i="36"/>
  <c r="AX16" i="36" s="1"/>
  <c r="BA47" i="59" s="1"/>
  <c r="AX89" i="9"/>
  <c r="BE57" i="7"/>
  <c r="BE71" i="7"/>
  <c r="AW95" i="7"/>
  <c r="AZ29" i="59"/>
  <c r="AW71" i="7"/>
  <c r="AW57" i="7"/>
  <c r="AS71" i="7"/>
  <c r="AS57" i="7"/>
  <c r="AS47" i="59"/>
  <c r="AI71" i="7"/>
  <c r="AI57" i="7"/>
  <c r="AS51" i="9"/>
  <c r="AW51" i="9" s="1"/>
  <c r="AM71" i="7"/>
  <c r="AM57" i="7"/>
  <c r="AT38" i="36"/>
  <c r="AT16" i="36" s="1"/>
  <c r="AT89" i="9"/>
  <c r="AI95" i="7"/>
  <c r="AL29" i="59"/>
  <c r="AS95" i="7"/>
  <c r="AV29" i="59"/>
  <c r="AT6" i="7"/>
  <c r="AX6" i="7" s="1"/>
  <c r="AP19" i="7"/>
  <c r="AM95" i="7"/>
  <c r="AP29" i="59"/>
  <c r="AO71" i="7"/>
  <c r="AO57" i="7"/>
  <c r="AR29" i="59"/>
  <c r="AO95" i="7"/>
  <c r="AE71" i="7"/>
  <c r="AE57" i="7"/>
  <c r="Y57" i="7"/>
  <c r="Y71" i="7"/>
  <c r="U71" i="7"/>
  <c r="U57" i="7"/>
  <c r="S48" i="7"/>
  <c r="S57" i="7" s="1"/>
  <c r="E95" i="7"/>
  <c r="X29" i="59"/>
  <c r="Q95" i="7"/>
  <c r="V29" i="59"/>
  <c r="S95" i="7"/>
  <c r="M95" i="7"/>
  <c r="V32" i="59"/>
  <c r="Q57" i="7"/>
  <c r="E71" i="7"/>
  <c r="E57" i="7"/>
  <c r="P29" i="59"/>
  <c r="M71" i="7"/>
  <c r="M57" i="7"/>
  <c r="Z117" i="6"/>
  <c r="AB117" i="6" s="1"/>
  <c r="AF117" i="6" s="1"/>
  <c r="AJ117" i="6" s="1"/>
  <c r="AP117" i="6" s="1"/>
  <c r="AT117" i="6" s="1"/>
  <c r="Z116" i="6"/>
  <c r="AB116" i="6" s="1"/>
  <c r="AF116" i="6" s="1"/>
  <c r="AJ116" i="6" s="1"/>
  <c r="Z101" i="6"/>
  <c r="AB101" i="6" s="1"/>
  <c r="AF101" i="6" s="1"/>
  <c r="AJ101" i="6" s="1"/>
  <c r="AP101" i="6" s="1"/>
  <c r="AT101" i="6" s="1"/>
  <c r="Z100" i="6"/>
  <c r="Z99" i="6"/>
  <c r="AB99" i="6" s="1"/>
  <c r="AF99" i="6" s="1"/>
  <c r="Y88" i="6"/>
  <c r="AA88" i="6" s="1"/>
  <c r="AE88" i="6" s="1"/>
  <c r="AI88" i="6" s="1"/>
  <c r="AO88" i="6" s="1"/>
  <c r="AS88" i="6" s="1"/>
  <c r="AW88" i="6" s="1"/>
  <c r="BE88" i="6" s="1"/>
  <c r="Z88" i="6"/>
  <c r="AB88" i="6" s="1"/>
  <c r="AF88" i="6" s="1"/>
  <c r="AJ88" i="6" s="1"/>
  <c r="AP88" i="6" s="1"/>
  <c r="AT88" i="6" s="1"/>
  <c r="AX88" i="6" s="1"/>
  <c r="BF88" i="6" s="1"/>
  <c r="Y89" i="6"/>
  <c r="AA89" i="6" s="1"/>
  <c r="AE89" i="6" s="1"/>
  <c r="AI89" i="6" s="1"/>
  <c r="AO89" i="6" s="1"/>
  <c r="AS89" i="6" s="1"/>
  <c r="AW89" i="6" s="1"/>
  <c r="BE89" i="6" s="1"/>
  <c r="Z89" i="6"/>
  <c r="AB89" i="6" s="1"/>
  <c r="AF89" i="6" s="1"/>
  <c r="AJ89" i="6" s="1"/>
  <c r="AP89" i="6" s="1"/>
  <c r="AT89" i="6" s="1"/>
  <c r="AX89" i="6" s="1"/>
  <c r="BF89" i="6" s="1"/>
  <c r="Y91" i="6"/>
  <c r="AA91" i="6" s="1"/>
  <c r="AE91" i="6" s="1"/>
  <c r="AI91" i="6" s="1"/>
  <c r="AO91" i="6" s="1"/>
  <c r="AS91" i="6" s="1"/>
  <c r="AW91" i="6" s="1"/>
  <c r="BE91" i="6" s="1"/>
  <c r="Z87" i="6"/>
  <c r="AB87" i="6" s="1"/>
  <c r="AF87" i="6" s="1"/>
  <c r="Z105" i="6"/>
  <c r="AB105" i="6" s="1"/>
  <c r="AF105" i="6" s="1"/>
  <c r="AJ105" i="6" s="1"/>
  <c r="AP105" i="6" s="1"/>
  <c r="AT105" i="6" s="1"/>
  <c r="AX105" i="6" s="1"/>
  <c r="BF105" i="6" s="1"/>
  <c r="Z106" i="6"/>
  <c r="AB106" i="6" s="1"/>
  <c r="AF106" i="6" s="1"/>
  <c r="AJ106" i="6" s="1"/>
  <c r="AP106" i="6" s="1"/>
  <c r="AT106" i="6" s="1"/>
  <c r="AX106" i="6" s="1"/>
  <c r="BF106" i="6" s="1"/>
  <c r="Z108" i="6"/>
  <c r="Y108" i="6"/>
  <c r="AA108" i="6" s="1"/>
  <c r="AE108" i="6" s="1"/>
  <c r="AI108" i="6" s="1"/>
  <c r="AO108" i="6" s="1"/>
  <c r="AS108" i="6" s="1"/>
  <c r="AW108" i="6" s="1"/>
  <c r="BE108" i="6" s="1"/>
  <c r="D61" i="28"/>
  <c r="D77" i="28" s="1"/>
  <c r="D60" i="28"/>
  <c r="D59" i="28"/>
  <c r="D58" i="28"/>
  <c r="D55" i="28"/>
  <c r="BF6" i="7" l="1"/>
  <c r="AX21" i="7"/>
  <c r="AX19" i="7"/>
  <c r="BE15" i="9"/>
  <c r="BE89" i="9" s="1"/>
  <c r="AW89" i="9"/>
  <c r="AJ87" i="6"/>
  <c r="AF92" i="6"/>
  <c r="AP116" i="6"/>
  <c r="AT116" i="6" s="1"/>
  <c r="AW47" i="59"/>
  <c r="AJ99" i="6"/>
  <c r="AT19" i="7"/>
  <c r="S71" i="7"/>
  <c r="AB100" i="6"/>
  <c r="AF100" i="6" s="1"/>
  <c r="AJ100" i="6" s="1"/>
  <c r="AP100" i="6" s="1"/>
  <c r="AT100" i="6" s="1"/>
  <c r="D69" i="28"/>
  <c r="D73" i="28"/>
  <c r="AB108" i="6"/>
  <c r="AF108" i="6" s="1"/>
  <c r="AJ108" i="6" s="1"/>
  <c r="AP108" i="6" s="1"/>
  <c r="AT108" i="6" s="1"/>
  <c r="AX108" i="6" s="1"/>
  <c r="BF108" i="6" s="1"/>
  <c r="D62" i="28"/>
  <c r="D65" i="28"/>
  <c r="Z92" i="6"/>
  <c r="Z46" i="36"/>
  <c r="Z43" i="36"/>
  <c r="Z45" i="36" s="1"/>
  <c r="Z39" i="36"/>
  <c r="Z17" i="36" s="1"/>
  <c r="AC48" i="59" s="1"/>
  <c r="Z40" i="36"/>
  <c r="Z38" i="36"/>
  <c r="Z16" i="36" s="1"/>
  <c r="Y41" i="36"/>
  <c r="W32" i="36"/>
  <c r="AX81" i="7" l="1"/>
  <c r="AX34" i="7"/>
  <c r="AX48" i="7" s="1"/>
  <c r="BF21" i="7"/>
  <c r="BF19" i="7"/>
  <c r="BE51" i="9"/>
  <c r="AP99" i="6"/>
  <c r="AP87" i="6"/>
  <c r="AJ92" i="6"/>
  <c r="Z18" i="36"/>
  <c r="AC49" i="59" s="1"/>
  <c r="AC47" i="59"/>
  <c r="W39" i="36"/>
  <c r="W38" i="36"/>
  <c r="Y38" i="36" s="1"/>
  <c r="D81" i="28"/>
  <c r="X19" i="36"/>
  <c r="AA50" i="59" s="1"/>
  <c r="BA29" i="59" l="1"/>
  <c r="AX95" i="7"/>
  <c r="BF81" i="7"/>
  <c r="BF34" i="7"/>
  <c r="AX71" i="7"/>
  <c r="AX57" i="7"/>
  <c r="AT99" i="6"/>
  <c r="AT87" i="6"/>
  <c r="AP92" i="6"/>
  <c r="D12" i="21"/>
  <c r="D15" i="21" s="1"/>
  <c r="Y6" i="21"/>
  <c r="BI29" i="59" l="1"/>
  <c r="BF95" i="7"/>
  <c r="BF48" i="7"/>
  <c r="AT92" i="6"/>
  <c r="AX87" i="6"/>
  <c r="D22" i="21"/>
  <c r="D28" i="21"/>
  <c r="BF71" i="7" l="1"/>
  <c r="BF57" i="7"/>
  <c r="BF87" i="6"/>
  <c r="BF92" i="6" s="1"/>
  <c r="AX92" i="6"/>
  <c r="W33" i="36"/>
  <c r="W34" i="36" s="1"/>
  <c r="W35" i="36" s="1"/>
  <c r="W36" i="36" s="1"/>
  <c r="W30" i="36" l="1"/>
  <c r="Z73" i="59" s="1"/>
  <c r="AA45" i="59"/>
  <c r="X51" i="35"/>
  <c r="W51" i="35" l="1"/>
  <c r="X30" i="36" l="1"/>
  <c r="AA73" i="59" s="1"/>
  <c r="J125" i="6" l="1"/>
  <c r="I125" i="6"/>
  <c r="J122" i="6"/>
  <c r="I121" i="6"/>
  <c r="J127" i="6"/>
  <c r="I116" i="6"/>
  <c r="J118" i="6"/>
  <c r="J117" i="6"/>
  <c r="J116" i="6"/>
  <c r="J113" i="6"/>
  <c r="I113" i="6"/>
  <c r="J110" i="6"/>
  <c r="I110" i="6"/>
  <c r="J108" i="6"/>
  <c r="I108" i="6"/>
  <c r="J106" i="6"/>
  <c r="I106" i="6"/>
  <c r="J105" i="6"/>
  <c r="I105" i="6"/>
  <c r="J104" i="6"/>
  <c r="I104" i="6"/>
  <c r="I99" i="6"/>
  <c r="J101" i="6"/>
  <c r="J100" i="6"/>
  <c r="J99" i="6"/>
  <c r="J96" i="6"/>
  <c r="I96" i="6"/>
  <c r="J93" i="6"/>
  <c r="I93" i="6"/>
  <c r="I88" i="6"/>
  <c r="J88" i="6"/>
  <c r="I89" i="6"/>
  <c r="J89" i="6"/>
  <c r="I91" i="6"/>
  <c r="J91" i="6"/>
  <c r="J87" i="6"/>
  <c r="I87" i="6"/>
  <c r="J97" i="6" l="1"/>
  <c r="J92" i="6"/>
  <c r="J109" i="6"/>
  <c r="J134" i="6"/>
  <c r="AA99" i="6"/>
  <c r="AE99" i="6" s="1"/>
  <c r="AI99" i="6" s="1"/>
  <c r="AA116" i="6"/>
  <c r="AE116" i="6" s="1"/>
  <c r="AI116" i="6" s="1"/>
  <c r="J130" i="6"/>
  <c r="J131" i="6" s="1"/>
  <c r="I97" i="6"/>
  <c r="I109" i="6"/>
  <c r="I114" i="6"/>
  <c r="J133" i="6"/>
  <c r="J114" i="6"/>
  <c r="I92" i="6"/>
  <c r="I130" i="6"/>
  <c r="J121" i="6"/>
  <c r="J124" i="6"/>
  <c r="I127" i="6"/>
  <c r="J135" i="6"/>
  <c r="I122" i="6"/>
  <c r="AO99" i="6" l="1"/>
  <c r="AO116" i="6"/>
  <c r="AS116" i="6" s="1"/>
  <c r="J115" i="6"/>
  <c r="J119" i="6" s="1"/>
  <c r="I115" i="6"/>
  <c r="I119" i="6" s="1"/>
  <c r="I98" i="6"/>
  <c r="I102" i="6" s="1"/>
  <c r="J98" i="6"/>
  <c r="J102" i="6" s="1"/>
  <c r="J126" i="6"/>
  <c r="I131" i="6"/>
  <c r="I126" i="6"/>
  <c r="AS99" i="6" l="1"/>
  <c r="I132" i="6"/>
  <c r="J132" i="6"/>
  <c r="J136" i="6" l="1"/>
  <c r="J192" i="6"/>
  <c r="J205" i="6"/>
  <c r="J196" i="6"/>
  <c r="J203" i="6"/>
  <c r="J200" i="6"/>
  <c r="J204" i="6"/>
  <c r="J208" i="6"/>
  <c r="J210" i="6"/>
  <c r="J199" i="6"/>
  <c r="J209" i="6"/>
  <c r="J202" i="6"/>
  <c r="J197" i="6"/>
  <c r="J198" i="6"/>
  <c r="J211" i="6" l="1"/>
  <c r="J201" i="6"/>
  <c r="J206" i="6"/>
  <c r="M11" i="59" l="1"/>
  <c r="J207" i="6"/>
  <c r="J212" i="6" l="1"/>
  <c r="T22" i="36" l="1"/>
  <c r="W61" i="59" s="1"/>
  <c r="T21" i="36" l="1"/>
  <c r="W57" i="59" s="1"/>
  <c r="AB85" i="11"/>
  <c r="AB77" i="11"/>
  <c r="I17" i="61" l="1"/>
  <c r="K9" i="61"/>
  <c r="V157" i="10" l="1"/>
  <c r="V149" i="10"/>
  <c r="N149" i="10"/>
  <c r="N157" i="10"/>
  <c r="G17" i="61"/>
  <c r="K17" i="61" l="1"/>
  <c r="T63" i="22" l="1"/>
  <c r="T58" i="22"/>
  <c r="T52" i="22"/>
  <c r="T44" i="22"/>
  <c r="T64" i="22"/>
  <c r="T51" i="22"/>
  <c r="T59" i="22"/>
  <c r="T43" i="22"/>
  <c r="T53" i="22" l="1"/>
  <c r="T55" i="22" s="1"/>
  <c r="T56" i="22" s="1"/>
  <c r="T45" i="22"/>
  <c r="T47" i="22" s="1"/>
  <c r="T48" i="22" s="1"/>
  <c r="T60" i="22"/>
  <c r="T61" i="22" s="1"/>
  <c r="T65" i="22"/>
  <c r="T66" i="22" s="1"/>
  <c r="X77" i="26" l="1"/>
  <c r="X81" i="26" s="1"/>
  <c r="X47" i="26"/>
  <c r="S5" i="9" l="1"/>
  <c r="T5" i="9"/>
  <c r="Z41" i="36"/>
  <c r="Z42" i="36" s="1"/>
  <c r="S58" i="9" l="1"/>
  <c r="Y58" i="9" s="1"/>
  <c r="S61" i="9"/>
  <c r="Y61" i="9" s="1"/>
  <c r="S55" i="9"/>
  <c r="Y55" i="9" s="1"/>
  <c r="S59" i="9"/>
  <c r="Y59" i="9" s="1"/>
  <c r="S56" i="9"/>
  <c r="Y56" i="9" s="1"/>
  <c r="S33" i="22"/>
  <c r="S68" i="9"/>
  <c r="Y68" i="9" s="1"/>
  <c r="S64" i="9"/>
  <c r="Y64" i="9" s="1"/>
  <c r="S95" i="9"/>
  <c r="U95" i="9" s="1"/>
  <c r="S67" i="9"/>
  <c r="Y67" i="9" s="1"/>
  <c r="S63" i="9"/>
  <c r="Y63" i="9" s="1"/>
  <c r="S65" i="9"/>
  <c r="Y65" i="9" s="1"/>
  <c r="R125" i="26"/>
  <c r="S92" i="9"/>
  <c r="U92" i="9" s="1"/>
  <c r="S70" i="9"/>
  <c r="Y70" i="9" s="1"/>
  <c r="S66" i="9"/>
  <c r="Y66" i="9" s="1"/>
  <c r="S69" i="9"/>
  <c r="Y69" i="9" s="1"/>
  <c r="S100" i="9"/>
  <c r="T33" i="22"/>
  <c r="S125" i="26"/>
  <c r="T89" i="9"/>
  <c r="T96" i="9"/>
  <c r="T94" i="9"/>
  <c r="S18" i="15" s="1"/>
  <c r="T90" i="9"/>
  <c r="T100" i="9"/>
  <c r="W53" i="59"/>
  <c r="S19" i="9"/>
  <c r="U19" i="9" s="1"/>
  <c r="S27" i="9"/>
  <c r="U27" i="9" s="1"/>
  <c r="S7" i="9"/>
  <c r="U61" i="9" l="1"/>
  <c r="U66" i="9"/>
  <c r="U83" i="9" s="1"/>
  <c r="U65" i="9"/>
  <c r="U82" i="9" s="1"/>
  <c r="X55" i="59" s="1"/>
  <c r="U64" i="9"/>
  <c r="U81" i="9" s="1"/>
  <c r="U59" i="9"/>
  <c r="U70" i="9"/>
  <c r="U87" i="9" s="1"/>
  <c r="X54" i="59" s="1"/>
  <c r="U63" i="9"/>
  <c r="U80" i="9" s="1"/>
  <c r="U68" i="9"/>
  <c r="U85" i="9" s="1"/>
  <c r="U67" i="9"/>
  <c r="U84" i="9" s="1"/>
  <c r="U69" i="9"/>
  <c r="U86" i="9" s="1"/>
  <c r="U56" i="9"/>
  <c r="U93" i="9"/>
  <c r="S57" i="9"/>
  <c r="Y57" i="9" s="1"/>
  <c r="U55" i="9"/>
  <c r="S60" i="9"/>
  <c r="Y60" i="9" s="1"/>
  <c r="U58" i="9"/>
  <c r="S7" i="22"/>
  <c r="Y7" i="22" s="1"/>
  <c r="Y15" i="22" s="1"/>
  <c r="S21" i="22"/>
  <c r="Y21" i="22" s="1"/>
  <c r="T91" i="9"/>
  <c r="U60" i="9" l="1"/>
  <c r="AA61" i="9"/>
  <c r="AE61" i="9" s="1"/>
  <c r="S62" i="9"/>
  <c r="Y62" i="9" s="1"/>
  <c r="U57" i="9"/>
  <c r="S8" i="22"/>
  <c r="S22" i="22"/>
  <c r="AE78" i="9" l="1"/>
  <c r="AI61" i="9"/>
  <c r="AA60" i="9"/>
  <c r="AE60" i="9" s="1"/>
  <c r="U62" i="9"/>
  <c r="Y8" i="22"/>
  <c r="Y9" i="22" s="1"/>
  <c r="Y22" i="22"/>
  <c r="Y23" i="22" s="1"/>
  <c r="S24" i="22"/>
  <c r="Y24" i="22" s="1"/>
  <c r="S10" i="22"/>
  <c r="Y10" i="22" s="1"/>
  <c r="T10" i="49"/>
  <c r="T12" i="49" s="1"/>
  <c r="T14" i="49" s="1"/>
  <c r="S6" i="8"/>
  <c r="T135" i="7"/>
  <c r="T137" i="7" s="1"/>
  <c r="T138" i="7" s="1"/>
  <c r="T129" i="7"/>
  <c r="T131" i="7" s="1"/>
  <c r="T132" i="7" s="1"/>
  <c r="AI78" i="9" l="1"/>
  <c r="AO61" i="9"/>
  <c r="AE77" i="9"/>
  <c r="AI60" i="9"/>
  <c r="AA62" i="9"/>
  <c r="AE62" i="9" s="1"/>
  <c r="S11" i="22"/>
  <c r="Y11" i="22" s="1"/>
  <c r="S25" i="22"/>
  <c r="Y25" i="22" s="1"/>
  <c r="S26" i="8"/>
  <c r="S79" i="8"/>
  <c r="S29" i="8"/>
  <c r="Y29" i="8" s="1"/>
  <c r="S6" i="49"/>
  <c r="S22" i="8"/>
  <c r="S8" i="49" s="1"/>
  <c r="S49" i="8"/>
  <c r="S74" i="8" s="1"/>
  <c r="S24" i="8"/>
  <c r="S30" i="8"/>
  <c r="Y30" i="8" s="1"/>
  <c r="S27" i="8"/>
  <c r="Y27" i="8" s="1"/>
  <c r="S23" i="8"/>
  <c r="S28" i="8"/>
  <c r="Y28" i="8" s="1"/>
  <c r="T39" i="8"/>
  <c r="T38" i="8"/>
  <c r="T46" i="8"/>
  <c r="T80" i="8"/>
  <c r="T44" i="8"/>
  <c r="T40" i="8"/>
  <c r="T43" i="8"/>
  <c r="T76" i="8"/>
  <c r="W45" i="59" s="1"/>
  <c r="T42" i="8"/>
  <c r="T86" i="8"/>
  <c r="T6" i="49"/>
  <c r="T114" i="7"/>
  <c r="T115" i="7" s="1"/>
  <c r="T117" i="7" s="1"/>
  <c r="T118" i="7" s="1"/>
  <c r="T112" i="7"/>
  <c r="AO78" i="9" l="1"/>
  <c r="AS61" i="9"/>
  <c r="AI77" i="9"/>
  <c r="AO60" i="9"/>
  <c r="AE79" i="9"/>
  <c r="AI62" i="9"/>
  <c r="S17" i="49"/>
  <c r="S18" i="49" s="1"/>
  <c r="Y24" i="8"/>
  <c r="S9" i="49"/>
  <c r="Y23" i="8"/>
  <c r="S129" i="8"/>
  <c r="S131" i="8" s="1"/>
  <c r="Y26" i="8"/>
  <c r="Y129" i="8" s="1"/>
  <c r="Y130" i="8" s="1"/>
  <c r="S27" i="22"/>
  <c r="Y27" i="22" s="1"/>
  <c r="Y26" i="22"/>
  <c r="Y29" i="22"/>
  <c r="S13" i="22"/>
  <c r="Y13" i="22" s="1"/>
  <c r="Y12" i="22"/>
  <c r="S65" i="8"/>
  <c r="S67" i="8"/>
  <c r="S35" i="8" s="1"/>
  <c r="Y35" i="8" s="1"/>
  <c r="S57" i="8"/>
  <c r="S61" i="8" s="1"/>
  <c r="S34" i="8" s="1"/>
  <c r="Y34" i="8" s="1"/>
  <c r="S63" i="8"/>
  <c r="S25" i="8"/>
  <c r="T41" i="8"/>
  <c r="T116" i="7"/>
  <c r="T119" i="7" s="1"/>
  <c r="T8" i="36"/>
  <c r="W9" i="59" s="1"/>
  <c r="AS78" i="9" l="1"/>
  <c r="AW61" i="9"/>
  <c r="AO77" i="9"/>
  <c r="AS60" i="9"/>
  <c r="AI79" i="9"/>
  <c r="AO62" i="9"/>
  <c r="Y131" i="8"/>
  <c r="Y132" i="8" s="1"/>
  <c r="S130" i="8"/>
  <c r="S132" i="8" s="1"/>
  <c r="Y28" i="22"/>
  <c r="Y14" i="22"/>
  <c r="S36" i="8"/>
  <c r="Y36" i="8" s="1"/>
  <c r="Y65" i="8"/>
  <c r="S33" i="8"/>
  <c r="Y33" i="8" s="1"/>
  <c r="S10" i="49"/>
  <c r="S12" i="49" s="1"/>
  <c r="S14" i="49" s="1"/>
  <c r="S15" i="49" s="1"/>
  <c r="S16" i="49" s="1"/>
  <c r="S19" i="49" s="1"/>
  <c r="S20" i="49" s="1"/>
  <c r="T7" i="36"/>
  <c r="W8" i="59" s="1"/>
  <c r="T15" i="49"/>
  <c r="AW78" i="9" l="1"/>
  <c r="BE61" i="9"/>
  <c r="BE78" i="9" s="1"/>
  <c r="AS77" i="9"/>
  <c r="AW60" i="9"/>
  <c r="AO79" i="9"/>
  <c r="AS62" i="9"/>
  <c r="T16" i="49"/>
  <c r="T19" i="49" s="1"/>
  <c r="T20" i="49" s="1"/>
  <c r="AW77" i="9" l="1"/>
  <c r="BE60" i="9"/>
  <c r="BE77" i="9" s="1"/>
  <c r="AS79" i="9"/>
  <c r="AW62" i="9"/>
  <c r="T9" i="36"/>
  <c r="W10" i="59" s="1"/>
  <c r="AW79" i="9" l="1"/>
  <c r="BE62" i="9"/>
  <c r="BE79" i="9" s="1"/>
  <c r="R84" i="17"/>
  <c r="W50" i="59" l="1"/>
  <c r="AA17" i="61" l="1"/>
  <c r="Z84" i="11"/>
  <c r="AC61" i="59" l="1"/>
  <c r="Z71" i="11"/>
  <c r="AC63" i="59" s="1"/>
  <c r="Z88" i="11"/>
  <c r="Z86" i="11"/>
  <c r="AA91" i="45"/>
  <c r="Z91" i="45"/>
  <c r="AA90" i="45"/>
  <c r="Z90" i="45"/>
  <c r="AA89" i="45"/>
  <c r="Z70" i="11"/>
  <c r="Y70" i="11"/>
  <c r="Z69" i="11"/>
  <c r="Y69" i="11"/>
  <c r="Z68" i="11"/>
  <c r="J7" i="11"/>
  <c r="AB7" i="11" l="1"/>
  <c r="AF7" i="11" s="1"/>
  <c r="AJ7" i="11" s="1"/>
  <c r="AP7" i="11" s="1"/>
  <c r="AT7" i="11" s="1"/>
  <c r="AX7" i="11" s="1"/>
  <c r="J55" i="11"/>
  <c r="J52" i="11"/>
  <c r="J51" i="11"/>
  <c r="AX52" i="11" l="1"/>
  <c r="AY102" i="50" s="1"/>
  <c r="AX51" i="11"/>
  <c r="AX84" i="11" s="1"/>
  <c r="AX55" i="11"/>
  <c r="AX56" i="11" s="1"/>
  <c r="AT55" i="11"/>
  <c r="AT52" i="11"/>
  <c r="AU102" i="50" s="1"/>
  <c r="AT51" i="11"/>
  <c r="AT84" i="11" s="1"/>
  <c r="AP52" i="11"/>
  <c r="AQ102" i="50" s="1"/>
  <c r="AP55" i="11"/>
  <c r="AP51" i="11"/>
  <c r="AP84" i="11" s="1"/>
  <c r="AP86" i="11" s="1"/>
  <c r="AJ55" i="11"/>
  <c r="AJ52" i="11"/>
  <c r="AK102" i="50" s="1"/>
  <c r="AJ51" i="11"/>
  <c r="AJ84" i="11" s="1"/>
  <c r="AF52" i="11"/>
  <c r="AF55" i="11"/>
  <c r="AF51" i="11"/>
  <c r="AF84" i="11" s="1"/>
  <c r="J162" i="10"/>
  <c r="J56" i="11"/>
  <c r="AB52" i="11"/>
  <c r="AB55" i="11"/>
  <c r="AB51" i="11"/>
  <c r="Z92" i="45"/>
  <c r="AA92" i="45"/>
  <c r="AX88" i="11" l="1"/>
  <c r="AX86" i="11"/>
  <c r="AX54" i="11"/>
  <c r="AX22" i="36" s="1"/>
  <c r="BA61" i="59" s="1"/>
  <c r="AX90" i="11"/>
  <c r="AP56" i="11"/>
  <c r="AT90" i="11"/>
  <c r="AT86" i="11"/>
  <c r="AT56" i="11"/>
  <c r="AP90" i="11"/>
  <c r="AF56" i="11"/>
  <c r="AJ86" i="11"/>
  <c r="AJ90" i="11"/>
  <c r="AJ56" i="11"/>
  <c r="AF90" i="11"/>
  <c r="AF86" i="11"/>
  <c r="AB90" i="11"/>
  <c r="AB56" i="11"/>
  <c r="AC67" i="59"/>
  <c r="AB65" i="59"/>
  <c r="AA110" i="45"/>
  <c r="R162" i="10" l="1"/>
  <c r="AC65" i="59"/>
  <c r="H88" i="17" l="1"/>
  <c r="H87" i="17"/>
  <c r="L87" i="17" s="1"/>
  <c r="P87" i="17" s="1"/>
  <c r="T87" i="17" s="1"/>
  <c r="H32" i="27"/>
  <c r="L88" i="17" l="1"/>
  <c r="P88" i="17" s="1"/>
  <c r="T88" i="17" s="1"/>
  <c r="X88" i="17" s="1"/>
  <c r="P32" i="27"/>
  <c r="Z87" i="17"/>
  <c r="AD87" i="17" s="1"/>
  <c r="AH87" i="17" s="1"/>
  <c r="AN87" i="17" l="1"/>
  <c r="AR87" i="17" s="1"/>
  <c r="AV87" i="17" s="1"/>
  <c r="BD87" i="17" s="1"/>
  <c r="T32" i="27"/>
  <c r="Z32" i="27"/>
  <c r="AD32" i="27" s="1"/>
  <c r="AH32" i="27" s="1"/>
  <c r="AN32" i="27" s="1"/>
  <c r="AR32" i="27" s="1"/>
  <c r="X16" i="26" l="1"/>
  <c r="X14" i="26"/>
  <c r="X10" i="26"/>
  <c r="X8" i="26"/>
  <c r="X11" i="26" l="1"/>
  <c r="X18" i="26" s="1"/>
  <c r="R31" i="36" l="1"/>
  <c r="Q31" i="36"/>
  <c r="J5" i="45"/>
  <c r="Y46" i="36"/>
  <c r="Y43" i="36"/>
  <c r="Y45" i="36" s="1"/>
  <c r="Y31" i="36" l="1"/>
  <c r="Y39" i="36"/>
  <c r="Y32" i="36"/>
  <c r="Z32" i="36"/>
  <c r="R5" i="45"/>
  <c r="AB5" i="45"/>
  <c r="AF5" i="45" s="1"/>
  <c r="AJ5" i="45" s="1"/>
  <c r="Y40" i="36"/>
  <c r="AP5" i="45" l="1"/>
  <c r="AJ75" i="45"/>
  <c r="AF75" i="45"/>
  <c r="AB72" i="59"/>
  <c r="Z29" i="36"/>
  <c r="Y7" i="15" s="1"/>
  <c r="Z28" i="36"/>
  <c r="Y6" i="15" s="1"/>
  <c r="Z27" i="36"/>
  <c r="Y5" i="15" s="1"/>
  <c r="AB75" i="45"/>
  <c r="V5" i="45"/>
  <c r="AB70" i="59"/>
  <c r="AB71" i="59"/>
  <c r="Y42" i="36"/>
  <c r="AP75" i="45" l="1"/>
  <c r="AR65" i="59" s="1"/>
  <c r="AT5" i="45"/>
  <c r="F128" i="10"/>
  <c r="F129" i="10" s="1"/>
  <c r="AT75" i="45" l="1"/>
  <c r="AV65" i="59" s="1"/>
  <c r="AX5" i="45"/>
  <c r="BF5" i="45" l="1"/>
  <c r="BF75" i="45" s="1"/>
  <c r="AX75" i="45"/>
  <c r="AZ65" i="59" s="1"/>
  <c r="N156" i="10"/>
  <c r="N160" i="10" s="1"/>
  <c r="V156" i="10"/>
  <c r="V158" i="10" s="1"/>
  <c r="BG41" i="50" l="1"/>
  <c r="N158" i="10"/>
  <c r="AC9" i="61"/>
  <c r="AG9" i="61" s="1"/>
  <c r="V162" i="10"/>
  <c r="N143" i="10"/>
  <c r="Q59" i="59" s="1"/>
  <c r="S9" i="61"/>
  <c r="W9" i="61" s="1"/>
  <c r="BG47" i="50" l="1"/>
  <c r="BG107" i="50" s="1"/>
  <c r="AG17" i="61"/>
  <c r="AK9" i="61"/>
  <c r="O17" i="61"/>
  <c r="AC17" i="61"/>
  <c r="AK17" i="61" l="1"/>
  <c r="AQ9" i="61"/>
  <c r="W17" i="61"/>
  <c r="S17" i="61"/>
  <c r="X17" i="26"/>
  <c r="AQ17" i="61" l="1"/>
  <c r="AU9" i="61"/>
  <c r="R7" i="11"/>
  <c r="V7" i="11" s="1"/>
  <c r="I19" i="8"/>
  <c r="J19" i="8"/>
  <c r="AU17" i="61" l="1"/>
  <c r="AY9" i="61"/>
  <c r="R52" i="11"/>
  <c r="R55" i="11"/>
  <c r="R51" i="11"/>
  <c r="AY17" i="61" l="1"/>
  <c r="BG9" i="61"/>
  <c r="BG17" i="61" s="1"/>
  <c r="R56" i="11"/>
  <c r="S74" i="45"/>
  <c r="V51" i="11"/>
  <c r="V84" i="11" s="1"/>
  <c r="V86" i="11" s="1"/>
  <c r="V52" i="11"/>
  <c r="V55" i="11"/>
  <c r="AC98" i="45"/>
  <c r="V56" i="11" l="1"/>
  <c r="AC107" i="45"/>
  <c r="H14" i="26" l="1"/>
  <c r="L14" i="26" s="1"/>
  <c r="P14" i="26" s="1"/>
  <c r="T14" i="26" s="1"/>
  <c r="H16" i="26"/>
  <c r="L16" i="26" s="1"/>
  <c r="P16" i="26" s="1"/>
  <c r="T16" i="26" s="1"/>
  <c r="Z14" i="26" l="1"/>
  <c r="AD14" i="26" s="1"/>
  <c r="AH14" i="26" s="1"/>
  <c r="AN14" i="26" s="1"/>
  <c r="AR14" i="26" s="1"/>
  <c r="AV14" i="26" s="1"/>
  <c r="BD14" i="26" s="1"/>
  <c r="Z16" i="26" l="1"/>
  <c r="AD16" i="26" s="1"/>
  <c r="AH16" i="26" s="1"/>
  <c r="AN16" i="26" s="1"/>
  <c r="AR16" i="26" s="1"/>
  <c r="AV16" i="26" s="1"/>
  <c r="BD16" i="26" s="1"/>
  <c r="F8" i="52" l="1"/>
  <c r="G8" i="52"/>
  <c r="H8" i="52"/>
  <c r="K8" i="52"/>
  <c r="L8" i="52"/>
  <c r="G17" i="52" l="1"/>
  <c r="F17" i="52"/>
  <c r="H17" i="52"/>
  <c r="L17" i="52"/>
  <c r="K17" i="52"/>
  <c r="M8" i="52"/>
  <c r="N8" i="52"/>
  <c r="L19" i="36" l="1"/>
  <c r="O50" i="59" s="1"/>
  <c r="N17" i="52"/>
  <c r="M17" i="52" l="1"/>
  <c r="J86" i="45" l="1"/>
  <c r="H10" i="26" l="1"/>
  <c r="L10" i="26" s="1"/>
  <c r="P10" i="26" s="1"/>
  <c r="T10" i="26" s="1"/>
  <c r="H8" i="26"/>
  <c r="L8" i="26" s="1"/>
  <c r="P8" i="26" s="1"/>
  <c r="T8" i="26" s="1"/>
  <c r="J103" i="8"/>
  <c r="J104" i="8"/>
  <c r="J105" i="8"/>
  <c r="J106" i="8"/>
  <c r="J107" i="8"/>
  <c r="J108" i="8"/>
  <c r="J109" i="8"/>
  <c r="N76" i="7"/>
  <c r="T11" i="26" l="1"/>
  <c r="T18" i="26" s="1"/>
  <c r="P11" i="26"/>
  <c r="P18" i="26" s="1"/>
  <c r="N77" i="7"/>
  <c r="R76" i="7"/>
  <c r="V76" i="7" s="1"/>
  <c r="V77" i="7" s="1"/>
  <c r="L11" i="26"/>
  <c r="L17" i="26" s="1"/>
  <c r="Z10" i="26"/>
  <c r="AD10" i="26" s="1"/>
  <c r="AH10" i="26" s="1"/>
  <c r="AN10" i="26" s="1"/>
  <c r="AR10" i="26" s="1"/>
  <c r="AV10" i="26" s="1"/>
  <c r="BD10" i="26" s="1"/>
  <c r="I16" i="26"/>
  <c r="M16" i="26" s="1"/>
  <c r="Q16" i="26" s="1"/>
  <c r="U16" i="26" s="1"/>
  <c r="I14" i="26"/>
  <c r="M14" i="26" s="1"/>
  <c r="Q14" i="26" s="1"/>
  <c r="U14" i="26" s="1"/>
  <c r="Z8" i="26"/>
  <c r="AD8" i="26" s="1"/>
  <c r="AH8" i="26" s="1"/>
  <c r="AN8" i="26" s="1"/>
  <c r="AR8" i="26" s="1"/>
  <c r="AV8" i="26" s="1"/>
  <c r="BD8" i="26" s="1"/>
  <c r="H11" i="26"/>
  <c r="H17" i="26" s="1"/>
  <c r="I33" i="50"/>
  <c r="K6" i="45"/>
  <c r="I20" i="8"/>
  <c r="I40" i="50" l="1"/>
  <c r="K33" i="50"/>
  <c r="K40" i="50" s="1"/>
  <c r="O33" i="50"/>
  <c r="N128" i="10"/>
  <c r="N129" i="10" s="1"/>
  <c r="BD11" i="26"/>
  <c r="BD17" i="26" s="1"/>
  <c r="AV11" i="26"/>
  <c r="AR11" i="26"/>
  <c r="AN11" i="26"/>
  <c r="AH11" i="26"/>
  <c r="AD11" i="26"/>
  <c r="I90" i="50"/>
  <c r="T17" i="26"/>
  <c r="P17" i="26"/>
  <c r="K73" i="45"/>
  <c r="K106" i="50" s="1"/>
  <c r="K108" i="50" s="1"/>
  <c r="K72" i="45"/>
  <c r="Y36" i="59"/>
  <c r="R77" i="7"/>
  <c r="L18" i="26"/>
  <c r="Z11" i="26"/>
  <c r="Z18" i="26" s="1"/>
  <c r="J128" i="10"/>
  <c r="J129" i="10" s="1"/>
  <c r="H18" i="26"/>
  <c r="K103" i="50" l="1"/>
  <c r="K104" i="50" s="1"/>
  <c r="K80" i="50"/>
  <c r="S33" i="50"/>
  <c r="O40" i="50"/>
  <c r="AC33" i="50"/>
  <c r="I103" i="50"/>
  <c r="I104" i="50" s="1"/>
  <c r="I80" i="50"/>
  <c r="R128" i="10"/>
  <c r="R129" i="10" s="1"/>
  <c r="BD12" i="26"/>
  <c r="BD18" i="26"/>
  <c r="AV18" i="26"/>
  <c r="AV12" i="26"/>
  <c r="AV17" i="26"/>
  <c r="AR18" i="26"/>
  <c r="AR17" i="26"/>
  <c r="AN18" i="26"/>
  <c r="AN17" i="26"/>
  <c r="AH18" i="26"/>
  <c r="AH17" i="26"/>
  <c r="AD18" i="26"/>
  <c r="AD17" i="26"/>
  <c r="K76" i="45"/>
  <c r="K77" i="45" s="1"/>
  <c r="Z17" i="26"/>
  <c r="AA16" i="26"/>
  <c r="AE16" i="26" s="1"/>
  <c r="AI16" i="26" s="1"/>
  <c r="AO16" i="26" s="1"/>
  <c r="AS16" i="26" s="1"/>
  <c r="AW16" i="26" s="1"/>
  <c r="BE16" i="26" s="1"/>
  <c r="AC40" i="50" l="1"/>
  <c r="AG33" i="50"/>
  <c r="O103" i="50"/>
  <c r="O104" i="50" s="1"/>
  <c r="O80" i="50"/>
  <c r="S40" i="50"/>
  <c r="W33" i="50"/>
  <c r="W40" i="50" s="1"/>
  <c r="H128" i="10"/>
  <c r="H129" i="10" s="1"/>
  <c r="AJ128" i="10"/>
  <c r="AJ129" i="10" s="1"/>
  <c r="AF128" i="10"/>
  <c r="AF129" i="10" s="1"/>
  <c r="V128" i="10"/>
  <c r="V129" i="10" s="1"/>
  <c r="AP128" i="10"/>
  <c r="AP129" i="10" s="1"/>
  <c r="E8" i="52"/>
  <c r="E82" i="8"/>
  <c r="E83" i="8"/>
  <c r="H62" i="59"/>
  <c r="H58" i="59"/>
  <c r="S103" i="50" l="1"/>
  <c r="S104" i="50" s="1"/>
  <c r="S80" i="50"/>
  <c r="AG40" i="50"/>
  <c r="AK33" i="50"/>
  <c r="W103" i="50"/>
  <c r="W104" i="50" s="1"/>
  <c r="W80" i="50"/>
  <c r="AC103" i="50"/>
  <c r="AC104" i="50" s="1"/>
  <c r="AC80" i="50"/>
  <c r="AT128" i="10"/>
  <c r="AT129" i="10" s="1"/>
  <c r="E17" i="52"/>
  <c r="AK40" i="50" l="1"/>
  <c r="AQ33" i="50"/>
  <c r="AG103" i="50"/>
  <c r="AG104" i="50" s="1"/>
  <c r="AG80" i="50"/>
  <c r="AU33" i="50" l="1"/>
  <c r="AQ40" i="50"/>
  <c r="AK103" i="50"/>
  <c r="AK104" i="50" s="1"/>
  <c r="AK80" i="50"/>
  <c r="AX128" i="10"/>
  <c r="AX129" i="10" s="1"/>
  <c r="R149" i="10"/>
  <c r="R157" i="10"/>
  <c r="AQ103" i="50" l="1"/>
  <c r="AQ104" i="50" s="1"/>
  <c r="AQ80" i="50"/>
  <c r="AU40" i="50"/>
  <c r="AY33" i="50"/>
  <c r="BF128" i="10"/>
  <c r="BF129" i="10" s="1"/>
  <c r="AB84" i="11"/>
  <c r="AY40" i="50" l="1"/>
  <c r="BG33" i="50"/>
  <c r="BG40" i="50" s="1"/>
  <c r="BG103" i="50" s="1"/>
  <c r="BG104" i="50" s="1"/>
  <c r="AU103" i="50"/>
  <c r="AU104" i="50" s="1"/>
  <c r="AU80" i="50"/>
  <c r="AB86" i="11"/>
  <c r="AY103" i="50" l="1"/>
  <c r="AY104" i="50" s="1"/>
  <c r="AY80" i="50"/>
  <c r="BA46" i="36"/>
  <c r="BC46" i="36" s="1"/>
  <c r="BA43" i="36"/>
  <c r="BA40" i="36"/>
  <c r="BA32" i="36"/>
  <c r="BA33" i="36"/>
  <c r="BC33" i="36" s="1"/>
  <c r="BC43" i="36" l="1"/>
  <c r="BC45" i="36" s="1"/>
  <c r="BA45" i="36"/>
  <c r="BB32" i="36"/>
  <c r="BD68" i="59"/>
  <c r="BC32" i="36"/>
  <c r="BA42" i="36"/>
  <c r="BC40" i="36"/>
  <c r="BA34" i="36"/>
  <c r="BC34" i="36" s="1"/>
  <c r="BA39" i="36"/>
  <c r="BA17" i="36" s="1"/>
  <c r="BD48" i="59" s="1"/>
  <c r="BB33" i="36"/>
  <c r="BD33" i="36" s="1"/>
  <c r="BD32" i="36" l="1"/>
  <c r="BB27" i="36"/>
  <c r="BB28" i="36"/>
  <c r="BB29" i="36"/>
  <c r="BF68" i="59"/>
  <c r="BA35" i="36"/>
  <c r="BA36" i="36" s="1"/>
  <c r="BB34" i="36"/>
  <c r="BD34" i="36" s="1"/>
  <c r="BD29" i="36" l="1"/>
  <c r="BE72" i="59"/>
  <c r="BA7" i="15"/>
  <c r="BD28" i="36"/>
  <c r="BE71" i="59"/>
  <c r="BA6" i="15"/>
  <c r="BD27" i="36"/>
  <c r="BE70" i="59"/>
  <c r="BA5" i="15"/>
  <c r="BA30" i="36"/>
  <c r="BD73" i="59" s="1"/>
  <c r="BC35" i="36"/>
  <c r="BC36" i="36" s="1"/>
  <c r="X63" i="22"/>
  <c r="P63" i="22"/>
  <c r="L63" i="22"/>
  <c r="H63" i="22"/>
  <c r="H58" i="22"/>
  <c r="L58" i="22"/>
  <c r="P58" i="22"/>
  <c r="X58" i="22"/>
  <c r="J111" i="8"/>
  <c r="J123" i="8"/>
  <c r="X135" i="7"/>
  <c r="X137" i="7" s="1"/>
  <c r="X138" i="7" s="1"/>
  <c r="P135" i="7"/>
  <c r="P137" i="7" s="1"/>
  <c r="P138" i="7" s="1"/>
  <c r="L135" i="7"/>
  <c r="L137" i="7" s="1"/>
  <c r="L138" i="7" s="1"/>
  <c r="H135" i="7"/>
  <c r="X52" i="22"/>
  <c r="P52" i="22"/>
  <c r="L52" i="22"/>
  <c r="H52" i="22"/>
  <c r="BG72" i="59" l="1"/>
  <c r="BC7" i="15"/>
  <c r="BG70" i="59"/>
  <c r="BC5" i="15"/>
  <c r="BG71" i="59"/>
  <c r="BC6" i="15"/>
  <c r="H137" i="7"/>
  <c r="BB35" i="36"/>
  <c r="BB36" i="36" s="1"/>
  <c r="J17" i="49"/>
  <c r="J18" i="49" s="1"/>
  <c r="Z125" i="8"/>
  <c r="Z126" i="8" s="1"/>
  <c r="AJ126" i="8" s="1"/>
  <c r="Z113" i="8"/>
  <c r="Z114" i="8" s="1"/>
  <c r="J125" i="8"/>
  <c r="J126" i="8" s="1"/>
  <c r="V126" i="8" s="1"/>
  <c r="AF126" i="8" s="1"/>
  <c r="R126" i="8"/>
  <c r="AT126" i="8" l="1"/>
  <c r="AP126" i="8"/>
  <c r="H138" i="7"/>
  <c r="BB30" i="36"/>
  <c r="BE73" i="59" s="1"/>
  <c r="BD35" i="36"/>
  <c r="BD36" i="36" s="1"/>
  <c r="R125" i="8" l="1"/>
  <c r="AB125" i="8" l="1"/>
  <c r="AB126" i="8" l="1"/>
  <c r="X129" i="7" l="1"/>
  <c r="X131" i="7" s="1"/>
  <c r="X132" i="7" s="1"/>
  <c r="P129" i="7"/>
  <c r="P131" i="7" s="1"/>
  <c r="P132" i="7" s="1"/>
  <c r="L129" i="7"/>
  <c r="L131" i="7" s="1"/>
  <c r="L132" i="7" s="1"/>
  <c r="H129" i="7"/>
  <c r="X44" i="22"/>
  <c r="P44" i="22"/>
  <c r="L44" i="22"/>
  <c r="H44" i="22"/>
  <c r="J92" i="8"/>
  <c r="H131" i="7" l="1"/>
  <c r="H132" i="7" l="1"/>
  <c r="T120" i="7"/>
  <c r="L112" i="7"/>
  <c r="H112" i="7"/>
  <c r="Z93" i="8"/>
  <c r="J93" i="8"/>
  <c r="P112" i="7"/>
  <c r="X120" i="7"/>
  <c r="T121" i="7" l="1"/>
  <c r="T122" i="7"/>
  <c r="T123" i="7" s="1"/>
  <c r="X112" i="7"/>
  <c r="X121" i="7" s="1"/>
  <c r="L120" i="7"/>
  <c r="P120" i="7"/>
  <c r="H120" i="7"/>
  <c r="X122" i="7"/>
  <c r="N93" i="8"/>
  <c r="J97" i="8"/>
  <c r="Z97" i="8"/>
  <c r="Z95" i="8"/>
  <c r="J95" i="8"/>
  <c r="R93" i="8" l="1"/>
  <c r="V93" i="8" s="1"/>
  <c r="V97" i="8" s="1"/>
  <c r="T124" i="7"/>
  <c r="T126" i="7" s="1"/>
  <c r="J96" i="8"/>
  <c r="N96" i="8" s="1"/>
  <c r="R96" i="8" s="1"/>
  <c r="Z96" i="8"/>
  <c r="N95" i="8"/>
  <c r="Z98" i="8"/>
  <c r="Z112" i="7"/>
  <c r="X123" i="7"/>
  <c r="X124" i="7" s="1"/>
  <c r="J112" i="7"/>
  <c r="H122" i="7"/>
  <c r="H123" i="7" s="1"/>
  <c r="H121" i="7"/>
  <c r="P122" i="7"/>
  <c r="P123" i="7" s="1"/>
  <c r="P121" i="7"/>
  <c r="L121" i="7"/>
  <c r="L122" i="7"/>
  <c r="L123" i="7" s="1"/>
  <c r="N97" i="8"/>
  <c r="Z101" i="8"/>
  <c r="Z100" i="8"/>
  <c r="J100" i="8"/>
  <c r="N100" i="8" s="1"/>
  <c r="R100" i="8" s="1"/>
  <c r="J101" i="8"/>
  <c r="N101" i="8" s="1"/>
  <c r="R101" i="8" s="1"/>
  <c r="V96" i="8" l="1"/>
  <c r="AB96" i="8" s="1"/>
  <c r="AF96" i="8" s="1"/>
  <c r="AJ96" i="8" s="1"/>
  <c r="AP96" i="8" s="1"/>
  <c r="AT96" i="8" s="1"/>
  <c r="V101" i="8"/>
  <c r="AB101" i="8" s="1"/>
  <c r="AF101" i="8" s="1"/>
  <c r="AJ101" i="8" s="1"/>
  <c r="AP101" i="8" s="1"/>
  <c r="AT101" i="8" s="1"/>
  <c r="V100" i="8"/>
  <c r="AB100" i="8" s="1"/>
  <c r="AF100" i="8" s="1"/>
  <c r="AJ100" i="8" s="1"/>
  <c r="AP100" i="8" s="1"/>
  <c r="AT100" i="8" s="1"/>
  <c r="R95" i="8"/>
  <c r="R97" i="8"/>
  <c r="J98" i="8"/>
  <c r="N98" i="8" s="1"/>
  <c r="R98" i="8" s="1"/>
  <c r="H124" i="7"/>
  <c r="P124" i="7"/>
  <c r="N112" i="7"/>
  <c r="L124" i="7"/>
  <c r="J102" i="8"/>
  <c r="V98" i="8" l="1"/>
  <c r="AB98" i="8" s="1"/>
  <c r="AF98" i="8" s="1"/>
  <c r="AJ98" i="8" s="1"/>
  <c r="AP98" i="8" s="1"/>
  <c r="AT98" i="8" s="1"/>
  <c r="V95" i="8"/>
  <c r="AB95" i="8" s="1"/>
  <c r="AF95" i="8" s="1"/>
  <c r="AJ95" i="8" s="1"/>
  <c r="AP95" i="8" s="1"/>
  <c r="AT95" i="8" s="1"/>
  <c r="AB93" i="8"/>
  <c r="AF93" i="8" s="1"/>
  <c r="Z102" i="8"/>
  <c r="R112" i="7"/>
  <c r="N102" i="8"/>
  <c r="R102" i="8" s="1"/>
  <c r="AJ93" i="8" l="1"/>
  <c r="AF97" i="8"/>
  <c r="V102" i="8"/>
  <c r="AB102" i="8" s="1"/>
  <c r="AF102" i="8" s="1"/>
  <c r="AJ102" i="8" s="1"/>
  <c r="AP102" i="8" s="1"/>
  <c r="AT102" i="8" s="1"/>
  <c r="AB97" i="8"/>
  <c r="V112" i="7"/>
  <c r="AP93" i="8" l="1"/>
  <c r="AT93" i="8" s="1"/>
  <c r="AT97" i="8" s="1"/>
  <c r="AJ97" i="8"/>
  <c r="AP97" i="8" s="1"/>
  <c r="AB112" i="7"/>
  <c r="I133" i="6" l="1"/>
  <c r="I136" i="6" l="1"/>
  <c r="I208" i="6" l="1"/>
  <c r="I196" i="6"/>
  <c r="I197" i="6"/>
  <c r="I200" i="6"/>
  <c r="I204" i="6"/>
  <c r="I199" i="6"/>
  <c r="I198" i="6"/>
  <c r="I202" i="6"/>
  <c r="I205" i="6"/>
  <c r="I203" i="6"/>
  <c r="I211" i="6" l="1"/>
  <c r="I201" i="6"/>
  <c r="I206" i="6"/>
  <c r="I207" i="6" l="1"/>
  <c r="I212" i="6" l="1"/>
  <c r="AM2" i="36" l="1"/>
  <c r="AM36" i="36" s="1"/>
  <c r="AN2" i="36"/>
  <c r="AN36" i="36" s="1"/>
  <c r="BC2" i="36" l="1"/>
  <c r="AM30" i="36"/>
  <c r="AP73" i="59" s="1"/>
  <c r="BD2" i="36"/>
  <c r="AN30" i="36"/>
  <c r="AQ73" i="59" s="1"/>
  <c r="BD13" i="36" l="1"/>
  <c r="BG40" i="59" s="1"/>
  <c r="BC73" i="8" l="1"/>
  <c r="AA56" i="9" l="1"/>
  <c r="AE56" i="9" s="1"/>
  <c r="E50" i="36"/>
  <c r="AA41" i="36"/>
  <c r="H50" i="59" l="1"/>
  <c r="AE73" i="9"/>
  <c r="AI56" i="9"/>
  <c r="AB56" i="9"/>
  <c r="AF56" i="9" s="1"/>
  <c r="F42" i="36"/>
  <c r="AB41" i="36"/>
  <c r="AJ56" i="9" l="1"/>
  <c r="AF41" i="36"/>
  <c r="AF49" i="36" s="1"/>
  <c r="AF73" i="9"/>
  <c r="AI73" i="9"/>
  <c r="AO56" i="9"/>
  <c r="AP56" i="9" l="1"/>
  <c r="AJ41" i="36"/>
  <c r="AJ49" i="36" s="1"/>
  <c r="AJ73" i="9"/>
  <c r="AO73" i="9"/>
  <c r="AS56" i="9"/>
  <c r="BE41" i="36"/>
  <c r="AS73" i="9" l="1"/>
  <c r="AW56" i="9"/>
  <c r="AT56" i="9"/>
  <c r="AX56" i="9" s="1"/>
  <c r="AP41" i="36"/>
  <c r="AP49" i="36" s="1"/>
  <c r="AP73" i="9"/>
  <c r="BF56" i="9" l="1"/>
  <c r="BF73" i="9" s="1"/>
  <c r="AX41" i="36"/>
  <c r="AX49" i="36" s="1"/>
  <c r="AX73" i="9"/>
  <c r="AW73" i="9"/>
  <c r="BE56" i="9"/>
  <c r="BE73" i="9" s="1"/>
  <c r="AT41" i="36"/>
  <c r="AT73" i="9"/>
  <c r="K99" i="45"/>
  <c r="K104" i="45" s="1"/>
  <c r="K95" i="45"/>
  <c r="K94" i="45"/>
  <c r="K84" i="45"/>
  <c r="J84" i="45"/>
  <c r="I66" i="59"/>
  <c r="H66" i="59"/>
  <c r="K82" i="45"/>
  <c r="J82" i="45"/>
  <c r="K5" i="45"/>
  <c r="K75" i="45" s="1"/>
  <c r="K2" i="45"/>
  <c r="J2" i="45"/>
  <c r="N2" i="45" s="1"/>
  <c r="AT49" i="36" l="1"/>
  <c r="BF41" i="36"/>
  <c r="BF49" i="36" s="1"/>
  <c r="AC82" i="45"/>
  <c r="AG82" i="45" s="1"/>
  <c r="AK82" i="45" s="1"/>
  <c r="N89" i="45"/>
  <c r="N91" i="45"/>
  <c r="N90" i="45"/>
  <c r="Z80" i="45"/>
  <c r="S94" i="45"/>
  <c r="W94" i="45" s="1"/>
  <c r="AC94" i="45"/>
  <c r="AG94" i="45" s="1"/>
  <c r="AK94" i="45" s="1"/>
  <c r="AA80" i="45"/>
  <c r="R2" i="45"/>
  <c r="V2" i="45" s="1"/>
  <c r="AB2" i="45"/>
  <c r="AF2" i="45" s="1"/>
  <c r="AJ2" i="45" s="1"/>
  <c r="AP2" i="45" s="1"/>
  <c r="AT2" i="45" s="1"/>
  <c r="AX2" i="45" s="1"/>
  <c r="BF2" i="45" s="1"/>
  <c r="S95" i="45"/>
  <c r="W95" i="45" s="1"/>
  <c r="AC95" i="45"/>
  <c r="AG95" i="45" s="1"/>
  <c r="AK95" i="45" s="1"/>
  <c r="AQ95" i="45" s="1"/>
  <c r="AU95" i="45" s="1"/>
  <c r="AY95" i="45" s="1"/>
  <c r="BG95" i="45" s="1"/>
  <c r="AA87" i="45"/>
  <c r="N23" i="36"/>
  <c r="Q65" i="59" s="1"/>
  <c r="J83" i="45"/>
  <c r="L66" i="59" s="1"/>
  <c r="K83" i="45"/>
  <c r="M66" i="59" s="1"/>
  <c r="J90" i="45"/>
  <c r="J89" i="45"/>
  <c r="J91" i="45"/>
  <c r="K90" i="45"/>
  <c r="K89" i="45"/>
  <c r="O2" i="45"/>
  <c r="K91" i="45"/>
  <c r="I67" i="59"/>
  <c r="H67" i="59"/>
  <c r="K85" i="45"/>
  <c r="O92" i="45"/>
  <c r="Q67" i="59" s="1"/>
  <c r="K87" i="45"/>
  <c r="K102" i="45"/>
  <c r="K86" i="45"/>
  <c r="J80" i="45"/>
  <c r="O96" i="45"/>
  <c r="K80" i="45"/>
  <c r="S82" i="45"/>
  <c r="W82" i="45" s="1"/>
  <c r="J85" i="45"/>
  <c r="K96" i="45"/>
  <c r="AC99" i="45"/>
  <c r="AG99" i="45" s="1"/>
  <c r="AG104" i="45" l="1"/>
  <c r="AK99" i="45"/>
  <c r="AQ94" i="45"/>
  <c r="AK96" i="45"/>
  <c r="AQ82" i="45"/>
  <c r="AU82" i="45" s="1"/>
  <c r="AY82" i="45" s="1"/>
  <c r="AG96" i="45"/>
  <c r="W96" i="45"/>
  <c r="O89" i="45"/>
  <c r="O90" i="45"/>
  <c r="O91" i="45"/>
  <c r="AC84" i="45"/>
  <c r="AG84" i="45" s="1"/>
  <c r="AK84" i="45" s="1"/>
  <c r="AB84" i="45"/>
  <c r="AF84" i="45" s="1"/>
  <c r="AJ84" i="45" s="1"/>
  <c r="AC5" i="45"/>
  <c r="AG5" i="45" s="1"/>
  <c r="AK5" i="45" s="1"/>
  <c r="N92" i="45"/>
  <c r="P67" i="59" s="1"/>
  <c r="S96" i="45"/>
  <c r="S103" i="45" s="1"/>
  <c r="AC96" i="45"/>
  <c r="AC103" i="45" s="1"/>
  <c r="AC104" i="45"/>
  <c r="S2" i="45"/>
  <c r="W2" i="45" s="1"/>
  <c r="AC2" i="45"/>
  <c r="AG2" i="45" s="1"/>
  <c r="AK2" i="45" s="1"/>
  <c r="AQ2" i="45" s="1"/>
  <c r="AU2" i="45" s="1"/>
  <c r="AY2" i="45" s="1"/>
  <c r="BG2" i="45" s="1"/>
  <c r="R82" i="45"/>
  <c r="V82" i="45" s="1"/>
  <c r="AB82" i="45"/>
  <c r="AF82" i="45" s="1"/>
  <c r="AA81" i="45"/>
  <c r="Z81" i="45"/>
  <c r="R90" i="45"/>
  <c r="V90" i="45" s="1"/>
  <c r="AB90" i="45"/>
  <c r="AF90" i="45" s="1"/>
  <c r="AJ90" i="45" s="1"/>
  <c r="AP90" i="45" s="1"/>
  <c r="AA88" i="45"/>
  <c r="R91" i="45"/>
  <c r="V91" i="45" s="1"/>
  <c r="AB91" i="45"/>
  <c r="AF91" i="45" s="1"/>
  <c r="AJ91" i="45" s="1"/>
  <c r="AP91" i="45" s="1"/>
  <c r="O102" i="45"/>
  <c r="S5" i="45"/>
  <c r="J81" i="45"/>
  <c r="AB80" i="45"/>
  <c r="AF80" i="45" s="1"/>
  <c r="AJ80" i="45" s="1"/>
  <c r="AP80" i="45" s="1"/>
  <c r="K88" i="45"/>
  <c r="AC87" i="45"/>
  <c r="AG87" i="45" s="1"/>
  <c r="O104" i="45"/>
  <c r="S99" i="45"/>
  <c r="W99" i="45" s="1"/>
  <c r="W104" i="45" s="1"/>
  <c r="K103" i="45"/>
  <c r="K97" i="45"/>
  <c r="O85" i="45"/>
  <c r="S84" i="45"/>
  <c r="W84" i="45" s="1"/>
  <c r="O83" i="45"/>
  <c r="Q66" i="59" s="1"/>
  <c r="K81" i="45"/>
  <c r="AC80" i="45"/>
  <c r="AG80" i="45" s="1"/>
  <c r="O103" i="45"/>
  <c r="O97" i="45"/>
  <c r="N85" i="45"/>
  <c r="R84" i="45"/>
  <c r="V84" i="45" s="1"/>
  <c r="N83" i="45"/>
  <c r="P66" i="59" s="1"/>
  <c r="K107" i="45"/>
  <c r="K98" i="45"/>
  <c r="AT91" i="45" l="1"/>
  <c r="AX91" i="45" s="1"/>
  <c r="BF91" i="45" s="1"/>
  <c r="AT80" i="45"/>
  <c r="AX80" i="45" s="1"/>
  <c r="BF80" i="45" s="1"/>
  <c r="AT90" i="45"/>
  <c r="AX90" i="45" s="1"/>
  <c r="BF90" i="45" s="1"/>
  <c r="BG82" i="45"/>
  <c r="AQ96" i="45"/>
  <c r="AQ103" i="45" s="1"/>
  <c r="AU94" i="45"/>
  <c r="AQ84" i="45"/>
  <c r="AU84" i="45" s="1"/>
  <c r="AY84" i="45" s="1"/>
  <c r="AK85" i="45"/>
  <c r="AK83" i="45"/>
  <c r="AM66" i="59" s="1"/>
  <c r="AF81" i="45"/>
  <c r="AJ82" i="45"/>
  <c r="AJ85" i="45" s="1"/>
  <c r="AK97" i="45"/>
  <c r="AK103" i="45"/>
  <c r="AK102" i="45"/>
  <c r="AQ5" i="45"/>
  <c r="AK104" i="45"/>
  <c r="AQ99" i="45"/>
  <c r="AG81" i="45"/>
  <c r="AK80" i="45"/>
  <c r="AP84" i="45"/>
  <c r="AT84" i="45" s="1"/>
  <c r="AX84" i="45" s="1"/>
  <c r="AJ92" i="45"/>
  <c r="AL67" i="59" s="1"/>
  <c r="AG88" i="45"/>
  <c r="AK87" i="45"/>
  <c r="AG102" i="45"/>
  <c r="AF83" i="45"/>
  <c r="AH66" i="59" s="1"/>
  <c r="AF85" i="45"/>
  <c r="AF92" i="45"/>
  <c r="AH67" i="59" s="1"/>
  <c r="AG85" i="45"/>
  <c r="AG83" i="45"/>
  <c r="AI66" i="59" s="1"/>
  <c r="AG103" i="45"/>
  <c r="AG97" i="45"/>
  <c r="V83" i="45"/>
  <c r="V85" i="45"/>
  <c r="W85" i="45"/>
  <c r="W83" i="45"/>
  <c r="W103" i="45"/>
  <c r="AC86" i="45"/>
  <c r="AG86" i="45" s="1"/>
  <c r="AK86" i="45" s="1"/>
  <c r="X66" i="59"/>
  <c r="AC83" i="45"/>
  <c r="AE66" i="59" s="1"/>
  <c r="AC85" i="45"/>
  <c r="AC102" i="45"/>
  <c r="W5" i="45"/>
  <c r="W102" i="45" s="1"/>
  <c r="AB92" i="45"/>
  <c r="AC6" i="45"/>
  <c r="AG6" i="45" s="1"/>
  <c r="AK6" i="45" s="1"/>
  <c r="AC97" i="45"/>
  <c r="AB83" i="45"/>
  <c r="AD66" i="59" s="1"/>
  <c r="AC81" i="45"/>
  <c r="AC88" i="45"/>
  <c r="AB85" i="45"/>
  <c r="R86" i="45"/>
  <c r="V86" i="45" s="1"/>
  <c r="AB86" i="45"/>
  <c r="AF86" i="45" s="1"/>
  <c r="AJ86" i="45" s="1"/>
  <c r="AP86" i="45" s="1"/>
  <c r="AT86" i="45" s="1"/>
  <c r="AX86" i="45" s="1"/>
  <c r="BF86" i="45" s="1"/>
  <c r="S89" i="45"/>
  <c r="W89" i="45" s="1"/>
  <c r="AC89" i="45"/>
  <c r="AG89" i="45" s="1"/>
  <c r="AK89" i="45" s="1"/>
  <c r="AQ89" i="45" s="1"/>
  <c r="S90" i="45"/>
  <c r="W90" i="45" s="1"/>
  <c r="AC90" i="45"/>
  <c r="AG90" i="45" s="1"/>
  <c r="AK90" i="45" s="1"/>
  <c r="AQ90" i="45" s="1"/>
  <c r="S91" i="45"/>
  <c r="W91" i="45" s="1"/>
  <c r="AC91" i="45"/>
  <c r="AG91" i="45" s="1"/>
  <c r="AK91" i="45" s="1"/>
  <c r="AQ91" i="45" s="1"/>
  <c r="AB81" i="45"/>
  <c r="S6" i="45"/>
  <c r="S97" i="45"/>
  <c r="S102" i="45"/>
  <c r="S86" i="45"/>
  <c r="R85" i="45"/>
  <c r="R83" i="45"/>
  <c r="T66" i="59" s="1"/>
  <c r="S80" i="45"/>
  <c r="W80" i="45" s="1"/>
  <c r="W81" i="45" s="1"/>
  <c r="O81" i="45"/>
  <c r="K106" i="45"/>
  <c r="K110" i="45" s="1"/>
  <c r="O88" i="45"/>
  <c r="S87" i="45"/>
  <c r="W87" i="45" s="1"/>
  <c r="O107" i="45"/>
  <c r="O98" i="45"/>
  <c r="S104" i="45"/>
  <c r="R80" i="45"/>
  <c r="V80" i="45" s="1"/>
  <c r="V81" i="45" s="1"/>
  <c r="N81" i="45"/>
  <c r="S107" i="45"/>
  <c r="S98" i="45"/>
  <c r="S85" i="45"/>
  <c r="S83" i="45"/>
  <c r="U66" i="59" s="1"/>
  <c r="AU96" i="45" l="1"/>
  <c r="AY94" i="45"/>
  <c r="AU90" i="45"/>
  <c r="AY90" i="45" s="1"/>
  <c r="BG90" i="45" s="1"/>
  <c r="AU89" i="45"/>
  <c r="AY89" i="45" s="1"/>
  <c r="BG89" i="45" s="1"/>
  <c r="AU91" i="45"/>
  <c r="AY91" i="45" s="1"/>
  <c r="BG91" i="45" s="1"/>
  <c r="BG84" i="45"/>
  <c r="AY85" i="45"/>
  <c r="BF84" i="45"/>
  <c r="AX92" i="45"/>
  <c r="AZ67" i="59" s="1"/>
  <c r="AY83" i="45"/>
  <c r="BA66" i="59" s="1"/>
  <c r="AU83" i="45"/>
  <c r="AW66" i="59" s="1"/>
  <c r="AU85" i="45"/>
  <c r="AQ104" i="45"/>
  <c r="AU99" i="45"/>
  <c r="AT92" i="45"/>
  <c r="AV67" i="59" s="1"/>
  <c r="AU103" i="45"/>
  <c r="AQ102" i="45"/>
  <c r="AU5" i="45"/>
  <c r="AQ86" i="45"/>
  <c r="AP82" i="45"/>
  <c r="AP83" i="45" s="1"/>
  <c r="AR66" i="59" s="1"/>
  <c r="AJ81" i="45"/>
  <c r="AP92" i="45"/>
  <c r="AR67" i="59" s="1"/>
  <c r="AQ80" i="45"/>
  <c r="AK81" i="45"/>
  <c r="AQ97" i="45"/>
  <c r="AQ6" i="45"/>
  <c r="AU6" i="45" s="1"/>
  <c r="AY6" i="45" s="1"/>
  <c r="AK73" i="45"/>
  <c r="AK106" i="50" s="1"/>
  <c r="AK108" i="50" s="1"/>
  <c r="AK72" i="45"/>
  <c r="AK106" i="45" s="1"/>
  <c r="AK108" i="45" s="1"/>
  <c r="AJ83" i="45"/>
  <c r="AL66" i="59" s="1"/>
  <c r="AQ83" i="45"/>
  <c r="AS66" i="59" s="1"/>
  <c r="AQ85" i="45"/>
  <c r="AK88" i="45"/>
  <c r="AQ87" i="45"/>
  <c r="AG73" i="45"/>
  <c r="AG106" i="50" s="1"/>
  <c r="AG108" i="50" s="1"/>
  <c r="AG72" i="45"/>
  <c r="AG106" i="45" s="1"/>
  <c r="AG108" i="45" s="1"/>
  <c r="W88" i="45"/>
  <c r="AC73" i="45"/>
  <c r="AC106" i="50" s="1"/>
  <c r="AC108" i="50" s="1"/>
  <c r="W86" i="45"/>
  <c r="W97" i="45"/>
  <c r="S73" i="45"/>
  <c r="S106" i="50" s="1"/>
  <c r="S108" i="50" s="1"/>
  <c r="W6" i="45"/>
  <c r="AC72" i="45"/>
  <c r="AC106" i="45" s="1"/>
  <c r="AC110" i="45" s="1"/>
  <c r="Y66" i="59"/>
  <c r="S72" i="45"/>
  <c r="AD65" i="59"/>
  <c r="R81" i="45"/>
  <c r="K108" i="45"/>
  <c r="S88" i="45"/>
  <c r="O106" i="45"/>
  <c r="O110" i="45" s="1"/>
  <c r="S81" i="45"/>
  <c r="AU102" i="45" l="1"/>
  <c r="AY5" i="45"/>
  <c r="BG94" i="45"/>
  <c r="BG96" i="45" s="1"/>
  <c r="AY96" i="45"/>
  <c r="BG6" i="45"/>
  <c r="AY73" i="45"/>
  <c r="AY106" i="50" s="1"/>
  <c r="AY108" i="50" s="1"/>
  <c r="AY72" i="45"/>
  <c r="AY106" i="45" s="1"/>
  <c r="AY108" i="45" s="1"/>
  <c r="AU104" i="45"/>
  <c r="AY99" i="45"/>
  <c r="BF92" i="45"/>
  <c r="AP85" i="45"/>
  <c r="BG83" i="45"/>
  <c r="BG85" i="45"/>
  <c r="AU86" i="45"/>
  <c r="AU73" i="45"/>
  <c r="AU106" i="50" s="1"/>
  <c r="AU108" i="50" s="1"/>
  <c r="AU72" i="45"/>
  <c r="AU106" i="45" s="1"/>
  <c r="AU108" i="45" s="1"/>
  <c r="AP81" i="45"/>
  <c r="AT82" i="45"/>
  <c r="AX82" i="45" s="1"/>
  <c r="AU97" i="45"/>
  <c r="AQ88" i="45"/>
  <c r="AU87" i="45"/>
  <c r="AQ81" i="45"/>
  <c r="AU80" i="45"/>
  <c r="AQ73" i="45"/>
  <c r="AQ106" i="50" s="1"/>
  <c r="AQ108" i="50" s="1"/>
  <c r="AQ72" i="45"/>
  <c r="AQ106" i="45" s="1"/>
  <c r="AK92" i="45"/>
  <c r="AM67" i="59" s="1"/>
  <c r="AK76" i="45"/>
  <c r="AK77" i="45" s="1"/>
  <c r="AK75" i="45"/>
  <c r="AJ23" i="36" s="1"/>
  <c r="AM65" i="59" s="1"/>
  <c r="AK112" i="45"/>
  <c r="AK110" i="45"/>
  <c r="AG110" i="45"/>
  <c r="AG75" i="45"/>
  <c r="AF23" i="36" s="1"/>
  <c r="AI65" i="59" s="1"/>
  <c r="AG92" i="45"/>
  <c r="AI67" i="59" s="1"/>
  <c r="AG76" i="45"/>
  <c r="AG77" i="45" s="1"/>
  <c r="AG112" i="45"/>
  <c r="AC112" i="45"/>
  <c r="W72" i="45"/>
  <c r="W106" i="45" s="1"/>
  <c r="W73" i="45"/>
  <c r="W106" i="50" s="1"/>
  <c r="W108" i="50" s="1"/>
  <c r="S76" i="45"/>
  <c r="S77" i="45" s="1"/>
  <c r="S75" i="45"/>
  <c r="S92" i="45"/>
  <c r="U67" i="59" s="1"/>
  <c r="AC75" i="45"/>
  <c r="AE65" i="59" s="1"/>
  <c r="AC76" i="45"/>
  <c r="AC77" i="45" s="1"/>
  <c r="AC92" i="45"/>
  <c r="AE67" i="59" s="1"/>
  <c r="AC108" i="45"/>
  <c r="S106" i="45"/>
  <c r="S110" i="45" s="1"/>
  <c r="O108" i="45"/>
  <c r="AY75" i="45" l="1"/>
  <c r="AY76" i="45"/>
  <c r="AY77" i="45" s="1"/>
  <c r="AY112" i="45"/>
  <c r="AY92" i="45"/>
  <c r="BA67" i="59" s="1"/>
  <c r="BG73" i="45"/>
  <c r="BG72" i="45"/>
  <c r="BG106" i="45" s="1"/>
  <c r="BG108" i="45" s="1"/>
  <c r="AY103" i="45"/>
  <c r="AY97" i="45"/>
  <c r="AY104" i="45"/>
  <c r="BG99" i="45"/>
  <c r="BG104" i="45" s="1"/>
  <c r="BG103" i="45"/>
  <c r="BG97" i="45"/>
  <c r="AU81" i="45"/>
  <c r="AY80" i="45"/>
  <c r="AY86" i="45"/>
  <c r="BG5" i="45"/>
  <c r="BG102" i="45" s="1"/>
  <c r="AY102" i="45"/>
  <c r="AY110" i="45" s="1"/>
  <c r="BF82" i="45"/>
  <c r="AX81" i="45"/>
  <c r="AX85" i="45"/>
  <c r="AX83" i="45"/>
  <c r="AZ66" i="59" s="1"/>
  <c r="AU88" i="45"/>
  <c r="AY87" i="45"/>
  <c r="AU110" i="45"/>
  <c r="AT85" i="45"/>
  <c r="AT81" i="45"/>
  <c r="AT83" i="45"/>
  <c r="AV66" i="59" s="1"/>
  <c r="AU92" i="45"/>
  <c r="AW67" i="59" s="1"/>
  <c r="AU75" i="45"/>
  <c r="AU76" i="45"/>
  <c r="AU77" i="45" s="1"/>
  <c r="AU112" i="45"/>
  <c r="AQ108" i="45"/>
  <c r="AQ110" i="45"/>
  <c r="AQ76" i="45"/>
  <c r="AQ77" i="45" s="1"/>
  <c r="AQ75" i="45"/>
  <c r="AQ92" i="45"/>
  <c r="AS67" i="59" s="1"/>
  <c r="AQ112" i="45"/>
  <c r="W76" i="45"/>
  <c r="W77" i="45" s="1"/>
  <c r="W92" i="45"/>
  <c r="Y67" i="59" s="1"/>
  <c r="W75" i="45"/>
  <c r="V23" i="36" s="1"/>
  <c r="W108" i="45"/>
  <c r="W110" i="45"/>
  <c r="U65" i="59"/>
  <c r="R23" i="36"/>
  <c r="AB23" i="36"/>
  <c r="S108" i="45"/>
  <c r="BG106" i="50" l="1"/>
  <c r="BG108" i="50" s="1"/>
  <c r="BG112" i="45"/>
  <c r="BG76" i="45"/>
  <c r="BG77" i="45" s="1"/>
  <c r="BG75" i="45"/>
  <c r="BG92" i="45"/>
  <c r="BI67" i="59" s="1"/>
  <c r="BG80" i="45"/>
  <c r="BG81" i="45" s="1"/>
  <c r="AY81" i="45"/>
  <c r="BG110" i="45"/>
  <c r="BA65" i="59"/>
  <c r="AX23" i="36"/>
  <c r="AY88" i="45"/>
  <c r="BG87" i="45"/>
  <c r="BG88" i="45" s="1"/>
  <c r="BF81" i="45"/>
  <c r="BF85" i="45"/>
  <c r="BF83" i="45"/>
  <c r="AW65" i="59"/>
  <c r="AT23" i="36"/>
  <c r="AS65" i="59"/>
  <c r="AP23" i="36"/>
  <c r="Y65" i="59"/>
  <c r="BF23" i="36" l="1"/>
  <c r="BI65" i="59"/>
  <c r="BC13" i="36"/>
  <c r="Z52" i="22" l="1"/>
  <c r="Z44" i="22"/>
  <c r="Z3" i="22"/>
  <c r="Y3" i="22"/>
  <c r="X64" i="22"/>
  <c r="X65" i="22" s="1"/>
  <c r="X66" i="22" s="1"/>
  <c r="X51" i="22"/>
  <c r="X53" i="22" s="1"/>
  <c r="X55" i="22" s="1"/>
  <c r="X56" i="22" s="1"/>
  <c r="X59" i="22"/>
  <c r="X60" i="22" s="1"/>
  <c r="X61" i="22" s="1"/>
  <c r="X43" i="22"/>
  <c r="X45" i="22" s="1"/>
  <c r="X47" i="22" s="1"/>
  <c r="X48" i="22" s="1"/>
  <c r="J3" i="22"/>
  <c r="N3" i="22" s="1"/>
  <c r="R3" i="22" s="1"/>
  <c r="V3" i="22" s="1"/>
  <c r="AB3" i="22" s="1"/>
  <c r="AF3" i="22" s="1"/>
  <c r="AJ3" i="22" s="1"/>
  <c r="AP3" i="22" s="1"/>
  <c r="AT3" i="22" s="1"/>
  <c r="I3" i="22"/>
  <c r="M3" i="22" s="1"/>
  <c r="Q3" i="22" s="1"/>
  <c r="U3" i="22" s="1"/>
  <c r="AA3" i="22" s="1"/>
  <c r="AE3" i="22" s="1"/>
  <c r="AI3" i="22" s="1"/>
  <c r="AO3" i="22" s="1"/>
  <c r="AS3" i="22" s="1"/>
  <c r="Z43" i="22" l="1"/>
  <c r="Z45" i="22" s="1"/>
  <c r="Z47" i="22" s="1"/>
  <c r="Z48" i="22" s="1"/>
  <c r="Z51" i="22"/>
  <c r="Z53" i="22" s="1"/>
  <c r="Z55" i="22" s="1"/>
  <c r="Z56" i="22" s="1"/>
  <c r="Z59" i="22"/>
  <c r="Y2" i="27" l="1"/>
  <c r="X2" i="27"/>
  <c r="Y22" i="27" l="1"/>
  <c r="Y31" i="27"/>
  <c r="Y19" i="27"/>
  <c r="Y20" i="27"/>
  <c r="Y18" i="27"/>
  <c r="Y37" i="27"/>
  <c r="Y28" i="27"/>
  <c r="Y27" i="27"/>
  <c r="Y29" i="27"/>
  <c r="Y35" i="27"/>
  <c r="Y21" i="27"/>
  <c r="Y26" i="27"/>
  <c r="Y36" i="27"/>
  <c r="X36" i="27"/>
  <c r="X29" i="27"/>
  <c r="X37" i="27"/>
  <c r="X35" i="27"/>
  <c r="X27" i="27"/>
  <c r="X30" i="27"/>
  <c r="X28" i="27"/>
  <c r="X26" i="27"/>
  <c r="X20" i="27"/>
  <c r="X18" i="27"/>
  <c r="X31" i="27"/>
  <c r="X22" i="27"/>
  <c r="X19" i="27"/>
  <c r="X21" i="27"/>
  <c r="Y76" i="26"/>
  <c r="Y49" i="26"/>
  <c r="Y20" i="26"/>
  <c r="Y14" i="26"/>
  <c r="AA14" i="26" s="1"/>
  <c r="AE14" i="26" s="1"/>
  <c r="AI14" i="26" s="1"/>
  <c r="AO14" i="26" s="1"/>
  <c r="AS14" i="26" s="1"/>
  <c r="AW14" i="26" s="1"/>
  <c r="BE14" i="26" s="1"/>
  <c r="Y10" i="26"/>
  <c r="Y8" i="26"/>
  <c r="X2" i="26"/>
  <c r="Y2" i="26"/>
  <c r="X7" i="17"/>
  <c r="Y2" i="17"/>
  <c r="X2" i="17"/>
  <c r="AB88" i="9"/>
  <c r="AF88" i="9" s="1"/>
  <c r="AJ88" i="9" s="1"/>
  <c r="AP88" i="9" s="1"/>
  <c r="AT88" i="9" s="1"/>
  <c r="AX88" i="9" s="1"/>
  <c r="BF88" i="9" s="1"/>
  <c r="Z92" i="9"/>
  <c r="AB68" i="9"/>
  <c r="AF68" i="9" s="1"/>
  <c r="AB67" i="9"/>
  <c r="AF67" i="9" s="1"/>
  <c r="AB66" i="9"/>
  <c r="AF66" i="9" s="1"/>
  <c r="AB63" i="9"/>
  <c r="AF63" i="9" s="1"/>
  <c r="AB59" i="9"/>
  <c r="AF59" i="9" s="1"/>
  <c r="AB58" i="9"/>
  <c r="AF58" i="9" s="1"/>
  <c r="Y38" i="9"/>
  <c r="AA38" i="9" s="1"/>
  <c r="AE38" i="9" s="1"/>
  <c r="AI38" i="9" s="1"/>
  <c r="AO38" i="9" s="1"/>
  <c r="AS38" i="9" s="1"/>
  <c r="AW38" i="9" s="1"/>
  <c r="BE38" i="9" s="1"/>
  <c r="Z45" i="9"/>
  <c r="AB45" i="9" s="1"/>
  <c r="AF45" i="9" s="1"/>
  <c r="AJ45" i="9" s="1"/>
  <c r="AP45" i="9" s="1"/>
  <c r="AT45" i="9" s="1"/>
  <c r="AX45" i="9" s="1"/>
  <c r="BF45" i="9" s="1"/>
  <c r="Z38" i="9"/>
  <c r="Y29" i="9"/>
  <c r="AA29" i="9" s="1"/>
  <c r="AE29" i="9" s="1"/>
  <c r="AI29" i="9" s="1"/>
  <c r="AO29" i="9" s="1"/>
  <c r="AS29" i="9" s="1"/>
  <c r="AW29" i="9" s="1"/>
  <c r="BE29" i="9" s="1"/>
  <c r="Z33" i="9"/>
  <c r="AB33" i="9" s="1"/>
  <c r="AF33" i="9" s="1"/>
  <c r="AJ33" i="9" s="1"/>
  <c r="AP33" i="9" s="1"/>
  <c r="AT33" i="9" s="1"/>
  <c r="AX33" i="9" s="1"/>
  <c r="BF33" i="9" s="1"/>
  <c r="Z32" i="9"/>
  <c r="Z30" i="9"/>
  <c r="Z29" i="9"/>
  <c r="Z24" i="9"/>
  <c r="Z23" i="9"/>
  <c r="Z22" i="9"/>
  <c r="Y20" i="9"/>
  <c r="Z16" i="9"/>
  <c r="AB16" i="9" s="1"/>
  <c r="AF16" i="9" s="1"/>
  <c r="AJ16" i="9" s="1"/>
  <c r="AP16" i="9" s="1"/>
  <c r="AT16" i="9" s="1"/>
  <c r="AX16" i="9" s="1"/>
  <c r="BF16" i="9" s="1"/>
  <c r="Z20" i="9"/>
  <c r="Z51" i="9"/>
  <c r="AB51" i="9" s="1"/>
  <c r="AF51" i="9" s="1"/>
  <c r="AJ51" i="9" s="1"/>
  <c r="AP51" i="9" s="1"/>
  <c r="AT51" i="9" s="1"/>
  <c r="AX51" i="9" s="1"/>
  <c r="BF51" i="9" s="1"/>
  <c r="Z13" i="9"/>
  <c r="AB13" i="9" s="1"/>
  <c r="AF13" i="9" s="1"/>
  <c r="AJ13" i="9" s="1"/>
  <c r="AP13" i="9" s="1"/>
  <c r="AT13" i="9" s="1"/>
  <c r="AX13" i="9" s="1"/>
  <c r="BF13" i="9" s="1"/>
  <c r="Z12" i="9"/>
  <c r="AB12" i="9" s="1"/>
  <c r="AF12" i="9" s="1"/>
  <c r="AJ12" i="9" s="1"/>
  <c r="AP12" i="9" s="1"/>
  <c r="AT12" i="9" s="1"/>
  <c r="AX12" i="9" s="1"/>
  <c r="BF12" i="9" s="1"/>
  <c r="Z11" i="9"/>
  <c r="AB11" i="9" s="1"/>
  <c r="AF11" i="9" s="1"/>
  <c r="AJ11" i="9" s="1"/>
  <c r="AP11" i="9" s="1"/>
  <c r="AT11" i="9" s="1"/>
  <c r="AX11" i="9" s="1"/>
  <c r="BF11" i="9" s="1"/>
  <c r="Z135" i="9"/>
  <c r="AB135" i="9" s="1"/>
  <c r="AF135" i="9" s="1"/>
  <c r="AJ135" i="9" s="1"/>
  <c r="AP135" i="9" s="1"/>
  <c r="AT135" i="9" s="1"/>
  <c r="AX135" i="9" s="1"/>
  <c r="BF135" i="9" s="1"/>
  <c r="Z9" i="9"/>
  <c r="Z134" i="9"/>
  <c r="AB134" i="9" s="1"/>
  <c r="AF134" i="9" s="1"/>
  <c r="AJ134" i="9" s="1"/>
  <c r="AP134" i="9" s="1"/>
  <c r="AT134" i="9" s="1"/>
  <c r="AX134" i="9" s="1"/>
  <c r="BF134" i="9" s="1"/>
  <c r="AJ63" i="9" l="1"/>
  <c r="AF80" i="9"/>
  <c r="AJ66" i="9"/>
  <c r="AF83" i="9"/>
  <c r="AJ58" i="9"/>
  <c r="AF43" i="36"/>
  <c r="AF75" i="9"/>
  <c r="AJ67" i="9"/>
  <c r="AF84" i="9"/>
  <c r="AJ59" i="9"/>
  <c r="AF44" i="36"/>
  <c r="AF52" i="36" s="1"/>
  <c r="AF76" i="9"/>
  <c r="AJ68" i="9"/>
  <c r="AF85" i="9"/>
  <c r="Y24" i="27"/>
  <c r="X33" i="27"/>
  <c r="Y33" i="27"/>
  <c r="X24" i="27"/>
  <c r="Y11" i="17"/>
  <c r="Y10" i="17"/>
  <c r="Y110" i="17"/>
  <c r="Y114" i="17" s="1"/>
  <c r="X79" i="17"/>
  <c r="X73" i="17"/>
  <c r="X64" i="17"/>
  <c r="X71" i="17"/>
  <c r="X75" i="17"/>
  <c r="X12" i="17"/>
  <c r="X72" i="17"/>
  <c r="X70" i="17"/>
  <c r="X80" i="17"/>
  <c r="X74" i="17"/>
  <c r="X65" i="17"/>
  <c r="X76" i="17"/>
  <c r="X13" i="17"/>
  <c r="X48" i="17"/>
  <c r="X59" i="17"/>
  <c r="X52" i="17"/>
  <c r="X46" i="17"/>
  <c r="X44" i="17"/>
  <c r="X29" i="17"/>
  <c r="Y82" i="17"/>
  <c r="Y83" i="17"/>
  <c r="Y84" i="17"/>
  <c r="Y85" i="17"/>
  <c r="Y86" i="17" s="1"/>
  <c r="Y71" i="17"/>
  <c r="Y64" i="17"/>
  <c r="Y70" i="17"/>
  <c r="Y72" i="17"/>
  <c r="Y75" i="17"/>
  <c r="Y80" i="17"/>
  <c r="Y74" i="17"/>
  <c r="Y67" i="17"/>
  <c r="Y79" i="17"/>
  <c r="Y73" i="17"/>
  <c r="Y65" i="17"/>
  <c r="Y48" i="17"/>
  <c r="Y40" i="17"/>
  <c r="Y46" i="17"/>
  <c r="Y38" i="17"/>
  <c r="Y42" i="17"/>
  <c r="Y59" i="17"/>
  <c r="Y76" i="17"/>
  <c r="Y13" i="17"/>
  <c r="Y12" i="17"/>
  <c r="Y29" i="17"/>
  <c r="Y44" i="17"/>
  <c r="Y52" i="17"/>
  <c r="Y50" i="17"/>
  <c r="Y54" i="17"/>
  <c r="X85" i="17"/>
  <c r="X86" i="17" s="1"/>
  <c r="X83" i="17"/>
  <c r="X10" i="17"/>
  <c r="X110" i="17"/>
  <c r="X114" i="17" s="1"/>
  <c r="AB92" i="9"/>
  <c r="AF92" i="9" s="1"/>
  <c r="Y101" i="9"/>
  <c r="AA20" i="9"/>
  <c r="AE20" i="9" s="1"/>
  <c r="AI20" i="9" s="1"/>
  <c r="Z138" i="9"/>
  <c r="AB23" i="9"/>
  <c r="AF23" i="9" s="1"/>
  <c r="Z63" i="22"/>
  <c r="AB65" i="9"/>
  <c r="AF65" i="9" s="1"/>
  <c r="Z139" i="9"/>
  <c r="AB24" i="9"/>
  <c r="AF24" i="9" s="1"/>
  <c r="AB38" i="9"/>
  <c r="AF38" i="9" s="1"/>
  <c r="AJ38" i="9" s="1"/>
  <c r="AP38" i="9" s="1"/>
  <c r="AT38" i="9" s="1"/>
  <c r="AX38" i="9" s="1"/>
  <c r="BF38" i="9" s="1"/>
  <c r="Z46" i="9"/>
  <c r="Z34" i="9"/>
  <c r="AB32" i="9"/>
  <c r="AF32" i="9" s="1"/>
  <c r="AJ32" i="9" s="1"/>
  <c r="AP32" i="9" s="1"/>
  <c r="AT32" i="9" s="1"/>
  <c r="AX32" i="9" s="1"/>
  <c r="BF32" i="9" s="1"/>
  <c r="Z136" i="9"/>
  <c r="AB9" i="9"/>
  <c r="AF9" i="9" s="1"/>
  <c r="Z101" i="9"/>
  <c r="AB20" i="9"/>
  <c r="AF20" i="9" s="1"/>
  <c r="AB29" i="9"/>
  <c r="AF29" i="9" s="1"/>
  <c r="AJ29" i="9" s="1"/>
  <c r="AP29" i="9" s="1"/>
  <c r="AT29" i="9" s="1"/>
  <c r="AX29" i="9" s="1"/>
  <c r="BF29" i="9" s="1"/>
  <c r="Z35" i="9"/>
  <c r="Z31" i="9"/>
  <c r="Z120" i="7"/>
  <c r="AB69" i="9"/>
  <c r="AF69" i="9" s="1"/>
  <c r="Z137" i="9"/>
  <c r="AB22" i="9"/>
  <c r="AF22" i="9" s="1"/>
  <c r="Z36" i="9"/>
  <c r="AA117" i="50" s="1"/>
  <c r="AA118" i="50" s="1"/>
  <c r="AB30" i="9"/>
  <c r="Z58" i="22"/>
  <c r="Z60" i="22" s="1"/>
  <c r="Z61" i="22" s="1"/>
  <c r="AB70" i="9"/>
  <c r="AF70" i="9" s="1"/>
  <c r="AB55" i="9"/>
  <c r="AF55" i="9" s="1"/>
  <c r="Y11" i="26"/>
  <c r="Y18" i="26" s="1"/>
  <c r="X12" i="26"/>
  <c r="Y109" i="26"/>
  <c r="Y91" i="26" s="1"/>
  <c r="Y89" i="26"/>
  <c r="Y44" i="26"/>
  <c r="Y50" i="26"/>
  <c r="Y55" i="26"/>
  <c r="AJ9" i="9" l="1"/>
  <c r="AF10" i="9"/>
  <c r="AJ65" i="9"/>
  <c r="AF82" i="9"/>
  <c r="AI55" i="59" s="1"/>
  <c r="AO20" i="9"/>
  <c r="AP67" i="9"/>
  <c r="AJ84" i="9"/>
  <c r="AB36" i="9"/>
  <c r="AF30" i="9"/>
  <c r="AJ30" i="9" s="1"/>
  <c r="AP30" i="9" s="1"/>
  <c r="AT30" i="9" s="1"/>
  <c r="AX30" i="9" s="1"/>
  <c r="BF30" i="9" s="1"/>
  <c r="AJ69" i="9"/>
  <c r="AF86" i="9"/>
  <c r="AP66" i="9"/>
  <c r="AJ83" i="9"/>
  <c r="AJ55" i="9"/>
  <c r="AF40" i="36"/>
  <c r="AF72" i="9"/>
  <c r="AJ20" i="9"/>
  <c r="AF53" i="9"/>
  <c r="AJ24" i="9"/>
  <c r="AJ23" i="9"/>
  <c r="AJ92" i="9"/>
  <c r="AF93" i="9"/>
  <c r="AF94" i="9"/>
  <c r="AE18" i="15" s="1"/>
  <c r="AP59" i="9"/>
  <c r="AJ44" i="36"/>
  <c r="AJ52" i="36" s="1"/>
  <c r="AJ76" i="9"/>
  <c r="AF45" i="36"/>
  <c r="AF51" i="36"/>
  <c r="AF53" i="36" s="1"/>
  <c r="AJ70" i="9"/>
  <c r="AF87" i="9"/>
  <c r="AI54" i="59" s="1"/>
  <c r="AJ22" i="9"/>
  <c r="AF25" i="9"/>
  <c r="AF52" i="9" s="1"/>
  <c r="AI51" i="59" s="1"/>
  <c r="AP68" i="9"/>
  <c r="AJ85" i="9"/>
  <c r="AP58" i="9"/>
  <c r="AJ43" i="36"/>
  <c r="AJ75" i="9"/>
  <c r="AP63" i="9"/>
  <c r="AJ80" i="9"/>
  <c r="Y81" i="17"/>
  <c r="X77" i="17"/>
  <c r="Y66" i="17"/>
  <c r="Y68" i="17" s="1"/>
  <c r="X81" i="17"/>
  <c r="Y113" i="17"/>
  <c r="X66" i="17"/>
  <c r="X68" i="17" s="1"/>
  <c r="Y77" i="17"/>
  <c r="X50" i="17"/>
  <c r="X113" i="17"/>
  <c r="X14" i="17"/>
  <c r="Y111" i="17"/>
  <c r="Y14" i="17"/>
  <c r="AA14" i="15"/>
  <c r="AE14" i="15" s="1"/>
  <c r="AB139" i="9"/>
  <c r="AF139" i="9" s="1"/>
  <c r="AB138" i="9"/>
  <c r="AF138" i="9" s="1"/>
  <c r="AB136" i="9"/>
  <c r="AF136" i="9" s="1"/>
  <c r="AA101" i="9"/>
  <c r="AE101" i="9" s="1"/>
  <c r="AI101" i="9" s="1"/>
  <c r="AB137" i="9"/>
  <c r="AF137" i="9" s="1"/>
  <c r="AJ137" i="9" s="1"/>
  <c r="AB34" i="9"/>
  <c r="AF34" i="9" s="1"/>
  <c r="AJ34" i="9" s="1"/>
  <c r="AP34" i="9" s="1"/>
  <c r="AT34" i="9" s="1"/>
  <c r="AX34" i="9" s="1"/>
  <c r="BF34" i="9" s="1"/>
  <c r="AB101" i="9"/>
  <c r="AF101" i="9" s="1"/>
  <c r="AB31" i="9"/>
  <c r="AF31" i="9" s="1"/>
  <c r="AJ31" i="9" s="1"/>
  <c r="AP31" i="9" s="1"/>
  <c r="AT31" i="9" s="1"/>
  <c r="AX31" i="9" s="1"/>
  <c r="BF31" i="9" s="1"/>
  <c r="AB35" i="9"/>
  <c r="AF35" i="9" s="1"/>
  <c r="AJ35" i="9" s="1"/>
  <c r="AP35" i="9" s="1"/>
  <c r="AT35" i="9" s="1"/>
  <c r="AX35" i="9" s="1"/>
  <c r="BF35" i="9" s="1"/>
  <c r="Z37" i="9"/>
  <c r="AB46" i="9"/>
  <c r="AF46" i="9" s="1"/>
  <c r="AJ46" i="9" s="1"/>
  <c r="AP46" i="9" s="1"/>
  <c r="AT46" i="9" s="1"/>
  <c r="AX46" i="9" s="1"/>
  <c r="BF46" i="9" s="1"/>
  <c r="Y17" i="26"/>
  <c r="Z122" i="7"/>
  <c r="Z123" i="7" s="1"/>
  <c r="Z121" i="7"/>
  <c r="Y12" i="26"/>
  <c r="Z10" i="9"/>
  <c r="AF36" i="9" l="1"/>
  <c r="AC117" i="50"/>
  <c r="AC118" i="50" s="1"/>
  <c r="AT63" i="9"/>
  <c r="AP80" i="9"/>
  <c r="AJ101" i="9"/>
  <c r="AP20" i="9"/>
  <c r="AJ53" i="9"/>
  <c r="AP55" i="9"/>
  <c r="AJ40" i="36"/>
  <c r="AJ72" i="9"/>
  <c r="AP69" i="9"/>
  <c r="AJ86" i="9"/>
  <c r="AT67" i="9"/>
  <c r="AP84" i="9"/>
  <c r="AP65" i="9"/>
  <c r="AJ82" i="9"/>
  <c r="AM55" i="59" s="1"/>
  <c r="AT68" i="9"/>
  <c r="AP85" i="9"/>
  <c r="AJ139" i="9"/>
  <c r="AP24" i="9"/>
  <c r="AO101" i="9"/>
  <c r="AS20" i="9"/>
  <c r="AW20" i="9" s="1"/>
  <c r="AJ45" i="36"/>
  <c r="AJ51" i="36"/>
  <c r="AJ53" i="36" s="1"/>
  <c r="AP70" i="9"/>
  <c r="AJ87" i="9"/>
  <c r="AM54" i="59" s="1"/>
  <c r="AP92" i="9"/>
  <c r="AJ93" i="9"/>
  <c r="AJ94" i="9"/>
  <c r="AI18" i="15" s="1"/>
  <c r="AT66" i="9"/>
  <c r="AP83" i="9"/>
  <c r="AJ136" i="9"/>
  <c r="AP9" i="9"/>
  <c r="AJ10" i="9"/>
  <c r="AT58" i="9"/>
  <c r="AX58" i="9" s="1"/>
  <c r="AP43" i="36"/>
  <c r="AP75" i="9"/>
  <c r="AP22" i="9"/>
  <c r="AJ25" i="9"/>
  <c r="AJ52" i="9" s="1"/>
  <c r="AM51" i="59" s="1"/>
  <c r="AT59" i="9"/>
  <c r="AX59" i="9" s="1"/>
  <c r="AP44" i="36"/>
  <c r="AP52" i="36" s="1"/>
  <c r="AP76" i="9"/>
  <c r="AJ138" i="9"/>
  <c r="AP23" i="9"/>
  <c r="AF42" i="36"/>
  <c r="AF48" i="36"/>
  <c r="AF50" i="36" s="1"/>
  <c r="AI14" i="15"/>
  <c r="AE16" i="15"/>
  <c r="Y115" i="17"/>
  <c r="AA16" i="15"/>
  <c r="X54" i="17"/>
  <c r="X111" i="17"/>
  <c r="X115" i="17" s="1"/>
  <c r="AB37" i="9"/>
  <c r="AF37" i="9" s="1"/>
  <c r="AJ37" i="9" s="1"/>
  <c r="AP37" i="9" s="1"/>
  <c r="AT37" i="9" s="1"/>
  <c r="AX37" i="9" s="1"/>
  <c r="BF37" i="9" s="1"/>
  <c r="Z124" i="7"/>
  <c r="Z25" i="9"/>
  <c r="Z93" i="9"/>
  <c r="AJ36" i="9" l="1"/>
  <c r="AG117" i="50"/>
  <c r="AG118" i="50" s="1"/>
  <c r="AT84" i="9"/>
  <c r="AX67" i="9"/>
  <c r="AT85" i="9"/>
  <c r="AX68" i="9"/>
  <c r="AP138" i="9"/>
  <c r="AT83" i="9"/>
  <c r="AX66" i="9"/>
  <c r="BF59" i="9"/>
  <c r="AX44" i="36"/>
  <c r="AX52" i="36" s="1"/>
  <c r="AX76" i="9"/>
  <c r="BE20" i="9"/>
  <c r="BF58" i="9"/>
  <c r="BF75" i="9" s="1"/>
  <c r="AX43" i="36"/>
  <c r="AX75" i="9"/>
  <c r="AT80" i="9"/>
  <c r="AX63" i="9"/>
  <c r="AS101" i="9"/>
  <c r="AW101" i="9" s="1"/>
  <c r="AP101" i="9"/>
  <c r="AF19" i="36"/>
  <c r="AP137" i="9"/>
  <c r="AT22" i="9"/>
  <c r="AX22" i="9" s="1"/>
  <c r="AT20" i="9"/>
  <c r="AX20" i="9" s="1"/>
  <c r="AP53" i="9"/>
  <c r="AP136" i="9"/>
  <c r="AT9" i="9"/>
  <c r="AX9" i="9" s="1"/>
  <c r="AP10" i="9"/>
  <c r="AT70" i="9"/>
  <c r="AP87" i="9"/>
  <c r="AS54" i="59" s="1"/>
  <c r="AJ42" i="36"/>
  <c r="AJ48" i="36"/>
  <c r="AJ50" i="36" s="1"/>
  <c r="AP25" i="9"/>
  <c r="AP52" i="9" s="1"/>
  <c r="AS51" i="59" s="1"/>
  <c r="AT23" i="9"/>
  <c r="AT44" i="36"/>
  <c r="AT52" i="36" s="1"/>
  <c r="AT76" i="9"/>
  <c r="AP45" i="36"/>
  <c r="AP51" i="36"/>
  <c r="AP53" i="36" s="1"/>
  <c r="AP139" i="9"/>
  <c r="AT24" i="9"/>
  <c r="AX24" i="9" s="1"/>
  <c r="AT55" i="9"/>
  <c r="AX55" i="9" s="1"/>
  <c r="AP40" i="36"/>
  <c r="AP72" i="9"/>
  <c r="AT43" i="36"/>
  <c r="AT75" i="9"/>
  <c r="AT92" i="9"/>
  <c r="AX92" i="9" s="1"/>
  <c r="AP93" i="9"/>
  <c r="AP94" i="9"/>
  <c r="AO18" i="15" s="1"/>
  <c r="AT65" i="9"/>
  <c r="AP82" i="9"/>
  <c r="AS55" i="59" s="1"/>
  <c r="AT69" i="9"/>
  <c r="AP86" i="9"/>
  <c r="AO14" i="15"/>
  <c r="AI16" i="15"/>
  <c r="Z68" i="7"/>
  <c r="AB68" i="7" s="1"/>
  <c r="AF68" i="7" s="1"/>
  <c r="Y68" i="7"/>
  <c r="AA68" i="7" s="1"/>
  <c r="AE68" i="7" s="1"/>
  <c r="Z62" i="7"/>
  <c r="AB62" i="7" s="1"/>
  <c r="AF62" i="7" s="1"/>
  <c r="Z60" i="7"/>
  <c r="AB60" i="7" s="1"/>
  <c r="AF60" i="7" s="1"/>
  <c r="AJ60" i="7" s="1"/>
  <c r="AP60" i="7" s="1"/>
  <c r="AT60" i="7" s="1"/>
  <c r="Y60" i="7"/>
  <c r="Z59" i="7"/>
  <c r="AB59" i="7" s="1"/>
  <c r="AF59" i="7" s="1"/>
  <c r="Y59" i="7"/>
  <c r="Z2" i="7"/>
  <c r="Z78" i="7" s="1"/>
  <c r="Y2" i="7"/>
  <c r="X1" i="7"/>
  <c r="X74" i="7" s="1"/>
  <c r="W1" i="7"/>
  <c r="W74" i="7" s="1"/>
  <c r="AP36" i="9" l="1"/>
  <c r="AK117" i="50"/>
  <c r="AK118" i="50" s="1"/>
  <c r="BF76" i="9"/>
  <c r="BF44" i="36"/>
  <c r="BF52" i="36" s="1"/>
  <c r="BF9" i="9"/>
  <c r="BF10" i="9" s="1"/>
  <c r="AX10" i="9"/>
  <c r="BF20" i="9"/>
  <c r="AX53" i="9"/>
  <c r="BF63" i="9"/>
  <c r="BF80" i="9" s="1"/>
  <c r="AX80" i="9"/>
  <c r="BE101" i="9"/>
  <c r="BF55" i="9"/>
  <c r="BF72" i="9" s="1"/>
  <c r="AX40" i="36"/>
  <c r="AX72" i="9"/>
  <c r="BF22" i="9"/>
  <c r="BF24" i="9"/>
  <c r="AT138" i="9"/>
  <c r="AX23" i="9"/>
  <c r="AT137" i="9"/>
  <c r="AX137" i="9" s="1"/>
  <c r="BF68" i="9"/>
  <c r="BF85" i="9" s="1"/>
  <c r="AX85" i="9"/>
  <c r="AX45" i="36"/>
  <c r="AX51" i="36"/>
  <c r="AX53" i="36" s="1"/>
  <c r="BF92" i="9"/>
  <c r="AX93" i="9"/>
  <c r="AX94" i="9"/>
  <c r="AW18" i="15" s="1"/>
  <c r="BF67" i="9"/>
  <c r="BF84" i="9" s="1"/>
  <c r="AX84" i="9"/>
  <c r="AT87" i="9"/>
  <c r="AW54" i="59" s="1"/>
  <c r="AX70" i="9"/>
  <c r="AT86" i="9"/>
  <c r="AX69" i="9"/>
  <c r="AT82" i="9"/>
  <c r="AW55" i="59" s="1"/>
  <c r="AX65" i="9"/>
  <c r="BF66" i="9"/>
  <c r="BF83" i="9" s="1"/>
  <c r="AX83" i="9"/>
  <c r="AT139" i="9"/>
  <c r="AX139" i="9" s="1"/>
  <c r="AJ62" i="7"/>
  <c r="AO16" i="15"/>
  <c r="AS14" i="15"/>
  <c r="AT40" i="36"/>
  <c r="AT72" i="9"/>
  <c r="AT25" i="9"/>
  <c r="AT52" i="9" s="1"/>
  <c r="AW51" i="59" s="1"/>
  <c r="AE1" i="7"/>
  <c r="AI68" i="7"/>
  <c r="AE69" i="7"/>
  <c r="AT45" i="36"/>
  <c r="AT51" i="36"/>
  <c r="AT53" i="36" s="1"/>
  <c r="AF61" i="7"/>
  <c r="AJ59" i="7"/>
  <c r="AF1" i="7"/>
  <c r="AJ68" i="7"/>
  <c r="AF69" i="7"/>
  <c r="AT136" i="9"/>
  <c r="AX136" i="9" s="1"/>
  <c r="BF136" i="9" s="1"/>
  <c r="AT10" i="9"/>
  <c r="AT93" i="9"/>
  <c r="AT94" i="9"/>
  <c r="AS18" i="15" s="1"/>
  <c r="AP42" i="36"/>
  <c r="AP48" i="36"/>
  <c r="AP50" i="36" s="1"/>
  <c r="AT101" i="9"/>
  <c r="AX101" i="9" s="1"/>
  <c r="AT53" i="9"/>
  <c r="Z135" i="7"/>
  <c r="Z137" i="7" s="1"/>
  <c r="Z138" i="7" s="1"/>
  <c r="Y61" i="7"/>
  <c r="Y70" i="7" s="1"/>
  <c r="Z129" i="7"/>
  <c r="Z131" i="7" s="1"/>
  <c r="Z132" i="7" s="1"/>
  <c r="Z61" i="7"/>
  <c r="Z69" i="7"/>
  <c r="Y69" i="7"/>
  <c r="X114" i="7"/>
  <c r="X115" i="7" s="1"/>
  <c r="AT36" i="9" l="1"/>
  <c r="AQ117" i="50"/>
  <c r="AQ118" i="50" s="1"/>
  <c r="BF139" i="9"/>
  <c r="BF137" i="9"/>
  <c r="BF94" i="9"/>
  <c r="BF93" i="9"/>
  <c r="AX138" i="9"/>
  <c r="BF23" i="9"/>
  <c r="BF138" i="9" s="1"/>
  <c r="BF70" i="9"/>
  <c r="BF87" i="9" s="1"/>
  <c r="BI54" i="59" s="1"/>
  <c r="AX87" i="9"/>
  <c r="BA54" i="59" s="1"/>
  <c r="AX42" i="36"/>
  <c r="AX48" i="36"/>
  <c r="AX50" i="36" s="1"/>
  <c r="AX19" i="36" s="1"/>
  <c r="BA50" i="59" s="1"/>
  <c r="BF101" i="9"/>
  <c r="BF53" i="9"/>
  <c r="BF65" i="9"/>
  <c r="BF82" i="9" s="1"/>
  <c r="BI55" i="59" s="1"/>
  <c r="AX82" i="9"/>
  <c r="BA55" i="59" s="1"/>
  <c r="BF69" i="9"/>
  <c r="BF86" i="9" s="1"/>
  <c r="AX86" i="9"/>
  <c r="AX25" i="9"/>
  <c r="AX52" i="9" s="1"/>
  <c r="BA51" i="59" s="1"/>
  <c r="AS16" i="15"/>
  <c r="AW14" i="15"/>
  <c r="AO68" i="7"/>
  <c r="AI1" i="7"/>
  <c r="AO1" i="7" s="1"/>
  <c r="AI69" i="7"/>
  <c r="AJ1" i="7"/>
  <c r="AP1" i="7" s="1"/>
  <c r="AP68" i="7"/>
  <c r="AJ69" i="7"/>
  <c r="AT42" i="36"/>
  <c r="AT48" i="36"/>
  <c r="AT50" i="36" s="1"/>
  <c r="AP19" i="36"/>
  <c r="AS50" i="59" s="1"/>
  <c r="AJ61" i="7"/>
  <c r="AJ63" i="7" s="1"/>
  <c r="AP59" i="7"/>
  <c r="AP62" i="7"/>
  <c r="AF70" i="7"/>
  <c r="AF75" i="7"/>
  <c r="AI28" i="59" s="1"/>
  <c r="AF74" i="7"/>
  <c r="AF26" i="7"/>
  <c r="AF86" i="7" s="1"/>
  <c r="AF49" i="7"/>
  <c r="AF22" i="7"/>
  <c r="AF32" i="7"/>
  <c r="AF84" i="7" s="1"/>
  <c r="AF55" i="7"/>
  <c r="AF30" i="7"/>
  <c r="AF91" i="7" s="1"/>
  <c r="AF56" i="7"/>
  <c r="AF52" i="7"/>
  <c r="AF51" i="7"/>
  <c r="AF90" i="7" s="1"/>
  <c r="AF29" i="7"/>
  <c r="AF89" i="7" s="1"/>
  <c r="AI35" i="59" s="1"/>
  <c r="AF72" i="7"/>
  <c r="AF33" i="7"/>
  <c r="AF94" i="7" s="1"/>
  <c r="AF25" i="7"/>
  <c r="AF85" i="7" s="1"/>
  <c r="AF28" i="7"/>
  <c r="AF88" i="7" s="1"/>
  <c r="AI34" i="59" s="1"/>
  <c r="AF50" i="7"/>
  <c r="AF24" i="7"/>
  <c r="AF93" i="7" s="1"/>
  <c r="AI32" i="59" s="1"/>
  <c r="AF53" i="7"/>
  <c r="AF27" i="7"/>
  <c r="AF87" i="7" s="1"/>
  <c r="AI33" i="59" s="1"/>
  <c r="AF54" i="7"/>
  <c r="AF23" i="7"/>
  <c r="AF21" i="7"/>
  <c r="AF63" i="7"/>
  <c r="Z70" i="7"/>
  <c r="Z51" i="7"/>
  <c r="Z90" i="7" s="1"/>
  <c r="Z55" i="7"/>
  <c r="Z50" i="7"/>
  <c r="Z52" i="7"/>
  <c r="Z49" i="7"/>
  <c r="Z54" i="7"/>
  <c r="Z53" i="7"/>
  <c r="Z56" i="7"/>
  <c r="Z28" i="7"/>
  <c r="Z88" i="7" s="1"/>
  <c r="AC34" i="59" s="1"/>
  <c r="Z100" i="7"/>
  <c r="Z33" i="7"/>
  <c r="Z94" i="7" s="1"/>
  <c r="Z25" i="7"/>
  <c r="Z85" i="7" s="1"/>
  <c r="Z101" i="7"/>
  <c r="Z102" i="7"/>
  <c r="Z104" i="7"/>
  <c r="Z103" i="7"/>
  <c r="Z24" i="7"/>
  <c r="Z23" i="7"/>
  <c r="Z83" i="7" s="1"/>
  <c r="Z22" i="7"/>
  <c r="Z30" i="7"/>
  <c r="Z91" i="7" s="1"/>
  <c r="Z29" i="7"/>
  <c r="Z32" i="7"/>
  <c r="Z84" i="7" s="1"/>
  <c r="Z27" i="7"/>
  <c r="Z26" i="7"/>
  <c r="Z86" i="7" s="1"/>
  <c r="AB35" i="59"/>
  <c r="Z75" i="7"/>
  <c r="AC28" i="59" s="1"/>
  <c r="Z21" i="7"/>
  <c r="Z81" i="7" s="1"/>
  <c r="AB33" i="59"/>
  <c r="Y75" i="7"/>
  <c r="AB28" i="59" s="1"/>
  <c r="AB29" i="59"/>
  <c r="Z72" i="7"/>
  <c r="Z63" i="7"/>
  <c r="Z114" i="7"/>
  <c r="Z115" i="7" s="1"/>
  <c r="Z116" i="7" s="1"/>
  <c r="X116" i="7"/>
  <c r="X117" i="7"/>
  <c r="X118" i="7" s="1"/>
  <c r="AX36" i="9" l="1"/>
  <c r="AU117" i="50"/>
  <c r="AU118" i="50" s="1"/>
  <c r="AW16" i="15"/>
  <c r="BE14" i="15"/>
  <c r="BE16" i="15" s="1"/>
  <c r="BF25" i="9"/>
  <c r="BF52" i="9" s="1"/>
  <c r="BI51" i="59" s="1"/>
  <c r="AF82" i="7"/>
  <c r="AI30" i="59" s="1"/>
  <c r="Z93" i="7"/>
  <c r="AF83" i="7"/>
  <c r="AI31" i="59" s="1"/>
  <c r="AT59" i="7"/>
  <c r="AT61" i="7" s="1"/>
  <c r="AP61" i="7"/>
  <c r="AP63" i="7" s="1"/>
  <c r="AT19" i="36"/>
  <c r="AW50" i="59" s="1"/>
  <c r="Z82" i="7"/>
  <c r="AC30" i="59" s="1"/>
  <c r="AJ74" i="7"/>
  <c r="AJ75" i="7"/>
  <c r="AM28" i="59" s="1"/>
  <c r="AJ70" i="7"/>
  <c r="AJ52" i="7"/>
  <c r="AJ26" i="7"/>
  <c r="AJ86" i="7" s="1"/>
  <c r="AJ55" i="7"/>
  <c r="AJ49" i="7"/>
  <c r="AJ30" i="7"/>
  <c r="AJ91" i="7" s="1"/>
  <c r="AJ51" i="7"/>
  <c r="AJ90" i="7" s="1"/>
  <c r="AJ56" i="7"/>
  <c r="AJ32" i="7"/>
  <c r="AJ84" i="7" s="1"/>
  <c r="AJ22" i="7"/>
  <c r="AJ54" i="7"/>
  <c r="AJ72" i="7"/>
  <c r="AJ50" i="7"/>
  <c r="AJ28" i="7"/>
  <c r="AJ88" i="7" s="1"/>
  <c r="AM34" i="59" s="1"/>
  <c r="AJ25" i="7"/>
  <c r="AJ85" i="7" s="1"/>
  <c r="AJ29" i="7"/>
  <c r="AJ89" i="7" s="1"/>
  <c r="AM35" i="59" s="1"/>
  <c r="AJ24" i="7"/>
  <c r="AJ53" i="7"/>
  <c r="AJ33" i="7"/>
  <c r="AJ94" i="7" s="1"/>
  <c r="AJ23" i="7"/>
  <c r="AJ83" i="7" s="1"/>
  <c r="AM31" i="59" s="1"/>
  <c r="AJ27" i="7"/>
  <c r="AJ87" i="7" s="1"/>
  <c r="AM33" i="59" s="1"/>
  <c r="AJ21" i="7"/>
  <c r="AF81" i="7"/>
  <c r="AF34" i="7"/>
  <c r="AF48" i="7" s="1"/>
  <c r="AT62" i="7"/>
  <c r="AT68" i="7"/>
  <c r="AP69" i="7"/>
  <c r="AS68" i="7"/>
  <c r="AO69" i="7"/>
  <c r="Z89" i="7"/>
  <c r="AC35" i="59" s="1"/>
  <c r="Z87" i="7"/>
  <c r="AC33" i="59" s="1"/>
  <c r="AC29" i="59"/>
  <c r="Z34" i="7"/>
  <c r="Z48" i="7" s="1"/>
  <c r="Z71" i="7" s="1"/>
  <c r="AC31" i="59"/>
  <c r="AC32" i="59"/>
  <c r="Z117" i="7"/>
  <c r="Z118" i="7" s="1"/>
  <c r="X119" i="7"/>
  <c r="BF36" i="9" l="1"/>
  <c r="BG117" i="50" s="1"/>
  <c r="BG118" i="50" s="1"/>
  <c r="AY117" i="50"/>
  <c r="AY118" i="50" s="1"/>
  <c r="AJ82" i="7"/>
  <c r="AM30" i="59" s="1"/>
  <c r="AS1" i="7"/>
  <c r="AS69" i="7"/>
  <c r="AT63" i="7"/>
  <c r="AJ93" i="7"/>
  <c r="AM32" i="59" s="1"/>
  <c r="AF57" i="7"/>
  <c r="AF71" i="7"/>
  <c r="AT1" i="7"/>
  <c r="AT69" i="7"/>
  <c r="AI29" i="59"/>
  <c r="AF95" i="7"/>
  <c r="AP21" i="7"/>
  <c r="AP75" i="7"/>
  <c r="AS28" i="59" s="1"/>
  <c r="AP70" i="7"/>
  <c r="AP74" i="7"/>
  <c r="AP22" i="7"/>
  <c r="AP51" i="7"/>
  <c r="AP90" i="7" s="1"/>
  <c r="AP30" i="7"/>
  <c r="AP91" i="7" s="1"/>
  <c r="AP55" i="7"/>
  <c r="AP49" i="7"/>
  <c r="AP52" i="7"/>
  <c r="AP32" i="7"/>
  <c r="AP84" i="7" s="1"/>
  <c r="AP56" i="7"/>
  <c r="AP26" i="7"/>
  <c r="AP86" i="7" s="1"/>
  <c r="AP24" i="7"/>
  <c r="AP28" i="7"/>
  <c r="AP88" i="7" s="1"/>
  <c r="AS34" i="59" s="1"/>
  <c r="AP23" i="7"/>
  <c r="AP33" i="7"/>
  <c r="AP94" i="7" s="1"/>
  <c r="AP50" i="7"/>
  <c r="AP72" i="7"/>
  <c r="AP25" i="7"/>
  <c r="AP85" i="7" s="1"/>
  <c r="AP27" i="7"/>
  <c r="AP87" i="7" s="1"/>
  <c r="AS33" i="59" s="1"/>
  <c r="AP54" i="7"/>
  <c r="AP53" i="7"/>
  <c r="AP29" i="7"/>
  <c r="AP89" i="7" s="1"/>
  <c r="AS35" i="59" s="1"/>
  <c r="AJ81" i="7"/>
  <c r="AJ34" i="7"/>
  <c r="AJ48" i="7" s="1"/>
  <c r="AT74" i="7"/>
  <c r="AT70" i="7"/>
  <c r="AT75" i="7"/>
  <c r="AW28" i="59" s="1"/>
  <c r="AT52" i="7"/>
  <c r="AT30" i="7"/>
  <c r="AT91" i="7" s="1"/>
  <c r="AT22" i="7"/>
  <c r="AT49" i="7"/>
  <c r="AT82" i="7" s="1"/>
  <c r="AW30" i="59" s="1"/>
  <c r="AT55" i="7"/>
  <c r="AT51" i="7"/>
  <c r="AT90" i="7" s="1"/>
  <c r="AT26" i="7"/>
  <c r="AT86" i="7" s="1"/>
  <c r="AT32" i="7"/>
  <c r="AT84" i="7" s="1"/>
  <c r="AT56" i="7"/>
  <c r="AT28" i="7"/>
  <c r="AT88" i="7" s="1"/>
  <c r="AW34" i="59" s="1"/>
  <c r="AT24" i="7"/>
  <c r="AT27" i="7"/>
  <c r="AT87" i="7" s="1"/>
  <c r="AW33" i="59" s="1"/>
  <c r="AT54" i="7"/>
  <c r="AT33" i="7"/>
  <c r="AT94" i="7" s="1"/>
  <c r="AT72" i="7"/>
  <c r="AT29" i="7"/>
  <c r="AT89" i="7" s="1"/>
  <c r="AW35" i="59" s="1"/>
  <c r="AT50" i="7"/>
  <c r="AT53" i="7"/>
  <c r="AT25" i="7"/>
  <c r="AT85" i="7" s="1"/>
  <c r="AT23" i="7"/>
  <c r="AT21" i="7"/>
  <c r="Z119" i="7"/>
  <c r="X126" i="7"/>
  <c r="AD3" i="38"/>
  <c r="AC3" i="38"/>
  <c r="AP93" i="7" l="1"/>
  <c r="AS32" i="59" s="1"/>
  <c r="AT83" i="7"/>
  <c r="AW31" i="59" s="1"/>
  <c r="AJ71" i="7"/>
  <c r="AJ57" i="7"/>
  <c r="AT93" i="7"/>
  <c r="AW32" i="59" s="1"/>
  <c r="AJ95" i="7"/>
  <c r="AM29" i="59"/>
  <c r="AP82" i="7"/>
  <c r="AS30" i="59" s="1"/>
  <c r="AP81" i="7"/>
  <c r="AP34" i="7"/>
  <c r="AP48" i="7" s="1"/>
  <c r="AT81" i="7"/>
  <c r="AT34" i="7"/>
  <c r="AT48" i="7" s="1"/>
  <c r="AP83" i="7"/>
  <c r="AS31" i="59" s="1"/>
  <c r="AC52" i="38"/>
  <c r="AC67" i="38"/>
  <c r="AD52" i="38"/>
  <c r="AD67" i="38"/>
  <c r="Z126" i="7"/>
  <c r="W160" i="6"/>
  <c r="W161" i="6" s="1"/>
  <c r="X87" i="45"/>
  <c r="X88" i="45" s="1"/>
  <c r="W186" i="6"/>
  <c r="W187" i="6" s="1"/>
  <c r="AA75" i="8"/>
  <c r="AS29" i="59" l="1"/>
  <c r="AP95" i="7"/>
  <c r="AP71" i="7"/>
  <c r="AP57" i="7"/>
  <c r="AT71" i="7"/>
  <c r="AT57" i="7"/>
  <c r="AT95" i="7"/>
  <c r="AW29" i="59"/>
  <c r="AD42" i="59"/>
  <c r="X26" i="36" l="1"/>
  <c r="X25" i="36"/>
  <c r="AA69" i="59" s="1"/>
  <c r="AB42" i="59" l="1"/>
  <c r="Z79" i="8" l="1"/>
  <c r="AB79" i="8" s="1"/>
  <c r="AF79" i="8" s="1"/>
  <c r="AJ79" i="8" s="1"/>
  <c r="AP79" i="8" s="1"/>
  <c r="Z55" i="8"/>
  <c r="Z53" i="8"/>
  <c r="Z58" i="8"/>
  <c r="AB58" i="8" s="1"/>
  <c r="AF58" i="8" s="1"/>
  <c r="AJ58" i="8" s="1"/>
  <c r="AP58" i="8" s="1"/>
  <c r="Y59" i="8"/>
  <c r="Z32" i="8"/>
  <c r="Z11" i="49" s="1"/>
  <c r="Y32" i="8"/>
  <c r="Z22" i="8"/>
  <c r="Z17" i="8"/>
  <c r="Y8" i="15" s="1"/>
  <c r="Y13" i="15" s="1"/>
  <c r="Y17" i="8"/>
  <c r="Z16" i="8"/>
  <c r="AB16" i="8" s="1"/>
  <c r="AF16" i="8" s="1"/>
  <c r="AJ16" i="8" s="1"/>
  <c r="AP16" i="8" s="1"/>
  <c r="AT16" i="8" s="1"/>
  <c r="AX16" i="8" s="1"/>
  <c r="BF16" i="8" s="1"/>
  <c r="Y16" i="8"/>
  <c r="AA16" i="8" s="1"/>
  <c r="AE16" i="8" s="1"/>
  <c r="AI16" i="8" s="1"/>
  <c r="AO16" i="8" s="1"/>
  <c r="AS16" i="8" s="1"/>
  <c r="AW16" i="8" s="1"/>
  <c r="BE16" i="8" s="1"/>
  <c r="Z12" i="8"/>
  <c r="AB12" i="8" s="1"/>
  <c r="AF12" i="8" s="1"/>
  <c r="Z8" i="8"/>
  <c r="AB8" i="8" s="1"/>
  <c r="AF8" i="8" s="1"/>
  <c r="AJ8" i="8" s="1"/>
  <c r="AP8" i="8" s="1"/>
  <c r="AT8" i="8" s="1"/>
  <c r="AX8" i="8" s="1"/>
  <c r="BF8" i="8" s="1"/>
  <c r="Y8" i="8"/>
  <c r="AA8" i="8" s="1"/>
  <c r="AE8" i="8" s="1"/>
  <c r="AI8" i="8" s="1"/>
  <c r="AO8" i="8" s="1"/>
  <c r="AS8" i="8" s="1"/>
  <c r="AW8" i="8" s="1"/>
  <c r="BE8" i="8" s="1"/>
  <c r="Z2" i="8"/>
  <c r="Z82" i="8" s="1"/>
  <c r="Y2" i="8"/>
  <c r="AT58" i="8" l="1"/>
  <c r="AX58" i="8" s="1"/>
  <c r="BF58" i="8" s="1"/>
  <c r="BD58" i="8"/>
  <c r="AT79" i="8"/>
  <c r="AF15" i="8"/>
  <c r="AJ12" i="8"/>
  <c r="X8" i="15"/>
  <c r="AA17" i="8"/>
  <c r="AE17" i="8" s="1"/>
  <c r="Y11" i="49"/>
  <c r="AA32" i="8"/>
  <c r="AE32" i="8" s="1"/>
  <c r="Z12" i="36"/>
  <c r="AB22" i="8"/>
  <c r="AF22" i="8" s="1"/>
  <c r="Z10" i="36"/>
  <c r="Z8" i="49"/>
  <c r="Z11" i="36"/>
  <c r="Z9" i="49"/>
  <c r="Z129" i="8"/>
  <c r="Z130" i="8" s="1"/>
  <c r="Z81" i="8"/>
  <c r="AB56" i="8"/>
  <c r="AF56" i="8" s="1"/>
  <c r="AJ56" i="8" s="1"/>
  <c r="AB62" i="8"/>
  <c r="AF62" i="8" s="1"/>
  <c r="AJ62" i="8" s="1"/>
  <c r="AB66" i="8"/>
  <c r="AF66" i="8" s="1"/>
  <c r="AJ66" i="8" s="1"/>
  <c r="AB17" i="8"/>
  <c r="AF17" i="8" s="1"/>
  <c r="AB32" i="8"/>
  <c r="AF32" i="8" s="1"/>
  <c r="Z75" i="8"/>
  <c r="AC42" i="59" s="1"/>
  <c r="Z25" i="8"/>
  <c r="AJ17" i="8" l="1"/>
  <c r="AE8" i="15"/>
  <c r="AE13" i="15" s="1"/>
  <c r="AI32" i="8"/>
  <c r="AE11" i="49"/>
  <c r="AP66" i="8"/>
  <c r="AJ32" i="8"/>
  <c r="AF11" i="49"/>
  <c r="AP62" i="8"/>
  <c r="AJ22" i="8"/>
  <c r="AF25" i="8"/>
  <c r="AF8" i="49"/>
  <c r="AF10" i="36"/>
  <c r="AI17" i="8"/>
  <c r="AD8" i="15"/>
  <c r="AP56" i="8"/>
  <c r="AT56" i="8" s="1"/>
  <c r="AX56" i="8" s="1"/>
  <c r="BF56" i="8" s="1"/>
  <c r="AJ15" i="8"/>
  <c r="AP12" i="8"/>
  <c r="Z13" i="36"/>
  <c r="Z131" i="8"/>
  <c r="Z132" i="8" s="1"/>
  <c r="Z51" i="8" s="1"/>
  <c r="Z50" i="8"/>
  <c r="AB129" i="8"/>
  <c r="AB131" i="8" s="1"/>
  <c r="AB52" i="8"/>
  <c r="AF52" i="8" s="1"/>
  <c r="AJ52" i="8" s="1"/>
  <c r="AP52" i="8" s="1"/>
  <c r="AB55" i="8"/>
  <c r="AB53" i="8"/>
  <c r="AF53" i="8" s="1"/>
  <c r="AJ53" i="8" s="1"/>
  <c r="Z181" i="6"/>
  <c r="Z156" i="6"/>
  <c r="Z118" i="6"/>
  <c r="AB118" i="6" s="1"/>
  <c r="AF118" i="6" s="1"/>
  <c r="AJ118" i="6" s="1"/>
  <c r="Z113" i="6"/>
  <c r="AB113" i="6" s="1"/>
  <c r="AF113" i="6" s="1"/>
  <c r="AJ113" i="6" s="1"/>
  <c r="AP113" i="6" s="1"/>
  <c r="Y113" i="6"/>
  <c r="AA113" i="6" s="1"/>
  <c r="AE113" i="6" s="1"/>
  <c r="AI113" i="6" s="1"/>
  <c r="AO113" i="6" s="1"/>
  <c r="AS113" i="6" s="1"/>
  <c r="AW113" i="6" s="1"/>
  <c r="BE113" i="6" s="1"/>
  <c r="Z110" i="6"/>
  <c r="AB110" i="6" s="1"/>
  <c r="AF110" i="6" s="1"/>
  <c r="Y110" i="6"/>
  <c r="AA110" i="6" s="1"/>
  <c r="AE110" i="6" s="1"/>
  <c r="AI110" i="6" s="1"/>
  <c r="Y106" i="6"/>
  <c r="Y105" i="6"/>
  <c r="Z104" i="6"/>
  <c r="AB104" i="6" s="1"/>
  <c r="AF104" i="6" s="1"/>
  <c r="Y104" i="6"/>
  <c r="AA104" i="6" s="1"/>
  <c r="AE104" i="6" s="1"/>
  <c r="Z96" i="6"/>
  <c r="AB96" i="6" s="1"/>
  <c r="AF96" i="6" s="1"/>
  <c r="AJ96" i="6" s="1"/>
  <c r="AP96" i="6" s="1"/>
  <c r="Y96" i="6"/>
  <c r="AA96" i="6" s="1"/>
  <c r="AE96" i="6" s="1"/>
  <c r="AI96" i="6" s="1"/>
  <c r="AO96" i="6" s="1"/>
  <c r="AS96" i="6" s="1"/>
  <c r="AW96" i="6" s="1"/>
  <c r="BE96" i="6" s="1"/>
  <c r="Z93" i="6"/>
  <c r="AB93" i="6" s="1"/>
  <c r="AF93" i="6" s="1"/>
  <c r="Y93" i="6"/>
  <c r="AA93" i="6" s="1"/>
  <c r="AE93" i="6" s="1"/>
  <c r="Y87" i="6"/>
  <c r="Z84" i="6"/>
  <c r="AB84" i="6" s="1"/>
  <c r="AF84" i="6" s="1"/>
  <c r="AJ84" i="6" s="1"/>
  <c r="AP84" i="6" s="1"/>
  <c r="AT84" i="6" s="1"/>
  <c r="AX84" i="6" s="1"/>
  <c r="BF84" i="6" s="1"/>
  <c r="Y84" i="6"/>
  <c r="AA84" i="6" s="1"/>
  <c r="AE84" i="6" s="1"/>
  <c r="AI84" i="6" s="1"/>
  <c r="AO84" i="6" s="1"/>
  <c r="AS84" i="6" s="1"/>
  <c r="AW84" i="6" s="1"/>
  <c r="BE84" i="6" s="1"/>
  <c r="Z83" i="6"/>
  <c r="AB83" i="6" s="1"/>
  <c r="AF83" i="6" s="1"/>
  <c r="AJ83" i="6" s="1"/>
  <c r="AP83" i="6" s="1"/>
  <c r="AT83" i="6" s="1"/>
  <c r="AX83" i="6" s="1"/>
  <c r="BF83" i="6" s="1"/>
  <c r="Y83" i="6"/>
  <c r="AA83" i="6" s="1"/>
  <c r="AE83" i="6" s="1"/>
  <c r="AI83" i="6" s="1"/>
  <c r="AO83" i="6" s="1"/>
  <c r="AS83" i="6" s="1"/>
  <c r="AW83" i="6" s="1"/>
  <c r="BE83" i="6" s="1"/>
  <c r="Z82" i="6"/>
  <c r="AB82" i="6" s="1"/>
  <c r="AF82" i="6" s="1"/>
  <c r="AJ82" i="6" s="1"/>
  <c r="AP82" i="6" s="1"/>
  <c r="AT82" i="6" s="1"/>
  <c r="AX82" i="6" s="1"/>
  <c r="BF82" i="6" s="1"/>
  <c r="Y82" i="6"/>
  <c r="AA82" i="6" s="1"/>
  <c r="AE82" i="6" s="1"/>
  <c r="AI82" i="6" s="1"/>
  <c r="AO82" i="6" s="1"/>
  <c r="AS82" i="6" s="1"/>
  <c r="AW82" i="6" s="1"/>
  <c r="BE82" i="6" s="1"/>
  <c r="Y72" i="6"/>
  <c r="AA72" i="6" s="1"/>
  <c r="AE72" i="6" s="1"/>
  <c r="AI72" i="6" s="1"/>
  <c r="AO72" i="6" s="1"/>
  <c r="AS72" i="6" s="1"/>
  <c r="AW72" i="6" s="1"/>
  <c r="BE72" i="6" s="1"/>
  <c r="Y71" i="6"/>
  <c r="AA71" i="6" s="1"/>
  <c r="AE71" i="6" s="1"/>
  <c r="AI71" i="6" s="1"/>
  <c r="AO71" i="6" s="1"/>
  <c r="Y70" i="6"/>
  <c r="AA70" i="6" s="1"/>
  <c r="AE70" i="6" s="1"/>
  <c r="AI70" i="6" s="1"/>
  <c r="AO70" i="6" s="1"/>
  <c r="AS70" i="6" s="1"/>
  <c r="AW70" i="6" s="1"/>
  <c r="BE70" i="6" s="1"/>
  <c r="Y69" i="6"/>
  <c r="AA69" i="6" s="1"/>
  <c r="AE69" i="6" s="1"/>
  <c r="AI69" i="6" s="1"/>
  <c r="AO69" i="6" s="1"/>
  <c r="AS69" i="6" s="1"/>
  <c r="AW69" i="6" s="1"/>
  <c r="BE69" i="6" s="1"/>
  <c r="Z68" i="6"/>
  <c r="AB68" i="6" s="1"/>
  <c r="AF68" i="6" s="1"/>
  <c r="Y68" i="6"/>
  <c r="AA68" i="6" s="1"/>
  <c r="AE68" i="6" s="1"/>
  <c r="Z66" i="6"/>
  <c r="AB66" i="6" s="1"/>
  <c r="AF66" i="6" s="1"/>
  <c r="AJ66" i="6" s="1"/>
  <c r="AP66" i="6" s="1"/>
  <c r="AT66" i="6" s="1"/>
  <c r="Y66" i="6"/>
  <c r="AA66" i="6" s="1"/>
  <c r="AE66" i="6" s="1"/>
  <c r="AI66" i="6" s="1"/>
  <c r="AO66" i="6" s="1"/>
  <c r="AS66" i="6" s="1"/>
  <c r="Z64" i="6"/>
  <c r="Y64" i="6"/>
  <c r="AA64" i="6" s="1"/>
  <c r="AE64" i="6" s="1"/>
  <c r="AI64" i="6" s="1"/>
  <c r="AO64" i="6" s="1"/>
  <c r="AS64" i="6" s="1"/>
  <c r="Z63" i="6"/>
  <c r="Y63" i="6"/>
  <c r="AA63" i="6" s="1"/>
  <c r="AE63" i="6" s="1"/>
  <c r="Z61" i="6"/>
  <c r="AB61" i="6" s="1"/>
  <c r="AF61" i="6" s="1"/>
  <c r="AJ61" i="6" s="1"/>
  <c r="AP61" i="6" s="1"/>
  <c r="AT61" i="6" s="1"/>
  <c r="AX61" i="6" s="1"/>
  <c r="AX62" i="6" s="1"/>
  <c r="Y61" i="6"/>
  <c r="AA61" i="6" s="1"/>
  <c r="AE61" i="6" s="1"/>
  <c r="AI61" i="6" s="1"/>
  <c r="AO61" i="6" s="1"/>
  <c r="AS61" i="6" s="1"/>
  <c r="Z60" i="6"/>
  <c r="AB60" i="6" s="1"/>
  <c r="AF60" i="6" s="1"/>
  <c r="Y60" i="6"/>
  <c r="AA60" i="6" s="1"/>
  <c r="AE60" i="6" s="1"/>
  <c r="Z27" i="6"/>
  <c r="AB27" i="6" s="1"/>
  <c r="AF27" i="6" s="1"/>
  <c r="AJ27" i="6" s="1"/>
  <c r="AP27" i="6" s="1"/>
  <c r="AT27" i="6" s="1"/>
  <c r="AX27" i="6" s="1"/>
  <c r="BF27" i="6" s="1"/>
  <c r="Z26" i="6"/>
  <c r="AB26" i="6" s="1"/>
  <c r="AF26" i="6" s="1"/>
  <c r="Z24" i="6"/>
  <c r="AB24" i="6" s="1"/>
  <c r="AF24" i="6" s="1"/>
  <c r="AJ24" i="6" s="1"/>
  <c r="AP24" i="6" s="1"/>
  <c r="AT24" i="6" s="1"/>
  <c r="AX24" i="6" s="1"/>
  <c r="BF24" i="6" s="1"/>
  <c r="Z23" i="6"/>
  <c r="AB23" i="6" s="1"/>
  <c r="AF23" i="6" s="1"/>
  <c r="Z21" i="6"/>
  <c r="AB21" i="6" s="1"/>
  <c r="AF21" i="6" s="1"/>
  <c r="AJ21" i="6" s="1"/>
  <c r="AP21" i="6" s="1"/>
  <c r="AT21" i="6" s="1"/>
  <c r="AX21" i="6" s="1"/>
  <c r="BF21" i="6" s="1"/>
  <c r="Z20" i="6"/>
  <c r="AB20" i="6" s="1"/>
  <c r="AF20" i="6" s="1"/>
  <c r="AJ68" i="6" l="1"/>
  <c r="AF73" i="6"/>
  <c r="AI93" i="6"/>
  <c r="AE97" i="6"/>
  <c r="AI104" i="6"/>
  <c r="AO110" i="6"/>
  <c r="AI114" i="6"/>
  <c r="AP118" i="6"/>
  <c r="AT118" i="6" s="1"/>
  <c r="AT52" i="8"/>
  <c r="AX52" i="8" s="1"/>
  <c r="BF52" i="8" s="1"/>
  <c r="AF25" i="6"/>
  <c r="AJ23" i="6"/>
  <c r="AI60" i="6"/>
  <c r="AE62" i="6"/>
  <c r="AI63" i="6"/>
  <c r="AE65" i="6"/>
  <c r="AJ93" i="6"/>
  <c r="AF97" i="6"/>
  <c r="AJ104" i="6"/>
  <c r="AF109" i="6"/>
  <c r="AJ110" i="6"/>
  <c r="AF114" i="6"/>
  <c r="AO17" i="8"/>
  <c r="AH8" i="15"/>
  <c r="AP22" i="8"/>
  <c r="AJ25" i="8"/>
  <c r="AJ8" i="49"/>
  <c r="AJ10" i="36"/>
  <c r="AP32" i="8"/>
  <c r="AJ11" i="49"/>
  <c r="AO32" i="8"/>
  <c r="AI11" i="49"/>
  <c r="AJ26" i="6"/>
  <c r="AF28" i="6"/>
  <c r="AJ60" i="6"/>
  <c r="AF62" i="6"/>
  <c r="AP15" i="8"/>
  <c r="AT12" i="8"/>
  <c r="AI37" i="59"/>
  <c r="AF13" i="36"/>
  <c r="AI40" i="59" s="1"/>
  <c r="AP53" i="8"/>
  <c r="AT62" i="8"/>
  <c r="AX62" i="8" s="1"/>
  <c r="BF62" i="8" s="1"/>
  <c r="AT66" i="8"/>
  <c r="AX66" i="8" s="1"/>
  <c r="BF66" i="8" s="1"/>
  <c r="AJ20" i="6"/>
  <c r="AF22" i="6"/>
  <c r="AI68" i="6"/>
  <c r="AE73" i="6"/>
  <c r="AS71" i="6"/>
  <c r="AW71" i="6" s="1"/>
  <c r="BE71" i="6" s="1"/>
  <c r="AT96" i="6"/>
  <c r="AX96" i="6" s="1"/>
  <c r="BF96" i="6" s="1"/>
  <c r="AT113" i="6"/>
  <c r="AX113" i="6" s="1"/>
  <c r="BF113" i="6" s="1"/>
  <c r="AI8" i="15"/>
  <c r="AI13" i="15" s="1"/>
  <c r="AP17" i="8"/>
  <c r="AF55" i="8"/>
  <c r="AJ55" i="8" s="1"/>
  <c r="AP55" i="8" s="1"/>
  <c r="AE114" i="6"/>
  <c r="Z158" i="6"/>
  <c r="AB156" i="6"/>
  <c r="AF156" i="6" s="1"/>
  <c r="AJ156" i="6" s="1"/>
  <c r="AB63" i="6"/>
  <c r="AF63" i="6" s="1"/>
  <c r="AB130" i="8"/>
  <c r="AB50" i="8" s="1"/>
  <c r="AB64" i="6"/>
  <c r="AF64" i="6" s="1"/>
  <c r="AJ64" i="6" s="1"/>
  <c r="AP64" i="6" s="1"/>
  <c r="AT64" i="6" s="1"/>
  <c r="Z183" i="6"/>
  <c r="AB181" i="6"/>
  <c r="AF181" i="6" s="1"/>
  <c r="AJ181" i="6" s="1"/>
  <c r="AP181" i="6" s="1"/>
  <c r="AA106" i="6"/>
  <c r="AE106" i="6" s="1"/>
  <c r="AI106" i="6" s="1"/>
  <c r="AO106" i="6" s="1"/>
  <c r="AS106" i="6" s="1"/>
  <c r="AW106" i="6" s="1"/>
  <c r="BE106" i="6" s="1"/>
  <c r="AA105" i="6"/>
  <c r="AE105" i="6" s="1"/>
  <c r="AI105" i="6" s="1"/>
  <c r="AO105" i="6" s="1"/>
  <c r="AS105" i="6" s="1"/>
  <c r="AW105" i="6" s="1"/>
  <c r="BE105" i="6" s="1"/>
  <c r="Y92" i="6"/>
  <c r="AA87" i="6"/>
  <c r="AE87" i="6" s="1"/>
  <c r="Z97" i="6"/>
  <c r="Z98" i="6" s="1"/>
  <c r="Z102" i="6" s="1"/>
  <c r="Y97" i="6"/>
  <c r="Y109" i="6"/>
  <c r="Y114" i="6"/>
  <c r="Z109" i="6"/>
  <c r="Z114" i="6"/>
  <c r="Y2" i="6"/>
  <c r="Z25" i="6"/>
  <c r="Z22" i="6"/>
  <c r="AT15" i="8" l="1"/>
  <c r="AX12" i="8"/>
  <c r="AT17" i="8"/>
  <c r="AX17" i="8" s="1"/>
  <c r="AO8" i="15"/>
  <c r="AO13" i="15" s="1"/>
  <c r="AT55" i="8"/>
  <c r="AX55" i="8" s="1"/>
  <c r="BF55" i="8" s="1"/>
  <c r="AF98" i="6"/>
  <c r="AF102" i="6" s="1"/>
  <c r="AS110" i="6"/>
  <c r="AO114" i="6"/>
  <c r="AO93" i="6"/>
  <c r="AI97" i="6"/>
  <c r="AO68" i="6"/>
  <c r="AI73" i="6"/>
  <c r="AP26" i="6"/>
  <c r="AJ28" i="6"/>
  <c r="AT32" i="8"/>
  <c r="AP11" i="49"/>
  <c r="AT22" i="8"/>
  <c r="AX22" i="8" s="1"/>
  <c r="AP25" i="8"/>
  <c r="AP8" i="49"/>
  <c r="AP10" i="36"/>
  <c r="AP110" i="6"/>
  <c r="AJ114" i="6"/>
  <c r="AP93" i="6"/>
  <c r="AJ97" i="6"/>
  <c r="AI62" i="6"/>
  <c r="AO60" i="6"/>
  <c r="AE109" i="6"/>
  <c r="AE115" i="6" s="1"/>
  <c r="AE119" i="6" s="1"/>
  <c r="AE166" i="6" s="1"/>
  <c r="AI87" i="6"/>
  <c r="AE92" i="6"/>
  <c r="AT181" i="6"/>
  <c r="AJ63" i="6"/>
  <c r="AF65" i="6"/>
  <c r="AT53" i="8"/>
  <c r="AX53" i="8" s="1"/>
  <c r="BF53" i="8" s="1"/>
  <c r="AP60" i="6"/>
  <c r="AJ62" i="6"/>
  <c r="AM37" i="59"/>
  <c r="AJ13" i="36"/>
  <c r="AM40" i="59" s="1"/>
  <c r="AF115" i="6"/>
  <c r="AF119" i="6" s="1"/>
  <c r="AF168" i="6" s="1"/>
  <c r="AP23" i="6"/>
  <c r="AJ25" i="6"/>
  <c r="AO104" i="6"/>
  <c r="AI109" i="6"/>
  <c r="AI115" i="6" s="1"/>
  <c r="AI119" i="6" s="1"/>
  <c r="AI166" i="6" s="1"/>
  <c r="AP68" i="6"/>
  <c r="AJ73" i="6"/>
  <c r="AP156" i="6"/>
  <c r="AP20" i="6"/>
  <c r="AJ22" i="6"/>
  <c r="AS32" i="8"/>
  <c r="AO11" i="49"/>
  <c r="AS17" i="8"/>
  <c r="AW17" i="8" s="1"/>
  <c r="AN8" i="15"/>
  <c r="AP104" i="6"/>
  <c r="AJ109" i="6"/>
  <c r="AO63" i="6"/>
  <c r="AI65" i="6"/>
  <c r="AB132" i="8"/>
  <c r="AB51" i="8" s="1"/>
  <c r="Z131" i="6"/>
  <c r="Y98" i="6"/>
  <c r="Y102" i="6" s="1"/>
  <c r="Y143" i="6" s="1"/>
  <c r="Y185" i="6"/>
  <c r="Z143" i="6"/>
  <c r="Z140" i="6"/>
  <c r="Y131" i="6"/>
  <c r="Z115" i="6"/>
  <c r="Z119" i="6" s="1"/>
  <c r="Z168" i="6" s="1"/>
  <c r="Z141" i="6"/>
  <c r="AC15" i="59" s="1"/>
  <c r="Y115" i="6"/>
  <c r="Y119" i="6" s="1"/>
  <c r="Y168" i="6" s="1"/>
  <c r="Y126" i="6"/>
  <c r="Z126" i="6"/>
  <c r="Z9" i="6"/>
  <c r="Z8" i="6"/>
  <c r="Z73" i="6"/>
  <c r="Z65" i="6"/>
  <c r="Z62" i="6"/>
  <c r="Z28" i="6"/>
  <c r="AE165" i="6" l="1"/>
  <c r="AE167" i="6" s="1"/>
  <c r="AE168" i="6"/>
  <c r="AS114" i="6"/>
  <c r="AW110" i="6"/>
  <c r="AT11" i="49"/>
  <c r="AX32" i="8"/>
  <c r="AW8" i="15"/>
  <c r="AW13" i="15" s="1"/>
  <c r="BF17" i="8"/>
  <c r="AX15" i="8"/>
  <c r="BF12" i="8"/>
  <c r="BF15" i="8" s="1"/>
  <c r="BF22" i="8"/>
  <c r="AX25" i="8"/>
  <c r="AX8" i="49"/>
  <c r="AX10" i="36"/>
  <c r="BE17" i="8"/>
  <c r="AV8" i="15"/>
  <c r="AS11" i="49"/>
  <c r="AW32" i="8"/>
  <c r="AS63" i="6"/>
  <c r="AS65" i="6" s="1"/>
  <c r="AO65" i="6"/>
  <c r="AR8" i="15"/>
  <c r="AT60" i="6"/>
  <c r="AP62" i="6"/>
  <c r="AT93" i="6"/>
  <c r="AP97" i="6"/>
  <c r="AS68" i="6"/>
  <c r="AO73" i="6"/>
  <c r="AJ115" i="6"/>
  <c r="AJ119" i="6" s="1"/>
  <c r="AJ165" i="6" s="1"/>
  <c r="AT20" i="6"/>
  <c r="AP22" i="6"/>
  <c r="AT68" i="6"/>
  <c r="AP73" i="6"/>
  <c r="AS60" i="6"/>
  <c r="AS62" i="6" s="1"/>
  <c r="AO62" i="6"/>
  <c r="AJ166" i="6"/>
  <c r="AM22" i="59" s="1"/>
  <c r="AF140" i="6"/>
  <c r="AF143" i="6"/>
  <c r="AT104" i="6"/>
  <c r="AP109" i="6"/>
  <c r="AT156" i="6"/>
  <c r="AI165" i="6"/>
  <c r="AI167" i="6" s="1"/>
  <c r="AI168" i="6"/>
  <c r="AT23" i="6"/>
  <c r="AP25" i="6"/>
  <c r="AE98" i="6"/>
  <c r="AE102" i="6" s="1"/>
  <c r="AE140" i="6" s="1"/>
  <c r="AT110" i="6"/>
  <c r="AP114" i="6"/>
  <c r="AT25" i="8"/>
  <c r="AT8" i="49"/>
  <c r="AT10" i="36"/>
  <c r="AT26" i="6"/>
  <c r="AP28" i="6"/>
  <c r="AS93" i="6"/>
  <c r="AO97" i="6"/>
  <c r="AF141" i="6"/>
  <c r="AI15" i="59" s="1"/>
  <c r="AS8" i="15"/>
  <c r="AS13" i="15" s="1"/>
  <c r="AS104" i="6"/>
  <c r="AO109" i="6"/>
  <c r="AO115" i="6" s="1"/>
  <c r="AO119" i="6" s="1"/>
  <c r="AF165" i="6"/>
  <c r="AP63" i="6"/>
  <c r="AJ65" i="6"/>
  <c r="AO87" i="6"/>
  <c r="AI92" i="6"/>
  <c r="AJ98" i="6"/>
  <c r="AJ102" i="6" s="1"/>
  <c r="AS37" i="59"/>
  <c r="AP13" i="36"/>
  <c r="AS40" i="59" s="1"/>
  <c r="AF166" i="6"/>
  <c r="AI22" i="59" s="1"/>
  <c r="Y140" i="6"/>
  <c r="Y141" i="6"/>
  <c r="Y132" i="6"/>
  <c r="Z132" i="6"/>
  <c r="Y166" i="6"/>
  <c r="Z166" i="6"/>
  <c r="AC22" i="59" s="1"/>
  <c r="Z165" i="6"/>
  <c r="Y165" i="6"/>
  <c r="Z142" i="6"/>
  <c r="Z7" i="36" s="1"/>
  <c r="F10" i="36"/>
  <c r="I37" i="59" s="1"/>
  <c r="F11" i="36"/>
  <c r="I38" i="59" s="1"/>
  <c r="F12" i="36"/>
  <c r="I39" i="59" s="1"/>
  <c r="F5" i="36"/>
  <c r="Z2" i="36"/>
  <c r="Y2" i="36"/>
  <c r="Z23" i="21"/>
  <c r="Z27" i="21"/>
  <c r="Y27" i="21"/>
  <c r="Z26" i="21"/>
  <c r="Y26" i="21"/>
  <c r="Z22" i="21"/>
  <c r="Z6" i="21"/>
  <c r="Z2" i="21"/>
  <c r="Y2" i="21"/>
  <c r="AT28" i="6" l="1"/>
  <c r="AX26" i="6"/>
  <c r="AT22" i="6"/>
  <c r="AX20" i="6"/>
  <c r="AT25" i="6"/>
  <c r="AX23" i="6"/>
  <c r="BF8" i="49"/>
  <c r="BF10" i="36"/>
  <c r="BI37" i="59" s="1"/>
  <c r="AT97" i="6"/>
  <c r="AX93" i="6"/>
  <c r="AT114" i="6"/>
  <c r="AX110" i="6"/>
  <c r="BE110" i="6"/>
  <c r="BE114" i="6" s="1"/>
  <c r="AW114" i="6"/>
  <c r="AS97" i="6"/>
  <c r="AW93" i="6"/>
  <c r="AS109" i="6"/>
  <c r="AS115" i="6" s="1"/>
  <c r="AS119" i="6" s="1"/>
  <c r="AW104" i="6"/>
  <c r="AT109" i="6"/>
  <c r="AT115" i="6" s="1"/>
  <c r="AT119" i="6" s="1"/>
  <c r="AT168" i="6" s="1"/>
  <c r="AX104" i="6"/>
  <c r="AS73" i="6"/>
  <c r="AW68" i="6"/>
  <c r="BA37" i="59"/>
  <c r="AX13" i="36"/>
  <c r="BA40" i="59" s="1"/>
  <c r="BE32" i="8"/>
  <c r="AW11" i="49"/>
  <c r="BF32" i="8"/>
  <c r="AX11" i="49"/>
  <c r="BF25" i="8"/>
  <c r="AT73" i="6"/>
  <c r="AX68" i="6"/>
  <c r="AO168" i="6"/>
  <c r="AO166" i="6"/>
  <c r="AJ140" i="6"/>
  <c r="AJ143" i="6"/>
  <c r="AW37" i="59"/>
  <c r="AT13" i="36"/>
  <c r="AW40" i="59" s="1"/>
  <c r="AJ168" i="6"/>
  <c r="AJ141" i="6"/>
  <c r="AT63" i="6"/>
  <c r="AP65" i="6"/>
  <c r="AI98" i="6"/>
  <c r="AI102" i="6" s="1"/>
  <c r="AI140" i="6" s="1"/>
  <c r="AF167" i="6"/>
  <c r="AF8" i="36" s="1"/>
  <c r="AI9" i="59" s="1"/>
  <c r="AP115" i="6"/>
  <c r="AP119" i="6" s="1"/>
  <c r="AP168" i="6" s="1"/>
  <c r="AF142" i="6"/>
  <c r="AF7" i="36" s="1"/>
  <c r="AI8" i="59" s="1"/>
  <c r="AP98" i="6"/>
  <c r="AP102" i="6" s="1"/>
  <c r="AP141" i="6" s="1"/>
  <c r="AS15" i="59" s="1"/>
  <c r="AS87" i="6"/>
  <c r="AO92" i="6"/>
  <c r="AO98" i="6" s="1"/>
  <c r="AO102" i="6" s="1"/>
  <c r="AO165" i="6"/>
  <c r="AO167" i="6" s="1"/>
  <c r="AE143" i="6"/>
  <c r="AE141" i="6"/>
  <c r="AE142" i="6" s="1"/>
  <c r="AJ167" i="6"/>
  <c r="AJ8" i="36" s="1"/>
  <c r="AM9" i="59" s="1"/>
  <c r="AT98" i="6"/>
  <c r="AT102" i="6" s="1"/>
  <c r="AT141" i="6" s="1"/>
  <c r="AW15" i="59" s="1"/>
  <c r="AT62" i="6"/>
  <c r="Y136" i="6"/>
  <c r="Y199" i="6" s="1"/>
  <c r="Z136" i="6"/>
  <c r="Z204" i="6" s="1"/>
  <c r="Y142" i="6"/>
  <c r="Y26" i="9"/>
  <c r="AB61" i="59"/>
  <c r="Y71" i="11"/>
  <c r="AB63" i="59" s="1"/>
  <c r="I6" i="59"/>
  <c r="F13" i="49"/>
  <c r="F14" i="49" s="1"/>
  <c r="F15" i="49" s="1"/>
  <c r="F16" i="49" s="1"/>
  <c r="F19" i="49" s="1"/>
  <c r="Z167" i="6"/>
  <c r="Z8" i="36" s="1"/>
  <c r="Y167" i="6"/>
  <c r="AB67" i="59"/>
  <c r="Z48" i="36"/>
  <c r="Z49" i="36"/>
  <c r="Z54" i="36"/>
  <c r="Z51" i="36"/>
  <c r="Z53" i="36" s="1"/>
  <c r="AC39" i="59"/>
  <c r="AC38" i="59"/>
  <c r="AC37" i="59"/>
  <c r="Y5" i="9"/>
  <c r="Y89" i="9" s="1"/>
  <c r="Z5" i="9"/>
  <c r="F13" i="36"/>
  <c r="I40" i="59" s="1"/>
  <c r="Z12" i="21"/>
  <c r="Y28" i="21"/>
  <c r="Z28" i="21"/>
  <c r="Z24" i="21"/>
  <c r="Z25" i="21" s="1"/>
  <c r="Y12" i="21"/>
  <c r="BF20" i="6" l="1"/>
  <c r="BF22" i="6" s="1"/>
  <c r="AX22" i="6"/>
  <c r="BF23" i="6"/>
  <c r="BF25" i="6" s="1"/>
  <c r="AX25" i="6"/>
  <c r="BF26" i="6"/>
  <c r="BF28" i="6" s="1"/>
  <c r="AX28" i="6"/>
  <c r="Z199" i="6"/>
  <c r="Y198" i="6"/>
  <c r="Z196" i="6"/>
  <c r="Y200" i="6"/>
  <c r="Y197" i="6"/>
  <c r="Y196" i="6"/>
  <c r="Y201" i="6" s="1"/>
  <c r="Y204" i="6"/>
  <c r="Y205" i="6"/>
  <c r="Y208" i="6"/>
  <c r="Y211" i="6" s="1"/>
  <c r="BF104" i="6"/>
  <c r="BF109" i="6" s="1"/>
  <c r="AX109" i="6"/>
  <c r="AX73" i="6"/>
  <c r="BF68" i="6"/>
  <c r="BF73" i="6" s="1"/>
  <c r="BE104" i="6"/>
  <c r="BE109" i="6" s="1"/>
  <c r="AW109" i="6"/>
  <c r="BF110" i="6"/>
  <c r="BF114" i="6" s="1"/>
  <c r="AX114" i="6"/>
  <c r="AS92" i="6"/>
  <c r="AS98" i="6" s="1"/>
  <c r="AS102" i="6" s="1"/>
  <c r="AS140" i="6" s="1"/>
  <c r="AW87" i="6"/>
  <c r="BE68" i="6"/>
  <c r="BE73" i="6" s="1"/>
  <c r="AW73" i="6"/>
  <c r="AW97" i="6"/>
  <c r="BE93" i="6"/>
  <c r="BE97" i="6" s="1"/>
  <c r="BF93" i="6"/>
  <c r="BF97" i="6" s="1"/>
  <c r="AX97" i="6"/>
  <c r="Y203" i="6"/>
  <c r="Y202" i="6"/>
  <c r="Y206" i="6" s="1"/>
  <c r="AP165" i="6"/>
  <c r="AO140" i="6"/>
  <c r="AO143" i="6"/>
  <c r="AO141" i="6"/>
  <c r="Z202" i="6"/>
  <c r="Z197" i="6"/>
  <c r="Z198" i="6"/>
  <c r="AS168" i="6"/>
  <c r="AS166" i="6"/>
  <c r="AT65" i="6"/>
  <c r="Z209" i="6"/>
  <c r="AT166" i="6"/>
  <c r="AW22" i="59" s="1"/>
  <c r="AJ142" i="6"/>
  <c r="AJ7" i="36" s="1"/>
  <c r="AM8" i="59" s="1"/>
  <c r="AM15" i="59"/>
  <c r="AP166" i="6"/>
  <c r="AS22" i="59" s="1"/>
  <c r="AT143" i="6"/>
  <c r="AT140" i="6"/>
  <c r="AT142" i="6" s="1"/>
  <c r="AT7" i="36" s="1"/>
  <c r="AW8" i="59" s="1"/>
  <c r="Z200" i="6"/>
  <c r="Z201" i="6" s="1"/>
  <c r="AT165" i="6"/>
  <c r="AP143" i="6"/>
  <c r="AP140" i="6"/>
  <c r="AP142" i="6" s="1"/>
  <c r="AP7" i="36" s="1"/>
  <c r="AS8" i="59" s="1"/>
  <c r="AS165" i="6"/>
  <c r="AI141" i="6"/>
  <c r="AI142" i="6" s="1"/>
  <c r="AI143" i="6"/>
  <c r="Z205" i="6"/>
  <c r="Z203" i="6"/>
  <c r="Z210" i="6"/>
  <c r="Z208" i="6"/>
  <c r="Z192" i="6"/>
  <c r="Y33" i="22"/>
  <c r="Y75" i="9"/>
  <c r="Y72" i="9"/>
  <c r="Y74" i="9"/>
  <c r="Y78" i="9"/>
  <c r="Y76" i="9"/>
  <c r="Y73" i="9"/>
  <c r="Y77" i="9"/>
  <c r="Y79" i="9"/>
  <c r="Z78" i="9"/>
  <c r="Z75" i="9"/>
  <c r="Z72" i="9"/>
  <c r="Z76" i="9"/>
  <c r="Z73" i="9"/>
  <c r="Z77" i="9"/>
  <c r="Z74" i="9"/>
  <c r="Z79" i="9"/>
  <c r="Z89" i="9"/>
  <c r="Y22" i="21"/>
  <c r="Y390" i="28"/>
  <c r="Y391" i="28"/>
  <c r="Z390" i="28"/>
  <c r="Z391" i="28"/>
  <c r="Z33" i="22"/>
  <c r="AC53" i="59"/>
  <c r="Y6" i="6"/>
  <c r="AB57" i="59"/>
  <c r="Y143" i="10"/>
  <c r="AB59" i="59" s="1"/>
  <c r="Y5" i="6"/>
  <c r="Z50" i="36"/>
  <c r="AC40" i="59"/>
  <c r="Y125" i="26"/>
  <c r="Z102" i="9"/>
  <c r="Z104" i="9"/>
  <c r="AC52" i="59" s="1"/>
  <c r="Z94" i="9"/>
  <c r="Y18" i="15" s="1"/>
  <c r="Y104" i="9"/>
  <c r="AB52" i="59" s="1"/>
  <c r="Y102" i="9"/>
  <c r="X125" i="26"/>
  <c r="AP167" i="6" l="1"/>
  <c r="AP8" i="36" s="1"/>
  <c r="AS9" i="59" s="1"/>
  <c r="AX98" i="6"/>
  <c r="AX102" i="6" s="1"/>
  <c r="AW92" i="6"/>
  <c r="AW98" i="6" s="1"/>
  <c r="AW102" i="6" s="1"/>
  <c r="BE87" i="6"/>
  <c r="BE92" i="6" s="1"/>
  <c r="BF98" i="6"/>
  <c r="BF102" i="6" s="1"/>
  <c r="AW115" i="6"/>
  <c r="AW119" i="6" s="1"/>
  <c r="AW165" i="6" s="1"/>
  <c r="AX115" i="6"/>
  <c r="AX119" i="6" s="1"/>
  <c r="BE115" i="6"/>
  <c r="BE119" i="6" s="1"/>
  <c r="BE165" i="6" s="1"/>
  <c r="BF115" i="6"/>
  <c r="BF119" i="6" s="1"/>
  <c r="BF166" i="6" s="1"/>
  <c r="AT167" i="6"/>
  <c r="AT8" i="36" s="1"/>
  <c r="AW9" i="59" s="1"/>
  <c r="Z206" i="6"/>
  <c r="AC11" i="59" s="1"/>
  <c r="AS167" i="6"/>
  <c r="Z211" i="6"/>
  <c r="AO142" i="6"/>
  <c r="AS141" i="6"/>
  <c r="AS142" i="6" s="1"/>
  <c r="AS143" i="6"/>
  <c r="Z19" i="36"/>
  <c r="AC50" i="59" s="1"/>
  <c r="Y207" i="6"/>
  <c r="Y212" i="6" s="1"/>
  <c r="Y7" i="6"/>
  <c r="Z26" i="9"/>
  <c r="Z2" i="35"/>
  <c r="Y2" i="35"/>
  <c r="AX166" i="6" l="1"/>
  <c r="BA22" i="59" s="1"/>
  <c r="AX168" i="6"/>
  <c r="BF140" i="6"/>
  <c r="BF143" i="6"/>
  <c r="BF141" i="6"/>
  <c r="BF142" i="6" s="1"/>
  <c r="AW168" i="6"/>
  <c r="AW166" i="6"/>
  <c r="BE98" i="6"/>
  <c r="BE102" i="6" s="1"/>
  <c r="BE140" i="6"/>
  <c r="AW140" i="6"/>
  <c r="AW143" i="6"/>
  <c r="BE167" i="6"/>
  <c r="BE168" i="6"/>
  <c r="BE166" i="6"/>
  <c r="AW141" i="6"/>
  <c r="AX143" i="6"/>
  <c r="AX140" i="6"/>
  <c r="AW167" i="6"/>
  <c r="BF165" i="6"/>
  <c r="BF167" i="6" s="1"/>
  <c r="BF168" i="6"/>
  <c r="Z207" i="6"/>
  <c r="Z9" i="36" s="1"/>
  <c r="AX165" i="6"/>
  <c r="AX167" i="6" s="1"/>
  <c r="AX8" i="36" s="1"/>
  <c r="BA9" i="59" s="1"/>
  <c r="AX141" i="6"/>
  <c r="BA15" i="59" s="1"/>
  <c r="Z212" i="6"/>
  <c r="E13" i="49"/>
  <c r="BE143" i="6" l="1"/>
  <c r="BE141" i="6"/>
  <c r="BE142" i="6" s="1"/>
  <c r="AX142" i="6"/>
  <c r="AX7" i="36" s="1"/>
  <c r="BA8" i="59" s="1"/>
  <c r="AW142" i="6"/>
  <c r="H6" i="59"/>
  <c r="BM31" i="35"/>
  <c r="BN31" i="35"/>
  <c r="BM34" i="35"/>
  <c r="BN34" i="35"/>
  <c r="BN44" i="35" s="1"/>
  <c r="BN45" i="35" s="1"/>
  <c r="BM35" i="35" l="1"/>
  <c r="BN35" i="35"/>
  <c r="BN51" i="35" s="1"/>
  <c r="BM51" i="35" l="1"/>
  <c r="Z17" i="9"/>
  <c r="AB17" i="9" s="1"/>
  <c r="AF17" i="9" s="1"/>
  <c r="AJ17" i="9" s="1"/>
  <c r="AP17" i="9" s="1"/>
  <c r="AT17" i="9" s="1"/>
  <c r="AX17" i="9" s="1"/>
  <c r="BF17" i="9" s="1"/>
  <c r="Z15" i="21" l="1"/>
  <c r="Z20" i="21" l="1"/>
  <c r="S160" i="6" l="1"/>
  <c r="S161" i="6" s="1"/>
  <c r="S85" i="8"/>
  <c r="S186" i="6"/>
  <c r="S187" i="6" s="1"/>
  <c r="S86" i="8" l="1"/>
  <c r="Y85" i="8"/>
  <c r="S76" i="7"/>
  <c r="T26" i="36" l="1"/>
  <c r="T25" i="36"/>
  <c r="W69" i="59" s="1"/>
  <c r="S77" i="7"/>
  <c r="V36" i="59" s="1"/>
  <c r="T15" i="36" l="1"/>
  <c r="W46" i="59" s="1"/>
  <c r="T1" i="7"/>
  <c r="T74" i="7" s="1"/>
  <c r="S1" i="7"/>
  <c r="S74" i="7" s="1"/>
  <c r="T73" i="8" l="1"/>
  <c r="E43" i="36"/>
  <c r="E45" i="36" s="1"/>
  <c r="E46" i="36"/>
  <c r="E40" i="36"/>
  <c r="E42" i="36" s="1"/>
  <c r="S51" i="35" l="1"/>
  <c r="Y12" i="6"/>
  <c r="Y11" i="6"/>
  <c r="Z88" i="8" l="1"/>
  <c r="AB88" i="8" s="1"/>
  <c r="AF88" i="8" s="1"/>
  <c r="AJ88" i="8" s="1"/>
  <c r="AP88" i="8" s="1"/>
  <c r="AT88" i="8" s="1"/>
  <c r="AX88" i="8" s="1"/>
  <c r="BF88" i="8" s="1"/>
  <c r="V73" i="59" l="1"/>
  <c r="J17" i="35"/>
  <c r="J14" i="36" s="1"/>
  <c r="T30" i="36" l="1"/>
  <c r="W73" i="59" s="1"/>
  <c r="R17" i="35"/>
  <c r="V17" i="35" s="1"/>
  <c r="V12" i="36" l="1"/>
  <c r="V10" i="36"/>
  <c r="V11" i="36"/>
  <c r="I88" i="17"/>
  <c r="M88" i="17" s="1"/>
  <c r="Q88" i="17" s="1"/>
  <c r="U88" i="17" s="1"/>
  <c r="Y88" i="17" s="1"/>
  <c r="I87" i="17"/>
  <c r="M87" i="17" s="1"/>
  <c r="Q87" i="17" s="1"/>
  <c r="U87" i="17" s="1"/>
  <c r="V13" i="36" l="1"/>
  <c r="AA87" i="17" l="1"/>
  <c r="AE87" i="17" s="1"/>
  <c r="AI87" i="17" s="1"/>
  <c r="AA88" i="17"/>
  <c r="AE88" i="17" s="1"/>
  <c r="AI88" i="17" s="1"/>
  <c r="I51" i="17"/>
  <c r="Q51" i="17" s="1"/>
  <c r="I47" i="17"/>
  <c r="I45" i="17"/>
  <c r="M45" i="17" s="1"/>
  <c r="I41" i="17"/>
  <c r="Q41" i="17" s="1"/>
  <c r="I39" i="17"/>
  <c r="I37" i="17"/>
  <c r="K1" i="7"/>
  <c r="K74" i="7" s="1"/>
  <c r="L1" i="7"/>
  <c r="L74" i="7" s="1"/>
  <c r="O1" i="7"/>
  <c r="O74" i="7" s="1"/>
  <c r="P1" i="7"/>
  <c r="P74" i="7" s="1"/>
  <c r="F1" i="7"/>
  <c r="F74" i="7" s="1"/>
  <c r="G1" i="7"/>
  <c r="G74" i="7" s="1"/>
  <c r="H1" i="7"/>
  <c r="H74" i="7" s="1"/>
  <c r="E1" i="7"/>
  <c r="E74" i="7" s="1"/>
  <c r="AO88" i="17" l="1"/>
  <c r="AS88" i="17" s="1"/>
  <c r="AM88" i="17"/>
  <c r="AO87" i="17"/>
  <c r="AS87" i="17" s="1"/>
  <c r="AW87" i="17" s="1"/>
  <c r="BE87" i="17" s="1"/>
  <c r="Q45" i="17"/>
  <c r="U45" i="17" s="1"/>
  <c r="AA45" i="17"/>
  <c r="AE45" i="17" s="1"/>
  <c r="U41" i="17"/>
  <c r="U51" i="17"/>
  <c r="Z1" i="7"/>
  <c r="Z74" i="7" s="1"/>
  <c r="Y1" i="7"/>
  <c r="Y74" i="7" s="1"/>
  <c r="Q39" i="17"/>
  <c r="Q37" i="17"/>
  <c r="Q47" i="17"/>
  <c r="AI45" i="17" l="1"/>
  <c r="AO45" i="17" s="1"/>
  <c r="AS45" i="17" s="1"/>
  <c r="AE49" i="17"/>
  <c r="U39" i="17"/>
  <c r="U47" i="17"/>
  <c r="U37" i="17"/>
  <c r="AS49" i="17" l="1"/>
  <c r="AO49" i="17"/>
  <c r="AE110" i="17"/>
  <c r="AE114" i="17" s="1"/>
  <c r="AE53" i="17"/>
  <c r="AI49" i="17"/>
  <c r="Z95" i="9"/>
  <c r="Z27" i="9"/>
  <c r="AB27" i="9" s="1"/>
  <c r="AF27" i="9" s="1"/>
  <c r="AJ27" i="9" s="1"/>
  <c r="AP27" i="9" s="1"/>
  <c r="AT27" i="9" s="1"/>
  <c r="AX27" i="9" s="1"/>
  <c r="BF27" i="9" s="1"/>
  <c r="Y95" i="9"/>
  <c r="AA95" i="9" s="1"/>
  <c r="AE95" i="9" s="1"/>
  <c r="Y92" i="9"/>
  <c r="AA92" i="9" s="1"/>
  <c r="AE92" i="9" s="1"/>
  <c r="AI92" i="9" s="1"/>
  <c r="AO92" i="9" s="1"/>
  <c r="AS92" i="9" s="1"/>
  <c r="AW92" i="9" s="1"/>
  <c r="BE92" i="9" s="1"/>
  <c r="AA70" i="9"/>
  <c r="AE70" i="9" s="1"/>
  <c r="AI70" i="9" s="1"/>
  <c r="AA69" i="9"/>
  <c r="AE69" i="9" s="1"/>
  <c r="AI69" i="9" s="1"/>
  <c r="AA68" i="9"/>
  <c r="AE68" i="9" s="1"/>
  <c r="AI68" i="9" s="1"/>
  <c r="AA67" i="9"/>
  <c r="AE67" i="9" s="1"/>
  <c r="AI67" i="9" s="1"/>
  <c r="AA66" i="9"/>
  <c r="AE66" i="9" s="1"/>
  <c r="AI66" i="9" s="1"/>
  <c r="AA65" i="9"/>
  <c r="AE65" i="9" s="1"/>
  <c r="AI65" i="9" s="1"/>
  <c r="AA63" i="9"/>
  <c r="AE63" i="9" s="1"/>
  <c r="AI63" i="9" s="1"/>
  <c r="AA59" i="9"/>
  <c r="AE59" i="9" s="1"/>
  <c r="AA58" i="9"/>
  <c r="AE58" i="9" s="1"/>
  <c r="Y47" i="9"/>
  <c r="Y27" i="9"/>
  <c r="AA27" i="9" s="1"/>
  <c r="AE27" i="9" s="1"/>
  <c r="AI27" i="9" s="1"/>
  <c r="AO27" i="9" s="1"/>
  <c r="AS27" i="9" s="1"/>
  <c r="AW27" i="9" s="1"/>
  <c r="BE27" i="9" s="1"/>
  <c r="Y24" i="9"/>
  <c r="AA24" i="9" s="1"/>
  <c r="AE24" i="9" s="1"/>
  <c r="AI24" i="9" s="1"/>
  <c r="AO24" i="9" s="1"/>
  <c r="AS24" i="9" s="1"/>
  <c r="AW24" i="9" s="1"/>
  <c r="Y22" i="9"/>
  <c r="AA22" i="9" s="1"/>
  <c r="AE22" i="9" s="1"/>
  <c r="E73" i="8"/>
  <c r="L15" i="36"/>
  <c r="L73" i="8" s="1"/>
  <c r="J88" i="8"/>
  <c r="Z60" i="8"/>
  <c r="AB60" i="8" s="1"/>
  <c r="AF60" i="8" s="1"/>
  <c r="AJ60" i="8" s="1"/>
  <c r="AP60" i="8" s="1"/>
  <c r="AT60" i="8" s="1"/>
  <c r="AX60" i="8" s="1"/>
  <c r="BF60" i="8" s="1"/>
  <c r="Z59" i="8"/>
  <c r="AF59" i="8" s="1"/>
  <c r="AJ59" i="8" s="1"/>
  <c r="Z57" i="8"/>
  <c r="BE93" i="9" l="1"/>
  <c r="BE94" i="9"/>
  <c r="BE24" i="9"/>
  <c r="AW93" i="9"/>
  <c r="AW94" i="9"/>
  <c r="AV18" i="15" s="1"/>
  <c r="AP59" i="8"/>
  <c r="AE25" i="9"/>
  <c r="AE88" i="9" s="1"/>
  <c r="AI22" i="9"/>
  <c r="AS93" i="9"/>
  <c r="AS94" i="9"/>
  <c r="AR18" i="15" s="1"/>
  <c r="AS53" i="17"/>
  <c r="AS110" i="17"/>
  <c r="AS114" i="17" s="1"/>
  <c r="AO68" i="9"/>
  <c r="AO70" i="9"/>
  <c r="AO69" i="9"/>
  <c r="AO65" i="9"/>
  <c r="AO93" i="9"/>
  <c r="AO94" i="9"/>
  <c r="AN18" i="15" s="1"/>
  <c r="AO67" i="9"/>
  <c r="AO63" i="9"/>
  <c r="AO66" i="9"/>
  <c r="AO53" i="17"/>
  <c r="AO110" i="17"/>
  <c r="AO114" i="17" s="1"/>
  <c r="AE96" i="9"/>
  <c r="AI95" i="9"/>
  <c r="AE75" i="9"/>
  <c r="AI58" i="9"/>
  <c r="AE76" i="9"/>
  <c r="AI59" i="9"/>
  <c r="AI93" i="9"/>
  <c r="AI94" i="9"/>
  <c r="AH18" i="15" s="1"/>
  <c r="AI53" i="17"/>
  <c r="AI110" i="17"/>
  <c r="AI114" i="17" s="1"/>
  <c r="AE94" i="9"/>
  <c r="AD18" i="15" s="1"/>
  <c r="AE93" i="9"/>
  <c r="Y81" i="9"/>
  <c r="Y80" i="9"/>
  <c r="Y86" i="9"/>
  <c r="Y83" i="9"/>
  <c r="Y85" i="9"/>
  <c r="Y84" i="9"/>
  <c r="Y82" i="9"/>
  <c r="Y87" i="9"/>
  <c r="AB57" i="8"/>
  <c r="AF57" i="8" s="1"/>
  <c r="AJ57" i="8" s="1"/>
  <c r="O46" i="59"/>
  <c r="Z96" i="9"/>
  <c r="AB95" i="9"/>
  <c r="AF95" i="9" s="1"/>
  <c r="AA47" i="9"/>
  <c r="AE47" i="9" s="1"/>
  <c r="AI47" i="9" s="1"/>
  <c r="N6" i="8"/>
  <c r="H15" i="36"/>
  <c r="H73" i="8" s="1"/>
  <c r="F6" i="49"/>
  <c r="F20" i="49" s="1"/>
  <c r="N14" i="36"/>
  <c r="Q41" i="59" s="1"/>
  <c r="I45" i="59"/>
  <c r="AB64" i="9"/>
  <c r="AF64" i="9" s="1"/>
  <c r="Z63" i="8"/>
  <c r="Z10" i="49" s="1"/>
  <c r="Z12" i="49" s="1"/>
  <c r="Z67" i="8"/>
  <c r="Z19" i="9"/>
  <c r="Z90" i="9" s="1"/>
  <c r="Z99" i="9"/>
  <c r="K45" i="59"/>
  <c r="Z14" i="9"/>
  <c r="AB14" i="9" s="1"/>
  <c r="AF14" i="9" s="1"/>
  <c r="AJ14" i="9" s="1"/>
  <c r="AP14" i="9" s="1"/>
  <c r="AT14" i="9" s="1"/>
  <c r="AX14" i="9" s="1"/>
  <c r="BF14" i="9" s="1"/>
  <c r="AO47" i="9" l="1"/>
  <c r="AO83" i="9" s="1"/>
  <c r="AI53" i="9"/>
  <c r="AP57" i="8"/>
  <c r="AI83" i="9"/>
  <c r="AI84" i="9"/>
  <c r="AI82" i="9"/>
  <c r="AL55" i="59" s="1"/>
  <c r="AI87" i="9"/>
  <c r="AL54" i="59" s="1"/>
  <c r="AO22" i="9"/>
  <c r="AI25" i="9"/>
  <c r="AI88" i="9" s="1"/>
  <c r="AJ95" i="9"/>
  <c r="AF96" i="9"/>
  <c r="AS63" i="9"/>
  <c r="AW63" i="9" s="1"/>
  <c r="AO86" i="9"/>
  <c r="AS69" i="9"/>
  <c r="AW69" i="9" s="1"/>
  <c r="AS68" i="9"/>
  <c r="AW68" i="9" s="1"/>
  <c r="AJ64" i="9"/>
  <c r="AF81" i="9"/>
  <c r="AI80" i="9"/>
  <c r="AI86" i="9"/>
  <c r="AI85" i="9"/>
  <c r="AS66" i="9"/>
  <c r="AW66" i="9" s="1"/>
  <c r="AS67" i="9"/>
  <c r="AW67" i="9" s="1"/>
  <c r="AS65" i="9"/>
  <c r="AW65" i="9" s="1"/>
  <c r="AS70" i="9"/>
  <c r="AW70" i="9" s="1"/>
  <c r="AT59" i="8"/>
  <c r="AX59" i="8" s="1"/>
  <c r="BF59" i="8" s="1"/>
  <c r="AI75" i="9"/>
  <c r="AO58" i="9"/>
  <c r="AI96" i="9"/>
  <c r="AO95" i="9"/>
  <c r="AI76" i="9"/>
  <c r="AO59" i="9"/>
  <c r="AE86" i="9"/>
  <c r="AE52" i="9"/>
  <c r="AE85" i="9"/>
  <c r="AE53" i="9"/>
  <c r="AE80" i="9"/>
  <c r="AE84" i="9"/>
  <c r="AE83" i="9"/>
  <c r="AE87" i="9"/>
  <c r="AH54" i="59" s="1"/>
  <c r="AE82" i="9"/>
  <c r="AH55" i="59" s="1"/>
  <c r="AB63" i="8"/>
  <c r="AF63" i="8" s="1"/>
  <c r="AJ63" i="8" s="1"/>
  <c r="Z54" i="8"/>
  <c r="N6" i="49"/>
  <c r="N45" i="8"/>
  <c r="AB19" i="9"/>
  <c r="AF19" i="9" s="1"/>
  <c r="Z100" i="9"/>
  <c r="AB99" i="9"/>
  <c r="AF99" i="9" s="1"/>
  <c r="Z72" i="8"/>
  <c r="AB67" i="8"/>
  <c r="AF67" i="8" s="1"/>
  <c r="AA55" i="9"/>
  <c r="AE55" i="9" s="1"/>
  <c r="R6" i="8"/>
  <c r="V6" i="8" s="1"/>
  <c r="N48" i="8"/>
  <c r="E5" i="26"/>
  <c r="N49" i="8"/>
  <c r="N77" i="8"/>
  <c r="Q43" i="59" s="1"/>
  <c r="N78" i="8"/>
  <c r="Q44" i="59" s="1"/>
  <c r="N84" i="8"/>
  <c r="Z70" i="8"/>
  <c r="Z61" i="8"/>
  <c r="BE65" i="9" l="1"/>
  <c r="BE70" i="9"/>
  <c r="BE67" i="9"/>
  <c r="BE69" i="9"/>
  <c r="BE63" i="9"/>
  <c r="BE66" i="9"/>
  <c r="BE68" i="9"/>
  <c r="AO87" i="9"/>
  <c r="AR54" i="59" s="1"/>
  <c r="AO84" i="9"/>
  <c r="AT57" i="8"/>
  <c r="AX57" i="8" s="1"/>
  <c r="BF57" i="8" s="1"/>
  <c r="AF72" i="8"/>
  <c r="AJ67" i="8"/>
  <c r="AJ19" i="9"/>
  <c r="AF39" i="36"/>
  <c r="AF17" i="36" s="1"/>
  <c r="AF18" i="36" s="1"/>
  <c r="AF90" i="9"/>
  <c r="AF91" i="9" s="1"/>
  <c r="AJ70" i="8"/>
  <c r="AP63" i="8"/>
  <c r="AJ10" i="49"/>
  <c r="AJ12" i="49" s="1"/>
  <c r="AO96" i="9"/>
  <c r="AS95" i="9"/>
  <c r="AO85" i="9"/>
  <c r="AO80" i="9"/>
  <c r="AO25" i="9"/>
  <c r="AO88" i="9" s="1"/>
  <c r="AS22" i="9"/>
  <c r="AI52" i="9"/>
  <c r="AP64" i="9"/>
  <c r="AJ81" i="9"/>
  <c r="AO82" i="9"/>
  <c r="AR55" i="59" s="1"/>
  <c r="AO76" i="9"/>
  <c r="AS59" i="9"/>
  <c r="AP95" i="9"/>
  <c r="AJ96" i="9"/>
  <c r="AS47" i="9"/>
  <c r="AO53" i="9"/>
  <c r="AO75" i="9"/>
  <c r="AS58" i="9"/>
  <c r="AJ99" i="9"/>
  <c r="AF100" i="9"/>
  <c r="AE72" i="9"/>
  <c r="AI55" i="9"/>
  <c r="AE7" i="9"/>
  <c r="AH51" i="59"/>
  <c r="AF70" i="8"/>
  <c r="AF10" i="49"/>
  <c r="AF12" i="49" s="1"/>
  <c r="Z65" i="8"/>
  <c r="AB54" i="8"/>
  <c r="AF54" i="8" s="1"/>
  <c r="AJ54" i="8" s="1"/>
  <c r="AP54" i="8" s="1"/>
  <c r="AT54" i="8" s="1"/>
  <c r="AX54" i="8" s="1"/>
  <c r="BF54" i="8" s="1"/>
  <c r="AB61" i="8"/>
  <c r="AF61" i="8" s="1"/>
  <c r="AJ61" i="8" s="1"/>
  <c r="Z69" i="8"/>
  <c r="V6" i="49"/>
  <c r="V45" i="8"/>
  <c r="V38" i="8"/>
  <c r="V40" i="8"/>
  <c r="V80" i="8"/>
  <c r="V46" i="8"/>
  <c r="V39" i="8"/>
  <c r="V44" i="8"/>
  <c r="V43" i="8"/>
  <c r="V76" i="8"/>
  <c r="V42" i="8"/>
  <c r="R6" i="49"/>
  <c r="R45" i="8"/>
  <c r="R84" i="8"/>
  <c r="V84" i="8" s="1"/>
  <c r="R77" i="8"/>
  <c r="R78" i="8"/>
  <c r="R48" i="8"/>
  <c r="R80" i="8"/>
  <c r="R43" i="8"/>
  <c r="R46" i="8"/>
  <c r="R39" i="8"/>
  <c r="R38" i="8"/>
  <c r="R42" i="8"/>
  <c r="R40" i="8"/>
  <c r="R44" i="8"/>
  <c r="R76" i="8"/>
  <c r="M5" i="26"/>
  <c r="R49" i="8"/>
  <c r="Z68" i="8"/>
  <c r="AC55" i="59"/>
  <c r="Z52" i="9"/>
  <c r="AC51" i="59" s="1"/>
  <c r="Z53" i="9"/>
  <c r="AC54" i="59"/>
  <c r="Z185" i="6"/>
  <c r="Z184" i="6"/>
  <c r="Z159" i="6"/>
  <c r="AO52" i="9" l="1"/>
  <c r="AS25" i="9"/>
  <c r="AS88" i="9" s="1"/>
  <c r="AW22" i="9"/>
  <c r="AS85" i="9"/>
  <c r="AW47" i="9"/>
  <c r="AS76" i="9"/>
  <c r="AW59" i="9"/>
  <c r="AS96" i="9"/>
  <c r="AW95" i="9"/>
  <c r="AS75" i="9"/>
  <c r="AW58" i="9"/>
  <c r="AS84" i="9"/>
  <c r="AR51" i="59"/>
  <c r="AO7" i="9"/>
  <c r="AT95" i="9"/>
  <c r="AP96" i="9"/>
  <c r="AS86" i="9"/>
  <c r="AL51" i="59"/>
  <c r="AI7" i="9"/>
  <c r="AS80" i="9"/>
  <c r="AP61" i="8"/>
  <c r="AJ68" i="8"/>
  <c r="AJ69" i="8"/>
  <c r="AS83" i="9"/>
  <c r="AS87" i="9"/>
  <c r="AV54" i="59" s="1"/>
  <c r="AS53" i="9"/>
  <c r="AS82" i="9"/>
  <c r="AV55" i="59" s="1"/>
  <c r="AP70" i="8"/>
  <c r="AT63" i="8"/>
  <c r="AX63" i="8" s="1"/>
  <c r="BF63" i="8" s="1"/>
  <c r="AP10" i="49"/>
  <c r="AP12" i="49" s="1"/>
  <c r="AP19" i="9"/>
  <c r="AJ39" i="36"/>
  <c r="AJ90" i="9"/>
  <c r="AJ91" i="9" s="1"/>
  <c r="AT64" i="9"/>
  <c r="AP81" i="9"/>
  <c r="AJ72" i="8"/>
  <c r="AP67" i="8"/>
  <c r="AI72" i="9"/>
  <c r="AO55" i="9"/>
  <c r="AP99" i="9"/>
  <c r="AJ100" i="9"/>
  <c r="AF68" i="8"/>
  <c r="AF69" i="8"/>
  <c r="Z71" i="8"/>
  <c r="AB65" i="8"/>
  <c r="AF65" i="8" s="1"/>
  <c r="AJ65" i="8" s="1"/>
  <c r="V41" i="8"/>
  <c r="V49" i="8"/>
  <c r="V14" i="36"/>
  <c r="Y41" i="59" s="1"/>
  <c r="U44" i="59"/>
  <c r="V78" i="8"/>
  <c r="U43" i="59"/>
  <c r="V77" i="8"/>
  <c r="V48" i="8"/>
  <c r="R41" i="8"/>
  <c r="BF70" i="8" l="1"/>
  <c r="BF10" i="49"/>
  <c r="BF12" i="49" s="1"/>
  <c r="BE47" i="9"/>
  <c r="AW53" i="9"/>
  <c r="AW52" i="9"/>
  <c r="AW82" i="9"/>
  <c r="AZ55" i="59" s="1"/>
  <c r="AW83" i="9"/>
  <c r="AW87" i="9"/>
  <c r="AZ54" i="59" s="1"/>
  <c r="AW86" i="9"/>
  <c r="AW85" i="9"/>
  <c r="AW84" i="9"/>
  <c r="AW80" i="9"/>
  <c r="AS52" i="9"/>
  <c r="AS7" i="9" s="1"/>
  <c r="BE22" i="9"/>
  <c r="BE25" i="9" s="1"/>
  <c r="BE88" i="9" s="1"/>
  <c r="AW25" i="9"/>
  <c r="AW88" i="9" s="1"/>
  <c r="AW75" i="9"/>
  <c r="BE58" i="9"/>
  <c r="BE75" i="9" s="1"/>
  <c r="AT96" i="9"/>
  <c r="AX95" i="9"/>
  <c r="AW96" i="9"/>
  <c r="BE95" i="9"/>
  <c r="BE96" i="9" s="1"/>
  <c r="AW76" i="9"/>
  <c r="BE59" i="9"/>
  <c r="BE76" i="9" s="1"/>
  <c r="AT81" i="9"/>
  <c r="AX64" i="9"/>
  <c r="AX70" i="8"/>
  <c r="AX10" i="49"/>
  <c r="AX12" i="49" s="1"/>
  <c r="AT19" i="9"/>
  <c r="AX19" i="9" s="1"/>
  <c r="AP39" i="36"/>
  <c r="AP17" i="36" s="1"/>
  <c r="AP90" i="9"/>
  <c r="AP91" i="9" s="1"/>
  <c r="AJ71" i="8"/>
  <c r="AP65" i="8"/>
  <c r="AP100" i="9"/>
  <c r="AT99" i="9"/>
  <c r="AT67" i="8"/>
  <c r="AP72" i="8"/>
  <c r="AT70" i="8"/>
  <c r="AT10" i="49"/>
  <c r="AT12" i="49" s="1"/>
  <c r="AT61" i="8"/>
  <c r="AX61" i="8" s="1"/>
  <c r="BF61" i="8" s="1"/>
  <c r="AP68" i="8"/>
  <c r="AP69" i="8"/>
  <c r="AO72" i="9"/>
  <c r="AS55" i="9"/>
  <c r="AF71" i="8"/>
  <c r="AB71" i="8"/>
  <c r="AZ51" i="59" l="1"/>
  <c r="AW7" i="9"/>
  <c r="AV51" i="59"/>
  <c r="BE53" i="9"/>
  <c r="BE52" i="9"/>
  <c r="BE80" i="9"/>
  <c r="BE84" i="9"/>
  <c r="BE83" i="9"/>
  <c r="BE85" i="9"/>
  <c r="BE82" i="9"/>
  <c r="BH55" i="59" s="1"/>
  <c r="BE86" i="9"/>
  <c r="BE87" i="9"/>
  <c r="BH54" i="59" s="1"/>
  <c r="BF95" i="9"/>
  <c r="BF96" i="9" s="1"/>
  <c r="AX96" i="9"/>
  <c r="BF64" i="9"/>
  <c r="BF81" i="9" s="1"/>
  <c r="AX81" i="9"/>
  <c r="BF19" i="9"/>
  <c r="BF90" i="9" s="1"/>
  <c r="BF91" i="9" s="1"/>
  <c r="AX39" i="36"/>
  <c r="AX17" i="36" s="1"/>
  <c r="AX90" i="9"/>
  <c r="AX91" i="9" s="1"/>
  <c r="BF68" i="8"/>
  <c r="BF69" i="8"/>
  <c r="AS72" i="9"/>
  <c r="AW55" i="9"/>
  <c r="AT100" i="9"/>
  <c r="AX99" i="9"/>
  <c r="AT72" i="8"/>
  <c r="AX67" i="8"/>
  <c r="AX68" i="8"/>
  <c r="AX69" i="8"/>
  <c r="AT39" i="36"/>
  <c r="AT17" i="36" s="1"/>
  <c r="AT90" i="9"/>
  <c r="AT91" i="9" s="1"/>
  <c r="AT65" i="8"/>
  <c r="AP71" i="8"/>
  <c r="AT68" i="8"/>
  <c r="AT69" i="8"/>
  <c r="AS48" i="59"/>
  <c r="AP18" i="36"/>
  <c r="AS49" i="59" s="1"/>
  <c r="J63" i="11"/>
  <c r="J61" i="11"/>
  <c r="I62" i="59"/>
  <c r="BE7" i="9" l="1"/>
  <c r="BH51" i="59"/>
  <c r="BA48" i="59"/>
  <c r="AX18" i="36"/>
  <c r="BA49" i="59" s="1"/>
  <c r="AW72" i="9"/>
  <c r="BE55" i="9"/>
  <c r="BE72" i="9" s="1"/>
  <c r="AX100" i="9"/>
  <c r="BF100" i="9"/>
  <c r="AX72" i="8"/>
  <c r="BF67" i="8"/>
  <c r="BF72" i="8" s="1"/>
  <c r="AT71" i="8"/>
  <c r="AX65" i="8"/>
  <c r="AW48" i="59"/>
  <c r="AT18" i="36"/>
  <c r="AW49" i="59" s="1"/>
  <c r="R63" i="11"/>
  <c r="V63" i="11" s="1"/>
  <c r="AB63" i="11"/>
  <c r="AF63" i="11" s="1"/>
  <c r="AJ63" i="11" s="1"/>
  <c r="AP63" i="11" s="1"/>
  <c r="AT63" i="11" s="1"/>
  <c r="AX63" i="11" s="1"/>
  <c r="BF63" i="11" s="1"/>
  <c r="J59" i="11"/>
  <c r="R61" i="11"/>
  <c r="J62" i="11"/>
  <c r="M62" i="59" s="1"/>
  <c r="BF64" i="11" l="1"/>
  <c r="BF62" i="11"/>
  <c r="BF71" i="11"/>
  <c r="BI63" i="59" s="1"/>
  <c r="AX71" i="8"/>
  <c r="BF65" i="8"/>
  <c r="BF71" i="8" s="1"/>
  <c r="AX71" i="11"/>
  <c r="BA63" i="59" s="1"/>
  <c r="AT71" i="11"/>
  <c r="AW63" i="59" s="1"/>
  <c r="AP71" i="11"/>
  <c r="AS63" i="59" s="1"/>
  <c r="AJ71" i="11"/>
  <c r="AM63" i="59" s="1"/>
  <c r="AF71" i="11"/>
  <c r="AI63" i="59" s="1"/>
  <c r="V61" i="11"/>
  <c r="V62" i="11" s="1"/>
  <c r="Y62" i="59" s="1"/>
  <c r="V71" i="11"/>
  <c r="Y63" i="59" s="1"/>
  <c r="AB71" i="11"/>
  <c r="AE63" i="59" s="1"/>
  <c r="R64" i="11"/>
  <c r="R62" i="11"/>
  <c r="U62" i="59" s="1"/>
  <c r="J60" i="11"/>
  <c r="AB59" i="11"/>
  <c r="AF59" i="11" s="1"/>
  <c r="AJ59" i="11" s="1"/>
  <c r="AP59" i="11" s="1"/>
  <c r="AT59" i="11" s="1"/>
  <c r="AX59" i="11" s="1"/>
  <c r="V64" i="11" l="1"/>
  <c r="Z64" i="11"/>
  <c r="Z62" i="11"/>
  <c r="AC62" i="59" s="1"/>
  <c r="Z60" i="11"/>
  <c r="AB61" i="11"/>
  <c r="AF61" i="11" s="1"/>
  <c r="AJ61" i="11" s="1"/>
  <c r="AP61" i="11" s="1"/>
  <c r="AT61" i="11" s="1"/>
  <c r="AX61" i="11" s="1"/>
  <c r="R59" i="11"/>
  <c r="V59" i="11" s="1"/>
  <c r="V60" i="11" s="1"/>
  <c r="J135" i="10"/>
  <c r="J133" i="10"/>
  <c r="J131" i="10"/>
  <c r="AX64" i="11" l="1"/>
  <c r="AX60" i="11"/>
  <c r="AX62" i="11"/>
  <c r="BA62" i="59" s="1"/>
  <c r="AT60" i="11"/>
  <c r="AT64" i="11"/>
  <c r="AT62" i="11"/>
  <c r="AW62" i="59" s="1"/>
  <c r="AP64" i="11"/>
  <c r="AP60" i="11"/>
  <c r="AP62" i="11"/>
  <c r="AS62" i="59" s="1"/>
  <c r="AJ60" i="11"/>
  <c r="AJ64" i="11"/>
  <c r="AJ62" i="11"/>
  <c r="AM62" i="59" s="1"/>
  <c r="AB60" i="11"/>
  <c r="AF60" i="11"/>
  <c r="AF62" i="11"/>
  <c r="AI62" i="59" s="1"/>
  <c r="AF64" i="11"/>
  <c r="AB64" i="11"/>
  <c r="AB62" i="11"/>
  <c r="AE62" i="59" s="1"/>
  <c r="R135" i="10"/>
  <c r="V135" i="10" s="1"/>
  <c r="R133" i="10"/>
  <c r="V133" i="10" s="1"/>
  <c r="R60" i="11"/>
  <c r="J132" i="10"/>
  <c r="J134" i="10"/>
  <c r="M58" i="59" s="1"/>
  <c r="V136" i="10" l="1"/>
  <c r="V134" i="10"/>
  <c r="Y58" i="59" s="1"/>
  <c r="V143" i="10"/>
  <c r="Y59" i="59" s="1"/>
  <c r="R143" i="10"/>
  <c r="R131" i="10"/>
  <c r="V131" i="10" s="1"/>
  <c r="V132" i="10" s="1"/>
  <c r="AB131" i="10"/>
  <c r="AF131" i="10" s="1"/>
  <c r="AB134" i="10"/>
  <c r="AE58" i="59" s="1"/>
  <c r="AB136" i="10"/>
  <c r="R134" i="10"/>
  <c r="U58" i="59" s="1"/>
  <c r="R136" i="10"/>
  <c r="AJ131" i="10" l="1"/>
  <c r="AF132" i="10"/>
  <c r="R132" i="10"/>
  <c r="AB132" i="10"/>
  <c r="AJ132" i="10" l="1"/>
  <c r="AP131" i="10"/>
  <c r="I38" i="27"/>
  <c r="Q38" i="27" s="1"/>
  <c r="H38" i="27"/>
  <c r="P38" i="27" s="1"/>
  <c r="I23" i="27"/>
  <c r="H23" i="27"/>
  <c r="P23" i="27" s="1"/>
  <c r="AT131" i="10" l="1"/>
  <c r="AP132" i="10"/>
  <c r="U38" i="27"/>
  <c r="T23" i="27"/>
  <c r="Z23" i="27" s="1"/>
  <c r="AD23" i="27" s="1"/>
  <c r="AH23" i="27" s="1"/>
  <c r="AN23" i="27" s="1"/>
  <c r="AR23" i="27" s="1"/>
  <c r="T38" i="27"/>
  <c r="Q23" i="27"/>
  <c r="AT132" i="10" l="1"/>
  <c r="AX131" i="10"/>
  <c r="U23" i="27"/>
  <c r="AA23" i="27" s="1"/>
  <c r="AE23" i="27" s="1"/>
  <c r="AI23" i="27" s="1"/>
  <c r="AO23" i="27" s="1"/>
  <c r="AS23" i="27" s="1"/>
  <c r="AX132" i="10" l="1"/>
  <c r="BF131" i="10"/>
  <c r="BF132" i="10" s="1"/>
  <c r="J16" i="9"/>
  <c r="J17" i="9"/>
  <c r="Z76" i="7" l="1"/>
  <c r="Z67" i="11"/>
  <c r="Z77" i="7" l="1"/>
  <c r="AC36" i="59" s="1"/>
  <c r="AB76" i="7"/>
  <c r="AF76" i="7" s="1"/>
  <c r="Z87" i="45"/>
  <c r="Z88" i="45" s="1"/>
  <c r="Y67" i="11"/>
  <c r="AF77" i="7" l="1"/>
  <c r="AI36" i="59" s="1"/>
  <c r="AJ76" i="7"/>
  <c r="Y99" i="9"/>
  <c r="AP76" i="7" l="1"/>
  <c r="AJ77" i="7"/>
  <c r="AM36" i="59" s="1"/>
  <c r="Y100" i="9"/>
  <c r="AA99" i="9"/>
  <c r="AE99" i="9" s="1"/>
  <c r="AP77" i="7" l="1"/>
  <c r="AS36" i="59" s="1"/>
  <c r="AT76" i="7"/>
  <c r="AI99" i="9"/>
  <c r="AE100" i="9"/>
  <c r="Y13" i="6"/>
  <c r="AA13" i="6" s="1"/>
  <c r="AE13" i="6" s="1"/>
  <c r="AI13" i="6" s="1"/>
  <c r="AO13" i="6" s="1"/>
  <c r="AS13" i="6" s="1"/>
  <c r="AW13" i="6" s="1"/>
  <c r="BE13" i="6" s="1"/>
  <c r="Y14" i="6"/>
  <c r="AA14" i="6" s="1"/>
  <c r="AE14" i="6" s="1"/>
  <c r="AI14" i="6" s="1"/>
  <c r="AO14" i="6" s="1"/>
  <c r="AS14" i="6" s="1"/>
  <c r="AW14" i="6" s="1"/>
  <c r="BE14" i="6" s="1"/>
  <c r="Y23" i="6"/>
  <c r="AA23" i="6" s="1"/>
  <c r="AE23" i="6" s="1"/>
  <c r="AI23" i="6" s="1"/>
  <c r="AO23" i="6" s="1"/>
  <c r="Y26" i="6"/>
  <c r="AA26" i="6" s="1"/>
  <c r="AE26" i="6" s="1"/>
  <c r="AI26" i="6" s="1"/>
  <c r="Y20" i="6"/>
  <c r="AA20" i="6" s="1"/>
  <c r="AE20" i="6" s="1"/>
  <c r="AI20" i="6" s="1"/>
  <c r="AO20" i="6" s="1"/>
  <c r="AS20" i="6" s="1"/>
  <c r="AW20" i="6" s="1"/>
  <c r="BE20" i="6" s="1"/>
  <c r="Y27" i="6"/>
  <c r="AA27" i="6" s="1"/>
  <c r="AE27" i="6" s="1"/>
  <c r="AI27" i="6" s="1"/>
  <c r="AO27" i="6" s="1"/>
  <c r="AS27" i="6" s="1"/>
  <c r="AW27" i="6" s="1"/>
  <c r="BE27" i="6" s="1"/>
  <c r="Y21" i="6"/>
  <c r="AA21" i="6" s="1"/>
  <c r="AE21" i="6" s="1"/>
  <c r="AI21" i="6" s="1"/>
  <c r="AO21" i="6" s="1"/>
  <c r="AS21" i="6" s="1"/>
  <c r="AW21" i="6" s="1"/>
  <c r="BE21" i="6" s="1"/>
  <c r="Y24" i="6"/>
  <c r="AA24" i="6" s="1"/>
  <c r="AE24" i="6" s="1"/>
  <c r="AI24" i="6" s="1"/>
  <c r="AO24" i="6" s="1"/>
  <c r="AS24" i="6" s="1"/>
  <c r="AW24" i="6" s="1"/>
  <c r="BE24" i="6" s="1"/>
  <c r="BE187" i="6" l="1"/>
  <c r="BE181" i="6"/>
  <c r="BE161" i="6"/>
  <c r="BE156" i="6"/>
  <c r="BE15" i="6"/>
  <c r="BE80" i="6" s="1"/>
  <c r="BE77" i="6"/>
  <c r="BE22" i="6"/>
  <c r="AW181" i="6"/>
  <c r="AW187" i="6"/>
  <c r="AW15" i="6"/>
  <c r="AW77" i="6" s="1"/>
  <c r="AW156" i="6"/>
  <c r="AW161" i="6"/>
  <c r="AW22" i="6"/>
  <c r="AT77" i="7"/>
  <c r="AW36" i="59" s="1"/>
  <c r="AX76" i="7"/>
  <c r="AS22" i="6"/>
  <c r="AS156" i="6"/>
  <c r="AS15" i="6"/>
  <c r="AS80" i="6" s="1"/>
  <c r="AS161" i="6"/>
  <c r="AO25" i="6"/>
  <c r="AS23" i="6"/>
  <c r="AS181" i="6"/>
  <c r="AS187" i="6"/>
  <c r="AI28" i="6"/>
  <c r="AO26" i="6"/>
  <c r="AO161" i="6"/>
  <c r="AO15" i="6"/>
  <c r="AO80" i="6" s="1"/>
  <c r="AO156" i="6"/>
  <c r="AO187" i="6"/>
  <c r="AO181" i="6"/>
  <c r="AO22" i="6"/>
  <c r="AI100" i="9"/>
  <c r="AO99" i="9"/>
  <c r="AI25" i="6"/>
  <c r="AI15" i="6"/>
  <c r="AI80" i="6" s="1"/>
  <c r="AI156" i="6"/>
  <c r="AI161" i="6"/>
  <c r="AI181" i="6"/>
  <c r="AI187" i="6"/>
  <c r="AI22" i="6"/>
  <c r="AE25" i="6"/>
  <c r="AE181" i="6"/>
  <c r="AE187" i="6"/>
  <c r="AE28" i="6"/>
  <c r="AE22" i="6"/>
  <c r="AE161" i="6"/>
  <c r="AE156" i="6"/>
  <c r="AE15" i="6"/>
  <c r="AE80" i="6" s="1"/>
  <c r="Y181" i="6"/>
  <c r="Y156" i="6"/>
  <c r="Y18" i="6"/>
  <c r="Y17" i="6"/>
  <c r="Y15" i="6"/>
  <c r="Y77" i="6" s="1"/>
  <c r="Y29" i="6"/>
  <c r="AA29" i="6" s="1"/>
  <c r="AE29" i="6" s="1"/>
  <c r="AI29" i="6" s="1"/>
  <c r="AO29" i="6" s="1"/>
  <c r="AS29" i="6" s="1"/>
  <c r="AW29" i="6" s="1"/>
  <c r="BE29" i="6" s="1"/>
  <c r="Y30" i="6"/>
  <c r="AA30" i="6" s="1"/>
  <c r="AE30" i="6" s="1"/>
  <c r="AI30" i="6" s="1"/>
  <c r="AO30" i="6" s="1"/>
  <c r="AS30" i="6" s="1"/>
  <c r="AW30" i="6" s="1"/>
  <c r="BE30" i="6" s="1"/>
  <c r="Y6" i="8"/>
  <c r="E6" i="8"/>
  <c r="E79" i="8" s="1"/>
  <c r="M79" i="8" s="1"/>
  <c r="BE31" i="6" l="1"/>
  <c r="AW80" i="6"/>
  <c r="AX77" i="7"/>
  <c r="BA36" i="59" s="1"/>
  <c r="BF76" i="7"/>
  <c r="BF77" i="7" s="1"/>
  <c r="BI36" i="59" s="1"/>
  <c r="AS25" i="6"/>
  <c r="AW23" i="6"/>
  <c r="AW31" i="6"/>
  <c r="AI77" i="6"/>
  <c r="AS31" i="6"/>
  <c r="AO100" i="9"/>
  <c r="AS99" i="9"/>
  <c r="AS77" i="6"/>
  <c r="AO77" i="6"/>
  <c r="AO28" i="6"/>
  <c r="AS26" i="6"/>
  <c r="AO31" i="6"/>
  <c r="AI31" i="6"/>
  <c r="AE31" i="6"/>
  <c r="AE77" i="6"/>
  <c r="Y6" i="49"/>
  <c r="Y83" i="8"/>
  <c r="Y45" i="8"/>
  <c r="E29" i="8"/>
  <c r="M29" i="8" s="1"/>
  <c r="AA29" i="8" s="1"/>
  <c r="AE29" i="8" s="1"/>
  <c r="AI29" i="8" s="1"/>
  <c r="AO29" i="8" s="1"/>
  <c r="AS29" i="8" s="1"/>
  <c r="AW29" i="8" s="1"/>
  <c r="BE29" i="8" s="1"/>
  <c r="AB20" i="59"/>
  <c r="AA17" i="6"/>
  <c r="AE17" i="6" s="1"/>
  <c r="AI17" i="6" s="1"/>
  <c r="AO17" i="6" s="1"/>
  <c r="AS17" i="6" s="1"/>
  <c r="AW17" i="6" s="1"/>
  <c r="BE17" i="6" s="1"/>
  <c r="AB26" i="59"/>
  <c r="AA18" i="6"/>
  <c r="AE18" i="6" s="1"/>
  <c r="Y80" i="6"/>
  <c r="E6" i="49"/>
  <c r="M6" i="8"/>
  <c r="Z6" i="8"/>
  <c r="AB18" i="59"/>
  <c r="AB27" i="59"/>
  <c r="AB17" i="59"/>
  <c r="AB19" i="59"/>
  <c r="AB24" i="59"/>
  <c r="AB25" i="59"/>
  <c r="Y12" i="8"/>
  <c r="AA12" i="8" s="1"/>
  <c r="AE12" i="8" s="1"/>
  <c r="AC41" i="59"/>
  <c r="AW25" i="6" l="1"/>
  <c r="BE23" i="6"/>
  <c r="BE25" i="6" s="1"/>
  <c r="AS28" i="6"/>
  <c r="AW26" i="6"/>
  <c r="AS100" i="9"/>
  <c r="AW99" i="9"/>
  <c r="AE19" i="6"/>
  <c r="AI18" i="6"/>
  <c r="AO18" i="6" s="1"/>
  <c r="AE15" i="8"/>
  <c r="AI12" i="8"/>
  <c r="M6" i="49"/>
  <c r="AA6" i="8"/>
  <c r="AE6" i="8" s="1"/>
  <c r="AI6" i="8" s="1"/>
  <c r="AO6" i="8" s="1"/>
  <c r="AS6" i="8" s="1"/>
  <c r="Z6" i="49"/>
  <c r="Z84" i="8"/>
  <c r="Z83" i="8"/>
  <c r="AB6" i="8"/>
  <c r="AF6" i="8" s="1"/>
  <c r="AJ6" i="8" s="1"/>
  <c r="AP6" i="8" s="1"/>
  <c r="AT6" i="8" s="1"/>
  <c r="AX6" i="8" s="1"/>
  <c r="BF6" i="8" s="1"/>
  <c r="Z45" i="8"/>
  <c r="E65" i="8"/>
  <c r="M65" i="8" s="1"/>
  <c r="I29" i="8"/>
  <c r="I36" i="8" s="1"/>
  <c r="M84" i="8"/>
  <c r="Q6" i="8"/>
  <c r="Y46" i="8"/>
  <c r="Z40" i="8"/>
  <c r="Z39" i="8"/>
  <c r="Z38" i="8"/>
  <c r="Z76" i="8"/>
  <c r="AC45" i="59" s="1"/>
  <c r="Z43" i="8"/>
  <c r="Z46" i="8"/>
  <c r="Z42" i="8"/>
  <c r="Z44" i="8"/>
  <c r="Z80" i="8"/>
  <c r="Z48" i="8"/>
  <c r="Y48" i="8"/>
  <c r="Y76" i="8"/>
  <c r="AB45" i="59" s="1"/>
  <c r="Y49" i="8"/>
  <c r="Y74" i="8" s="1"/>
  <c r="Z77" i="8"/>
  <c r="Z78" i="8"/>
  <c r="Y84" i="8"/>
  <c r="Z49" i="8"/>
  <c r="Y57" i="8"/>
  <c r="Y67" i="8"/>
  <c r="Y44" i="8"/>
  <c r="AW28" i="6" l="1"/>
  <c r="BE26" i="6"/>
  <c r="BE28" i="6" s="1"/>
  <c r="AW100" i="9"/>
  <c r="BE100" i="9"/>
  <c r="BF44" i="8"/>
  <c r="BF80" i="8"/>
  <c r="BF46" i="8"/>
  <c r="BF43" i="8"/>
  <c r="BF40" i="8"/>
  <c r="BF86" i="8"/>
  <c r="BF39" i="8"/>
  <c r="BF45" i="8"/>
  <c r="BF42" i="8"/>
  <c r="BF76" i="8"/>
  <c r="BF38" i="8"/>
  <c r="AI19" i="6"/>
  <c r="AS45" i="8"/>
  <c r="AW6" i="8"/>
  <c r="BE6" i="8" s="1"/>
  <c r="AX44" i="8"/>
  <c r="AX40" i="8"/>
  <c r="AX39" i="8"/>
  <c r="AX76" i="8"/>
  <c r="BA45" i="59" s="1"/>
  <c r="AX38" i="8"/>
  <c r="AX42" i="8"/>
  <c r="AX80" i="8"/>
  <c r="AX45" i="8"/>
  <c r="AX46" i="8"/>
  <c r="AX43" i="8"/>
  <c r="AX6" i="49"/>
  <c r="AX86" i="8"/>
  <c r="AT6" i="49"/>
  <c r="AT44" i="8"/>
  <c r="AT46" i="8"/>
  <c r="AT40" i="8"/>
  <c r="AT45" i="8"/>
  <c r="AT42" i="8"/>
  <c r="AT43" i="8"/>
  <c r="AT39" i="8"/>
  <c r="AT86" i="8"/>
  <c r="AT80" i="8"/>
  <c r="AT38" i="8"/>
  <c r="AT76" i="8"/>
  <c r="AW45" i="59" s="1"/>
  <c r="AO19" i="6"/>
  <c r="AS18" i="6"/>
  <c r="AS6" i="49"/>
  <c r="AS86" i="8"/>
  <c r="AS76" i="8"/>
  <c r="AV45" i="59" s="1"/>
  <c r="AO86" i="8"/>
  <c r="AO76" i="8"/>
  <c r="AR45" i="59" s="1"/>
  <c r="AO6" i="49"/>
  <c r="AP86" i="8"/>
  <c r="AP39" i="8"/>
  <c r="AP44" i="8"/>
  <c r="AP45" i="8"/>
  <c r="AP40" i="8"/>
  <c r="AP38" i="8"/>
  <c r="AP76" i="8"/>
  <c r="AS45" i="59" s="1"/>
  <c r="AP42" i="8"/>
  <c r="AP43" i="8"/>
  <c r="AP80" i="8"/>
  <c r="AP6" i="49"/>
  <c r="AP46" i="8"/>
  <c r="AI45" i="8"/>
  <c r="AO45" i="8"/>
  <c r="AI15" i="8"/>
  <c r="AO12" i="8"/>
  <c r="AI76" i="8"/>
  <c r="AL45" i="59" s="1"/>
  <c r="AI6" i="49"/>
  <c r="AI86" i="8"/>
  <c r="AJ39" i="8"/>
  <c r="AJ46" i="8"/>
  <c r="AJ42" i="8"/>
  <c r="AJ80" i="8"/>
  <c r="AJ38" i="8"/>
  <c r="AJ43" i="8"/>
  <c r="AJ40" i="8"/>
  <c r="AJ76" i="8"/>
  <c r="AM45" i="59" s="1"/>
  <c r="AJ45" i="8"/>
  <c r="AJ44" i="8"/>
  <c r="AJ86" i="8"/>
  <c r="AJ6" i="49"/>
  <c r="AE86" i="8"/>
  <c r="AE76" i="8"/>
  <c r="AH45" i="59" s="1"/>
  <c r="AE6" i="49"/>
  <c r="AF46" i="8"/>
  <c r="AF40" i="8"/>
  <c r="AF42" i="8"/>
  <c r="AF44" i="8"/>
  <c r="AF45" i="8"/>
  <c r="AF39" i="8"/>
  <c r="AF76" i="8"/>
  <c r="AI45" i="59" s="1"/>
  <c r="AF43" i="8"/>
  <c r="AF86" i="8"/>
  <c r="AF80" i="8"/>
  <c r="AF38" i="8"/>
  <c r="AF6" i="49"/>
  <c r="AE45" i="8"/>
  <c r="AA84" i="8"/>
  <c r="AE84" i="8" s="1"/>
  <c r="AI84" i="8" s="1"/>
  <c r="AO84" i="8" s="1"/>
  <c r="AS84" i="8" s="1"/>
  <c r="AW84" i="8" s="1"/>
  <c r="BE84" i="8" s="1"/>
  <c r="AB84" i="8"/>
  <c r="AF84" i="8" s="1"/>
  <c r="AJ84" i="8" s="1"/>
  <c r="AP84" i="8" s="1"/>
  <c r="AT84" i="8" s="1"/>
  <c r="AX84" i="8" s="1"/>
  <c r="AB48" i="8"/>
  <c r="Y43" i="8"/>
  <c r="Q65" i="8"/>
  <c r="U65" i="8" s="1"/>
  <c r="AA65" i="8"/>
  <c r="AE65" i="8" s="1"/>
  <c r="AI65" i="8" s="1"/>
  <c r="AO65" i="8" s="1"/>
  <c r="AS65" i="8" s="1"/>
  <c r="AW65" i="8" s="1"/>
  <c r="BE65" i="8" s="1"/>
  <c r="Y42" i="8"/>
  <c r="Q6" i="49"/>
  <c r="U6" i="8"/>
  <c r="E36" i="8"/>
  <c r="M36" i="8" s="1"/>
  <c r="AA36" i="8" s="1"/>
  <c r="AE36" i="8" s="1"/>
  <c r="AI36" i="8" s="1"/>
  <c r="AO36" i="8" s="1"/>
  <c r="AS36" i="8" s="1"/>
  <c r="AW36" i="8" s="1"/>
  <c r="BE36" i="8" s="1"/>
  <c r="Q29" i="8"/>
  <c r="U29" i="8" s="1"/>
  <c r="M45" i="8"/>
  <c r="AB78" i="8"/>
  <c r="AC44" i="59"/>
  <c r="AB77" i="8"/>
  <c r="AC43" i="59"/>
  <c r="AB49" i="8"/>
  <c r="Z74" i="8"/>
  <c r="Q76" i="8"/>
  <c r="Q84" i="8"/>
  <c r="Y5" i="26"/>
  <c r="Y72" i="8"/>
  <c r="Z41" i="8"/>
  <c r="BF41" i="8" l="1"/>
  <c r="BE76" i="8"/>
  <c r="BE86" i="8"/>
  <c r="BE45" i="8"/>
  <c r="AS19" i="6"/>
  <c r="AW18" i="6"/>
  <c r="AX41" i="8"/>
  <c r="AT41" i="8"/>
  <c r="AW76" i="8"/>
  <c r="AZ45" i="59" s="1"/>
  <c r="AW6" i="49"/>
  <c r="AW86" i="8"/>
  <c r="AW45" i="8"/>
  <c r="AO15" i="8"/>
  <c r="AS12" i="8"/>
  <c r="AP41" i="8"/>
  <c r="AJ41" i="8"/>
  <c r="AF41" i="8"/>
  <c r="AE43" i="59"/>
  <c r="AF77" i="8"/>
  <c r="AF49" i="8"/>
  <c r="AF14" i="36"/>
  <c r="AI41" i="59" s="1"/>
  <c r="AE44" i="59"/>
  <c r="AF78" i="8"/>
  <c r="AF48" i="8"/>
  <c r="Y50" i="8"/>
  <c r="U84" i="8"/>
  <c r="Y51" i="8"/>
  <c r="U45" i="8"/>
  <c r="U6" i="49"/>
  <c r="U76" i="8"/>
  <c r="Q45" i="8"/>
  <c r="Y61" i="8"/>
  <c r="Y69" i="8" s="1"/>
  <c r="AW19" i="6" l="1"/>
  <c r="BE18" i="6"/>
  <c r="BE19" i="6" s="1"/>
  <c r="AS15" i="8"/>
  <c r="AW12" i="8"/>
  <c r="AJ49" i="8"/>
  <c r="AJ14" i="36"/>
  <c r="AM41" i="59" s="1"/>
  <c r="AJ48" i="8"/>
  <c r="AI43" i="59"/>
  <c r="AJ77" i="8"/>
  <c r="AI44" i="59"/>
  <c r="AJ78" i="8"/>
  <c r="P64" i="22"/>
  <c r="P65" i="22" s="1"/>
  <c r="P66" i="22" s="1"/>
  <c r="P51" i="22"/>
  <c r="P53" i="22" s="1"/>
  <c r="P55" i="22" s="1"/>
  <c r="P56" i="22" s="1"/>
  <c r="P59" i="22"/>
  <c r="P60" i="22" s="1"/>
  <c r="P61" i="22" s="1"/>
  <c r="P43" i="22"/>
  <c r="P45" i="22" s="1"/>
  <c r="P47" i="22" s="1"/>
  <c r="P48" i="22" s="1"/>
  <c r="AW15" i="8" l="1"/>
  <c r="BE12" i="8"/>
  <c r="BE15" i="8" s="1"/>
  <c r="AM43" i="59"/>
  <c r="AP77" i="8"/>
  <c r="AP49" i="8"/>
  <c r="AP14" i="36"/>
  <c r="AS41" i="59" s="1"/>
  <c r="AP48" i="8"/>
  <c r="AM44" i="59"/>
  <c r="AP78" i="8"/>
  <c r="Y76" i="7"/>
  <c r="Y77" i="7" s="1"/>
  <c r="AB36" i="59" s="1"/>
  <c r="Z186" i="6"/>
  <c r="AB186" i="6" s="1"/>
  <c r="Z160" i="6"/>
  <c r="AB160" i="6" s="1"/>
  <c r="AS44" i="59" l="1"/>
  <c r="AT78" i="8"/>
  <c r="AT49" i="8"/>
  <c r="AT14" i="36"/>
  <c r="AW41" i="59" s="1"/>
  <c r="AT48" i="8"/>
  <c r="AS43" i="59"/>
  <c r="AT77" i="8"/>
  <c r="Y65" i="7"/>
  <c r="Y67" i="7" s="1"/>
  <c r="Y62" i="7"/>
  <c r="Y63" i="7" s="1"/>
  <c r="AB32" i="59"/>
  <c r="AB30" i="59"/>
  <c r="AB31" i="59"/>
  <c r="AX49" i="8" l="1"/>
  <c r="AX14" i="36"/>
  <c r="BA41" i="59" s="1"/>
  <c r="AX48" i="8"/>
  <c r="AW43" i="59"/>
  <c r="AX77" i="8"/>
  <c r="AW44" i="59"/>
  <c r="AX78" i="8"/>
  <c r="Y72" i="7"/>
  <c r="BA43" i="59" l="1"/>
  <c r="BF77" i="8"/>
  <c r="BA44" i="59"/>
  <c r="BF78" i="8"/>
  <c r="BF49" i="8"/>
  <c r="BF48" i="8"/>
  <c r="AB6" i="59"/>
  <c r="Y33" i="36"/>
  <c r="AC69" i="59" l="1"/>
  <c r="Z51" i="35"/>
  <c r="Z33" i="36"/>
  <c r="Y34" i="36"/>
  <c r="Y35" i="36"/>
  <c r="Y36" i="36" s="1"/>
  <c r="Z5" i="6"/>
  <c r="Z6" i="6"/>
  <c r="Z12" i="6" s="1"/>
  <c r="Z14" i="6"/>
  <c r="Z76" i="6" l="1"/>
  <c r="Z79" i="6"/>
  <c r="Y30" i="36"/>
  <c r="AB73" i="59" s="1"/>
  <c r="AB14" i="6"/>
  <c r="Z34" i="36"/>
  <c r="Z35" i="36"/>
  <c r="Z36" i="36" s="1"/>
  <c r="Z7" i="6"/>
  <c r="Z11" i="6"/>
  <c r="Z182" i="6"/>
  <c r="Z187" i="6"/>
  <c r="Z188" i="6"/>
  <c r="Z13" i="6"/>
  <c r="Z75" i="6" l="1"/>
  <c r="Z78" i="6"/>
  <c r="Z81" i="6"/>
  <c r="AB79" i="6"/>
  <c r="AB76" i="6"/>
  <c r="AF14" i="6"/>
  <c r="AJ14" i="6" s="1"/>
  <c r="AP14" i="6" s="1"/>
  <c r="AT14" i="6" s="1"/>
  <c r="AX14" i="6" s="1"/>
  <c r="BF14" i="6" s="1"/>
  <c r="BF188" i="6" s="1"/>
  <c r="Z30" i="36"/>
  <c r="AC73" i="59" s="1"/>
  <c r="AB13" i="6"/>
  <c r="Z162" i="6"/>
  <c r="Z15" i="6"/>
  <c r="Z161" i="6"/>
  <c r="BF187" i="6" l="1"/>
  <c r="BF182" i="6"/>
  <c r="AX182" i="6"/>
  <c r="AX187" i="6"/>
  <c r="AB81" i="6"/>
  <c r="Z77" i="6"/>
  <c r="Z80" i="6"/>
  <c r="AB78" i="6"/>
  <c r="AB75" i="6"/>
  <c r="AT187" i="6"/>
  <c r="AT182" i="6"/>
  <c r="AP182" i="6"/>
  <c r="AP187" i="6"/>
  <c r="AJ182" i="6"/>
  <c r="AJ187" i="6"/>
  <c r="AF13" i="6"/>
  <c r="AJ13" i="6" s="1"/>
  <c r="AP13" i="6" s="1"/>
  <c r="AT13" i="6" s="1"/>
  <c r="AX13" i="6" s="1"/>
  <c r="BF13" i="6" s="1"/>
  <c r="AF187" i="6"/>
  <c r="AF182" i="6"/>
  <c r="Z35" i="6"/>
  <c r="Z36" i="6"/>
  <c r="Z34" i="6"/>
  <c r="BF157" i="6" l="1"/>
  <c r="BF161" i="6"/>
  <c r="BF15" i="6"/>
  <c r="AX157" i="6"/>
  <c r="AX15" i="6"/>
  <c r="AX161" i="6"/>
  <c r="AT15" i="6"/>
  <c r="AT161" i="6"/>
  <c r="AT157" i="6"/>
  <c r="AP161" i="6"/>
  <c r="AP15" i="6"/>
  <c r="AP157" i="6"/>
  <c r="AJ157" i="6"/>
  <c r="AJ161" i="6"/>
  <c r="AJ15" i="6"/>
  <c r="AF157" i="6"/>
  <c r="AF161" i="6"/>
  <c r="AF15" i="6"/>
  <c r="BF36" i="6" l="1"/>
  <c r="BF35" i="6"/>
  <c r="BF34" i="6"/>
  <c r="AX35" i="6"/>
  <c r="AX36" i="6"/>
  <c r="AX34" i="6"/>
  <c r="AT36" i="6"/>
  <c r="AT34" i="6"/>
  <c r="AT35" i="6"/>
  <c r="AP36" i="6"/>
  <c r="AP34" i="6"/>
  <c r="AP35" i="6"/>
  <c r="AJ34" i="6"/>
  <c r="AJ35" i="6"/>
  <c r="AJ36" i="6"/>
  <c r="AF35" i="6"/>
  <c r="AF34" i="6"/>
  <c r="AF36" i="6"/>
  <c r="I81" i="50"/>
  <c r="J73" i="11"/>
  <c r="J78" i="11"/>
  <c r="J83" i="11" s="1"/>
  <c r="J74" i="11"/>
  <c r="J146" i="10"/>
  <c r="AB146" i="10" s="1"/>
  <c r="AF146" i="10" s="1"/>
  <c r="AJ146" i="10" s="1"/>
  <c r="AP146" i="10" s="1"/>
  <c r="AT146" i="10" s="1"/>
  <c r="AX146" i="10" s="1"/>
  <c r="BF146" i="10" s="1"/>
  <c r="J150" i="10"/>
  <c r="J155" i="10" s="1"/>
  <c r="J145" i="10"/>
  <c r="R74" i="11" l="1"/>
  <c r="V74" i="11" s="1"/>
  <c r="AB74" i="11"/>
  <c r="AF74" i="11" s="1"/>
  <c r="AJ74" i="11" s="1"/>
  <c r="AP74" i="11" s="1"/>
  <c r="AT74" i="11" s="1"/>
  <c r="R146" i="10"/>
  <c r="V146" i="10" s="1"/>
  <c r="J75" i="11"/>
  <c r="J82" i="11" s="1"/>
  <c r="J147" i="10"/>
  <c r="J154" i="10" s="1"/>
  <c r="AB78" i="11"/>
  <c r="AF78" i="11" s="1"/>
  <c r="AB150" i="10"/>
  <c r="AF150" i="10" s="1"/>
  <c r="AF155" i="10" l="1"/>
  <c r="AJ150" i="10"/>
  <c r="AF83" i="11"/>
  <c r="AJ78" i="11"/>
  <c r="AB83" i="11"/>
  <c r="AB155" i="10"/>
  <c r="R73" i="11"/>
  <c r="V73" i="11" s="1"/>
  <c r="V75" i="11" s="1"/>
  <c r="V82" i="11" s="1"/>
  <c r="AB73" i="11"/>
  <c r="AF73" i="11" s="1"/>
  <c r="R145" i="10"/>
  <c r="V145" i="10" s="1"/>
  <c r="V147" i="10" s="1"/>
  <c r="V154" i="10" s="1"/>
  <c r="AB145" i="10"/>
  <c r="AF145" i="10" s="1"/>
  <c r="R150" i="10"/>
  <c r="V150" i="10" s="1"/>
  <c r="V155" i="10" s="1"/>
  <c r="R78" i="11"/>
  <c r="V78" i="11" s="1"/>
  <c r="V83" i="11" s="1"/>
  <c r="AJ145" i="10" l="1"/>
  <c r="AF147" i="10"/>
  <c r="AF154" i="10" s="1"/>
  <c r="AJ155" i="10"/>
  <c r="AP150" i="10"/>
  <c r="AJ73" i="11"/>
  <c r="AF75" i="11"/>
  <c r="AJ83" i="11"/>
  <c r="AP78" i="11"/>
  <c r="AB75" i="11"/>
  <c r="AB82" i="11" s="1"/>
  <c r="R75" i="11"/>
  <c r="R82" i="11" s="1"/>
  <c r="AB147" i="10"/>
  <c r="AB154" i="10" s="1"/>
  <c r="R147" i="10"/>
  <c r="R154" i="10" s="1"/>
  <c r="R155" i="10"/>
  <c r="R83" i="11"/>
  <c r="AP83" i="11" l="1"/>
  <c r="AT78" i="11"/>
  <c r="AT83" i="11" s="1"/>
  <c r="AT150" i="10"/>
  <c r="AP155" i="10"/>
  <c r="AP145" i="10"/>
  <c r="AJ147" i="10"/>
  <c r="AJ154" i="10" s="1"/>
  <c r="AF82" i="11"/>
  <c r="AP73" i="11"/>
  <c r="AJ75" i="11"/>
  <c r="L64" i="22"/>
  <c r="L65" i="22" s="1"/>
  <c r="L66" i="22" s="1"/>
  <c r="L51" i="22"/>
  <c r="L53" i="22" s="1"/>
  <c r="L55" i="22" s="1"/>
  <c r="L56" i="22" s="1"/>
  <c r="L59" i="22"/>
  <c r="L60" i="22" s="1"/>
  <c r="L61" i="22" s="1"/>
  <c r="L43" i="22"/>
  <c r="L45" i="22" s="1"/>
  <c r="L47" i="22" s="1"/>
  <c r="L48" i="22" s="1"/>
  <c r="AT155" i="10" l="1"/>
  <c r="AX150" i="10"/>
  <c r="AP75" i="11"/>
  <c r="AP82" i="11" s="1"/>
  <c r="AT73" i="11"/>
  <c r="AT75" i="11" s="1"/>
  <c r="AT145" i="10"/>
  <c r="AP147" i="10"/>
  <c r="AJ82" i="11"/>
  <c r="Q53" i="38"/>
  <c r="AT147" i="10" l="1"/>
  <c r="AX145" i="10"/>
  <c r="AX155" i="10"/>
  <c r="BF150" i="10"/>
  <c r="BF155" i="10" s="1"/>
  <c r="AP154" i="10"/>
  <c r="AT154" i="10"/>
  <c r="AT82" i="11"/>
  <c r="J85" i="11"/>
  <c r="AX147" i="10" l="1"/>
  <c r="BF145" i="10"/>
  <c r="BF147" i="10" s="1"/>
  <c r="J77" i="11"/>
  <c r="BF154" i="10" l="1"/>
  <c r="AX154" i="10"/>
  <c r="M131" i="10"/>
  <c r="M132" i="10" s="1"/>
  <c r="N139" i="10"/>
  <c r="R85" i="11"/>
  <c r="R77" i="11"/>
  <c r="J157" i="10"/>
  <c r="J149" i="10" l="1"/>
  <c r="Y131" i="10" l="1"/>
  <c r="Y132" i="10" s="1"/>
  <c r="Z139" i="10"/>
  <c r="M139" i="10" l="1"/>
  <c r="E48" i="8"/>
  <c r="E49" i="8" s="1"/>
  <c r="Y139" i="10" l="1"/>
  <c r="J32" i="8"/>
  <c r="J11" i="49" s="1"/>
  <c r="I32" i="8"/>
  <c r="I11" i="49" s="1"/>
  <c r="AB11" i="49" l="1"/>
  <c r="AA11" i="49" l="1"/>
  <c r="N31" i="36"/>
  <c r="M31" i="36"/>
  <c r="AB39" i="36" l="1"/>
  <c r="AB40" i="36"/>
  <c r="AB43" i="36"/>
  <c r="AB46" i="36"/>
  <c r="AB38" i="36"/>
  <c r="L32" i="36"/>
  <c r="K32" i="36"/>
  <c r="AB51" i="36" l="1"/>
  <c r="AB53" i="36" s="1"/>
  <c r="AB45" i="36"/>
  <c r="K39" i="36"/>
  <c r="K38" i="36"/>
  <c r="F19" i="36"/>
  <c r="I50" i="59" s="1"/>
  <c r="AB42" i="36"/>
  <c r="K33" i="36"/>
  <c r="L33" i="36"/>
  <c r="AI47" i="59" l="1"/>
  <c r="AI48" i="59"/>
  <c r="K34" i="36"/>
  <c r="K35" i="36" s="1"/>
  <c r="K36" i="36" s="1"/>
  <c r="L34" i="36"/>
  <c r="L35" i="36" s="1"/>
  <c r="L36" i="36" s="1"/>
  <c r="BF46" i="36" l="1"/>
  <c r="BF54" i="36" s="1"/>
  <c r="AJ17" i="36"/>
  <c r="AM48" i="59" s="1"/>
  <c r="AJ16" i="36"/>
  <c r="L30" i="36"/>
  <c r="O73" i="59" s="1"/>
  <c r="K30" i="36"/>
  <c r="N73" i="59" s="1"/>
  <c r="AI49" i="59"/>
  <c r="BF43" i="36" l="1"/>
  <c r="AJ18" i="36"/>
  <c r="AM49" i="59" s="1"/>
  <c r="AM47" i="59"/>
  <c r="BD50" i="36"/>
  <c r="BD19" i="36" s="1"/>
  <c r="BG50" i="59" s="1"/>
  <c r="BD42" i="36"/>
  <c r="BD18" i="36"/>
  <c r="BG49" i="59" s="1"/>
  <c r="BF45" i="36" l="1"/>
  <c r="BF51" i="36"/>
  <c r="BF53" i="36" s="1"/>
  <c r="BF38" i="36"/>
  <c r="BF16" i="36" s="1"/>
  <c r="BI47" i="59" s="1"/>
  <c r="BF40" i="36" l="1"/>
  <c r="BF48" i="36" s="1"/>
  <c r="BF39" i="36"/>
  <c r="BF17" i="36" s="1"/>
  <c r="BI48" i="59" s="1"/>
  <c r="BF42" i="36"/>
  <c r="J111" i="9" l="1"/>
  <c r="E27" i="8" l="1"/>
  <c r="E28" i="8"/>
  <c r="M28" i="8" s="1"/>
  <c r="AA28" i="8" s="1"/>
  <c r="AE28" i="8" s="1"/>
  <c r="E30" i="8"/>
  <c r="E26" i="8"/>
  <c r="AE44" i="8" l="1"/>
  <c r="AI28" i="8"/>
  <c r="E129" i="8"/>
  <c r="E130" i="8" s="1"/>
  <c r="M26" i="8"/>
  <c r="M30" i="8"/>
  <c r="AA30" i="8" s="1"/>
  <c r="AE30" i="8" s="1"/>
  <c r="M27" i="8"/>
  <c r="Q28" i="8"/>
  <c r="U28" i="8" s="1"/>
  <c r="U44" i="8" s="1"/>
  <c r="E57" i="8"/>
  <c r="E67" i="8"/>
  <c r="M67" i="8" s="1"/>
  <c r="E131" i="8" l="1"/>
  <c r="E132" i="8" s="1"/>
  <c r="AI44" i="8"/>
  <c r="AO28" i="8"/>
  <c r="AE46" i="8"/>
  <c r="AI30" i="8"/>
  <c r="AA26" i="8"/>
  <c r="AE26" i="8" s="1"/>
  <c r="AI26" i="8" s="1"/>
  <c r="AO26" i="8" s="1"/>
  <c r="AS26" i="8" s="1"/>
  <c r="AW26" i="8" s="1"/>
  <c r="BE26" i="8" s="1"/>
  <c r="BE42" i="8" s="1"/>
  <c r="M129" i="8"/>
  <c r="M130" i="8" s="1"/>
  <c r="AA27" i="8"/>
  <c r="AE27" i="8" s="1"/>
  <c r="AI27" i="8" s="1"/>
  <c r="AO27" i="8" s="1"/>
  <c r="Q30" i="8"/>
  <c r="Q67" i="8"/>
  <c r="U67" i="8" s="1"/>
  <c r="AA67" i="8"/>
  <c r="AE67" i="8" s="1"/>
  <c r="AI67" i="8" s="1"/>
  <c r="AO67" i="8" s="1"/>
  <c r="Q27" i="8"/>
  <c r="Q44" i="8"/>
  <c r="Q36" i="8"/>
  <c r="U36" i="8" s="1"/>
  <c r="Q26" i="8"/>
  <c r="E61" i="8"/>
  <c r="M61" i="8" s="1"/>
  <c r="M57" i="8"/>
  <c r="AW42" i="8" l="1"/>
  <c r="AO43" i="8"/>
  <c r="AS27" i="8"/>
  <c r="AO72" i="8"/>
  <c r="AS67" i="8"/>
  <c r="AO44" i="8"/>
  <c r="AS28" i="8"/>
  <c r="AS42" i="8"/>
  <c r="AO42" i="8"/>
  <c r="AO129" i="8"/>
  <c r="AO131" i="8" s="1"/>
  <c r="AI46" i="8"/>
  <c r="AO30" i="8"/>
  <c r="M131" i="8"/>
  <c r="M132" i="8" s="1"/>
  <c r="M51" i="8" s="1"/>
  <c r="AI72" i="8"/>
  <c r="AI43" i="8"/>
  <c r="AI42" i="8"/>
  <c r="AI129" i="8"/>
  <c r="AI130" i="8" s="1"/>
  <c r="AE43" i="8"/>
  <c r="AE72" i="8"/>
  <c r="AE42" i="8"/>
  <c r="AE129" i="8"/>
  <c r="AE131" i="8" s="1"/>
  <c r="Q72" i="8"/>
  <c r="U30" i="8"/>
  <c r="U46" i="8" s="1"/>
  <c r="Q46" i="8"/>
  <c r="Q43" i="8"/>
  <c r="Q61" i="8"/>
  <c r="U61" i="8" s="1"/>
  <c r="AA61" i="8"/>
  <c r="AE61" i="8" s="1"/>
  <c r="AI61" i="8" s="1"/>
  <c r="AO61" i="8" s="1"/>
  <c r="AS61" i="8" s="1"/>
  <c r="AW61" i="8" s="1"/>
  <c r="BE61" i="8" s="1"/>
  <c r="Q57" i="8"/>
  <c r="U57" i="8" s="1"/>
  <c r="AA57" i="8"/>
  <c r="AE57" i="8" s="1"/>
  <c r="AI57" i="8" s="1"/>
  <c r="AO57" i="8" s="1"/>
  <c r="AS57" i="8" s="1"/>
  <c r="AW57" i="8" s="1"/>
  <c r="BE57" i="8" s="1"/>
  <c r="Q42" i="8"/>
  <c r="U26" i="8"/>
  <c r="U27" i="8"/>
  <c r="Q129" i="8"/>
  <c r="Q130" i="8" s="1"/>
  <c r="M76" i="7"/>
  <c r="AA76" i="7" s="1"/>
  <c r="AE76" i="7" s="1"/>
  <c r="M3" i="38"/>
  <c r="N7" i="38"/>
  <c r="V7" i="38" s="1"/>
  <c r="N8" i="38"/>
  <c r="V8" i="38" s="1"/>
  <c r="N9" i="38"/>
  <c r="V9" i="38" s="1"/>
  <c r="N10" i="38"/>
  <c r="V10" i="38" s="1"/>
  <c r="N11" i="38"/>
  <c r="V11" i="38" s="1"/>
  <c r="N14" i="38"/>
  <c r="V14" i="38" s="1"/>
  <c r="N15" i="38"/>
  <c r="V15" i="38" s="1"/>
  <c r="N20" i="38"/>
  <c r="N21" i="38"/>
  <c r="V21" i="38" s="1"/>
  <c r="N22" i="38"/>
  <c r="V22" i="38" s="1"/>
  <c r="N23" i="38"/>
  <c r="N24" i="38"/>
  <c r="V24" i="38" s="1"/>
  <c r="N25" i="38"/>
  <c r="V25" i="38" s="1"/>
  <c r="N26" i="38"/>
  <c r="V26" i="38" s="1"/>
  <c r="N27" i="38"/>
  <c r="V27" i="38" s="1"/>
  <c r="N28" i="38"/>
  <c r="V28" i="38" s="1"/>
  <c r="N29" i="38"/>
  <c r="V29" i="38" s="1"/>
  <c r="N30" i="38"/>
  <c r="V30" i="38" s="1"/>
  <c r="N31" i="38"/>
  <c r="V31" i="38" s="1"/>
  <c r="N32" i="38"/>
  <c r="V32" i="38" s="1"/>
  <c r="N33" i="38"/>
  <c r="V33" i="38" s="1"/>
  <c r="N36" i="38"/>
  <c r="N37" i="38"/>
  <c r="V37" i="38" s="1"/>
  <c r="N38" i="38"/>
  <c r="V38" i="38" s="1"/>
  <c r="N39" i="38"/>
  <c r="V39" i="38" s="1"/>
  <c r="N42" i="38"/>
  <c r="V42" i="38" s="1"/>
  <c r="N44" i="38"/>
  <c r="V44" i="38" s="1"/>
  <c r="N45" i="38"/>
  <c r="V45" i="38" s="1"/>
  <c r="N46" i="38"/>
  <c r="V46" i="38" s="1"/>
  <c r="N47" i="38"/>
  <c r="V47" i="38" s="1"/>
  <c r="BE69" i="8" l="1"/>
  <c r="AS43" i="8"/>
  <c r="AW27" i="8"/>
  <c r="BE27" i="8" s="1"/>
  <c r="AS44" i="8"/>
  <c r="AW28" i="8"/>
  <c r="AS72" i="8"/>
  <c r="AW67" i="8"/>
  <c r="AW69" i="8"/>
  <c r="AS69" i="8"/>
  <c r="AS129" i="8"/>
  <c r="AS131" i="8" s="1"/>
  <c r="AE130" i="8"/>
  <c r="AE132" i="8" s="1"/>
  <c r="AE51" i="8" s="1"/>
  <c r="AO130" i="8"/>
  <c r="AO132" i="8" s="1"/>
  <c r="AO51" i="8" s="1"/>
  <c r="AO46" i="8"/>
  <c r="AS30" i="8"/>
  <c r="AO69" i="8"/>
  <c r="AI131" i="8"/>
  <c r="AI132" i="8" s="1"/>
  <c r="AI51" i="8" s="1"/>
  <c r="AI69" i="8"/>
  <c r="AI76" i="7"/>
  <c r="AE69" i="8"/>
  <c r="Z44" i="38"/>
  <c r="AD93" i="38"/>
  <c r="Z31" i="38"/>
  <c r="AD80" i="38"/>
  <c r="Z45" i="38"/>
  <c r="AD94" i="38"/>
  <c r="Z38" i="38"/>
  <c r="AD87" i="38"/>
  <c r="Z32" i="38"/>
  <c r="AD81" i="38"/>
  <c r="Z28" i="38"/>
  <c r="AD77" i="38"/>
  <c r="Z24" i="38"/>
  <c r="AD73" i="38"/>
  <c r="Z10" i="38"/>
  <c r="AD59" i="38"/>
  <c r="Z27" i="38"/>
  <c r="AD76" i="38"/>
  <c r="Z9" i="38"/>
  <c r="AD58" i="38"/>
  <c r="Z47" i="38"/>
  <c r="AD96" i="38"/>
  <c r="Z42" i="38"/>
  <c r="AD91" i="38"/>
  <c r="Z30" i="38"/>
  <c r="AD79" i="38"/>
  <c r="Z26" i="38"/>
  <c r="AD75" i="38"/>
  <c r="Z22" i="38"/>
  <c r="AD71" i="38"/>
  <c r="Z14" i="38"/>
  <c r="AD63" i="38"/>
  <c r="Z8" i="38"/>
  <c r="AD57" i="38"/>
  <c r="Z37" i="38"/>
  <c r="AD86" i="38"/>
  <c r="Z15" i="38"/>
  <c r="AD64" i="38"/>
  <c r="Z46" i="38"/>
  <c r="AD95" i="38"/>
  <c r="Z39" i="38"/>
  <c r="AD88" i="38"/>
  <c r="Z33" i="38"/>
  <c r="AD82" i="38"/>
  <c r="Z29" i="38"/>
  <c r="AD78" i="38"/>
  <c r="Z25" i="38"/>
  <c r="AD74" i="38"/>
  <c r="Z21" i="38"/>
  <c r="AD70" i="38"/>
  <c r="Z11" i="38"/>
  <c r="Z7" i="38"/>
  <c r="AD56" i="38"/>
  <c r="Q131" i="8"/>
  <c r="Q132" i="8" s="1"/>
  <c r="Q51" i="8" s="1"/>
  <c r="U69" i="8"/>
  <c r="Q69" i="8"/>
  <c r="U129" i="8"/>
  <c r="U130" i="8" s="1"/>
  <c r="U42" i="8"/>
  <c r="U72" i="8"/>
  <c r="U43" i="8"/>
  <c r="M77" i="7"/>
  <c r="Q76" i="7"/>
  <c r="U76" i="7" s="1"/>
  <c r="U77" i="7" s="1"/>
  <c r="M44" i="38"/>
  <c r="M93" i="38" s="1"/>
  <c r="V36" i="38"/>
  <c r="J160" i="6"/>
  <c r="V20" i="38"/>
  <c r="J186" i="6"/>
  <c r="V23" i="38"/>
  <c r="J85" i="8"/>
  <c r="M37" i="38"/>
  <c r="M86" i="38" s="1"/>
  <c r="M26" i="38"/>
  <c r="M30" i="38"/>
  <c r="M79" i="38" s="1"/>
  <c r="Q3" i="38"/>
  <c r="M52" i="38"/>
  <c r="J87" i="45"/>
  <c r="M45" i="38"/>
  <c r="M94" i="38" s="1"/>
  <c r="M46" i="38"/>
  <c r="M95" i="38" s="1"/>
  <c r="M21" i="38"/>
  <c r="M70" i="38" s="1"/>
  <c r="M25" i="38"/>
  <c r="M29" i="38"/>
  <c r="M78" i="38" s="1"/>
  <c r="M15" i="38"/>
  <c r="M64" i="38" s="1"/>
  <c r="J138" i="10"/>
  <c r="M23" i="38"/>
  <c r="I85" i="8" s="1"/>
  <c r="E85" i="8"/>
  <c r="M85" i="8" s="1"/>
  <c r="AA85" i="8" s="1"/>
  <c r="M27" i="38"/>
  <c r="M33" i="38"/>
  <c r="M36" i="38"/>
  <c r="I160" i="6" s="1"/>
  <c r="M24" i="38"/>
  <c r="M39" i="38"/>
  <c r="M32" i="38"/>
  <c r="M31" i="38"/>
  <c r="M47" i="38"/>
  <c r="M28" i="38"/>
  <c r="M22" i="38"/>
  <c r="M20" i="38"/>
  <c r="I186" i="6" s="1"/>
  <c r="M14" i="38"/>
  <c r="M42" i="38"/>
  <c r="M38" i="38"/>
  <c r="M41" i="38"/>
  <c r="N3" i="38"/>
  <c r="N52" i="38" s="1"/>
  <c r="E51" i="38"/>
  <c r="D51" i="38"/>
  <c r="AW44" i="8" l="1"/>
  <c r="BE28" i="8"/>
  <c r="BE44" i="8" s="1"/>
  <c r="BE129" i="8"/>
  <c r="BE130" i="8" s="1"/>
  <c r="BE43" i="8"/>
  <c r="BE131" i="8"/>
  <c r="AW72" i="8"/>
  <c r="BE67" i="8"/>
  <c r="BE72" i="8" s="1"/>
  <c r="AW43" i="8"/>
  <c r="AW129" i="8"/>
  <c r="AS46" i="8"/>
  <c r="AW30" i="8"/>
  <c r="AS130" i="8"/>
  <c r="AS132" i="8" s="1"/>
  <c r="AS51" i="8" s="1"/>
  <c r="AO76" i="7"/>
  <c r="Z20" i="38"/>
  <c r="AD69" i="38"/>
  <c r="Z23" i="38"/>
  <c r="V85" i="8" s="1"/>
  <c r="V86" i="8" s="1"/>
  <c r="Z36" i="38"/>
  <c r="AD85" i="38"/>
  <c r="U131" i="8"/>
  <c r="U132" i="8" s="1"/>
  <c r="U51" i="8" s="1"/>
  <c r="R160" i="6"/>
  <c r="R161" i="6" s="1"/>
  <c r="R186" i="6"/>
  <c r="R187" i="6" s="1"/>
  <c r="R85" i="8"/>
  <c r="R86" i="8" s="1"/>
  <c r="Q77" i="7"/>
  <c r="X36" i="59"/>
  <c r="Q93" i="38"/>
  <c r="U46" i="38"/>
  <c r="U37" i="38"/>
  <c r="M75" i="38"/>
  <c r="Q94" i="38"/>
  <c r="Q70" i="38"/>
  <c r="M35" i="38"/>
  <c r="M84" i="38" s="1"/>
  <c r="N81" i="38"/>
  <c r="N69" i="38"/>
  <c r="N57" i="38"/>
  <c r="N70" i="38"/>
  <c r="N82" i="38"/>
  <c r="N58" i="38"/>
  <c r="N73" i="38"/>
  <c r="N88" i="38"/>
  <c r="N63" i="38"/>
  <c r="N74" i="38"/>
  <c r="N93" i="38"/>
  <c r="N78" i="38"/>
  <c r="N91" i="38"/>
  <c r="Q79" i="38"/>
  <c r="E53" i="38"/>
  <c r="E63" i="38"/>
  <c r="E66" i="38"/>
  <c r="E70" i="38"/>
  <c r="E74" i="38"/>
  <c r="N77" i="38"/>
  <c r="N87" i="38"/>
  <c r="N96" i="38"/>
  <c r="Q52" i="38"/>
  <c r="U3" i="38"/>
  <c r="J88" i="45"/>
  <c r="AB87" i="45"/>
  <c r="AF87" i="45" s="1"/>
  <c r="E82" i="38"/>
  <c r="M74" i="38"/>
  <c r="Q64" i="38"/>
  <c r="E52" i="38"/>
  <c r="E55" i="38"/>
  <c r="E57" i="38"/>
  <c r="E58" i="38"/>
  <c r="E62" i="38"/>
  <c r="U29" i="38"/>
  <c r="U44" i="38"/>
  <c r="U45" i="38"/>
  <c r="Q74" i="38"/>
  <c r="U25" i="38"/>
  <c r="Q75" i="38"/>
  <c r="U26" i="38"/>
  <c r="M77" i="38"/>
  <c r="M76" i="38"/>
  <c r="M90" i="38"/>
  <c r="M87" i="38"/>
  <c r="M96" i="38"/>
  <c r="M80" i="38"/>
  <c r="M82" i="38"/>
  <c r="N13" i="38"/>
  <c r="M91" i="38"/>
  <c r="M63" i="38"/>
  <c r="M69" i="38"/>
  <c r="M186" i="6"/>
  <c r="M13" i="38"/>
  <c r="M81" i="38"/>
  <c r="M88" i="38"/>
  <c r="M73" i="38"/>
  <c r="M72" i="38"/>
  <c r="N95" i="38"/>
  <c r="R3" i="38"/>
  <c r="M71" i="38"/>
  <c r="M85" i="38"/>
  <c r="M160" i="6"/>
  <c r="N41" i="38"/>
  <c r="N19" i="38"/>
  <c r="V19" i="38" s="1"/>
  <c r="M43" i="38"/>
  <c r="M19" i="38"/>
  <c r="M40" i="38"/>
  <c r="D85" i="38"/>
  <c r="D55" i="38"/>
  <c r="D57" i="38"/>
  <c r="D58" i="38"/>
  <c r="D41" i="38"/>
  <c r="D83" i="38" s="1"/>
  <c r="D64" i="38"/>
  <c r="E65" i="38"/>
  <c r="D68" i="38"/>
  <c r="E69" i="38"/>
  <c r="D72" i="38"/>
  <c r="E73" i="38"/>
  <c r="D76" i="38"/>
  <c r="D79" i="38"/>
  <c r="D80" i="38"/>
  <c r="D81" i="38"/>
  <c r="E85" i="38"/>
  <c r="D65" i="38"/>
  <c r="D73" i="38"/>
  <c r="D54" i="38"/>
  <c r="E64" i="38"/>
  <c r="D67" i="38"/>
  <c r="E68" i="38"/>
  <c r="D71" i="38"/>
  <c r="E72" i="38"/>
  <c r="D75" i="38"/>
  <c r="E76" i="38"/>
  <c r="D77" i="38"/>
  <c r="D78" i="38"/>
  <c r="E79" i="38"/>
  <c r="E80" i="38"/>
  <c r="E81" i="38"/>
  <c r="D69" i="38"/>
  <c r="D53" i="38"/>
  <c r="E54" i="38"/>
  <c r="D63" i="38"/>
  <c r="D66" i="38"/>
  <c r="E67" i="38"/>
  <c r="D70" i="38"/>
  <c r="E71" i="38"/>
  <c r="D74" i="38"/>
  <c r="E75" i="38"/>
  <c r="E77" i="38"/>
  <c r="E78" i="38"/>
  <c r="D82" i="38"/>
  <c r="N59" i="38"/>
  <c r="N64" i="38"/>
  <c r="N71" i="38"/>
  <c r="N75" i="38"/>
  <c r="N79" i="38"/>
  <c r="N85" i="38"/>
  <c r="N94" i="38"/>
  <c r="N56" i="38"/>
  <c r="N72" i="38"/>
  <c r="N76" i="38"/>
  <c r="N80" i="38"/>
  <c r="N86" i="38"/>
  <c r="D11" i="38"/>
  <c r="N6" i="38"/>
  <c r="E11" i="38"/>
  <c r="E15" i="38"/>
  <c r="E59" i="38" s="1"/>
  <c r="N35" i="38"/>
  <c r="V35" i="38" s="1"/>
  <c r="E41" i="38"/>
  <c r="E83" i="38" s="1"/>
  <c r="D15" i="38"/>
  <c r="D59" i="38" s="1"/>
  <c r="D52" i="38"/>
  <c r="D62" i="38"/>
  <c r="AW46" i="8" l="1"/>
  <c r="BE30" i="8"/>
  <c r="BE46" i="8" s="1"/>
  <c r="BE132" i="8"/>
  <c r="BE51" i="8" s="1"/>
  <c r="AW131" i="8"/>
  <c r="AW130" i="8"/>
  <c r="AS76" i="7"/>
  <c r="AW76" i="7" s="1"/>
  <c r="AF88" i="45"/>
  <c r="AJ87" i="45"/>
  <c r="Z35" i="38"/>
  <c r="AD84" i="38"/>
  <c r="Y26" i="38"/>
  <c r="AC75" i="38"/>
  <c r="Y45" i="38"/>
  <c r="AC94" i="38"/>
  <c r="Y29" i="38"/>
  <c r="AC78" i="38"/>
  <c r="Y46" i="38"/>
  <c r="AC95" i="38"/>
  <c r="AD72" i="38"/>
  <c r="Z86" i="8"/>
  <c r="Z19" i="38"/>
  <c r="AD68" i="38"/>
  <c r="Y25" i="38"/>
  <c r="AC74" i="38"/>
  <c r="AC59" i="38"/>
  <c r="Y44" i="38"/>
  <c r="AC93" i="38"/>
  <c r="Y37" i="38"/>
  <c r="AC86" i="38"/>
  <c r="V186" i="6"/>
  <c r="V187" i="6" s="1"/>
  <c r="V160" i="6"/>
  <c r="V161" i="6" s="1"/>
  <c r="Q95" i="38"/>
  <c r="Q86" i="38"/>
  <c r="U21" i="38"/>
  <c r="N90" i="38"/>
  <c r="AB88" i="45"/>
  <c r="R138" i="10"/>
  <c r="V138" i="10" s="1"/>
  <c r="F26" i="36"/>
  <c r="U30" i="38"/>
  <c r="Q78" i="38"/>
  <c r="U15" i="38"/>
  <c r="R55" i="38"/>
  <c r="V6" i="38"/>
  <c r="R52" i="38"/>
  <c r="V3" i="38"/>
  <c r="V84" i="38" s="1"/>
  <c r="N88" i="45"/>
  <c r="R87" i="45"/>
  <c r="V87" i="45" s="1"/>
  <c r="V88" i="45" s="1"/>
  <c r="N43" i="38"/>
  <c r="U52" i="38"/>
  <c r="Y3" i="38"/>
  <c r="Q76" i="38"/>
  <c r="U27" i="38"/>
  <c r="U86" i="38"/>
  <c r="U78" i="38"/>
  <c r="U74" i="38"/>
  <c r="N68" i="38"/>
  <c r="Q69" i="38"/>
  <c r="U20" i="38"/>
  <c r="Q91" i="38"/>
  <c r="U42" i="38"/>
  <c r="Q82" i="38"/>
  <c r="U33" i="38"/>
  <c r="Q96" i="38"/>
  <c r="U47" i="38"/>
  <c r="Q87" i="38"/>
  <c r="U38" i="38"/>
  <c r="Q90" i="38"/>
  <c r="U41" i="38"/>
  <c r="U95" i="38"/>
  <c r="Q63" i="38"/>
  <c r="U14" i="38"/>
  <c r="Q80" i="38"/>
  <c r="U31" i="38"/>
  <c r="Q77" i="38"/>
  <c r="U28" i="38"/>
  <c r="U93" i="38"/>
  <c r="Q85" i="38"/>
  <c r="U36" i="38"/>
  <c r="Q71" i="38"/>
  <c r="U22" i="38"/>
  <c r="Q72" i="38"/>
  <c r="U23" i="38"/>
  <c r="Q88" i="38"/>
  <c r="U39" i="38"/>
  <c r="U75" i="38"/>
  <c r="R90" i="38"/>
  <c r="V41" i="38"/>
  <c r="Q84" i="38"/>
  <c r="U35" i="38"/>
  <c r="Q73" i="38"/>
  <c r="U24" i="38"/>
  <c r="Q81" i="38"/>
  <c r="U32" i="38"/>
  <c r="U94" i="38"/>
  <c r="N62" i="38"/>
  <c r="M68" i="38"/>
  <c r="M62" i="38"/>
  <c r="M18" i="38"/>
  <c r="M92" i="38"/>
  <c r="R69" i="38"/>
  <c r="R88" i="38"/>
  <c r="R81" i="38"/>
  <c r="R80" i="38"/>
  <c r="R59" i="38"/>
  <c r="R82" i="38"/>
  <c r="R85" i="38"/>
  <c r="R63" i="38"/>
  <c r="R70" i="38"/>
  <c r="R77" i="38"/>
  <c r="R76" i="38"/>
  <c r="R74" i="38"/>
  <c r="R79" i="38"/>
  <c r="R58" i="38"/>
  <c r="R78" i="38"/>
  <c r="R87" i="38"/>
  <c r="R56" i="38"/>
  <c r="R93" i="38"/>
  <c r="R72" i="38"/>
  <c r="R96" i="38"/>
  <c r="R75" i="38"/>
  <c r="R57" i="38"/>
  <c r="R94" i="38"/>
  <c r="R64" i="38"/>
  <c r="R95" i="38"/>
  <c r="R73" i="38"/>
  <c r="R86" i="38"/>
  <c r="R91" i="38"/>
  <c r="R71" i="38"/>
  <c r="M89" i="38"/>
  <c r="R84" i="38"/>
  <c r="R68" i="38"/>
  <c r="N84" i="38"/>
  <c r="N55" i="38"/>
  <c r="M17" i="38"/>
  <c r="N18" i="38"/>
  <c r="E56" i="38"/>
  <c r="E16" i="38"/>
  <c r="E61" i="38" s="1"/>
  <c r="D16" i="38"/>
  <c r="D61" i="38" s="1"/>
  <c r="D56" i="38"/>
  <c r="AW77" i="7" l="1"/>
  <c r="AZ36" i="59" s="1"/>
  <c r="BE76" i="7"/>
  <c r="BE77" i="7" s="1"/>
  <c r="BH36" i="59" s="1"/>
  <c r="AW132" i="8"/>
  <c r="AW51" i="8" s="1"/>
  <c r="AJ88" i="45"/>
  <c r="AP87" i="45"/>
  <c r="Y32" i="38"/>
  <c r="Y81" i="38" s="1"/>
  <c r="AC81" i="38"/>
  <c r="Y35" i="38"/>
  <c r="Y84" i="38" s="1"/>
  <c r="AC84" i="38"/>
  <c r="AC56" i="38"/>
  <c r="Y14" i="38"/>
  <c r="Y63" i="38" s="1"/>
  <c r="AC63" i="38"/>
  <c r="Y39" i="38"/>
  <c r="AC88" i="38"/>
  <c r="Y22" i="38"/>
  <c r="Y71" i="38" s="1"/>
  <c r="AC71" i="38"/>
  <c r="Y41" i="38"/>
  <c r="Y90" i="38" s="1"/>
  <c r="AC90" i="38"/>
  <c r="Y47" i="38"/>
  <c r="Y96" i="38" s="1"/>
  <c r="AC96" i="38"/>
  <c r="Y42" i="38"/>
  <c r="Y91" i="38" s="1"/>
  <c r="AC91" i="38"/>
  <c r="Y27" i="38"/>
  <c r="Y76" i="38" s="1"/>
  <c r="AC76" i="38"/>
  <c r="Y15" i="38"/>
  <c r="Y64" i="38" s="1"/>
  <c r="AC64" i="38"/>
  <c r="Y21" i="38"/>
  <c r="Y70" i="38" s="1"/>
  <c r="AC70" i="38"/>
  <c r="Y24" i="38"/>
  <c r="Y73" i="38" s="1"/>
  <c r="AC73" i="38"/>
  <c r="Z41" i="38"/>
  <c r="AD90" i="38"/>
  <c r="Y28" i="38"/>
  <c r="Y77" i="38" s="1"/>
  <c r="AC77" i="38"/>
  <c r="Y31" i="38"/>
  <c r="Y80" i="38" s="1"/>
  <c r="AC80" i="38"/>
  <c r="Y23" i="38"/>
  <c r="Y72" i="38" s="1"/>
  <c r="Y36" i="38"/>
  <c r="U160" i="6" s="1"/>
  <c r="U161" i="6" s="1"/>
  <c r="AC57" i="38"/>
  <c r="Y38" i="38"/>
  <c r="Y87" i="38" s="1"/>
  <c r="AC87" i="38"/>
  <c r="Y33" i="38"/>
  <c r="Y82" i="38" s="1"/>
  <c r="AC82" i="38"/>
  <c r="Y20" i="38"/>
  <c r="Y69" i="38" s="1"/>
  <c r="AC58" i="38"/>
  <c r="Z6" i="38"/>
  <c r="Y30" i="38"/>
  <c r="Y79" i="38" s="1"/>
  <c r="AC79" i="38"/>
  <c r="Y88" i="38"/>
  <c r="Y75" i="38"/>
  <c r="Y95" i="38"/>
  <c r="Y78" i="38"/>
  <c r="Y86" i="38"/>
  <c r="Y74" i="38"/>
  <c r="Y94" i="38"/>
  <c r="Y93" i="38"/>
  <c r="Y52" i="38"/>
  <c r="Q160" i="6"/>
  <c r="Q161" i="6" s="1"/>
  <c r="Q85" i="8"/>
  <c r="Q86" i="8" s="1"/>
  <c r="Q186" i="6"/>
  <c r="Q187" i="6" s="1"/>
  <c r="V68" i="38"/>
  <c r="U79" i="38"/>
  <c r="U70" i="38"/>
  <c r="V18" i="38"/>
  <c r="Z18" i="38" s="1"/>
  <c r="U64" i="38"/>
  <c r="N92" i="38"/>
  <c r="AE3" i="38"/>
  <c r="AI3" i="38" s="1"/>
  <c r="R88" i="45"/>
  <c r="V52" i="38"/>
  <c r="Z3" i="38"/>
  <c r="V88" i="38"/>
  <c r="V81" i="38"/>
  <c r="V73" i="38"/>
  <c r="V59" i="38"/>
  <c r="V94" i="38"/>
  <c r="V56" i="38"/>
  <c r="V93" i="38"/>
  <c r="V80" i="38"/>
  <c r="V72" i="38"/>
  <c r="V58" i="38"/>
  <c r="V82" i="38"/>
  <c r="V96" i="38"/>
  <c r="V85" i="38"/>
  <c r="V75" i="38"/>
  <c r="V63" i="38"/>
  <c r="V78" i="38"/>
  <c r="V87" i="38"/>
  <c r="V77" i="38"/>
  <c r="V69" i="38"/>
  <c r="V74" i="38"/>
  <c r="V86" i="38"/>
  <c r="V76" i="38"/>
  <c r="V64" i="38"/>
  <c r="V95" i="38"/>
  <c r="V70" i="38"/>
  <c r="V91" i="38"/>
  <c r="V79" i="38"/>
  <c r="V71" i="38"/>
  <c r="V57" i="38"/>
  <c r="V55" i="38"/>
  <c r="R62" i="38"/>
  <c r="V13" i="38"/>
  <c r="Q68" i="38"/>
  <c r="U19" i="38"/>
  <c r="U77" i="38"/>
  <c r="U80" i="38"/>
  <c r="U90" i="38"/>
  <c r="U96" i="38"/>
  <c r="U91" i="38"/>
  <c r="Q89" i="38"/>
  <c r="U40" i="38"/>
  <c r="Q92" i="38"/>
  <c r="U43" i="38"/>
  <c r="U76" i="38"/>
  <c r="U73" i="38"/>
  <c r="V90" i="38"/>
  <c r="U88" i="38"/>
  <c r="U71" i="38"/>
  <c r="R67" i="38"/>
  <c r="R92" i="38"/>
  <c r="V43" i="38"/>
  <c r="Q62" i="38"/>
  <c r="U13" i="38"/>
  <c r="U81" i="38"/>
  <c r="U84" i="38"/>
  <c r="U72" i="38"/>
  <c r="U85" i="38"/>
  <c r="U63" i="38"/>
  <c r="U87" i="38"/>
  <c r="U82" i="38"/>
  <c r="U69" i="38"/>
  <c r="M66" i="38"/>
  <c r="M67" i="38"/>
  <c r="N40" i="38"/>
  <c r="N67" i="38"/>
  <c r="N16" i="38"/>
  <c r="AM3" i="38" l="1"/>
  <c r="AI52" i="38"/>
  <c r="AI93" i="38"/>
  <c r="AI86" i="38"/>
  <c r="AI81" i="38"/>
  <c r="AI74" i="38"/>
  <c r="AI79" i="38"/>
  <c r="AI77" i="38"/>
  <c r="AI75" i="38"/>
  <c r="AI72" i="38"/>
  <c r="AI88" i="38"/>
  <c r="AI82" i="38"/>
  <c r="AI80" i="38"/>
  <c r="AI87" i="38"/>
  <c r="AI78" i="38"/>
  <c r="AI96" i="38"/>
  <c r="AI64" i="38"/>
  <c r="AI70" i="38"/>
  <c r="AI95" i="38"/>
  <c r="AI73" i="38"/>
  <c r="AI71" i="38"/>
  <c r="AI76" i="38"/>
  <c r="AI94" i="38"/>
  <c r="AI63" i="38"/>
  <c r="AI91" i="38"/>
  <c r="AI90" i="38"/>
  <c r="AI92" i="38"/>
  <c r="AI62" i="38"/>
  <c r="AI84" i="38"/>
  <c r="AI69" i="38"/>
  <c r="AI85" i="38"/>
  <c r="AI68" i="38"/>
  <c r="AI89" i="38"/>
  <c r="AI67" i="38"/>
  <c r="AI66" i="38"/>
  <c r="AP88" i="45"/>
  <c r="AT87" i="45"/>
  <c r="Y85" i="38"/>
  <c r="U85" i="8"/>
  <c r="U86" i="8" s="1"/>
  <c r="Z90" i="38"/>
  <c r="AD55" i="38"/>
  <c r="AF6" i="38"/>
  <c r="AJ6" i="38" s="1"/>
  <c r="AC72" i="38"/>
  <c r="Y86" i="8"/>
  <c r="Z13" i="38"/>
  <c r="Z62" i="38" s="1"/>
  <c r="AD62" i="38"/>
  <c r="Y13" i="38"/>
  <c r="Y62" i="38" s="1"/>
  <c r="AC62" i="38"/>
  <c r="Y40" i="38"/>
  <c r="Y89" i="38" s="1"/>
  <c r="AC89" i="38"/>
  <c r="Z43" i="38"/>
  <c r="Z92" i="38" s="1"/>
  <c r="AD92" i="38"/>
  <c r="Y43" i="38"/>
  <c r="Y92" i="38" s="1"/>
  <c r="AC92" i="38"/>
  <c r="Y19" i="38"/>
  <c r="Y68" i="38" s="1"/>
  <c r="AC68" i="38"/>
  <c r="AC69" i="38"/>
  <c r="Y186" i="6"/>
  <c r="Y187" i="6" s="1"/>
  <c r="AC85" i="38"/>
  <c r="Y160" i="6"/>
  <c r="Y161" i="6" s="1"/>
  <c r="Z67" i="38"/>
  <c r="Z94" i="38"/>
  <c r="Z73" i="38"/>
  <c r="Z80" i="38"/>
  <c r="Z96" i="38"/>
  <c r="Z71" i="38"/>
  <c r="Z88" i="38"/>
  <c r="Z70" i="38"/>
  <c r="Z87" i="38"/>
  <c r="Z59" i="38"/>
  <c r="Z76" i="38"/>
  <c r="Z91" i="38"/>
  <c r="Z63" i="38"/>
  <c r="Z82" i="38"/>
  <c r="Z81" i="38"/>
  <c r="Z93" i="38"/>
  <c r="Z64" i="38"/>
  <c r="Z79" i="38"/>
  <c r="Z57" i="38"/>
  <c r="Z78" i="38"/>
  <c r="Z56" i="38"/>
  <c r="Z77" i="38"/>
  <c r="Z86" i="38"/>
  <c r="Z58" i="38"/>
  <c r="Z75" i="38"/>
  <c r="Z95" i="38"/>
  <c r="Z74" i="38"/>
  <c r="Z72" i="38"/>
  <c r="Z85" i="38"/>
  <c r="Z69" i="38"/>
  <c r="Z84" i="38"/>
  <c r="Z68" i="38"/>
  <c r="Z55" i="38"/>
  <c r="Z52" i="38"/>
  <c r="U186" i="6"/>
  <c r="U187" i="6" s="1"/>
  <c r="AE86" i="38"/>
  <c r="AE79" i="38"/>
  <c r="AE75" i="38"/>
  <c r="AE74" i="38"/>
  <c r="AE52" i="38"/>
  <c r="AE70" i="38"/>
  <c r="AE64" i="38"/>
  <c r="AE94" i="38"/>
  <c r="AF3" i="38"/>
  <c r="AJ3" i="38" s="1"/>
  <c r="AE93" i="38"/>
  <c r="AE78" i="38"/>
  <c r="AE95" i="38"/>
  <c r="Q66" i="38"/>
  <c r="U17" i="38"/>
  <c r="U92" i="38"/>
  <c r="V62" i="38"/>
  <c r="Q67" i="38"/>
  <c r="U18" i="38"/>
  <c r="Y18" i="38" s="1"/>
  <c r="U62" i="38"/>
  <c r="V67" i="38"/>
  <c r="U89" i="38"/>
  <c r="V92" i="38"/>
  <c r="U68" i="38"/>
  <c r="N89" i="38"/>
  <c r="N17" i="38"/>
  <c r="N65" i="38"/>
  <c r="AT88" i="45" l="1"/>
  <c r="AX87" i="45"/>
  <c r="AJ52" i="38"/>
  <c r="AN3" i="38"/>
  <c r="AJ57" i="38"/>
  <c r="AJ64" i="38"/>
  <c r="AJ72" i="38"/>
  <c r="AJ82" i="38"/>
  <c r="AJ76" i="38"/>
  <c r="AJ58" i="38"/>
  <c r="AJ80" i="38"/>
  <c r="AJ59" i="38"/>
  <c r="AJ73" i="38"/>
  <c r="AJ70" i="38"/>
  <c r="AJ77" i="38"/>
  <c r="AJ75" i="38"/>
  <c r="AJ79" i="38"/>
  <c r="AJ81" i="38"/>
  <c r="AJ71" i="38"/>
  <c r="AJ78" i="38"/>
  <c r="AJ74" i="38"/>
  <c r="AJ94" i="38"/>
  <c r="AJ63" i="38"/>
  <c r="AJ93" i="38"/>
  <c r="AJ56" i="38"/>
  <c r="AJ88" i="38"/>
  <c r="AJ96" i="38"/>
  <c r="AJ85" i="38"/>
  <c r="AJ87" i="38"/>
  <c r="AJ95" i="38"/>
  <c r="AJ86" i="38"/>
  <c r="AJ69" i="38"/>
  <c r="AJ91" i="38"/>
  <c r="AJ68" i="38"/>
  <c r="AJ84" i="38"/>
  <c r="AJ92" i="38"/>
  <c r="AJ90" i="38"/>
  <c r="AJ62" i="38"/>
  <c r="AJ89" i="38"/>
  <c r="AJ67" i="38"/>
  <c r="AJ66" i="38"/>
  <c r="AJ55" i="38"/>
  <c r="AN6" i="38"/>
  <c r="AM52" i="38"/>
  <c r="AS3" i="38"/>
  <c r="AM87" i="38"/>
  <c r="AM86" i="38"/>
  <c r="AM79" i="38"/>
  <c r="AM82" i="38"/>
  <c r="AM73" i="38"/>
  <c r="AM70" i="38"/>
  <c r="AM71" i="38"/>
  <c r="AM80" i="38"/>
  <c r="AM94" i="38"/>
  <c r="AM96" i="38"/>
  <c r="AM88" i="38"/>
  <c r="AM64" i="38"/>
  <c r="AM93" i="38"/>
  <c r="AM77" i="38"/>
  <c r="AM81" i="38"/>
  <c r="AM78" i="38"/>
  <c r="AM75" i="38"/>
  <c r="AM74" i="38"/>
  <c r="AM76" i="38"/>
  <c r="AM95" i="38"/>
  <c r="AM63" i="38"/>
  <c r="AM72" i="38"/>
  <c r="AM62" i="38"/>
  <c r="AM90" i="38"/>
  <c r="AM85" i="38"/>
  <c r="AM92" i="38"/>
  <c r="AM91" i="38"/>
  <c r="AM84" i="38"/>
  <c r="AM68" i="38"/>
  <c r="AM69" i="38"/>
  <c r="AM89" i="38"/>
  <c r="AM67" i="38"/>
  <c r="AM66" i="38"/>
  <c r="AC65" i="38"/>
  <c r="AC55" i="38"/>
  <c r="Y17" i="38"/>
  <c r="Y66" i="38" s="1"/>
  <c r="AC66" i="38"/>
  <c r="Y67" i="38"/>
  <c r="AA160" i="6"/>
  <c r="AA186" i="6"/>
  <c r="AE91" i="38"/>
  <c r="AF90" i="38"/>
  <c r="AE84" i="38"/>
  <c r="AE63" i="38"/>
  <c r="AE96" i="38"/>
  <c r="AE85" i="38"/>
  <c r="AE87" i="38"/>
  <c r="AE77" i="38"/>
  <c r="AE71" i="38"/>
  <c r="AE88" i="38"/>
  <c r="AF52" i="38"/>
  <c r="AF88" i="38"/>
  <c r="AF72" i="38"/>
  <c r="AF85" i="38"/>
  <c r="AF69" i="38"/>
  <c r="AF79" i="38"/>
  <c r="AF81" i="38"/>
  <c r="AF87" i="38"/>
  <c r="AF70" i="38"/>
  <c r="AF73" i="38"/>
  <c r="AF78" i="38"/>
  <c r="AF91" i="38"/>
  <c r="AF56" i="38"/>
  <c r="AF58" i="38"/>
  <c r="AF77" i="38"/>
  <c r="AF76" i="38"/>
  <c r="AF71" i="38"/>
  <c r="AF59" i="38"/>
  <c r="AF82" i="38"/>
  <c r="AF63" i="38"/>
  <c r="AF64" i="38"/>
  <c r="AF93" i="38"/>
  <c r="AF86" i="38"/>
  <c r="AF57" i="38"/>
  <c r="AF96" i="38"/>
  <c r="AF94" i="38"/>
  <c r="AF80" i="38"/>
  <c r="AF75" i="38"/>
  <c r="AF74" i="38"/>
  <c r="AF95" i="38"/>
  <c r="AF55" i="38"/>
  <c r="AF68" i="38"/>
  <c r="AE82" i="38"/>
  <c r="AE73" i="38"/>
  <c r="AE81" i="38"/>
  <c r="AE69" i="38"/>
  <c r="AE90" i="38"/>
  <c r="AE76" i="38"/>
  <c r="AE72" i="38"/>
  <c r="AE80" i="38"/>
  <c r="AF84" i="38"/>
  <c r="U67" i="38"/>
  <c r="U66" i="38"/>
  <c r="R65" i="38"/>
  <c r="V16" i="38"/>
  <c r="R89" i="38"/>
  <c r="V40" i="38"/>
  <c r="N66" i="38"/>
  <c r="AX88" i="45" l="1"/>
  <c r="BF87" i="45"/>
  <c r="BF88" i="45" s="1"/>
  <c r="AS52" i="38"/>
  <c r="AW3" i="38"/>
  <c r="BA3" i="38" s="1"/>
  <c r="BI3" i="38" s="1"/>
  <c r="AS72" i="38"/>
  <c r="AS76" i="38"/>
  <c r="AS78" i="38"/>
  <c r="AS77" i="38"/>
  <c r="AS85" i="38"/>
  <c r="AS96" i="38"/>
  <c r="AS73" i="38"/>
  <c r="AS63" i="38"/>
  <c r="AS93" i="38"/>
  <c r="AS80" i="38"/>
  <c r="AS70" i="38"/>
  <c r="AS82" i="38"/>
  <c r="AS86" i="38"/>
  <c r="AS69" i="38"/>
  <c r="AS88" i="38"/>
  <c r="AS79" i="38"/>
  <c r="AS95" i="38"/>
  <c r="AS75" i="38"/>
  <c r="AS81" i="38"/>
  <c r="AS64" i="38"/>
  <c r="AS94" i="38"/>
  <c r="AS74" i="38"/>
  <c r="AS71" i="38"/>
  <c r="AS87" i="38"/>
  <c r="AS90" i="38"/>
  <c r="AS92" i="38"/>
  <c r="AS68" i="38"/>
  <c r="AS91" i="38"/>
  <c r="AS62" i="38"/>
  <c r="AS84" i="38"/>
  <c r="AS89" i="38"/>
  <c r="AS67" i="38"/>
  <c r="AS66" i="38"/>
  <c r="AT6" i="38"/>
  <c r="AN55" i="38"/>
  <c r="AN52" i="38"/>
  <c r="AT3" i="38"/>
  <c r="AN72" i="38"/>
  <c r="AN57" i="38"/>
  <c r="AN64" i="38"/>
  <c r="AN71" i="38"/>
  <c r="AN78" i="38"/>
  <c r="AN73" i="38"/>
  <c r="AN58" i="38"/>
  <c r="AN76" i="38"/>
  <c r="AN74" i="38"/>
  <c r="AN77" i="38"/>
  <c r="AN75" i="38"/>
  <c r="AN81" i="38"/>
  <c r="AN70" i="38"/>
  <c r="AN59" i="38"/>
  <c r="AN80" i="38"/>
  <c r="AN82" i="38"/>
  <c r="AN79" i="38"/>
  <c r="AN88" i="38"/>
  <c r="AN86" i="38"/>
  <c r="AN87" i="38"/>
  <c r="AN69" i="38"/>
  <c r="AN96" i="38"/>
  <c r="AN56" i="38"/>
  <c r="AN63" i="38"/>
  <c r="AN91" i="38"/>
  <c r="AN94" i="38"/>
  <c r="AN95" i="38"/>
  <c r="AN85" i="38"/>
  <c r="AN93" i="38"/>
  <c r="AN68" i="38"/>
  <c r="AN90" i="38"/>
  <c r="AN84" i="38"/>
  <c r="AN62" i="38"/>
  <c r="AN92" i="38"/>
  <c r="AN89" i="38"/>
  <c r="AN67" i="38"/>
  <c r="AN66" i="38"/>
  <c r="Z40" i="38"/>
  <c r="Z89" i="38" s="1"/>
  <c r="AD89" i="38"/>
  <c r="Z16" i="38"/>
  <c r="Z65" i="38" s="1"/>
  <c r="AF92" i="38"/>
  <c r="AE62" i="38"/>
  <c r="AE92" i="38"/>
  <c r="AF67" i="38"/>
  <c r="AF62" i="38"/>
  <c r="AE89" i="38"/>
  <c r="AE68" i="38"/>
  <c r="V65" i="38"/>
  <c r="R66" i="38"/>
  <c r="V17" i="38"/>
  <c r="V89" i="38"/>
  <c r="J19" i="22"/>
  <c r="J18" i="22"/>
  <c r="J17" i="22"/>
  <c r="J16" i="22"/>
  <c r="J30" i="22"/>
  <c r="J31" i="22"/>
  <c r="H64" i="22"/>
  <c r="H65" i="22" s="1"/>
  <c r="H66" i="22" s="1"/>
  <c r="H51" i="22"/>
  <c r="H53" i="22" s="1"/>
  <c r="H55" i="22" s="1"/>
  <c r="H56" i="22" s="1"/>
  <c r="H59" i="22"/>
  <c r="H60" i="22" s="1"/>
  <c r="H61" i="22" s="1"/>
  <c r="H43" i="22"/>
  <c r="H45" i="22" s="1"/>
  <c r="H47" i="22" s="1"/>
  <c r="H48" i="22" s="1"/>
  <c r="BI52" i="38" l="1"/>
  <c r="BI72" i="38"/>
  <c r="BI70" i="38"/>
  <c r="BI64" i="38"/>
  <c r="BI94" i="38"/>
  <c r="BI87" i="38"/>
  <c r="BI69" i="38"/>
  <c r="BI76" i="38"/>
  <c r="BI86" i="38"/>
  <c r="BI81" i="38"/>
  <c r="BI63" i="38"/>
  <c r="BI95" i="38"/>
  <c r="BI80" i="38"/>
  <c r="BI71" i="38"/>
  <c r="BI73" i="38"/>
  <c r="BI74" i="38"/>
  <c r="BI77" i="38"/>
  <c r="BI82" i="38"/>
  <c r="BI88" i="38"/>
  <c r="BI85" i="38"/>
  <c r="BI93" i="38"/>
  <c r="BI96" i="38"/>
  <c r="BI79" i="38"/>
  <c r="BI78" i="38"/>
  <c r="BI75" i="38"/>
  <c r="BI92" i="38"/>
  <c r="BI90" i="38"/>
  <c r="BI84" i="38"/>
  <c r="BI68" i="38"/>
  <c r="BI62" i="38"/>
  <c r="BI91" i="38"/>
  <c r="BI89" i="38"/>
  <c r="BI67" i="38"/>
  <c r="BI66" i="38"/>
  <c r="BA52" i="38"/>
  <c r="BA72" i="38"/>
  <c r="BA81" i="38"/>
  <c r="BA63" i="38"/>
  <c r="BA87" i="38"/>
  <c r="BA71" i="38"/>
  <c r="BA85" i="38"/>
  <c r="BA82" i="38"/>
  <c r="BA74" i="38"/>
  <c r="BA86" i="38"/>
  <c r="BA78" i="38"/>
  <c r="BA93" i="38"/>
  <c r="BA64" i="38"/>
  <c r="BA80" i="38"/>
  <c r="BA73" i="38"/>
  <c r="BA76" i="38"/>
  <c r="BA79" i="38"/>
  <c r="BA77" i="38"/>
  <c r="BA96" i="38"/>
  <c r="BA94" i="38"/>
  <c r="BA70" i="38"/>
  <c r="BA69" i="38"/>
  <c r="BA75" i="38"/>
  <c r="BA88" i="38"/>
  <c r="BA95" i="38"/>
  <c r="BA62" i="38"/>
  <c r="BA90" i="38"/>
  <c r="BA84" i="38"/>
  <c r="BA91" i="38"/>
  <c r="BA68" i="38"/>
  <c r="BA92" i="38"/>
  <c r="BA89" i="38"/>
  <c r="BA67" i="38"/>
  <c r="BA66" i="38"/>
  <c r="AT55" i="38"/>
  <c r="AX6" i="38"/>
  <c r="BB6" i="38" s="1"/>
  <c r="AX3" i="38"/>
  <c r="BB3" i="38" s="1"/>
  <c r="BJ3" i="38" s="1"/>
  <c r="AT52" i="38"/>
  <c r="AT64" i="38"/>
  <c r="AT57" i="38"/>
  <c r="AT72" i="38"/>
  <c r="AT79" i="38"/>
  <c r="AT76" i="38"/>
  <c r="AT82" i="38"/>
  <c r="AT80" i="38"/>
  <c r="AT81" i="38"/>
  <c r="AT73" i="38"/>
  <c r="AT78" i="38"/>
  <c r="AT71" i="38"/>
  <c r="AT75" i="38"/>
  <c r="AT58" i="38"/>
  <c r="AT59" i="38"/>
  <c r="AT77" i="38"/>
  <c r="AT74" i="38"/>
  <c r="AT70" i="38"/>
  <c r="AT94" i="38"/>
  <c r="AT88" i="38"/>
  <c r="AT85" i="38"/>
  <c r="AT95" i="38"/>
  <c r="AT63" i="38"/>
  <c r="AT69" i="38"/>
  <c r="AT93" i="38"/>
  <c r="AT96" i="38"/>
  <c r="AT86" i="38"/>
  <c r="AT87" i="38"/>
  <c r="AT91" i="38"/>
  <c r="AT56" i="38"/>
  <c r="AT68" i="38"/>
  <c r="AT62" i="38"/>
  <c r="AT92" i="38"/>
  <c r="AT90" i="38"/>
  <c r="AT67" i="38"/>
  <c r="AT84" i="38"/>
  <c r="AT89" i="38"/>
  <c r="AT66" i="38"/>
  <c r="AW52" i="38"/>
  <c r="AW72" i="38"/>
  <c r="AW70" i="38"/>
  <c r="AW93" i="38"/>
  <c r="AW78" i="38"/>
  <c r="AW63" i="38"/>
  <c r="AW79" i="38"/>
  <c r="AW96" i="38"/>
  <c r="AW80" i="38"/>
  <c r="AW85" i="38"/>
  <c r="AW76" i="38"/>
  <c r="AW73" i="38"/>
  <c r="AW88" i="38"/>
  <c r="AW69" i="38"/>
  <c r="AW86" i="38"/>
  <c r="AW81" i="38"/>
  <c r="AW71" i="38"/>
  <c r="AW74" i="38"/>
  <c r="AW75" i="38"/>
  <c r="AW82" i="38"/>
  <c r="AW64" i="38"/>
  <c r="AW77" i="38"/>
  <c r="AW95" i="38"/>
  <c r="AW87" i="38"/>
  <c r="AW94" i="38"/>
  <c r="AW68" i="38"/>
  <c r="AW92" i="38"/>
  <c r="AW62" i="38"/>
  <c r="AW91" i="38"/>
  <c r="AW84" i="38"/>
  <c r="AW90" i="38"/>
  <c r="AW67" i="38"/>
  <c r="AW89" i="38"/>
  <c r="AW66" i="38"/>
  <c r="AD65" i="38"/>
  <c r="AF16" i="38"/>
  <c r="AJ16" i="38" s="1"/>
  <c r="Z17" i="38"/>
  <c r="Z66" i="38" s="1"/>
  <c r="AD66" i="38"/>
  <c r="AE66" i="38"/>
  <c r="AE67" i="38"/>
  <c r="V66" i="38"/>
  <c r="BJ52" i="38" l="1"/>
  <c r="BJ57" i="38"/>
  <c r="BJ72" i="38"/>
  <c r="BJ64" i="38"/>
  <c r="BJ81" i="38"/>
  <c r="BJ80" i="38"/>
  <c r="BJ58" i="38"/>
  <c r="BJ70" i="38"/>
  <c r="BJ78" i="38"/>
  <c r="BJ74" i="38"/>
  <c r="BJ59" i="38"/>
  <c r="BJ71" i="38"/>
  <c r="BJ79" i="38"/>
  <c r="BJ75" i="38"/>
  <c r="BJ82" i="38"/>
  <c r="BJ73" i="38"/>
  <c r="BJ77" i="38"/>
  <c r="BJ76" i="38"/>
  <c r="BJ56" i="38"/>
  <c r="BJ88" i="38"/>
  <c r="BJ95" i="38"/>
  <c r="BJ93" i="38"/>
  <c r="BJ96" i="38"/>
  <c r="BJ63" i="38"/>
  <c r="BJ69" i="38"/>
  <c r="BJ94" i="38"/>
  <c r="BJ85" i="38"/>
  <c r="BJ86" i="38"/>
  <c r="BJ87" i="38"/>
  <c r="BJ91" i="38"/>
  <c r="BJ68" i="38"/>
  <c r="BJ90" i="38"/>
  <c r="BJ84" i="38"/>
  <c r="BJ67" i="38"/>
  <c r="BJ92" i="38"/>
  <c r="BJ62" i="38"/>
  <c r="BJ89" i="38"/>
  <c r="BJ66" i="38"/>
  <c r="BB55" i="38"/>
  <c r="BJ6" i="38"/>
  <c r="BJ55" i="38" s="1"/>
  <c r="BB52" i="38"/>
  <c r="BB57" i="38"/>
  <c r="BB64" i="38"/>
  <c r="BB72" i="38"/>
  <c r="BB81" i="38"/>
  <c r="BB80" i="38"/>
  <c r="BB75" i="38"/>
  <c r="BB59" i="38"/>
  <c r="BB73" i="38"/>
  <c r="BB76" i="38"/>
  <c r="BB79" i="38"/>
  <c r="BB58" i="38"/>
  <c r="BB71" i="38"/>
  <c r="BB82" i="38"/>
  <c r="BB78" i="38"/>
  <c r="BB70" i="38"/>
  <c r="BB74" i="38"/>
  <c r="BB77" i="38"/>
  <c r="BB87" i="38"/>
  <c r="BB86" i="38"/>
  <c r="BB69" i="38"/>
  <c r="BB94" i="38"/>
  <c r="BB85" i="38"/>
  <c r="BB63" i="38"/>
  <c r="BB96" i="38"/>
  <c r="BB93" i="38"/>
  <c r="BB88" i="38"/>
  <c r="BB95" i="38"/>
  <c r="BB56" i="38"/>
  <c r="BB91" i="38"/>
  <c r="BB68" i="38"/>
  <c r="BB90" i="38"/>
  <c r="BB84" i="38"/>
  <c r="BB67" i="38"/>
  <c r="BB92" i="38"/>
  <c r="BB62" i="38"/>
  <c r="BB89" i="38"/>
  <c r="BB66" i="38"/>
  <c r="AX52" i="38"/>
  <c r="AX64" i="38"/>
  <c r="AX57" i="38"/>
  <c r="AX72" i="38"/>
  <c r="AX58" i="38"/>
  <c r="AX75" i="38"/>
  <c r="AX78" i="38"/>
  <c r="AX81" i="38"/>
  <c r="AX70" i="38"/>
  <c r="AX79" i="38"/>
  <c r="AX73" i="38"/>
  <c r="AX59" i="38"/>
  <c r="AX76" i="38"/>
  <c r="AX77" i="38"/>
  <c r="AX71" i="38"/>
  <c r="AX74" i="38"/>
  <c r="AX82" i="38"/>
  <c r="AX80" i="38"/>
  <c r="AX86" i="38"/>
  <c r="AX93" i="38"/>
  <c r="AX85" i="38"/>
  <c r="AX56" i="38"/>
  <c r="AX69" i="38"/>
  <c r="AX63" i="38"/>
  <c r="AX91" i="38"/>
  <c r="AX87" i="38"/>
  <c r="AX88" i="38"/>
  <c r="AX95" i="38"/>
  <c r="AX96" i="38"/>
  <c r="AX94" i="38"/>
  <c r="AX68" i="38"/>
  <c r="AX92" i="38"/>
  <c r="AX67" i="38"/>
  <c r="AX62" i="38"/>
  <c r="AX84" i="38"/>
  <c r="AX90" i="38"/>
  <c r="AX89" i="38"/>
  <c r="AX66" i="38"/>
  <c r="AX55" i="38"/>
  <c r="AJ65" i="38"/>
  <c r="AN16" i="38"/>
  <c r="AF89" i="38"/>
  <c r="AF65" i="38"/>
  <c r="AN65" i="38" l="1"/>
  <c r="AT16" i="38"/>
  <c r="AF66" i="38"/>
  <c r="AT65" i="38" l="1"/>
  <c r="AX16" i="38"/>
  <c r="I58" i="59"/>
  <c r="AX65" i="38" l="1"/>
  <c r="BB16" i="38"/>
  <c r="J31" i="36"/>
  <c r="I31" i="36"/>
  <c r="BB65" i="38" l="1"/>
  <c r="BJ16" i="38"/>
  <c r="AA46" i="36"/>
  <c r="AA43" i="36"/>
  <c r="AA45" i="36" s="1"/>
  <c r="BJ65" i="38" l="1"/>
  <c r="AA40" i="36"/>
  <c r="AA42" i="36" l="1"/>
  <c r="F17" i="36" l="1"/>
  <c r="I48" i="59" s="1"/>
  <c r="F16" i="36"/>
  <c r="I47" i="59" s="1"/>
  <c r="BE46" i="36" l="1"/>
  <c r="BE43" i="36"/>
  <c r="BE45" i="36" s="1"/>
  <c r="BC42" i="36"/>
  <c r="BN28" i="21" l="1"/>
  <c r="BM28" i="21"/>
  <c r="BN24" i="21"/>
  <c r="BN25" i="21" s="1"/>
  <c r="BM22" i="21"/>
  <c r="BM15" i="21"/>
  <c r="BE40" i="36" l="1"/>
  <c r="BE42" i="36" s="1"/>
  <c r="J23" i="21" l="1"/>
  <c r="I46" i="35"/>
  <c r="I47" i="35"/>
  <c r="I42" i="35"/>
  <c r="Q42" i="35" s="1"/>
  <c r="U42" i="35" s="1"/>
  <c r="J42" i="35"/>
  <c r="R42" i="35" s="1"/>
  <c r="V42" i="35" s="1"/>
  <c r="I43" i="35"/>
  <c r="Q43" i="35" s="1"/>
  <c r="U43" i="35" s="1"/>
  <c r="J43" i="35"/>
  <c r="R43" i="35" s="1"/>
  <c r="V43" i="35" s="1"/>
  <c r="I32" i="35"/>
  <c r="I33" i="35"/>
  <c r="Q33" i="35" s="1"/>
  <c r="U33" i="35" s="1"/>
  <c r="J33" i="35"/>
  <c r="R33" i="35" s="1"/>
  <c r="V33" i="35" l="1"/>
  <c r="N26" i="9"/>
  <c r="I34" i="35"/>
  <c r="I44" i="35" s="1"/>
  <c r="M34" i="35" l="1"/>
  <c r="Q32" i="35"/>
  <c r="U32" i="35" s="1"/>
  <c r="J49" i="35"/>
  <c r="I49" i="35"/>
  <c r="U34" i="35" l="1"/>
  <c r="U44" i="35" s="1"/>
  <c r="I19" i="35"/>
  <c r="I26" i="9" s="1"/>
  <c r="J19" i="35"/>
  <c r="J26" i="9" s="1"/>
  <c r="Q34" i="35"/>
  <c r="Q44" i="35" s="1"/>
  <c r="J10" i="35"/>
  <c r="J9" i="35"/>
  <c r="J11" i="35" l="1"/>
  <c r="R9" i="35"/>
  <c r="R10" i="35"/>
  <c r="V10" i="35" s="1"/>
  <c r="Q49" i="35"/>
  <c r="U49" i="35" s="1"/>
  <c r="U19" i="35" s="1"/>
  <c r="U26" i="9" s="1"/>
  <c r="V9" i="35" l="1"/>
  <c r="V11" i="35" s="1"/>
  <c r="R11" i="35"/>
  <c r="V49" i="35"/>
  <c r="V19" i="35" s="1"/>
  <c r="V26" i="9" s="1"/>
  <c r="R19" i="35"/>
  <c r="R26" i="9" s="1"/>
  <c r="Q19" i="35"/>
  <c r="Q26" i="9" s="1"/>
  <c r="AA34" i="35"/>
  <c r="AA44" i="35" s="1"/>
  <c r="AA19" i="35" l="1"/>
  <c r="AA26" i="9" s="1"/>
  <c r="E86" i="8"/>
  <c r="AB19" i="35" l="1"/>
  <c r="AB26" i="9" s="1"/>
  <c r="F32" i="36" l="1"/>
  <c r="E32" i="36"/>
  <c r="F18" i="36"/>
  <c r="I49" i="59" s="1"/>
  <c r="J2" i="36"/>
  <c r="I2" i="36"/>
  <c r="Q47" i="35"/>
  <c r="U47" i="35" s="1"/>
  <c r="J47" i="35"/>
  <c r="Q46" i="35"/>
  <c r="U46" i="35" s="1"/>
  <c r="J46" i="35"/>
  <c r="I41" i="35"/>
  <c r="Q41" i="35" s="1"/>
  <c r="U41" i="35" s="1"/>
  <c r="J37" i="35"/>
  <c r="I30" i="35"/>
  <c r="J73" i="45" s="1"/>
  <c r="J112" i="45" s="1"/>
  <c r="J30" i="35"/>
  <c r="K112" i="45" s="1"/>
  <c r="I29" i="35"/>
  <c r="I52" i="11" s="1"/>
  <c r="I28" i="35"/>
  <c r="I125" i="10" s="1"/>
  <c r="I26" i="35"/>
  <c r="J26" i="35"/>
  <c r="I9" i="15" s="1"/>
  <c r="I25" i="35"/>
  <c r="Q25" i="35" s="1"/>
  <c r="U25" i="35" s="1"/>
  <c r="J25" i="35"/>
  <c r="E33" i="36"/>
  <c r="I23" i="35"/>
  <c r="Q23" i="35" s="1"/>
  <c r="U23" i="35" s="1"/>
  <c r="J22" i="35"/>
  <c r="I21" i="35"/>
  <c r="Q21" i="35" s="1"/>
  <c r="U21" i="35" s="1"/>
  <c r="J18" i="35"/>
  <c r="I18" i="35"/>
  <c r="I17" i="35"/>
  <c r="J16" i="35"/>
  <c r="I16" i="35"/>
  <c r="Q16" i="35" s="1"/>
  <c r="U16" i="35" s="1"/>
  <c r="J14" i="35"/>
  <c r="J5" i="36" s="1"/>
  <c r="I14" i="35"/>
  <c r="J13" i="35"/>
  <c r="I13" i="35"/>
  <c r="J2" i="35"/>
  <c r="I2" i="35"/>
  <c r="I124" i="10" l="1"/>
  <c r="I51" i="11"/>
  <c r="I90" i="11"/>
  <c r="I170" i="10"/>
  <c r="J15" i="35"/>
  <c r="I15" i="35"/>
  <c r="J52" i="36"/>
  <c r="J49" i="36"/>
  <c r="J51" i="36"/>
  <c r="J54" i="36"/>
  <c r="E39" i="36"/>
  <c r="E38" i="36"/>
  <c r="J6" i="35"/>
  <c r="J7" i="35"/>
  <c r="J6" i="6" s="1"/>
  <c r="I5" i="9"/>
  <c r="I46" i="36"/>
  <c r="I43" i="36"/>
  <c r="I45" i="36" s="1"/>
  <c r="I40" i="36"/>
  <c r="I42" i="36" s="1"/>
  <c r="J72" i="45"/>
  <c r="J76" i="45"/>
  <c r="J75" i="45"/>
  <c r="E34" i="36"/>
  <c r="M34" i="36" s="1"/>
  <c r="M33" i="36"/>
  <c r="M32" i="36"/>
  <c r="N32" i="36"/>
  <c r="J92" i="45"/>
  <c r="R16" i="35"/>
  <c r="V16" i="35" s="1"/>
  <c r="M6" i="59"/>
  <c r="J13" i="49"/>
  <c r="J5" i="9"/>
  <c r="I17" i="15"/>
  <c r="I26" i="36"/>
  <c r="J26" i="36"/>
  <c r="H49" i="59"/>
  <c r="H9" i="15"/>
  <c r="H17" i="15"/>
  <c r="I39" i="35"/>
  <c r="Q39" i="35" s="1"/>
  <c r="U39" i="35" s="1"/>
  <c r="I37" i="35"/>
  <c r="I31" i="35"/>
  <c r="I35" i="35" s="1"/>
  <c r="J83" i="50" s="1"/>
  <c r="N5" i="36"/>
  <c r="N13" i="49" s="1"/>
  <c r="N14" i="49" s="1"/>
  <c r="N2" i="35"/>
  <c r="M2" i="35"/>
  <c r="I7" i="35"/>
  <c r="I6" i="6" s="1"/>
  <c r="I6" i="35"/>
  <c r="R22" i="35"/>
  <c r="V22" i="35" s="1"/>
  <c r="R25" i="35"/>
  <c r="V25" i="35" s="1"/>
  <c r="R47" i="35"/>
  <c r="V47" i="35" s="1"/>
  <c r="R46" i="35"/>
  <c r="V46" i="35" s="1"/>
  <c r="M2" i="36"/>
  <c r="I32" i="36"/>
  <c r="N2" i="36"/>
  <c r="I33" i="36"/>
  <c r="J32" i="36"/>
  <c r="Q13" i="35"/>
  <c r="J21" i="35"/>
  <c r="J23" i="35"/>
  <c r="R23" i="35" s="1"/>
  <c r="V23" i="35" s="1"/>
  <c r="M5" i="9"/>
  <c r="I22" i="35"/>
  <c r="J28" i="35"/>
  <c r="J170" i="10" s="1"/>
  <c r="R13" i="35"/>
  <c r="Q68" i="59" l="1"/>
  <c r="J53" i="36"/>
  <c r="M53" i="59"/>
  <c r="J73" i="9"/>
  <c r="J76" i="9"/>
  <c r="J75" i="9"/>
  <c r="J78" i="9"/>
  <c r="J77" i="9"/>
  <c r="J74" i="9"/>
  <c r="J79" i="9"/>
  <c r="M76" i="9"/>
  <c r="M72" i="9"/>
  <c r="M75" i="9"/>
  <c r="M78" i="9"/>
  <c r="M73" i="9"/>
  <c r="M77" i="9"/>
  <c r="M74" i="9"/>
  <c r="M79" i="9"/>
  <c r="I76" i="9"/>
  <c r="I78" i="9"/>
  <c r="I73" i="9"/>
  <c r="I75" i="9"/>
  <c r="I74" i="9"/>
  <c r="I77" i="9"/>
  <c r="I79" i="9"/>
  <c r="I39" i="36"/>
  <c r="I38" i="36"/>
  <c r="M38" i="36"/>
  <c r="AA38" i="36" s="1"/>
  <c r="M39" i="36"/>
  <c r="U13" i="35"/>
  <c r="J5" i="6"/>
  <c r="J8" i="35"/>
  <c r="V13" i="35"/>
  <c r="I5" i="6"/>
  <c r="I8" i="35"/>
  <c r="M68" i="59"/>
  <c r="J29" i="36"/>
  <c r="M72" i="59" s="1"/>
  <c r="J27" i="36"/>
  <c r="M70" i="59" s="1"/>
  <c r="N29" i="36"/>
  <c r="M7" i="15" s="1"/>
  <c r="E35" i="36"/>
  <c r="AA33" i="36"/>
  <c r="I34" i="36"/>
  <c r="AA34" i="36" s="1"/>
  <c r="L125" i="26"/>
  <c r="N28" i="36"/>
  <c r="Q71" i="59" s="1"/>
  <c r="N27" i="36"/>
  <c r="N7" i="35"/>
  <c r="N6" i="35"/>
  <c r="Q2" i="35"/>
  <c r="U2" i="35" s="1"/>
  <c r="AA2" i="35" s="1"/>
  <c r="AE2" i="35" s="1"/>
  <c r="AI2" i="35" s="1"/>
  <c r="AO2" i="35" s="1"/>
  <c r="AS2" i="35" s="1"/>
  <c r="AW2" i="35" s="1"/>
  <c r="M6" i="35"/>
  <c r="M7" i="35"/>
  <c r="M33" i="22"/>
  <c r="M104" i="9"/>
  <c r="P52" i="59" s="1"/>
  <c r="M102" i="9"/>
  <c r="Q6" i="59"/>
  <c r="K92" i="45"/>
  <c r="M67" i="59" s="1"/>
  <c r="J23" i="36"/>
  <c r="M65" i="59" s="1"/>
  <c r="N5" i="9"/>
  <c r="N94" i="9" s="1"/>
  <c r="Q34" i="36"/>
  <c r="U34" i="36" s="1"/>
  <c r="Q33" i="36"/>
  <c r="U33" i="36" s="1"/>
  <c r="H69" i="59"/>
  <c r="F83" i="50"/>
  <c r="R2" i="36"/>
  <c r="V2" i="36" s="1"/>
  <c r="Q2" i="36"/>
  <c r="U2" i="36" s="1"/>
  <c r="L67" i="59"/>
  <c r="F33" i="36"/>
  <c r="N26" i="36"/>
  <c r="M26" i="36"/>
  <c r="I45" i="35"/>
  <c r="I51" i="35" s="1"/>
  <c r="Q28" i="35"/>
  <c r="Q30" i="35"/>
  <c r="N16" i="36"/>
  <c r="Q47" i="59" s="1"/>
  <c r="N17" i="36"/>
  <c r="Q48" i="59" s="1"/>
  <c r="R26" i="35"/>
  <c r="Q26" i="35"/>
  <c r="Q29" i="35"/>
  <c r="Q14" i="35"/>
  <c r="U14" i="35" s="1"/>
  <c r="Q18" i="35"/>
  <c r="M31" i="35"/>
  <c r="M35" i="35" s="1"/>
  <c r="N83" i="50" s="1"/>
  <c r="L68" i="59"/>
  <c r="R37" i="35"/>
  <c r="V37" i="35" s="1"/>
  <c r="R2" i="35"/>
  <c r="V2" i="35" s="1"/>
  <c r="Q17" i="35"/>
  <c r="U17" i="35" s="1"/>
  <c r="R14" i="35"/>
  <c r="R15" i="35" s="1"/>
  <c r="R18" i="35"/>
  <c r="R30" i="35"/>
  <c r="I10" i="35"/>
  <c r="J28" i="36"/>
  <c r="M71" i="59" s="1"/>
  <c r="I9" i="35"/>
  <c r="I24" i="35"/>
  <c r="I25" i="36" s="1"/>
  <c r="L69" i="59" s="1"/>
  <c r="J24" i="35"/>
  <c r="U28" i="35" l="1"/>
  <c r="Q125" i="10"/>
  <c r="BE2" i="35"/>
  <c r="BC6" i="35"/>
  <c r="BC5" i="6" s="1"/>
  <c r="E36" i="36"/>
  <c r="E30" i="36" s="1"/>
  <c r="H73" i="59" s="1"/>
  <c r="AE34" i="36"/>
  <c r="AI34" i="36" s="1"/>
  <c r="AO34" i="36" s="1"/>
  <c r="AS34" i="36" s="1"/>
  <c r="AW34" i="36" s="1"/>
  <c r="AE33" i="36"/>
  <c r="AI33" i="36" s="1"/>
  <c r="AO33" i="36" s="1"/>
  <c r="AS33" i="36" s="1"/>
  <c r="AW33" i="36" s="1"/>
  <c r="V30" i="35"/>
  <c r="W112" i="45" s="1"/>
  <c r="S112" i="45"/>
  <c r="I35" i="36"/>
  <c r="I11" i="35"/>
  <c r="Q46" i="36"/>
  <c r="Q43" i="36"/>
  <c r="Q45" i="36" s="1"/>
  <c r="Q40" i="36"/>
  <c r="Q42" i="36" s="1"/>
  <c r="N8" i="35"/>
  <c r="R51" i="36"/>
  <c r="R54" i="36"/>
  <c r="R49" i="36"/>
  <c r="R52" i="36"/>
  <c r="R48" i="36"/>
  <c r="Q53" i="59"/>
  <c r="N78" i="9"/>
  <c r="N73" i="9"/>
  <c r="N76" i="9"/>
  <c r="N75" i="9"/>
  <c r="N77" i="9"/>
  <c r="N72" i="9"/>
  <c r="N74" i="9"/>
  <c r="N79" i="9"/>
  <c r="M8" i="35"/>
  <c r="Q15" i="35"/>
  <c r="U15" i="35"/>
  <c r="P9" i="15"/>
  <c r="U26" i="35"/>
  <c r="T9" i="15" s="1"/>
  <c r="R73" i="45"/>
  <c r="U30" i="35"/>
  <c r="V73" i="45" s="1"/>
  <c r="V112" i="45" s="1"/>
  <c r="Q17" i="15"/>
  <c r="V18" i="35"/>
  <c r="P17" i="15"/>
  <c r="U18" i="35"/>
  <c r="Q9" i="15"/>
  <c r="V26" i="35"/>
  <c r="U9" i="15" s="1"/>
  <c r="V14" i="35"/>
  <c r="R5" i="36"/>
  <c r="Q52" i="11"/>
  <c r="U29" i="35"/>
  <c r="U52" i="11" s="1"/>
  <c r="U90" i="11" s="1"/>
  <c r="AA6" i="35"/>
  <c r="Q72" i="59"/>
  <c r="M35" i="36"/>
  <c r="M36" i="36" s="1"/>
  <c r="R6" i="35"/>
  <c r="Q5" i="9"/>
  <c r="AA7" i="35"/>
  <c r="AE7" i="35" s="1"/>
  <c r="M125" i="26"/>
  <c r="R5" i="9"/>
  <c r="Q70" i="59"/>
  <c r="M6" i="15"/>
  <c r="M5" i="15"/>
  <c r="N33" i="22"/>
  <c r="N104" i="9"/>
  <c r="Q52" i="59" s="1"/>
  <c r="N102" i="9"/>
  <c r="F34" i="36"/>
  <c r="N34" i="36" s="1"/>
  <c r="N33" i="36"/>
  <c r="AA32" i="36"/>
  <c r="P68" i="59"/>
  <c r="J143" i="10"/>
  <c r="J33" i="36"/>
  <c r="AA39" i="36"/>
  <c r="AA2" i="36"/>
  <c r="AE2" i="36" s="1"/>
  <c r="AI2" i="36" s="1"/>
  <c r="AO2" i="36" s="1"/>
  <c r="AB32" i="36"/>
  <c r="AB2" i="36"/>
  <c r="AF2" i="36" s="1"/>
  <c r="AJ2" i="36" s="1"/>
  <c r="AP2" i="36" s="1"/>
  <c r="I6" i="15"/>
  <c r="I5" i="15"/>
  <c r="I7" i="15"/>
  <c r="H7" i="15"/>
  <c r="H6" i="15"/>
  <c r="Q26" i="36"/>
  <c r="T47" i="59"/>
  <c r="R26" i="36"/>
  <c r="R16" i="36"/>
  <c r="U47" i="59" s="1"/>
  <c r="R17" i="36"/>
  <c r="U48" i="59" s="1"/>
  <c r="R32" i="36"/>
  <c r="Q32" i="36"/>
  <c r="Q9" i="35"/>
  <c r="Q37" i="35"/>
  <c r="U37" i="35" s="1"/>
  <c r="U45" i="35" s="1"/>
  <c r="M45" i="35"/>
  <c r="M51" i="35" s="1"/>
  <c r="N5" i="6"/>
  <c r="AB2" i="35"/>
  <c r="AF2" i="35" s="1"/>
  <c r="AJ2" i="35" s="1"/>
  <c r="AP2" i="35" s="1"/>
  <c r="AT2" i="35" s="1"/>
  <c r="AX2" i="35" s="1"/>
  <c r="R7" i="35"/>
  <c r="V7" i="35" s="1"/>
  <c r="N6" i="6"/>
  <c r="Q31" i="35"/>
  <c r="Q35" i="35" s="1"/>
  <c r="R83" i="50" s="1"/>
  <c r="M5" i="6"/>
  <c r="Q6" i="35"/>
  <c r="M6" i="6"/>
  <c r="Q7" i="35"/>
  <c r="U7" i="35" s="1"/>
  <c r="H5" i="15"/>
  <c r="N18" i="36"/>
  <c r="Q49" i="59" s="1"/>
  <c r="N24" i="35"/>
  <c r="R21" i="35"/>
  <c r="V21" i="35" s="1"/>
  <c r="V24" i="35" s="1"/>
  <c r="Q22" i="35"/>
  <c r="U22" i="35" s="1"/>
  <c r="U24" i="35" s="1"/>
  <c r="M24" i="35"/>
  <c r="M25" i="36" s="1"/>
  <c r="P69" i="59" s="1"/>
  <c r="R28" i="35"/>
  <c r="Q124" i="10" l="1"/>
  <c r="U125" i="10"/>
  <c r="BC11" i="6"/>
  <c r="BC7" i="6"/>
  <c r="BF2" i="35"/>
  <c r="I36" i="36"/>
  <c r="I30" i="36" s="1"/>
  <c r="L73" i="59" s="1"/>
  <c r="AT2" i="36"/>
  <c r="AX2" i="36" s="1"/>
  <c r="BF2" i="36" s="1"/>
  <c r="AS2" i="36"/>
  <c r="AW2" i="36" s="1"/>
  <c r="BE2" i="36" s="1"/>
  <c r="AE10" i="35"/>
  <c r="AI7" i="35"/>
  <c r="AE6" i="6"/>
  <c r="AE12" i="6" s="1"/>
  <c r="Q51" i="11"/>
  <c r="Q90" i="11"/>
  <c r="AF32" i="36"/>
  <c r="AJ32" i="36" s="1"/>
  <c r="AE32" i="36"/>
  <c r="R75" i="45"/>
  <c r="T65" i="59" s="1"/>
  <c r="R112" i="45"/>
  <c r="V28" i="35"/>
  <c r="V170" i="10" s="1"/>
  <c r="R170" i="10"/>
  <c r="Q170" i="10"/>
  <c r="AA5" i="6"/>
  <c r="AE6" i="35"/>
  <c r="R53" i="36"/>
  <c r="V32" i="36"/>
  <c r="R50" i="36"/>
  <c r="Q78" i="9"/>
  <c r="Q72" i="9"/>
  <c r="Q76" i="9"/>
  <c r="Q73" i="9"/>
  <c r="Q75" i="9"/>
  <c r="Q74" i="9"/>
  <c r="Q77" i="9"/>
  <c r="Q79" i="9"/>
  <c r="V5" i="9"/>
  <c r="V54" i="36"/>
  <c r="V49" i="36"/>
  <c r="V51" i="36"/>
  <c r="V52" i="36"/>
  <c r="V48" i="36"/>
  <c r="V16" i="36"/>
  <c r="V17" i="36"/>
  <c r="Y48" i="59" s="1"/>
  <c r="V26" i="36"/>
  <c r="U53" i="59"/>
  <c r="R73" i="9"/>
  <c r="R75" i="9"/>
  <c r="R76" i="9"/>
  <c r="R77" i="9"/>
  <c r="R78" i="9"/>
  <c r="R72" i="9"/>
  <c r="R74" i="9"/>
  <c r="R79" i="9"/>
  <c r="T17" i="15"/>
  <c r="U5" i="9"/>
  <c r="U33" i="22" s="1"/>
  <c r="U46" i="36"/>
  <c r="U43" i="36"/>
  <c r="U45" i="36" s="1"/>
  <c r="U40" i="36"/>
  <c r="U42" i="36" s="1"/>
  <c r="U26" i="36"/>
  <c r="V15" i="35"/>
  <c r="V5" i="36"/>
  <c r="V13" i="49" s="1"/>
  <c r="V14" i="49" s="1"/>
  <c r="AA8" i="35"/>
  <c r="Q38" i="36"/>
  <c r="Q39" i="36"/>
  <c r="U32" i="36"/>
  <c r="N19" i="36"/>
  <c r="Q50" i="59" s="1"/>
  <c r="U9" i="35"/>
  <c r="Q102" i="9"/>
  <c r="U6" i="35"/>
  <c r="U8" i="35" s="1"/>
  <c r="Q8" i="35"/>
  <c r="U17" i="15"/>
  <c r="V6" i="35"/>
  <c r="V8" i="35" s="1"/>
  <c r="R8" i="35"/>
  <c r="U51" i="11"/>
  <c r="V76" i="45"/>
  <c r="V72" i="45"/>
  <c r="V75" i="45"/>
  <c r="X65" i="59" s="1"/>
  <c r="V92" i="45"/>
  <c r="X67" i="59" s="1"/>
  <c r="U31" i="35"/>
  <c r="U35" i="35" s="1"/>
  <c r="R76" i="45"/>
  <c r="R27" i="36"/>
  <c r="R72" i="45"/>
  <c r="AA35" i="36"/>
  <c r="U6" i="59"/>
  <c r="R13" i="49"/>
  <c r="R14" i="49" s="1"/>
  <c r="R104" i="9"/>
  <c r="U52" i="59" s="1"/>
  <c r="U6" i="6"/>
  <c r="U12" i="6" s="1"/>
  <c r="Q6" i="6"/>
  <c r="Q12" i="6" s="1"/>
  <c r="AB7" i="35"/>
  <c r="AF7" i="35" s="1"/>
  <c r="AA6" i="6"/>
  <c r="R5" i="6"/>
  <c r="Q100" i="9"/>
  <c r="Q89" i="9"/>
  <c r="Q33" i="22"/>
  <c r="Q7" i="9"/>
  <c r="P125" i="26"/>
  <c r="Q96" i="9"/>
  <c r="Q90" i="9"/>
  <c r="Q94" i="9"/>
  <c r="P18" i="15" s="1"/>
  <c r="Q104" i="9"/>
  <c r="AB6" i="35"/>
  <c r="AF6" i="35" s="1"/>
  <c r="V6" i="6"/>
  <c r="R6" i="6"/>
  <c r="Q5" i="6"/>
  <c r="R102" i="9"/>
  <c r="R33" i="22"/>
  <c r="Q125" i="26"/>
  <c r="R100" i="9"/>
  <c r="R96" i="9"/>
  <c r="R89" i="9"/>
  <c r="R94" i="9"/>
  <c r="Q18" i="15" s="1"/>
  <c r="R90" i="9"/>
  <c r="R92" i="45"/>
  <c r="T67" i="59" s="1"/>
  <c r="F35" i="36"/>
  <c r="F36" i="36" s="1"/>
  <c r="AB33" i="36"/>
  <c r="J34" i="36"/>
  <c r="AB34" i="36" s="1"/>
  <c r="R29" i="36"/>
  <c r="R28" i="36"/>
  <c r="T50" i="59"/>
  <c r="R33" i="36"/>
  <c r="V33" i="36" s="1"/>
  <c r="AD70" i="59"/>
  <c r="AD72" i="59"/>
  <c r="AD71" i="59"/>
  <c r="T68" i="59"/>
  <c r="AB5" i="9"/>
  <c r="Q35" i="36"/>
  <c r="Q36" i="36" s="1"/>
  <c r="R34" i="36"/>
  <c r="V34" i="36" s="1"/>
  <c r="T48" i="59"/>
  <c r="U68" i="59"/>
  <c r="R18" i="36"/>
  <c r="U49" i="59" s="1"/>
  <c r="T71" i="59"/>
  <c r="T72" i="59"/>
  <c r="T70" i="59"/>
  <c r="AA15" i="35"/>
  <c r="M30" i="36"/>
  <c r="P73" i="59" s="1"/>
  <c r="Q45" i="35"/>
  <c r="Q51" i="35" s="1"/>
  <c r="Y51" i="35"/>
  <c r="Q10" i="35"/>
  <c r="U10" i="35" s="1"/>
  <c r="R24" i="35"/>
  <c r="Q24" i="35"/>
  <c r="Q25" i="36" s="1"/>
  <c r="T69" i="59" s="1"/>
  <c r="U124" i="10" l="1"/>
  <c r="U170" i="10"/>
  <c r="U25" i="36"/>
  <c r="X69" i="59" s="1"/>
  <c r="V83" i="50"/>
  <c r="U162" i="10"/>
  <c r="AE35" i="36"/>
  <c r="AE36" i="36" s="1"/>
  <c r="AE30" i="36" s="1"/>
  <c r="AH73" i="59" s="1"/>
  <c r="AA36" i="36"/>
  <c r="AA30" i="36" s="1"/>
  <c r="AD73" i="59" s="1"/>
  <c r="AI68" i="59"/>
  <c r="AF5" i="6"/>
  <c r="AJ6" i="35"/>
  <c r="AF8" i="35"/>
  <c r="AF6" i="6"/>
  <c r="AJ7" i="35"/>
  <c r="AO7" i="35"/>
  <c r="BC8" i="35" s="1"/>
  <c r="AI6" i="6"/>
  <c r="AI12" i="6" s="1"/>
  <c r="AI10" i="35"/>
  <c r="AI6" i="35"/>
  <c r="AE5" i="6"/>
  <c r="AP32" i="36"/>
  <c r="AI32" i="36"/>
  <c r="Y6" i="59"/>
  <c r="AE38" i="36"/>
  <c r="AE39" i="36"/>
  <c r="AF34" i="36"/>
  <c r="AJ34" i="36" s="1"/>
  <c r="AP34" i="36" s="1"/>
  <c r="AT34" i="36" s="1"/>
  <c r="AX34" i="36" s="1"/>
  <c r="AF33" i="36"/>
  <c r="AJ33" i="36" s="1"/>
  <c r="AP33" i="36" s="1"/>
  <c r="AT33" i="36" s="1"/>
  <c r="AX33" i="36" s="1"/>
  <c r="V50" i="36"/>
  <c r="AE8" i="35"/>
  <c r="AE9" i="35"/>
  <c r="AE11" i="35" s="1"/>
  <c r="V102" i="9"/>
  <c r="U104" i="9"/>
  <c r="V53" i="36"/>
  <c r="AE53" i="59"/>
  <c r="AB78" i="9"/>
  <c r="AB77" i="9"/>
  <c r="AB79" i="9"/>
  <c r="AB76" i="9"/>
  <c r="U102" i="9"/>
  <c r="T125" i="26"/>
  <c r="AC70" i="59"/>
  <c r="AB27" i="36"/>
  <c r="AF27" i="36" s="1"/>
  <c r="AE5" i="15" s="1"/>
  <c r="AC71" i="59"/>
  <c r="AB28" i="36"/>
  <c r="AE71" i="59" s="1"/>
  <c r="AC72" i="59"/>
  <c r="AB29" i="36"/>
  <c r="AC68" i="59"/>
  <c r="V104" i="9"/>
  <c r="Y52" i="59" s="1"/>
  <c r="U89" i="9"/>
  <c r="U7" i="9"/>
  <c r="U100" i="9"/>
  <c r="U94" i="9"/>
  <c r="T18" i="15" s="1"/>
  <c r="U73" i="9"/>
  <c r="U76" i="9"/>
  <c r="U78" i="9"/>
  <c r="U96" i="9"/>
  <c r="U90" i="9"/>
  <c r="U75" i="9"/>
  <c r="U77" i="9"/>
  <c r="U72" i="9"/>
  <c r="U79" i="9"/>
  <c r="U74" i="9"/>
  <c r="V18" i="36"/>
  <c r="Y49" i="59" s="1"/>
  <c r="V78" i="9"/>
  <c r="V75" i="9"/>
  <c r="V73" i="9"/>
  <c r="V76" i="9"/>
  <c r="V77" i="9"/>
  <c r="V94" i="9"/>
  <c r="U18" i="15" s="1"/>
  <c r="V72" i="9"/>
  <c r="V89" i="9"/>
  <c r="V74" i="9"/>
  <c r="V79" i="9"/>
  <c r="V96" i="9"/>
  <c r="V100" i="9"/>
  <c r="V90" i="9"/>
  <c r="AB8" i="35"/>
  <c r="U35" i="36"/>
  <c r="U39" i="36"/>
  <c r="U38" i="36"/>
  <c r="Q7" i="15"/>
  <c r="V29" i="36"/>
  <c r="Q5" i="15"/>
  <c r="V27" i="36"/>
  <c r="Q6" i="15"/>
  <c r="V28" i="36"/>
  <c r="Y68" i="59"/>
  <c r="X68" i="59"/>
  <c r="R19" i="36"/>
  <c r="U50" i="59" s="1"/>
  <c r="Q11" i="35"/>
  <c r="U11" i="35"/>
  <c r="V33" i="22"/>
  <c r="U125" i="26"/>
  <c r="Y53" i="59"/>
  <c r="Q30" i="36"/>
  <c r="T73" i="59" s="1"/>
  <c r="X52" i="59"/>
  <c r="T52" i="59"/>
  <c r="J35" i="36"/>
  <c r="F30" i="36"/>
  <c r="I73" i="59" s="1"/>
  <c r="AA7" i="6"/>
  <c r="AB6" i="6"/>
  <c r="Q91" i="9"/>
  <c r="Q11" i="6"/>
  <c r="Q7" i="6"/>
  <c r="R7" i="6"/>
  <c r="U5" i="6"/>
  <c r="U7" i="6" s="1"/>
  <c r="V5" i="6"/>
  <c r="V7" i="6" s="1"/>
  <c r="AB5" i="6"/>
  <c r="Y47" i="59"/>
  <c r="T6" i="59"/>
  <c r="R91" i="9"/>
  <c r="AB104" i="9"/>
  <c r="AE52" i="59" s="1"/>
  <c r="AB102" i="9"/>
  <c r="AF102" i="9" s="1"/>
  <c r="AJ102" i="9" s="1"/>
  <c r="AP102" i="9" s="1"/>
  <c r="AT102" i="9" s="1"/>
  <c r="AX102" i="9" s="1"/>
  <c r="BF102" i="9" s="1"/>
  <c r="AA125" i="26"/>
  <c r="N35" i="36"/>
  <c r="N36" i="36" s="1"/>
  <c r="U71" i="59"/>
  <c r="U72" i="59"/>
  <c r="AA9" i="15"/>
  <c r="AA26" i="36"/>
  <c r="AA17" i="15"/>
  <c r="AB49" i="36"/>
  <c r="AB16" i="36"/>
  <c r="AE47" i="59" s="1"/>
  <c r="AB17" i="36"/>
  <c r="AE48" i="59" s="1"/>
  <c r="AB48" i="36"/>
  <c r="AB54" i="36"/>
  <c r="AB26" i="36"/>
  <c r="U70" i="59"/>
  <c r="Z17" i="15"/>
  <c r="T49" i="59"/>
  <c r="AA5" i="9"/>
  <c r="AB69" i="59"/>
  <c r="Z9" i="15"/>
  <c r="AA24" i="35"/>
  <c r="AB24" i="35"/>
  <c r="AA31" i="35"/>
  <c r="AA35" i="35" s="1"/>
  <c r="AB83" i="50" s="1"/>
  <c r="U51" i="35"/>
  <c r="AI35" i="36" l="1"/>
  <c r="AI36" i="36" s="1"/>
  <c r="U36" i="36"/>
  <c r="U30" i="36" s="1"/>
  <c r="X73" i="59" s="1"/>
  <c r="J36" i="36"/>
  <c r="J30" i="36" s="1"/>
  <c r="M73" i="59" s="1"/>
  <c r="AO10" i="35"/>
  <c r="AE7" i="6"/>
  <c r="AE11" i="6"/>
  <c r="AO6" i="6"/>
  <c r="AO12" i="6" s="1"/>
  <c r="AS7" i="35"/>
  <c r="AW7" i="35" s="1"/>
  <c r="AJ5" i="6"/>
  <c r="AP6" i="35"/>
  <c r="AJ8" i="35"/>
  <c r="AO6" i="35"/>
  <c r="AI5" i="6"/>
  <c r="AI8" i="35"/>
  <c r="AI9" i="35"/>
  <c r="AO9" i="35" s="1"/>
  <c r="AJ6" i="6"/>
  <c r="AP7" i="35"/>
  <c r="AF7" i="6"/>
  <c r="AT32" i="36"/>
  <c r="AI30" i="36"/>
  <c r="AO35" i="36"/>
  <c r="AO36" i="36" s="1"/>
  <c r="AO32" i="36"/>
  <c r="AI39" i="36"/>
  <c r="AI38" i="36"/>
  <c r="AJ27" i="36"/>
  <c r="AP27" i="36" s="1"/>
  <c r="AF104" i="9"/>
  <c r="AI70" i="59"/>
  <c r="AF29" i="36"/>
  <c r="AJ29" i="36" s="1"/>
  <c r="AP29" i="36" s="1"/>
  <c r="AA6" i="15"/>
  <c r="AF28" i="36"/>
  <c r="AJ28" i="36" s="1"/>
  <c r="AP28" i="36" s="1"/>
  <c r="V19" i="36"/>
  <c r="Y50" i="59" s="1"/>
  <c r="AE72" i="59"/>
  <c r="AA7" i="15"/>
  <c r="AA78" i="9"/>
  <c r="AA77" i="9"/>
  <c r="AA79" i="9"/>
  <c r="AA76" i="9"/>
  <c r="AE70" i="59"/>
  <c r="AA5" i="15"/>
  <c r="AB68" i="59"/>
  <c r="U91" i="9"/>
  <c r="V91" i="9"/>
  <c r="Y71" i="59"/>
  <c r="U6" i="15"/>
  <c r="Y70" i="59"/>
  <c r="U5" i="15"/>
  <c r="Y72" i="59"/>
  <c r="U7" i="15"/>
  <c r="AB35" i="36"/>
  <c r="N30" i="36"/>
  <c r="Q73" i="59" s="1"/>
  <c r="AB7" i="6"/>
  <c r="U11" i="6"/>
  <c r="AA102" i="9"/>
  <c r="AE102" i="9" s="1"/>
  <c r="AI102" i="9" s="1"/>
  <c r="AO102" i="9" s="1"/>
  <c r="AS102" i="9" s="1"/>
  <c r="AW102" i="9" s="1"/>
  <c r="BE102" i="9" s="1"/>
  <c r="AA104" i="9"/>
  <c r="AD52" i="59" s="1"/>
  <c r="AA25" i="36"/>
  <c r="AD69" i="59" s="1"/>
  <c r="AB18" i="36"/>
  <c r="AE49" i="59" s="1"/>
  <c r="AB50" i="36"/>
  <c r="AD67" i="59"/>
  <c r="R35" i="36"/>
  <c r="AA45" i="35"/>
  <c r="AA51" i="35" s="1"/>
  <c r="BD8" i="35" l="1"/>
  <c r="BC11" i="35"/>
  <c r="AF35" i="36"/>
  <c r="AF36" i="36" s="1"/>
  <c r="AF30" i="36" s="1"/>
  <c r="AB36" i="36"/>
  <c r="V35" i="36"/>
  <c r="V36" i="36" s="1"/>
  <c r="V30" i="36" s="1"/>
  <c r="R36" i="36"/>
  <c r="AW6" i="6"/>
  <c r="AW12" i="6" s="1"/>
  <c r="AW10" i="35"/>
  <c r="BE10" i="35" s="1"/>
  <c r="AO11" i="35"/>
  <c r="AX32" i="36"/>
  <c r="AO5" i="6"/>
  <c r="AS6" i="35"/>
  <c r="AW6" i="35" s="1"/>
  <c r="BE8" i="35" s="1"/>
  <c r="AO8" i="35"/>
  <c r="AS6" i="6"/>
  <c r="AS12" i="6" s="1"/>
  <c r="AS10" i="35"/>
  <c r="AP5" i="6"/>
  <c r="AT6" i="35"/>
  <c r="AX6" i="35" s="1"/>
  <c r="BF6" i="35" s="1"/>
  <c r="BF5" i="6" s="1"/>
  <c r="AP8" i="35"/>
  <c r="AI11" i="35"/>
  <c r="AP6" i="6"/>
  <c r="AT7" i="35"/>
  <c r="AI11" i="6"/>
  <c r="AI7" i="6"/>
  <c r="AJ7" i="6"/>
  <c r="AO30" i="36"/>
  <c r="AR73" i="59" s="1"/>
  <c r="AS35" i="36"/>
  <c r="AS36" i="36" s="1"/>
  <c r="AT29" i="36"/>
  <c r="AS32" i="36"/>
  <c r="AT28" i="36"/>
  <c r="AT27" i="36"/>
  <c r="AS72" i="59"/>
  <c r="AO7" i="15"/>
  <c r="AB19" i="36"/>
  <c r="AE50" i="59" s="1"/>
  <c r="AO39" i="36"/>
  <c r="AO38" i="36"/>
  <c r="AM68" i="59"/>
  <c r="AS71" i="59"/>
  <c r="AO6" i="15"/>
  <c r="AS70" i="59"/>
  <c r="AO5" i="15"/>
  <c r="AI52" i="59"/>
  <c r="AJ104" i="9"/>
  <c r="AJ35" i="36"/>
  <c r="AJ36" i="36" s="1"/>
  <c r="AH68" i="59"/>
  <c r="AR68" i="59"/>
  <c r="AI6" i="15"/>
  <c r="AM71" i="59"/>
  <c r="AI7" i="15"/>
  <c r="AM72" i="59"/>
  <c r="AI5" i="15"/>
  <c r="AM70" i="59"/>
  <c r="AI72" i="59"/>
  <c r="AE7" i="15"/>
  <c r="AE104" i="9"/>
  <c r="AI71" i="59"/>
  <c r="AE6" i="15"/>
  <c r="AB30" i="36"/>
  <c r="AE73" i="59" s="1"/>
  <c r="AD68" i="59"/>
  <c r="R30" i="36"/>
  <c r="U73" i="59" s="1"/>
  <c r="AL73" i="59"/>
  <c r="AD6" i="59"/>
  <c r="Z7" i="15"/>
  <c r="Z6" i="15"/>
  <c r="Z5" i="15"/>
  <c r="BF11" i="6" l="1"/>
  <c r="AX29" i="36"/>
  <c r="AX27" i="36"/>
  <c r="AW5" i="15" s="1"/>
  <c r="BA68" i="59"/>
  <c r="AW5" i="6"/>
  <c r="AW9" i="35"/>
  <c r="AW8" i="35"/>
  <c r="AT6" i="6"/>
  <c r="AX7" i="35"/>
  <c r="BF7" i="35" s="1"/>
  <c r="BF6" i="6" s="1"/>
  <c r="BF12" i="6" s="1"/>
  <c r="AX5" i="6"/>
  <c r="AW7" i="15"/>
  <c r="BA72" i="59"/>
  <c r="AS30" i="36"/>
  <c r="AV73" i="59" s="1"/>
  <c r="AW35" i="36"/>
  <c r="AW32" i="36"/>
  <c r="AX28" i="36"/>
  <c r="AT5" i="6"/>
  <c r="AT8" i="35"/>
  <c r="AP7" i="6"/>
  <c r="AS5" i="6"/>
  <c r="AS8" i="35"/>
  <c r="AS9" i="35"/>
  <c r="AS11" i="35" s="1"/>
  <c r="AO7" i="6"/>
  <c r="AO11" i="6"/>
  <c r="AW70" i="59"/>
  <c r="AS5" i="15"/>
  <c r="AW71" i="59"/>
  <c r="AS6" i="15"/>
  <c r="AW72" i="59"/>
  <c r="AS7" i="15"/>
  <c r="AV68" i="59"/>
  <c r="AS38" i="36"/>
  <c r="AS39" i="36"/>
  <c r="AS68" i="59"/>
  <c r="AW68" i="59"/>
  <c r="AM52" i="59"/>
  <c r="AP104" i="9"/>
  <c r="AP35" i="36"/>
  <c r="AP36" i="36" s="1"/>
  <c r="AH52" i="59"/>
  <c r="AI104" i="9"/>
  <c r="AL68" i="59"/>
  <c r="AI50" i="59"/>
  <c r="Y73" i="59"/>
  <c r="AJ30" i="36"/>
  <c r="AA13" i="49"/>
  <c r="BF7" i="6" l="1"/>
  <c r="AX8" i="35"/>
  <c r="AW11" i="35"/>
  <c r="BE9" i="35"/>
  <c r="BE11" i="35" s="1"/>
  <c r="AX6" i="6"/>
  <c r="AX12" i="6" s="1"/>
  <c r="BF8" i="35"/>
  <c r="AW36" i="36"/>
  <c r="AW30" i="36" s="1"/>
  <c r="AZ73" i="59" s="1"/>
  <c r="BA70" i="59"/>
  <c r="AZ68" i="59"/>
  <c r="AX11" i="6"/>
  <c r="AW11" i="6"/>
  <c r="AW7" i="6"/>
  <c r="AW6" i="15"/>
  <c r="BA71" i="59"/>
  <c r="AW38" i="36"/>
  <c r="BE38" i="36" s="1"/>
  <c r="AW39" i="36"/>
  <c r="AS52" i="59"/>
  <c r="AT104" i="9"/>
  <c r="AS11" i="6"/>
  <c r="AS7" i="6"/>
  <c r="AT7" i="6"/>
  <c r="AP30" i="36"/>
  <c r="AS73" i="59" s="1"/>
  <c r="AT35" i="36"/>
  <c r="AT36" i="36" s="1"/>
  <c r="AL52" i="59"/>
  <c r="AO104" i="9"/>
  <c r="AJ19" i="36"/>
  <c r="AM50" i="59" s="1"/>
  <c r="AM73" i="59"/>
  <c r="AI73" i="59"/>
  <c r="BC30" i="36"/>
  <c r="BF73" i="59" s="1"/>
  <c r="AX7" i="6" l="1"/>
  <c r="AW52" i="59"/>
  <c r="AX104" i="9"/>
  <c r="AT30" i="36"/>
  <c r="AW73" i="59" s="1"/>
  <c r="AX35" i="36"/>
  <c r="AR52" i="59"/>
  <c r="AS104" i="9"/>
  <c r="BE33" i="36"/>
  <c r="BE34" i="36"/>
  <c r="BF32" i="36"/>
  <c r="BD30" i="36"/>
  <c r="BG73" i="59" s="1"/>
  <c r="BI68" i="59" l="1"/>
  <c r="BF28" i="36"/>
  <c r="BA52" i="59"/>
  <c r="BF104" i="9"/>
  <c r="BI52" i="59" s="1"/>
  <c r="AV52" i="59"/>
  <c r="AW104" i="9"/>
  <c r="AX36" i="36"/>
  <c r="AX30" i="36" s="1"/>
  <c r="BA73" i="59" s="1"/>
  <c r="BF34" i="36"/>
  <c r="BF33" i="36"/>
  <c r="BE32" i="36"/>
  <c r="BI71" i="59" l="1"/>
  <c r="BE6" i="15"/>
  <c r="AZ52" i="59"/>
  <c r="BE104" i="9"/>
  <c r="BH52" i="59" s="1"/>
  <c r="BF27" i="36"/>
  <c r="BF29" i="36"/>
  <c r="BF50" i="36"/>
  <c r="BF19" i="36" s="1"/>
  <c r="BI50" i="59" s="1"/>
  <c r="BF18" i="36"/>
  <c r="BI49" i="59" s="1"/>
  <c r="BF35" i="36"/>
  <c r="BF36" i="36" s="1"/>
  <c r="BH68" i="59"/>
  <c r="BE35" i="36"/>
  <c r="BE36" i="36" s="1"/>
  <c r="BI72" i="59" l="1"/>
  <c r="BE7" i="15"/>
  <c r="BI70" i="59"/>
  <c r="BE5" i="15"/>
  <c r="BE30" i="36"/>
  <c r="BH73" i="59" s="1"/>
  <c r="BF30" i="36"/>
  <c r="BI73" i="59" s="1"/>
  <c r="T42" i="59" l="1"/>
  <c r="P42" i="59"/>
  <c r="I75" i="8"/>
  <c r="L42" i="59" s="1"/>
  <c r="X84" i="26" l="1"/>
  <c r="X84" i="17" s="1"/>
  <c r="I7" i="21" l="1"/>
  <c r="Q7" i="21" l="1"/>
  <c r="U7" i="21" s="1"/>
  <c r="J7" i="21" l="1"/>
  <c r="R7" i="21" l="1"/>
  <c r="V7" i="21" s="1"/>
  <c r="M114" i="6" l="1"/>
  <c r="AA114" i="6" s="1"/>
  <c r="M131" i="6" l="1"/>
  <c r="AA131" i="6" s="1"/>
  <c r="M97" i="6" l="1"/>
  <c r="AA97" i="6" l="1"/>
  <c r="N2" i="21" l="1"/>
  <c r="M2" i="21"/>
  <c r="AA2" i="21" s="1"/>
  <c r="AE2" i="21" s="1"/>
  <c r="AI2" i="21" s="1"/>
  <c r="AO2" i="21" s="1"/>
  <c r="AS2" i="21" s="1"/>
  <c r="AW2" i="21" s="1"/>
  <c r="J2" i="21"/>
  <c r="I2" i="21"/>
  <c r="R2" i="21" l="1"/>
  <c r="V2" i="21" s="1"/>
  <c r="AB2" i="21"/>
  <c r="AF2" i="21" s="1"/>
  <c r="AJ2" i="21" s="1"/>
  <c r="AP2" i="21" s="1"/>
  <c r="AT2" i="21" s="1"/>
  <c r="AX2" i="21" s="1"/>
  <c r="Q2" i="21"/>
  <c r="U2" i="21" s="1"/>
  <c r="H15" i="27" l="1"/>
  <c r="P15" i="27" s="1"/>
  <c r="H14" i="27"/>
  <c r="P14" i="27" s="1"/>
  <c r="I14" i="27"/>
  <c r="H13" i="27"/>
  <c r="P13" i="27" s="1"/>
  <c r="H12" i="27"/>
  <c r="P12" i="27" s="1"/>
  <c r="I12" i="27"/>
  <c r="Q12" i="27" s="1"/>
  <c r="H11" i="27"/>
  <c r="P11" i="27" s="1"/>
  <c r="H10" i="27"/>
  <c r="P10" i="27" s="1"/>
  <c r="I10" i="27"/>
  <c r="H9" i="27"/>
  <c r="P9" i="27" s="1"/>
  <c r="H8" i="27"/>
  <c r="P8" i="27" s="1"/>
  <c r="I8" i="27"/>
  <c r="Q8" i="27" s="1"/>
  <c r="H7" i="27"/>
  <c r="P7" i="27" s="1"/>
  <c r="H6" i="27"/>
  <c r="P6" i="27" s="1"/>
  <c r="I6" i="27"/>
  <c r="I2" i="27"/>
  <c r="H2" i="27"/>
  <c r="I107" i="26"/>
  <c r="M107" i="26" s="1"/>
  <c r="Q107" i="26" s="1"/>
  <c r="U107" i="26" s="1"/>
  <c r="I105" i="26"/>
  <c r="M105" i="26" s="1"/>
  <c r="Q105" i="26" s="1"/>
  <c r="U105" i="26" s="1"/>
  <c r="I99" i="26"/>
  <c r="M99" i="26" s="1"/>
  <c r="Q99" i="26" s="1"/>
  <c r="U99" i="26" s="1"/>
  <c r="I97" i="26"/>
  <c r="M97" i="26" s="1"/>
  <c r="Q97" i="26" s="1"/>
  <c r="U97" i="26" s="1"/>
  <c r="H93" i="26"/>
  <c r="L88" i="26"/>
  <c r="P88" i="26" s="1"/>
  <c r="T88" i="26" s="1"/>
  <c r="M88" i="26"/>
  <c r="H79" i="26"/>
  <c r="I70" i="26"/>
  <c r="M70" i="26" s="1"/>
  <c r="Q70" i="26" s="1"/>
  <c r="U70" i="26" s="1"/>
  <c r="I68" i="26"/>
  <c r="M68" i="26" s="1"/>
  <c r="Q68" i="26" s="1"/>
  <c r="U68" i="26" s="1"/>
  <c r="I64" i="26"/>
  <c r="M64" i="26" s="1"/>
  <c r="Q64" i="26" s="1"/>
  <c r="U64" i="26" s="1"/>
  <c r="I60" i="26"/>
  <c r="M60" i="26" s="1"/>
  <c r="Q60" i="26" s="1"/>
  <c r="U60" i="26" s="1"/>
  <c r="I58" i="26"/>
  <c r="I53" i="26"/>
  <c r="M53" i="26" s="1"/>
  <c r="Q53" i="26" s="1"/>
  <c r="U53" i="26" s="1"/>
  <c r="I51" i="26"/>
  <c r="M51" i="26" s="1"/>
  <c r="Q51" i="26" s="1"/>
  <c r="U51" i="26" s="1"/>
  <c r="I42" i="26"/>
  <c r="M42" i="26" s="1"/>
  <c r="Q42" i="26" s="1"/>
  <c r="U42" i="26" s="1"/>
  <c r="I40" i="26"/>
  <c r="M40" i="26" s="1"/>
  <c r="Q40" i="26" s="1"/>
  <c r="U40" i="26" s="1"/>
  <c r="I34" i="26"/>
  <c r="M34" i="26" s="1"/>
  <c r="Q34" i="26" s="1"/>
  <c r="U34" i="26" s="1"/>
  <c r="I32" i="26"/>
  <c r="M32" i="26" s="1"/>
  <c r="Q32" i="26" s="1"/>
  <c r="U32" i="26" s="1"/>
  <c r="I26" i="26"/>
  <c r="M26" i="26" s="1"/>
  <c r="Q26" i="26" s="1"/>
  <c r="U26" i="26" s="1"/>
  <c r="I24" i="26"/>
  <c r="M24" i="26" s="1"/>
  <c r="Q24" i="26" s="1"/>
  <c r="U24" i="26" s="1"/>
  <c r="I10" i="26"/>
  <c r="I8" i="26"/>
  <c r="M8" i="26" s="1"/>
  <c r="Q8" i="26" s="1"/>
  <c r="U8" i="26" s="1"/>
  <c r="I2" i="26"/>
  <c r="M2" i="26" s="1"/>
  <c r="Q2" i="26" s="1"/>
  <c r="U2" i="26" s="1"/>
  <c r="AA2" i="26" s="1"/>
  <c r="AE2" i="26" s="1"/>
  <c r="AI2" i="26" s="1"/>
  <c r="AO2" i="26" s="1"/>
  <c r="AS2" i="26" s="1"/>
  <c r="H2" i="26"/>
  <c r="Q88" i="26" l="1"/>
  <c r="U88" i="26" s="1"/>
  <c r="AA88" i="26"/>
  <c r="AE88" i="26" s="1"/>
  <c r="AI88" i="26" s="1"/>
  <c r="AO88" i="26" s="1"/>
  <c r="AS88" i="26" s="1"/>
  <c r="U8" i="27"/>
  <c r="T10" i="27"/>
  <c r="T13" i="27"/>
  <c r="T8" i="27"/>
  <c r="T11" i="27"/>
  <c r="T6" i="27"/>
  <c r="T9" i="27"/>
  <c r="U12" i="27"/>
  <c r="T14" i="27"/>
  <c r="T7" i="27"/>
  <c r="T12" i="27"/>
  <c r="T15" i="27"/>
  <c r="L93" i="26"/>
  <c r="P93" i="26" s="1"/>
  <c r="T93" i="26" s="1"/>
  <c r="M58" i="26"/>
  <c r="Q58" i="26" s="1"/>
  <c r="U58" i="26" s="1"/>
  <c r="M10" i="26"/>
  <c r="L79" i="26"/>
  <c r="P79" i="26" s="1"/>
  <c r="T79" i="26" s="1"/>
  <c r="J162" i="26"/>
  <c r="N162" i="26"/>
  <c r="H85" i="17"/>
  <c r="AA26" i="26"/>
  <c r="AE26" i="26" s="1"/>
  <c r="AI26" i="26" s="1"/>
  <c r="AO26" i="26" s="1"/>
  <c r="AS26" i="26" s="1"/>
  <c r="AW26" i="26" s="1"/>
  <c r="BE26" i="26" s="1"/>
  <c r="AA51" i="26"/>
  <c r="AE51" i="26" s="1"/>
  <c r="AI51" i="26" s="1"/>
  <c r="AO51" i="26" s="1"/>
  <c r="AS51" i="26" s="1"/>
  <c r="AW51" i="26" s="1"/>
  <c r="BE51" i="26" s="1"/>
  <c r="AA64" i="26"/>
  <c r="AE64" i="26" s="1"/>
  <c r="AI64" i="26" s="1"/>
  <c r="AO64" i="26" s="1"/>
  <c r="AS64" i="26" s="1"/>
  <c r="AW64" i="26" s="1"/>
  <c r="BE64" i="26" s="1"/>
  <c r="AA107" i="26"/>
  <c r="AE107" i="26" s="1"/>
  <c r="AI107" i="26" s="1"/>
  <c r="AO107" i="26" s="1"/>
  <c r="AS107" i="26" s="1"/>
  <c r="AW107" i="26" s="1"/>
  <c r="BE107" i="26" s="1"/>
  <c r="AA32" i="26"/>
  <c r="AE32" i="26" s="1"/>
  <c r="AI32" i="26" s="1"/>
  <c r="AO32" i="26" s="1"/>
  <c r="AS32" i="26" s="1"/>
  <c r="AW32" i="26" s="1"/>
  <c r="BE32" i="26" s="1"/>
  <c r="AA68" i="26"/>
  <c r="AE68" i="26" s="1"/>
  <c r="AI68" i="26" s="1"/>
  <c r="AO68" i="26" s="1"/>
  <c r="AS68" i="26" s="1"/>
  <c r="AW68" i="26" s="1"/>
  <c r="BE68" i="26" s="1"/>
  <c r="AA97" i="26"/>
  <c r="AE97" i="26" s="1"/>
  <c r="AI97" i="26" s="1"/>
  <c r="AO97" i="26" s="1"/>
  <c r="AS97" i="26" s="1"/>
  <c r="AW97" i="26" s="1"/>
  <c r="BE97" i="26" s="1"/>
  <c r="AA34" i="26"/>
  <c r="AE34" i="26" s="1"/>
  <c r="AI34" i="26" s="1"/>
  <c r="AO34" i="26" s="1"/>
  <c r="AS34" i="26" s="1"/>
  <c r="AW34" i="26" s="1"/>
  <c r="BE34" i="26" s="1"/>
  <c r="AA70" i="26"/>
  <c r="AE70" i="26" s="1"/>
  <c r="AI70" i="26" s="1"/>
  <c r="AO70" i="26" s="1"/>
  <c r="AS70" i="26" s="1"/>
  <c r="AW70" i="26" s="1"/>
  <c r="BE70" i="26" s="1"/>
  <c r="AA99" i="26"/>
  <c r="AE99" i="26" s="1"/>
  <c r="AI99" i="26" s="1"/>
  <c r="AO99" i="26" s="1"/>
  <c r="AS99" i="26" s="1"/>
  <c r="AW99" i="26" s="1"/>
  <c r="BE99" i="26" s="1"/>
  <c r="AA24" i="26"/>
  <c r="AE24" i="26" s="1"/>
  <c r="AI24" i="26" s="1"/>
  <c r="AO24" i="26" s="1"/>
  <c r="AS24" i="26" s="1"/>
  <c r="AW24" i="26" s="1"/>
  <c r="BE24" i="26" s="1"/>
  <c r="AA40" i="26"/>
  <c r="AE40" i="26" s="1"/>
  <c r="AI40" i="26" s="1"/>
  <c r="AO40" i="26" s="1"/>
  <c r="AS40" i="26" s="1"/>
  <c r="AW40" i="26" s="1"/>
  <c r="BE40" i="26" s="1"/>
  <c r="AA105" i="26"/>
  <c r="AE105" i="26" s="1"/>
  <c r="AI105" i="26" s="1"/>
  <c r="AO105" i="26" s="1"/>
  <c r="AS105" i="26" s="1"/>
  <c r="AW105" i="26" s="1"/>
  <c r="BE105" i="26" s="1"/>
  <c r="I31" i="27"/>
  <c r="I26" i="27"/>
  <c r="I28" i="27"/>
  <c r="I27" i="27"/>
  <c r="I29" i="27"/>
  <c r="L2" i="26"/>
  <c r="H12" i="26"/>
  <c r="I11" i="26"/>
  <c r="H29" i="27"/>
  <c r="H35" i="27"/>
  <c r="H19" i="27"/>
  <c r="H31" i="27"/>
  <c r="H27" i="27"/>
  <c r="H21" i="27"/>
  <c r="H37" i="27"/>
  <c r="H30" i="27"/>
  <c r="H26" i="27"/>
  <c r="H36" i="27"/>
  <c r="H20" i="27"/>
  <c r="H22" i="27"/>
  <c r="H28" i="27"/>
  <c r="H18" i="27"/>
  <c r="M2" i="27"/>
  <c r="I37" i="27"/>
  <c r="I18" i="27"/>
  <c r="I35" i="27"/>
  <c r="I20" i="27"/>
  <c r="I19" i="27"/>
  <c r="I21" i="27"/>
  <c r="I22" i="27"/>
  <c r="I36" i="27"/>
  <c r="H64" i="26"/>
  <c r="L64" i="26" s="1"/>
  <c r="P64" i="26" s="1"/>
  <c r="T64" i="26" s="1"/>
  <c r="H99" i="26"/>
  <c r="L99" i="26" s="1"/>
  <c r="P99" i="26" s="1"/>
  <c r="T99" i="26" s="1"/>
  <c r="H26" i="26"/>
  <c r="L26" i="26" s="1"/>
  <c r="H34" i="26"/>
  <c r="L34" i="26" s="1"/>
  <c r="T51" i="26"/>
  <c r="H60" i="26"/>
  <c r="L60" i="26" s="1"/>
  <c r="P60" i="26" s="1"/>
  <c r="T60" i="26" s="1"/>
  <c r="H70" i="26"/>
  <c r="L70" i="26" s="1"/>
  <c r="P70" i="26" s="1"/>
  <c r="T70" i="26" s="1"/>
  <c r="H101" i="26"/>
  <c r="L101" i="26" s="1"/>
  <c r="P101" i="26" s="1"/>
  <c r="T101" i="26" s="1"/>
  <c r="H20" i="26"/>
  <c r="H28" i="26"/>
  <c r="L28" i="26" s="1"/>
  <c r="H36" i="26"/>
  <c r="L36" i="26" s="1"/>
  <c r="H72" i="26"/>
  <c r="L72" i="26" s="1"/>
  <c r="P72" i="26" s="1"/>
  <c r="T72" i="26" s="1"/>
  <c r="I22" i="26"/>
  <c r="M22" i="26" s="1"/>
  <c r="Q22" i="26" s="1"/>
  <c r="U22" i="26" s="1"/>
  <c r="H24" i="26"/>
  <c r="L24" i="26" s="1"/>
  <c r="I30" i="26"/>
  <c r="M30" i="26" s="1"/>
  <c r="Q30" i="26" s="1"/>
  <c r="U30" i="26" s="1"/>
  <c r="H32" i="26"/>
  <c r="L32" i="26" s="1"/>
  <c r="I38" i="26"/>
  <c r="M38" i="26" s="1"/>
  <c r="Q38" i="26" s="1"/>
  <c r="U38" i="26" s="1"/>
  <c r="H40" i="26"/>
  <c r="L40" i="26" s="1"/>
  <c r="P40" i="26" s="1"/>
  <c r="T40" i="26" s="1"/>
  <c r="N167" i="26"/>
  <c r="I20" i="26"/>
  <c r="H22" i="26"/>
  <c r="L22" i="26" s="1"/>
  <c r="I28" i="26"/>
  <c r="M28" i="26" s="1"/>
  <c r="H30" i="26"/>
  <c r="L30" i="26" s="1"/>
  <c r="I36" i="26"/>
  <c r="M36" i="26" s="1"/>
  <c r="Q36" i="26" s="1"/>
  <c r="U36" i="26" s="1"/>
  <c r="H38" i="26"/>
  <c r="L38" i="26" s="1"/>
  <c r="I9" i="27"/>
  <c r="Q9" i="27" s="1"/>
  <c r="I13" i="27"/>
  <c r="Q13" i="27" s="1"/>
  <c r="H62" i="26"/>
  <c r="L62" i="26" s="1"/>
  <c r="P62" i="26" s="1"/>
  <c r="T62" i="26" s="1"/>
  <c r="H66" i="26"/>
  <c r="L66" i="26" s="1"/>
  <c r="P66" i="26" s="1"/>
  <c r="T66" i="26" s="1"/>
  <c r="I72" i="26"/>
  <c r="M72" i="26" s="1"/>
  <c r="Q72" i="26" s="1"/>
  <c r="U72" i="26" s="1"/>
  <c r="I101" i="26"/>
  <c r="M101" i="26" s="1"/>
  <c r="Q101" i="26" s="1"/>
  <c r="U101" i="26" s="1"/>
  <c r="H103" i="26"/>
  <c r="L103" i="26" s="1"/>
  <c r="P103" i="26" s="1"/>
  <c r="T103" i="26" s="1"/>
  <c r="Q6" i="27"/>
  <c r="Q10" i="27"/>
  <c r="Q14" i="27"/>
  <c r="H42" i="26"/>
  <c r="L42" i="26" s="1"/>
  <c r="J167" i="26"/>
  <c r="H58" i="26"/>
  <c r="I62" i="26"/>
  <c r="M62" i="26" s="1"/>
  <c r="I66" i="26"/>
  <c r="H68" i="26"/>
  <c r="L68" i="26" s="1"/>
  <c r="P68" i="26" s="1"/>
  <c r="T68" i="26" s="1"/>
  <c r="I95" i="26"/>
  <c r="H97" i="26"/>
  <c r="L97" i="26" s="1"/>
  <c r="P97" i="26" s="1"/>
  <c r="T97" i="26" s="1"/>
  <c r="I103" i="26"/>
  <c r="M103" i="26" s="1"/>
  <c r="Q103" i="26" s="1"/>
  <c r="U103" i="26" s="1"/>
  <c r="H105" i="26"/>
  <c r="L105" i="26" s="1"/>
  <c r="P105" i="26" s="1"/>
  <c r="T105" i="26" s="1"/>
  <c r="H107" i="26"/>
  <c r="L107" i="26" s="1"/>
  <c r="P107" i="26" s="1"/>
  <c r="T107" i="26" s="1"/>
  <c r="I7" i="27"/>
  <c r="Q7" i="27" s="1"/>
  <c r="I11" i="27"/>
  <c r="Q11" i="27" s="1"/>
  <c r="I15" i="27"/>
  <c r="Q15" i="27" s="1"/>
  <c r="L2" i="27"/>
  <c r="I32" i="27"/>
  <c r="Y6" i="26"/>
  <c r="Y56" i="26"/>
  <c r="AA53" i="26"/>
  <c r="AE53" i="26" s="1"/>
  <c r="AI53" i="26" s="1"/>
  <c r="AO53" i="26" s="1"/>
  <c r="AS53" i="26" s="1"/>
  <c r="AW53" i="26" s="1"/>
  <c r="BE53" i="26" s="1"/>
  <c r="I47" i="26"/>
  <c r="M47" i="26" s="1"/>
  <c r="H77" i="26"/>
  <c r="H84" i="26"/>
  <c r="H47" i="26"/>
  <c r="L47" i="26" s="1"/>
  <c r="I77" i="26"/>
  <c r="I79" i="26"/>
  <c r="M79" i="26" s="1"/>
  <c r="Q79" i="26" s="1"/>
  <c r="U79" i="26" s="1"/>
  <c r="I93" i="26"/>
  <c r="H95" i="26"/>
  <c r="L95" i="26" s="1"/>
  <c r="P95" i="26" s="1"/>
  <c r="T95" i="26" s="1"/>
  <c r="U11" i="27" l="1"/>
  <c r="U7" i="27"/>
  <c r="U14" i="27"/>
  <c r="U13" i="27"/>
  <c r="U10" i="27"/>
  <c r="U9" i="27"/>
  <c r="U15" i="27"/>
  <c r="U6" i="27"/>
  <c r="T109" i="26"/>
  <c r="M95" i="26"/>
  <c r="Q95" i="26" s="1"/>
  <c r="U95" i="26" s="1"/>
  <c r="I109" i="26"/>
  <c r="I91" i="26" s="1"/>
  <c r="H109" i="26"/>
  <c r="I74" i="26"/>
  <c r="L58" i="26"/>
  <c r="P58" i="26" s="1"/>
  <c r="T58" i="26" s="1"/>
  <c r="H74" i="26"/>
  <c r="L20" i="26"/>
  <c r="H44" i="26"/>
  <c r="M20" i="26"/>
  <c r="Q20" i="26" s="1"/>
  <c r="U20" i="26" s="1"/>
  <c r="I44" i="26"/>
  <c r="AA10" i="26"/>
  <c r="AE10" i="26" s="1"/>
  <c r="AI10" i="26" s="1"/>
  <c r="AO10" i="26" s="1"/>
  <c r="AS10" i="26" s="1"/>
  <c r="AW10" i="26" s="1"/>
  <c r="BE10" i="26" s="1"/>
  <c r="Q10" i="26"/>
  <c r="U10" i="26" s="1"/>
  <c r="U11" i="26" s="1"/>
  <c r="L49" i="26"/>
  <c r="P47" i="26"/>
  <c r="T47" i="26" s="1"/>
  <c r="T49" i="26" s="1"/>
  <c r="T55" i="26" s="1"/>
  <c r="M49" i="26"/>
  <c r="M55" i="26" s="1"/>
  <c r="Q47" i="26"/>
  <c r="U47" i="26" s="1"/>
  <c r="U49" i="26" s="1"/>
  <c r="P109" i="26"/>
  <c r="M83" i="17"/>
  <c r="Q62" i="26"/>
  <c r="U62" i="26" s="1"/>
  <c r="M82" i="17"/>
  <c r="Q28" i="26"/>
  <c r="U28" i="26" s="1"/>
  <c r="L82" i="17"/>
  <c r="Q2" i="27"/>
  <c r="U2" i="27" s="1"/>
  <c r="AA2" i="27" s="1"/>
  <c r="AE2" i="27" s="1"/>
  <c r="AI2" i="27" s="1"/>
  <c r="AO2" i="27" s="1"/>
  <c r="AS2" i="27" s="1"/>
  <c r="M31" i="27"/>
  <c r="M22" i="27"/>
  <c r="M37" i="27"/>
  <c r="M35" i="27"/>
  <c r="AA35" i="27" s="1"/>
  <c r="AE35" i="27" s="1"/>
  <c r="M18" i="27"/>
  <c r="M20" i="27"/>
  <c r="M19" i="27"/>
  <c r="M28" i="27"/>
  <c r="M27" i="27"/>
  <c r="M29" i="27"/>
  <c r="M36" i="27"/>
  <c r="M26" i="27"/>
  <c r="AA26" i="27" s="1"/>
  <c r="AE26" i="27" s="1"/>
  <c r="AI26" i="27" s="1"/>
  <c r="AO26" i="27" s="1"/>
  <c r="AS26" i="27" s="1"/>
  <c r="M21" i="27"/>
  <c r="P2" i="27"/>
  <c r="T2" i="27" s="1"/>
  <c r="Z2" i="27" s="1"/>
  <c r="AD2" i="27" s="1"/>
  <c r="AH2" i="27" s="1"/>
  <c r="AN2" i="27" s="1"/>
  <c r="AR2" i="27" s="1"/>
  <c r="L29" i="27"/>
  <c r="Z29" i="27" s="1"/>
  <c r="AD29" i="27" s="1"/>
  <c r="AH29" i="27" s="1"/>
  <c r="AN29" i="27" s="1"/>
  <c r="AR29" i="27" s="1"/>
  <c r="AV29" i="27" s="1"/>
  <c r="BD29" i="27" s="1"/>
  <c r="L26" i="27"/>
  <c r="Z26" i="27" s="1"/>
  <c r="AD26" i="27" s="1"/>
  <c r="L18" i="27"/>
  <c r="L21" i="27"/>
  <c r="L35" i="27"/>
  <c r="L19" i="27"/>
  <c r="L36" i="27"/>
  <c r="L28" i="27"/>
  <c r="L30" i="27"/>
  <c r="L37" i="27"/>
  <c r="L20" i="27"/>
  <c r="L22" i="27"/>
  <c r="P22" i="27" s="1"/>
  <c r="L31" i="27"/>
  <c r="Z31" i="27" s="1"/>
  <c r="AD31" i="27" s="1"/>
  <c r="AH31" i="27" s="1"/>
  <c r="AN31" i="27" s="1"/>
  <c r="AR31" i="27" s="1"/>
  <c r="AV31" i="27" s="1"/>
  <c r="BD31" i="27" s="1"/>
  <c r="L27" i="27"/>
  <c r="Z27" i="27" s="1"/>
  <c r="AD27" i="27" s="1"/>
  <c r="AH27" i="27" s="1"/>
  <c r="AN27" i="27" s="1"/>
  <c r="AR27" i="27" s="1"/>
  <c r="AV27" i="27" s="1"/>
  <c r="BD27" i="27" s="1"/>
  <c r="P2" i="26"/>
  <c r="P83" i="17" s="1"/>
  <c r="L12" i="26"/>
  <c r="L85" i="17"/>
  <c r="L109" i="26"/>
  <c r="L83" i="17"/>
  <c r="M11" i="26"/>
  <c r="M17" i="26" s="1"/>
  <c r="I76" i="26"/>
  <c r="M77" i="26"/>
  <c r="I85" i="17"/>
  <c r="M93" i="26"/>
  <c r="H81" i="26"/>
  <c r="L77" i="26"/>
  <c r="Z77" i="26" s="1"/>
  <c r="AD77" i="26" s="1"/>
  <c r="AH77" i="26" s="1"/>
  <c r="AN77" i="26" s="1"/>
  <c r="Z79" i="26"/>
  <c r="AD79" i="26" s="1"/>
  <c r="AH79" i="26" s="1"/>
  <c r="AN79" i="26" s="1"/>
  <c r="AR79" i="26" s="1"/>
  <c r="AV79" i="26" s="1"/>
  <c r="BD79" i="26" s="1"/>
  <c r="H84" i="17"/>
  <c r="L84" i="26"/>
  <c r="P84" i="26" s="1"/>
  <c r="T84" i="26" s="1"/>
  <c r="T89" i="26" s="1"/>
  <c r="M66" i="26"/>
  <c r="AA42" i="26"/>
  <c r="AE42" i="26" s="1"/>
  <c r="X56" i="26"/>
  <c r="N166" i="26"/>
  <c r="N159" i="26"/>
  <c r="J166" i="26"/>
  <c r="J159" i="26"/>
  <c r="H83" i="17"/>
  <c r="H82" i="17"/>
  <c r="H24" i="27"/>
  <c r="Z93" i="26"/>
  <c r="AD93" i="26" s="1"/>
  <c r="I82" i="17"/>
  <c r="I83" i="17"/>
  <c r="I39" i="27"/>
  <c r="I24" i="27"/>
  <c r="H39" i="27"/>
  <c r="I33" i="27"/>
  <c r="H33" i="27"/>
  <c r="Z97" i="26"/>
  <c r="AD97" i="26" s="1"/>
  <c r="AH97" i="26" s="1"/>
  <c r="AN97" i="26" s="1"/>
  <c r="AR97" i="26" s="1"/>
  <c r="AV97" i="26" s="1"/>
  <c r="BD97" i="26" s="1"/>
  <c r="Z88" i="26"/>
  <c r="AD88" i="26" s="1"/>
  <c r="AH88" i="26" s="1"/>
  <c r="AN88" i="26" s="1"/>
  <c r="AR88" i="26" s="1"/>
  <c r="AA72" i="26"/>
  <c r="AE72" i="26" s="1"/>
  <c r="AI72" i="26" s="1"/>
  <c r="AO72" i="26" s="1"/>
  <c r="AS72" i="26" s="1"/>
  <c r="AW72" i="26" s="1"/>
  <c r="BE72" i="26" s="1"/>
  <c r="Z40" i="26"/>
  <c r="AD40" i="26" s="1"/>
  <c r="AH40" i="26" s="1"/>
  <c r="AN40" i="26" s="1"/>
  <c r="AR40" i="26" s="1"/>
  <c r="AV40" i="26" s="1"/>
  <c r="BD40" i="26" s="1"/>
  <c r="Z72" i="26"/>
  <c r="AD72" i="26" s="1"/>
  <c r="AH72" i="26" s="1"/>
  <c r="AN72" i="26" s="1"/>
  <c r="AR72" i="26" s="1"/>
  <c r="AV72" i="26" s="1"/>
  <c r="BD72" i="26" s="1"/>
  <c r="Z99" i="26"/>
  <c r="AD99" i="26" s="1"/>
  <c r="AH99" i="26" s="1"/>
  <c r="AN99" i="26" s="1"/>
  <c r="AR99" i="26" s="1"/>
  <c r="AV99" i="26" s="1"/>
  <c r="BD99" i="26" s="1"/>
  <c r="Z107" i="26"/>
  <c r="AD107" i="26" s="1"/>
  <c r="AH107" i="26" s="1"/>
  <c r="AN107" i="26" s="1"/>
  <c r="AR107" i="26" s="1"/>
  <c r="AV107" i="26" s="1"/>
  <c r="BD107" i="26" s="1"/>
  <c r="Z103" i="26"/>
  <c r="AD103" i="26" s="1"/>
  <c r="AH103" i="26" s="1"/>
  <c r="AN103" i="26" s="1"/>
  <c r="AR103" i="26" s="1"/>
  <c r="AV103" i="26" s="1"/>
  <c r="BD103" i="26" s="1"/>
  <c r="Z66" i="26"/>
  <c r="AD66" i="26" s="1"/>
  <c r="AH66" i="26" s="1"/>
  <c r="AN66" i="26" s="1"/>
  <c r="AR66" i="26" s="1"/>
  <c r="AV66" i="26" s="1"/>
  <c r="BD66" i="26" s="1"/>
  <c r="AA38" i="26"/>
  <c r="AE38" i="26" s="1"/>
  <c r="AI38" i="26" s="1"/>
  <c r="AO38" i="26" s="1"/>
  <c r="AS38" i="26" s="1"/>
  <c r="AW38" i="26" s="1"/>
  <c r="BE38" i="26" s="1"/>
  <c r="Z101" i="26"/>
  <c r="AD101" i="26" s="1"/>
  <c r="AH101" i="26" s="1"/>
  <c r="AN101" i="26" s="1"/>
  <c r="AR101" i="26" s="1"/>
  <c r="AV101" i="26" s="1"/>
  <c r="BD101" i="26" s="1"/>
  <c r="Z64" i="26"/>
  <c r="AD64" i="26" s="1"/>
  <c r="AH64" i="26" s="1"/>
  <c r="AN64" i="26" s="1"/>
  <c r="AR64" i="26" s="1"/>
  <c r="AV64" i="26" s="1"/>
  <c r="BD64" i="26" s="1"/>
  <c r="AA58" i="26"/>
  <c r="AE58" i="26" s="1"/>
  <c r="AA8" i="26"/>
  <c r="AE8" i="26" s="1"/>
  <c r="AI8" i="26" s="1"/>
  <c r="AO8" i="26" s="1"/>
  <c r="AS8" i="26" s="1"/>
  <c r="Z95" i="26"/>
  <c r="AD95" i="26" s="1"/>
  <c r="AH95" i="26" s="1"/>
  <c r="AN95" i="26" s="1"/>
  <c r="AR95" i="26" s="1"/>
  <c r="AV95" i="26" s="1"/>
  <c r="BD95" i="26" s="1"/>
  <c r="Z105" i="26"/>
  <c r="AD105" i="26" s="1"/>
  <c r="AH105" i="26" s="1"/>
  <c r="AN105" i="26" s="1"/>
  <c r="AR105" i="26" s="1"/>
  <c r="AV105" i="26" s="1"/>
  <c r="BD105" i="26" s="1"/>
  <c r="AA101" i="26"/>
  <c r="AE101" i="26" s="1"/>
  <c r="AI101" i="26" s="1"/>
  <c r="AO101" i="26" s="1"/>
  <c r="AS101" i="26" s="1"/>
  <c r="AW101" i="26" s="1"/>
  <c r="BE101" i="26" s="1"/>
  <c r="AA36" i="26"/>
  <c r="AE36" i="26" s="1"/>
  <c r="AI36" i="26" s="1"/>
  <c r="AO36" i="26" s="1"/>
  <c r="AS36" i="26" s="1"/>
  <c r="AW36" i="26" s="1"/>
  <c r="BE36" i="26" s="1"/>
  <c r="AA60" i="26"/>
  <c r="AE60" i="26" s="1"/>
  <c r="AI60" i="26" s="1"/>
  <c r="AA103" i="26"/>
  <c r="AE103" i="26" s="1"/>
  <c r="AI103" i="26" s="1"/>
  <c r="AO103" i="26" s="1"/>
  <c r="AS103" i="26" s="1"/>
  <c r="AW103" i="26" s="1"/>
  <c r="BE103" i="26" s="1"/>
  <c r="Z68" i="26"/>
  <c r="AD68" i="26" s="1"/>
  <c r="AH68" i="26" s="1"/>
  <c r="AN68" i="26" s="1"/>
  <c r="AR68" i="26" s="1"/>
  <c r="AV68" i="26" s="1"/>
  <c r="BD68" i="26" s="1"/>
  <c r="AA30" i="26"/>
  <c r="AE30" i="26" s="1"/>
  <c r="AI30" i="26" s="1"/>
  <c r="AO30" i="26" s="1"/>
  <c r="AS30" i="26" s="1"/>
  <c r="AW30" i="26" s="1"/>
  <c r="BE30" i="26" s="1"/>
  <c r="Z70" i="26"/>
  <c r="AD70" i="26" s="1"/>
  <c r="AH70" i="26" s="1"/>
  <c r="AN70" i="26" s="1"/>
  <c r="AR70" i="26" s="1"/>
  <c r="AV70" i="26" s="1"/>
  <c r="BD70" i="26" s="1"/>
  <c r="AD51" i="26"/>
  <c r="AH51" i="26" s="1"/>
  <c r="AN51" i="26" s="1"/>
  <c r="AR51" i="26" s="1"/>
  <c r="AV51" i="26" s="1"/>
  <c r="BD51" i="26" s="1"/>
  <c r="Y46" i="26"/>
  <c r="I12" i="26"/>
  <c r="I18" i="26"/>
  <c r="I17" i="26"/>
  <c r="I81" i="26"/>
  <c r="AA79" i="26"/>
  <c r="AE79" i="26" s="1"/>
  <c r="AI79" i="26" s="1"/>
  <c r="AO79" i="26" s="1"/>
  <c r="AS79" i="26" s="1"/>
  <c r="AW79" i="26" s="1"/>
  <c r="BE79" i="26" s="1"/>
  <c r="I82" i="26"/>
  <c r="H49" i="26"/>
  <c r="H55" i="26" s="1"/>
  <c r="Z47" i="26"/>
  <c r="AD47" i="26" s="1"/>
  <c r="H89" i="26"/>
  <c r="I49" i="26"/>
  <c r="AA47" i="26"/>
  <c r="AE47" i="26" s="1"/>
  <c r="H56" i="26"/>
  <c r="H82" i="26"/>
  <c r="AS11" i="26" l="1"/>
  <c r="AS18" i="26" s="1"/>
  <c r="AW8" i="26"/>
  <c r="AA37" i="27"/>
  <c r="AE37" i="27" s="1"/>
  <c r="AI37" i="27" s="1"/>
  <c r="AO37" i="27" s="1"/>
  <c r="AS37" i="27" s="1"/>
  <c r="AW37" i="27" s="1"/>
  <c r="BE37" i="27" s="1"/>
  <c r="AA31" i="27"/>
  <c r="AE31" i="27" s="1"/>
  <c r="AI31" i="27" s="1"/>
  <c r="AN82" i="26"/>
  <c r="AR77" i="26"/>
  <c r="AS12" i="26"/>
  <c r="AN81" i="26"/>
  <c r="AO11" i="26"/>
  <c r="AI35" i="27"/>
  <c r="AH26" i="27"/>
  <c r="AO60" i="26"/>
  <c r="AH81" i="26"/>
  <c r="AE49" i="26"/>
  <c r="AE55" i="26" s="1"/>
  <c r="AI47" i="26"/>
  <c r="AI42" i="26"/>
  <c r="AH93" i="26"/>
  <c r="AN93" i="26" s="1"/>
  <c r="AI11" i="26"/>
  <c r="AI58" i="26"/>
  <c r="AO58" i="26" s="1"/>
  <c r="AH82" i="26"/>
  <c r="L50" i="26"/>
  <c r="L55" i="26"/>
  <c r="AD49" i="26"/>
  <c r="AH47" i="26"/>
  <c r="AD81" i="26"/>
  <c r="AE11" i="26"/>
  <c r="AD109" i="26"/>
  <c r="AD82" i="26"/>
  <c r="AA36" i="27"/>
  <c r="AE36" i="27" s="1"/>
  <c r="AI36" i="27" s="1"/>
  <c r="AO36" i="27" s="1"/>
  <c r="AS36" i="27" s="1"/>
  <c r="AW36" i="27" s="1"/>
  <c r="BE36" i="27" s="1"/>
  <c r="AA29" i="27"/>
  <c r="AE29" i="27" s="1"/>
  <c r="AI29" i="27" s="1"/>
  <c r="AO29" i="27" s="1"/>
  <c r="AS29" i="27" s="1"/>
  <c r="AA27" i="27"/>
  <c r="AE27" i="27" s="1"/>
  <c r="AI27" i="27" s="1"/>
  <c r="AO27" i="27" s="1"/>
  <c r="AS27" i="27" s="1"/>
  <c r="AA28" i="27"/>
  <c r="AE28" i="27" s="1"/>
  <c r="AI28" i="27" s="1"/>
  <c r="AO28" i="27" s="1"/>
  <c r="AS28" i="27" s="1"/>
  <c r="Z37" i="27"/>
  <c r="AD37" i="27" s="1"/>
  <c r="AH37" i="27" s="1"/>
  <c r="AN37" i="27" s="1"/>
  <c r="AR37" i="27" s="1"/>
  <c r="AV37" i="27" s="1"/>
  <c r="BD37" i="27" s="1"/>
  <c r="Z28" i="27"/>
  <c r="AD28" i="27" s="1"/>
  <c r="AH28" i="27" s="1"/>
  <c r="AN28" i="27" s="1"/>
  <c r="AR28" i="27" s="1"/>
  <c r="AV28" i="27" s="1"/>
  <c r="BD28" i="27" s="1"/>
  <c r="Z35" i="27"/>
  <c r="AD35" i="27" s="1"/>
  <c r="Z30" i="27"/>
  <c r="AD30" i="27" s="1"/>
  <c r="AH30" i="27" s="1"/>
  <c r="AN30" i="27" s="1"/>
  <c r="AR30" i="27" s="1"/>
  <c r="AV30" i="27" s="1"/>
  <c r="BD30" i="27" s="1"/>
  <c r="Z36" i="27"/>
  <c r="AD36" i="27" s="1"/>
  <c r="AH36" i="27" s="1"/>
  <c r="AN36" i="27" s="1"/>
  <c r="AR36" i="27" s="1"/>
  <c r="AV36" i="27" s="1"/>
  <c r="BD36" i="27" s="1"/>
  <c r="AA95" i="26"/>
  <c r="AE95" i="26" s="1"/>
  <c r="AI95" i="26" s="1"/>
  <c r="AO95" i="26" s="1"/>
  <c r="AS95" i="26" s="1"/>
  <c r="AW95" i="26" s="1"/>
  <c r="BE95" i="26" s="1"/>
  <c r="P20" i="27"/>
  <c r="T20" i="27" s="1"/>
  <c r="Z20" i="27" s="1"/>
  <c r="AD20" i="27" s="1"/>
  <c r="AH20" i="27" s="1"/>
  <c r="AN20" i="27" s="1"/>
  <c r="AR20" i="27" s="1"/>
  <c r="AV20" i="27" s="1"/>
  <c r="BD20" i="27" s="1"/>
  <c r="T22" i="27"/>
  <c r="Z22" i="27" s="1"/>
  <c r="AD22" i="27" s="1"/>
  <c r="AH22" i="27" s="1"/>
  <c r="AN22" i="27" s="1"/>
  <c r="AR22" i="27" s="1"/>
  <c r="AV22" i="27" s="1"/>
  <c r="BD22" i="27" s="1"/>
  <c r="P37" i="27"/>
  <c r="Q21" i="27"/>
  <c r="Q36" i="27"/>
  <c r="Q22" i="27"/>
  <c r="T74" i="26"/>
  <c r="L56" i="26"/>
  <c r="Z56" i="26" s="1"/>
  <c r="AD56" i="26" s="1"/>
  <c r="AH56" i="26" s="1"/>
  <c r="AN56" i="26" s="1"/>
  <c r="AR56" i="26" s="1"/>
  <c r="AV56" i="26" s="1"/>
  <c r="BD56" i="26" s="1"/>
  <c r="T162" i="26"/>
  <c r="U56" i="26"/>
  <c r="U50" i="26"/>
  <c r="U162" i="26"/>
  <c r="U55" i="26"/>
  <c r="U44" i="26"/>
  <c r="U18" i="26"/>
  <c r="U12" i="26"/>
  <c r="U17" i="26"/>
  <c r="Q31" i="27"/>
  <c r="P36" i="27"/>
  <c r="P27" i="27"/>
  <c r="P31" i="27"/>
  <c r="P29" i="27"/>
  <c r="P28" i="27"/>
  <c r="Q27" i="27"/>
  <c r="P19" i="27"/>
  <c r="Q28" i="27"/>
  <c r="Q19" i="27"/>
  <c r="P21" i="27"/>
  <c r="Q20" i="27"/>
  <c r="Q37" i="27"/>
  <c r="AA20" i="26"/>
  <c r="AE20" i="26" s="1"/>
  <c r="AI20" i="26" s="1"/>
  <c r="AO20" i="26" s="1"/>
  <c r="T2" i="26"/>
  <c r="T12" i="26" s="1"/>
  <c r="M56" i="26"/>
  <c r="L74" i="26"/>
  <c r="M50" i="26"/>
  <c r="L44" i="26"/>
  <c r="M44" i="26"/>
  <c r="M24" i="27"/>
  <c r="M85" i="17"/>
  <c r="Q93" i="26"/>
  <c r="U93" i="26" s="1"/>
  <c r="U109" i="26" s="1"/>
  <c r="P49" i="26"/>
  <c r="P55" i="26" s="1"/>
  <c r="M81" i="26"/>
  <c r="Q77" i="26"/>
  <c r="U77" i="26" s="1"/>
  <c r="Q49" i="26"/>
  <c r="Q11" i="26"/>
  <c r="P12" i="26"/>
  <c r="P85" i="17"/>
  <c r="U83" i="17"/>
  <c r="Q83" i="17"/>
  <c r="P74" i="26"/>
  <c r="M74" i="26"/>
  <c r="Q66" i="26"/>
  <c r="U66" i="26" s="1"/>
  <c r="U74" i="26" s="1"/>
  <c r="L82" i="26"/>
  <c r="P77" i="26"/>
  <c r="T77" i="26" s="1"/>
  <c r="P84" i="17"/>
  <c r="P89" i="26"/>
  <c r="U82" i="17"/>
  <c r="Q82" i="17"/>
  <c r="Q44" i="26"/>
  <c r="M39" i="27"/>
  <c r="L33" i="27"/>
  <c r="L39" i="27"/>
  <c r="L24" i="27"/>
  <c r="M33" i="27"/>
  <c r="M12" i="26"/>
  <c r="M18" i="26"/>
  <c r="M82" i="26"/>
  <c r="AA66" i="26"/>
  <c r="AE66" i="26" s="1"/>
  <c r="AI66" i="26" s="1"/>
  <c r="AO66" i="26" s="1"/>
  <c r="AS66" i="26" s="1"/>
  <c r="AW66" i="26" s="1"/>
  <c r="BE66" i="26" s="1"/>
  <c r="L84" i="17"/>
  <c r="L89" i="26"/>
  <c r="L81" i="26"/>
  <c r="M76" i="26"/>
  <c r="M109" i="26"/>
  <c r="M91" i="26" s="1"/>
  <c r="AA62" i="26"/>
  <c r="AE62" i="26" s="1"/>
  <c r="Z62" i="26"/>
  <c r="AD62" i="26" s="1"/>
  <c r="H159" i="26"/>
  <c r="I55" i="26"/>
  <c r="I162" i="26"/>
  <c r="H50" i="26"/>
  <c r="H162" i="26"/>
  <c r="AA28" i="26"/>
  <c r="AE28" i="26" s="1"/>
  <c r="Z84" i="26"/>
  <c r="AD84" i="26" s="1"/>
  <c r="P26" i="27"/>
  <c r="Q29" i="27"/>
  <c r="Q26" i="27"/>
  <c r="Z81" i="26"/>
  <c r="AA77" i="26"/>
  <c r="AE77" i="26" s="1"/>
  <c r="Z58" i="26"/>
  <c r="AD58" i="26" s="1"/>
  <c r="AH58" i="26" s="1"/>
  <c r="AN58" i="26" s="1"/>
  <c r="AA22" i="26"/>
  <c r="AE22" i="26" s="1"/>
  <c r="Z60" i="26"/>
  <c r="AD60" i="26" s="1"/>
  <c r="AA11" i="26"/>
  <c r="AA18" i="26" s="1"/>
  <c r="Z109" i="26"/>
  <c r="X109" i="26"/>
  <c r="Q18" i="27"/>
  <c r="P30" i="27"/>
  <c r="P18" i="27"/>
  <c r="Q35" i="27"/>
  <c r="P35" i="27"/>
  <c r="I6" i="26"/>
  <c r="I56" i="26"/>
  <c r="I50" i="26"/>
  <c r="I46" i="26" s="1"/>
  <c r="AW11" i="26" l="1"/>
  <c r="BE8" i="26"/>
  <c r="BE11" i="26" s="1"/>
  <c r="AS17" i="26"/>
  <c r="AR82" i="26"/>
  <c r="AV77" i="26"/>
  <c r="BD77" i="26" s="1"/>
  <c r="AW12" i="26"/>
  <c r="AW18" i="26"/>
  <c r="AW17" i="26"/>
  <c r="AR58" i="26"/>
  <c r="AV58" i="26" s="1"/>
  <c r="BD58" i="26" s="1"/>
  <c r="AS20" i="26"/>
  <c r="AW20" i="26" s="1"/>
  <c r="BE20" i="26" s="1"/>
  <c r="AS60" i="26"/>
  <c r="AW60" i="26" s="1"/>
  <c r="AR81" i="26"/>
  <c r="AN109" i="26"/>
  <c r="AR93" i="26"/>
  <c r="AV93" i="26" s="1"/>
  <c r="BD93" i="26" s="1"/>
  <c r="BD109" i="26" s="1"/>
  <c r="AS58" i="26"/>
  <c r="AW58" i="26" s="1"/>
  <c r="BE58" i="26" s="1"/>
  <c r="AE33" i="27"/>
  <c r="AH49" i="26"/>
  <c r="AH55" i="26" s="1"/>
  <c r="AN47" i="26"/>
  <c r="AI49" i="26"/>
  <c r="AI56" i="26" s="1"/>
  <c r="AO47" i="26"/>
  <c r="AO18" i="26"/>
  <c r="AO12" i="26"/>
  <c r="AO17" i="26"/>
  <c r="AO31" i="27"/>
  <c r="AI33" i="27"/>
  <c r="AE39" i="27"/>
  <c r="AH35" i="27"/>
  <c r="AD39" i="27"/>
  <c r="AI39" i="27"/>
  <c r="AO35" i="27"/>
  <c r="AS35" i="27" s="1"/>
  <c r="AN26" i="27"/>
  <c r="AH33" i="27"/>
  <c r="AD33" i="27"/>
  <c r="AO42" i="26"/>
  <c r="AE50" i="26"/>
  <c r="AE56" i="26"/>
  <c r="AI62" i="26"/>
  <c r="AI74" i="26" s="1"/>
  <c r="AE83" i="17"/>
  <c r="AH62" i="26"/>
  <c r="AI17" i="26"/>
  <c r="AI12" i="26"/>
  <c r="AI18" i="26"/>
  <c r="AE82" i="26"/>
  <c r="AI77" i="26"/>
  <c r="AO77" i="26" s="1"/>
  <c r="AS77" i="26" s="1"/>
  <c r="AW77" i="26" s="1"/>
  <c r="BE77" i="26" s="1"/>
  <c r="AH60" i="26"/>
  <c r="AI22" i="26"/>
  <c r="AI28" i="26"/>
  <c r="AE82" i="17"/>
  <c r="AD89" i="26"/>
  <c r="AH84" i="26"/>
  <c r="AN84" i="26" s="1"/>
  <c r="AH109" i="26"/>
  <c r="AD55" i="26"/>
  <c r="AE81" i="26"/>
  <c r="AE74" i="26"/>
  <c r="AD74" i="26"/>
  <c r="AE44" i="26"/>
  <c r="AE18" i="26"/>
  <c r="AE12" i="26"/>
  <c r="AE17" i="26"/>
  <c r="U35" i="27"/>
  <c r="U20" i="27"/>
  <c r="T19" i="27"/>
  <c r="Z19" i="27" s="1"/>
  <c r="AD19" i="27" s="1"/>
  <c r="AH19" i="27" s="1"/>
  <c r="T31" i="27"/>
  <c r="U22" i="27"/>
  <c r="AA22" i="27" s="1"/>
  <c r="AE22" i="27" s="1"/>
  <c r="AI22" i="27" s="1"/>
  <c r="AO22" i="27" s="1"/>
  <c r="AS22" i="27" s="1"/>
  <c r="AW22" i="27" s="1"/>
  <c r="BE22" i="27" s="1"/>
  <c r="T30" i="27"/>
  <c r="T18" i="27"/>
  <c r="T26" i="27"/>
  <c r="T21" i="27"/>
  <c r="Z21" i="27" s="1"/>
  <c r="AD21" i="27" s="1"/>
  <c r="AH21" i="27" s="1"/>
  <c r="AN21" i="27" s="1"/>
  <c r="AR21" i="27" s="1"/>
  <c r="AV21" i="27" s="1"/>
  <c r="BD21" i="27" s="1"/>
  <c r="U27" i="27"/>
  <c r="T27" i="27"/>
  <c r="U36" i="27"/>
  <c r="U26" i="27"/>
  <c r="U29" i="27"/>
  <c r="U19" i="27"/>
  <c r="T28" i="27"/>
  <c r="T36" i="27"/>
  <c r="U21" i="27"/>
  <c r="AA21" i="27" s="1"/>
  <c r="AE21" i="27" s="1"/>
  <c r="AI21" i="27" s="1"/>
  <c r="AO21" i="27" s="1"/>
  <c r="AS21" i="27" s="1"/>
  <c r="AW21" i="27" s="1"/>
  <c r="BE21" i="27" s="1"/>
  <c r="T35" i="27"/>
  <c r="U18" i="27"/>
  <c r="T29" i="27"/>
  <c r="U31" i="27"/>
  <c r="T37" i="27"/>
  <c r="Z2" i="26"/>
  <c r="T83" i="17"/>
  <c r="I159" i="26"/>
  <c r="P56" i="26"/>
  <c r="AA20" i="27"/>
  <c r="AE20" i="27" s="1"/>
  <c r="AI20" i="27" s="1"/>
  <c r="AO20" i="27" s="1"/>
  <c r="AS20" i="27" s="1"/>
  <c r="AW20" i="27" s="1"/>
  <c r="BE20" i="27" s="1"/>
  <c r="U37" i="27"/>
  <c r="T50" i="26"/>
  <c r="U28" i="27"/>
  <c r="T82" i="26"/>
  <c r="T81" i="26"/>
  <c r="U82" i="26"/>
  <c r="U81" i="26"/>
  <c r="U159" i="26"/>
  <c r="M46" i="26"/>
  <c r="T85" i="17"/>
  <c r="P39" i="27"/>
  <c r="Q24" i="27"/>
  <c r="Q39" i="27"/>
  <c r="P24" i="27"/>
  <c r="M6" i="26"/>
  <c r="Q12" i="26"/>
  <c r="Q18" i="26"/>
  <c r="Q17" i="26"/>
  <c r="Q76" i="26"/>
  <c r="U76" i="26" s="1"/>
  <c r="Q82" i="26"/>
  <c r="Q81" i="26"/>
  <c r="P50" i="26"/>
  <c r="Q50" i="26"/>
  <c r="Q56" i="26"/>
  <c r="Q55" i="26"/>
  <c r="Q85" i="17"/>
  <c r="Q109" i="26"/>
  <c r="Q91" i="26" s="1"/>
  <c r="U91" i="26" s="1"/>
  <c r="P82" i="26"/>
  <c r="P81" i="26"/>
  <c r="AA83" i="17"/>
  <c r="Q74" i="26"/>
  <c r="Q33" i="27"/>
  <c r="L159" i="26"/>
  <c r="L162" i="26"/>
  <c r="AA82" i="17"/>
  <c r="P33" i="27"/>
  <c r="AA76" i="26"/>
  <c r="AE76" i="26" s="1"/>
  <c r="AA81" i="26"/>
  <c r="Z12" i="26"/>
  <c r="T84" i="17"/>
  <c r="AA12" i="26"/>
  <c r="X89" i="26"/>
  <c r="X49" i="26"/>
  <c r="X162" i="26" s="1"/>
  <c r="X74" i="26"/>
  <c r="AS39" i="27" l="1"/>
  <c r="AW35" i="27"/>
  <c r="BD82" i="26"/>
  <c r="BD81" i="26"/>
  <c r="BE82" i="26"/>
  <c r="BE81" i="26"/>
  <c r="AH74" i="26"/>
  <c r="BE17" i="26"/>
  <c r="BE12" i="26"/>
  <c r="BE18" i="26"/>
  <c r="AI55" i="26"/>
  <c r="AX185" i="6"/>
  <c r="BE60" i="26"/>
  <c r="AV85" i="17"/>
  <c r="AV109" i="26"/>
  <c r="AW82" i="26"/>
  <c r="AW81" i="26"/>
  <c r="AV82" i="26"/>
  <c r="AV81" i="26"/>
  <c r="AX159" i="6"/>
  <c r="AI50" i="26"/>
  <c r="AN49" i="26"/>
  <c r="AN55" i="26" s="1"/>
  <c r="AR47" i="26"/>
  <c r="AS82" i="26"/>
  <c r="AS81" i="26"/>
  <c r="AO39" i="27"/>
  <c r="AN89" i="26"/>
  <c r="AR84" i="26"/>
  <c r="AV84" i="26" s="1"/>
  <c r="BD84" i="26" s="1"/>
  <c r="BD89" i="26" s="1"/>
  <c r="AN33" i="27"/>
  <c r="AR26" i="27"/>
  <c r="AO33" i="27"/>
  <c r="AS31" i="27"/>
  <c r="AO49" i="26"/>
  <c r="AO56" i="26" s="1"/>
  <c r="AS47" i="26"/>
  <c r="AR109" i="26"/>
  <c r="AS42" i="26"/>
  <c r="AW42" i="26" s="1"/>
  <c r="Z83" i="17"/>
  <c r="AD2" i="26"/>
  <c r="AO82" i="26"/>
  <c r="AO81" i="26"/>
  <c r="AN35" i="27"/>
  <c r="AH39" i="27"/>
  <c r="AN19" i="27"/>
  <c r="AR19" i="27" s="1"/>
  <c r="AV19" i="27" s="1"/>
  <c r="BD19" i="27" s="1"/>
  <c r="T33" i="27"/>
  <c r="AO22" i="26"/>
  <c r="AN62" i="26"/>
  <c r="AI82" i="17"/>
  <c r="AO28" i="26"/>
  <c r="AN60" i="26"/>
  <c r="AI83" i="17"/>
  <c r="AO62" i="26"/>
  <c r="AI76" i="26"/>
  <c r="AO76" i="26" s="1"/>
  <c r="AS76" i="26" s="1"/>
  <c r="AW76" i="26" s="1"/>
  <c r="BE76" i="26" s="1"/>
  <c r="AI44" i="26"/>
  <c r="AH89" i="26"/>
  <c r="AI81" i="26"/>
  <c r="AI82" i="26"/>
  <c r="Q46" i="26"/>
  <c r="U46" i="26" s="1"/>
  <c r="Z84" i="17"/>
  <c r="Z85" i="17"/>
  <c r="T24" i="27"/>
  <c r="U24" i="27"/>
  <c r="U39" i="27"/>
  <c r="U33" i="27"/>
  <c r="X39" i="27"/>
  <c r="Y39" i="27"/>
  <c r="T39" i="27"/>
  <c r="X159" i="26"/>
  <c r="T56" i="26"/>
  <c r="AA19" i="27"/>
  <c r="AE19" i="27" s="1"/>
  <c r="AI19" i="27" s="1"/>
  <c r="AO19" i="27" s="1"/>
  <c r="AS19" i="27" s="1"/>
  <c r="AW19" i="27" s="1"/>
  <c r="AA6" i="26"/>
  <c r="AE6" i="26" s="1"/>
  <c r="AI6" i="26" s="1"/>
  <c r="AO6" i="26" s="1"/>
  <c r="AS6" i="26" s="1"/>
  <c r="AW6" i="26" s="1"/>
  <c r="BE6" i="26" s="1"/>
  <c r="Q6" i="26"/>
  <c r="U6" i="26" s="1"/>
  <c r="P159" i="26"/>
  <c r="P162" i="26"/>
  <c r="AA56" i="26"/>
  <c r="Q162" i="26"/>
  <c r="X50" i="26"/>
  <c r="X55" i="26"/>
  <c r="AA17" i="26"/>
  <c r="AA18" i="27"/>
  <c r="AE18" i="27" s="1"/>
  <c r="Z74" i="26"/>
  <c r="Z82" i="26"/>
  <c r="Z89" i="26"/>
  <c r="AA44" i="26"/>
  <c r="X82" i="26"/>
  <c r="Z49" i="26"/>
  <c r="Z162" i="26" s="1"/>
  <c r="AA49" i="26"/>
  <c r="Z18" i="27"/>
  <c r="AD18" i="27" s="1"/>
  <c r="BE19" i="27" l="1"/>
  <c r="AS33" i="27"/>
  <c r="AW31" i="27"/>
  <c r="AR33" i="27"/>
  <c r="AV26" i="27"/>
  <c r="BE35" i="27"/>
  <c r="BE39" i="27" s="1"/>
  <c r="AW39" i="27"/>
  <c r="AO50" i="26"/>
  <c r="AO55" i="26"/>
  <c r="AX78" i="7"/>
  <c r="BE42" i="26"/>
  <c r="BF78" i="7" s="1"/>
  <c r="AV89" i="26"/>
  <c r="AV84" i="17"/>
  <c r="AR49" i="26"/>
  <c r="AR55" i="26" s="1"/>
  <c r="AV47" i="26"/>
  <c r="AS49" i="26"/>
  <c r="AS50" i="26" s="1"/>
  <c r="AW47" i="26"/>
  <c r="AO74" i="26"/>
  <c r="AS62" i="26"/>
  <c r="AW62" i="26" s="1"/>
  <c r="BE62" i="26" s="1"/>
  <c r="BE74" i="26" s="1"/>
  <c r="AO83" i="17"/>
  <c r="AN39" i="27"/>
  <c r="AR35" i="27"/>
  <c r="AR60" i="26"/>
  <c r="AV60" i="26" s="1"/>
  <c r="BD60" i="26" s="1"/>
  <c r="AR62" i="26"/>
  <c r="AV62" i="26" s="1"/>
  <c r="AR89" i="26"/>
  <c r="AS22" i="26"/>
  <c r="AW22" i="26" s="1"/>
  <c r="BE22" i="26" s="1"/>
  <c r="AS28" i="26"/>
  <c r="AO82" i="17"/>
  <c r="AH2" i="26"/>
  <c r="AD12" i="26"/>
  <c r="AD85" i="17"/>
  <c r="AD83" i="17"/>
  <c r="AD50" i="26"/>
  <c r="AD84" i="17"/>
  <c r="AH18" i="27"/>
  <c r="AD24" i="27"/>
  <c r="AI18" i="27"/>
  <c r="AE24" i="27"/>
  <c r="AN74" i="26"/>
  <c r="AO44" i="26"/>
  <c r="Z159" i="26"/>
  <c r="T159" i="26"/>
  <c r="AA24" i="27"/>
  <c r="Z39" i="27"/>
  <c r="Z33" i="27"/>
  <c r="AA39" i="27"/>
  <c r="Z24" i="27"/>
  <c r="AA33" i="27"/>
  <c r="Z50" i="26"/>
  <c r="Z55" i="26"/>
  <c r="AA50" i="26"/>
  <c r="AA46" i="26" s="1"/>
  <c r="AE46" i="26" s="1"/>
  <c r="AI46" i="26" s="1"/>
  <c r="AO46" i="26" s="1"/>
  <c r="AA55" i="26"/>
  <c r="AR39" i="27" l="1"/>
  <c r="AV35" i="27"/>
  <c r="BD26" i="27"/>
  <c r="BD33" i="27" s="1"/>
  <c r="AV33" i="27"/>
  <c r="BE31" i="27"/>
  <c r="BE33" i="27" s="1"/>
  <c r="AW33" i="27"/>
  <c r="AS55" i="26"/>
  <c r="AW49" i="26"/>
  <c r="AW50" i="26" s="1"/>
  <c r="BE47" i="26"/>
  <c r="BE49" i="26" s="1"/>
  <c r="AV49" i="26"/>
  <c r="AV50" i="26" s="1"/>
  <c r="BD47" i="26"/>
  <c r="BD49" i="26" s="1"/>
  <c r="AS56" i="26"/>
  <c r="AS44" i="26"/>
  <c r="AS46" i="26"/>
  <c r="AV83" i="17"/>
  <c r="BD62" i="26"/>
  <c r="BD74" i="26" s="1"/>
  <c r="AW185" i="6"/>
  <c r="AV74" i="26"/>
  <c r="AW83" i="17"/>
  <c r="AW74" i="26"/>
  <c r="AW56" i="26"/>
  <c r="AW55" i="26"/>
  <c r="AX184" i="6"/>
  <c r="AS82" i="17"/>
  <c r="AW28" i="26"/>
  <c r="AR74" i="26"/>
  <c r="AS83" i="17"/>
  <c r="AS74" i="26"/>
  <c r="AN2" i="26"/>
  <c r="AH12" i="26"/>
  <c r="AH50" i="26"/>
  <c r="AH85" i="17"/>
  <c r="AH84" i="17"/>
  <c r="AH83" i="17"/>
  <c r="AN18" i="27"/>
  <c r="AH24" i="27"/>
  <c r="AO18" i="27"/>
  <c r="AI24" i="27"/>
  <c r="E15" i="8"/>
  <c r="BD35" i="27" l="1"/>
  <c r="BD39" i="27" s="1"/>
  <c r="AV39" i="27"/>
  <c r="BD50" i="26"/>
  <c r="BD55" i="26"/>
  <c r="BE56" i="26"/>
  <c r="BE50" i="26"/>
  <c r="BE55" i="26"/>
  <c r="AV55" i="26"/>
  <c r="AW46" i="26"/>
  <c r="AW82" i="17"/>
  <c r="BE28" i="26"/>
  <c r="BE44" i="26" s="1"/>
  <c r="AW44" i="26"/>
  <c r="AN24" i="27"/>
  <c r="AR18" i="27"/>
  <c r="AO24" i="27"/>
  <c r="AS18" i="27"/>
  <c r="AR2" i="26"/>
  <c r="AN85" i="17"/>
  <c r="AN84" i="17"/>
  <c r="AN83" i="17"/>
  <c r="AN12" i="26"/>
  <c r="AN50" i="26"/>
  <c r="J27" i="22"/>
  <c r="N27" i="22" s="1"/>
  <c r="R27" i="22" s="1"/>
  <c r="V27" i="22" s="1"/>
  <c r="Z28" i="22" s="1"/>
  <c r="Z64" i="22" s="1"/>
  <c r="Z65" i="22" s="1"/>
  <c r="Z66" i="22" s="1"/>
  <c r="J13" i="22"/>
  <c r="R13" i="22" s="1"/>
  <c r="V13" i="22" s="1"/>
  <c r="AS24" i="27" l="1"/>
  <c r="AW18" i="27"/>
  <c r="AR24" i="27"/>
  <c r="AV18" i="27"/>
  <c r="BE46" i="26"/>
  <c r="AR12" i="26"/>
  <c r="AR85" i="17"/>
  <c r="AR50" i="26"/>
  <c r="AR84" i="17"/>
  <c r="AR83" i="17"/>
  <c r="AB27" i="22"/>
  <c r="AF27" i="22" s="1"/>
  <c r="BE18" i="27" l="1"/>
  <c r="BE24" i="27" s="1"/>
  <c r="AW24" i="27"/>
  <c r="BD18" i="27"/>
  <c r="BD24" i="27" s="1"/>
  <c r="AV24" i="27"/>
  <c r="AJ27" i="22"/>
  <c r="AB13" i="22"/>
  <c r="AF13" i="22" s="1"/>
  <c r="AJ13" i="22" l="1"/>
  <c r="AP27" i="22"/>
  <c r="Z6" i="24"/>
  <c r="Y6" i="24"/>
  <c r="AP13" i="22" l="1"/>
  <c r="AT27" i="22"/>
  <c r="Z12" i="15"/>
  <c r="AD12" i="15" s="1"/>
  <c r="AH12" i="15" s="1"/>
  <c r="AN12" i="15" s="1"/>
  <c r="AR12" i="15" s="1"/>
  <c r="AV12" i="15" s="1"/>
  <c r="BD12" i="15" s="1"/>
  <c r="AT13" i="22" l="1"/>
  <c r="I59" i="8"/>
  <c r="AE59" i="8" l="1"/>
  <c r="AI59" i="8" s="1"/>
  <c r="AO59" i="8" s="1"/>
  <c r="AS59" i="8" s="1"/>
  <c r="AW59" i="8" s="1"/>
  <c r="BE59" i="8" s="1"/>
  <c r="J67" i="8" l="1"/>
  <c r="I8" i="24" l="1"/>
  <c r="M8" i="24" s="1"/>
  <c r="Q8" i="24" s="1"/>
  <c r="U8" i="24" s="1"/>
  <c r="I7" i="24"/>
  <c r="M7" i="24" s="1"/>
  <c r="Q7" i="24" s="1"/>
  <c r="U7" i="24" s="1"/>
  <c r="I6" i="24"/>
  <c r="M6" i="24" s="1"/>
  <c r="Q6" i="24" s="1"/>
  <c r="U6" i="24" s="1"/>
  <c r="AA7" i="24" l="1"/>
  <c r="AE7" i="24" s="1"/>
  <c r="AI7" i="24" s="1"/>
  <c r="AO7" i="24" s="1"/>
  <c r="AS7" i="24" s="1"/>
  <c r="AA8" i="24"/>
  <c r="AE8" i="24" s="1"/>
  <c r="AI8" i="24" s="1"/>
  <c r="AO8" i="24" s="1"/>
  <c r="AS8" i="24" s="1"/>
  <c r="AA6" i="24"/>
  <c r="AE6" i="24" s="1"/>
  <c r="AI6" i="24" s="1"/>
  <c r="AO6" i="24" s="1"/>
  <c r="AS6" i="24" s="1"/>
  <c r="J7" i="24"/>
  <c r="N7" i="24" s="1"/>
  <c r="R7" i="24" s="1"/>
  <c r="V7" i="24" s="1"/>
  <c r="J8" i="24"/>
  <c r="N8" i="24" s="1"/>
  <c r="R8" i="24" s="1"/>
  <c r="V8" i="24" s="1"/>
  <c r="J6" i="24"/>
  <c r="N6" i="24" s="1"/>
  <c r="R6" i="24" s="1"/>
  <c r="V6" i="24" s="1"/>
  <c r="AB7" i="24" l="1"/>
  <c r="AF7" i="24" s="1"/>
  <c r="AJ7" i="24" s="1"/>
  <c r="AP7" i="24" s="1"/>
  <c r="AT7" i="24" s="1"/>
  <c r="AB6" i="24"/>
  <c r="AF6" i="24" s="1"/>
  <c r="AJ6" i="24" s="1"/>
  <c r="AP6" i="24" s="1"/>
  <c r="AT6" i="24" s="1"/>
  <c r="AB8" i="24"/>
  <c r="AF8" i="24" s="1"/>
  <c r="AJ8" i="24" s="1"/>
  <c r="AP8" i="24" s="1"/>
  <c r="AT8" i="24" s="1"/>
  <c r="J59" i="8" l="1"/>
  <c r="AB6" i="21" l="1"/>
  <c r="AF6" i="21" s="1"/>
  <c r="AJ6" i="21" l="1"/>
  <c r="AF12" i="21"/>
  <c r="Q6" i="21"/>
  <c r="U6" i="21" s="1"/>
  <c r="AA6" i="21"/>
  <c r="AE6" i="21" s="1"/>
  <c r="R6" i="21"/>
  <c r="V6" i="21" s="1"/>
  <c r="J18" i="21"/>
  <c r="AE12" i="21" l="1"/>
  <c r="AI6" i="21"/>
  <c r="AP6" i="21"/>
  <c r="AJ12" i="21"/>
  <c r="AF390" i="28"/>
  <c r="AF391" i="28"/>
  <c r="R18" i="21"/>
  <c r="V18" i="21" s="1"/>
  <c r="J58" i="8"/>
  <c r="AJ390" i="28" l="1"/>
  <c r="AJ391" i="28"/>
  <c r="AT6" i="21"/>
  <c r="AP12" i="21"/>
  <c r="AE22" i="21"/>
  <c r="AE390" i="28"/>
  <c r="AE391" i="28"/>
  <c r="AO6" i="21"/>
  <c r="AI12" i="21"/>
  <c r="AI30" i="21" s="1"/>
  <c r="J60" i="8"/>
  <c r="J57" i="8"/>
  <c r="AT12" i="21" l="1"/>
  <c r="AX6" i="21"/>
  <c r="AS6" i="21"/>
  <c r="AO12" i="21"/>
  <c r="AP390" i="28"/>
  <c r="AP391" i="28"/>
  <c r="AI22" i="21"/>
  <c r="AO22" i="21" s="1"/>
  <c r="AI390" i="28"/>
  <c r="AI391" i="28"/>
  <c r="AT390" i="28"/>
  <c r="AT391" i="28"/>
  <c r="J61" i="8"/>
  <c r="AX12" i="21" l="1"/>
  <c r="BF6" i="21"/>
  <c r="BF12" i="21" s="1"/>
  <c r="BF20" i="21" s="1"/>
  <c r="AS12" i="21"/>
  <c r="AS30" i="21" s="1"/>
  <c r="AW6" i="21"/>
  <c r="AX390" i="28"/>
  <c r="AX391" i="28"/>
  <c r="AO390" i="28"/>
  <c r="AO391" i="28"/>
  <c r="I66" i="9"/>
  <c r="J66" i="9"/>
  <c r="AS391" i="28" l="1"/>
  <c r="AS390" i="28"/>
  <c r="AW12" i="21"/>
  <c r="AW391" i="28" s="1"/>
  <c r="BE6" i="21"/>
  <c r="BE12" i="21" s="1"/>
  <c r="BE22" i="21" s="1"/>
  <c r="AS22" i="21"/>
  <c r="AW22" i="21"/>
  <c r="J25" i="22"/>
  <c r="J22" i="22"/>
  <c r="R22" i="22" s="1"/>
  <c r="V22" i="22" s="1"/>
  <c r="J21" i="22"/>
  <c r="R21" i="22" s="1"/>
  <c r="V21" i="22" s="1"/>
  <c r="J11" i="22"/>
  <c r="J8" i="22"/>
  <c r="R8" i="22" s="1"/>
  <c r="V8" i="22" s="1"/>
  <c r="J7" i="22"/>
  <c r="AW390" i="28" l="1"/>
  <c r="V23" i="22"/>
  <c r="R23" i="22"/>
  <c r="R7" i="22"/>
  <c r="V7" i="22" s="1"/>
  <c r="V9" i="22" s="1"/>
  <c r="N23" i="22"/>
  <c r="J52" i="22"/>
  <c r="J44" i="22"/>
  <c r="J14" i="22"/>
  <c r="J59" i="22" s="1"/>
  <c r="J28" i="22"/>
  <c r="J64" i="22" s="1"/>
  <c r="I7" i="22"/>
  <c r="J9" i="22"/>
  <c r="J43" i="22" s="1"/>
  <c r="I22" i="22"/>
  <c r="I21" i="22"/>
  <c r="J23" i="22"/>
  <c r="J51" i="22" s="1"/>
  <c r="J10" i="22"/>
  <c r="J24" i="22"/>
  <c r="R31" i="22" l="1"/>
  <c r="R30" i="22"/>
  <c r="R19" i="22"/>
  <c r="R17" i="22"/>
  <c r="R18" i="22"/>
  <c r="R16" i="22"/>
  <c r="N14" i="22"/>
  <c r="N59" i="22" s="1"/>
  <c r="R11" i="22"/>
  <c r="V11" i="22" s="1"/>
  <c r="V14" i="22" s="1"/>
  <c r="R9" i="22"/>
  <c r="N26" i="22"/>
  <c r="R24" i="22"/>
  <c r="V24" i="22" s="1"/>
  <c r="N28" i="22"/>
  <c r="N64" i="22" s="1"/>
  <c r="R25" i="22"/>
  <c r="V25" i="22" s="1"/>
  <c r="V28" i="22" s="1"/>
  <c r="N9" i="22"/>
  <c r="N43" i="22" s="1"/>
  <c r="Q22" i="22"/>
  <c r="U22" i="22" s="1"/>
  <c r="V52" i="22"/>
  <c r="V51" i="22"/>
  <c r="J12" i="22"/>
  <c r="N51" i="22"/>
  <c r="J53" i="22"/>
  <c r="J55" i="22" s="1"/>
  <c r="J56" i="22" s="1"/>
  <c r="J45" i="22"/>
  <c r="J47" i="22" s="1"/>
  <c r="J48" i="22" s="1"/>
  <c r="N44" i="22"/>
  <c r="N52" i="22"/>
  <c r="I27" i="22"/>
  <c r="I15" i="22"/>
  <c r="I8" i="22"/>
  <c r="J26" i="22"/>
  <c r="I23" i="22"/>
  <c r="I24" i="22"/>
  <c r="Q24" i="22" s="1"/>
  <c r="I13" i="22"/>
  <c r="Q13" i="22" s="1"/>
  <c r="U13" i="22" s="1"/>
  <c r="I10" i="22"/>
  <c r="I25" i="22"/>
  <c r="Q27" i="22" l="1"/>
  <c r="U27" i="22" s="1"/>
  <c r="M28" i="22"/>
  <c r="U24" i="22"/>
  <c r="Y30" i="22"/>
  <c r="V26" i="22"/>
  <c r="V17" i="22"/>
  <c r="V19" i="22"/>
  <c r="V16" i="22"/>
  <c r="V30" i="22"/>
  <c r="V18" i="22"/>
  <c r="V31" i="22"/>
  <c r="R14" i="22"/>
  <c r="R59" i="22" s="1"/>
  <c r="R26" i="22"/>
  <c r="N12" i="22"/>
  <c r="R10" i="22"/>
  <c r="R28" i="22"/>
  <c r="R64" i="22" s="1"/>
  <c r="Q21" i="22"/>
  <c r="Q7" i="22"/>
  <c r="Q8" i="22"/>
  <c r="I29" i="22"/>
  <c r="Q25" i="22"/>
  <c r="V53" i="22"/>
  <c r="V55" i="22" s="1"/>
  <c r="V56" i="22" s="1"/>
  <c r="V44" i="22"/>
  <c r="V43" i="22"/>
  <c r="N53" i="22"/>
  <c r="N55" i="22" s="1"/>
  <c r="N56" i="22" s="1"/>
  <c r="N45" i="22"/>
  <c r="N47" i="22" s="1"/>
  <c r="N48" i="22" s="1"/>
  <c r="R44" i="22"/>
  <c r="R43" i="22"/>
  <c r="R51" i="22"/>
  <c r="R52" i="22"/>
  <c r="I28" i="22"/>
  <c r="I9" i="22"/>
  <c r="I26" i="22"/>
  <c r="I11" i="22"/>
  <c r="V10" i="22" l="1"/>
  <c r="V12" i="22" s="1"/>
  <c r="V15" i="22"/>
  <c r="U8" i="22"/>
  <c r="Y16" i="22"/>
  <c r="U25" i="22"/>
  <c r="U26" i="22" s="1"/>
  <c r="Y31" i="22"/>
  <c r="U7" i="22"/>
  <c r="AA7" i="22" s="1"/>
  <c r="AE7" i="22" s="1"/>
  <c r="AI7" i="22" s="1"/>
  <c r="AO7" i="22" s="1"/>
  <c r="AS7" i="22" s="1"/>
  <c r="AW7" i="22" s="1"/>
  <c r="BE7" i="22" s="1"/>
  <c r="U21" i="22"/>
  <c r="U23" i="22" s="1"/>
  <c r="R12" i="22"/>
  <c r="V64" i="22"/>
  <c r="AB25" i="22"/>
  <c r="AF25" i="22" s="1"/>
  <c r="Q23" i="22"/>
  <c r="Q26" i="22"/>
  <c r="Q28" i="22"/>
  <c r="Q9" i="22"/>
  <c r="Y17" i="22" s="1"/>
  <c r="Q10" i="22"/>
  <c r="Y18" i="22" s="1"/>
  <c r="I14" i="22"/>
  <c r="Q11" i="22"/>
  <c r="Q29" i="22"/>
  <c r="V45" i="22"/>
  <c r="V47" i="22" s="1"/>
  <c r="V48" i="22" s="1"/>
  <c r="V59" i="22"/>
  <c r="AA24" i="22"/>
  <c r="AE24" i="22" s="1"/>
  <c r="AB11" i="22"/>
  <c r="R53" i="22"/>
  <c r="R55" i="22" s="1"/>
  <c r="R56" i="22" s="1"/>
  <c r="R45" i="22"/>
  <c r="R47" i="22" s="1"/>
  <c r="R48" i="22" s="1"/>
  <c r="AB8" i="22"/>
  <c r="AF8" i="22" s="1"/>
  <c r="AB7" i="22"/>
  <c r="AF7" i="22" s="1"/>
  <c r="AJ7" i="22" s="1"/>
  <c r="AB22" i="22"/>
  <c r="AF22" i="22" s="1"/>
  <c r="AB21" i="22"/>
  <c r="AF21" i="22" s="1"/>
  <c r="AJ21" i="22" s="1"/>
  <c r="AB24" i="22"/>
  <c r="AF24" i="22" s="1"/>
  <c r="AJ24" i="22" s="1"/>
  <c r="AP24" i="22" s="1"/>
  <c r="AA13" i="22"/>
  <c r="AE13" i="22" s="1"/>
  <c r="AI13" i="22" s="1"/>
  <c r="AO13" i="22" s="1"/>
  <c r="AS13" i="22" s="1"/>
  <c r="AW13" i="22" s="1"/>
  <c r="BE13" i="22" s="1"/>
  <c r="I12" i="22"/>
  <c r="AJ22" i="22" l="1"/>
  <c r="AP22" i="22" s="1"/>
  <c r="AF23" i="22"/>
  <c r="AF11" i="22"/>
  <c r="AB15" i="22"/>
  <c r="U29" i="22"/>
  <c r="AJ25" i="22"/>
  <c r="AF26" i="22"/>
  <c r="AF28" i="22"/>
  <c r="AP21" i="22"/>
  <c r="AT21" i="22" s="1"/>
  <c r="AP7" i="22"/>
  <c r="AT7" i="22" s="1"/>
  <c r="AT24" i="22"/>
  <c r="AX24" i="22" s="1"/>
  <c r="AX26" i="22" s="1"/>
  <c r="AF9" i="22"/>
  <c r="AJ8" i="22"/>
  <c r="AP8" i="22" s="1"/>
  <c r="AI24" i="22"/>
  <c r="AO24" i="22" s="1"/>
  <c r="AS24" i="22" s="1"/>
  <c r="AM30" i="22"/>
  <c r="AB17" i="22"/>
  <c r="AF17" i="22" s="1"/>
  <c r="AJ17" i="22" s="1"/>
  <c r="AB18" i="22"/>
  <c r="AF18" i="22" s="1"/>
  <c r="AJ18" i="22" s="1"/>
  <c r="AB19" i="22"/>
  <c r="AF19" i="22" s="1"/>
  <c r="AJ19" i="22" s="1"/>
  <c r="AB16" i="22"/>
  <c r="AF16" i="22" s="1"/>
  <c r="AJ16" i="22" s="1"/>
  <c r="AB31" i="22"/>
  <c r="AF31" i="22" s="1"/>
  <c r="AJ31" i="22" s="1"/>
  <c r="AP31" i="22" s="1"/>
  <c r="AB30" i="22"/>
  <c r="AF30" i="22" s="1"/>
  <c r="AJ30" i="22" s="1"/>
  <c r="AP30" i="22" s="1"/>
  <c r="U28" i="22"/>
  <c r="U11" i="22"/>
  <c r="U14" i="22" s="1"/>
  <c r="Y19" i="22"/>
  <c r="U9" i="22"/>
  <c r="U10" i="22"/>
  <c r="AA10" i="22" s="1"/>
  <c r="AE10" i="22" s="1"/>
  <c r="AA21" i="22"/>
  <c r="AE21" i="22" s="1"/>
  <c r="AI21" i="22" s="1"/>
  <c r="AO21" i="22" s="1"/>
  <c r="AS21" i="22" s="1"/>
  <c r="AW21" i="22" s="1"/>
  <c r="BE21" i="22" s="1"/>
  <c r="AB28" i="22"/>
  <c r="AB64" i="22" s="1"/>
  <c r="AB10" i="22"/>
  <c r="Q15" i="22"/>
  <c r="U15" i="22" s="1"/>
  <c r="Q12" i="22"/>
  <c r="Q14" i="22"/>
  <c r="AB14" i="22"/>
  <c r="AB59" i="22" s="1"/>
  <c r="AA8" i="22"/>
  <c r="AE8" i="22" s="1"/>
  <c r="AM16" i="22" s="1"/>
  <c r="AA22" i="22"/>
  <c r="AE22" i="22" s="1"/>
  <c r="AI22" i="22" s="1"/>
  <c r="AO22" i="22" s="1"/>
  <c r="AS22" i="22" s="1"/>
  <c r="AB52" i="22"/>
  <c r="AB44" i="22"/>
  <c r="AB9" i="22"/>
  <c r="AB43" i="22" s="1"/>
  <c r="AB26" i="22"/>
  <c r="AB23" i="22"/>
  <c r="AB51" i="22" s="1"/>
  <c r="AW24" i="22" l="1"/>
  <c r="BE24" i="22" s="1"/>
  <c r="BA30" i="22"/>
  <c r="AS23" i="22"/>
  <c r="AW22" i="22"/>
  <c r="AJ9" i="22"/>
  <c r="AJ11" i="22"/>
  <c r="AF14" i="22"/>
  <c r="AP25" i="22"/>
  <c r="AJ26" i="22"/>
  <c r="AJ28" i="22"/>
  <c r="AP19" i="22"/>
  <c r="AJ23" i="22"/>
  <c r="AB12" i="22"/>
  <c r="AF10" i="22"/>
  <c r="AJ10" i="22" s="1"/>
  <c r="AP10" i="22" s="1"/>
  <c r="AT8" i="22"/>
  <c r="AT9" i="22" s="1"/>
  <c r="AP9" i="22"/>
  <c r="AF15" i="22"/>
  <c r="AJ15" i="22" s="1"/>
  <c r="AP15" i="22" s="1"/>
  <c r="AT15" i="22" s="1"/>
  <c r="AT22" i="22"/>
  <c r="AP23" i="22"/>
  <c r="AI10" i="22"/>
  <c r="AO10" i="22" s="1"/>
  <c r="AS10" i="22" s="1"/>
  <c r="AM18" i="22"/>
  <c r="AO23" i="22"/>
  <c r="AI23" i="22"/>
  <c r="AE9" i="22"/>
  <c r="AM17" i="22" s="1"/>
  <c r="AI8" i="22"/>
  <c r="AE23" i="22"/>
  <c r="U12" i="22"/>
  <c r="AA25" i="22"/>
  <c r="AE25" i="22" s="1"/>
  <c r="AM31" i="22" s="1"/>
  <c r="AA27" i="22"/>
  <c r="AE27" i="22" s="1"/>
  <c r="AA9" i="22"/>
  <c r="AA23" i="22"/>
  <c r="AB53" i="22"/>
  <c r="AB55" i="22" s="1"/>
  <c r="AB56" i="22" s="1"/>
  <c r="AB45" i="22"/>
  <c r="AB47" i="22" s="1"/>
  <c r="AB48" i="22" s="1"/>
  <c r="AA11" i="22"/>
  <c r="AE11" i="22" s="1"/>
  <c r="AW10" i="22" l="1"/>
  <c r="BE10" i="22" s="1"/>
  <c r="BA18" i="22"/>
  <c r="AW23" i="22"/>
  <c r="BE22" i="22"/>
  <c r="BE23" i="22" s="1"/>
  <c r="AT23" i="22"/>
  <c r="AX22" i="22"/>
  <c r="AX23" i="22" s="1"/>
  <c r="AT25" i="22"/>
  <c r="AP28" i="22"/>
  <c r="AP26" i="22"/>
  <c r="AP11" i="22"/>
  <c r="AJ12" i="22"/>
  <c r="AJ14" i="22"/>
  <c r="AT30" i="22"/>
  <c r="AP12" i="22"/>
  <c r="AT10" i="22"/>
  <c r="AP18" i="22"/>
  <c r="AT18" i="22" s="1"/>
  <c r="AP16" i="22"/>
  <c r="AT16" i="22" s="1"/>
  <c r="AP17" i="22"/>
  <c r="AT17" i="22" s="1"/>
  <c r="AF12" i="22"/>
  <c r="AT31" i="22"/>
  <c r="AT19" i="22"/>
  <c r="AI11" i="22"/>
  <c r="AO11" i="22" s="1"/>
  <c r="AS11" i="22" s="1"/>
  <c r="AM19" i="22"/>
  <c r="AI9" i="22"/>
  <c r="AO8" i="22"/>
  <c r="AE28" i="22"/>
  <c r="AI27" i="22"/>
  <c r="AO27" i="22" s="1"/>
  <c r="AS27" i="22" s="1"/>
  <c r="AW27" i="22" s="1"/>
  <c r="BE27" i="22" s="1"/>
  <c r="AE26" i="22"/>
  <c r="AI25" i="22"/>
  <c r="AE12" i="22"/>
  <c r="AE14" i="22"/>
  <c r="AA29" i="22"/>
  <c r="AE29" i="22" s="1"/>
  <c r="AA28" i="22"/>
  <c r="AA26" i="22"/>
  <c r="AA15" i="22"/>
  <c r="AE15" i="22" s="1"/>
  <c r="AI15" i="22" s="1"/>
  <c r="AA12" i="22"/>
  <c r="AA14" i="22"/>
  <c r="AW11" i="22" l="1"/>
  <c r="BE11" i="22" s="1"/>
  <c r="BA19" i="22"/>
  <c r="BE12" i="22"/>
  <c r="BE14" i="22"/>
  <c r="AI14" i="22"/>
  <c r="AW12" i="22"/>
  <c r="AW14" i="22"/>
  <c r="AI12" i="22"/>
  <c r="AO15" i="22"/>
  <c r="AS15" i="22" s="1"/>
  <c r="AW15" i="22" s="1"/>
  <c r="BE15" i="22" s="1"/>
  <c r="AO14" i="22"/>
  <c r="AO9" i="22"/>
  <c r="AS8" i="22"/>
  <c r="BA16" i="22" s="1"/>
  <c r="AS12" i="22"/>
  <c r="AS14" i="22"/>
  <c r="AT11" i="22"/>
  <c r="AP14" i="22"/>
  <c r="AO12" i="22"/>
  <c r="AT26" i="22"/>
  <c r="AT28" i="22"/>
  <c r="AI26" i="22"/>
  <c r="AO25" i="22"/>
  <c r="AI29" i="22"/>
  <c r="AI28" i="22"/>
  <c r="Q32" i="27"/>
  <c r="AS9" i="22" l="1"/>
  <c r="BA17" i="22" s="1"/>
  <c r="AW8" i="22"/>
  <c r="AO26" i="22"/>
  <c r="AS25" i="22"/>
  <c r="AO29" i="22"/>
  <c r="AS29" i="22" s="1"/>
  <c r="AT12" i="22"/>
  <c r="AT14" i="22"/>
  <c r="AO28" i="22"/>
  <c r="U32" i="27"/>
  <c r="AA32" i="27"/>
  <c r="AE32" i="27" s="1"/>
  <c r="AI32" i="27" s="1"/>
  <c r="AO32" i="27" s="1"/>
  <c r="AS32" i="27" s="1"/>
  <c r="Z65" i="7"/>
  <c r="Z67" i="7" s="1"/>
  <c r="Z37" i="7"/>
  <c r="AW25" i="22" l="1"/>
  <c r="BE25" i="22" s="1"/>
  <c r="BA31" i="22"/>
  <c r="BE26" i="22"/>
  <c r="BE28" i="22"/>
  <c r="AW9" i="22"/>
  <c r="BE8" i="22"/>
  <c r="BE9" i="22" s="1"/>
  <c r="AW26" i="22"/>
  <c r="AW28" i="22"/>
  <c r="AS26" i="22"/>
  <c r="AS28" i="22"/>
  <c r="Z46" i="7"/>
  <c r="AW29" i="22" l="1"/>
  <c r="BE29" i="22" s="1"/>
  <c r="P114" i="7"/>
  <c r="P115" i="7" s="1"/>
  <c r="Z97" i="7"/>
  <c r="Z98" i="7"/>
  <c r="Z99" i="7"/>
  <c r="Z79" i="7"/>
  <c r="Z57" i="7"/>
  <c r="P117" i="7" l="1"/>
  <c r="P118" i="7" s="1"/>
  <c r="P116" i="7"/>
  <c r="P119" i="7" l="1"/>
  <c r="P126" i="7" l="1"/>
  <c r="I84" i="26"/>
  <c r="I84" i="17" l="1"/>
  <c r="M84" i="26"/>
  <c r="Q84" i="26" s="1"/>
  <c r="U84" i="26" s="1"/>
  <c r="U89" i="26" s="1"/>
  <c r="AA82" i="26"/>
  <c r="Y82" i="26"/>
  <c r="I89" i="26"/>
  <c r="Q84" i="17" l="1"/>
  <c r="Q89" i="26"/>
  <c r="M89" i="26"/>
  <c r="M84" i="17"/>
  <c r="AA84" i="26"/>
  <c r="AE84" i="26" s="1"/>
  <c r="Y15" i="21"/>
  <c r="AE89" i="26" l="1"/>
  <c r="AI84" i="26"/>
  <c r="AO84" i="26" s="1"/>
  <c r="AE84" i="17"/>
  <c r="U84" i="17"/>
  <c r="AA84" i="17"/>
  <c r="AO89" i="26" l="1"/>
  <c r="AS84" i="26"/>
  <c r="AO84" i="17"/>
  <c r="AI84" i="17"/>
  <c r="AI89" i="26"/>
  <c r="AA89" i="26"/>
  <c r="AS89" i="26" l="1"/>
  <c r="AS84" i="17"/>
  <c r="L114" i="7"/>
  <c r="L115" i="7" s="1"/>
  <c r="L116" i="7" l="1"/>
  <c r="L117" i="7"/>
  <c r="L118" i="7" s="1"/>
  <c r="L119" i="7" l="1"/>
  <c r="L126" i="7" l="1"/>
  <c r="Y74" i="26" l="1"/>
  <c r="I93" i="17" l="1"/>
  <c r="Q93" i="17" s="1"/>
  <c r="U93" i="17" s="1"/>
  <c r="I97" i="17"/>
  <c r="Q97" i="17" s="1"/>
  <c r="U97" i="17" s="1"/>
  <c r="I91" i="17"/>
  <c r="Q91" i="17" s="1"/>
  <c r="U91" i="17" s="1"/>
  <c r="I92" i="17"/>
  <c r="Q92" i="17" s="1"/>
  <c r="U92" i="17" s="1"/>
  <c r="I96" i="17"/>
  <c r="Q96" i="17" s="1"/>
  <c r="U96" i="17" s="1"/>
  <c r="I100" i="17"/>
  <c r="Q100" i="17" s="1"/>
  <c r="U100" i="17" s="1"/>
  <c r="I94" i="17"/>
  <c r="Q94" i="17" s="1"/>
  <c r="U94" i="17" s="1"/>
  <c r="I98" i="17"/>
  <c r="Q98" i="17" s="1"/>
  <c r="U98" i="17" s="1"/>
  <c r="I95" i="17"/>
  <c r="Q95" i="17" s="1"/>
  <c r="U95" i="17" s="1"/>
  <c r="I99" i="17"/>
  <c r="Q99" i="17" s="1"/>
  <c r="U99" i="17" s="1"/>
  <c r="H60" i="17" l="1"/>
  <c r="L60" i="17" s="1"/>
  <c r="P60" i="17" l="1"/>
  <c r="T60" i="17" s="1"/>
  <c r="Z60" i="17"/>
  <c r="AD60" i="17" s="1"/>
  <c r="AH60" i="17" s="1"/>
  <c r="AN60" i="17" s="1"/>
  <c r="AR60" i="17" s="1"/>
  <c r="AV60" i="17" s="1"/>
  <c r="BD60" i="17" s="1"/>
  <c r="I60" i="17"/>
  <c r="I57" i="17"/>
  <c r="I56" i="17"/>
  <c r="H26" i="17"/>
  <c r="P26" i="17" s="1"/>
  <c r="T26" i="17" s="1"/>
  <c r="H24" i="17"/>
  <c r="P24" i="17" s="1"/>
  <c r="T24" i="17" s="1"/>
  <c r="H23" i="17"/>
  <c r="P23" i="17" s="1"/>
  <c r="T23" i="17" s="1"/>
  <c r="I20" i="17"/>
  <c r="Q20" i="17" s="1"/>
  <c r="U20" i="17" s="1"/>
  <c r="I19" i="17"/>
  <c r="Q19" i="17" s="1"/>
  <c r="U19" i="17" s="1"/>
  <c r="I18" i="17"/>
  <c r="Q18" i="17" s="1"/>
  <c r="U18" i="17" s="1"/>
  <c r="I17" i="17"/>
  <c r="Q17" i="17" s="1"/>
  <c r="U17" i="17" s="1"/>
  <c r="H20" i="17"/>
  <c r="P20" i="17" s="1"/>
  <c r="T20" i="17" s="1"/>
  <c r="H7" i="17"/>
  <c r="L7" i="17" s="1"/>
  <c r="P7" i="17" s="1"/>
  <c r="I2" i="17"/>
  <c r="I71" i="17" s="1"/>
  <c r="H2" i="17"/>
  <c r="M56" i="17" l="1"/>
  <c r="AA56" i="17" s="1"/>
  <c r="AE56" i="17" s="1"/>
  <c r="M60" i="17"/>
  <c r="AA60" i="17" s="1"/>
  <c r="AE60" i="17" s="1"/>
  <c r="AI60" i="17" s="1"/>
  <c r="AO60" i="17" s="1"/>
  <c r="AS60" i="17" s="1"/>
  <c r="AW60" i="17" s="1"/>
  <c r="BE60" i="17" s="1"/>
  <c r="M57" i="17"/>
  <c r="AA57" i="17" s="1"/>
  <c r="AE57" i="17" s="1"/>
  <c r="AI57" i="17" s="1"/>
  <c r="AO57" i="17" s="1"/>
  <c r="AS57" i="17" s="1"/>
  <c r="AW57" i="17" s="1"/>
  <c r="BE57" i="17" s="1"/>
  <c r="U21" i="17"/>
  <c r="Q21" i="17"/>
  <c r="T7" i="17"/>
  <c r="H13" i="17"/>
  <c r="H71" i="17"/>
  <c r="M21" i="17"/>
  <c r="H79" i="17"/>
  <c r="H73" i="17"/>
  <c r="H65" i="17"/>
  <c r="H80" i="17"/>
  <c r="H74" i="17"/>
  <c r="H76" i="17"/>
  <c r="H72" i="17"/>
  <c r="H64" i="17"/>
  <c r="H70" i="17"/>
  <c r="H75" i="17"/>
  <c r="I73" i="17"/>
  <c r="I65" i="17"/>
  <c r="I70" i="17"/>
  <c r="I80" i="17"/>
  <c r="I76" i="17"/>
  <c r="I72" i="17"/>
  <c r="I64" i="17"/>
  <c r="I67" i="17"/>
  <c r="I79" i="17"/>
  <c r="I75" i="17"/>
  <c r="I74" i="17"/>
  <c r="I40" i="17"/>
  <c r="I52" i="17"/>
  <c r="I42" i="17"/>
  <c r="I38" i="17"/>
  <c r="I48" i="17"/>
  <c r="I46" i="17"/>
  <c r="L2" i="17"/>
  <c r="I23" i="17"/>
  <c r="Q23" i="17" s="1"/>
  <c r="U23" i="17" s="1"/>
  <c r="I25" i="17"/>
  <c r="Q25" i="17" s="1"/>
  <c r="U25" i="17" s="1"/>
  <c r="I24" i="17"/>
  <c r="Q24" i="17" s="1"/>
  <c r="U24" i="17" s="1"/>
  <c r="H56" i="17"/>
  <c r="M2" i="17"/>
  <c r="I21" i="17"/>
  <c r="I26" i="17"/>
  <c r="Q26" i="17" s="1"/>
  <c r="U26" i="17" s="1"/>
  <c r="H47" i="17"/>
  <c r="L47" i="17" s="1"/>
  <c r="Z47" i="17" s="1"/>
  <c r="AD47" i="17" s="1"/>
  <c r="H57" i="17"/>
  <c r="H45" i="17"/>
  <c r="H12" i="17"/>
  <c r="J66" i="11"/>
  <c r="AB66" i="11" s="1"/>
  <c r="AF66" i="11" s="1"/>
  <c r="H51" i="17"/>
  <c r="I58" i="17"/>
  <c r="I61" i="17" s="1"/>
  <c r="H8" i="17"/>
  <c r="P8" i="17" s="1"/>
  <c r="I9" i="17"/>
  <c r="Q9" i="17" s="1"/>
  <c r="U9" i="17" s="1"/>
  <c r="I15" i="17"/>
  <c r="H15" i="17"/>
  <c r="I7" i="17"/>
  <c r="H25" i="17"/>
  <c r="I8" i="17"/>
  <c r="Q8" i="17" s="1"/>
  <c r="U8" i="17" s="1"/>
  <c r="AJ66" i="11" l="1"/>
  <c r="AH47" i="17"/>
  <c r="AN47" i="17" s="1"/>
  <c r="AR47" i="17" s="1"/>
  <c r="AV47" i="17" s="1"/>
  <c r="AI56" i="17"/>
  <c r="AE58" i="17"/>
  <c r="L65" i="17"/>
  <c r="L64" i="17"/>
  <c r="L12" i="17"/>
  <c r="Q57" i="17"/>
  <c r="U57" i="17" s="1"/>
  <c r="L57" i="17"/>
  <c r="Z57" i="17" s="1"/>
  <c r="AD57" i="17" s="1"/>
  <c r="AH57" i="17" s="1"/>
  <c r="AN57" i="17" s="1"/>
  <c r="AR57" i="17" s="1"/>
  <c r="AV57" i="17" s="1"/>
  <c r="BD57" i="17" s="1"/>
  <c r="M67" i="17"/>
  <c r="M65" i="17"/>
  <c r="M64" i="17"/>
  <c r="M86" i="17"/>
  <c r="L56" i="17"/>
  <c r="Z56" i="17" s="1"/>
  <c r="AD56" i="17" s="1"/>
  <c r="Q60" i="17"/>
  <c r="U60" i="17" s="1"/>
  <c r="M58" i="17"/>
  <c r="M61" i="17" s="1"/>
  <c r="Q56" i="17"/>
  <c r="P10" i="17"/>
  <c r="T8" i="17"/>
  <c r="T10" i="17" s="1"/>
  <c r="M73" i="17"/>
  <c r="L76" i="17"/>
  <c r="L29" i="17"/>
  <c r="P15" i="17"/>
  <c r="T15" i="17" s="1"/>
  <c r="M70" i="17"/>
  <c r="L73" i="17"/>
  <c r="L48" i="17"/>
  <c r="P47" i="17"/>
  <c r="L79" i="17"/>
  <c r="Q112" i="17"/>
  <c r="L74" i="17"/>
  <c r="L80" i="17"/>
  <c r="M13" i="17"/>
  <c r="M74" i="17"/>
  <c r="L71" i="17"/>
  <c r="M76" i="17"/>
  <c r="M80" i="17"/>
  <c r="L72" i="17"/>
  <c r="M71" i="17"/>
  <c r="M79" i="17"/>
  <c r="L75" i="17"/>
  <c r="M52" i="17"/>
  <c r="M42" i="17"/>
  <c r="M46" i="17"/>
  <c r="M40" i="17"/>
  <c r="M48" i="17"/>
  <c r="M38" i="17"/>
  <c r="M75" i="17"/>
  <c r="P2" i="17"/>
  <c r="L13" i="17"/>
  <c r="M72" i="17"/>
  <c r="L70" i="17"/>
  <c r="H46" i="17"/>
  <c r="L45" i="17"/>
  <c r="Z45" i="17" s="1"/>
  <c r="AD45" i="17" s="1"/>
  <c r="H52" i="17"/>
  <c r="L51" i="17"/>
  <c r="Z51" i="17" s="1"/>
  <c r="I29" i="17"/>
  <c r="L10" i="17"/>
  <c r="M112" i="17"/>
  <c r="M12" i="17"/>
  <c r="Q7" i="17"/>
  <c r="I11" i="17"/>
  <c r="H86" i="17"/>
  <c r="L86" i="17" s="1"/>
  <c r="Z7" i="17"/>
  <c r="AD7" i="17" s="1"/>
  <c r="H48" i="17"/>
  <c r="I66" i="17"/>
  <c r="I68" i="17" s="1"/>
  <c r="I77" i="17"/>
  <c r="I32" i="17"/>
  <c r="I86" i="17"/>
  <c r="I89" i="17"/>
  <c r="I33" i="17"/>
  <c r="I30" i="17"/>
  <c r="I81" i="17"/>
  <c r="I34" i="17"/>
  <c r="I31" i="17"/>
  <c r="R66" i="11"/>
  <c r="V66" i="11" s="1"/>
  <c r="I43" i="17"/>
  <c r="H18" i="17"/>
  <c r="P18" i="17" s="1"/>
  <c r="T18" i="17" s="1"/>
  <c r="H17" i="17"/>
  <c r="P17" i="17" s="1"/>
  <c r="T17" i="17" s="1"/>
  <c r="Q2" i="17"/>
  <c r="Q13" i="17" s="1"/>
  <c r="H81" i="17"/>
  <c r="H77" i="17"/>
  <c r="H14" i="17"/>
  <c r="H29" i="17"/>
  <c r="H58" i="17"/>
  <c r="H61" i="17" s="1"/>
  <c r="I13" i="17"/>
  <c r="I59" i="17"/>
  <c r="H66" i="17"/>
  <c r="H68" i="17" s="1"/>
  <c r="I12" i="17"/>
  <c r="H10" i="17"/>
  <c r="H112" i="17"/>
  <c r="I10" i="17"/>
  <c r="I63" i="11"/>
  <c r="I61" i="11"/>
  <c r="J2" i="11"/>
  <c r="I2" i="11"/>
  <c r="I5" i="11"/>
  <c r="I54" i="11" s="1"/>
  <c r="I135" i="10"/>
  <c r="I133" i="10"/>
  <c r="J2" i="10"/>
  <c r="I2" i="10"/>
  <c r="AV48" i="17" l="1"/>
  <c r="AV50" i="17" s="1"/>
  <c r="AV111" i="17" s="1"/>
  <c r="BD47" i="17"/>
  <c r="AV49" i="17"/>
  <c r="AI58" i="17"/>
  <c r="AI61" i="17" s="1"/>
  <c r="AO56" i="17"/>
  <c r="AP66" i="11"/>
  <c r="AT66" i="11" s="1"/>
  <c r="AX66" i="11" s="1"/>
  <c r="AE61" i="17"/>
  <c r="M59" i="17"/>
  <c r="Z112" i="17"/>
  <c r="AD51" i="17"/>
  <c r="AD58" i="17"/>
  <c r="AH56" i="17"/>
  <c r="AH7" i="17"/>
  <c r="AN7" i="17" s="1"/>
  <c r="AR7" i="17" s="1"/>
  <c r="AV7" i="17" s="1"/>
  <c r="AD10" i="17"/>
  <c r="AH45" i="17"/>
  <c r="AN45" i="17" s="1"/>
  <c r="AR45" i="17" s="1"/>
  <c r="AD49" i="17"/>
  <c r="P56" i="17"/>
  <c r="P57" i="17"/>
  <c r="T57" i="17" s="1"/>
  <c r="U56" i="17"/>
  <c r="U58" i="17" s="1"/>
  <c r="U61" i="17" s="1"/>
  <c r="Q58" i="17"/>
  <c r="Q61" i="17" s="1"/>
  <c r="L58" i="17"/>
  <c r="L59" i="17" s="1"/>
  <c r="L81" i="17"/>
  <c r="L14" i="17"/>
  <c r="P70" i="17"/>
  <c r="P86" i="17"/>
  <c r="T21" i="17"/>
  <c r="P64" i="17"/>
  <c r="P73" i="17"/>
  <c r="Q86" i="17"/>
  <c r="M89" i="17"/>
  <c r="P74" i="17"/>
  <c r="P75" i="17"/>
  <c r="P65" i="17"/>
  <c r="P79" i="17"/>
  <c r="Q75" i="17"/>
  <c r="P72" i="17"/>
  <c r="P71" i="17"/>
  <c r="P80" i="17"/>
  <c r="H113" i="17"/>
  <c r="M29" i="17"/>
  <c r="Q15" i="17"/>
  <c r="U15" i="17" s="1"/>
  <c r="Q80" i="17"/>
  <c r="L52" i="17"/>
  <c r="L113" i="17" s="1"/>
  <c r="P51" i="17"/>
  <c r="M66" i="17"/>
  <c r="M68" i="17" s="1"/>
  <c r="Q64" i="17"/>
  <c r="Q12" i="17"/>
  <c r="Q70" i="17"/>
  <c r="Q72" i="17"/>
  <c r="Q67" i="17"/>
  <c r="Q76" i="17"/>
  <c r="Q65" i="17"/>
  <c r="L46" i="17"/>
  <c r="P45" i="17"/>
  <c r="M81" i="17"/>
  <c r="Q79" i="17"/>
  <c r="P48" i="17"/>
  <c r="T47" i="17"/>
  <c r="P29" i="17"/>
  <c r="P76" i="17"/>
  <c r="Q46" i="17"/>
  <c r="Q42" i="17"/>
  <c r="Q52" i="17"/>
  <c r="Q48" i="17"/>
  <c r="Q38" i="17"/>
  <c r="Q40" i="17"/>
  <c r="P21" i="17"/>
  <c r="T2" i="17"/>
  <c r="P13" i="17"/>
  <c r="Q71" i="17"/>
  <c r="Q74" i="17"/>
  <c r="P12" i="17"/>
  <c r="Q73" i="17"/>
  <c r="M113" i="17"/>
  <c r="U112" i="17"/>
  <c r="U7" i="17"/>
  <c r="Q11" i="17"/>
  <c r="Q10" i="17"/>
  <c r="M32" i="17"/>
  <c r="M31" i="17"/>
  <c r="L77" i="17"/>
  <c r="L66" i="17"/>
  <c r="L68" i="17" s="1"/>
  <c r="L61" i="17"/>
  <c r="M34" i="17"/>
  <c r="M77" i="17"/>
  <c r="I49" i="17"/>
  <c r="I53" i="17" s="1"/>
  <c r="Q43" i="17"/>
  <c r="L112" i="17"/>
  <c r="M11" i="17"/>
  <c r="M10" i="17"/>
  <c r="M30" i="17"/>
  <c r="L21" i="17"/>
  <c r="M33" i="17"/>
  <c r="I143" i="10"/>
  <c r="I71" i="11"/>
  <c r="Q135" i="10"/>
  <c r="U135" i="10" s="1"/>
  <c r="AA58" i="17"/>
  <c r="U2" i="17"/>
  <c r="H89" i="17"/>
  <c r="L89" i="17" s="1"/>
  <c r="Q61" i="11"/>
  <c r="I70" i="11"/>
  <c r="I68" i="11"/>
  <c r="I69" i="11"/>
  <c r="Q63" i="11"/>
  <c r="U63" i="11" s="1"/>
  <c r="N2" i="11"/>
  <c r="J70" i="11"/>
  <c r="J69" i="11"/>
  <c r="J68" i="11"/>
  <c r="I44" i="17"/>
  <c r="I141" i="10"/>
  <c r="I142" i="10"/>
  <c r="I140" i="10"/>
  <c r="N2" i="10"/>
  <c r="J142" i="10"/>
  <c r="J141" i="10"/>
  <c r="J140" i="10"/>
  <c r="H21" i="17"/>
  <c r="I59" i="11"/>
  <c r="H59" i="17"/>
  <c r="M2" i="11"/>
  <c r="I65" i="11"/>
  <c r="I136" i="10"/>
  <c r="I64" i="11"/>
  <c r="I138" i="10"/>
  <c r="I131" i="10"/>
  <c r="M2" i="10"/>
  <c r="H63" i="59"/>
  <c r="H59" i="59"/>
  <c r="I14" i="17"/>
  <c r="I66" i="11"/>
  <c r="AA66" i="11" s="1"/>
  <c r="AE66" i="11" s="1"/>
  <c r="I62" i="11"/>
  <c r="L62" i="59" s="1"/>
  <c r="I134" i="10"/>
  <c r="L58" i="59" s="1"/>
  <c r="J5" i="11"/>
  <c r="J54" i="11" s="1"/>
  <c r="BD48" i="17" l="1"/>
  <c r="BD50" i="17" s="1"/>
  <c r="BD49" i="17"/>
  <c r="BD7" i="17"/>
  <c r="AV110" i="17"/>
  <c r="AV10" i="17"/>
  <c r="AX67" i="11"/>
  <c r="BF66" i="11"/>
  <c r="BF67" i="11" s="1"/>
  <c r="AR10" i="17"/>
  <c r="AO58" i="17"/>
  <c r="AS56" i="17"/>
  <c r="AR49" i="17"/>
  <c r="Q59" i="17"/>
  <c r="P81" i="17"/>
  <c r="AN10" i="17"/>
  <c r="AH58" i="17"/>
  <c r="AH61" i="17" s="1"/>
  <c r="AN56" i="17"/>
  <c r="AN49" i="17"/>
  <c r="AO61" i="17"/>
  <c r="AD53" i="17"/>
  <c r="AH10" i="17"/>
  <c r="AH49" i="17"/>
  <c r="AD61" i="17"/>
  <c r="AD110" i="17"/>
  <c r="AH51" i="17"/>
  <c r="AN51" i="17" s="1"/>
  <c r="AR51" i="17" s="1"/>
  <c r="AV51" i="17" s="1"/>
  <c r="BD51" i="17" s="1"/>
  <c r="AD112" i="17"/>
  <c r="AI66" i="11"/>
  <c r="AA89" i="17"/>
  <c r="AE89" i="17" s="1"/>
  <c r="AI89" i="17" s="1"/>
  <c r="AO89" i="17" s="1"/>
  <c r="T12" i="17"/>
  <c r="P58" i="17"/>
  <c r="T56" i="17"/>
  <c r="T58" i="17" s="1"/>
  <c r="T61" i="17" s="1"/>
  <c r="U61" i="11"/>
  <c r="U64" i="11" s="1"/>
  <c r="P66" i="17"/>
  <c r="P68" i="17" s="1"/>
  <c r="U12" i="17"/>
  <c r="U13" i="17"/>
  <c r="U11" i="17"/>
  <c r="U10" i="17"/>
  <c r="T80" i="17"/>
  <c r="T13" i="17"/>
  <c r="U143" i="10"/>
  <c r="X59" i="59" s="1"/>
  <c r="U71" i="11"/>
  <c r="X63" i="59" s="1"/>
  <c r="Q89" i="17"/>
  <c r="U89" i="17" s="1"/>
  <c r="U73" i="17"/>
  <c r="T29" i="17"/>
  <c r="P77" i="17"/>
  <c r="Q34" i="17"/>
  <c r="P14" i="17"/>
  <c r="Q113" i="17"/>
  <c r="Q77" i="17"/>
  <c r="U71" i="17"/>
  <c r="P30" i="17"/>
  <c r="P33" i="17"/>
  <c r="P31" i="17"/>
  <c r="T45" i="17"/>
  <c r="T46" i="17" s="1"/>
  <c r="P46" i="17"/>
  <c r="U72" i="17"/>
  <c r="T70" i="17"/>
  <c r="T75" i="17"/>
  <c r="T72" i="17"/>
  <c r="T33" i="17"/>
  <c r="T31" i="17"/>
  <c r="T30" i="17"/>
  <c r="T48" i="17"/>
  <c r="U75" i="17"/>
  <c r="Z2" i="17"/>
  <c r="T86" i="17"/>
  <c r="U65" i="17"/>
  <c r="T64" i="17"/>
  <c r="T51" i="17"/>
  <c r="P52" i="17"/>
  <c r="P113" i="17" s="1"/>
  <c r="P112" i="17"/>
  <c r="T73" i="17"/>
  <c r="Q29" i="17"/>
  <c r="Q33" i="17"/>
  <c r="Q31" i="17"/>
  <c r="Q32" i="17"/>
  <c r="Q30" i="17"/>
  <c r="Q44" i="17"/>
  <c r="U43" i="17"/>
  <c r="Q49" i="17"/>
  <c r="T71" i="17"/>
  <c r="T74" i="17"/>
  <c r="U70" i="17"/>
  <c r="U46" i="17"/>
  <c r="U52" i="17"/>
  <c r="U42" i="17"/>
  <c r="U38" i="17"/>
  <c r="U48" i="17"/>
  <c r="U40" i="17"/>
  <c r="U59" i="17"/>
  <c r="T76" i="17"/>
  <c r="U79" i="17"/>
  <c r="Q81" i="17"/>
  <c r="U76" i="17"/>
  <c r="T79" i="17"/>
  <c r="Q66" i="17"/>
  <c r="Q68" i="17" s="1"/>
  <c r="U64" i="17"/>
  <c r="T65" i="17"/>
  <c r="AA61" i="17"/>
  <c r="U74" i="17"/>
  <c r="U67" i="17"/>
  <c r="U80" i="17"/>
  <c r="Q14" i="17"/>
  <c r="M44" i="17"/>
  <c r="M49" i="17"/>
  <c r="L31" i="17"/>
  <c r="L30" i="17"/>
  <c r="L33" i="17"/>
  <c r="L32" i="17"/>
  <c r="M14" i="17"/>
  <c r="N68" i="11"/>
  <c r="N70" i="11"/>
  <c r="N69" i="11"/>
  <c r="M140" i="10"/>
  <c r="M141" i="10"/>
  <c r="Y141" i="10" s="1"/>
  <c r="M142" i="10"/>
  <c r="Y142" i="10" s="1"/>
  <c r="M68" i="11"/>
  <c r="M70" i="11"/>
  <c r="M69" i="11"/>
  <c r="N141" i="10"/>
  <c r="Z141" i="10" s="1"/>
  <c r="N140" i="10"/>
  <c r="Z140" i="10" s="1"/>
  <c r="N142" i="10"/>
  <c r="Z142" i="10" s="1"/>
  <c r="AA143" i="10"/>
  <c r="AD59" i="59" s="1"/>
  <c r="Q143" i="10"/>
  <c r="T59" i="59" s="1"/>
  <c r="Q71" i="11"/>
  <c r="T63" i="59" s="1"/>
  <c r="AA63" i="11"/>
  <c r="AE63" i="11" s="1"/>
  <c r="AI63" i="11" s="1"/>
  <c r="AO63" i="11" s="1"/>
  <c r="AS63" i="11" s="1"/>
  <c r="AW63" i="11" s="1"/>
  <c r="BE63" i="11" s="1"/>
  <c r="AA5" i="11"/>
  <c r="AE5" i="11" s="1"/>
  <c r="AE67" i="11" s="1"/>
  <c r="Q2" i="11"/>
  <c r="U2" i="11" s="1"/>
  <c r="AA2" i="11"/>
  <c r="AE2" i="11" s="1"/>
  <c r="AI2" i="11" s="1"/>
  <c r="AO2" i="11" s="1"/>
  <c r="AS2" i="11" s="1"/>
  <c r="R2" i="11"/>
  <c r="V2" i="11" s="1"/>
  <c r="AB2" i="11"/>
  <c r="AF2" i="11" s="1"/>
  <c r="AJ2" i="11" s="1"/>
  <c r="AP2" i="11" s="1"/>
  <c r="AT2" i="11" s="1"/>
  <c r="Q59" i="11"/>
  <c r="U59" i="11" s="1"/>
  <c r="AA59" i="11"/>
  <c r="AE59" i="11" s="1"/>
  <c r="AI59" i="11" s="1"/>
  <c r="AO59" i="11" s="1"/>
  <c r="AS59" i="11" s="1"/>
  <c r="AW59" i="11" s="1"/>
  <c r="Q2" i="10"/>
  <c r="U2" i="10" s="1"/>
  <c r="AA2" i="10"/>
  <c r="AE2" i="10" s="1"/>
  <c r="AI2" i="10" s="1"/>
  <c r="AO2" i="10" s="1"/>
  <c r="R2" i="10"/>
  <c r="V2" i="10" s="1"/>
  <c r="AB2" i="10"/>
  <c r="AF2" i="10" s="1"/>
  <c r="AJ2" i="10" s="1"/>
  <c r="AP2" i="10" s="1"/>
  <c r="AA136" i="10"/>
  <c r="AA134" i="10"/>
  <c r="AD58" i="59" s="1"/>
  <c r="AA2" i="17"/>
  <c r="AE2" i="17" s="1"/>
  <c r="AA21" i="17"/>
  <c r="Q133" i="10"/>
  <c r="U133" i="10" s="1"/>
  <c r="U136" i="10" s="1"/>
  <c r="H31" i="17"/>
  <c r="H30" i="17"/>
  <c r="H33" i="17"/>
  <c r="H32" i="17"/>
  <c r="J81" i="11"/>
  <c r="J76" i="11"/>
  <c r="J65" i="11"/>
  <c r="Q64" i="11"/>
  <c r="Q62" i="11"/>
  <c r="T62" i="59" s="1"/>
  <c r="Q66" i="11"/>
  <c r="U66" i="11" s="1"/>
  <c r="I50" i="17"/>
  <c r="I63" i="59"/>
  <c r="Q5" i="11"/>
  <c r="AA131" i="10"/>
  <c r="AE131" i="10" s="1"/>
  <c r="H34" i="17"/>
  <c r="L34" i="17" s="1"/>
  <c r="P34" i="17" s="1"/>
  <c r="T34" i="17" s="1"/>
  <c r="I60" i="11"/>
  <c r="I132" i="10"/>
  <c r="L59" i="59"/>
  <c r="I67" i="11"/>
  <c r="L63" i="59"/>
  <c r="J84" i="11"/>
  <c r="K59" i="59"/>
  <c r="J67" i="11"/>
  <c r="I59" i="59"/>
  <c r="AT2" i="10" l="1"/>
  <c r="AX2" i="10" s="1"/>
  <c r="BF2" i="10" s="1"/>
  <c r="BD2" i="10"/>
  <c r="AS2" i="10"/>
  <c r="AW2" i="10" s="1"/>
  <c r="BE2" i="10" s="1"/>
  <c r="BC2" i="10"/>
  <c r="BD52" i="17"/>
  <c r="BD113" i="17" s="1"/>
  <c r="BD112" i="17"/>
  <c r="AS58" i="17"/>
  <c r="AW56" i="17"/>
  <c r="AS89" i="17"/>
  <c r="BD10" i="17"/>
  <c r="BD110" i="17"/>
  <c r="BD53" i="17"/>
  <c r="BD54" i="17"/>
  <c r="BD111" i="17"/>
  <c r="BD115" i="17" s="1"/>
  <c r="BE64" i="11"/>
  <c r="BE62" i="11"/>
  <c r="BE71" i="11"/>
  <c r="AW71" i="11"/>
  <c r="AZ63" i="59" s="1"/>
  <c r="AV52" i="17"/>
  <c r="AV53" i="17"/>
  <c r="AV112" i="17"/>
  <c r="AV114" i="17" s="1"/>
  <c r="AN58" i="17"/>
  <c r="AN61" i="17" s="1"/>
  <c r="AR56" i="17"/>
  <c r="AR53" i="17"/>
  <c r="AR112" i="17"/>
  <c r="AN53" i="17"/>
  <c r="AS61" i="17"/>
  <c r="AR110" i="17"/>
  <c r="AR114" i="17" s="1"/>
  <c r="AS71" i="11"/>
  <c r="AV63" i="59" s="1"/>
  <c r="AN112" i="17"/>
  <c r="T81" i="17"/>
  <c r="AN110" i="17"/>
  <c r="AN114" i="17" s="1"/>
  <c r="AI5" i="11"/>
  <c r="AE54" i="11"/>
  <c r="AO71" i="11"/>
  <c r="AR63" i="59" s="1"/>
  <c r="AI67" i="11"/>
  <c r="AO66" i="11"/>
  <c r="AS66" i="11" s="1"/>
  <c r="AW66" i="11" s="1"/>
  <c r="AI131" i="10"/>
  <c r="AE132" i="10"/>
  <c r="AI71" i="11"/>
  <c r="AL63" i="59" s="1"/>
  <c r="AH112" i="17"/>
  <c r="AD2" i="17"/>
  <c r="AD86" i="17"/>
  <c r="AH53" i="17"/>
  <c r="AD114" i="17"/>
  <c r="AH110" i="17"/>
  <c r="AI2" i="17"/>
  <c r="AO2" i="17" s="1"/>
  <c r="AS2" i="17" s="1"/>
  <c r="AE48" i="17"/>
  <c r="AE11" i="17"/>
  <c r="AE40" i="17"/>
  <c r="AE42" i="17"/>
  <c r="AE38" i="17"/>
  <c r="AE44" i="17"/>
  <c r="AE13" i="17"/>
  <c r="AE52" i="17"/>
  <c r="AE12" i="17"/>
  <c r="AE29" i="17"/>
  <c r="AE46" i="17"/>
  <c r="AE50" i="17"/>
  <c r="AE54" i="17"/>
  <c r="AE59" i="17"/>
  <c r="U60" i="11"/>
  <c r="U62" i="11"/>
  <c r="X62" i="59" s="1"/>
  <c r="AE71" i="11"/>
  <c r="AH63" i="59" s="1"/>
  <c r="AA64" i="17"/>
  <c r="AE64" i="17" s="1"/>
  <c r="AA65" i="17"/>
  <c r="AE65" i="17" s="1"/>
  <c r="AI65" i="17" s="1"/>
  <c r="AO65" i="17" s="1"/>
  <c r="AS65" i="17" s="1"/>
  <c r="AA67" i="17"/>
  <c r="AE67" i="17" s="1"/>
  <c r="AI67" i="17" s="1"/>
  <c r="AO67" i="17" s="1"/>
  <c r="AS67" i="17" s="1"/>
  <c r="Z13" i="17"/>
  <c r="Z70" i="17"/>
  <c r="Z74" i="17"/>
  <c r="Z12" i="17"/>
  <c r="AD12" i="17" s="1"/>
  <c r="Z76" i="17"/>
  <c r="AD76" i="17" s="1"/>
  <c r="Z71" i="17"/>
  <c r="AD71" i="17" s="1"/>
  <c r="Z75" i="17"/>
  <c r="AD75" i="17" s="1"/>
  <c r="Z72" i="17"/>
  <c r="Z73" i="17"/>
  <c r="P61" i="17"/>
  <c r="P59" i="17"/>
  <c r="U113" i="17"/>
  <c r="T14" i="17"/>
  <c r="T59" i="17"/>
  <c r="P89" i="17"/>
  <c r="T89" i="17" s="1"/>
  <c r="Y64" i="11"/>
  <c r="Y62" i="11"/>
  <c r="AB62" i="59" s="1"/>
  <c r="Y60" i="11"/>
  <c r="AA61" i="11"/>
  <c r="AE61" i="11" s="1"/>
  <c r="Z65" i="17"/>
  <c r="U14" i="17"/>
  <c r="U134" i="10"/>
  <c r="X58" i="59" s="1"/>
  <c r="U81" i="17"/>
  <c r="U66" i="17"/>
  <c r="U68" i="17" s="1"/>
  <c r="Q50" i="17"/>
  <c r="Q111" i="17" s="1"/>
  <c r="Q115" i="17" s="1"/>
  <c r="Q53" i="17"/>
  <c r="Q54" i="17" s="1"/>
  <c r="Q110" i="17"/>
  <c r="Q114" i="17" s="1"/>
  <c r="T52" i="17"/>
  <c r="T113" i="17" s="1"/>
  <c r="T112" i="17"/>
  <c r="Z79" i="17"/>
  <c r="Z80" i="17"/>
  <c r="AD80" i="17" s="1"/>
  <c r="U44" i="17"/>
  <c r="U49" i="17"/>
  <c r="T66" i="17"/>
  <c r="T68" i="17" s="1"/>
  <c r="T77" i="17"/>
  <c r="U77" i="17"/>
  <c r="U33" i="17"/>
  <c r="U29" i="17"/>
  <c r="U30" i="17"/>
  <c r="U32" i="17"/>
  <c r="U31" i="17"/>
  <c r="U34" i="17"/>
  <c r="AA34" i="17" s="1"/>
  <c r="AE34" i="17" s="1"/>
  <c r="AI34" i="17" s="1"/>
  <c r="AO34" i="17" s="1"/>
  <c r="AS34" i="17" s="1"/>
  <c r="AW34" i="17" s="1"/>
  <c r="BE34" i="17" s="1"/>
  <c r="AA54" i="11"/>
  <c r="AD61" i="59" s="1"/>
  <c r="Q54" i="11"/>
  <c r="T61" i="59" s="1"/>
  <c r="AA59" i="17"/>
  <c r="AA71" i="17"/>
  <c r="AE71" i="17" s="1"/>
  <c r="AI71" i="17" s="1"/>
  <c r="AO71" i="17" s="1"/>
  <c r="AS71" i="17" s="1"/>
  <c r="AW71" i="17" s="1"/>
  <c r="BE71" i="17" s="1"/>
  <c r="AA40" i="17"/>
  <c r="AA48" i="17"/>
  <c r="AA42" i="17"/>
  <c r="M50" i="17"/>
  <c r="M111" i="17" s="1"/>
  <c r="M115" i="17" s="1"/>
  <c r="M53" i="17"/>
  <c r="M54" i="17" s="1"/>
  <c r="M110" i="17"/>
  <c r="AA52" i="17"/>
  <c r="AA46" i="17"/>
  <c r="AA38" i="17"/>
  <c r="AA10" i="17"/>
  <c r="AA71" i="11"/>
  <c r="AD63" i="59" s="1"/>
  <c r="AA65" i="11"/>
  <c r="AE65" i="11" s="1"/>
  <c r="AI65" i="11" s="1"/>
  <c r="AB141" i="10"/>
  <c r="AF141" i="10" s="1"/>
  <c r="AJ141" i="10" s="1"/>
  <c r="AP141" i="10" s="1"/>
  <c r="AT141" i="10" s="1"/>
  <c r="AX141" i="10" s="1"/>
  <c r="BF141" i="10" s="1"/>
  <c r="AB140" i="10"/>
  <c r="AF140" i="10" s="1"/>
  <c r="AJ140" i="10" s="1"/>
  <c r="AP140" i="10" s="1"/>
  <c r="AT140" i="10" s="1"/>
  <c r="AX140" i="10" s="1"/>
  <c r="BF140" i="10" s="1"/>
  <c r="AA67" i="11"/>
  <c r="AA12" i="17"/>
  <c r="AA142" i="10"/>
  <c r="AE142" i="10" s="1"/>
  <c r="AI142" i="10" s="1"/>
  <c r="AO142" i="10" s="1"/>
  <c r="AS142" i="10" s="1"/>
  <c r="AW142" i="10" s="1"/>
  <c r="BE142" i="10" s="1"/>
  <c r="Q60" i="11"/>
  <c r="U5" i="11"/>
  <c r="U54" i="11" s="1"/>
  <c r="AB5" i="11"/>
  <c r="AF5" i="11" s="1"/>
  <c r="AA132" i="10"/>
  <c r="AA79" i="17"/>
  <c r="AE79" i="17" s="1"/>
  <c r="AA75" i="17"/>
  <c r="AE75" i="17" s="1"/>
  <c r="AI75" i="17" s="1"/>
  <c r="AO75" i="17" s="1"/>
  <c r="AS75" i="17" s="1"/>
  <c r="AW75" i="17" s="1"/>
  <c r="BE75" i="17" s="1"/>
  <c r="AA80" i="17"/>
  <c r="AE80" i="17" s="1"/>
  <c r="AI80" i="17" s="1"/>
  <c r="AO80" i="17" s="1"/>
  <c r="AS80" i="17" s="1"/>
  <c r="AW80" i="17" s="1"/>
  <c r="BE80" i="17" s="1"/>
  <c r="AA70" i="17"/>
  <c r="AE70" i="17" s="1"/>
  <c r="AA76" i="17"/>
  <c r="AE76" i="17" s="1"/>
  <c r="AI76" i="17" s="1"/>
  <c r="AO76" i="17" s="1"/>
  <c r="AS76" i="17" s="1"/>
  <c r="AW76" i="17" s="1"/>
  <c r="BE76" i="17" s="1"/>
  <c r="AA74" i="17"/>
  <c r="AE74" i="17" s="1"/>
  <c r="AI74" i="17" s="1"/>
  <c r="AO74" i="17" s="1"/>
  <c r="AS74" i="17" s="1"/>
  <c r="AW74" i="17" s="1"/>
  <c r="BE74" i="17" s="1"/>
  <c r="AA72" i="17"/>
  <c r="AE72" i="17" s="1"/>
  <c r="AI72" i="17" s="1"/>
  <c r="AO72" i="17" s="1"/>
  <c r="AS72" i="17" s="1"/>
  <c r="AW72" i="17" s="1"/>
  <c r="BE72" i="17" s="1"/>
  <c r="AA73" i="17"/>
  <c r="AE73" i="17" s="1"/>
  <c r="AI73" i="17" s="1"/>
  <c r="AO73" i="17" s="1"/>
  <c r="AS73" i="17" s="1"/>
  <c r="AW73" i="17" s="1"/>
  <c r="BE73" i="17" s="1"/>
  <c r="Q69" i="11"/>
  <c r="U69" i="11" s="1"/>
  <c r="AA69" i="11"/>
  <c r="AE69" i="11" s="1"/>
  <c r="AI69" i="11" s="1"/>
  <c r="AO69" i="11" s="1"/>
  <c r="AS69" i="11" s="1"/>
  <c r="AW69" i="11" s="1"/>
  <c r="BE69" i="11" s="1"/>
  <c r="R69" i="11"/>
  <c r="V69" i="11" s="1"/>
  <c r="AB69" i="11"/>
  <c r="AF69" i="11" s="1"/>
  <c r="AJ69" i="11" s="1"/>
  <c r="AP69" i="11" s="1"/>
  <c r="AT69" i="11" s="1"/>
  <c r="AX69" i="11" s="1"/>
  <c r="BF69" i="11" s="1"/>
  <c r="R70" i="11"/>
  <c r="V70" i="11" s="1"/>
  <c r="AB70" i="11"/>
  <c r="AF70" i="11" s="1"/>
  <c r="AJ70" i="11" s="1"/>
  <c r="AP70" i="11" s="1"/>
  <c r="AT70" i="11" s="1"/>
  <c r="AX70" i="11" s="1"/>
  <c r="BF70" i="11" s="1"/>
  <c r="Q70" i="11"/>
  <c r="U70" i="11" s="1"/>
  <c r="AA70" i="11"/>
  <c r="AE70" i="11" s="1"/>
  <c r="AI70" i="11" s="1"/>
  <c r="AO70" i="11" s="1"/>
  <c r="AS70" i="11" s="1"/>
  <c r="AW70" i="11" s="1"/>
  <c r="BE70" i="11" s="1"/>
  <c r="R68" i="11"/>
  <c r="V68" i="11" s="1"/>
  <c r="AB68" i="11"/>
  <c r="AF68" i="11" s="1"/>
  <c r="AJ68" i="11" s="1"/>
  <c r="AP68" i="11" s="1"/>
  <c r="AT68" i="11" s="1"/>
  <c r="AX68" i="11" s="1"/>
  <c r="BF68" i="11" s="1"/>
  <c r="AA141" i="10"/>
  <c r="AE141" i="10" s="1"/>
  <c r="AI141" i="10" s="1"/>
  <c r="AO141" i="10" s="1"/>
  <c r="AS141" i="10" s="1"/>
  <c r="AW141" i="10" s="1"/>
  <c r="BE141" i="10" s="1"/>
  <c r="AB142" i="10"/>
  <c r="AF142" i="10" s="1"/>
  <c r="AJ142" i="10" s="1"/>
  <c r="AP142" i="10" s="1"/>
  <c r="AT142" i="10" s="1"/>
  <c r="AX142" i="10" s="1"/>
  <c r="BF142" i="10" s="1"/>
  <c r="Z64" i="17"/>
  <c r="AD64" i="17" s="1"/>
  <c r="Q134" i="10"/>
  <c r="T58" i="59" s="1"/>
  <c r="Q136" i="10"/>
  <c r="Q142" i="10"/>
  <c r="U142" i="10" s="1"/>
  <c r="Q131" i="10"/>
  <c r="U131" i="10" s="1"/>
  <c r="U132" i="10" s="1"/>
  <c r="R142" i="10"/>
  <c r="V142" i="10" s="1"/>
  <c r="R140" i="10"/>
  <c r="V140" i="10" s="1"/>
  <c r="Q138" i="10"/>
  <c r="U138" i="10" s="1"/>
  <c r="Q141" i="10"/>
  <c r="U141" i="10" s="1"/>
  <c r="R141" i="10"/>
  <c r="V141" i="10" s="1"/>
  <c r="Z10" i="17"/>
  <c r="Z58" i="17"/>
  <c r="Z89" i="17" s="1"/>
  <c r="AD89" i="17" s="1"/>
  <c r="AH89" i="17" s="1"/>
  <c r="AN89" i="17" s="1"/>
  <c r="Z29" i="17"/>
  <c r="AA13" i="17"/>
  <c r="I54" i="17"/>
  <c r="AA29" i="17"/>
  <c r="AA30" i="17"/>
  <c r="AA33" i="17"/>
  <c r="AA31" i="17"/>
  <c r="AA32" i="17"/>
  <c r="J88" i="11"/>
  <c r="J86" i="11"/>
  <c r="J156" i="10"/>
  <c r="J158" i="10" s="1"/>
  <c r="R5" i="11"/>
  <c r="R57" i="11" s="1"/>
  <c r="Q67" i="11"/>
  <c r="Q65" i="11"/>
  <c r="M59" i="59"/>
  <c r="I5" i="10"/>
  <c r="I127" i="10" s="1"/>
  <c r="BC142" i="10" l="1"/>
  <c r="BC140" i="10"/>
  <c r="BC141" i="10"/>
  <c r="BD142" i="10"/>
  <c r="BD141" i="10"/>
  <c r="BD140" i="10"/>
  <c r="BE56" i="17"/>
  <c r="BE58" i="17" s="1"/>
  <c r="AW58" i="17"/>
  <c r="AR58" i="17"/>
  <c r="AR61" i="17" s="1"/>
  <c r="AV56" i="17"/>
  <c r="BD114" i="17"/>
  <c r="AW67" i="11"/>
  <c r="BE66" i="11"/>
  <c r="BE67" i="11" s="1"/>
  <c r="AV113" i="17"/>
  <c r="AV115" i="17" s="1"/>
  <c r="AV54" i="17"/>
  <c r="AE113" i="17"/>
  <c r="AS48" i="17"/>
  <c r="AS11" i="17"/>
  <c r="AS42" i="17"/>
  <c r="AS40" i="17"/>
  <c r="AS38" i="17"/>
  <c r="AS44" i="17"/>
  <c r="AS13" i="17"/>
  <c r="AS12" i="17"/>
  <c r="AS52" i="17"/>
  <c r="AS29" i="17"/>
  <c r="AS46" i="17"/>
  <c r="AS50" i="17"/>
  <c r="AS54" i="17"/>
  <c r="AI132" i="10"/>
  <c r="AO131" i="10"/>
  <c r="AS59" i="17"/>
  <c r="AO48" i="17"/>
  <c r="AO11" i="17"/>
  <c r="AO42" i="17"/>
  <c r="AO40" i="17"/>
  <c r="AO44" i="17"/>
  <c r="AO38" i="17"/>
  <c r="AO13" i="17"/>
  <c r="AO29" i="17"/>
  <c r="AO12" i="17"/>
  <c r="AO52" i="17"/>
  <c r="AO46" i="17"/>
  <c r="AO50" i="17"/>
  <c r="AO54" i="17"/>
  <c r="AO59" i="17"/>
  <c r="AD73" i="17"/>
  <c r="AD74" i="17"/>
  <c r="AD65" i="17"/>
  <c r="AD66" i="17" s="1"/>
  <c r="AD68" i="17" s="1"/>
  <c r="AD72" i="17"/>
  <c r="AF81" i="11"/>
  <c r="AF88" i="11" s="1"/>
  <c r="AJ5" i="11"/>
  <c r="AF54" i="11"/>
  <c r="AF22" i="36" s="1"/>
  <c r="AI61" i="59" s="1"/>
  <c r="AF76" i="11"/>
  <c r="AF67" i="11"/>
  <c r="AO5" i="11"/>
  <c r="AI54" i="11"/>
  <c r="AA64" i="11"/>
  <c r="AA60" i="11"/>
  <c r="AE62" i="11"/>
  <c r="AH62" i="59" s="1"/>
  <c r="AI61" i="11"/>
  <c r="AO61" i="11" s="1"/>
  <c r="AS61" i="11" s="1"/>
  <c r="AW61" i="11" s="1"/>
  <c r="AI70" i="17"/>
  <c r="AI77" i="17" s="1"/>
  <c r="AE77" i="17"/>
  <c r="AE111" i="17"/>
  <c r="AE14" i="17"/>
  <c r="AE81" i="17"/>
  <c r="AE66" i="17"/>
  <c r="AE68" i="17" s="1"/>
  <c r="AI64" i="17"/>
  <c r="AI79" i="17"/>
  <c r="AI48" i="17"/>
  <c r="AI11" i="17"/>
  <c r="AI40" i="17"/>
  <c r="AI42" i="17"/>
  <c r="AI44" i="17"/>
  <c r="AI38" i="17"/>
  <c r="AI13" i="17"/>
  <c r="AI52" i="17"/>
  <c r="AI12" i="17"/>
  <c r="AI29" i="17"/>
  <c r="AI46" i="17"/>
  <c r="AI50" i="17"/>
  <c r="AI54" i="17"/>
  <c r="AI59" i="17"/>
  <c r="AD79" i="17"/>
  <c r="AD81" i="17" s="1"/>
  <c r="AH2" i="17"/>
  <c r="AH75" i="17" s="1"/>
  <c r="AD13" i="17"/>
  <c r="AD14" i="17" s="1"/>
  <c r="AD44" i="17"/>
  <c r="AD29" i="17"/>
  <c r="AD48" i="17"/>
  <c r="AD46" i="17"/>
  <c r="AD59" i="17"/>
  <c r="AD52" i="17"/>
  <c r="AD113" i="17" s="1"/>
  <c r="AD70" i="17"/>
  <c r="AH114" i="17"/>
  <c r="AE60" i="11"/>
  <c r="AE64" i="11"/>
  <c r="AA62" i="11"/>
  <c r="AD62" i="59" s="1"/>
  <c r="AA113" i="17"/>
  <c r="M114" i="17"/>
  <c r="AB57" i="11"/>
  <c r="AF57" i="11" s="1"/>
  <c r="AJ57" i="11" s="1"/>
  <c r="U65" i="11"/>
  <c r="U67" i="11"/>
  <c r="U50" i="17"/>
  <c r="U111" i="17" s="1"/>
  <c r="U115" i="17" s="1"/>
  <c r="U53" i="17"/>
  <c r="U54" i="17" s="1"/>
  <c r="U110" i="17"/>
  <c r="U114" i="17" s="1"/>
  <c r="Z14" i="17"/>
  <c r="AB54" i="11"/>
  <c r="AE61" i="59" s="1"/>
  <c r="R54" i="11"/>
  <c r="R22" i="36" s="1"/>
  <c r="X61" i="59"/>
  <c r="Z48" i="17"/>
  <c r="AA11" i="17"/>
  <c r="AB81" i="11"/>
  <c r="AB88" i="11" s="1"/>
  <c r="J29" i="35"/>
  <c r="J90" i="11" s="1"/>
  <c r="AB67" i="11"/>
  <c r="AB76" i="11"/>
  <c r="AB65" i="11"/>
  <c r="AF65" i="11" s="1"/>
  <c r="AJ65" i="11" s="1"/>
  <c r="V5" i="11"/>
  <c r="V57" i="11" s="1"/>
  <c r="AA81" i="17"/>
  <c r="AA77" i="17"/>
  <c r="Q132" i="10"/>
  <c r="Z21" i="17"/>
  <c r="Z81" i="17"/>
  <c r="Z77" i="17"/>
  <c r="Z66" i="17"/>
  <c r="R156" i="10"/>
  <c r="R158" i="10" s="1"/>
  <c r="U59" i="59"/>
  <c r="AA66" i="17"/>
  <c r="Z59" i="17"/>
  <c r="Z61" i="17"/>
  <c r="R67" i="11"/>
  <c r="Z46" i="17"/>
  <c r="Z52" i="17"/>
  <c r="Z113" i="17" s="1"/>
  <c r="R65" i="11"/>
  <c r="R81" i="11"/>
  <c r="R76" i="11"/>
  <c r="R84" i="11"/>
  <c r="I137" i="10"/>
  <c r="I139" i="10"/>
  <c r="J5" i="10"/>
  <c r="J127" i="10" s="1"/>
  <c r="I95" i="9"/>
  <c r="AV58" i="17" l="1"/>
  <c r="BD56" i="17"/>
  <c r="BD58" i="17" s="1"/>
  <c r="AR89" i="17"/>
  <c r="AV89" i="17" s="1"/>
  <c r="AW61" i="17"/>
  <c r="AW59" i="17"/>
  <c r="BE61" i="17"/>
  <c r="BE59" i="17"/>
  <c r="AE115" i="17"/>
  <c r="AW89" i="17"/>
  <c r="AW60" i="11"/>
  <c r="AW64" i="11"/>
  <c r="AW62" i="11"/>
  <c r="AZ62" i="59" s="1"/>
  <c r="AI113" i="17"/>
  <c r="AS113" i="17"/>
  <c r="AO54" i="11"/>
  <c r="AR61" i="59" s="1"/>
  <c r="AS5" i="11"/>
  <c r="AS111" i="17"/>
  <c r="AS14" i="17"/>
  <c r="AS131" i="10"/>
  <c r="AO132" i="10"/>
  <c r="AS60" i="11"/>
  <c r="AS62" i="11"/>
  <c r="AV62" i="59" s="1"/>
  <c r="AS64" i="11"/>
  <c r="AH73" i="17"/>
  <c r="AN73" i="17" s="1"/>
  <c r="AR73" i="17" s="1"/>
  <c r="AV73" i="17" s="1"/>
  <c r="BD73" i="17" s="1"/>
  <c r="AO113" i="17"/>
  <c r="AH71" i="17"/>
  <c r="AH12" i="17"/>
  <c r="AO14" i="17"/>
  <c r="AH80" i="17"/>
  <c r="AN2" i="17"/>
  <c r="AR2" i="17" s="1"/>
  <c r="AH72" i="17"/>
  <c r="AH74" i="17"/>
  <c r="AN74" i="17" s="1"/>
  <c r="AR74" i="17" s="1"/>
  <c r="AV74" i="17" s="1"/>
  <c r="BD74" i="17" s="1"/>
  <c r="AH86" i="17"/>
  <c r="AN86" i="17" s="1"/>
  <c r="AR86" i="17" s="1"/>
  <c r="AV86" i="17" s="1"/>
  <c r="BD86" i="17" s="1"/>
  <c r="AO111" i="17"/>
  <c r="AO70" i="17"/>
  <c r="AD50" i="17"/>
  <c r="AD54" i="17" s="1"/>
  <c r="AI81" i="17"/>
  <c r="AO79" i="17"/>
  <c r="AI66" i="17"/>
  <c r="AI68" i="17" s="1"/>
  <c r="AO64" i="17"/>
  <c r="AP5" i="11"/>
  <c r="AT5" i="11" s="1"/>
  <c r="AJ81" i="11"/>
  <c r="AJ88" i="11" s="1"/>
  <c r="AJ54" i="11"/>
  <c r="AJ22" i="36" s="1"/>
  <c r="AM61" i="59" s="1"/>
  <c r="AJ76" i="11"/>
  <c r="AJ67" i="11"/>
  <c r="AO60" i="11"/>
  <c r="AO62" i="11"/>
  <c r="AR62" i="59" s="1"/>
  <c r="AO64" i="11"/>
  <c r="AO67" i="11"/>
  <c r="AO65" i="11"/>
  <c r="AS65" i="11" s="1"/>
  <c r="AW65" i="11" s="1"/>
  <c r="AI111" i="17"/>
  <c r="AI115" i="17" s="1"/>
  <c r="AI62" i="11"/>
  <c r="AL62" i="59" s="1"/>
  <c r="AI64" i="11"/>
  <c r="AI60" i="11"/>
  <c r="AH65" i="17"/>
  <c r="AN65" i="17" s="1"/>
  <c r="AH13" i="17"/>
  <c r="AH14" i="17" s="1"/>
  <c r="AH44" i="17"/>
  <c r="AH29" i="17"/>
  <c r="AH48" i="17"/>
  <c r="AH46" i="17"/>
  <c r="AH59" i="17"/>
  <c r="AH52" i="17"/>
  <c r="AH113" i="17" s="1"/>
  <c r="AH76" i="17"/>
  <c r="AN76" i="17" s="1"/>
  <c r="AR76" i="17" s="1"/>
  <c r="AV76" i="17" s="1"/>
  <c r="BD76" i="17" s="1"/>
  <c r="AH79" i="17"/>
  <c r="AH70" i="17"/>
  <c r="AN70" i="17" s="1"/>
  <c r="AR70" i="17" s="1"/>
  <c r="AV70" i="17" s="1"/>
  <c r="AD77" i="17"/>
  <c r="AH64" i="17"/>
  <c r="AI14" i="17"/>
  <c r="V54" i="11"/>
  <c r="V65" i="11"/>
  <c r="V81" i="11"/>
  <c r="V88" i="11" s="1"/>
  <c r="V67" i="11"/>
  <c r="Z68" i="17"/>
  <c r="AA68" i="17"/>
  <c r="AA14" i="17"/>
  <c r="V76" i="11"/>
  <c r="AB22" i="36"/>
  <c r="J31" i="35"/>
  <c r="J21" i="36"/>
  <c r="M57" i="59" s="1"/>
  <c r="AA5" i="10"/>
  <c r="AA127" i="10" s="1"/>
  <c r="Q5" i="10"/>
  <c r="Q127" i="10" s="1"/>
  <c r="Z33" i="17"/>
  <c r="Z31" i="17"/>
  <c r="Z30" i="17"/>
  <c r="Z34" i="17"/>
  <c r="AD34" i="17" s="1"/>
  <c r="AH34" i="17" s="1"/>
  <c r="AN34" i="17" s="1"/>
  <c r="AR34" i="17" s="1"/>
  <c r="AV34" i="17" s="1"/>
  <c r="BD34" i="17" s="1"/>
  <c r="R88" i="11"/>
  <c r="AA44" i="17"/>
  <c r="AA49" i="17"/>
  <c r="AA110" i="17" s="1"/>
  <c r="AA114" i="17" s="1"/>
  <c r="J153" i="10"/>
  <c r="J160" i="10" s="1"/>
  <c r="R86" i="11"/>
  <c r="R71" i="11"/>
  <c r="U63" i="59" s="1"/>
  <c r="J148" i="10"/>
  <c r="J137" i="10"/>
  <c r="J139" i="10"/>
  <c r="N21" i="36"/>
  <c r="Q57" i="59" s="1"/>
  <c r="I92" i="9"/>
  <c r="J99" i="9"/>
  <c r="J95" i="9"/>
  <c r="J92" i="9"/>
  <c r="I99" i="9"/>
  <c r="BD70" i="17" l="1"/>
  <c r="BD89" i="17"/>
  <c r="BD61" i="17"/>
  <c r="BD59" i="17"/>
  <c r="AD111" i="17"/>
  <c r="AD115" i="17" s="1"/>
  <c r="AV59" i="17"/>
  <c r="AV61" i="17"/>
  <c r="AS132" i="10"/>
  <c r="AW131" i="10"/>
  <c r="AS115" i="17"/>
  <c r="AO77" i="17"/>
  <c r="AS70" i="17"/>
  <c r="AN72" i="17"/>
  <c r="AR72" i="17" s="1"/>
  <c r="AV72" i="17" s="1"/>
  <c r="BD72" i="17" s="1"/>
  <c r="AN12" i="17"/>
  <c r="AR12" i="17" s="1"/>
  <c r="AS54" i="11"/>
  <c r="AS67" i="11"/>
  <c r="AO81" i="17"/>
  <c r="AS79" i="17"/>
  <c r="AO115" i="17"/>
  <c r="AR65" i="17"/>
  <c r="AR13" i="17"/>
  <c r="AR44" i="17"/>
  <c r="AR29" i="17"/>
  <c r="AR48" i="17"/>
  <c r="AR46" i="17"/>
  <c r="AR52" i="17"/>
  <c r="AR59" i="17"/>
  <c r="AN71" i="17"/>
  <c r="AR71" i="17" s="1"/>
  <c r="AV71" i="17" s="1"/>
  <c r="BD71" i="17" s="1"/>
  <c r="AT81" i="11"/>
  <c r="AT88" i="11" s="1"/>
  <c r="AT54" i="11"/>
  <c r="AT22" i="36" s="1"/>
  <c r="AW61" i="59" s="1"/>
  <c r="AT76" i="11"/>
  <c r="AT67" i="11"/>
  <c r="AO66" i="17"/>
  <c r="AO68" i="17" s="1"/>
  <c r="AS64" i="17"/>
  <c r="AS66" i="17" s="1"/>
  <c r="AS68" i="17" s="1"/>
  <c r="AN80" i="17"/>
  <c r="AR80" i="17" s="1"/>
  <c r="AV80" i="17" s="1"/>
  <c r="BD80" i="17" s="1"/>
  <c r="AH66" i="17"/>
  <c r="AH68" i="17" s="1"/>
  <c r="AN64" i="17"/>
  <c r="AH81" i="17"/>
  <c r="AN79" i="17"/>
  <c r="AN13" i="17"/>
  <c r="AN44" i="17"/>
  <c r="AN29" i="17"/>
  <c r="AN48" i="17"/>
  <c r="AN46" i="17"/>
  <c r="AN59" i="17"/>
  <c r="AN52" i="17"/>
  <c r="AN113" i="17" s="1"/>
  <c r="AN75" i="17"/>
  <c r="AP81" i="11"/>
  <c r="AP88" i="11" s="1"/>
  <c r="AP54" i="11"/>
  <c r="AP76" i="11"/>
  <c r="AP67" i="11"/>
  <c r="AP65" i="11"/>
  <c r="AT65" i="11" s="1"/>
  <c r="AX65" i="11" s="1"/>
  <c r="AP57" i="11"/>
  <c r="AT57" i="11" s="1"/>
  <c r="AX57" i="11" s="1"/>
  <c r="BF57" i="11" s="1"/>
  <c r="AD57" i="59"/>
  <c r="AE5" i="10"/>
  <c r="AE127" i="10" s="1"/>
  <c r="AH77" i="17"/>
  <c r="AH50" i="17"/>
  <c r="Y61" i="59"/>
  <c r="V22" i="36"/>
  <c r="AA53" i="17"/>
  <c r="T57" i="59"/>
  <c r="J71" i="11"/>
  <c r="J22" i="36"/>
  <c r="M61" i="59" s="1"/>
  <c r="J32" i="35"/>
  <c r="N31" i="35"/>
  <c r="R29" i="35"/>
  <c r="AA139" i="10"/>
  <c r="AA137" i="10"/>
  <c r="AE137" i="10" s="1"/>
  <c r="AB5" i="10"/>
  <c r="AB127" i="10" s="1"/>
  <c r="R5" i="10"/>
  <c r="R127" i="10" s="1"/>
  <c r="U5" i="10"/>
  <c r="U127" i="10" s="1"/>
  <c r="Q137" i="10"/>
  <c r="Q139" i="10"/>
  <c r="AA50" i="17"/>
  <c r="AA111" i="17" s="1"/>
  <c r="AA115" i="17" s="1"/>
  <c r="I38" i="9"/>
  <c r="I29" i="9"/>
  <c r="I20" i="9"/>
  <c r="I15" i="9"/>
  <c r="J2" i="9"/>
  <c r="I2" i="9"/>
  <c r="AW132" i="10" l="1"/>
  <c r="BE131" i="10"/>
  <c r="BE132" i="10" s="1"/>
  <c r="AS81" i="17"/>
  <c r="AW79" i="17"/>
  <c r="AS77" i="17"/>
  <c r="AW70" i="17"/>
  <c r="AR50" i="17"/>
  <c r="AR111" i="17" s="1"/>
  <c r="AN66" i="17"/>
  <c r="AN68" i="17" s="1"/>
  <c r="AR64" i="17"/>
  <c r="AR66" i="17" s="1"/>
  <c r="AR68" i="17" s="1"/>
  <c r="AN14" i="17"/>
  <c r="AN77" i="17"/>
  <c r="AR75" i="17"/>
  <c r="AN81" i="17"/>
  <c r="AR79" i="17"/>
  <c r="AR14" i="17"/>
  <c r="AR113" i="17"/>
  <c r="AN50" i="17"/>
  <c r="AN111" i="17" s="1"/>
  <c r="AN115" i="17" s="1"/>
  <c r="AS61" i="59"/>
  <c r="AP22" i="36"/>
  <c r="AI5" i="10"/>
  <c r="AE139" i="10"/>
  <c r="AF5" i="10"/>
  <c r="AF127" i="10" s="1"/>
  <c r="AH54" i="17"/>
  <c r="AH111" i="17"/>
  <c r="AH115" i="17" s="1"/>
  <c r="V29" i="35"/>
  <c r="R90" i="11"/>
  <c r="U137" i="10"/>
  <c r="X57" i="59"/>
  <c r="U139" i="10"/>
  <c r="AA54" i="17"/>
  <c r="U57" i="59"/>
  <c r="R21" i="36"/>
  <c r="F48" i="72"/>
  <c r="J34" i="35"/>
  <c r="R31" i="35"/>
  <c r="U61" i="59"/>
  <c r="AB137" i="10"/>
  <c r="AB153" i="10"/>
  <c r="AB148" i="10"/>
  <c r="AB139" i="10"/>
  <c r="R137" i="10"/>
  <c r="V5" i="10"/>
  <c r="V127" i="10" s="1"/>
  <c r="R153" i="10"/>
  <c r="R160" i="10" s="1"/>
  <c r="R139" i="10"/>
  <c r="R148" i="10"/>
  <c r="J103" i="9"/>
  <c r="J97" i="9"/>
  <c r="J98" i="9"/>
  <c r="I51" i="9"/>
  <c r="M94" i="9"/>
  <c r="L18" i="15" s="1"/>
  <c r="I104" i="9"/>
  <c r="L52" i="59" s="1"/>
  <c r="I89" i="9"/>
  <c r="I96" i="9"/>
  <c r="I94" i="9"/>
  <c r="H18" i="15" s="1"/>
  <c r="I93" i="9"/>
  <c r="H125" i="26"/>
  <c r="I67" i="9"/>
  <c r="I27" i="9"/>
  <c r="I98" i="9"/>
  <c r="I97" i="9"/>
  <c r="I33" i="22"/>
  <c r="I55" i="9"/>
  <c r="I72" i="9" s="1"/>
  <c r="I69" i="9"/>
  <c r="I64" i="9"/>
  <c r="I24" i="9"/>
  <c r="I47" i="9"/>
  <c r="I63" i="9"/>
  <c r="I68" i="9"/>
  <c r="I65" i="9"/>
  <c r="I70" i="9"/>
  <c r="I22" i="9"/>
  <c r="M2" i="9"/>
  <c r="I103" i="9"/>
  <c r="N2" i="9"/>
  <c r="I19" i="9"/>
  <c r="I101" i="9"/>
  <c r="J64" i="9"/>
  <c r="J11" i="9"/>
  <c r="J69" i="9"/>
  <c r="J55" i="9"/>
  <c r="J63" i="9"/>
  <c r="J67" i="9"/>
  <c r="J68" i="9"/>
  <c r="J15" i="9"/>
  <c r="J38" i="36" s="1"/>
  <c r="J16" i="36" s="1"/>
  <c r="I102" i="9"/>
  <c r="I100" i="9"/>
  <c r="J20" i="9"/>
  <c r="J9" i="9"/>
  <c r="J7" i="9"/>
  <c r="J19" i="9"/>
  <c r="J39" i="36" s="1"/>
  <c r="J17" i="36" s="1"/>
  <c r="J88" i="9"/>
  <c r="J65" i="9"/>
  <c r="J63" i="22" s="1"/>
  <c r="J65" i="22" s="1"/>
  <c r="J66" i="22" s="1"/>
  <c r="J70" i="9"/>
  <c r="J58" i="22" s="1"/>
  <c r="J60" i="22" s="1"/>
  <c r="J61" i="22" s="1"/>
  <c r="J27" i="9"/>
  <c r="J29" i="9"/>
  <c r="J8" i="9"/>
  <c r="J24" i="9"/>
  <c r="J12" i="9"/>
  <c r="J23" i="9"/>
  <c r="J22" i="9"/>
  <c r="J2" i="8"/>
  <c r="J83" i="8" s="1"/>
  <c r="I2" i="8"/>
  <c r="AO5" i="10" l="1"/>
  <c r="AO127" i="10" s="1"/>
  <c r="AI127" i="10"/>
  <c r="AR54" i="17"/>
  <c r="BE70" i="17"/>
  <c r="BE77" i="17" s="1"/>
  <c r="AW77" i="17"/>
  <c r="BE79" i="17"/>
  <c r="BE81" i="17" s="1"/>
  <c r="AW81" i="17"/>
  <c r="AR81" i="17"/>
  <c r="AV79" i="17"/>
  <c r="AR77" i="17"/>
  <c r="AV75" i="17"/>
  <c r="AR115" i="17"/>
  <c r="AS5" i="10"/>
  <c r="AR57" i="59"/>
  <c r="AO139" i="10"/>
  <c r="AN54" i="17"/>
  <c r="AF137" i="10"/>
  <c r="AJ5" i="10"/>
  <c r="AF148" i="10"/>
  <c r="AF153" i="10"/>
  <c r="AF160" i="10" s="1"/>
  <c r="AF21" i="36"/>
  <c r="AI57" i="59" s="1"/>
  <c r="AF139" i="10"/>
  <c r="AI137" i="10"/>
  <c r="AO137" i="10" s="1"/>
  <c r="AI139" i="10"/>
  <c r="V31" i="35"/>
  <c r="V90" i="11"/>
  <c r="M48" i="59"/>
  <c r="M47" i="59"/>
  <c r="J18" i="36"/>
  <c r="M49" i="59" s="1"/>
  <c r="J72" i="9"/>
  <c r="J40" i="36"/>
  <c r="V137" i="10"/>
  <c r="V21" i="36"/>
  <c r="V139" i="10"/>
  <c r="V153" i="10"/>
  <c r="V160" i="10" s="1"/>
  <c r="V148" i="10"/>
  <c r="R2" i="9"/>
  <c r="V2" i="9" s="1"/>
  <c r="AB2" i="9" s="1"/>
  <c r="AF2" i="9" s="1"/>
  <c r="AJ2" i="9" s="1"/>
  <c r="AP2" i="9" s="1"/>
  <c r="AT2" i="9" s="1"/>
  <c r="AX2" i="9" s="1"/>
  <c r="BF2" i="9" s="1"/>
  <c r="N103" i="9"/>
  <c r="N98" i="9"/>
  <c r="N97" i="9"/>
  <c r="M103" i="9"/>
  <c r="M98" i="9"/>
  <c r="M97" i="9"/>
  <c r="J44" i="35"/>
  <c r="J45" i="35" s="1"/>
  <c r="J35" i="35"/>
  <c r="F25" i="36"/>
  <c r="I69" i="59" s="1"/>
  <c r="R32" i="35"/>
  <c r="S110" i="50" s="1"/>
  <c r="N34" i="35"/>
  <c r="M2" i="8"/>
  <c r="I83" i="8"/>
  <c r="J120" i="7"/>
  <c r="J101" i="9"/>
  <c r="I53" i="9"/>
  <c r="J51" i="9"/>
  <c r="I83" i="9"/>
  <c r="M25" i="9"/>
  <c r="M89" i="9"/>
  <c r="M100" i="9"/>
  <c r="M96" i="9"/>
  <c r="Y96" i="9"/>
  <c r="N63" i="22"/>
  <c r="I82" i="9"/>
  <c r="L55" i="59" s="1"/>
  <c r="N58" i="22"/>
  <c r="N60" i="22" s="1"/>
  <c r="N61" i="22" s="1"/>
  <c r="I86" i="9"/>
  <c r="N25" i="9"/>
  <c r="I85" i="9"/>
  <c r="I87" i="9"/>
  <c r="L54" i="59" s="1"/>
  <c r="I80" i="9"/>
  <c r="I81" i="9"/>
  <c r="I84" i="9"/>
  <c r="M93" i="9"/>
  <c r="I90" i="9"/>
  <c r="I91" i="9" s="1"/>
  <c r="M90" i="9"/>
  <c r="N2" i="8"/>
  <c r="J75" i="8"/>
  <c r="M42" i="59" s="1"/>
  <c r="J82" i="8"/>
  <c r="E34" i="8"/>
  <c r="J134" i="9"/>
  <c r="J138" i="9"/>
  <c r="J137" i="9"/>
  <c r="J139" i="9"/>
  <c r="J136" i="9"/>
  <c r="J135" i="9"/>
  <c r="J62" i="8"/>
  <c r="J53" i="8" s="1"/>
  <c r="J66" i="8"/>
  <c r="J55" i="8" s="1"/>
  <c r="I25" i="9"/>
  <c r="I52" i="9" s="1"/>
  <c r="L51" i="59" s="1"/>
  <c r="Q2" i="9"/>
  <c r="U2" i="9" s="1"/>
  <c r="I28" i="8"/>
  <c r="I82" i="8"/>
  <c r="I30" i="8"/>
  <c r="J93" i="9"/>
  <c r="J10" i="9"/>
  <c r="I26" i="8"/>
  <c r="J25" i="9"/>
  <c r="I27" i="8"/>
  <c r="S113" i="50" l="1"/>
  <c r="S112" i="50"/>
  <c r="AP5" i="10"/>
  <c r="AP127" i="10" s="1"/>
  <c r="AJ127" i="10"/>
  <c r="AW5" i="10"/>
  <c r="AS127" i="10"/>
  <c r="K71" i="83"/>
  <c r="K69" i="83" s="1"/>
  <c r="K83" i="50"/>
  <c r="BD79" i="17"/>
  <c r="BD81" i="17" s="1"/>
  <c r="AV81" i="17"/>
  <c r="BD75" i="17"/>
  <c r="BD77" i="17" s="1"/>
  <c r="AV77" i="17"/>
  <c r="AT5" i="10"/>
  <c r="AP153" i="10"/>
  <c r="AP160" i="10" s="1"/>
  <c r="AP139" i="10"/>
  <c r="AP148" i="10"/>
  <c r="AS137" i="10"/>
  <c r="AW137" i="10" s="1"/>
  <c r="AV57" i="59"/>
  <c r="AS139" i="10"/>
  <c r="AJ137" i="10"/>
  <c r="AP137" i="10" s="1"/>
  <c r="AJ153" i="10"/>
  <c r="AJ160" i="10" s="1"/>
  <c r="AJ148" i="10"/>
  <c r="AJ21" i="36"/>
  <c r="AM57" i="59" s="1"/>
  <c r="AJ139" i="10"/>
  <c r="AC39" i="36"/>
  <c r="AM39" i="36" s="1"/>
  <c r="AC90" i="9"/>
  <c r="AF48" i="59"/>
  <c r="N74" i="8"/>
  <c r="N83" i="8"/>
  <c r="M34" i="8"/>
  <c r="AA34" i="8" s="1"/>
  <c r="AE34" i="8" s="1"/>
  <c r="AI34" i="8" s="1"/>
  <c r="AO34" i="8" s="1"/>
  <c r="AS34" i="8" s="1"/>
  <c r="AW34" i="8" s="1"/>
  <c r="BE34" i="8" s="1"/>
  <c r="J42" i="36"/>
  <c r="J48" i="36"/>
  <c r="J50" i="36" s="1"/>
  <c r="V32" i="35"/>
  <c r="Z97" i="9"/>
  <c r="AB97" i="9" s="1"/>
  <c r="AF97" i="9" s="1"/>
  <c r="AJ97" i="9" s="1"/>
  <c r="AP97" i="9" s="1"/>
  <c r="AT97" i="9" s="1"/>
  <c r="AX97" i="9" s="1"/>
  <c r="BF97" i="9" s="1"/>
  <c r="R97" i="9"/>
  <c r="V97" i="9" s="1"/>
  <c r="R98" i="9"/>
  <c r="V98" i="9" s="1"/>
  <c r="R103" i="9"/>
  <c r="V103" i="9" s="1"/>
  <c r="I129" i="8"/>
  <c r="I130" i="8" s="1"/>
  <c r="Q98" i="9"/>
  <c r="U98" i="9" s="1"/>
  <c r="Q103" i="9"/>
  <c r="U103" i="9" s="1"/>
  <c r="Y57" i="59"/>
  <c r="L123" i="26"/>
  <c r="Q2" i="8"/>
  <c r="M82" i="8"/>
  <c r="M83" i="8"/>
  <c r="R2" i="8"/>
  <c r="R74" i="8" s="1"/>
  <c r="N75" i="8"/>
  <c r="Q42" i="59" s="1"/>
  <c r="N82" i="8"/>
  <c r="N10" i="9"/>
  <c r="J51" i="35"/>
  <c r="N45" i="35"/>
  <c r="N35" i="35"/>
  <c r="O83" i="50" s="1"/>
  <c r="J25" i="36"/>
  <c r="M69" i="59" s="1"/>
  <c r="R34" i="35"/>
  <c r="AB31" i="35"/>
  <c r="N85" i="9"/>
  <c r="I7" i="9"/>
  <c r="N120" i="7"/>
  <c r="N65" i="22"/>
  <c r="N66" i="22" s="1"/>
  <c r="J121" i="7"/>
  <c r="J122" i="7"/>
  <c r="J123" i="7" s="1"/>
  <c r="I55" i="59"/>
  <c r="I54" i="59"/>
  <c r="I51" i="59"/>
  <c r="AA2" i="9"/>
  <c r="AE2" i="9" s="1"/>
  <c r="AI2" i="9" s="1"/>
  <c r="M83" i="9"/>
  <c r="M88" i="9"/>
  <c r="P51" i="59"/>
  <c r="M91" i="9"/>
  <c r="M84" i="9"/>
  <c r="M80" i="9"/>
  <c r="M85" i="9"/>
  <c r="M81" i="9"/>
  <c r="M87" i="9"/>
  <c r="P54" i="59" s="1"/>
  <c r="M86" i="9"/>
  <c r="M82" i="9"/>
  <c r="P55" i="59" s="1"/>
  <c r="I88" i="9"/>
  <c r="H123" i="26"/>
  <c r="I67" i="8"/>
  <c r="E35" i="8"/>
  <c r="M35" i="8" s="1"/>
  <c r="AA35" i="8" s="1"/>
  <c r="AE35" i="8" s="1"/>
  <c r="AI35" i="8" s="1"/>
  <c r="AO35" i="8" s="1"/>
  <c r="AS35" i="8" s="1"/>
  <c r="AW35" i="8" s="1"/>
  <c r="BE35" i="8" s="1"/>
  <c r="I57" i="8"/>
  <c r="V34" i="35" l="1"/>
  <c r="V44" i="35" s="1"/>
  <c r="V45" i="35" s="1"/>
  <c r="W110" i="50"/>
  <c r="BE5" i="10"/>
  <c r="AW127" i="10"/>
  <c r="AZ57" i="59" s="1"/>
  <c r="AW139" i="10"/>
  <c r="AX5" i="10"/>
  <c r="AT127" i="10"/>
  <c r="AO2" i="9"/>
  <c r="AS2" i="9" s="1"/>
  <c r="AW2" i="9" s="1"/>
  <c r="BE2" i="9" s="1"/>
  <c r="J19" i="36"/>
  <c r="M50" i="59" s="1"/>
  <c r="AS57" i="59"/>
  <c r="AP21" i="36"/>
  <c r="AT137" i="10"/>
  <c r="AX137" i="10" s="1"/>
  <c r="AT153" i="10"/>
  <c r="AT160" i="10" s="1"/>
  <c r="AT139" i="10"/>
  <c r="AT148" i="10"/>
  <c r="AC91" i="9"/>
  <c r="AC19" i="9"/>
  <c r="AM19" i="9" s="1"/>
  <c r="BC39" i="36"/>
  <c r="BC17" i="36" s="1"/>
  <c r="BF48" i="59" s="1"/>
  <c r="BE39" i="36"/>
  <c r="BE17" i="36" s="1"/>
  <c r="BH48" i="59" s="1"/>
  <c r="P123" i="26"/>
  <c r="T123" i="26"/>
  <c r="Q34" i="8"/>
  <c r="U34" i="8" s="1"/>
  <c r="I131" i="8"/>
  <c r="I132" i="8" s="1"/>
  <c r="I51" i="8" s="1"/>
  <c r="Z103" i="9"/>
  <c r="AB103" i="9" s="1"/>
  <c r="AF103" i="9" s="1"/>
  <c r="AJ103" i="9" s="1"/>
  <c r="AP103" i="9" s="1"/>
  <c r="AT103" i="9" s="1"/>
  <c r="AX103" i="9" s="1"/>
  <c r="BF103" i="9" s="1"/>
  <c r="Z98" i="9"/>
  <c r="AB98" i="9" s="1"/>
  <c r="AF98" i="9" s="1"/>
  <c r="AJ98" i="9" s="1"/>
  <c r="AP98" i="9" s="1"/>
  <c r="AT98" i="9" s="1"/>
  <c r="AX98" i="9" s="1"/>
  <c r="BF98" i="9" s="1"/>
  <c r="R82" i="8"/>
  <c r="V35" i="35"/>
  <c r="W83" i="50" s="1"/>
  <c r="U2" i="8"/>
  <c r="U83" i="8" s="1"/>
  <c r="Q83" i="8"/>
  <c r="R75" i="8"/>
  <c r="V2" i="8"/>
  <c r="R83" i="8"/>
  <c r="I35" i="8"/>
  <c r="Q35" i="8"/>
  <c r="U35" i="8" s="1"/>
  <c r="N51" i="35"/>
  <c r="N25" i="36"/>
  <c r="Q69" i="59" s="1"/>
  <c r="R44" i="35"/>
  <c r="R45" i="35" s="1"/>
  <c r="R35" i="35"/>
  <c r="S83" i="50" s="1"/>
  <c r="M7" i="9"/>
  <c r="R120" i="7"/>
  <c r="R63" i="22"/>
  <c r="R65" i="22" s="1"/>
  <c r="R66" i="22" s="1"/>
  <c r="V63" i="22"/>
  <c r="R58" i="22"/>
  <c r="R60" i="22" s="1"/>
  <c r="R61" i="22" s="1"/>
  <c r="V58" i="22"/>
  <c r="V60" i="22" s="1"/>
  <c r="V61" i="22" s="1"/>
  <c r="N83" i="9"/>
  <c r="J124" i="7"/>
  <c r="N122" i="7"/>
  <c r="N123" i="7" s="1"/>
  <c r="N121" i="7"/>
  <c r="N53" i="9"/>
  <c r="N86" i="9"/>
  <c r="AA94" i="9"/>
  <c r="Z18" i="15" s="1"/>
  <c r="Y103" i="9"/>
  <c r="AA103" i="9" s="1"/>
  <c r="AE103" i="9" s="1"/>
  <c r="AI103" i="9" s="1"/>
  <c r="AO103" i="9" s="1"/>
  <c r="Y98" i="9"/>
  <c r="AA98" i="9" s="1"/>
  <c r="AE98" i="9" s="1"/>
  <c r="AI98" i="9" s="1"/>
  <c r="AO98" i="9" s="1"/>
  <c r="AS98" i="9" s="1"/>
  <c r="AW98" i="9" s="1"/>
  <c r="BE98" i="9" s="1"/>
  <c r="N82" i="9"/>
  <c r="Q55" i="59" s="1"/>
  <c r="N52" i="9"/>
  <c r="Q51" i="59" s="1"/>
  <c r="N84" i="9"/>
  <c r="N81" i="9"/>
  <c r="N80" i="9"/>
  <c r="AB10" i="9"/>
  <c r="N87" i="9"/>
  <c r="Q54" i="59" s="1"/>
  <c r="Y25" i="9"/>
  <c r="Y88" i="9" s="1"/>
  <c r="T51" i="59"/>
  <c r="Y94" i="9"/>
  <c r="X18" i="15" s="1"/>
  <c r="Y93" i="9"/>
  <c r="J83" i="9"/>
  <c r="J87" i="9"/>
  <c r="M54" i="59" s="1"/>
  <c r="J86" i="9"/>
  <c r="J80" i="9"/>
  <c r="J81" i="9"/>
  <c r="J85" i="9"/>
  <c r="J84" i="9"/>
  <c r="J82" i="9"/>
  <c r="M55" i="59" s="1"/>
  <c r="T55" i="59"/>
  <c r="T54" i="59"/>
  <c r="I72" i="8"/>
  <c r="I34" i="8"/>
  <c r="I61" i="8"/>
  <c r="J52" i="9"/>
  <c r="M51" i="59" s="1"/>
  <c r="J53" i="9"/>
  <c r="I14" i="8"/>
  <c r="I10" i="8"/>
  <c r="I9" i="8"/>
  <c r="I8" i="8"/>
  <c r="J56" i="8"/>
  <c r="J52" i="8" s="1"/>
  <c r="I6" i="8"/>
  <c r="J76" i="7"/>
  <c r="J62" i="7"/>
  <c r="W112" i="50" l="1"/>
  <c r="W113" i="50"/>
  <c r="BF5" i="10"/>
  <c r="AX153" i="10"/>
  <c r="AX160" i="10" s="1"/>
  <c r="AX127" i="10"/>
  <c r="AX139" i="10"/>
  <c r="AX148" i="10"/>
  <c r="BF137" i="10"/>
  <c r="BE137" i="10"/>
  <c r="BE127" i="10"/>
  <c r="BH57" i="59" s="1"/>
  <c r="BE139" i="10"/>
  <c r="AM90" i="9"/>
  <c r="AM91" i="9" s="1"/>
  <c r="BC19" i="9"/>
  <c r="BC90" i="9" s="1"/>
  <c r="BC91" i="9" s="1"/>
  <c r="AS103" i="9"/>
  <c r="AW103" i="9" s="1"/>
  <c r="BE103" i="9" s="1"/>
  <c r="AW57" i="59"/>
  <c r="AT21" i="36"/>
  <c r="U42" i="59"/>
  <c r="V75" i="8"/>
  <c r="Y42" i="59" s="1"/>
  <c r="V82" i="8"/>
  <c r="V74" i="8"/>
  <c r="V83" i="8"/>
  <c r="V25" i="36"/>
  <c r="Y69" i="59" s="1"/>
  <c r="I6" i="49"/>
  <c r="I45" i="8"/>
  <c r="AB2" i="8"/>
  <c r="AF2" i="8" s="1"/>
  <c r="AA2" i="8"/>
  <c r="M49" i="8"/>
  <c r="M48" i="8"/>
  <c r="M14" i="36"/>
  <c r="P41" i="59" s="1"/>
  <c r="R51" i="35"/>
  <c r="R25" i="36"/>
  <c r="U69" i="59" s="1"/>
  <c r="AB34" i="35"/>
  <c r="V65" i="22"/>
  <c r="V66" i="22" s="1"/>
  <c r="N124" i="7"/>
  <c r="R122" i="7"/>
  <c r="R123" i="7" s="1"/>
  <c r="R121" i="7"/>
  <c r="Y15" i="8"/>
  <c r="AA33" i="22"/>
  <c r="Z125" i="26"/>
  <c r="AA25" i="9"/>
  <c r="AA88" i="9" s="1"/>
  <c r="U54" i="59"/>
  <c r="AA93" i="9"/>
  <c r="AB25" i="9"/>
  <c r="AA89" i="9"/>
  <c r="AA100" i="9"/>
  <c r="AA96" i="9"/>
  <c r="U51" i="59"/>
  <c r="U55" i="59"/>
  <c r="I69" i="8"/>
  <c r="I43" i="8"/>
  <c r="I44" i="8"/>
  <c r="I46" i="8"/>
  <c r="I42" i="8"/>
  <c r="I14" i="36"/>
  <c r="L41" i="59" s="1"/>
  <c r="J30" i="8"/>
  <c r="J27" i="8"/>
  <c r="I17" i="8"/>
  <c r="I76" i="8" s="1"/>
  <c r="L45" i="59" s="1"/>
  <c r="I48" i="8"/>
  <c r="I86" i="8"/>
  <c r="I13" i="8"/>
  <c r="I49" i="8"/>
  <c r="I74" i="8" s="1"/>
  <c r="I84" i="8"/>
  <c r="J10" i="8"/>
  <c r="J22" i="8"/>
  <c r="J8" i="49" s="1"/>
  <c r="J28" i="8"/>
  <c r="J24" i="8"/>
  <c r="J13" i="8"/>
  <c r="J26" i="8"/>
  <c r="J23" i="8"/>
  <c r="J9" i="49" s="1"/>
  <c r="I12" i="8"/>
  <c r="J12" i="8"/>
  <c r="I18" i="8"/>
  <c r="J20" i="8"/>
  <c r="J18" i="8"/>
  <c r="J17" i="8"/>
  <c r="I8" i="15" s="1"/>
  <c r="J9" i="8"/>
  <c r="J8" i="8"/>
  <c r="J6" i="8"/>
  <c r="AX21" i="36" l="1"/>
  <c r="BA57" i="59"/>
  <c r="BF153" i="10"/>
  <c r="BF160" i="10" s="1"/>
  <c r="BF127" i="10"/>
  <c r="BF139" i="10"/>
  <c r="BF148" i="10"/>
  <c r="AJ2" i="8"/>
  <c r="AF74" i="8"/>
  <c r="AF83" i="8"/>
  <c r="AA83" i="8"/>
  <c r="AE2" i="8"/>
  <c r="AB74" i="8"/>
  <c r="AB82" i="8"/>
  <c r="AF82" i="8" s="1"/>
  <c r="AB83" i="8"/>
  <c r="M74" i="8"/>
  <c r="AA49" i="8"/>
  <c r="AA48" i="8"/>
  <c r="J72" i="8"/>
  <c r="I50" i="8"/>
  <c r="I13" i="15"/>
  <c r="J6" i="49"/>
  <c r="J45" i="8"/>
  <c r="J129" i="8"/>
  <c r="J130" i="8" s="1"/>
  <c r="AB75" i="8"/>
  <c r="AF75" i="8" s="1"/>
  <c r="Q49" i="8"/>
  <c r="AB41" i="59" s="1"/>
  <c r="Q48" i="8"/>
  <c r="V51" i="35"/>
  <c r="AB84" i="9"/>
  <c r="AB45" i="35"/>
  <c r="AB35" i="35"/>
  <c r="AC83" i="50" s="1"/>
  <c r="AB58" i="22"/>
  <c r="AB60" i="22" s="1"/>
  <c r="AB61" i="22" s="1"/>
  <c r="AB63" i="22"/>
  <c r="AB65" i="22" s="1"/>
  <c r="AB66" i="22" s="1"/>
  <c r="V120" i="7"/>
  <c r="V122" i="7" s="1"/>
  <c r="V123" i="7" s="1"/>
  <c r="AB20" i="8"/>
  <c r="AF20" i="8" s="1"/>
  <c r="AJ20" i="8" s="1"/>
  <c r="AP20" i="8" s="1"/>
  <c r="AT20" i="8" s="1"/>
  <c r="AX20" i="8" s="1"/>
  <c r="BF20" i="8" s="1"/>
  <c r="J10" i="36"/>
  <c r="M37" i="59" s="1"/>
  <c r="R124" i="7"/>
  <c r="N12" i="36"/>
  <c r="Q39" i="59" s="1"/>
  <c r="J12" i="36"/>
  <c r="M39" i="59" s="1"/>
  <c r="J11" i="36"/>
  <c r="M38" i="59" s="1"/>
  <c r="AA73" i="9"/>
  <c r="AA52" i="9"/>
  <c r="AD51" i="59" s="1"/>
  <c r="AA53" i="9"/>
  <c r="AB93" i="9"/>
  <c r="AB57" i="9"/>
  <c r="AF57" i="9" s="1"/>
  <c r="AA72" i="9"/>
  <c r="AA57" i="9"/>
  <c r="AA75" i="9"/>
  <c r="AA82" i="9"/>
  <c r="AD55" i="59" s="1"/>
  <c r="M46" i="8"/>
  <c r="AA84" i="9"/>
  <c r="AA80" i="9"/>
  <c r="AA87" i="9"/>
  <c r="AD54" i="59" s="1"/>
  <c r="AA85" i="9"/>
  <c r="AA86" i="9"/>
  <c r="AA83" i="9"/>
  <c r="AB55" i="59"/>
  <c r="AB54" i="59"/>
  <c r="Y52" i="9"/>
  <c r="AB51" i="59" s="1"/>
  <c r="Y53" i="9"/>
  <c r="J69" i="8"/>
  <c r="J68" i="8"/>
  <c r="M76" i="8"/>
  <c r="P45" i="59" s="1"/>
  <c r="H8" i="15"/>
  <c r="J40" i="8"/>
  <c r="J39" i="8"/>
  <c r="J76" i="8"/>
  <c r="M45" i="59" s="1"/>
  <c r="J38" i="8"/>
  <c r="J77" i="8"/>
  <c r="M43" i="59" s="1"/>
  <c r="J78" i="8"/>
  <c r="M44" i="59" s="1"/>
  <c r="J43" i="8"/>
  <c r="J42" i="8"/>
  <c r="J44" i="8"/>
  <c r="J46" i="8"/>
  <c r="M41" i="59"/>
  <c r="M86" i="8"/>
  <c r="J86" i="8"/>
  <c r="I15" i="8"/>
  <c r="J34" i="8"/>
  <c r="J49" i="8"/>
  <c r="J74" i="8" s="1"/>
  <c r="J35" i="8"/>
  <c r="J25" i="8"/>
  <c r="J48" i="8"/>
  <c r="J84" i="8"/>
  <c r="J14" i="8"/>
  <c r="BI57" i="59" l="1"/>
  <c r="BF21" i="36"/>
  <c r="BD123" i="26"/>
  <c r="AV123" i="26"/>
  <c r="AR123" i="26"/>
  <c r="AJ82" i="8"/>
  <c r="AJ57" i="9"/>
  <c r="AF74" i="9"/>
  <c r="AJ75" i="8"/>
  <c r="AI42" i="59"/>
  <c r="AI2" i="8"/>
  <c r="AE83" i="8"/>
  <c r="AP2" i="8"/>
  <c r="AJ74" i="8"/>
  <c r="AJ83" i="8"/>
  <c r="AN123" i="26"/>
  <c r="AH123" i="26"/>
  <c r="AE49" i="8"/>
  <c r="AE14" i="36"/>
  <c r="AH41" i="59" s="1"/>
  <c r="AE48" i="8"/>
  <c r="AA74" i="9"/>
  <c r="AE57" i="9"/>
  <c r="AD123" i="26"/>
  <c r="AE81" i="50"/>
  <c r="AA129" i="8"/>
  <c r="AA130" i="8" s="1"/>
  <c r="J131" i="8"/>
  <c r="J132" i="8" s="1"/>
  <c r="U49" i="8"/>
  <c r="U74" i="8" s="1"/>
  <c r="U48" i="8"/>
  <c r="U14" i="36"/>
  <c r="X41" i="59" s="1"/>
  <c r="Q74" i="8"/>
  <c r="J50" i="8"/>
  <c r="H13" i="15"/>
  <c r="AE42" i="59"/>
  <c r="AB120" i="7"/>
  <c r="AB72" i="9"/>
  <c r="AB51" i="35"/>
  <c r="AB86" i="9"/>
  <c r="AB53" i="9"/>
  <c r="AB82" i="9"/>
  <c r="AE55" i="59" s="1"/>
  <c r="AB87" i="9"/>
  <c r="AE54" i="59" s="1"/>
  <c r="AB83" i="9"/>
  <c r="AB80" i="9"/>
  <c r="AB75" i="9"/>
  <c r="AB85" i="9"/>
  <c r="AB52" i="9"/>
  <c r="AE51" i="59" s="1"/>
  <c r="AB81" i="9"/>
  <c r="AB73" i="9"/>
  <c r="AB25" i="36"/>
  <c r="AE69" i="59" s="1"/>
  <c r="AA14" i="36"/>
  <c r="AD41" i="59" s="1"/>
  <c r="Y7" i="9"/>
  <c r="AA7" i="9"/>
  <c r="V121" i="7"/>
  <c r="V124" i="7" s="1"/>
  <c r="AA20" i="8"/>
  <c r="AE20" i="8" s="1"/>
  <c r="AI20" i="8" s="1"/>
  <c r="AO20" i="8" s="1"/>
  <c r="AS20" i="8" s="1"/>
  <c r="AW20" i="8" s="1"/>
  <c r="BE20" i="8" s="1"/>
  <c r="Q14" i="36"/>
  <c r="T41" i="59" s="1"/>
  <c r="N10" i="36"/>
  <c r="Q37" i="59" s="1"/>
  <c r="N11" i="36"/>
  <c r="Q38" i="59" s="1"/>
  <c r="AB74" i="9"/>
  <c r="Y39" i="59"/>
  <c r="J13" i="36"/>
  <c r="M40" i="59" s="1"/>
  <c r="N43" i="8"/>
  <c r="N39" i="8"/>
  <c r="N42" i="8"/>
  <c r="N38" i="8"/>
  <c r="N46" i="8"/>
  <c r="N44" i="8"/>
  <c r="N40" i="8"/>
  <c r="N72" i="8"/>
  <c r="N69" i="8"/>
  <c r="N68" i="8"/>
  <c r="N76" i="8"/>
  <c r="Q45" i="59" s="1"/>
  <c r="AB14" i="36"/>
  <c r="I5" i="26"/>
  <c r="N25" i="8"/>
  <c r="M15" i="8"/>
  <c r="N86" i="8"/>
  <c r="J15" i="8"/>
  <c r="J41" i="8"/>
  <c r="AB122" i="7" l="1"/>
  <c r="AO2" i="8"/>
  <c r="AI83" i="8"/>
  <c r="AP57" i="9"/>
  <c r="AJ74" i="9"/>
  <c r="AP82" i="8"/>
  <c r="AT2" i="8"/>
  <c r="AX2" i="8" s="1"/>
  <c r="AP74" i="8"/>
  <c r="AP83" i="8"/>
  <c r="AP75" i="8"/>
  <c r="AM42" i="59"/>
  <c r="AE74" i="9"/>
  <c r="AI57" i="9"/>
  <c r="AE74" i="8"/>
  <c r="AI49" i="8"/>
  <c r="AI14" i="36"/>
  <c r="AL41" i="59" s="1"/>
  <c r="AI48" i="8"/>
  <c r="AA131" i="8"/>
  <c r="AA132" i="8" s="1"/>
  <c r="AA51" i="8" s="1"/>
  <c r="J51" i="8"/>
  <c r="AA64" i="9"/>
  <c r="AE64" i="9" s="1"/>
  <c r="AB121" i="7"/>
  <c r="X45" i="59"/>
  <c r="R14" i="36"/>
  <c r="U41" i="59" s="1"/>
  <c r="AE41" i="59"/>
  <c r="R10" i="36"/>
  <c r="U37" i="59" s="1"/>
  <c r="Y37" i="59"/>
  <c r="R11" i="36"/>
  <c r="U38" i="59" s="1"/>
  <c r="N13" i="36"/>
  <c r="Q40" i="59" s="1"/>
  <c r="R12" i="36"/>
  <c r="U39" i="59" s="1"/>
  <c r="AA69" i="8"/>
  <c r="AA72" i="8"/>
  <c r="N41" i="8"/>
  <c r="T45" i="59"/>
  <c r="U45" i="59"/>
  <c r="Q5" i="26"/>
  <c r="U5" i="26" s="1"/>
  <c r="N15" i="8"/>
  <c r="J68" i="7"/>
  <c r="I68" i="7"/>
  <c r="J66" i="7"/>
  <c r="I66" i="7"/>
  <c r="J2" i="7"/>
  <c r="I2" i="7"/>
  <c r="I78" i="7" s="1"/>
  <c r="J60" i="7"/>
  <c r="J59" i="7"/>
  <c r="J6" i="7"/>
  <c r="I60" i="7"/>
  <c r="I59" i="7"/>
  <c r="AB124" i="7" l="1"/>
  <c r="AB123" i="7"/>
  <c r="BF2" i="8"/>
  <c r="AX74" i="8"/>
  <c r="AX83" i="8"/>
  <c r="AT82" i="8"/>
  <c r="AX82" i="8" s="1"/>
  <c r="AT57" i="9"/>
  <c r="AP74" i="9"/>
  <c r="AT83" i="8"/>
  <c r="AT74" i="8"/>
  <c r="AT75" i="8"/>
  <c r="AS42" i="59"/>
  <c r="AS2" i="8"/>
  <c r="AO83" i="8"/>
  <c r="AI74" i="9"/>
  <c r="AO57" i="9"/>
  <c r="AI74" i="8"/>
  <c r="AO49" i="8"/>
  <c r="AO14" i="36"/>
  <c r="AR41" i="59" s="1"/>
  <c r="AO48" i="8"/>
  <c r="AE81" i="9"/>
  <c r="AI64" i="9"/>
  <c r="AA81" i="9"/>
  <c r="J19" i="7"/>
  <c r="AA45" i="8"/>
  <c r="AB12" i="36"/>
  <c r="AE39" i="59" s="1"/>
  <c r="Y45" i="59"/>
  <c r="Y43" i="59"/>
  <c r="Y44" i="59"/>
  <c r="Y38" i="59"/>
  <c r="N65" i="7"/>
  <c r="AB65" i="7" s="1"/>
  <c r="AF65" i="7" s="1"/>
  <c r="N79" i="7"/>
  <c r="R79" i="7" s="1"/>
  <c r="V79" i="7" s="1"/>
  <c r="R101" i="7"/>
  <c r="V101" i="7" s="1"/>
  <c r="N100" i="7"/>
  <c r="R100" i="7" s="1"/>
  <c r="V100" i="7" s="1"/>
  <c r="R104" i="7"/>
  <c r="V104" i="7" s="1"/>
  <c r="N103" i="7"/>
  <c r="R103" i="7" s="1"/>
  <c r="V103" i="7" s="1"/>
  <c r="N97" i="7"/>
  <c r="R97" i="7" s="1"/>
  <c r="V97" i="7" s="1"/>
  <c r="R99" i="7"/>
  <c r="V99" i="7" s="1"/>
  <c r="R102" i="7"/>
  <c r="V102" i="7" s="1"/>
  <c r="R98" i="7"/>
  <c r="V98" i="7" s="1"/>
  <c r="N37" i="7"/>
  <c r="M65" i="7"/>
  <c r="AA65" i="7" s="1"/>
  <c r="AE65" i="7" s="1"/>
  <c r="X123" i="26"/>
  <c r="J135" i="7"/>
  <c r="J137" i="7" s="1"/>
  <c r="J138" i="7" s="1"/>
  <c r="I35" i="59"/>
  <c r="I33" i="59"/>
  <c r="AA86" i="8"/>
  <c r="J32" i="59"/>
  <c r="AA6" i="49"/>
  <c r="R13" i="36"/>
  <c r="U40" i="59" s="1"/>
  <c r="AA60" i="7"/>
  <c r="AE60" i="7" s="1"/>
  <c r="AI60" i="7" s="1"/>
  <c r="AO60" i="7" s="1"/>
  <c r="AS60" i="7" s="1"/>
  <c r="AA5" i="26"/>
  <c r="AE5" i="26" s="1"/>
  <c r="AI5" i="26" s="1"/>
  <c r="AO5" i="26" s="1"/>
  <c r="AS5" i="26" s="1"/>
  <c r="AW5" i="26" s="1"/>
  <c r="BE5" i="26" s="1"/>
  <c r="N2" i="7"/>
  <c r="N78" i="7" s="1"/>
  <c r="J78" i="7"/>
  <c r="J36" i="59"/>
  <c r="H114" i="7"/>
  <c r="K36" i="59"/>
  <c r="J129" i="7"/>
  <c r="J131" i="7" s="1"/>
  <c r="J132" i="7" s="1"/>
  <c r="J1" i="7"/>
  <c r="AB72" i="8"/>
  <c r="AB69" i="8"/>
  <c r="AB68" i="8"/>
  <c r="AA15" i="8"/>
  <c r="AA44" i="8"/>
  <c r="AA43" i="8"/>
  <c r="AA46" i="8"/>
  <c r="AA42" i="8"/>
  <c r="M1" i="7"/>
  <c r="M74" i="7" s="1"/>
  <c r="I1" i="7"/>
  <c r="AA74" i="8"/>
  <c r="I29" i="59"/>
  <c r="Q45" i="7"/>
  <c r="U45" i="7" s="1"/>
  <c r="Q41" i="7"/>
  <c r="U41" i="7" s="1"/>
  <c r="Q42" i="7"/>
  <c r="U42" i="7" s="1"/>
  <c r="J30" i="59"/>
  <c r="Q44" i="7"/>
  <c r="U44" i="7" s="1"/>
  <c r="Q40" i="7"/>
  <c r="U40" i="7" s="1"/>
  <c r="Q39" i="7"/>
  <c r="U39" i="7" s="1"/>
  <c r="J31" i="59"/>
  <c r="Q38" i="7"/>
  <c r="U38" i="7" s="1"/>
  <c r="J28" i="59"/>
  <c r="M62" i="7"/>
  <c r="J65" i="7"/>
  <c r="M2" i="7"/>
  <c r="M78" i="7" s="1"/>
  <c r="I69" i="7"/>
  <c r="I65" i="7"/>
  <c r="J69" i="7"/>
  <c r="I36" i="59"/>
  <c r="I28" i="59"/>
  <c r="K28" i="59"/>
  <c r="J61" i="7"/>
  <c r="J28" i="7" s="1"/>
  <c r="I61" i="7"/>
  <c r="AS83" i="8" l="1"/>
  <c r="AW2" i="8"/>
  <c r="AW42" i="59"/>
  <c r="AX75" i="8"/>
  <c r="BF74" i="8"/>
  <c r="AT74" i="9"/>
  <c r="AX57" i="9"/>
  <c r="AI65" i="7"/>
  <c r="AE67" i="7"/>
  <c r="AO74" i="8"/>
  <c r="AS49" i="8"/>
  <c r="AS14" i="36"/>
  <c r="AV41" i="59" s="1"/>
  <c r="AS48" i="8"/>
  <c r="AJ65" i="7"/>
  <c r="AF67" i="7"/>
  <c r="AO74" i="9"/>
  <c r="AS57" i="9"/>
  <c r="AI81" i="9"/>
  <c r="AO64" i="9"/>
  <c r="R37" i="7"/>
  <c r="V37" i="7" s="1"/>
  <c r="V46" i="7" s="1"/>
  <c r="AB37" i="7"/>
  <c r="AF37" i="7" s="1"/>
  <c r="AA50" i="8"/>
  <c r="J88" i="7"/>
  <c r="M34" i="59" s="1"/>
  <c r="J49" i="7"/>
  <c r="J33" i="7"/>
  <c r="J94" i="7" s="1"/>
  <c r="H115" i="7"/>
  <c r="H116" i="7" s="1"/>
  <c r="J29" i="59"/>
  <c r="AB45" i="8"/>
  <c r="AB11" i="36"/>
  <c r="AE38" i="59" s="1"/>
  <c r="AB9" i="49"/>
  <c r="M67" i="7"/>
  <c r="Q65" i="7"/>
  <c r="U65" i="7" s="1"/>
  <c r="U67" i="7" s="1"/>
  <c r="M63" i="7"/>
  <c r="Q62" i="7"/>
  <c r="U62" i="7" s="1"/>
  <c r="U63" i="7" s="1"/>
  <c r="N67" i="7"/>
  <c r="R65" i="7"/>
  <c r="V65" i="7" s="1"/>
  <c r="V67" i="7" s="1"/>
  <c r="Y40" i="59"/>
  <c r="J22" i="7"/>
  <c r="J27" i="7"/>
  <c r="J54" i="7"/>
  <c r="J23" i="7"/>
  <c r="Q43" i="7"/>
  <c r="U43" i="7" s="1"/>
  <c r="U72" i="7" s="1"/>
  <c r="J32" i="7"/>
  <c r="J84" i="7" s="1"/>
  <c r="J21" i="7"/>
  <c r="J81" i="7" s="1"/>
  <c r="J55" i="7"/>
  <c r="J30" i="7"/>
  <c r="J91" i="7" s="1"/>
  <c r="J50" i="7"/>
  <c r="J26" i="7"/>
  <c r="J86" i="7" s="1"/>
  <c r="J52" i="7"/>
  <c r="J56" i="7"/>
  <c r="J24" i="7"/>
  <c r="J29" i="7"/>
  <c r="J51" i="7"/>
  <c r="J90" i="7" s="1"/>
  <c r="N46" i="7"/>
  <c r="J53" i="7"/>
  <c r="Z123" i="26"/>
  <c r="N135" i="7"/>
  <c r="N137" i="7" s="1"/>
  <c r="N138" i="7" s="1"/>
  <c r="F95" i="7"/>
  <c r="AA8" i="15"/>
  <c r="AA13" i="15" s="1"/>
  <c r="AB10" i="36"/>
  <c r="AA76" i="8"/>
  <c r="AD45" i="59" s="1"/>
  <c r="K31" i="59"/>
  <c r="I31" i="59"/>
  <c r="AB6" i="49"/>
  <c r="AB86" i="8"/>
  <c r="AB8" i="49"/>
  <c r="R2" i="7"/>
  <c r="J114" i="7"/>
  <c r="J115" i="7" s="1"/>
  <c r="J116" i="7" s="1"/>
  <c r="N129" i="7"/>
  <c r="N131" i="7" s="1"/>
  <c r="N132" i="7" s="1"/>
  <c r="N114" i="7"/>
  <c r="N115" i="7" s="1"/>
  <c r="Y95" i="7"/>
  <c r="AB61" i="7"/>
  <c r="AB101" i="7" s="1"/>
  <c r="AF101" i="7" s="1"/>
  <c r="AJ101" i="7" s="1"/>
  <c r="AP101" i="7" s="1"/>
  <c r="AT101" i="7" s="1"/>
  <c r="AX101" i="7" s="1"/>
  <c r="BF101" i="7" s="1"/>
  <c r="U28" i="59"/>
  <c r="N1" i="7"/>
  <c r="N74" i="7" s="1"/>
  <c r="Z8" i="15"/>
  <c r="AB25" i="8"/>
  <c r="AB76" i="8"/>
  <c r="AE45" i="59" s="1"/>
  <c r="AB40" i="8"/>
  <c r="AB39" i="8"/>
  <c r="AB38" i="8"/>
  <c r="AB43" i="8"/>
  <c r="AB46" i="8"/>
  <c r="AB42" i="8"/>
  <c r="AB44" i="8"/>
  <c r="AA59" i="7"/>
  <c r="AE59" i="7" s="1"/>
  <c r="J103" i="7"/>
  <c r="J97" i="7"/>
  <c r="J99" i="7"/>
  <c r="J101" i="7"/>
  <c r="J102" i="7"/>
  <c r="J104" i="7"/>
  <c r="J98" i="7"/>
  <c r="J100" i="7"/>
  <c r="Q29" i="59"/>
  <c r="I32" i="59"/>
  <c r="K32" i="59"/>
  <c r="K30" i="59"/>
  <c r="I30" i="59"/>
  <c r="J72" i="7"/>
  <c r="J67" i="7"/>
  <c r="I62" i="7"/>
  <c r="I75" i="7"/>
  <c r="L28" i="59" s="1"/>
  <c r="I74" i="7"/>
  <c r="I70" i="7"/>
  <c r="Q2" i="7"/>
  <c r="P28" i="59"/>
  <c r="I67" i="7"/>
  <c r="U36" i="59"/>
  <c r="Q36" i="59"/>
  <c r="Q28" i="59"/>
  <c r="J74" i="7"/>
  <c r="J77" i="7"/>
  <c r="M36" i="59" s="1"/>
  <c r="J75" i="7"/>
  <c r="M28" i="59" s="1"/>
  <c r="J70" i="7"/>
  <c r="J63" i="7"/>
  <c r="J79" i="7"/>
  <c r="I6" i="7"/>
  <c r="BF75" i="8" l="1"/>
  <c r="BI42" i="59" s="1"/>
  <c r="BA42" i="59"/>
  <c r="BE2" i="8"/>
  <c r="AW83" i="8"/>
  <c r="BF57" i="9"/>
  <c r="BF74" i="9" s="1"/>
  <c r="AX74" i="9"/>
  <c r="AS74" i="9"/>
  <c r="AW57" i="9"/>
  <c r="AS74" i="8"/>
  <c r="AW49" i="8"/>
  <c r="AW14" i="36"/>
  <c r="AZ41" i="59" s="1"/>
  <c r="AW48" i="8"/>
  <c r="AO81" i="9"/>
  <c r="AS64" i="9"/>
  <c r="J82" i="7"/>
  <c r="M30" i="59" s="1"/>
  <c r="AP65" i="7"/>
  <c r="AJ67" i="7"/>
  <c r="AI59" i="7"/>
  <c r="AE61" i="7"/>
  <c r="AF46" i="7"/>
  <c r="AJ37" i="7"/>
  <c r="AO65" i="7"/>
  <c r="AI67" i="7"/>
  <c r="R46" i="7"/>
  <c r="AB104" i="7"/>
  <c r="AF104" i="7" s="1"/>
  <c r="AJ104" i="7" s="1"/>
  <c r="AP104" i="7" s="1"/>
  <c r="AT104" i="7" s="1"/>
  <c r="AX104" i="7" s="1"/>
  <c r="BF104" i="7" s="1"/>
  <c r="AB100" i="7"/>
  <c r="AF100" i="7" s="1"/>
  <c r="AJ100" i="7" s="1"/>
  <c r="AP100" i="7" s="1"/>
  <c r="AT100" i="7" s="1"/>
  <c r="AX100" i="7" s="1"/>
  <c r="BF100" i="7" s="1"/>
  <c r="AB70" i="7"/>
  <c r="AB52" i="7"/>
  <c r="AB56" i="7"/>
  <c r="AB99" i="7"/>
  <c r="AF99" i="7" s="1"/>
  <c r="AJ99" i="7" s="1"/>
  <c r="AP99" i="7" s="1"/>
  <c r="AT99" i="7" s="1"/>
  <c r="AX99" i="7" s="1"/>
  <c r="BF99" i="7" s="1"/>
  <c r="AB103" i="7"/>
  <c r="AF103" i="7" s="1"/>
  <c r="AJ103" i="7" s="1"/>
  <c r="AP103" i="7" s="1"/>
  <c r="AT103" i="7" s="1"/>
  <c r="AX103" i="7" s="1"/>
  <c r="BF103" i="7" s="1"/>
  <c r="AB97" i="7"/>
  <c r="AF97" i="7" s="1"/>
  <c r="AJ97" i="7" s="1"/>
  <c r="AP97" i="7" s="1"/>
  <c r="AT97" i="7" s="1"/>
  <c r="AX97" i="7" s="1"/>
  <c r="BF97" i="7" s="1"/>
  <c r="AB53" i="7"/>
  <c r="AB55" i="7"/>
  <c r="AB102" i="7"/>
  <c r="AF102" i="7" s="1"/>
  <c r="AJ102" i="7" s="1"/>
  <c r="AP102" i="7" s="1"/>
  <c r="AT102" i="7" s="1"/>
  <c r="AX102" i="7" s="1"/>
  <c r="BF102" i="7" s="1"/>
  <c r="AB98" i="7"/>
  <c r="AF98" i="7" s="1"/>
  <c r="AJ98" i="7" s="1"/>
  <c r="AP98" i="7" s="1"/>
  <c r="AT98" i="7" s="1"/>
  <c r="AX98" i="7" s="1"/>
  <c r="BF98" i="7" s="1"/>
  <c r="AB79" i="7"/>
  <c r="AF79" i="7" s="1"/>
  <c r="AJ79" i="7" s="1"/>
  <c r="AP79" i="7" s="1"/>
  <c r="AT79" i="7" s="1"/>
  <c r="AX79" i="7" s="1"/>
  <c r="BF79" i="7" s="1"/>
  <c r="AB50" i="7"/>
  <c r="AB54" i="7"/>
  <c r="AB51" i="7"/>
  <c r="AB28" i="7"/>
  <c r="AB88" i="7" s="1"/>
  <c r="AE34" i="59" s="1"/>
  <c r="AB33" i="7"/>
  <c r="AB94" i="7" s="1"/>
  <c r="AB25" i="7"/>
  <c r="AB85" i="7" s="1"/>
  <c r="J83" i="7"/>
  <c r="M31" i="59" s="1"/>
  <c r="J89" i="7"/>
  <c r="M35" i="59" s="1"/>
  <c r="J93" i="7"/>
  <c r="M32" i="59" s="1"/>
  <c r="J87" i="7"/>
  <c r="M33" i="59" s="1"/>
  <c r="H117" i="7"/>
  <c r="K29" i="59"/>
  <c r="J34" i="7"/>
  <c r="J48" i="7" s="1"/>
  <c r="I19" i="7"/>
  <c r="R67" i="7"/>
  <c r="Q72" i="7"/>
  <c r="Q63" i="7"/>
  <c r="V2" i="7"/>
  <c r="V78" i="7" s="1"/>
  <c r="R78" i="7"/>
  <c r="Q67" i="7"/>
  <c r="U2" i="7"/>
  <c r="M46" i="7"/>
  <c r="Q37" i="7"/>
  <c r="U37" i="7" s="1"/>
  <c r="U46" i="7" s="1"/>
  <c r="R71" i="7"/>
  <c r="R57" i="7"/>
  <c r="M72" i="7"/>
  <c r="N57" i="7"/>
  <c r="AB30" i="7"/>
  <c r="AB91" i="7" s="1"/>
  <c r="AB26" i="7"/>
  <c r="AB86" i="7" s="1"/>
  <c r="Q1" i="7"/>
  <c r="Q74" i="7" s="1"/>
  <c r="V135" i="7"/>
  <c r="V137" i="7" s="1"/>
  <c r="V138" i="7" s="1"/>
  <c r="U31" i="59"/>
  <c r="V129" i="7"/>
  <c r="V131" i="7" s="1"/>
  <c r="V132" i="7" s="1"/>
  <c r="Q31" i="59"/>
  <c r="AB13" i="36"/>
  <c r="AE40" i="59" s="1"/>
  <c r="AE37" i="59"/>
  <c r="U29" i="59"/>
  <c r="AB21" i="7"/>
  <c r="J117" i="7"/>
  <c r="J118" i="7" s="1"/>
  <c r="R129" i="7"/>
  <c r="R131" i="7" s="1"/>
  <c r="R132" i="7" s="1"/>
  <c r="R135" i="7"/>
  <c r="R137" i="7" s="1"/>
  <c r="R138" i="7" s="1"/>
  <c r="I63" i="7"/>
  <c r="L31" i="59"/>
  <c r="AB63" i="7"/>
  <c r="AB77" i="7"/>
  <c r="AE36" i="59" s="1"/>
  <c r="N117" i="7"/>
  <c r="N118" i="7" s="1"/>
  <c r="N116" i="7"/>
  <c r="AA61" i="7"/>
  <c r="AA70" i="7" s="1"/>
  <c r="L30" i="59"/>
  <c r="R114" i="7"/>
  <c r="R115" i="7" s="1"/>
  <c r="Z95" i="7"/>
  <c r="R1" i="7"/>
  <c r="R74" i="7" s="1"/>
  <c r="AB41" i="8"/>
  <c r="U1" i="7"/>
  <c r="U74" i="7" s="1"/>
  <c r="Q30" i="59"/>
  <c r="Q32" i="59"/>
  <c r="T28" i="59"/>
  <c r="I72" i="7"/>
  <c r="L35" i="59"/>
  <c r="L33" i="59"/>
  <c r="L32" i="59"/>
  <c r="AW74" i="9" l="1"/>
  <c r="BE57" i="9"/>
  <c r="BE74" i="9" s="1"/>
  <c r="AW74" i="8"/>
  <c r="BE49" i="8"/>
  <c r="BE74" i="8" s="1"/>
  <c r="BE48" i="8"/>
  <c r="AS81" i="9"/>
  <c r="AW64" i="9"/>
  <c r="AT65" i="7"/>
  <c r="AT67" i="7" s="1"/>
  <c r="AP67" i="7"/>
  <c r="AE75" i="7"/>
  <c r="AH28" i="59" s="1"/>
  <c r="AE74" i="7"/>
  <c r="AE70" i="7"/>
  <c r="AE72" i="7"/>
  <c r="AE77" i="7"/>
  <c r="AH36" i="59" s="1"/>
  <c r="AS65" i="7"/>
  <c r="AS67" i="7" s="1"/>
  <c r="AO67" i="7"/>
  <c r="AI61" i="7"/>
  <c r="AO59" i="7"/>
  <c r="AJ46" i="7"/>
  <c r="AP37" i="7"/>
  <c r="H118" i="7"/>
  <c r="AB19" i="7"/>
  <c r="J95" i="7"/>
  <c r="L29" i="59"/>
  <c r="AA2" i="7"/>
  <c r="AE2" i="7" s="1"/>
  <c r="AI2" i="7" s="1"/>
  <c r="AO2" i="7" s="1"/>
  <c r="AS2" i="7" s="1"/>
  <c r="AB2" i="7"/>
  <c r="Q46" i="7"/>
  <c r="M29" i="59"/>
  <c r="AB129" i="7"/>
  <c r="AB131" i="7" s="1"/>
  <c r="AB132" i="7" s="1"/>
  <c r="V114" i="7"/>
  <c r="V115" i="7" s="1"/>
  <c r="U30" i="59"/>
  <c r="AA75" i="7"/>
  <c r="AD28" i="59" s="1"/>
  <c r="AA91" i="7"/>
  <c r="AA86" i="7"/>
  <c r="J119" i="7"/>
  <c r="N119" i="7"/>
  <c r="N126" i="7" s="1"/>
  <c r="U32" i="59"/>
  <c r="AB49" i="7"/>
  <c r="V1" i="7"/>
  <c r="V74" i="7" s="1"/>
  <c r="R117" i="7"/>
  <c r="R118" i="7" s="1"/>
  <c r="R116" i="7"/>
  <c r="AB72" i="7"/>
  <c r="AB90" i="7"/>
  <c r="AA1" i="7"/>
  <c r="AA74" i="7" s="1"/>
  <c r="AA69" i="7"/>
  <c r="AW81" i="9" l="1"/>
  <c r="BE64" i="9"/>
  <c r="BE81" i="9" s="1"/>
  <c r="AB78" i="7"/>
  <c r="AF2" i="7"/>
  <c r="AS59" i="7"/>
  <c r="AS61" i="7" s="1"/>
  <c r="AO61" i="7"/>
  <c r="AT37" i="7"/>
  <c r="AP46" i="7"/>
  <c r="AI74" i="7"/>
  <c r="AI70" i="7"/>
  <c r="AI75" i="7"/>
  <c r="AL28" i="59" s="1"/>
  <c r="AI72" i="7"/>
  <c r="AI77" i="7"/>
  <c r="AL36" i="59" s="1"/>
  <c r="H119" i="7"/>
  <c r="AA19" i="7"/>
  <c r="AA67" i="7"/>
  <c r="AB67" i="7"/>
  <c r="AB24" i="7"/>
  <c r="AB93" i="7" s="1"/>
  <c r="AE32" i="59" s="1"/>
  <c r="AB23" i="7"/>
  <c r="AB83" i="7" s="1"/>
  <c r="AE31" i="59" s="1"/>
  <c r="AB22" i="7"/>
  <c r="AB82" i="7" s="1"/>
  <c r="AE30" i="59" s="1"/>
  <c r="AB27" i="7"/>
  <c r="AB87" i="7" s="1"/>
  <c r="AE33" i="59" s="1"/>
  <c r="AB29" i="7"/>
  <c r="AB89" i="7" s="1"/>
  <c r="AE35" i="59" s="1"/>
  <c r="AB32" i="7"/>
  <c r="AB84" i="7" s="1"/>
  <c r="V117" i="7"/>
  <c r="V118" i="7" s="1"/>
  <c r="V116" i="7"/>
  <c r="J126" i="7"/>
  <c r="R119" i="7"/>
  <c r="AB135" i="7"/>
  <c r="AB137" i="7" s="1"/>
  <c r="AB138" i="7" s="1"/>
  <c r="AB114" i="7"/>
  <c r="AB115" i="7" s="1"/>
  <c r="AB75" i="7"/>
  <c r="AE28" i="59" s="1"/>
  <c r="AB1" i="7"/>
  <c r="AB74" i="7" s="1"/>
  <c r="AB69" i="7"/>
  <c r="T29" i="59"/>
  <c r="AT46" i="7" l="1"/>
  <c r="AX37" i="7"/>
  <c r="AO74" i="7"/>
  <c r="AO70" i="7"/>
  <c r="AO75" i="7"/>
  <c r="AR28" i="59" s="1"/>
  <c r="AO72" i="7"/>
  <c r="AO77" i="7"/>
  <c r="AR36" i="59" s="1"/>
  <c r="AS77" i="7"/>
  <c r="AV36" i="59" s="1"/>
  <c r="AS70" i="7"/>
  <c r="AS74" i="7"/>
  <c r="AS75" i="7"/>
  <c r="AV28" i="59" s="1"/>
  <c r="AS72" i="7"/>
  <c r="AJ2" i="7"/>
  <c r="AF78" i="7"/>
  <c r="H126" i="7"/>
  <c r="AB34" i="7"/>
  <c r="AB48" i="7" s="1"/>
  <c r="T30" i="59"/>
  <c r="T32" i="59"/>
  <c r="T31" i="59"/>
  <c r="V119" i="7"/>
  <c r="V126" i="7" s="1"/>
  <c r="AA62" i="7"/>
  <c r="AE62" i="7" s="1"/>
  <c r="R126" i="7"/>
  <c r="AB81" i="7"/>
  <c r="AE29" i="59" s="1"/>
  <c r="AB117" i="7"/>
  <c r="AB118" i="7" s="1"/>
  <c r="AB116" i="7"/>
  <c r="AX46" i="7" l="1"/>
  <c r="BF37" i="7"/>
  <c r="AE63" i="7"/>
  <c r="AI62" i="7"/>
  <c r="AP2" i="7"/>
  <c r="AJ78" i="7"/>
  <c r="AB95" i="7"/>
  <c r="M109" i="6"/>
  <c r="AA63" i="7"/>
  <c r="AB119" i="7"/>
  <c r="AB126" i="7" s="1"/>
  <c r="AA87" i="7"/>
  <c r="AD33" i="59" s="1"/>
  <c r="AA84" i="7"/>
  <c r="AA72" i="7"/>
  <c r="AA89" i="7"/>
  <c r="AD35" i="59" s="1"/>
  <c r="J83" i="6"/>
  <c r="BF46" i="7" l="1"/>
  <c r="AT2" i="7"/>
  <c r="AT78" i="7" s="1"/>
  <c r="AP78" i="7"/>
  <c r="AI63" i="7"/>
  <c r="AO62" i="7"/>
  <c r="M115" i="6"/>
  <c r="AA93" i="7"/>
  <c r="AD32" i="59" s="1"/>
  <c r="BF13" i="36"/>
  <c r="BI40" i="59" s="1"/>
  <c r="AA82" i="7"/>
  <c r="AD30" i="59" s="1"/>
  <c r="AA83" i="7"/>
  <c r="AD31" i="59" s="1"/>
  <c r="AA109" i="6"/>
  <c r="N131" i="6"/>
  <c r="AB131" i="6" s="1"/>
  <c r="N109" i="6"/>
  <c r="N97" i="6"/>
  <c r="M92" i="6"/>
  <c r="M98" i="6" s="1"/>
  <c r="M102" i="6" s="1"/>
  <c r="M143" i="6" s="1"/>
  <c r="M126" i="6"/>
  <c r="M132" i="6" s="1"/>
  <c r="AA81" i="7"/>
  <c r="AD29" i="59" s="1"/>
  <c r="J82" i="6"/>
  <c r="J84" i="6"/>
  <c r="I66" i="6"/>
  <c r="I84" i="6"/>
  <c r="I83" i="6"/>
  <c r="I82" i="6"/>
  <c r="I72" i="6"/>
  <c r="I71" i="6"/>
  <c r="I70" i="6"/>
  <c r="I69" i="6"/>
  <c r="I68" i="6"/>
  <c r="AS62" i="7" l="1"/>
  <c r="AO63" i="7"/>
  <c r="M136" i="6"/>
  <c r="M198" i="6" s="1"/>
  <c r="AA132" i="6"/>
  <c r="M119" i="6"/>
  <c r="M165" i="6" s="1"/>
  <c r="AA115" i="6"/>
  <c r="AA119" i="6" s="1"/>
  <c r="N114" i="6"/>
  <c r="N92" i="6"/>
  <c r="N98" i="6" s="1"/>
  <c r="N102" i="6" s="1"/>
  <c r="I143" i="6"/>
  <c r="J143" i="6"/>
  <c r="F8" i="36"/>
  <c r="I9" i="59" s="1"/>
  <c r="J71" i="6"/>
  <c r="J68" i="6"/>
  <c r="J72" i="6"/>
  <c r="J69" i="6"/>
  <c r="J70" i="6"/>
  <c r="I73" i="6"/>
  <c r="J168" i="6"/>
  <c r="J66" i="6"/>
  <c r="M204" i="6" l="1"/>
  <c r="M166" i="6"/>
  <c r="M167" i="6" s="1"/>
  <c r="M203" i="6"/>
  <c r="M168" i="6"/>
  <c r="AS63" i="7"/>
  <c r="AW62" i="7"/>
  <c r="N115" i="6"/>
  <c r="AB114" i="6"/>
  <c r="N146" i="6"/>
  <c r="R146" i="6" s="1"/>
  <c r="V146" i="6" s="1"/>
  <c r="N145" i="6"/>
  <c r="R145" i="6" s="1"/>
  <c r="N147" i="6"/>
  <c r="R147" i="6" s="1"/>
  <c r="V147" i="6" s="1"/>
  <c r="AB97" i="6"/>
  <c r="AA166" i="6"/>
  <c r="AA168" i="6"/>
  <c r="AA165" i="6"/>
  <c r="AB109" i="6"/>
  <c r="N126" i="6"/>
  <c r="N132" i="6" s="1"/>
  <c r="AB132" i="6" s="1"/>
  <c r="I168" i="6"/>
  <c r="M140" i="6"/>
  <c r="M141" i="6"/>
  <c r="I166" i="6"/>
  <c r="J171" i="6"/>
  <c r="J172" i="6"/>
  <c r="J170" i="6"/>
  <c r="I141" i="6"/>
  <c r="I140" i="6"/>
  <c r="I165" i="6"/>
  <c r="J165" i="6"/>
  <c r="J73" i="6"/>
  <c r="M73" i="6"/>
  <c r="F7" i="36"/>
  <c r="I8" i="59" s="1"/>
  <c r="I64" i="6"/>
  <c r="I63" i="6"/>
  <c r="I61" i="6"/>
  <c r="I60" i="6"/>
  <c r="AW63" i="7" l="1"/>
  <c r="BE62" i="7"/>
  <c r="BE63" i="7" s="1"/>
  <c r="N119" i="6"/>
  <c r="N166" i="6" s="1"/>
  <c r="Q22" i="59" s="1"/>
  <c r="AB115" i="6"/>
  <c r="V145" i="6"/>
  <c r="N136" i="6"/>
  <c r="N198" i="6" s="1"/>
  <c r="AA92" i="6"/>
  <c r="AB92" i="6"/>
  <c r="AA167" i="6"/>
  <c r="Y9" i="59"/>
  <c r="M199" i="6"/>
  <c r="N143" i="6"/>
  <c r="I167" i="6"/>
  <c r="J141" i="6"/>
  <c r="J145" i="6"/>
  <c r="J146" i="6"/>
  <c r="J147" i="6"/>
  <c r="M142" i="6"/>
  <c r="J140" i="6"/>
  <c r="M208" i="6"/>
  <c r="Z171" i="6"/>
  <c r="Z170" i="6"/>
  <c r="Z172" i="6"/>
  <c r="Y73" i="6"/>
  <c r="AA73" i="6"/>
  <c r="M205" i="6"/>
  <c r="M200" i="6"/>
  <c r="M202" i="6"/>
  <c r="M196" i="6"/>
  <c r="M197" i="6"/>
  <c r="I142" i="6"/>
  <c r="J166" i="6"/>
  <c r="I62" i="6"/>
  <c r="I65" i="6"/>
  <c r="M65" i="6"/>
  <c r="N73" i="6"/>
  <c r="J61" i="6"/>
  <c r="J63" i="6"/>
  <c r="J64" i="6"/>
  <c r="J60" i="6"/>
  <c r="J2" i="6"/>
  <c r="I2" i="6"/>
  <c r="N168" i="6" l="1"/>
  <c r="N171" i="6"/>
  <c r="R171" i="6" s="1"/>
  <c r="V171" i="6" s="1"/>
  <c r="N172" i="6"/>
  <c r="R172" i="6" s="1"/>
  <c r="V172" i="6" s="1"/>
  <c r="N170" i="6"/>
  <c r="R170" i="6" s="1"/>
  <c r="V170" i="6" s="1"/>
  <c r="V190" i="6" s="1"/>
  <c r="V15" i="49" s="1"/>
  <c r="V16" i="49" s="1"/>
  <c r="V19" i="49" s="1"/>
  <c r="V20" i="49" s="1"/>
  <c r="V15" i="36" s="1"/>
  <c r="V73" i="8" s="1"/>
  <c r="N204" i="6"/>
  <c r="N203" i="6"/>
  <c r="N192" i="6"/>
  <c r="M15" i="59"/>
  <c r="J167" i="6"/>
  <c r="M22" i="59"/>
  <c r="I184" i="6"/>
  <c r="I159" i="6"/>
  <c r="I185" i="6"/>
  <c r="AB126" i="6"/>
  <c r="AB98" i="6"/>
  <c r="AB102" i="6" s="1"/>
  <c r="AB140" i="6" s="1"/>
  <c r="AA98" i="6"/>
  <c r="AA102" i="6" s="1"/>
  <c r="J142" i="6"/>
  <c r="AA126" i="6"/>
  <c r="AA136" i="6" s="1"/>
  <c r="AA204" i="6" s="1"/>
  <c r="Y8" i="59"/>
  <c r="F15" i="36"/>
  <c r="F73" i="8" s="1"/>
  <c r="J185" i="6"/>
  <c r="J159" i="6"/>
  <c r="J184" i="6"/>
  <c r="M211" i="6"/>
  <c r="J9" i="6"/>
  <c r="J8" i="6"/>
  <c r="AC9" i="59"/>
  <c r="J190" i="6"/>
  <c r="Z147" i="6"/>
  <c r="Z145" i="6"/>
  <c r="Z146" i="6"/>
  <c r="M206" i="6"/>
  <c r="M201" i="6"/>
  <c r="N2" i="6"/>
  <c r="M2" i="6"/>
  <c r="N140" i="6"/>
  <c r="N141" i="6"/>
  <c r="Q15" i="59" s="1"/>
  <c r="N165" i="6"/>
  <c r="N167" i="6" s="1"/>
  <c r="N8" i="36" s="1"/>
  <c r="Q9" i="59" s="1"/>
  <c r="M62" i="6"/>
  <c r="J62" i="6"/>
  <c r="J20" i="6"/>
  <c r="J65" i="6"/>
  <c r="J23" i="6"/>
  <c r="J26" i="6"/>
  <c r="I14" i="6"/>
  <c r="I13" i="6"/>
  <c r="J17" i="6"/>
  <c r="R190" i="6" l="1"/>
  <c r="R15" i="49" s="1"/>
  <c r="R16" i="49" s="1"/>
  <c r="R19" i="49" s="1"/>
  <c r="R20" i="49" s="1"/>
  <c r="R2" i="6"/>
  <c r="R57" i="6"/>
  <c r="AB58" i="6"/>
  <c r="R56" i="6"/>
  <c r="AB56" i="6"/>
  <c r="R58" i="6"/>
  <c r="AB57" i="6"/>
  <c r="AA57" i="6"/>
  <c r="AA58" i="6"/>
  <c r="AA56" i="6"/>
  <c r="Q56" i="6"/>
  <c r="Q58" i="6"/>
  <c r="Q57" i="6"/>
  <c r="J8" i="36"/>
  <c r="M9" i="59" s="1"/>
  <c r="J7" i="36"/>
  <c r="M8" i="59" s="1"/>
  <c r="AB146" i="6"/>
  <c r="AF146" i="6" s="1"/>
  <c r="AJ146" i="6" s="1"/>
  <c r="AP146" i="6" s="1"/>
  <c r="AT146" i="6" s="1"/>
  <c r="AX146" i="6" s="1"/>
  <c r="BF146" i="6" s="1"/>
  <c r="AB147" i="6"/>
  <c r="AF147" i="6" s="1"/>
  <c r="AJ147" i="6" s="1"/>
  <c r="AP147" i="6" s="1"/>
  <c r="AT147" i="6" s="1"/>
  <c r="AX147" i="6" s="1"/>
  <c r="BF147" i="6" s="1"/>
  <c r="Z190" i="6"/>
  <c r="AB145" i="6"/>
  <c r="AF145" i="6" s="1"/>
  <c r="AA203" i="6"/>
  <c r="AA198" i="6"/>
  <c r="N8" i="6"/>
  <c r="N9" i="6"/>
  <c r="N184" i="6"/>
  <c r="N185" i="6"/>
  <c r="M185" i="6"/>
  <c r="M159" i="6"/>
  <c r="M184" i="6"/>
  <c r="I187" i="6"/>
  <c r="I181" i="6"/>
  <c r="I161" i="6"/>
  <c r="I156" i="6"/>
  <c r="I46" i="59"/>
  <c r="AA208" i="6"/>
  <c r="AA211" i="6" s="1"/>
  <c r="AA205" i="6"/>
  <c r="AA202" i="6"/>
  <c r="AA197" i="6"/>
  <c r="AA199" i="6"/>
  <c r="AA196" i="6"/>
  <c r="AB143" i="6"/>
  <c r="AB141" i="6"/>
  <c r="AA200" i="6"/>
  <c r="AA143" i="6"/>
  <c r="AA141" i="6"/>
  <c r="AB119" i="6"/>
  <c r="AA140" i="6"/>
  <c r="N199" i="6"/>
  <c r="Q2" i="6"/>
  <c r="N159" i="6"/>
  <c r="R8" i="36"/>
  <c r="U9" i="59" s="1"/>
  <c r="N208" i="6"/>
  <c r="N210" i="6"/>
  <c r="N209" i="6"/>
  <c r="R7" i="36"/>
  <c r="U8" i="59" s="1"/>
  <c r="M207" i="6"/>
  <c r="N190" i="6"/>
  <c r="N15" i="49" s="1"/>
  <c r="N16" i="49" s="1"/>
  <c r="N19" i="49" s="1"/>
  <c r="N20" i="49" s="1"/>
  <c r="AC8" i="59"/>
  <c r="Y65" i="6"/>
  <c r="J154" i="6"/>
  <c r="J150" i="6"/>
  <c r="J152" i="6"/>
  <c r="J151" i="6"/>
  <c r="J153" i="6"/>
  <c r="J149" i="6"/>
  <c r="N200" i="6"/>
  <c r="N205" i="6"/>
  <c r="N197" i="6"/>
  <c r="N202" i="6"/>
  <c r="N196" i="6"/>
  <c r="I7" i="6"/>
  <c r="I11" i="6"/>
  <c r="I12" i="6"/>
  <c r="N142" i="6"/>
  <c r="N7" i="36" s="1"/>
  <c r="Q8" i="59" s="1"/>
  <c r="N65" i="6"/>
  <c r="I15" i="6"/>
  <c r="N62" i="6"/>
  <c r="J29" i="6"/>
  <c r="AJ145" i="6" l="1"/>
  <c r="AE16" i="59"/>
  <c r="AD16" i="59"/>
  <c r="AD12" i="59"/>
  <c r="AE12" i="59"/>
  <c r="AD23" i="59"/>
  <c r="AE23" i="59"/>
  <c r="V56" i="6"/>
  <c r="Y16" i="59" s="1"/>
  <c r="V58" i="6"/>
  <c r="Y12" i="59" s="1"/>
  <c r="V57" i="6"/>
  <c r="Y23" i="59" s="1"/>
  <c r="AB142" i="6"/>
  <c r="AB7" i="36" s="1"/>
  <c r="AE8" i="59" s="1"/>
  <c r="AE15" i="59"/>
  <c r="U58" i="6"/>
  <c r="X12" i="59" s="1"/>
  <c r="U56" i="6"/>
  <c r="X16" i="59" s="1"/>
  <c r="U57" i="6"/>
  <c r="X23" i="59" s="1"/>
  <c r="T12" i="59"/>
  <c r="T23" i="59"/>
  <c r="T16" i="59"/>
  <c r="U16" i="59"/>
  <c r="U12" i="59"/>
  <c r="U23" i="59"/>
  <c r="M20" i="59"/>
  <c r="M19" i="59"/>
  <c r="M18" i="59"/>
  <c r="M17" i="59"/>
  <c r="V2" i="6"/>
  <c r="R185" i="6"/>
  <c r="R159" i="6"/>
  <c r="R184" i="6"/>
  <c r="Q185" i="6"/>
  <c r="R9" i="6"/>
  <c r="R8" i="6"/>
  <c r="AB170" i="6"/>
  <c r="AF170" i="6" s="1"/>
  <c r="AJ170" i="6" s="1"/>
  <c r="AP170" i="6" s="1"/>
  <c r="AT170" i="6" s="1"/>
  <c r="AX170" i="6" s="1"/>
  <c r="BF170" i="6" s="1"/>
  <c r="AB172" i="6"/>
  <c r="AF172" i="6" s="1"/>
  <c r="AJ172" i="6" s="1"/>
  <c r="AP172" i="6" s="1"/>
  <c r="AT172" i="6" s="1"/>
  <c r="AX172" i="6" s="1"/>
  <c r="BF172" i="6" s="1"/>
  <c r="AB171" i="6"/>
  <c r="AF171" i="6" s="1"/>
  <c r="AJ171" i="6" s="1"/>
  <c r="AP171" i="6" s="1"/>
  <c r="AT171" i="6" s="1"/>
  <c r="AX171" i="6" s="1"/>
  <c r="BF171" i="6" s="1"/>
  <c r="I80" i="6"/>
  <c r="K46" i="59"/>
  <c r="M161" i="6"/>
  <c r="M156" i="6"/>
  <c r="I77" i="6"/>
  <c r="M187" i="6"/>
  <c r="M181" i="6"/>
  <c r="U2" i="6"/>
  <c r="AA206" i="6"/>
  <c r="AA142" i="6"/>
  <c r="AA201" i="6"/>
  <c r="AB168" i="6"/>
  <c r="AB165" i="6"/>
  <c r="AB136" i="6"/>
  <c r="AB204" i="6" s="1"/>
  <c r="AB166" i="6"/>
  <c r="AE22" i="59" s="1"/>
  <c r="AB73" i="6"/>
  <c r="AB65" i="6"/>
  <c r="Y10" i="59"/>
  <c r="Q17" i="59"/>
  <c r="N211" i="6"/>
  <c r="M212" i="6"/>
  <c r="F9" i="36"/>
  <c r="I10" i="59" s="1"/>
  <c r="AA65" i="6"/>
  <c r="AA62" i="6"/>
  <c r="Y62" i="6"/>
  <c r="Q19" i="59"/>
  <c r="Q18" i="59"/>
  <c r="Q20" i="59"/>
  <c r="M12" i="6"/>
  <c r="N206" i="6"/>
  <c r="Q11" i="59" s="1"/>
  <c r="N201" i="6"/>
  <c r="M11" i="6"/>
  <c r="M7" i="6"/>
  <c r="M15" i="6"/>
  <c r="AF190" i="6" l="1"/>
  <c r="AP145" i="6"/>
  <c r="AJ190" i="6"/>
  <c r="AB192" i="6"/>
  <c r="U185" i="6"/>
  <c r="AB2" i="6"/>
  <c r="V185" i="6"/>
  <c r="V184" i="6"/>
  <c r="V159" i="6"/>
  <c r="V8" i="6"/>
  <c r="V11" i="6" s="1"/>
  <c r="R11" i="6"/>
  <c r="V9" i="6"/>
  <c r="V12" i="6" s="1"/>
  <c r="R12" i="6"/>
  <c r="AB203" i="6"/>
  <c r="AB198" i="6"/>
  <c r="M80" i="6"/>
  <c r="AA2" i="6"/>
  <c r="M77" i="6"/>
  <c r="U19" i="59"/>
  <c r="AB190" i="6"/>
  <c r="U20" i="59"/>
  <c r="U18" i="59"/>
  <c r="U17" i="59"/>
  <c r="AA207" i="6"/>
  <c r="AA212" i="6" s="1"/>
  <c r="AB209" i="6"/>
  <c r="AB208" i="6"/>
  <c r="AB197" i="6"/>
  <c r="AB199" i="6"/>
  <c r="AB210" i="6"/>
  <c r="AB205" i="6"/>
  <c r="AB196" i="6"/>
  <c r="AB200" i="6"/>
  <c r="AB202" i="6"/>
  <c r="AB167" i="6"/>
  <c r="AB8" i="36" s="1"/>
  <c r="AE9" i="59" s="1"/>
  <c r="R9" i="36"/>
  <c r="U10" i="59" s="1"/>
  <c r="AB62" i="6"/>
  <c r="AA11" i="6"/>
  <c r="J9" i="36"/>
  <c r="M10" i="59" s="1"/>
  <c r="N207" i="6"/>
  <c r="N212" i="6" s="1"/>
  <c r="AE2" i="6" l="1"/>
  <c r="AE56" i="6"/>
  <c r="AE58" i="6"/>
  <c r="AE57" i="6"/>
  <c r="AF2" i="6"/>
  <c r="AF58" i="6"/>
  <c r="AF57" i="6"/>
  <c r="AF56" i="6"/>
  <c r="AT145" i="6"/>
  <c r="AP190" i="6"/>
  <c r="AB185" i="6"/>
  <c r="AB184" i="6"/>
  <c r="AB9" i="6"/>
  <c r="AF9" i="6" s="1"/>
  <c r="AB159" i="6"/>
  <c r="AB8" i="6"/>
  <c r="AA185" i="6"/>
  <c r="AA12" i="6"/>
  <c r="AB201" i="6"/>
  <c r="AB211" i="6"/>
  <c r="AB206" i="6"/>
  <c r="AE11" i="59" s="1"/>
  <c r="AC10" i="59"/>
  <c r="N9" i="36"/>
  <c r="Q10" i="59" s="1"/>
  <c r="AT190" i="6" l="1"/>
  <c r="AX145" i="6"/>
  <c r="AJ2" i="6"/>
  <c r="AF185" i="6"/>
  <c r="AF159" i="6"/>
  <c r="AF184" i="6"/>
  <c r="AI16" i="59"/>
  <c r="AJ56" i="6"/>
  <c r="AH23" i="59"/>
  <c r="AI57" i="6"/>
  <c r="AF8" i="6"/>
  <c r="AI23" i="59"/>
  <c r="AJ57" i="6"/>
  <c r="AI58" i="6"/>
  <c r="AH12" i="59"/>
  <c r="AF12" i="6"/>
  <c r="AI12" i="59"/>
  <c r="AJ58" i="6"/>
  <c r="AI56" i="6"/>
  <c r="AH16" i="59"/>
  <c r="AI2" i="6"/>
  <c r="AE185" i="6"/>
  <c r="AB12" i="6"/>
  <c r="AB11" i="6"/>
  <c r="AA161" i="6"/>
  <c r="AA156" i="6"/>
  <c r="AA187" i="6"/>
  <c r="AA181" i="6"/>
  <c r="AB207" i="6"/>
  <c r="AB9" i="36" s="1"/>
  <c r="AE10" i="59" s="1"/>
  <c r="AA15" i="6"/>
  <c r="AX190" i="6" l="1"/>
  <c r="BF145" i="6"/>
  <c r="BF190" i="6" s="1"/>
  <c r="AO2" i="6"/>
  <c r="AI185" i="6"/>
  <c r="AO58" i="6"/>
  <c r="AL12" i="59"/>
  <c r="AL23" i="59"/>
  <c r="AO57" i="6"/>
  <c r="AM12" i="59"/>
  <c r="AP58" i="6"/>
  <c r="BD58" i="6" s="1"/>
  <c r="BG12" i="59" s="1"/>
  <c r="AP2" i="6"/>
  <c r="AJ185" i="6"/>
  <c r="AJ159" i="6"/>
  <c r="AJ184" i="6"/>
  <c r="AP57" i="6"/>
  <c r="AM23" i="59"/>
  <c r="AJ8" i="6"/>
  <c r="AF11" i="6"/>
  <c r="AL16" i="59"/>
  <c r="AO56" i="6"/>
  <c r="AJ9" i="6"/>
  <c r="AP56" i="6"/>
  <c r="AM16" i="59"/>
  <c r="AA80" i="6"/>
  <c r="AA77" i="6"/>
  <c r="AB212" i="6"/>
  <c r="AT2" i="6" l="1"/>
  <c r="AP185" i="6"/>
  <c r="AP159" i="6"/>
  <c r="AP184" i="6"/>
  <c r="AS16" i="59"/>
  <c r="AT56" i="6"/>
  <c r="AS12" i="59"/>
  <c r="AT58" i="6"/>
  <c r="AP9" i="6"/>
  <c r="AJ12" i="6"/>
  <c r="AP8" i="6"/>
  <c r="AJ11" i="6"/>
  <c r="AR12" i="59"/>
  <c r="AS58" i="6"/>
  <c r="AS23" i="59"/>
  <c r="AT57" i="6"/>
  <c r="AR16" i="59"/>
  <c r="AS56" i="6"/>
  <c r="AR23" i="59"/>
  <c r="AS57" i="6"/>
  <c r="AS2" i="6"/>
  <c r="AO185" i="6"/>
  <c r="I27" i="21"/>
  <c r="I26" i="21"/>
  <c r="AA26" i="21" s="1"/>
  <c r="AE26" i="21" s="1"/>
  <c r="AI26" i="21" s="1"/>
  <c r="AO26" i="21" s="1"/>
  <c r="AS26" i="21" s="1"/>
  <c r="AW26" i="21" s="1"/>
  <c r="BE26" i="21" s="1"/>
  <c r="J27" i="21"/>
  <c r="J15" i="21"/>
  <c r="I11" i="21"/>
  <c r="I10" i="21"/>
  <c r="I9" i="21"/>
  <c r="I8" i="21"/>
  <c r="AV16" i="59" l="1"/>
  <c r="AW56" i="6"/>
  <c r="AV23" i="59"/>
  <c r="AW57" i="6"/>
  <c r="AV12" i="59"/>
  <c r="AW58" i="6"/>
  <c r="BE58" i="6" s="1"/>
  <c r="AW12" i="59"/>
  <c r="AX58" i="6"/>
  <c r="BF58" i="6" s="1"/>
  <c r="BI12" i="59" s="1"/>
  <c r="AW16" i="59"/>
  <c r="AX56" i="6"/>
  <c r="AW23" i="59"/>
  <c r="AX57" i="6"/>
  <c r="AS185" i="6"/>
  <c r="AT8" i="6"/>
  <c r="AT11" i="6" s="1"/>
  <c r="AP11" i="6"/>
  <c r="AT9" i="6"/>
  <c r="AT12" i="6" s="1"/>
  <c r="AP12" i="6"/>
  <c r="AT184" i="6"/>
  <c r="AT159" i="6"/>
  <c r="AT185" i="6"/>
  <c r="Q11" i="21"/>
  <c r="U11" i="21" s="1"/>
  <c r="Q9" i="21"/>
  <c r="U9" i="21" s="1"/>
  <c r="R27" i="21"/>
  <c r="V27" i="21" s="1"/>
  <c r="AB27" i="21"/>
  <c r="AF27" i="21" s="1"/>
  <c r="AJ27" i="21" s="1"/>
  <c r="AP27" i="21" s="1"/>
  <c r="AT27" i="21" s="1"/>
  <c r="AX27" i="21" s="1"/>
  <c r="BF27" i="21" s="1"/>
  <c r="Q10" i="21"/>
  <c r="U10" i="21" s="1"/>
  <c r="Q27" i="21"/>
  <c r="U27" i="21" s="1"/>
  <c r="AA27" i="21"/>
  <c r="AE27" i="21" s="1"/>
  <c r="I12" i="21"/>
  <c r="I30" i="21" s="1"/>
  <c r="I28" i="21"/>
  <c r="Q26" i="21"/>
  <c r="AZ23" i="59" l="1"/>
  <c r="BE57" i="6"/>
  <c r="BA23" i="59"/>
  <c r="BF57" i="6"/>
  <c r="BI23" i="59" s="1"/>
  <c r="BA16" i="59"/>
  <c r="BF56" i="6"/>
  <c r="BI16" i="59" s="1"/>
  <c r="AZ16" i="59"/>
  <c r="BE56" i="6"/>
  <c r="AZ12" i="59"/>
  <c r="BA12" i="59"/>
  <c r="AE28" i="21"/>
  <c r="AI27" i="21"/>
  <c r="I390" i="28"/>
  <c r="I391" i="28"/>
  <c r="U26" i="21"/>
  <c r="R15" i="21"/>
  <c r="V15" i="21" s="1"/>
  <c r="AB15" i="21"/>
  <c r="AF15" i="21" s="1"/>
  <c r="I22" i="21"/>
  <c r="Q8" i="21"/>
  <c r="U8" i="21" s="1"/>
  <c r="U12" i="21" s="1"/>
  <c r="U30" i="21" s="1"/>
  <c r="I15" i="21"/>
  <c r="AJ15" i="21" l="1"/>
  <c r="AF20" i="21"/>
  <c r="AI28" i="21"/>
  <c r="AO27" i="21"/>
  <c r="U22" i="21"/>
  <c r="U390" i="28"/>
  <c r="U391" i="28"/>
  <c r="U28" i="21"/>
  <c r="Q28" i="21"/>
  <c r="AA28" i="21"/>
  <c r="Q15" i="21"/>
  <c r="U15" i="21" s="1"/>
  <c r="AA15" i="21"/>
  <c r="AE15" i="21" s="1"/>
  <c r="AI15" i="21" s="1"/>
  <c r="AO15" i="21" s="1"/>
  <c r="AS15" i="21" s="1"/>
  <c r="AW15" i="21" s="1"/>
  <c r="BE15" i="21" s="1"/>
  <c r="Q12" i="21"/>
  <c r="Q30" i="21" s="1"/>
  <c r="AO28" i="21" l="1"/>
  <c r="AS27" i="21"/>
  <c r="AP15" i="21"/>
  <c r="AJ20" i="21"/>
  <c r="Q390" i="28"/>
  <c r="Q391" i="28"/>
  <c r="Q22" i="21"/>
  <c r="AA12" i="21"/>
  <c r="AS28" i="21" l="1"/>
  <c r="AW27" i="21"/>
  <c r="AT15" i="21"/>
  <c r="AP20" i="21"/>
  <c r="AA390" i="28"/>
  <c r="AA391" i="28"/>
  <c r="AA22" i="21"/>
  <c r="AW28" i="21" l="1"/>
  <c r="BE27" i="21"/>
  <c r="BE28" i="21" s="1"/>
  <c r="AT20" i="21"/>
  <c r="AX15" i="21"/>
  <c r="AX20" i="21" s="1"/>
  <c r="M63" i="59"/>
  <c r="J64" i="11"/>
  <c r="J102" i="9" l="1"/>
  <c r="J89" i="9"/>
  <c r="J90" i="9"/>
  <c r="J33" i="22"/>
  <c r="I125" i="26"/>
  <c r="J94" i="9"/>
  <c r="I18" i="15" s="1"/>
  <c r="J96" i="9"/>
  <c r="J100" i="9"/>
  <c r="J104" i="9"/>
  <c r="M52" i="59" s="1"/>
  <c r="J181" i="6"/>
  <c r="N96" i="9" l="1"/>
  <c r="N100" i="9"/>
  <c r="M18" i="15"/>
  <c r="N90" i="9"/>
  <c r="N89" i="9"/>
  <c r="J183" i="6"/>
  <c r="J79" i="8"/>
  <c r="J81" i="8" s="1"/>
  <c r="M123" i="26" l="1"/>
  <c r="N183" i="6"/>
  <c r="Z157" i="6"/>
  <c r="J80" i="8"/>
  <c r="AO123" i="26" l="1"/>
  <c r="AI123" i="26"/>
  <c r="AE123" i="26"/>
  <c r="U123" i="26"/>
  <c r="Q123" i="26"/>
  <c r="AB183" i="6"/>
  <c r="AF183" i="6" s="1"/>
  <c r="AJ183" i="6" s="1"/>
  <c r="AP183" i="6" s="1"/>
  <c r="AT183" i="6" s="1"/>
  <c r="R183" i="6"/>
  <c r="V183" i="6" s="1"/>
  <c r="N80" i="8"/>
  <c r="AW123" i="26" l="1"/>
  <c r="BE123" i="26"/>
  <c r="AS123" i="26"/>
  <c r="AB33" i="22"/>
  <c r="AB96" i="9"/>
  <c r="AB94" i="9"/>
  <c r="AA18" i="15" s="1"/>
  <c r="AB100" i="9"/>
  <c r="AB89" i="9"/>
  <c r="AB90" i="9"/>
  <c r="AB81" i="8" l="1"/>
  <c r="AF81" i="8" s="1"/>
  <c r="AJ81" i="8" s="1"/>
  <c r="AP81" i="8" s="1"/>
  <c r="AT81" i="8" s="1"/>
  <c r="AB80" i="8"/>
  <c r="Y123" i="26" l="1"/>
  <c r="J24" i="6"/>
  <c r="AA123" i="26" l="1"/>
  <c r="J25" i="6"/>
  <c r="J27" i="6"/>
  <c r="J21" i="6"/>
  <c r="AE68" i="59" l="1"/>
  <c r="N25" i="6"/>
  <c r="J28" i="6"/>
  <c r="J22" i="6"/>
  <c r="N22" i="6" l="1"/>
  <c r="N28" i="6"/>
  <c r="AB25" i="6" l="1"/>
  <c r="J63" i="8"/>
  <c r="J10" i="49" s="1"/>
  <c r="J12" i="49" s="1"/>
  <c r="J14" i="49" s="1"/>
  <c r="J15" i="49" s="1"/>
  <c r="J16" i="49" s="1"/>
  <c r="J19" i="49" s="1"/>
  <c r="J20" i="49" s="1"/>
  <c r="J33" i="8"/>
  <c r="J70" i="8" l="1"/>
  <c r="J15" i="36"/>
  <c r="M46" i="59" s="1"/>
  <c r="AB28" i="6"/>
  <c r="AB22" i="6"/>
  <c r="J73" i="8" l="1"/>
  <c r="N70" i="8"/>
  <c r="N15" i="36"/>
  <c r="Q46" i="59" s="1"/>
  <c r="J19" i="21"/>
  <c r="N73" i="8" l="1"/>
  <c r="J16" i="21"/>
  <c r="Y46" i="59" l="1"/>
  <c r="AB10" i="49"/>
  <c r="AB12" i="49" s="1"/>
  <c r="AB70" i="8"/>
  <c r="BG68" i="59" l="1"/>
  <c r="BE68" i="59"/>
  <c r="I110" i="17"/>
  <c r="J16" i="8" l="1"/>
  <c r="J18" i="6" l="1"/>
  <c r="J177" i="6" l="1"/>
  <c r="J178" i="6"/>
  <c r="J179" i="6"/>
  <c r="J175" i="6"/>
  <c r="J174" i="6"/>
  <c r="J176" i="6"/>
  <c r="J19" i="6"/>
  <c r="J30" i="6"/>
  <c r="M27" i="59" l="1"/>
  <c r="J191" i="6"/>
  <c r="M26" i="59"/>
  <c r="M24" i="59"/>
  <c r="M25" i="59"/>
  <c r="Q27" i="59"/>
  <c r="Q24" i="59"/>
  <c r="Q26" i="59"/>
  <c r="Q25" i="59"/>
  <c r="N19" i="6"/>
  <c r="J31" i="6"/>
  <c r="U25" i="59" l="1"/>
  <c r="U27" i="59"/>
  <c r="U26" i="59"/>
  <c r="U24" i="59"/>
  <c r="N191" i="6"/>
  <c r="N31" i="6"/>
  <c r="R19" i="21" l="1"/>
  <c r="V19" i="21" s="1"/>
  <c r="R16" i="21" l="1"/>
  <c r="V16" i="21" s="1"/>
  <c r="R10" i="21" l="1"/>
  <c r="V10" i="21" s="1"/>
  <c r="J26" i="21" l="1"/>
  <c r="AB23" i="21" l="1"/>
  <c r="AF23" i="21" s="1"/>
  <c r="J9" i="21"/>
  <c r="AB26" i="21"/>
  <c r="AF26" i="21" s="1"/>
  <c r="J28" i="21"/>
  <c r="J17" i="21"/>
  <c r="AJ23" i="21" l="1"/>
  <c r="AJ26" i="21"/>
  <c r="AF28" i="21"/>
  <c r="R17" i="21"/>
  <c r="V17" i="21" s="1"/>
  <c r="R9" i="21"/>
  <c r="V9" i="21" s="1"/>
  <c r="R23" i="21"/>
  <c r="V23" i="21" s="1"/>
  <c r="R26" i="21"/>
  <c r="V26" i="21" s="1"/>
  <c r="V28" i="21" s="1"/>
  <c r="J11" i="21"/>
  <c r="J8" i="21"/>
  <c r="AP26" i="21" l="1"/>
  <c r="AT26" i="21" s="1"/>
  <c r="AJ28" i="21"/>
  <c r="AP28" i="21" s="1"/>
  <c r="AP23" i="21"/>
  <c r="AT23" i="21" s="1"/>
  <c r="AX23" i="21" s="1"/>
  <c r="R11" i="21"/>
  <c r="V11" i="21" s="1"/>
  <c r="J12" i="21"/>
  <c r="R28" i="21"/>
  <c r="J22" i="21"/>
  <c r="AT28" i="21" l="1"/>
  <c r="AX26" i="21"/>
  <c r="J20" i="21"/>
  <c r="AB28" i="21"/>
  <c r="R8" i="21"/>
  <c r="V8" i="21" s="1"/>
  <c r="V12" i="21" s="1"/>
  <c r="J24" i="21"/>
  <c r="J25" i="21" s="1"/>
  <c r="AB22" i="21"/>
  <c r="AF22" i="21" s="1"/>
  <c r="AX28" i="21" l="1"/>
  <c r="BF26" i="21"/>
  <c r="BF28" i="21" s="1"/>
  <c r="J30" i="21"/>
  <c r="AJ22" i="21"/>
  <c r="AF24" i="21"/>
  <c r="AF25" i="21" s="1"/>
  <c r="V20" i="21"/>
  <c r="V390" i="28"/>
  <c r="V391" i="28"/>
  <c r="R12" i="21"/>
  <c r="R22" i="21"/>
  <c r="V22" i="21" s="1"/>
  <c r="V24" i="21" s="1"/>
  <c r="V25" i="21" l="1"/>
  <c r="V30" i="21"/>
  <c r="AP22" i="21"/>
  <c r="AJ24" i="21"/>
  <c r="R20" i="21"/>
  <c r="R390" i="28"/>
  <c r="R391" i="28"/>
  <c r="AB12" i="21"/>
  <c r="R24" i="21"/>
  <c r="R25" i="21" l="1"/>
  <c r="R30" i="21"/>
  <c r="AJ25" i="21"/>
  <c r="AJ30" i="21"/>
  <c r="AT22" i="21"/>
  <c r="AP24" i="21"/>
  <c r="AP25" i="21" s="1"/>
  <c r="AB390" i="28"/>
  <c r="AB391" i="28"/>
  <c r="AB20" i="21"/>
  <c r="AB24" i="21"/>
  <c r="AB25" i="21" s="1"/>
  <c r="AT24" i="21" l="1"/>
  <c r="AX22" i="21"/>
  <c r="AX24" i="21" s="1"/>
  <c r="AX25" i="21" s="1"/>
  <c r="AT25" i="21"/>
  <c r="AT30" i="21"/>
  <c r="J13" i="9"/>
  <c r="J14" i="9" l="1"/>
  <c r="Z15" i="8" l="1"/>
  <c r="AB15" i="8" l="1"/>
  <c r="N91" i="9" l="1"/>
  <c r="J91" i="9"/>
  <c r="AB91" i="9" l="1"/>
  <c r="Z91" i="9"/>
  <c r="I123" i="26" l="1"/>
  <c r="J136" i="10"/>
  <c r="I112" i="17"/>
  <c r="I114" i="17" s="1"/>
  <c r="I113" i="17"/>
  <c r="J7" i="6" l="1"/>
  <c r="J12" i="6"/>
  <c r="J11" i="6"/>
  <c r="I111" i="17"/>
  <c r="I115" i="17" s="1"/>
  <c r="J37" i="7"/>
  <c r="J57" i="7" s="1"/>
  <c r="J14" i="6"/>
  <c r="J13" i="6"/>
  <c r="J75" i="6" l="1"/>
  <c r="J78" i="6"/>
  <c r="J81" i="6"/>
  <c r="R81" i="6"/>
  <c r="V81" i="6" s="1"/>
  <c r="R78" i="6"/>
  <c r="V78" i="6" s="1"/>
  <c r="R75" i="6"/>
  <c r="V75" i="6" s="1"/>
  <c r="AF75" i="6"/>
  <c r="AJ75" i="6" s="1"/>
  <c r="AP75" i="6" s="1"/>
  <c r="AT75" i="6" s="1"/>
  <c r="AF81" i="6"/>
  <c r="AJ81" i="6" s="1"/>
  <c r="AP81" i="6" s="1"/>
  <c r="AT81" i="6" s="1"/>
  <c r="AF78" i="6"/>
  <c r="AJ78" i="6" s="1"/>
  <c r="AP78" i="6" s="1"/>
  <c r="AT78" i="6" s="1"/>
  <c r="J79" i="6"/>
  <c r="J76" i="6"/>
  <c r="R79" i="6"/>
  <c r="V79" i="6" s="1"/>
  <c r="R76" i="6"/>
  <c r="V76" i="6" s="1"/>
  <c r="AF79" i="6"/>
  <c r="AJ79" i="6" s="1"/>
  <c r="AP79" i="6" s="1"/>
  <c r="AT79" i="6" s="1"/>
  <c r="AF76" i="6"/>
  <c r="AJ76" i="6" s="1"/>
  <c r="AP76" i="6" s="1"/>
  <c r="AT76" i="6" s="1"/>
  <c r="J161" i="6"/>
  <c r="J162" i="6"/>
  <c r="J188" i="6"/>
  <c r="J71" i="7"/>
  <c r="N7" i="6"/>
  <c r="N12" i="6"/>
  <c r="N11" i="6"/>
  <c r="J46" i="7"/>
  <c r="J187" i="6"/>
  <c r="J182" i="6"/>
  <c r="J15" i="6"/>
  <c r="J80" i="6" l="1"/>
  <c r="J77" i="6"/>
  <c r="J33" i="6"/>
  <c r="J35" i="6"/>
  <c r="N182" i="6"/>
  <c r="N161" i="6"/>
  <c r="N187" i="6"/>
  <c r="N15" i="6"/>
  <c r="J36" i="6"/>
  <c r="J34" i="6"/>
  <c r="R15" i="36"/>
  <c r="N80" i="6" l="1"/>
  <c r="N77" i="6"/>
  <c r="U46" i="59"/>
  <c r="R73" i="8"/>
  <c r="N35" i="6"/>
  <c r="N36" i="6"/>
  <c r="N33" i="6"/>
  <c r="N34" i="6"/>
  <c r="J37" i="6"/>
  <c r="R77" i="6" l="1"/>
  <c r="V77" i="6" s="1"/>
  <c r="R80" i="6"/>
  <c r="V80" i="6" s="1"/>
  <c r="N37" i="6"/>
  <c r="AB188" i="6" l="1"/>
  <c r="AF188" i="6" s="1"/>
  <c r="AJ188" i="6" s="1"/>
  <c r="AP188" i="6" s="1"/>
  <c r="AT188" i="6" s="1"/>
  <c r="AX188" i="6" s="1"/>
  <c r="AB162" i="6"/>
  <c r="AF162" i="6" s="1"/>
  <c r="AJ162" i="6" s="1"/>
  <c r="AP162" i="6" s="1"/>
  <c r="AT162" i="6" s="1"/>
  <c r="AX162" i="6" s="1"/>
  <c r="BF162" i="6" s="1"/>
  <c r="AB182" i="6"/>
  <c r="AB187" i="6"/>
  <c r="AB71" i="7"/>
  <c r="AB161" i="6"/>
  <c r="AB15" i="6"/>
  <c r="AB46" i="7"/>
  <c r="AB77" i="6" l="1"/>
  <c r="AF77" i="6" s="1"/>
  <c r="AJ77" i="6" s="1"/>
  <c r="AP77" i="6" s="1"/>
  <c r="AT77" i="6" s="1"/>
  <c r="AB80" i="6"/>
  <c r="AF80" i="6" s="1"/>
  <c r="AJ80" i="6" s="1"/>
  <c r="AP80" i="6" s="1"/>
  <c r="AB35" i="6"/>
  <c r="AB57" i="7"/>
  <c r="AB36" i="6"/>
  <c r="AB34" i="6"/>
  <c r="I95" i="7" l="1"/>
  <c r="I37" i="7" l="1"/>
  <c r="I46" i="7" s="1"/>
  <c r="I71" i="7" l="1"/>
  <c r="AA95" i="7" l="1"/>
  <c r="AA71" i="7" l="1"/>
  <c r="I76" i="7"/>
  <c r="I77" i="7" s="1"/>
  <c r="L36" i="59" s="1"/>
  <c r="P36" i="59" l="1"/>
  <c r="T36" i="59" l="1"/>
  <c r="AA77" i="7" l="1"/>
  <c r="AD36" i="59" s="1"/>
  <c r="Q159" i="26" l="1"/>
  <c r="AA74" i="26" l="1"/>
  <c r="AA93" i="26" l="1"/>
  <c r="AE93" i="26" s="1"/>
  <c r="AE109" i="26" l="1"/>
  <c r="AI93" i="26"/>
  <c r="AO93" i="26" s="1"/>
  <c r="AE85" i="17"/>
  <c r="U85" i="17"/>
  <c r="U86" i="17" s="1"/>
  <c r="AA85" i="17"/>
  <c r="AA86" i="17" s="1"/>
  <c r="AE86" i="17" s="1"/>
  <c r="AO109" i="26" l="1"/>
  <c r="AS93" i="26"/>
  <c r="AW93" i="26" s="1"/>
  <c r="BE93" i="26" s="1"/>
  <c r="BE109" i="26" s="1"/>
  <c r="AO85" i="17"/>
  <c r="AI109" i="26"/>
  <c r="AI85" i="17"/>
  <c r="AI86" i="17" s="1"/>
  <c r="AA109" i="26"/>
  <c r="AA91" i="26" s="1"/>
  <c r="AE91" i="26" s="1"/>
  <c r="AW109" i="26" l="1"/>
  <c r="AW85" i="17"/>
  <c r="AO86" i="17"/>
  <c r="AS109" i="26"/>
  <c r="AS85" i="17"/>
  <c r="AI91" i="26"/>
  <c r="AO91" i="26" s="1"/>
  <c r="Y19" i="9"/>
  <c r="I27" i="6"/>
  <c r="I21" i="6"/>
  <c r="I24" i="6"/>
  <c r="I20" i="6"/>
  <c r="I18" i="6"/>
  <c r="I23" i="6"/>
  <c r="AS86" i="17" l="1"/>
  <c r="AW86" i="17" s="1"/>
  <c r="BE86" i="17" s="1"/>
  <c r="AS91" i="26"/>
  <c r="AW91" i="26" s="1"/>
  <c r="BE91" i="26" s="1"/>
  <c r="AA19" i="9"/>
  <c r="AE19" i="9" s="1"/>
  <c r="Y90" i="9"/>
  <c r="Y91" i="9" s="1"/>
  <c r="L24" i="59"/>
  <c r="I22" i="6"/>
  <c r="I25" i="6"/>
  <c r="I26" i="6"/>
  <c r="L25" i="59"/>
  <c r="L27" i="59"/>
  <c r="I17" i="6"/>
  <c r="L26" i="59"/>
  <c r="I30" i="6"/>
  <c r="AE90" i="9" l="1"/>
  <c r="AE91" i="9" s="1"/>
  <c r="AI19" i="9"/>
  <c r="AA90" i="9"/>
  <c r="AA91" i="9" s="1"/>
  <c r="L18" i="59"/>
  <c r="L20" i="59"/>
  <c r="L19" i="59"/>
  <c r="L17" i="59"/>
  <c r="M25" i="6"/>
  <c r="M22" i="6"/>
  <c r="I19" i="6"/>
  <c r="I29" i="6"/>
  <c r="I28" i="6"/>
  <c r="AI90" i="9" l="1"/>
  <c r="AI91" i="9" s="1"/>
  <c r="AO19" i="9"/>
  <c r="T24" i="59"/>
  <c r="T27" i="59"/>
  <c r="T26" i="59"/>
  <c r="T25" i="59"/>
  <c r="I37" i="6"/>
  <c r="Y25" i="6"/>
  <c r="M28" i="6"/>
  <c r="M19" i="6"/>
  <c r="Y22" i="6"/>
  <c r="I31" i="6"/>
  <c r="AO90" i="9" l="1"/>
  <c r="AO91" i="9" s="1"/>
  <c r="AS19" i="9"/>
  <c r="T18" i="59"/>
  <c r="T19" i="59"/>
  <c r="M37" i="6"/>
  <c r="T17" i="59"/>
  <c r="Y19" i="6"/>
  <c r="M31" i="6"/>
  <c r="Y28" i="6"/>
  <c r="T20" i="59"/>
  <c r="AS90" i="9" l="1"/>
  <c r="AS91" i="9" s="1"/>
  <c r="AW19" i="9"/>
  <c r="AD24" i="59"/>
  <c r="AD27" i="59"/>
  <c r="AD26" i="59"/>
  <c r="AD25" i="59"/>
  <c r="AA22" i="6"/>
  <c r="AA25" i="6"/>
  <c r="Y37" i="6"/>
  <c r="Y31" i="6"/>
  <c r="AW90" i="9" l="1"/>
  <c r="AW91" i="9" s="1"/>
  <c r="BE19" i="9"/>
  <c r="BE90" i="9" s="1"/>
  <c r="BE91" i="9" s="1"/>
  <c r="AA28" i="6"/>
  <c r="AA19" i="6"/>
  <c r="AD18" i="59"/>
  <c r="AD19" i="59"/>
  <c r="AD20" i="59"/>
  <c r="AD17" i="59"/>
  <c r="Y11" i="36" l="1"/>
  <c r="AB38" i="59" s="1"/>
  <c r="Y9" i="49"/>
  <c r="Y12" i="36"/>
  <c r="AB39" i="59" s="1"/>
  <c r="Y17" i="49"/>
  <c r="Y18" i="49" s="1"/>
  <c r="AA37" i="6"/>
  <c r="AA31" i="6"/>
  <c r="Y40" i="8"/>
  <c r="Y39" i="8"/>
  <c r="Y22" i="8"/>
  <c r="E13" i="36"/>
  <c r="E39" i="8"/>
  <c r="E23" i="8" s="1"/>
  <c r="M23" i="8" s="1"/>
  <c r="AA23" i="8" s="1"/>
  <c r="AE23" i="8" s="1"/>
  <c r="AI23" i="8" s="1"/>
  <c r="AO23" i="8" s="1"/>
  <c r="AS23" i="8" s="1"/>
  <c r="AW23" i="8" s="1"/>
  <c r="BE23" i="8" s="1"/>
  <c r="E38" i="8"/>
  <c r="E22" i="8" s="1"/>
  <c r="M22" i="8" s="1"/>
  <c r="E24" i="8"/>
  <c r="BE39" i="8" l="1"/>
  <c r="AW39" i="8"/>
  <c r="AW9" i="49"/>
  <c r="AW11" i="36"/>
  <c r="AZ38" i="59" s="1"/>
  <c r="AS39" i="8"/>
  <c r="AS9" i="49"/>
  <c r="AS11" i="36"/>
  <c r="AV38" i="59" s="1"/>
  <c r="AO39" i="8"/>
  <c r="AO9" i="49"/>
  <c r="AO11" i="36"/>
  <c r="AR38" i="59" s="1"/>
  <c r="AI11" i="36"/>
  <c r="AL38" i="59" s="1"/>
  <c r="AI39" i="8"/>
  <c r="AI9" i="49"/>
  <c r="AE11" i="36"/>
  <c r="AH38" i="59" s="1"/>
  <c r="AE39" i="8"/>
  <c r="AE9" i="49"/>
  <c r="AA22" i="8"/>
  <c r="AE22" i="8" s="1"/>
  <c r="AI22" i="8" s="1"/>
  <c r="AO22" i="8" s="1"/>
  <c r="AS22" i="8" s="1"/>
  <c r="AW22" i="8" s="1"/>
  <c r="BE22" i="8" s="1"/>
  <c r="E17" i="49"/>
  <c r="E18" i="49" s="1"/>
  <c r="M24" i="8"/>
  <c r="AA24" i="8" s="1"/>
  <c r="AE24" i="8" s="1"/>
  <c r="AI24" i="8" s="1"/>
  <c r="AO24" i="8" s="1"/>
  <c r="AS24" i="8" s="1"/>
  <c r="AW24" i="8" s="1"/>
  <c r="BE24" i="8" s="1"/>
  <c r="Y10" i="36"/>
  <c r="Y13" i="36" s="1"/>
  <c r="Y8" i="49"/>
  <c r="Q22" i="8"/>
  <c r="U22" i="8" s="1"/>
  <c r="M8" i="49"/>
  <c r="E9" i="49"/>
  <c r="E8" i="49"/>
  <c r="E63" i="8"/>
  <c r="M63" i="8" s="1"/>
  <c r="I24" i="8"/>
  <c r="I17" i="49" s="1"/>
  <c r="I18" i="49" s="1"/>
  <c r="I23" i="8"/>
  <c r="Y38" i="8"/>
  <c r="Y41" i="8" s="1"/>
  <c r="Y25" i="8"/>
  <c r="Y63" i="8"/>
  <c r="Y10" i="49" s="1"/>
  <c r="E41" i="8"/>
  <c r="E25" i="8"/>
  <c r="I22" i="8"/>
  <c r="I8" i="49" s="1"/>
  <c r="BE40" i="8" l="1"/>
  <c r="BE38" i="8"/>
  <c r="BE41" i="8" s="1"/>
  <c r="BE25" i="8"/>
  <c r="AW25" i="8"/>
  <c r="AW38" i="8"/>
  <c r="AW8" i="49"/>
  <c r="AW10" i="36"/>
  <c r="AW40" i="8"/>
  <c r="AW17" i="49"/>
  <c r="AW18" i="49" s="1"/>
  <c r="AW12" i="36"/>
  <c r="AZ39" i="59" s="1"/>
  <c r="AS38" i="8"/>
  <c r="AS25" i="8"/>
  <c r="AS8" i="49"/>
  <c r="AS10" i="36"/>
  <c r="AS40" i="8"/>
  <c r="AS17" i="49"/>
  <c r="AS18" i="49" s="1"/>
  <c r="AS12" i="36"/>
  <c r="AV39" i="59" s="1"/>
  <c r="AO40" i="8"/>
  <c r="AO17" i="49"/>
  <c r="AO18" i="49" s="1"/>
  <c r="AO12" i="36"/>
  <c r="AR39" i="59" s="1"/>
  <c r="AO8" i="49"/>
  <c r="AO25" i="8"/>
  <c r="AO38" i="8"/>
  <c r="AO10" i="36"/>
  <c r="AI12" i="36"/>
  <c r="AL39" i="59" s="1"/>
  <c r="AI40" i="8"/>
  <c r="AI17" i="49"/>
  <c r="AI18" i="49" s="1"/>
  <c r="AI10" i="36"/>
  <c r="AI25" i="8"/>
  <c r="AI38" i="8"/>
  <c r="AI8" i="49"/>
  <c r="AE10" i="36"/>
  <c r="AE8" i="49"/>
  <c r="AE38" i="8"/>
  <c r="AE25" i="8"/>
  <c r="AE12" i="36"/>
  <c r="AH39" i="59" s="1"/>
  <c r="AE40" i="8"/>
  <c r="AE17" i="49"/>
  <c r="AE18" i="49" s="1"/>
  <c r="AB37" i="59"/>
  <c r="Y12" i="49"/>
  <c r="Y14" i="49" s="1"/>
  <c r="Y15" i="49" s="1"/>
  <c r="Y16" i="49" s="1"/>
  <c r="Y19" i="49" s="1"/>
  <c r="Y20" i="49" s="1"/>
  <c r="Y15" i="36" s="1"/>
  <c r="AA63" i="8"/>
  <c r="AE63" i="8" s="1"/>
  <c r="AI63" i="8" s="1"/>
  <c r="AO63" i="8" s="1"/>
  <c r="AS63" i="8" s="1"/>
  <c r="AW63" i="8" s="1"/>
  <c r="BE63" i="8" s="1"/>
  <c r="U38" i="8"/>
  <c r="U10" i="36"/>
  <c r="U8" i="49"/>
  <c r="Q8" i="49"/>
  <c r="Q38" i="8"/>
  <c r="Q24" i="8"/>
  <c r="U24" i="8" s="1"/>
  <c r="M17" i="49"/>
  <c r="M18" i="49" s="1"/>
  <c r="Q23" i="8"/>
  <c r="U23" i="8" s="1"/>
  <c r="M9" i="49"/>
  <c r="Q63" i="8"/>
  <c r="U63" i="8" s="1"/>
  <c r="M10" i="49"/>
  <c r="E10" i="49"/>
  <c r="E12" i="49" s="1"/>
  <c r="E14" i="49" s="1"/>
  <c r="E15" i="49" s="1"/>
  <c r="E16" i="49" s="1"/>
  <c r="E19" i="49" s="1"/>
  <c r="E20" i="49" s="1"/>
  <c r="I39" i="8"/>
  <c r="I9" i="49"/>
  <c r="I40" i="8"/>
  <c r="AB40" i="59"/>
  <c r="Y70" i="8"/>
  <c r="I11" i="36"/>
  <c r="L38" i="59" s="1"/>
  <c r="I10" i="36"/>
  <c r="L37" i="59" s="1"/>
  <c r="I12" i="36"/>
  <c r="L39" i="59" s="1"/>
  <c r="I63" i="8"/>
  <c r="I10" i="49" s="1"/>
  <c r="E33" i="8"/>
  <c r="M33" i="8" s="1"/>
  <c r="AA33" i="8" s="1"/>
  <c r="AE33" i="8" s="1"/>
  <c r="AI33" i="8" s="1"/>
  <c r="AO33" i="8" s="1"/>
  <c r="AS33" i="8" s="1"/>
  <c r="AW33" i="8" s="1"/>
  <c r="BE33" i="8" s="1"/>
  <c r="I25" i="8"/>
  <c r="I38" i="8"/>
  <c r="BE70" i="8" l="1"/>
  <c r="BE10" i="49"/>
  <c r="BE12" i="49" s="1"/>
  <c r="BE14" i="49" s="1"/>
  <c r="BE15" i="49" s="1"/>
  <c r="BE16" i="49" s="1"/>
  <c r="AZ37" i="59"/>
  <c r="AW13" i="36"/>
  <c r="AZ40" i="59" s="1"/>
  <c r="AW41" i="8"/>
  <c r="AW70" i="8"/>
  <c r="AW10" i="49"/>
  <c r="AW12" i="49" s="1"/>
  <c r="AW14" i="49" s="1"/>
  <c r="AO41" i="8"/>
  <c r="AV37" i="59"/>
  <c r="AS13" i="36"/>
  <c r="AV40" i="59" s="1"/>
  <c r="AS70" i="8"/>
  <c r="AS10" i="49"/>
  <c r="AS12" i="49" s="1"/>
  <c r="AS14" i="49" s="1"/>
  <c r="AS41" i="8"/>
  <c r="AO70" i="8"/>
  <c r="AO10" i="49"/>
  <c r="AO12" i="49" s="1"/>
  <c r="AO14" i="49" s="1"/>
  <c r="AO15" i="49" s="1"/>
  <c r="AI41" i="8"/>
  <c r="AR37" i="59"/>
  <c r="AO13" i="36"/>
  <c r="AR40" i="59" s="1"/>
  <c r="AI70" i="8"/>
  <c r="AI10" i="49"/>
  <c r="AI12" i="49" s="1"/>
  <c r="AI14" i="49" s="1"/>
  <c r="AI13" i="36"/>
  <c r="AL40" i="59" s="1"/>
  <c r="AL37" i="59"/>
  <c r="AE41" i="8"/>
  <c r="AE13" i="36"/>
  <c r="AH40" i="59" s="1"/>
  <c r="AH37" i="59"/>
  <c r="AE70" i="8"/>
  <c r="AE10" i="49"/>
  <c r="AE12" i="49" s="1"/>
  <c r="AE14" i="49" s="1"/>
  <c r="U70" i="8"/>
  <c r="AB46" i="59"/>
  <c r="Y73" i="8"/>
  <c r="U25" i="8"/>
  <c r="U40" i="8"/>
  <c r="U12" i="36"/>
  <c r="U17" i="49"/>
  <c r="U18" i="49" s="1"/>
  <c r="U39" i="8"/>
  <c r="U11" i="36"/>
  <c r="U9" i="49"/>
  <c r="U10" i="49"/>
  <c r="M12" i="49"/>
  <c r="M14" i="49" s="1"/>
  <c r="M15" i="49" s="1"/>
  <c r="M16" i="49" s="1"/>
  <c r="M19" i="49" s="1"/>
  <c r="M20" i="49" s="1"/>
  <c r="M15" i="36" s="1"/>
  <c r="P46" i="59" s="1"/>
  <c r="Q39" i="8"/>
  <c r="Q9" i="49"/>
  <c r="Q17" i="49"/>
  <c r="Q18" i="49" s="1"/>
  <c r="Q40" i="8"/>
  <c r="Q70" i="8"/>
  <c r="Q10" i="49"/>
  <c r="Q25" i="8"/>
  <c r="I41" i="8"/>
  <c r="I33" i="8"/>
  <c r="Q33" i="8"/>
  <c r="U33" i="8" s="1"/>
  <c r="I12" i="49"/>
  <c r="I14" i="49" s="1"/>
  <c r="I15" i="49" s="1"/>
  <c r="I16" i="49" s="1"/>
  <c r="I19" i="49" s="1"/>
  <c r="I20" i="49" s="1"/>
  <c r="M40" i="8"/>
  <c r="M39" i="8"/>
  <c r="M11" i="36"/>
  <c r="P38" i="59" s="1"/>
  <c r="M12" i="36"/>
  <c r="P39" i="59" s="1"/>
  <c r="I13" i="36"/>
  <c r="L40" i="59" s="1"/>
  <c r="Q11" i="36"/>
  <c r="T38" i="59" s="1"/>
  <c r="I70" i="8"/>
  <c r="M10" i="36"/>
  <c r="P37" i="59" s="1"/>
  <c r="M38" i="8"/>
  <c r="M25" i="8"/>
  <c r="X37" i="59"/>
  <c r="AO16" i="49" l="1"/>
  <c r="AO19" i="49" s="1"/>
  <c r="AO20" i="49" s="1"/>
  <c r="AO15" i="36" s="1"/>
  <c r="AS15" i="36" s="1"/>
  <c r="AW15" i="36" s="1"/>
  <c r="AS15" i="49"/>
  <c r="Q41" i="8"/>
  <c r="U41" i="8"/>
  <c r="U13" i="36"/>
  <c r="U12" i="49"/>
  <c r="U14" i="49" s="1"/>
  <c r="Q12" i="49"/>
  <c r="Q14" i="49" s="1"/>
  <c r="Q15" i="49" s="1"/>
  <c r="X38" i="59"/>
  <c r="X39" i="59"/>
  <c r="M41" i="8"/>
  <c r="Q12" i="36"/>
  <c r="T39" i="59" s="1"/>
  <c r="M13" i="36"/>
  <c r="P40" i="59" s="1"/>
  <c r="Q10" i="36"/>
  <c r="T37" i="59" s="1"/>
  <c r="I15" i="36"/>
  <c r="L46" i="59" s="1"/>
  <c r="AA17" i="49"/>
  <c r="AA18" i="49" s="1"/>
  <c r="AS16" i="49" l="1"/>
  <c r="AS19" i="49" s="1"/>
  <c r="AS20" i="49" s="1"/>
  <c r="AW15" i="49"/>
  <c r="AW73" i="8"/>
  <c r="AZ46" i="59"/>
  <c r="AS73" i="8"/>
  <c r="AV46" i="59"/>
  <c r="AO73" i="8"/>
  <c r="AR46" i="59"/>
  <c r="Q16" i="49"/>
  <c r="Q19" i="49" s="1"/>
  <c r="Q20" i="49" s="1"/>
  <c r="U15" i="49"/>
  <c r="U16" i="49" s="1"/>
  <c r="U19" i="49" s="1"/>
  <c r="U20" i="49" s="1"/>
  <c r="AA11" i="36"/>
  <c r="AD38" i="59" s="1"/>
  <c r="AA12" i="36"/>
  <c r="AD39" i="59" s="1"/>
  <c r="X40" i="59"/>
  <c r="AA9" i="49"/>
  <c r="I73" i="8"/>
  <c r="Q13" i="36"/>
  <c r="T40" i="59" s="1"/>
  <c r="AA40" i="8"/>
  <c r="AA39" i="8"/>
  <c r="AW16" i="49" l="1"/>
  <c r="AW19" i="49" s="1"/>
  <c r="AW20" i="49" s="1"/>
  <c r="BE19" i="49"/>
  <c r="BE20" i="49" s="1"/>
  <c r="AA10" i="36"/>
  <c r="AA13" i="36" s="1"/>
  <c r="AD40" i="59" s="1"/>
  <c r="AA15" i="36"/>
  <c r="AE15" i="36" s="1"/>
  <c r="AI15" i="36" s="1"/>
  <c r="AA8" i="49"/>
  <c r="Q15" i="36"/>
  <c r="U15" i="36" s="1"/>
  <c r="U73" i="8" s="1"/>
  <c r="M73" i="8"/>
  <c r="AA38" i="8"/>
  <c r="AA41" i="8" s="1"/>
  <c r="AA25" i="8"/>
  <c r="BA73" i="8" l="1"/>
  <c r="BE15" i="36"/>
  <c r="BH46" i="59" s="1"/>
  <c r="AD37" i="59"/>
  <c r="AD46" i="59"/>
  <c r="T46" i="59"/>
  <c r="Q73" i="8"/>
  <c r="AA70" i="8"/>
  <c r="AA10" i="49"/>
  <c r="AA12" i="49" s="1"/>
  <c r="AA14" i="49" s="1"/>
  <c r="AA15" i="49" s="1"/>
  <c r="AE73" i="8" l="1"/>
  <c r="AH46" i="59"/>
  <c r="AA16" i="49"/>
  <c r="AA19" i="49" s="1"/>
  <c r="AA20" i="49" s="1"/>
  <c r="AE15" i="49"/>
  <c r="X46" i="59"/>
  <c r="AA73" i="8"/>
  <c r="AE16" i="49" l="1"/>
  <c r="AE19" i="49" s="1"/>
  <c r="AE20" i="49" s="1"/>
  <c r="AI15" i="49"/>
  <c r="AI16" i="49" s="1"/>
  <c r="AI19" i="49" s="1"/>
  <c r="AI20" i="49" s="1"/>
  <c r="AI73" i="8"/>
  <c r="AL46" i="59"/>
  <c r="H43" i="17" l="1"/>
  <c r="P43" i="17" s="1"/>
  <c r="P44" i="17" l="1"/>
  <c r="P50" i="17" s="1"/>
  <c r="T43" i="17"/>
  <c r="P49" i="17"/>
  <c r="BE73" i="8"/>
  <c r="L44" i="17"/>
  <c r="L50" i="17" s="1"/>
  <c r="L49" i="17"/>
  <c r="BE13" i="36"/>
  <c r="H49" i="17"/>
  <c r="H44" i="17"/>
  <c r="H50" i="17" s="1"/>
  <c r="T49" i="17" l="1"/>
  <c r="T44" i="17"/>
  <c r="T50" i="17" s="1"/>
  <c r="P53" i="17"/>
  <c r="P110" i="17"/>
  <c r="P114" i="17" s="1"/>
  <c r="P54" i="17"/>
  <c r="P111" i="17"/>
  <c r="P115" i="17" s="1"/>
  <c r="L53" i="17"/>
  <c r="L110" i="17"/>
  <c r="L114" i="17" s="1"/>
  <c r="L111" i="17"/>
  <c r="L115" i="17" s="1"/>
  <c r="L54" i="17"/>
  <c r="H54" i="17"/>
  <c r="H111" i="17"/>
  <c r="H115" i="17" s="1"/>
  <c r="H110" i="17"/>
  <c r="H114" i="17" s="1"/>
  <c r="H53" i="17"/>
  <c r="T54" i="17" l="1"/>
  <c r="T111" i="17"/>
  <c r="T115" i="17" s="1"/>
  <c r="T53" i="17"/>
  <c r="T110" i="17"/>
  <c r="T114" i="17" s="1"/>
  <c r="Z44" i="17" l="1"/>
  <c r="Z49" i="17"/>
  <c r="Z110" i="17" s="1"/>
  <c r="Z114" i="17" s="1"/>
  <c r="Z50" i="17" l="1"/>
  <c r="Z111" i="17" s="1"/>
  <c r="Z115" i="17" s="1"/>
  <c r="Z53" i="17"/>
  <c r="Z54" i="17" l="1"/>
  <c r="H15" i="15" l="1"/>
  <c r="J156" i="6" l="1"/>
  <c r="F157" i="6"/>
  <c r="J157" i="6" l="1"/>
  <c r="J158" i="6"/>
  <c r="N157" i="6" l="1"/>
  <c r="AB158" i="6" l="1"/>
  <c r="AF158" i="6" s="1"/>
  <c r="AJ158" i="6" s="1"/>
  <c r="AP158" i="6" s="1"/>
  <c r="AT158" i="6" s="1"/>
  <c r="AB157" i="6"/>
  <c r="Z156" i="10" l="1"/>
  <c r="AA59" i="59"/>
  <c r="X21" i="36"/>
  <c r="AA57" i="59" s="1"/>
  <c r="Z149" i="10" l="1"/>
  <c r="Z157" i="10"/>
  <c r="Z158" i="10" s="1"/>
  <c r="Z143" i="10"/>
  <c r="AC59" i="59" s="1"/>
  <c r="Z160" i="10"/>
  <c r="AB162" i="10" l="1"/>
  <c r="AC57" i="59"/>
  <c r="AB157" i="10"/>
  <c r="AB149" i="10"/>
  <c r="AB156" i="10"/>
  <c r="AB158" i="10" l="1"/>
  <c r="AB160" i="10"/>
  <c r="AB143" i="10"/>
  <c r="AE59" i="59" l="1"/>
  <c r="AE57" i="59"/>
  <c r="AB21" i="36"/>
  <c r="J385" i="28" l="1"/>
  <c r="J387" i="28"/>
  <c r="J364" i="28"/>
  <c r="J391" i="28"/>
  <c r="J390" i="28"/>
  <c r="J56" i="28" l="1"/>
  <c r="G67" i="50" l="1"/>
  <c r="G80" i="50" l="1"/>
  <c r="K90" i="50"/>
  <c r="G90" i="50"/>
  <c r="G111" i="50"/>
  <c r="G113" i="50" l="1"/>
  <c r="B114" i="50" s="1"/>
  <c r="O90" i="50"/>
  <c r="G112" i="50"/>
  <c r="G81" i="50"/>
  <c r="K81" i="50"/>
  <c r="AK90" i="50" l="1"/>
  <c r="AG90" i="50"/>
  <c r="W81" i="50"/>
  <c r="S90" i="50"/>
  <c r="O81" i="50"/>
  <c r="X20" i="26"/>
  <c r="Y159" i="6" s="1"/>
  <c r="P20" i="26"/>
  <c r="O159" i="6"/>
  <c r="AK81" i="50" l="1"/>
  <c r="AQ90" i="50"/>
  <c r="W90" i="50"/>
  <c r="AC81" i="50"/>
  <c r="AG81" i="50"/>
  <c r="S81" i="50"/>
  <c r="Q159" i="6"/>
  <c r="T20" i="26"/>
  <c r="Z20" i="26"/>
  <c r="AD20" i="26" s="1"/>
  <c r="AH20" i="26" s="1"/>
  <c r="AN20" i="26" s="1"/>
  <c r="AU90" i="50" l="1"/>
  <c r="AQ81" i="50"/>
  <c r="AR20" i="26"/>
  <c r="AO159" i="6"/>
  <c r="AI159" i="6"/>
  <c r="AE159" i="6"/>
  <c r="U159" i="6"/>
  <c r="AA159" i="6"/>
  <c r="AU81" i="50" l="1"/>
  <c r="AY90" i="50"/>
  <c r="AS159" i="6"/>
  <c r="AV20" i="26"/>
  <c r="BD20" i="26" s="1"/>
  <c r="O184" i="6"/>
  <c r="P22" i="26"/>
  <c r="X22" i="26"/>
  <c r="AY81" i="50" l="1"/>
  <c r="BG48" i="50"/>
  <c r="BG67" i="50" s="1"/>
  <c r="AW159" i="6"/>
  <c r="Q184" i="6"/>
  <c r="T22" i="26"/>
  <c r="Z22" i="26"/>
  <c r="AD22" i="26" s="1"/>
  <c r="AH22" i="26" s="1"/>
  <c r="AN22" i="26" s="1"/>
  <c r="Y184" i="6"/>
  <c r="BG111" i="50" l="1"/>
  <c r="BG80" i="50"/>
  <c r="BG81" i="50" s="1"/>
  <c r="BG90" i="50"/>
  <c r="AR22" i="26"/>
  <c r="AO184" i="6"/>
  <c r="AI184" i="6"/>
  <c r="AE184" i="6"/>
  <c r="U184" i="6"/>
  <c r="AA184" i="6"/>
  <c r="BG112" i="50" l="1"/>
  <c r="BG113" i="50"/>
  <c r="AS184" i="6"/>
  <c r="AV22" i="26"/>
  <c r="BD22" i="26" s="1"/>
  <c r="P24" i="26"/>
  <c r="T24" i="26" s="1"/>
  <c r="O82" i="8"/>
  <c r="X24" i="26"/>
  <c r="AW184" i="6" l="1"/>
  <c r="Q82" i="8"/>
  <c r="U82" i="8" s="1"/>
  <c r="Y82" i="8"/>
  <c r="AA82" i="8" s="1"/>
  <c r="AE82" i="8" s="1"/>
  <c r="AI82" i="8" s="1"/>
  <c r="AO82" i="8" s="1"/>
  <c r="AS82" i="8" s="1"/>
  <c r="AW82" i="8" s="1"/>
  <c r="Z24" i="26"/>
  <c r="AD24" i="26" s="1"/>
  <c r="AH24" i="26" s="1"/>
  <c r="AN24" i="26" s="1"/>
  <c r="AR24" i="26" s="1"/>
  <c r="AV24" i="26" s="1"/>
  <c r="BD24" i="26" s="1"/>
  <c r="P26" i="26" l="1"/>
  <c r="T26" i="26" s="1"/>
  <c r="X26" i="26"/>
  <c r="N25" i="17"/>
  <c r="X25" i="17" s="1"/>
  <c r="Z25" i="17" s="1"/>
  <c r="AD25" i="17" s="1"/>
  <c r="AD32" i="17" l="1"/>
  <c r="AH25" i="17"/>
  <c r="P25" i="17"/>
  <c r="T25" i="17" s="1"/>
  <c r="X32" i="17"/>
  <c r="N32" i="17"/>
  <c r="Z26" i="26"/>
  <c r="AD26" i="26" s="1"/>
  <c r="AH26" i="26" s="1"/>
  <c r="AN26" i="26" s="1"/>
  <c r="AR26" i="26" s="1"/>
  <c r="AV26" i="26" s="1"/>
  <c r="BD26" i="26" s="1"/>
  <c r="AH32" i="17" l="1"/>
  <c r="AN25" i="17"/>
  <c r="P32" i="17"/>
  <c r="T32" i="17"/>
  <c r="AN32" i="17" l="1"/>
  <c r="AR25" i="17"/>
  <c r="Z32" i="17"/>
  <c r="AR32" i="17" l="1"/>
  <c r="AV25" i="17"/>
  <c r="P28" i="26"/>
  <c r="T28" i="26" s="1"/>
  <c r="X28" i="26"/>
  <c r="AV32" i="17" l="1"/>
  <c r="BD25" i="17"/>
  <c r="BD32" i="17" s="1"/>
  <c r="Z28" i="26"/>
  <c r="AD28" i="26" s="1"/>
  <c r="X82" i="17"/>
  <c r="P82" i="17"/>
  <c r="T82" i="17"/>
  <c r="Z82" i="17"/>
  <c r="AH28" i="26" l="1"/>
  <c r="AD82" i="17"/>
  <c r="P30" i="26"/>
  <c r="T30" i="26" s="1"/>
  <c r="X30" i="26"/>
  <c r="Z30" i="26" s="1"/>
  <c r="AD30" i="26" s="1"/>
  <c r="AH30" i="26" s="1"/>
  <c r="AN30" i="26" s="1"/>
  <c r="AR30" i="26" s="1"/>
  <c r="AV30" i="26" s="1"/>
  <c r="BD30" i="26" s="1"/>
  <c r="AH82" i="17" l="1"/>
  <c r="AN28" i="26"/>
  <c r="P32" i="26"/>
  <c r="T32" i="26" s="1"/>
  <c r="X32" i="26"/>
  <c r="O97" i="9"/>
  <c r="Y97" i="9" s="1"/>
  <c r="AA97" i="9" s="1"/>
  <c r="AE97" i="9" s="1"/>
  <c r="AI97" i="9" s="1"/>
  <c r="AO97" i="9" s="1"/>
  <c r="AS97" i="9" s="1"/>
  <c r="AW97" i="9" s="1"/>
  <c r="BE97" i="9" s="1"/>
  <c r="AR28" i="26" l="1"/>
  <c r="AN82" i="17"/>
  <c r="Z32" i="26"/>
  <c r="AD32" i="26" s="1"/>
  <c r="AH32" i="26" s="1"/>
  <c r="AN32" i="26" s="1"/>
  <c r="AR32" i="26" s="1"/>
  <c r="AV32" i="26" s="1"/>
  <c r="BD32" i="26" s="1"/>
  <c r="Q97" i="9"/>
  <c r="U97" i="9" s="1"/>
  <c r="AR82" i="17" l="1"/>
  <c r="AV28" i="26"/>
  <c r="P34" i="26"/>
  <c r="T34" i="26" s="1"/>
  <c r="O140" i="10"/>
  <c r="Y140" i="10" s="1"/>
  <c r="AA140" i="10" s="1"/>
  <c r="AE140" i="10" s="1"/>
  <c r="AI140" i="10" s="1"/>
  <c r="AO140" i="10" s="1"/>
  <c r="AS140" i="10" s="1"/>
  <c r="AW140" i="10" s="1"/>
  <c r="BE140" i="10" s="1"/>
  <c r="X34" i="26"/>
  <c r="Z34" i="26" s="1"/>
  <c r="AD34" i="26" s="1"/>
  <c r="AH34" i="26" s="1"/>
  <c r="AN34" i="26" s="1"/>
  <c r="AR34" i="26" s="1"/>
  <c r="AV34" i="26" s="1"/>
  <c r="BD34" i="26" s="1"/>
  <c r="AV82" i="17" l="1"/>
  <c r="BD28" i="26"/>
  <c r="Q140" i="10"/>
  <c r="U140" i="10" s="1"/>
  <c r="P36" i="26" l="1"/>
  <c r="T36" i="26" s="1"/>
  <c r="O68" i="11"/>
  <c r="Y68" i="11" s="1"/>
  <c r="AA68" i="11" s="1"/>
  <c r="AE68" i="11" s="1"/>
  <c r="AI68" i="11" s="1"/>
  <c r="AO68" i="11" s="1"/>
  <c r="AS68" i="11" s="1"/>
  <c r="AW68" i="11" s="1"/>
  <c r="BE68" i="11" s="1"/>
  <c r="X36" i="26"/>
  <c r="Z36" i="26" s="1"/>
  <c r="AD36" i="26" s="1"/>
  <c r="AH36" i="26" s="1"/>
  <c r="AN36" i="26" s="1"/>
  <c r="AR36" i="26" s="1"/>
  <c r="AV36" i="26" s="1"/>
  <c r="BD36" i="26" s="1"/>
  <c r="Q68" i="11" l="1"/>
  <c r="U68" i="11" s="1"/>
  <c r="P38" i="26" l="1"/>
  <c r="T38" i="26" s="1"/>
  <c r="X38" i="26"/>
  <c r="Z38" i="26" s="1"/>
  <c r="AD38" i="26" s="1"/>
  <c r="AH38" i="26" s="1"/>
  <c r="AN38" i="26" s="1"/>
  <c r="AR38" i="26" s="1"/>
  <c r="AV38" i="26" s="1"/>
  <c r="BD38" i="26" s="1"/>
  <c r="P89" i="45"/>
  <c r="R89" i="45" s="1"/>
  <c r="V89" i="45" s="1"/>
  <c r="Z89" i="45" l="1"/>
  <c r="AB89" i="45" s="1"/>
  <c r="AF89" i="45" s="1"/>
  <c r="AJ89" i="45" s="1"/>
  <c r="AP89" i="45" s="1"/>
  <c r="AT89" i="45" l="1"/>
  <c r="AX89" i="45" s="1"/>
  <c r="BF89" i="45" s="1"/>
  <c r="O78" i="7"/>
  <c r="Y78" i="7" s="1"/>
  <c r="X42" i="26"/>
  <c r="X44" i="26" s="1"/>
  <c r="P42" i="26"/>
  <c r="Q78" i="7" l="1"/>
  <c r="T42" i="26"/>
  <c r="U78" i="7" s="1"/>
  <c r="Z42" i="26"/>
  <c r="AD42" i="26" s="1"/>
  <c r="AH42" i="26" s="1"/>
  <c r="AN42" i="26" s="1"/>
  <c r="P44" i="26"/>
  <c r="AN44" i="26" l="1"/>
  <c r="AR42" i="26"/>
  <c r="AV42" i="26" s="1"/>
  <c r="BD42" i="26" s="1"/>
  <c r="AO78" i="7"/>
  <c r="AI78" i="7"/>
  <c r="AH44" i="26"/>
  <c r="AE78" i="7"/>
  <c r="AD44" i="26"/>
  <c r="Z44" i="26"/>
  <c r="AA78" i="7"/>
  <c r="T44" i="26"/>
  <c r="BE78" i="7" l="1"/>
  <c r="BD44" i="26"/>
  <c r="AW78" i="7"/>
  <c r="AV44" i="26"/>
  <c r="AR44" i="26"/>
  <c r="AS78" i="7"/>
  <c r="Y79" i="8"/>
  <c r="M80" i="8"/>
  <c r="I79" i="8"/>
  <c r="I80" i="8" s="1"/>
  <c r="Y80" i="8" l="1"/>
  <c r="AA79" i="8"/>
  <c r="AE79" i="8" s="1"/>
  <c r="Q79" i="8"/>
  <c r="U79" i="8" s="1"/>
  <c r="U80" i="8" s="1"/>
  <c r="AE80" i="8" l="1"/>
  <c r="AI79" i="8"/>
  <c r="Q80" i="8"/>
  <c r="AI80" i="8" l="1"/>
  <c r="AO79" i="8"/>
  <c r="AA80" i="8"/>
  <c r="AO80" i="8" l="1"/>
  <c r="AS79" i="8"/>
  <c r="E23" i="39"/>
  <c r="AS80" i="8" l="1"/>
  <c r="AW79" i="8"/>
  <c r="I23" i="39"/>
  <c r="M23" i="39"/>
  <c r="AA23" i="39" s="1"/>
  <c r="AE23" i="39" s="1"/>
  <c r="AI23" i="39" s="1"/>
  <c r="AO23" i="39" s="1"/>
  <c r="AS23" i="39" s="1"/>
  <c r="AW23" i="39" s="1"/>
  <c r="BE23" i="39" s="1"/>
  <c r="AW80" i="8" l="1"/>
  <c r="BE79" i="8"/>
  <c r="BE80" i="8" s="1"/>
  <c r="Q23" i="39"/>
  <c r="U23" i="39" s="1"/>
  <c r="W46" i="7" l="1"/>
  <c r="Y46" i="7"/>
  <c r="AA46" i="7" l="1"/>
  <c r="X5" i="36" l="1"/>
  <c r="Z14" i="35"/>
  <c r="Z13" i="35"/>
  <c r="AB13" i="35" s="1"/>
  <c r="AF13" i="35" s="1"/>
  <c r="AJ13" i="35" s="1"/>
  <c r="X191" i="6"/>
  <c r="X19" i="6"/>
  <c r="X33" i="6" s="1"/>
  <c r="X37" i="6" s="1"/>
  <c r="AB14" i="35" l="1"/>
  <c r="Z5" i="36"/>
  <c r="Z13" i="49" s="1"/>
  <c r="Z14" i="49" s="1"/>
  <c r="Z15" i="49" s="1"/>
  <c r="Z16" i="49" s="1"/>
  <c r="Z19" i="49" s="1"/>
  <c r="Z20" i="49" s="1"/>
  <c r="Z15" i="36" s="1"/>
  <c r="AA6" i="59"/>
  <c r="X13" i="49"/>
  <c r="X14" i="49" s="1"/>
  <c r="X15" i="49" s="1"/>
  <c r="X16" i="49" s="1"/>
  <c r="X19" i="49" s="1"/>
  <c r="X20" i="49" s="1"/>
  <c r="X15" i="36" s="1"/>
  <c r="Z18" i="6"/>
  <c r="Z178" i="6" s="1"/>
  <c r="AC26" i="59" s="1"/>
  <c r="X30" i="6"/>
  <c r="Z30" i="6" s="1"/>
  <c r="AB30" i="6" s="1"/>
  <c r="AF30" i="6" s="1"/>
  <c r="AJ30" i="6" s="1"/>
  <c r="AP30" i="6" s="1"/>
  <c r="AT30" i="6" s="1"/>
  <c r="AX30" i="6" s="1"/>
  <c r="BF30" i="6" s="1"/>
  <c r="X29" i="6"/>
  <c r="Z17" i="6"/>
  <c r="Z150" i="6" s="1"/>
  <c r="Z15" i="35"/>
  <c r="AB5" i="36" l="1"/>
  <c r="AF14" i="35"/>
  <c r="AJ14" i="35" s="1"/>
  <c r="AB15" i="35"/>
  <c r="Z151" i="6"/>
  <c r="AC17" i="59" s="1"/>
  <c r="Z176" i="6"/>
  <c r="AC24" i="59" s="1"/>
  <c r="Z152" i="6"/>
  <c r="AC18" i="59" s="1"/>
  <c r="AC6" i="59"/>
  <c r="Z149" i="6"/>
  <c r="AB18" i="6"/>
  <c r="AF18" i="6" s="1"/>
  <c r="AJ18" i="6" s="1"/>
  <c r="Z179" i="6"/>
  <c r="AC27" i="59" s="1"/>
  <c r="Z177" i="6"/>
  <c r="AC25" i="59" s="1"/>
  <c r="AB13" i="49"/>
  <c r="AB14" i="49" s="1"/>
  <c r="AB15" i="49" s="1"/>
  <c r="AB16" i="49" s="1"/>
  <c r="AB19" i="49" s="1"/>
  <c r="AB20" i="49" s="1"/>
  <c r="AB15" i="36" s="1"/>
  <c r="AE6" i="59"/>
  <c r="Z19" i="6"/>
  <c r="Z33" i="6" s="1"/>
  <c r="Z37" i="6" s="1"/>
  <c r="AB17" i="6"/>
  <c r="AF17" i="6" s="1"/>
  <c r="AJ17" i="6" s="1"/>
  <c r="Z153" i="6"/>
  <c r="AC19" i="59" s="1"/>
  <c r="Z175" i="6"/>
  <c r="AA46" i="59"/>
  <c r="X73" i="8"/>
  <c r="X31" i="6"/>
  <c r="Z29" i="6"/>
  <c r="Z154" i="6"/>
  <c r="AC20" i="59" s="1"/>
  <c r="Z174" i="6"/>
  <c r="AP17" i="6" l="1"/>
  <c r="AT17" i="6" s="1"/>
  <c r="AX17" i="6" s="1"/>
  <c r="BF17" i="6" s="1"/>
  <c r="AP18" i="6"/>
  <c r="AT18" i="6" s="1"/>
  <c r="AX18" i="6" s="1"/>
  <c r="BF18" i="6" s="1"/>
  <c r="AJ19" i="6"/>
  <c r="AJ33" i="6" s="1"/>
  <c r="AJ37" i="6" s="1"/>
  <c r="AJ5" i="36"/>
  <c r="AJ15" i="35"/>
  <c r="AF19" i="6"/>
  <c r="AF33" i="6" s="1"/>
  <c r="AF37" i="6" s="1"/>
  <c r="AF5" i="36"/>
  <c r="AF15" i="35"/>
  <c r="AB174" i="6"/>
  <c r="AF174" i="6" s="1"/>
  <c r="AJ174" i="6" s="1"/>
  <c r="AP174" i="6" s="1"/>
  <c r="AT174" i="6" s="1"/>
  <c r="AX174" i="6" s="1"/>
  <c r="BF174" i="6" s="1"/>
  <c r="AB152" i="6"/>
  <c r="AB153" i="6"/>
  <c r="AB150" i="6"/>
  <c r="AF150" i="6" s="1"/>
  <c r="AJ150" i="6" s="1"/>
  <c r="AB151" i="6"/>
  <c r="AB175" i="6"/>
  <c r="AF175" i="6" s="1"/>
  <c r="AJ175" i="6" s="1"/>
  <c r="AB29" i="6"/>
  <c r="AF29" i="6" s="1"/>
  <c r="Z31" i="6"/>
  <c r="AB19" i="6"/>
  <c r="AB33" i="6" s="1"/>
  <c r="AB37" i="6" s="1"/>
  <c r="AB149" i="6"/>
  <c r="AF149" i="6" s="1"/>
  <c r="AJ149" i="6" s="1"/>
  <c r="AP149" i="6" s="1"/>
  <c r="AB178" i="6"/>
  <c r="AF178" i="6" s="1"/>
  <c r="AB176" i="6"/>
  <c r="AF176" i="6" s="1"/>
  <c r="AB73" i="8"/>
  <c r="AE46" i="59"/>
  <c r="AB179" i="6"/>
  <c r="AF179" i="6" s="1"/>
  <c r="AB154" i="6"/>
  <c r="AF154" i="6" s="1"/>
  <c r="AB177" i="6"/>
  <c r="AF177" i="6" s="1"/>
  <c r="AI25" i="59" s="1"/>
  <c r="Z191" i="6"/>
  <c r="Z73" i="8"/>
  <c r="AC46" i="59"/>
  <c r="AP175" i="6" l="1"/>
  <c r="AT175" i="6" s="1"/>
  <c r="AX175" i="6" s="1"/>
  <c r="BF175" i="6" s="1"/>
  <c r="BF19" i="6"/>
  <c r="BF33" i="6" s="1"/>
  <c r="BF37" i="6" s="1"/>
  <c r="AX19" i="6"/>
  <c r="AX33" i="6" s="1"/>
  <c r="AX37" i="6" s="1"/>
  <c r="AT19" i="6"/>
  <c r="AT33" i="6" s="1"/>
  <c r="AT37" i="6" s="1"/>
  <c r="AP150" i="6"/>
  <c r="AT150" i="6" s="1"/>
  <c r="AX150" i="6" s="1"/>
  <c r="BF150" i="6" s="1"/>
  <c r="AP191" i="6"/>
  <c r="AT149" i="6"/>
  <c r="AP19" i="6"/>
  <c r="AP33" i="6" s="1"/>
  <c r="AP37" i="6" s="1"/>
  <c r="AI20" i="59"/>
  <c r="AJ154" i="6"/>
  <c r="AM6" i="59"/>
  <c r="AJ13" i="49"/>
  <c r="AJ14" i="49" s="1"/>
  <c r="AJ15" i="49" s="1"/>
  <c r="AJ16" i="49" s="1"/>
  <c r="AJ19" i="49" s="1"/>
  <c r="AJ20" i="49" s="1"/>
  <c r="AJ15" i="36" s="1"/>
  <c r="AI27" i="59"/>
  <c r="AJ179" i="6"/>
  <c r="AJ191" i="6"/>
  <c r="AJ177" i="6"/>
  <c r="AF31" i="6"/>
  <c r="AJ29" i="6"/>
  <c r="AI24" i="59"/>
  <c r="AJ176" i="6"/>
  <c r="AI26" i="59"/>
  <c r="AJ178" i="6"/>
  <c r="AM26" i="59" s="1"/>
  <c r="AF13" i="49"/>
  <c r="AF14" i="49" s="1"/>
  <c r="AF15" i="49" s="1"/>
  <c r="AF16" i="49" s="1"/>
  <c r="AF19" i="49" s="1"/>
  <c r="AF20" i="49" s="1"/>
  <c r="AF15" i="36" s="1"/>
  <c r="AI6" i="59"/>
  <c r="AF191" i="6"/>
  <c r="AE17" i="59"/>
  <c r="AF151" i="6"/>
  <c r="AE19" i="59"/>
  <c r="AF153" i="6"/>
  <c r="AE18" i="59"/>
  <c r="AF152" i="6"/>
  <c r="AE27" i="59"/>
  <c r="AE26" i="59"/>
  <c r="AB191" i="6"/>
  <c r="AB31" i="6"/>
  <c r="AE25" i="59"/>
  <c r="AE20" i="59"/>
  <c r="AE24" i="59"/>
  <c r="AT191" i="6" l="1"/>
  <c r="AX149" i="6"/>
  <c r="AM20" i="59"/>
  <c r="AP154" i="6"/>
  <c r="AM24" i="59"/>
  <c r="AP176" i="6"/>
  <c r="AM25" i="59"/>
  <c r="AP177" i="6"/>
  <c r="AM27" i="59"/>
  <c r="AP179" i="6"/>
  <c r="AJ31" i="6"/>
  <c r="AP29" i="6"/>
  <c r="AP178" i="6"/>
  <c r="AJ73" i="8"/>
  <c r="AM46" i="59"/>
  <c r="AI18" i="59"/>
  <c r="AJ152" i="6"/>
  <c r="AI19" i="59"/>
  <c r="AJ153" i="6"/>
  <c r="AI17" i="59"/>
  <c r="AJ151" i="6"/>
  <c r="AI46" i="59"/>
  <c r="AF73" i="8"/>
  <c r="AX191" i="6" l="1"/>
  <c r="BF149" i="6"/>
  <c r="BF191" i="6" s="1"/>
  <c r="AS27" i="59"/>
  <c r="AT179" i="6"/>
  <c r="AS24" i="59"/>
  <c r="AT176" i="6"/>
  <c r="AS26" i="59"/>
  <c r="AT178" i="6"/>
  <c r="AP31" i="6"/>
  <c r="AT29" i="6"/>
  <c r="AS25" i="59"/>
  <c r="AT177" i="6"/>
  <c r="AS20" i="59"/>
  <c r="AT154" i="6"/>
  <c r="AM18" i="59"/>
  <c r="AP152" i="6"/>
  <c r="AM19" i="59"/>
  <c r="AP153" i="6"/>
  <c r="AM17" i="59"/>
  <c r="AP151" i="6"/>
  <c r="AT31" i="6" l="1"/>
  <c r="AX29" i="6"/>
  <c r="AW26" i="59"/>
  <c r="AX178" i="6"/>
  <c r="AW25" i="59"/>
  <c r="AX177" i="6"/>
  <c r="AW24" i="59"/>
  <c r="AX176" i="6"/>
  <c r="AW27" i="59"/>
  <c r="AX179" i="6"/>
  <c r="AW20" i="59"/>
  <c r="AX154" i="6"/>
  <c r="AS17" i="59"/>
  <c r="AT151" i="6"/>
  <c r="AS19" i="59"/>
  <c r="AT153" i="6"/>
  <c r="AS18" i="59"/>
  <c r="AT152" i="6"/>
  <c r="BA20" i="59" l="1"/>
  <c r="BF154" i="6"/>
  <c r="BI20" i="59" s="1"/>
  <c r="BA25" i="59"/>
  <c r="BF177" i="6"/>
  <c r="BI25" i="59" s="1"/>
  <c r="BA27" i="59"/>
  <c r="BF179" i="6"/>
  <c r="BI27" i="59" s="1"/>
  <c r="AX31" i="6"/>
  <c r="BF29" i="6"/>
  <c r="BF31" i="6" s="1"/>
  <c r="BA26" i="59"/>
  <c r="BF178" i="6"/>
  <c r="BI26" i="59" s="1"/>
  <c r="BA24" i="59"/>
  <c r="BF176" i="6"/>
  <c r="BI24" i="59" s="1"/>
  <c r="AW19" i="59"/>
  <c r="AX153" i="6"/>
  <c r="AW18" i="59"/>
  <c r="AX152" i="6"/>
  <c r="AW17" i="59"/>
  <c r="AX151" i="6"/>
  <c r="AE184" i="73"/>
  <c r="X300" i="28"/>
  <c r="AI184" i="73" l="1"/>
  <c r="BA17" i="59"/>
  <c r="BF151" i="6"/>
  <c r="BI17" i="59" s="1"/>
  <c r="BA18" i="59"/>
  <c r="BF152" i="6"/>
  <c r="BI18" i="59" s="1"/>
  <c r="BA19" i="59"/>
  <c r="BF153" i="6"/>
  <c r="BI19" i="59" s="1"/>
  <c r="X383" i="28"/>
  <c r="Z300" i="28"/>
  <c r="X382" i="28"/>
  <c r="AO184" i="73" l="1"/>
  <c r="Z383" i="28"/>
  <c r="AB300" i="28"/>
  <c r="AF300" i="28" s="1"/>
  <c r="AJ300" i="28" s="1"/>
  <c r="AP300" i="28" s="1"/>
  <c r="AT300" i="28" s="1"/>
  <c r="AX300" i="28" s="1"/>
  <c r="BF300" i="28" s="1"/>
  <c r="Z382" i="28"/>
  <c r="AS184" i="73" l="1"/>
  <c r="BF382" i="28"/>
  <c r="BF383" i="28"/>
  <c r="AX383" i="28"/>
  <c r="AX382" i="28"/>
  <c r="AT382" i="28"/>
  <c r="AT383" i="28"/>
  <c r="AP382" i="28"/>
  <c r="AP383" i="28"/>
  <c r="AJ382" i="28"/>
  <c r="AJ383" i="28"/>
  <c r="AF382" i="28"/>
  <c r="AF383" i="28"/>
  <c r="AB382" i="28"/>
  <c r="AB383" i="28"/>
  <c r="AD70" i="77"/>
  <c r="AH70" i="77" s="1"/>
  <c r="AN70" i="77" s="1"/>
  <c r="AR70" i="77" s="1"/>
  <c r="AW184" i="73" l="1"/>
  <c r="BE184" i="73" s="1"/>
  <c r="AD71" i="77"/>
  <c r="AH71" i="77" l="1"/>
  <c r="AD113" i="77"/>
  <c r="I55" i="38"/>
  <c r="I65" i="38" s="1"/>
  <c r="I11" i="38"/>
  <c r="M11" i="38" s="1"/>
  <c r="M60" i="38" s="1"/>
  <c r="I9" i="38"/>
  <c r="M9" i="38" s="1"/>
  <c r="M58" i="38" s="1"/>
  <c r="I7" i="38"/>
  <c r="M7" i="38" s="1"/>
  <c r="M56" i="38" s="1"/>
  <c r="I10" i="38"/>
  <c r="M10" i="38" s="1"/>
  <c r="M59" i="38" s="1"/>
  <c r="I8" i="38"/>
  <c r="M8" i="38" s="1"/>
  <c r="M57" i="38" s="1"/>
  <c r="AN71" i="77" l="1"/>
  <c r="AH113" i="77"/>
  <c r="Q10" i="38"/>
  <c r="Q59" i="38" s="1"/>
  <c r="Q8" i="38"/>
  <c r="Q9" i="38"/>
  <c r="I6" i="38"/>
  <c r="AE10" i="38"/>
  <c r="AI10" i="38" s="1"/>
  <c r="AE8" i="38"/>
  <c r="AI8" i="38" s="1"/>
  <c r="Q7" i="38"/>
  <c r="Q11" i="38"/>
  <c r="Q60" i="38" s="1"/>
  <c r="AR71" i="77" l="1"/>
  <c r="AN113" i="77"/>
  <c r="U10" i="38"/>
  <c r="Y10" i="38" s="1"/>
  <c r="Y59" i="38" s="1"/>
  <c r="AI57" i="38"/>
  <c r="AM8" i="38"/>
  <c r="AI59" i="38"/>
  <c r="AM10" i="38"/>
  <c r="U8" i="38"/>
  <c r="Q57" i="38"/>
  <c r="AE7" i="38"/>
  <c r="AI7" i="38" s="1"/>
  <c r="Q56" i="38"/>
  <c r="U7" i="38"/>
  <c r="Q58" i="38"/>
  <c r="U9" i="38"/>
  <c r="AE9" i="38"/>
  <c r="AI9" i="38" s="1"/>
  <c r="AE11" i="38"/>
  <c r="U11" i="38"/>
  <c r="U60" i="38" s="1"/>
  <c r="AE59" i="38"/>
  <c r="I16" i="38"/>
  <c r="M6" i="38"/>
  <c r="M55" i="38" s="1"/>
  <c r="Q6" i="38"/>
  <c r="AE57" i="38"/>
  <c r="AR113" i="77" l="1"/>
  <c r="AV71" i="77"/>
  <c r="AV113" i="77" s="1"/>
  <c r="AI11" i="38"/>
  <c r="AI60" i="38" s="1"/>
  <c r="AE60" i="38"/>
  <c r="AM57" i="38"/>
  <c r="AS8" i="38"/>
  <c r="BG57" i="38" s="1"/>
  <c r="AM59" i="38"/>
  <c r="AS10" i="38"/>
  <c r="BG59" i="38" s="1"/>
  <c r="U59" i="38"/>
  <c r="AI58" i="38"/>
  <c r="AM9" i="38"/>
  <c r="AM11" i="38"/>
  <c r="AM60" i="38" s="1"/>
  <c r="AI56" i="38"/>
  <c r="AM7" i="38"/>
  <c r="Y8" i="38"/>
  <c r="Y57" i="38" s="1"/>
  <c r="U57" i="38"/>
  <c r="Y11" i="38"/>
  <c r="Y60" i="38" s="1"/>
  <c r="Q16" i="38"/>
  <c r="M16" i="38"/>
  <c r="M65" i="38" s="1"/>
  <c r="Y9" i="38"/>
  <c r="Y58" i="38" s="1"/>
  <c r="U58" i="38"/>
  <c r="Y7" i="38"/>
  <c r="Y56" i="38" s="1"/>
  <c r="U56" i="38"/>
  <c r="AE56" i="38"/>
  <c r="Q55" i="38"/>
  <c r="AE6" i="38"/>
  <c r="AI6" i="38" s="1"/>
  <c r="U6" i="38"/>
  <c r="AE58" i="38"/>
  <c r="AS59" i="38" l="1"/>
  <c r="AW10" i="38"/>
  <c r="AM56" i="38"/>
  <c r="AS7" i="38"/>
  <c r="AM58" i="38"/>
  <c r="AS9" i="38"/>
  <c r="BG58" i="38" s="1"/>
  <c r="AS11" i="38"/>
  <c r="AS57" i="38"/>
  <c r="AW8" i="38"/>
  <c r="AI55" i="38"/>
  <c r="AM6" i="38"/>
  <c r="Q65" i="38"/>
  <c r="AE16" i="38"/>
  <c r="AI16" i="38" s="1"/>
  <c r="U16" i="38"/>
  <c r="Y6" i="38"/>
  <c r="Y55" i="38" s="1"/>
  <c r="U55" i="38"/>
  <c r="AE55" i="38"/>
  <c r="BG60" i="38" l="1"/>
  <c r="AS60" i="38"/>
  <c r="AW59" i="38"/>
  <c r="BA10" i="38"/>
  <c r="AW57" i="38"/>
  <c r="BA8" i="38"/>
  <c r="AM55" i="38"/>
  <c r="AS6" i="38"/>
  <c r="AW11" i="38"/>
  <c r="AW60" i="38" s="1"/>
  <c r="AS56" i="38"/>
  <c r="AW7" i="38"/>
  <c r="AS58" i="38"/>
  <c r="AW9" i="38"/>
  <c r="AI65" i="38"/>
  <c r="AM16" i="38"/>
  <c r="Y16" i="38"/>
  <c r="Y65" i="38" s="1"/>
  <c r="U65" i="38"/>
  <c r="AE65" i="38"/>
  <c r="BA57" i="38" l="1"/>
  <c r="BI8" i="38"/>
  <c r="BI57" i="38" s="1"/>
  <c r="BA59" i="38"/>
  <c r="BI10" i="38"/>
  <c r="BI59" i="38" s="1"/>
  <c r="AW58" i="38"/>
  <c r="BA9" i="38"/>
  <c r="BA11" i="38"/>
  <c r="BA60" i="38" s="1"/>
  <c r="AW56" i="38"/>
  <c r="BA7" i="38"/>
  <c r="AS55" i="38"/>
  <c r="AW6" i="38"/>
  <c r="AM65" i="38"/>
  <c r="AS16" i="38"/>
  <c r="BA56" i="38" l="1"/>
  <c r="BI7" i="38"/>
  <c r="BI56" i="38" s="1"/>
  <c r="BI11" i="38"/>
  <c r="BI60" i="38" s="1"/>
  <c r="BA58" i="38"/>
  <c r="BI9" i="38"/>
  <c r="BI58" i="38" s="1"/>
  <c r="AW55" i="38"/>
  <c r="BA6" i="38"/>
  <c r="AS65" i="38"/>
  <c r="AW16" i="38"/>
  <c r="AP13" i="35"/>
  <c r="AL5" i="36"/>
  <c r="BA55" i="38" l="1"/>
  <c r="BI6" i="38"/>
  <c r="BI55" i="38" s="1"/>
  <c r="AT13" i="35"/>
  <c r="AX13" i="35" s="1"/>
  <c r="BF13" i="35" s="1"/>
  <c r="AW65" i="38"/>
  <c r="BA16" i="38"/>
  <c r="AN14" i="35"/>
  <c r="AP14" i="35"/>
  <c r="AL15" i="35"/>
  <c r="AO6" i="59"/>
  <c r="AL13" i="49"/>
  <c r="AL14" i="49" s="1"/>
  <c r="AL15" i="49" s="1"/>
  <c r="AL16" i="49" s="1"/>
  <c r="AL19" i="49" s="1"/>
  <c r="AL20" i="49" s="1"/>
  <c r="AL15" i="36" s="1"/>
  <c r="AN13" i="35"/>
  <c r="BD13" i="35" s="1"/>
  <c r="BA65" i="38" l="1"/>
  <c r="BI16" i="38"/>
  <c r="BI65" i="38" s="1"/>
  <c r="AN5" i="36"/>
  <c r="AN13" i="49" s="1"/>
  <c r="AN14" i="49" s="1"/>
  <c r="AN15" i="49" s="1"/>
  <c r="AN16" i="49" s="1"/>
  <c r="AN19" i="49" s="1"/>
  <c r="AN20" i="49" s="1"/>
  <c r="AN15" i="36" s="1"/>
  <c r="AQ46" i="59" s="1"/>
  <c r="BD14" i="35"/>
  <c r="BD5" i="36" s="1"/>
  <c r="BD15" i="35"/>
  <c r="AN15" i="35"/>
  <c r="AP15" i="35"/>
  <c r="AP5" i="36"/>
  <c r="AP13" i="49" s="1"/>
  <c r="AP14" i="49" s="1"/>
  <c r="AP15" i="49" s="1"/>
  <c r="AP16" i="49" s="1"/>
  <c r="AP19" i="49" s="1"/>
  <c r="AP20" i="49" s="1"/>
  <c r="AP15" i="36" s="1"/>
  <c r="AS46" i="59" s="1"/>
  <c r="AT14" i="35"/>
  <c r="AX14" i="35" s="1"/>
  <c r="BF14" i="35" s="1"/>
  <c r="AO46" i="59"/>
  <c r="AL73" i="8"/>
  <c r="BD13" i="49" l="1"/>
  <c r="BD14" i="49" s="1"/>
  <c r="BG6" i="59"/>
  <c r="AQ6" i="59"/>
  <c r="AN73" i="8"/>
  <c r="BD15" i="49"/>
  <c r="BD16" i="49" s="1"/>
  <c r="BD19" i="49" s="1"/>
  <c r="BD20" i="49" s="1"/>
  <c r="BD15" i="36" s="1"/>
  <c r="BF15" i="35"/>
  <c r="BF5" i="36"/>
  <c r="AX5" i="36"/>
  <c r="AX15" i="35"/>
  <c r="AP73" i="8"/>
  <c r="AS6" i="59"/>
  <c r="AT5" i="36"/>
  <c r="AT15" i="35"/>
  <c r="BF13" i="49" l="1"/>
  <c r="BF14" i="49" s="1"/>
  <c r="BI6" i="59"/>
  <c r="BD73" i="8"/>
  <c r="BG46" i="59"/>
  <c r="BF15" i="49"/>
  <c r="BF16" i="49" s="1"/>
  <c r="BF19" i="49" s="1"/>
  <c r="BF20" i="49" s="1"/>
  <c r="BF15" i="36" s="1"/>
  <c r="AX13" i="49"/>
  <c r="AX14" i="49" s="1"/>
  <c r="AX15" i="49" s="1"/>
  <c r="AX16" i="49" s="1"/>
  <c r="AX19" i="49" s="1"/>
  <c r="AX20" i="49" s="1"/>
  <c r="AX15" i="36" s="1"/>
  <c r="BA6" i="59"/>
  <c r="AT13" i="49"/>
  <c r="AT14" i="49" s="1"/>
  <c r="AT15" i="49" s="1"/>
  <c r="AT16" i="49" s="1"/>
  <c r="AT19" i="49" s="1"/>
  <c r="AT20" i="49" s="1"/>
  <c r="AT15" i="36" s="1"/>
  <c r="AW6" i="59"/>
  <c r="BF73" i="8" l="1"/>
  <c r="BI46" i="59"/>
  <c r="AX73" i="8"/>
  <c r="BA46" i="59"/>
  <c r="AW46" i="59"/>
  <c r="AT73" i="8"/>
</calcChain>
</file>

<file path=xl/comments1.xml><?xml version="1.0" encoding="utf-8"?>
<comments xmlns="http://schemas.openxmlformats.org/spreadsheetml/2006/main">
  <authors>
    <author>Author</author>
  </authors>
  <commentList>
    <comment ref="B25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Iron Scrap Balance</t>
        </r>
      </text>
    </comment>
  </commentList>
</comments>
</file>

<file path=xl/comments2.xml><?xml version="1.0" encoding="utf-8"?>
<comments xmlns="http://schemas.openxmlformats.org/spreadsheetml/2006/main">
  <authors>
    <author>Author</author>
  </authors>
  <commentList>
    <comment ref="D6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Includes 1500 T of Internal consumption
</t>
        </r>
      </text>
    </comment>
    <comment ref="E6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includes 200 T of internal consumption</t>
        </r>
      </text>
    </comment>
    <comment ref="G6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includes 100 T of internal consumption</t>
        </r>
      </text>
    </comment>
    <comment ref="K6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includes 100 T of internal consumption</t>
        </r>
      </text>
    </comment>
    <comment ref="O6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includes 100 T of internal consumption</t>
        </r>
      </text>
    </comment>
    <comment ref="S6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100 T Internal consumption
</t>
        </r>
      </text>
    </comment>
    <comment ref="W6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200 T Internal consumption
</t>
        </r>
      </text>
    </comment>
    <comment ref="AC6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includes 100 T of internal consumption</t>
        </r>
      </text>
    </comment>
    <comment ref="AG6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includes 100 T of internal consumption</t>
        </r>
      </text>
    </comment>
    <comment ref="AK6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includes 100 T of internal consumption</t>
        </r>
      </text>
    </comment>
    <comment ref="AQ6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includes 200 T of internal consumption</t>
        </r>
      </text>
    </comment>
    <comment ref="AU6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includes 100 T of internal consumption</t>
        </r>
      </text>
    </comment>
    <comment ref="AY6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includes 100 T of internal consumption</t>
        </r>
      </text>
    </comment>
  </commentList>
</comments>
</file>

<file path=xl/comments3.xml><?xml version="1.0" encoding="utf-8"?>
<comments xmlns="http://schemas.openxmlformats.org/spreadsheetml/2006/main">
  <authors>
    <author>Author</author>
  </authors>
  <commentList>
    <comment ref="B38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from sms w/s (HM consumed in BOF) </t>
        </r>
      </text>
    </comment>
  </commentList>
</comments>
</file>

<file path=xl/comments4.xml><?xml version="1.0" encoding="utf-8"?>
<comments xmlns="http://schemas.openxmlformats.org/spreadsheetml/2006/main">
  <authors>
    <author>Author</author>
  </authors>
  <commentList>
    <comment ref="W97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RINL</t>
        </r>
      </text>
    </comment>
  </commentList>
</comments>
</file>

<file path=xl/comments5.xml><?xml version="1.0" encoding="utf-8"?>
<comments xmlns="http://schemas.openxmlformats.org/spreadsheetml/2006/main">
  <authors>
    <author>Author</author>
  </authors>
  <commentList>
    <comment ref="D11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INTERNAL CONSUMPTION
</t>
        </r>
      </text>
    </comment>
    <comment ref="E11" authorId="0">
      <text>
        <r>
          <rPr>
            <b/>
            <sz val="16"/>
            <color indexed="81"/>
            <rFont val="Tahoma"/>
            <family val="2"/>
          </rPr>
          <t>Author:</t>
        </r>
        <r>
          <rPr>
            <sz val="16"/>
            <color indexed="81"/>
            <rFont val="Tahoma"/>
            <family val="2"/>
          </rPr>
          <t xml:space="preserve">
internal consumption</t>
        </r>
      </text>
    </comment>
    <comment ref="G11" authorId="0">
      <text>
        <r>
          <rPr>
            <b/>
            <sz val="16"/>
            <color indexed="81"/>
            <rFont val="Tahoma"/>
            <family val="2"/>
          </rPr>
          <t>Author:</t>
        </r>
        <r>
          <rPr>
            <sz val="16"/>
            <color indexed="81"/>
            <rFont val="Tahoma"/>
            <family val="2"/>
          </rPr>
          <t xml:space="preserve">
internal consumption</t>
        </r>
      </text>
    </comment>
    <comment ref="K11" authorId="0">
      <text>
        <r>
          <rPr>
            <b/>
            <sz val="16"/>
            <color indexed="81"/>
            <rFont val="Tahoma"/>
            <family val="2"/>
          </rPr>
          <t>Author:</t>
        </r>
        <r>
          <rPr>
            <sz val="16"/>
            <color indexed="81"/>
            <rFont val="Tahoma"/>
            <family val="2"/>
          </rPr>
          <t xml:space="preserve">
internal consumption</t>
        </r>
      </text>
    </comment>
    <comment ref="O11" authorId="0">
      <text>
        <r>
          <rPr>
            <b/>
            <sz val="16"/>
            <color indexed="81"/>
            <rFont val="Tahoma"/>
            <family val="2"/>
          </rPr>
          <t>Author:</t>
        </r>
        <r>
          <rPr>
            <sz val="16"/>
            <color indexed="81"/>
            <rFont val="Tahoma"/>
            <family val="2"/>
          </rPr>
          <t xml:space="preserve">
internal consumption</t>
        </r>
      </text>
    </comment>
    <comment ref="S11" authorId="0">
      <text>
        <r>
          <rPr>
            <b/>
            <sz val="16"/>
            <color indexed="81"/>
            <rFont val="Tahoma"/>
            <family val="2"/>
          </rPr>
          <t>Author:</t>
        </r>
        <r>
          <rPr>
            <sz val="16"/>
            <color indexed="81"/>
            <rFont val="Tahoma"/>
            <family val="2"/>
          </rPr>
          <t xml:space="preserve">
internal consumption</t>
        </r>
      </text>
    </comment>
    <comment ref="W11" authorId="0">
      <text>
        <r>
          <rPr>
            <b/>
            <sz val="16"/>
            <color indexed="81"/>
            <rFont val="Tahoma"/>
            <family val="2"/>
          </rPr>
          <t>Author:</t>
        </r>
        <r>
          <rPr>
            <sz val="16"/>
            <color indexed="81"/>
            <rFont val="Tahoma"/>
            <family val="2"/>
          </rPr>
          <t xml:space="preserve">
internal consumption</t>
        </r>
      </text>
    </comment>
    <comment ref="AC11" authorId="0">
      <text>
        <r>
          <rPr>
            <b/>
            <sz val="16"/>
            <color indexed="81"/>
            <rFont val="Tahoma"/>
            <family val="2"/>
          </rPr>
          <t>Author:</t>
        </r>
        <r>
          <rPr>
            <sz val="16"/>
            <color indexed="81"/>
            <rFont val="Tahoma"/>
            <family val="2"/>
          </rPr>
          <t xml:space="preserve">
internal consumption</t>
        </r>
      </text>
    </comment>
    <comment ref="AG11" authorId="0">
      <text>
        <r>
          <rPr>
            <b/>
            <sz val="16"/>
            <color indexed="81"/>
            <rFont val="Tahoma"/>
            <family val="2"/>
          </rPr>
          <t>Author:</t>
        </r>
        <r>
          <rPr>
            <sz val="16"/>
            <color indexed="81"/>
            <rFont val="Tahoma"/>
            <family val="2"/>
          </rPr>
          <t xml:space="preserve">
internal consumption</t>
        </r>
      </text>
    </comment>
    <comment ref="AK11" authorId="0">
      <text>
        <r>
          <rPr>
            <b/>
            <sz val="16"/>
            <color indexed="81"/>
            <rFont val="Tahoma"/>
            <family val="2"/>
          </rPr>
          <t>Author:</t>
        </r>
        <r>
          <rPr>
            <sz val="16"/>
            <color indexed="81"/>
            <rFont val="Tahoma"/>
            <family val="2"/>
          </rPr>
          <t xml:space="preserve">
internal consumption</t>
        </r>
      </text>
    </comment>
    <comment ref="AQ11" authorId="0">
      <text>
        <r>
          <rPr>
            <b/>
            <sz val="16"/>
            <color indexed="81"/>
            <rFont val="Tahoma"/>
            <family val="2"/>
          </rPr>
          <t>Author:</t>
        </r>
        <r>
          <rPr>
            <sz val="16"/>
            <color indexed="81"/>
            <rFont val="Tahoma"/>
            <family val="2"/>
          </rPr>
          <t xml:space="preserve">
internal consumption</t>
        </r>
      </text>
    </comment>
    <comment ref="AU11" authorId="0">
      <text>
        <r>
          <rPr>
            <b/>
            <sz val="16"/>
            <color indexed="81"/>
            <rFont val="Tahoma"/>
            <family val="2"/>
          </rPr>
          <t>Author:</t>
        </r>
        <r>
          <rPr>
            <sz val="16"/>
            <color indexed="81"/>
            <rFont val="Tahoma"/>
            <family val="2"/>
          </rPr>
          <t xml:space="preserve">
internal consumption</t>
        </r>
      </text>
    </comment>
    <comment ref="AY11" authorId="0">
      <text>
        <r>
          <rPr>
            <b/>
            <sz val="16"/>
            <color indexed="81"/>
            <rFont val="Tahoma"/>
            <family val="2"/>
          </rPr>
          <t>Author:</t>
        </r>
        <r>
          <rPr>
            <sz val="16"/>
            <color indexed="81"/>
            <rFont val="Tahoma"/>
            <family val="2"/>
          </rPr>
          <t xml:space="preserve">
internal consumption</t>
        </r>
      </text>
    </comment>
    <comment ref="D54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INCLUDING 1500 INTERNAL CONSUMPTION</t>
        </r>
      </text>
    </comment>
  </commentList>
</comments>
</file>

<file path=xl/comments6.xml><?xml version="1.0" encoding="utf-8"?>
<comments xmlns="http://schemas.openxmlformats.org/spreadsheetml/2006/main">
  <authors>
    <author>Author</author>
  </authors>
  <commentList>
    <comment ref="E6" authorId="0">
      <text>
        <r>
          <rPr>
            <b/>
            <sz val="8"/>
            <color indexed="81"/>
            <rFont val="Tahoma"/>
            <family val="2"/>
          </rPr>
          <t>Author:</t>
        </r>
        <r>
          <rPr>
            <sz val="8"/>
            <color indexed="81"/>
            <rFont val="Tahoma"/>
            <family val="2"/>
          </rPr>
          <t xml:space="preserve">
2 wagons Lump</t>
        </r>
      </text>
    </comment>
    <comment ref="G6" authorId="0">
      <text>
        <r>
          <rPr>
            <b/>
            <sz val="8"/>
            <color indexed="81"/>
            <rFont val="Tahoma"/>
            <family val="2"/>
          </rPr>
          <t>Author:</t>
        </r>
        <r>
          <rPr>
            <sz val="8"/>
            <color indexed="81"/>
            <rFont val="Tahoma"/>
            <family val="2"/>
          </rPr>
          <t xml:space="preserve">
2 wagons Lump</t>
        </r>
      </text>
    </comment>
    <comment ref="K6" authorId="0">
      <text>
        <r>
          <rPr>
            <b/>
            <sz val="8"/>
            <color indexed="81"/>
            <rFont val="Tahoma"/>
            <family val="2"/>
          </rPr>
          <t>Author:</t>
        </r>
        <r>
          <rPr>
            <sz val="8"/>
            <color indexed="81"/>
            <rFont val="Tahoma"/>
            <family val="2"/>
          </rPr>
          <t xml:space="preserve">
2 wagons Lump</t>
        </r>
      </text>
    </comment>
    <comment ref="O6" authorId="0">
      <text>
        <r>
          <rPr>
            <b/>
            <sz val="8"/>
            <color indexed="81"/>
            <rFont val="Tahoma"/>
            <family val="2"/>
          </rPr>
          <t>Author:</t>
        </r>
        <r>
          <rPr>
            <sz val="8"/>
            <color indexed="81"/>
            <rFont val="Tahoma"/>
            <family val="2"/>
          </rPr>
          <t xml:space="preserve">
2 wagons Lump</t>
        </r>
      </text>
    </comment>
    <comment ref="E64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earlier 7420</t>
        </r>
      </text>
    </comment>
    <comment ref="G64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earlier 7420</t>
        </r>
      </text>
    </comment>
    <comment ref="K64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earlier 7420</t>
        </r>
      </text>
    </comment>
    <comment ref="O64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earlier 7420</t>
        </r>
      </text>
    </comment>
    <comment ref="S64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earlier 7420</t>
        </r>
      </text>
    </comment>
    <comment ref="W64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earlier 7420</t>
        </r>
      </text>
    </comment>
    <comment ref="AC64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earlier 7420</t>
        </r>
      </text>
    </comment>
    <comment ref="AG64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earlier 7420</t>
        </r>
      </text>
    </comment>
    <comment ref="AJ64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earlier 7420</t>
        </r>
      </text>
    </comment>
    <comment ref="AK64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earlier 7420</t>
        </r>
      </text>
    </comment>
  </commentList>
</comments>
</file>

<file path=xl/comments7.xml><?xml version="1.0" encoding="utf-8"?>
<comments xmlns="http://schemas.openxmlformats.org/spreadsheetml/2006/main">
  <authors>
    <author>Author</author>
  </authors>
  <commentList>
    <comment ref="Q38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Cares Material was not considered</t>
        </r>
      </text>
    </comment>
  </commentList>
</comments>
</file>

<file path=xl/sharedStrings.xml><?xml version="1.0" encoding="utf-8"?>
<sst xmlns="http://schemas.openxmlformats.org/spreadsheetml/2006/main" count="40977" uniqueCount="2075">
  <si>
    <t>PRODUCTION</t>
  </si>
  <si>
    <t>Nut Coke</t>
  </si>
  <si>
    <t>TOTAL</t>
  </si>
  <si>
    <t>SAL STEEL PRODN (CATEGORY WISE)</t>
  </si>
  <si>
    <t>COKE OVENS</t>
  </si>
  <si>
    <t>C.O. Gas</t>
  </si>
  <si>
    <t>Quartzite</t>
  </si>
  <si>
    <t>MACHINE SHOP</t>
  </si>
  <si>
    <t>FORGE SHOP</t>
  </si>
  <si>
    <t>POWER PLANT</t>
  </si>
  <si>
    <t>ICC (AH)</t>
  </si>
  <si>
    <t>ICC (USH)</t>
  </si>
  <si>
    <t>GRAND TOTAL COKING COAL</t>
  </si>
  <si>
    <t>TOTAL ICC</t>
  </si>
  <si>
    <t>Total ICC (Hard)</t>
  </si>
  <si>
    <t>2M</t>
  </si>
  <si>
    <t>BF</t>
  </si>
  <si>
    <t>WR Mill</t>
  </si>
  <si>
    <t>4M</t>
  </si>
  <si>
    <t>5M</t>
  </si>
  <si>
    <t>Sinter</t>
  </si>
  <si>
    <t>No.of Ovens Pushed (COB#10)</t>
  </si>
  <si>
    <t>MOG</t>
  </si>
  <si>
    <t>Total</t>
  </si>
  <si>
    <t>RAIL</t>
  </si>
  <si>
    <t>ROAD</t>
  </si>
  <si>
    <t>7M</t>
  </si>
  <si>
    <t>BF Coke</t>
  </si>
  <si>
    <t>Coke Breeze</t>
  </si>
  <si>
    <t>8M</t>
  </si>
  <si>
    <t>10M</t>
  </si>
  <si>
    <t>M³/TCS</t>
  </si>
  <si>
    <t>11M</t>
  </si>
  <si>
    <t>Saleable Steel Production (Mill Wise)</t>
  </si>
  <si>
    <t>-</t>
  </si>
  <si>
    <t>WR MILL TOTAL</t>
  </si>
  <si>
    <t xml:space="preserve">WR Mill </t>
  </si>
  <si>
    <t>Total Coal Tar</t>
  </si>
  <si>
    <t>Total NH4SO4</t>
  </si>
  <si>
    <t xml:space="preserve">Iron ore fines </t>
  </si>
  <si>
    <t xml:space="preserve">Lime stone </t>
  </si>
  <si>
    <t xml:space="preserve">Dolomite </t>
  </si>
  <si>
    <t xml:space="preserve">Coke Breeze </t>
  </si>
  <si>
    <t>Mill Scale</t>
  </si>
  <si>
    <t>BOF Slag</t>
  </si>
  <si>
    <t>Blended Base Mix</t>
  </si>
  <si>
    <t xml:space="preserve">Calcined Lime </t>
  </si>
  <si>
    <t>M/C #1</t>
  </si>
  <si>
    <t>OPERATING PARAMETERS</t>
  </si>
  <si>
    <t>OTHER TECHNO PARAMETERS</t>
  </si>
  <si>
    <t>Iron ore fines</t>
  </si>
  <si>
    <t>%</t>
  </si>
  <si>
    <t>Mt</t>
  </si>
  <si>
    <t>WIRE &amp; ROD MILL</t>
  </si>
  <si>
    <t>8 mm Plain Coil</t>
  </si>
  <si>
    <t>Techno Parameters</t>
  </si>
  <si>
    <t>Auxilliaries</t>
  </si>
  <si>
    <t>NET AVAILABLE for Dist.</t>
  </si>
  <si>
    <t>CDCP</t>
  </si>
  <si>
    <t>BOF</t>
  </si>
  <si>
    <t>CCP</t>
  </si>
  <si>
    <t>WRM</t>
  </si>
  <si>
    <t>SINTER</t>
  </si>
  <si>
    <t>TOTAL DISTRIBUTION :-</t>
  </si>
  <si>
    <t>OTHER INPUT CHEMICALS CONSUMED IN P&amp;BS-II</t>
  </si>
  <si>
    <t>P&amp;BS-II</t>
  </si>
  <si>
    <t>LOSSES</t>
  </si>
  <si>
    <t>NET AVAILABLE FOR DISTRIBUTION</t>
  </si>
  <si>
    <t>Tonnes</t>
  </si>
  <si>
    <t>Hearth Layer</t>
  </si>
  <si>
    <t>Water</t>
  </si>
  <si>
    <t>CO GAS CONSUMPTION</t>
  </si>
  <si>
    <t>Limestone (Trimming)</t>
  </si>
  <si>
    <t>Coke Breeze (Trimming)</t>
  </si>
  <si>
    <t>5.5 mm Plain Coil</t>
  </si>
  <si>
    <t>Loss (%)</t>
  </si>
  <si>
    <t>6 mm Plain Coil</t>
  </si>
  <si>
    <t>CMO DIR</t>
  </si>
  <si>
    <t>CMO SYD</t>
  </si>
  <si>
    <t>IPT</t>
  </si>
  <si>
    <t xml:space="preserve">Total B.F.Coke </t>
  </si>
  <si>
    <t>Overall Equiv. Ovens Pushed/ Day</t>
  </si>
  <si>
    <t>Blast Furnace #5</t>
  </si>
  <si>
    <t>Boiler Plant (P&amp;B Stn-II)</t>
  </si>
  <si>
    <t>LDCP</t>
  </si>
  <si>
    <t>Fe-Mn</t>
  </si>
  <si>
    <t>Si-Mn</t>
  </si>
  <si>
    <t>Fe-Si</t>
  </si>
  <si>
    <t>Pet Coke</t>
  </si>
  <si>
    <t>HM Production</t>
  </si>
  <si>
    <t>Calender hours</t>
  </si>
  <si>
    <t>Sinter output loss</t>
  </si>
  <si>
    <t>Boiler Plant (P&amp;B Stn.) -II</t>
  </si>
  <si>
    <t>Bar Mill</t>
  </si>
  <si>
    <t>BAR MILL TOTAL</t>
  </si>
  <si>
    <t>Schedule Hrs</t>
  </si>
  <si>
    <t>M/C #2</t>
  </si>
  <si>
    <t>BF GAS CONSUMPTION</t>
  </si>
  <si>
    <t>BAR MILL</t>
  </si>
  <si>
    <t>Partial returned heats</t>
  </si>
  <si>
    <t xml:space="preserve">Process Return Sinter Fines </t>
  </si>
  <si>
    <t>BF Return Sinter</t>
  </si>
  <si>
    <t>OXYGEN PLANT</t>
  </si>
  <si>
    <t>Oxygen</t>
  </si>
  <si>
    <t>Sales</t>
  </si>
  <si>
    <t>Nitrogen</t>
  </si>
  <si>
    <t>Argon</t>
  </si>
  <si>
    <t>NET GRANULATED SLAG PRODUCTION</t>
  </si>
  <si>
    <t>CBM GAS CONSUMPTION</t>
  </si>
  <si>
    <t>COB#10 under firing</t>
  </si>
  <si>
    <t>COB#11 under firing</t>
  </si>
  <si>
    <t>Boiler Plant (P&amp;B Stn-I)</t>
  </si>
  <si>
    <t>US Mill</t>
  </si>
  <si>
    <t xml:space="preserve">COKE OVEN </t>
  </si>
  <si>
    <t>SINTER PLANT</t>
  </si>
  <si>
    <t>BOILER HOUSE</t>
  </si>
  <si>
    <t>UPIS</t>
  </si>
  <si>
    <t>WR MILL</t>
  </si>
  <si>
    <t>US MILL</t>
  </si>
  <si>
    <t>Saleable Steel (Total Shipping Mode-wise)</t>
  </si>
  <si>
    <t>Saleable Steel (Total sale type-wise)</t>
  </si>
  <si>
    <t>Calcined Lime</t>
  </si>
  <si>
    <t>Heats carried over to next month</t>
  </si>
  <si>
    <t>Nos.of Ovens Pushed (COB#11)</t>
  </si>
  <si>
    <t>EXPORT</t>
  </si>
  <si>
    <t>US MILL TOTAL</t>
  </si>
  <si>
    <t>PBS-2</t>
  </si>
  <si>
    <t>Concast Plant</t>
  </si>
  <si>
    <t>CDI</t>
  </si>
  <si>
    <t>NET AVAILABILITY FOR DISTRIBUTION</t>
  </si>
  <si>
    <t xml:space="preserve">TOTAL </t>
  </si>
  <si>
    <t xml:space="preserve">BF GAS BALANCE-EMD </t>
  </si>
  <si>
    <t xml:space="preserve">CBM GAS BALANCE-EMD </t>
  </si>
  <si>
    <t xml:space="preserve">Calcined Dolomite </t>
  </si>
  <si>
    <t>Raw Dolomite</t>
  </si>
  <si>
    <t>Iron ore lump</t>
  </si>
  <si>
    <t>OVEN AVAILABILITY (COB #10)</t>
  </si>
  <si>
    <t>OVEN AVAILABILITY (COB #11)</t>
  </si>
  <si>
    <t>TOTAL ICC (Soft)</t>
  </si>
  <si>
    <t>TOTAL PLANT (SUMMARY)</t>
  </si>
  <si>
    <t>TOTAL  :</t>
  </si>
  <si>
    <t>CMO EXP</t>
  </si>
  <si>
    <t>QRT-1</t>
  </si>
  <si>
    <t>QRT-2</t>
  </si>
  <si>
    <t>Saleable Steel (mill-wise)</t>
  </si>
  <si>
    <t>Saleable Steel (Shipping Mode-wise)</t>
  </si>
  <si>
    <t>Total Nut Coke</t>
  </si>
  <si>
    <t>Total Coke Breeze</t>
  </si>
  <si>
    <t>Total Coke Dust</t>
  </si>
  <si>
    <t>Total Gross Coke</t>
  </si>
  <si>
    <t>COB#10</t>
  </si>
  <si>
    <t>COB#11</t>
  </si>
  <si>
    <t>PUSHING CO-EFFICIENT (BASED ON ACTUAL OVEN AVAILABILITY)</t>
  </si>
  <si>
    <t>B.F.Coke (Old Batts)</t>
  </si>
  <si>
    <t>B.F Coke (New Batt)</t>
  </si>
  <si>
    <t>Previous month Carried over Heats considered in current month</t>
  </si>
  <si>
    <t>Nut Coke (Old Batts)</t>
  </si>
  <si>
    <t>Nut Coke (New Batt)</t>
  </si>
  <si>
    <t>Coke Breeze (Old Batts)</t>
  </si>
  <si>
    <t>Coke Breeze (New Batt)</t>
  </si>
  <si>
    <t>Coke Dust (Old Batts)</t>
  </si>
  <si>
    <t>Coke Dust (New Batt)</t>
  </si>
  <si>
    <t>Gross Coke (Old Batts)</t>
  </si>
  <si>
    <t>Gross Coke (New Batt)</t>
  </si>
  <si>
    <t>Caster #1 (Prime Length)</t>
  </si>
  <si>
    <t>Caster #1 (Total)</t>
  </si>
  <si>
    <t>Caster #2 (Prime Length)</t>
  </si>
  <si>
    <t>Caster #2 (Total)</t>
  </si>
  <si>
    <t>Caster #3 (Total)</t>
  </si>
  <si>
    <t>Total Caster (Prime Length)</t>
  </si>
  <si>
    <t>Dry Coal Charge (Old Batts)</t>
  </si>
  <si>
    <t>Dry Coal Charge (New Batt)</t>
  </si>
  <si>
    <t>Total Dry Coal Charge</t>
  </si>
  <si>
    <t>No./ Day</t>
  </si>
  <si>
    <t>Eq. No./ Day</t>
  </si>
  <si>
    <t>ITEM</t>
  </si>
  <si>
    <t>Unit</t>
  </si>
  <si>
    <t>ABP</t>
  </si>
  <si>
    <t>ACT</t>
  </si>
  <si>
    <t>Nos.</t>
  </si>
  <si>
    <t>Co-eff</t>
  </si>
  <si>
    <t>Coke Dust</t>
  </si>
  <si>
    <t>Gross Coke</t>
  </si>
  <si>
    <t>COKE OVEN BY-PRODUCTS (PRODUCTION)</t>
  </si>
  <si>
    <t>Coal Tar (Existing Plant)</t>
  </si>
  <si>
    <t>Coal Tar (New Plant)</t>
  </si>
  <si>
    <t>NH4SO4 (Existing Plant)</t>
  </si>
  <si>
    <t>NH4SO4 (New Plant)</t>
  </si>
  <si>
    <t>Refined Benzol products</t>
  </si>
  <si>
    <t>Benzene</t>
  </si>
  <si>
    <t>Toluene</t>
  </si>
  <si>
    <t>LS Naptha</t>
  </si>
  <si>
    <t>S.B Oil</t>
  </si>
  <si>
    <t>W. Naptha</t>
  </si>
  <si>
    <t>Crystalline Naptha (New Plant)</t>
  </si>
  <si>
    <t>Sulphur (New Plant)</t>
  </si>
  <si>
    <t>COB #11 (Tonnes on wet basis)</t>
  </si>
  <si>
    <t xml:space="preserve">Blending bunker Blend Coal Quality </t>
  </si>
  <si>
    <t xml:space="preserve">ICC (H) </t>
  </si>
  <si>
    <t xml:space="preserve">ICC (S) </t>
  </si>
  <si>
    <t xml:space="preserve">Imported Coal in Blend </t>
  </si>
  <si>
    <t>Coke Quality</t>
  </si>
  <si>
    <t>PRIME</t>
  </si>
  <si>
    <t xml:space="preserve">Moisture in Blend coal </t>
  </si>
  <si>
    <t xml:space="preserve">Ash in blend coal </t>
  </si>
  <si>
    <t xml:space="preserve">VM in Blend coal </t>
  </si>
  <si>
    <t xml:space="preserve">Skip coke moisture </t>
  </si>
  <si>
    <t xml:space="preserve">Ash </t>
  </si>
  <si>
    <t xml:space="preserve">M40  </t>
  </si>
  <si>
    <t>M10</t>
  </si>
  <si>
    <t xml:space="preserve">CSR </t>
  </si>
  <si>
    <t xml:space="preserve">CRI </t>
  </si>
  <si>
    <t>COKE OVENS (COB# 11)</t>
  </si>
  <si>
    <t xml:space="preserve">Total Oven Pushed </t>
  </si>
  <si>
    <t>Moisture</t>
  </si>
  <si>
    <t>10⁶ M³</t>
  </si>
  <si>
    <t>M³/tcc - Dry</t>
  </si>
  <si>
    <t>K.Cal/M³</t>
  </si>
  <si>
    <t>KwH</t>
  </si>
  <si>
    <t>KwH/ tdc</t>
  </si>
  <si>
    <t xml:space="preserve">C.O.Gas Make </t>
  </si>
  <si>
    <t xml:space="preserve">C.O.Gas Yield </t>
  </si>
  <si>
    <t xml:space="preserve">C.V. of C.O.Gas </t>
  </si>
  <si>
    <t xml:space="preserve">Sp Heat Cons </t>
  </si>
  <si>
    <t>Kg/T</t>
  </si>
  <si>
    <t xml:space="preserve">MACHINE WISE SINTER PRODUCTION </t>
  </si>
  <si>
    <t>Hrs</t>
  </si>
  <si>
    <t xml:space="preserve">Availability </t>
  </si>
  <si>
    <t xml:space="preserve">% Availability </t>
  </si>
  <si>
    <t>Utilisation hours</t>
  </si>
  <si>
    <t xml:space="preserve">% Utilisation </t>
  </si>
  <si>
    <t xml:space="preserve">Production per Utilization Hours </t>
  </si>
  <si>
    <t xml:space="preserve">Yield Of Sinter </t>
  </si>
  <si>
    <t>T/M²/Utlz Hr</t>
  </si>
  <si>
    <t xml:space="preserve">KwH/T </t>
  </si>
  <si>
    <t xml:space="preserve">Specific Productivity </t>
  </si>
  <si>
    <t xml:space="preserve">Power Cons </t>
  </si>
  <si>
    <t xml:space="preserve">Sp Power Cons </t>
  </si>
  <si>
    <t xml:space="preserve">Sp Fuel Cons (COG) </t>
  </si>
  <si>
    <t>BLAST FURNACE (#5)</t>
  </si>
  <si>
    <t>(Equiv. Pig Iron @ 80% of HM sent to Sand Pit. (Ref to Fax Msg from ED (O), vide SAIL/OPRNS/ PPMS/33 dt. 05.02.15)</t>
  </si>
  <si>
    <t xml:space="preserve">H.M DISTRIBUTION </t>
  </si>
  <si>
    <t xml:space="preserve">Cold Pig &amp; Pig Equivalent </t>
  </si>
  <si>
    <t>BF SLAG GENERATION</t>
  </si>
  <si>
    <t>Coke</t>
  </si>
  <si>
    <t>Total Fuel</t>
  </si>
  <si>
    <t>Iron Ore Lump</t>
  </si>
  <si>
    <t xml:space="preserve">LD Slag </t>
  </si>
  <si>
    <t>Kg/THM</t>
  </si>
  <si>
    <t>T/M³/ DAY</t>
  </si>
  <si>
    <t>No. of Days</t>
  </si>
  <si>
    <t>Sinter in Fe bearing Load</t>
  </si>
  <si>
    <t>Coke return fines (wet) to BMP from BF#5-RMHP</t>
  </si>
  <si>
    <t xml:space="preserve">Eq. Coke return fines (Dry) to BMP from BF#5 </t>
  </si>
  <si>
    <t xml:space="preserve">Gross Coal to HM Ratio </t>
  </si>
  <si>
    <t>⁰C</t>
  </si>
  <si>
    <t>Blast Temperature</t>
  </si>
  <si>
    <t xml:space="preserve">Furnace Availability </t>
  </si>
  <si>
    <t xml:space="preserve">Slag Rate </t>
  </si>
  <si>
    <t xml:space="preserve">Wtd. Avg. Si in HM </t>
  </si>
  <si>
    <t xml:space="preserve">Wtd. Avg. S in HM </t>
  </si>
  <si>
    <t>M³/T of HM</t>
  </si>
  <si>
    <t>COG Consumption -</t>
  </si>
  <si>
    <t>KwH/ ton</t>
  </si>
  <si>
    <t>Heat Cons in stoves</t>
  </si>
  <si>
    <t xml:space="preserve">C.V. of BF Gas </t>
  </si>
  <si>
    <t xml:space="preserve">Total BF Gas Make </t>
  </si>
  <si>
    <t xml:space="preserve">B.F. Gas yield </t>
  </si>
  <si>
    <t xml:space="preserve">BF Productivity </t>
  </si>
  <si>
    <t>BOF-CCP</t>
  </si>
  <si>
    <t>BOF#1</t>
  </si>
  <si>
    <t>BOF#2</t>
  </si>
  <si>
    <t>BOF#3</t>
  </si>
  <si>
    <t>Total heats</t>
  </si>
  <si>
    <t>TECHNO PARAMETERS</t>
  </si>
  <si>
    <t>CRUDE STEEL PRODUCTION</t>
  </si>
  <si>
    <t>CASTER-WISE PRODUCTION</t>
  </si>
  <si>
    <t>Kg/ TCS</t>
  </si>
  <si>
    <t>Kg/ TLS</t>
  </si>
  <si>
    <t>Nm³/T</t>
  </si>
  <si>
    <t>KwH/TCS</t>
  </si>
  <si>
    <t xml:space="preserve">BOF Yield </t>
  </si>
  <si>
    <t xml:space="preserve">CCP Yield </t>
  </si>
  <si>
    <t xml:space="preserve">Raw Materials Net Consumption </t>
  </si>
  <si>
    <t>Converter Life (#1)</t>
  </si>
  <si>
    <t>Converter Life (#2)</t>
  </si>
  <si>
    <t>Converter Life (#3)</t>
  </si>
  <si>
    <t xml:space="preserve">Total Scrap Charged </t>
  </si>
  <si>
    <t xml:space="preserve">Liquid Steel input in Turret </t>
  </si>
  <si>
    <t>Heats Casts (Caster#1)</t>
  </si>
  <si>
    <t>Heats Casts (Caster#2)</t>
  </si>
  <si>
    <t>Heats Casts (Caster#3)</t>
  </si>
  <si>
    <t xml:space="preserve">Total Heats Casts </t>
  </si>
  <si>
    <t xml:space="preserve">Raw Materials Net Consumption Rate </t>
  </si>
  <si>
    <t xml:space="preserve">TMI </t>
  </si>
  <si>
    <t xml:space="preserve">BOF Slag Rate </t>
  </si>
  <si>
    <t>Oxygen Consumption</t>
  </si>
  <si>
    <t xml:space="preserve">Sp Oxygen Consumption </t>
  </si>
  <si>
    <t>COG Consumption (BOF-CCP/LF)</t>
  </si>
  <si>
    <t>Power Consumption (BOF-CCP/LF)</t>
  </si>
  <si>
    <t xml:space="preserve">Sp Power Consumption (BOF-CCP/LF)  </t>
  </si>
  <si>
    <t xml:space="preserve">Sp Heat Cons (BOF) </t>
  </si>
  <si>
    <t xml:space="preserve">Sp Heat Cons (CCP) </t>
  </si>
  <si>
    <t xml:space="preserve">Grand Total Casters </t>
  </si>
  <si>
    <t>HEATS CASTED</t>
  </si>
  <si>
    <t>Hot Metal Consumption rate</t>
  </si>
  <si>
    <t>TOTAL PRODUCTION</t>
  </si>
  <si>
    <t>Kwh/T of ch Wt</t>
  </si>
  <si>
    <t>Th M³/ Hr</t>
  </si>
  <si>
    <t xml:space="preserve">Mill Availability </t>
  </si>
  <si>
    <t xml:space="preserve">% Mill Availability </t>
  </si>
  <si>
    <t xml:space="preserve">% Mill Utilisation </t>
  </si>
  <si>
    <t>Mill Utilisation</t>
  </si>
  <si>
    <t>Gross Heat Consumption</t>
  </si>
  <si>
    <t xml:space="preserve">Power Consumption </t>
  </si>
  <si>
    <t>Sp Power Consumption</t>
  </si>
  <si>
    <t>CO Gas consumption</t>
  </si>
  <si>
    <t>BF Gas consumption</t>
  </si>
  <si>
    <t xml:space="preserve">CBM consumption </t>
  </si>
  <si>
    <t>Rolling Rate on yield Wt</t>
  </si>
  <si>
    <t>YIELD WEIGHT</t>
  </si>
  <si>
    <t>WR MILL YIELD</t>
  </si>
  <si>
    <t>BAR MILL YIELD</t>
  </si>
  <si>
    <t>US MILL YIELD</t>
  </si>
  <si>
    <t>Saleable Steel (Mill-wise sale type-wise)</t>
  </si>
  <si>
    <t>Saleable Steel (Mill-wise shipping mode-wise)</t>
  </si>
  <si>
    <t>WR MILL (SECTION-WISE &amp; QUALITY-WISE)</t>
  </si>
  <si>
    <t>BAR MILL (SECTION-WISE &amp; QUALITY-WISE)</t>
  </si>
  <si>
    <t>US MILL (SECTION-WISE &amp; QUALITY-WISE)</t>
  </si>
  <si>
    <t>ENERGY MANAGEMENT DEPARTMENT</t>
  </si>
  <si>
    <t>CO GAS BALANCE (Overall)</t>
  </si>
  <si>
    <t>G.cal/TCS</t>
  </si>
  <si>
    <t>SHOP-WISE SPECIFIC ENERGY CONSUMPTION</t>
  </si>
  <si>
    <t>000nm³</t>
  </si>
  <si>
    <t>000Sm³</t>
  </si>
  <si>
    <t>TH CuM/Hr</t>
  </si>
  <si>
    <t>Kcal/m3</t>
  </si>
  <si>
    <t xml:space="preserve">CV </t>
  </si>
  <si>
    <t>Generation (COB#10)</t>
  </si>
  <si>
    <t>Generation (COB#11)</t>
  </si>
  <si>
    <t>Total Generation</t>
  </si>
  <si>
    <t xml:space="preserve">GENERATION </t>
  </si>
  <si>
    <t xml:space="preserve">DISTRIBUTION </t>
  </si>
  <si>
    <t>Generation (BF#5)</t>
  </si>
  <si>
    <t xml:space="preserve">DISTRIBUTION  </t>
  </si>
  <si>
    <t xml:space="preserve">NET AVAILABLE for Dist. </t>
  </si>
  <si>
    <t>MAJOR PRODUCTION SUMMARY</t>
  </si>
  <si>
    <t>HOT METAL</t>
  </si>
  <si>
    <t>CRUDE STEEL</t>
  </si>
  <si>
    <t>BF COKE</t>
  </si>
  <si>
    <t>COAL TAR</t>
  </si>
  <si>
    <t>AMMONIUM SULPHATE</t>
  </si>
  <si>
    <t>COKE OVENS PUSHING</t>
  </si>
  <si>
    <t xml:space="preserve">Bar Mill </t>
  </si>
  <si>
    <t xml:space="preserve">SINTER </t>
  </si>
  <si>
    <t xml:space="preserve">Net Granulated Slag Production </t>
  </si>
  <si>
    <t>(COB#10)</t>
  </si>
  <si>
    <t xml:space="preserve"> (COB#11)</t>
  </si>
  <si>
    <t>Saleable Steel (Sale type-wise)</t>
  </si>
  <si>
    <t>Total Pig &amp; Pig Equiv</t>
  </si>
  <si>
    <t>Nos/ day</t>
  </si>
  <si>
    <t>MT</t>
  </si>
  <si>
    <t>BF Coke Rate</t>
  </si>
  <si>
    <t>Nut Coke rate</t>
  </si>
  <si>
    <t>CDI rate</t>
  </si>
  <si>
    <t>Overall ICC in Blend</t>
  </si>
  <si>
    <t>ICC in Coal Blend</t>
  </si>
  <si>
    <t>(COB#11)</t>
  </si>
  <si>
    <t>B.F.Coke Yield</t>
  </si>
  <si>
    <t xml:space="preserve">BF PRODUCTIVITY </t>
  </si>
  <si>
    <t>Gross Coal to Hot Metal Ratio</t>
  </si>
  <si>
    <t>Kg/ THM</t>
  </si>
  <si>
    <t xml:space="preserve">Hot Metal to Crude Steel </t>
  </si>
  <si>
    <t xml:space="preserve">Scrap consumption at SMS </t>
  </si>
  <si>
    <t xml:space="preserve">Mill yield </t>
  </si>
  <si>
    <t>KwH/TSS</t>
  </si>
  <si>
    <t xml:space="preserve">Sp. CO2 emission </t>
  </si>
  <si>
    <t>Sp. PM emissions</t>
  </si>
  <si>
    <t>T/M³/Day</t>
  </si>
  <si>
    <t>ENVIRONMENT CONTROL DEPARTMENT</t>
  </si>
  <si>
    <t>DETAIL DESPATCH (As per Finance CENVAT report)</t>
  </si>
  <si>
    <t>Power Import from DVC</t>
  </si>
  <si>
    <t xml:space="preserve">Power Generation </t>
  </si>
  <si>
    <t>STEAM GENERATION</t>
  </si>
  <si>
    <t>Steam Distribution</t>
  </si>
  <si>
    <t>Coke Ovens</t>
  </si>
  <si>
    <t>Losses</t>
  </si>
  <si>
    <t>Boiler House</t>
  </si>
  <si>
    <t xml:space="preserve">Power House </t>
  </si>
  <si>
    <t>MW</t>
  </si>
  <si>
    <t>BOILER PLANT TECHNO</t>
  </si>
  <si>
    <t>TOTAL POWER DEMAND</t>
  </si>
  <si>
    <t>Tonne/ Hr</t>
  </si>
  <si>
    <t>Kg/T of St. Gen</t>
  </si>
  <si>
    <t>m³/t of St. Gen</t>
  </si>
  <si>
    <t>Litre/ t of St. Gen</t>
  </si>
  <si>
    <t xml:space="preserve">Steam Gen </t>
  </si>
  <si>
    <t xml:space="preserve">B.F. Gas cons </t>
  </si>
  <si>
    <t xml:space="preserve">C.O.Gas cons </t>
  </si>
  <si>
    <t xml:space="preserve">Furnace oil cons </t>
  </si>
  <si>
    <t xml:space="preserve">Heat Value </t>
  </si>
  <si>
    <t>MwH</t>
  </si>
  <si>
    <t xml:space="preserve">STG-1 </t>
  </si>
  <si>
    <t xml:space="preserve">STG-2 </t>
  </si>
  <si>
    <t xml:space="preserve">STG-3 </t>
  </si>
  <si>
    <t xml:space="preserve">BPTG </t>
  </si>
  <si>
    <t xml:space="preserve">TRTG </t>
  </si>
  <si>
    <t xml:space="preserve">Power Import from DVC </t>
  </si>
  <si>
    <t xml:space="preserve">Avg. Power Import </t>
  </si>
  <si>
    <t>Power Generation</t>
  </si>
  <si>
    <t>TOTAL POWER GENERATION</t>
  </si>
  <si>
    <t xml:space="preserve">STEAM GENERATION </t>
  </si>
  <si>
    <t>LDO CONSUMPTION</t>
  </si>
  <si>
    <t>KL</t>
  </si>
  <si>
    <t>Kcal/SM³</t>
  </si>
  <si>
    <t>Sp Heat Cons</t>
  </si>
  <si>
    <t>CBM CV</t>
  </si>
  <si>
    <t xml:space="preserve">LDO CV </t>
  </si>
  <si>
    <t>Kcal/Litre</t>
  </si>
  <si>
    <t>Kg</t>
  </si>
  <si>
    <t>HCl</t>
  </si>
  <si>
    <t>PBS-1+2</t>
  </si>
  <si>
    <t xml:space="preserve">POWER AVAILABILITY </t>
  </si>
  <si>
    <t>000 NM³</t>
  </si>
  <si>
    <t xml:space="preserve">Liq Oxygen </t>
  </si>
  <si>
    <t xml:space="preserve">Gaseous Oxygen </t>
  </si>
  <si>
    <t xml:space="preserve">Liq Nitrogen </t>
  </si>
  <si>
    <t xml:space="preserve">Gaseous Nitrogen </t>
  </si>
  <si>
    <t xml:space="preserve">Liquid Argon </t>
  </si>
  <si>
    <t xml:space="preserve">Sp. Water consumption </t>
  </si>
  <si>
    <t xml:space="preserve">Sp. PM emissions </t>
  </si>
  <si>
    <t xml:space="preserve">BOF Slag utilisation </t>
  </si>
  <si>
    <t xml:space="preserve"> T/TCS</t>
  </si>
  <si>
    <t>kg/TCS</t>
  </si>
  <si>
    <t>OVERALL COKE &amp; COKE FRACTION YIELD</t>
  </si>
  <si>
    <t>Imported Coal in Blend (Wet)</t>
  </si>
  <si>
    <t>Fe</t>
  </si>
  <si>
    <t>FeO</t>
  </si>
  <si>
    <t>SiO2</t>
  </si>
  <si>
    <t>Al2O3</t>
  </si>
  <si>
    <t>CaO</t>
  </si>
  <si>
    <t>MgO</t>
  </si>
  <si>
    <t>Basicity</t>
  </si>
  <si>
    <t>SINTER QUALITY</t>
  </si>
  <si>
    <t xml:space="preserve">OVERALL SPECIFIC CONSUMPTION RATE </t>
  </si>
  <si>
    <t xml:space="preserve">Process Return Fines </t>
  </si>
  <si>
    <t xml:space="preserve">Capacity utilisation of rated capacity </t>
  </si>
  <si>
    <t>H.M to B.O.F</t>
  </si>
  <si>
    <t>H.M to P.C.M</t>
  </si>
  <si>
    <t>H.M to Sand Pit</t>
  </si>
  <si>
    <t xml:space="preserve">Deduced Operating days </t>
  </si>
  <si>
    <t>GROSS RAW MATERIALS CONSUMPTION</t>
  </si>
  <si>
    <t>NET RAW MATERIALS CONSUMPTION RATE (DRY BASIS)</t>
  </si>
  <si>
    <t>NET RAW MATERIALS CONSUMPTION (DRY)</t>
  </si>
  <si>
    <t>Gross Coke (i/c Return fines)-Dry</t>
  </si>
  <si>
    <t xml:space="preserve">BFG Consumption </t>
  </si>
  <si>
    <t xml:space="preserve">Caster Losses </t>
  </si>
  <si>
    <t>Caster #1+#2 (Total)</t>
  </si>
  <si>
    <t>Caster #1+#2 (Prime Length)</t>
  </si>
  <si>
    <t>Th Nm³</t>
  </si>
  <si>
    <t>BOF Slag Generation</t>
  </si>
  <si>
    <t>FUEL CONSUMPTION</t>
  </si>
  <si>
    <t>Th NM³</t>
  </si>
  <si>
    <t xml:space="preserve">TOTAL POWER DEMAND </t>
  </si>
  <si>
    <t>PBS-1 (OLD PLANT ZONE)</t>
  </si>
  <si>
    <t>PBS-2 (NEW PLANT ZONE)</t>
  </si>
  <si>
    <t xml:space="preserve">Avg Power Generation </t>
  </si>
  <si>
    <t>TOTAL STG</t>
  </si>
  <si>
    <t>T/ Hr</t>
  </si>
  <si>
    <t>TOTAL POWER AVAILABILITY</t>
  </si>
  <si>
    <t>Avg. Power Availability</t>
  </si>
  <si>
    <t>ThSM³/ Hr</t>
  </si>
  <si>
    <t>BOF GAS CONSUMPTION</t>
  </si>
  <si>
    <t xml:space="preserve">BOF GAS BALANCE-EMD </t>
  </si>
  <si>
    <t>Sinter Plant</t>
  </si>
  <si>
    <t>GENERATION</t>
  </si>
  <si>
    <t>DISTRIBUTION</t>
  </si>
  <si>
    <t>Nos. / day</t>
  </si>
  <si>
    <t>*</t>
  </si>
  <si>
    <t xml:space="preserve">PBS </t>
  </si>
  <si>
    <t>Blower-Stm</t>
  </si>
  <si>
    <t>CDCP (AUX)</t>
  </si>
  <si>
    <t>Loss</t>
  </si>
  <si>
    <t>STG Stm</t>
  </si>
  <si>
    <t>Power Steam Consumption</t>
  </si>
  <si>
    <t>Process Steam Consumption</t>
  </si>
  <si>
    <t>Total Steam Generation</t>
  </si>
  <si>
    <t>STEAM FOR DISTRIBUTION</t>
  </si>
  <si>
    <t>STEAM BALANCE</t>
  </si>
  <si>
    <t>TPH</t>
  </si>
  <si>
    <t>Power Generation PBS-1</t>
  </si>
  <si>
    <t>Power Import from DVC (Old Plant)</t>
  </si>
  <si>
    <t>Power Import from DVC (New Plant)</t>
  </si>
  <si>
    <t>Import from Break Generator</t>
  </si>
  <si>
    <t>Gross Power Availability</t>
  </si>
  <si>
    <t xml:space="preserve">Sinter Plant </t>
  </si>
  <si>
    <t xml:space="preserve">WRM </t>
  </si>
  <si>
    <t xml:space="preserve">BM </t>
  </si>
  <si>
    <t xml:space="preserve">USM </t>
  </si>
  <si>
    <t xml:space="preserve">Compd  Air Stn </t>
  </si>
  <si>
    <t>Transmission/ Distribution Loss &amp; Unaccounted (Old Plant)</t>
  </si>
  <si>
    <t>Transmission/ Distribution Loss &amp; Unaccounted (New Plant)</t>
  </si>
  <si>
    <t>Total Loss</t>
  </si>
  <si>
    <t>Overall Blend Coal Moisture</t>
  </si>
  <si>
    <t>Average Handling Loss</t>
  </si>
  <si>
    <t>CONVERTER BLOWS</t>
  </si>
  <si>
    <t>POWER DISTRIBUTION (KwH)</t>
  </si>
  <si>
    <t>POWER DISTRIBUTION (MW)</t>
  </si>
  <si>
    <t>Calender Days</t>
  </si>
  <si>
    <t>BF working days</t>
  </si>
  <si>
    <t>Gross</t>
  </si>
  <si>
    <t>COKE &amp; COKE FRACTION PRODUCTION (DRY BASIS)</t>
  </si>
  <si>
    <t>10⁶.Cal/ ts</t>
  </si>
  <si>
    <t xml:space="preserve">Crude Benzol </t>
  </si>
  <si>
    <t>Kg/Tdcc</t>
  </si>
  <si>
    <t>Yield of Coal Chemicals</t>
  </si>
  <si>
    <t>(NH4)₂SO4  (New Plant)</t>
  </si>
  <si>
    <t>TOTAL REFINED PRODUCTS</t>
  </si>
  <si>
    <t>Hrs/ day</t>
  </si>
  <si>
    <t>Rolling Hours/ day wrt Mill Avl days</t>
  </si>
  <si>
    <t>H-1</t>
  </si>
  <si>
    <t>SEMIS</t>
  </si>
  <si>
    <t>BF#5</t>
  </si>
  <si>
    <t>Caster #3 Bloom (Prime Length)</t>
  </si>
  <si>
    <t>Operation Power</t>
  </si>
  <si>
    <t>Avg Heats Cast per Day</t>
  </si>
  <si>
    <t>CBM Consumption (BOF-CCP)</t>
  </si>
  <si>
    <t>LIMESTONE/ BURNT LIME</t>
  </si>
  <si>
    <t>LIMESTONE TO LDCP</t>
  </si>
  <si>
    <t>RAW FINES GENERATION</t>
  </si>
  <si>
    <t>NET LIMESTONE CONSUMPTION</t>
  </si>
  <si>
    <t>BURNT LIME PRODUCTION</t>
  </si>
  <si>
    <t>BURNT LIME YIELD</t>
  </si>
  <si>
    <t>BURNT LIME REACTIVITY</t>
  </si>
  <si>
    <t>DOLOMITE/ BURNT DOLO</t>
  </si>
  <si>
    <t>DOLOMITE TO LDCP</t>
  </si>
  <si>
    <t>NET DOLOMITE CONSUMPTION</t>
  </si>
  <si>
    <t>BURNT DOLO YIELD</t>
  </si>
  <si>
    <t>BURNT DOLO REACTIVITY</t>
  </si>
  <si>
    <t>Raw L/St to LDCP/ TCS</t>
  </si>
  <si>
    <t>Kg/TCS</t>
  </si>
  <si>
    <t>Raw Dolo to LDCP/ TCS</t>
  </si>
  <si>
    <t>Parameters</t>
  </si>
  <si>
    <t>Range</t>
  </si>
  <si>
    <t>As per LDCP</t>
  </si>
  <si>
    <t xml:space="preserve">Avg. Cast Weight </t>
  </si>
  <si>
    <t>Mt/ Cast</t>
  </si>
  <si>
    <t>SEMIS (SECTION-WISE &amp; QUALITY-WISE)</t>
  </si>
  <si>
    <t>200 X 280 BLOOMS</t>
  </si>
  <si>
    <t>TOTAL 150 X 150 BLOOMS</t>
  </si>
  <si>
    <t>TOTAL 200 X 280 BLOOMS</t>
  </si>
  <si>
    <t>GRAND TOTAL SEMIS</t>
  </si>
  <si>
    <t>Bauxite</t>
  </si>
  <si>
    <t>Sp Ref Consumption</t>
  </si>
  <si>
    <t>Labour Productivity</t>
  </si>
  <si>
    <t>TCS/Man/Year</t>
  </si>
  <si>
    <t>Calcined Dolo</t>
  </si>
  <si>
    <t>SWR 14</t>
  </si>
  <si>
    <t>H-2</t>
  </si>
  <si>
    <t>T/Utlzn Hr</t>
  </si>
  <si>
    <t>Th K. Cal/t of St. Gen</t>
  </si>
  <si>
    <t>Defective (Mktg)</t>
  </si>
  <si>
    <t>Average Manpower (Works)</t>
  </si>
  <si>
    <t>Boiler coal cons. (Wet Basis)</t>
  </si>
  <si>
    <t xml:space="preserve">Flue Dust </t>
  </si>
  <si>
    <t>&lt;0.8</t>
  </si>
  <si>
    <t>&lt;0.05</t>
  </si>
  <si>
    <t>Avg Casts/ day</t>
  </si>
  <si>
    <t>Metallipop Sampler (Al/ Zr)</t>
  </si>
  <si>
    <t>BF (from BPTG)</t>
  </si>
  <si>
    <t>BOF (from BPTG)</t>
  </si>
  <si>
    <t>Auxiliary &amp; Repair Shop</t>
  </si>
  <si>
    <t>000 NM³/ Hr</t>
  </si>
  <si>
    <t>Auxilliries *</t>
  </si>
  <si>
    <t>BURNT DOLO PRODUCTION</t>
  </si>
  <si>
    <t>GRANULATED SLAG SEGERGATED FROM EARLIER LOSS</t>
  </si>
  <si>
    <t>GROSS GRANULATED SLAG PRODUCTION (Excl Seggr)</t>
  </si>
  <si>
    <t xml:space="preserve">          CONV#2 UTILISATION</t>
  </si>
  <si>
    <t xml:space="preserve">          CONV#1 UTILISATION</t>
  </si>
  <si>
    <t xml:space="preserve">          CONV#3 UTILISATION</t>
  </si>
  <si>
    <t>MKTG DIR (DEF)</t>
  </si>
  <si>
    <t>CMO-WR MILL</t>
  </si>
  <si>
    <t>CMO-BAR MILL</t>
  </si>
  <si>
    <t>CMO-US MILL</t>
  </si>
  <si>
    <t>CaSi</t>
  </si>
  <si>
    <t>FeB</t>
  </si>
  <si>
    <t>FeCr</t>
  </si>
  <si>
    <t>Cu</t>
  </si>
  <si>
    <t xml:space="preserve">COG Cons </t>
  </si>
  <si>
    <t xml:space="preserve">BFG Cons </t>
  </si>
  <si>
    <t>Gross Sinter (i/c Return fines+Diverter Loss)-Dry</t>
  </si>
  <si>
    <t>BF Sinter return fines (Dry)</t>
  </si>
  <si>
    <t xml:space="preserve">          CASTER#1 UTILISATION</t>
  </si>
  <si>
    <t xml:space="preserve">          CASTER#2 UTILISATION</t>
  </si>
  <si>
    <t xml:space="preserve">          CASTER#3 UTILISATION</t>
  </si>
  <si>
    <t>LPG Consumption (CCP)</t>
  </si>
  <si>
    <t>Working days</t>
  </si>
  <si>
    <t>Calender Day</t>
  </si>
  <si>
    <t xml:space="preserve">Return Coke fines (dry) to BMP </t>
  </si>
  <si>
    <t>BF Diverter Sinter (Dry)</t>
  </si>
  <si>
    <t>BF Return Sinter fines (dry) to BMP wrt Gross Sinter Supply (Skip BF+SMS Cons+Return fines+Diverter loss) (%)</t>
  </si>
  <si>
    <t>Diverter loss of Sinter at BF (Dry) wrt Gross Sinter Supply (skip BF+SMS+Return Fines+Diverter loss) (%)</t>
  </si>
  <si>
    <t>Power Generation PBS-2 (STG)+BPTG+TRTG</t>
  </si>
  <si>
    <t>Crude Steel</t>
  </si>
  <si>
    <t>50% of Pig Eq</t>
  </si>
  <si>
    <t>CS+50%Pig Eq</t>
  </si>
  <si>
    <t>Pig+Eq</t>
  </si>
  <si>
    <t>Sections</t>
  </si>
  <si>
    <t>STRUCTURAL SHOP</t>
  </si>
  <si>
    <t>Moisture in BF Return Sinter Fines</t>
  </si>
  <si>
    <t>Moisture in BF Return Coke Fines</t>
  </si>
  <si>
    <t>Moisture in BF Return Iron Ore Fines</t>
  </si>
  <si>
    <t>Iron ore return fines (wet) to BMP from BF#5 (Mt)-RMHP</t>
  </si>
  <si>
    <t>Iron ore return fines (Dry) to BMP from BF#5 (Mt)-RMHP</t>
  </si>
  <si>
    <t xml:space="preserve">Return Iron Ore  fines (dry) to BMP </t>
  </si>
  <si>
    <t>BOF Sludge</t>
  </si>
  <si>
    <t>CMO (HOME SALES)</t>
  </si>
  <si>
    <t>BF Slag Generation</t>
  </si>
  <si>
    <t>BF Slag Utilisation</t>
  </si>
  <si>
    <t>BOF Slag Utilisation</t>
  </si>
  <si>
    <t xml:space="preserve">Net Gran Slag Production </t>
  </si>
  <si>
    <t xml:space="preserve">Total BF Slag Despatch </t>
  </si>
  <si>
    <t>BF Slag Boulder despatch as per CENVAT</t>
  </si>
  <si>
    <t>TOTAL Indigenous</t>
  </si>
  <si>
    <t>Power Req for Old Plant from PBS-2/ MRS</t>
  </si>
  <si>
    <t>Avg Power Req for Old Plant from PBS-2/ MRS</t>
  </si>
  <si>
    <t>Gross Iron Ore Lump (i/c Return fines)-Dry</t>
  </si>
  <si>
    <t>ICC (LVHR)</t>
  </si>
  <si>
    <t>Heats Re-cycled+Dumped heat</t>
  </si>
  <si>
    <t>Electrode</t>
  </si>
  <si>
    <t>Burnt Fines Generation</t>
  </si>
  <si>
    <t>Burnt Fines %</t>
  </si>
  <si>
    <t>FeTi</t>
  </si>
  <si>
    <t>RI</t>
  </si>
  <si>
    <t>RDI</t>
  </si>
  <si>
    <t>BPTG Stm</t>
  </si>
  <si>
    <t>EXP.DEA.TUR.AUX /ESP Boiler</t>
  </si>
  <si>
    <t>IS2830C20MMNACU</t>
  </si>
  <si>
    <t>ICC (MOZ-H)</t>
  </si>
  <si>
    <t xml:space="preserve">BURNT DOLO REACTIVITY </t>
  </si>
  <si>
    <t>CBM consumption</t>
  </si>
  <si>
    <t>M³/Hr</t>
  </si>
  <si>
    <t>Th SM³/ Hr</t>
  </si>
  <si>
    <t>Th.M3/hr</t>
  </si>
  <si>
    <t>BPP COB#11 (from BPTG)</t>
  </si>
  <si>
    <t>BPP COB#8&amp;10 (from BPTG)</t>
  </si>
  <si>
    <t>IS 2830:12 C20MMnC</t>
  </si>
  <si>
    <t>US Soft</t>
  </si>
  <si>
    <t>2018-19</t>
  </si>
  <si>
    <t>TMT Bars</t>
  </si>
  <si>
    <t>TMT Coils</t>
  </si>
  <si>
    <t>#</t>
  </si>
  <si>
    <t>EXPORT WRM</t>
  </si>
  <si>
    <t>EXPORT BAR MILL</t>
  </si>
  <si>
    <t xml:space="preserve">RMHS </t>
  </si>
  <si>
    <t>IS 2830 C20 MMNA</t>
  </si>
  <si>
    <t>Pig Iron</t>
  </si>
  <si>
    <t>CMO HOME SALES</t>
  </si>
  <si>
    <t>QTR-1</t>
  </si>
  <si>
    <t>Avg Power Import from DVC (33 KV)</t>
  </si>
  <si>
    <t>CASTER 1</t>
  </si>
  <si>
    <t>CASTER 2</t>
  </si>
  <si>
    <t>Q1</t>
  </si>
  <si>
    <t>IS: 2830/2012, C20MMn C</t>
  </si>
  <si>
    <t>IS: 7887/1992, 4//SWR-14</t>
  </si>
  <si>
    <t>200X280 BLOOM</t>
  </si>
  <si>
    <t>BB3</t>
  </si>
  <si>
    <t>COB #10 (Tonnes on wet basis)</t>
  </si>
  <si>
    <t>TOTAL COB #10+11 (Tonnes on wet basis)</t>
  </si>
  <si>
    <t>COKE OVENS (COB# 10)</t>
  </si>
  <si>
    <t>OVERALL COAL BLEND - (COB #10+11) (% on wet basis)</t>
  </si>
  <si>
    <t xml:space="preserve">2019-20 </t>
  </si>
  <si>
    <t>4 M</t>
  </si>
  <si>
    <t>OLD, USED &amp; REJECTED REFRACTORY BRICKS</t>
  </si>
  <si>
    <t>6 WRC SAE 1006</t>
  </si>
  <si>
    <t>Total 200x280 Bloom</t>
  </si>
  <si>
    <t>Total BB2</t>
  </si>
  <si>
    <t>Total BB3</t>
  </si>
  <si>
    <t>ROAD CO-EFFICIENT (%)</t>
  </si>
  <si>
    <t>H1</t>
  </si>
  <si>
    <t>2 M</t>
  </si>
  <si>
    <t>ISPEXPT-1</t>
  </si>
  <si>
    <t>QTR-2</t>
  </si>
  <si>
    <t>CMO-SEMIS</t>
  </si>
  <si>
    <t>QTR-3</t>
  </si>
  <si>
    <t>QTR-4</t>
  </si>
  <si>
    <t xml:space="preserve">POWER : </t>
  </si>
  <si>
    <t>IDLE ASSET</t>
  </si>
  <si>
    <t>WET BOILER ASH</t>
  </si>
  <si>
    <t>END CUT PIECES &amp; ARISINGS OF WRM &amp; BM</t>
  </si>
  <si>
    <t xml:space="preserve">MECHANICAL ENGG SHOPS </t>
  </si>
  <si>
    <t>2019-20</t>
  </si>
  <si>
    <t>EXPORT US MILL</t>
  </si>
  <si>
    <t>H2</t>
  </si>
  <si>
    <t>LIQUID ARGON</t>
  </si>
  <si>
    <t>STEEL SCRAP</t>
  </si>
  <si>
    <t>Dolo (Trimming)</t>
  </si>
  <si>
    <t>SAIL TOWER Gr VI (NB)-Alk</t>
  </si>
  <si>
    <t>SAIL TOWER Gr VI (NB)-Sik</t>
  </si>
  <si>
    <t>Apr'20</t>
  </si>
  <si>
    <t>May'20</t>
  </si>
  <si>
    <t>2020-21</t>
  </si>
  <si>
    <t>Nos</t>
  </si>
  <si>
    <t>Overall Equiv. Ovens Pushed</t>
  </si>
  <si>
    <t>Finished Steel</t>
  </si>
  <si>
    <t xml:space="preserve">150x150 mm </t>
  </si>
  <si>
    <t>200x280 mm</t>
  </si>
  <si>
    <t>Saleable Semis</t>
  </si>
  <si>
    <t>Wire Rod Plain Coils</t>
  </si>
  <si>
    <t>Angles</t>
  </si>
  <si>
    <t>Semis</t>
  </si>
  <si>
    <t>Spillage sinter</t>
  </si>
  <si>
    <t>BY RAIL</t>
  </si>
  <si>
    <t>BY ROAD</t>
  </si>
  <si>
    <t>BY PRODUCT</t>
  </si>
  <si>
    <t>CRUDE COAL TAR</t>
  </si>
  <si>
    <t>Others</t>
  </si>
  <si>
    <t>LIQUID OXYGEN</t>
  </si>
  <si>
    <t>BF GRANULATED SLAG</t>
  </si>
  <si>
    <t>NEPAL</t>
  </si>
  <si>
    <t>K#2</t>
  </si>
  <si>
    <t>K#3</t>
  </si>
  <si>
    <t>K#4</t>
  </si>
  <si>
    <t>55 MTR. BELT</t>
  </si>
  <si>
    <t>K#1</t>
  </si>
  <si>
    <t xml:space="preserve">Auxilliries </t>
  </si>
  <si>
    <t>Overall Mixed Coke Moisture</t>
  </si>
  <si>
    <t>FeV</t>
  </si>
  <si>
    <t>FeNb</t>
  </si>
  <si>
    <t>Oman Lime</t>
  </si>
  <si>
    <t>NFC</t>
  </si>
  <si>
    <t>Net PCI Production</t>
  </si>
  <si>
    <t>Total casts</t>
  </si>
  <si>
    <t>No</t>
  </si>
  <si>
    <t>Hot metal consumed in BOF</t>
  </si>
  <si>
    <t>TOTAL EQUIVALENT PIG IRON</t>
  </si>
  <si>
    <t>Nepal</t>
  </si>
  <si>
    <t>CB HCRM C</t>
  </si>
  <si>
    <t>SAILTOWER-GR6-NB</t>
  </si>
  <si>
    <t>SAILTOWER-GR6-V</t>
  </si>
  <si>
    <t>SAILTOWER-GR6-NB (A)</t>
  </si>
  <si>
    <t>BENZENE</t>
  </si>
  <si>
    <t>COKE DUST FINES</t>
  </si>
  <si>
    <t>IRON SCRAP</t>
  </si>
  <si>
    <t>PROCESSED CI SCRAP</t>
  </si>
  <si>
    <t>REFRACTORY</t>
  </si>
  <si>
    <t>OPERATION POWER(NEW)</t>
  </si>
  <si>
    <t>COB-11 ( CCHP,Battery, CDCP, BPP)</t>
  </si>
  <si>
    <t>Blast Furnace</t>
  </si>
  <si>
    <t>SMS(BOF, LF &amp; CCP)</t>
  </si>
  <si>
    <t>Oxygen Plant</t>
  </si>
  <si>
    <t>WTP (WMD)</t>
  </si>
  <si>
    <t>RSPH (NEW)</t>
  </si>
  <si>
    <t xml:space="preserve">New Plant Misc. Consu  </t>
  </si>
  <si>
    <t>OPERATION POWER(OLD)</t>
  </si>
  <si>
    <t>COB-10( CO operation, BPP &amp; Benzol plant)</t>
  </si>
  <si>
    <t>Old Iron zone operation(Excl. COB-10)</t>
  </si>
  <si>
    <t>old steel zone operation</t>
  </si>
  <si>
    <t xml:space="preserve">0.2* RSPH (OLD) </t>
  </si>
  <si>
    <t>TOTAL NON-OPERATION POWER</t>
  </si>
  <si>
    <t>NON-OPERATION POWER(NEW)</t>
  </si>
  <si>
    <t>PBS-2 Aux</t>
  </si>
  <si>
    <t>NON-OPERATION POWER(OLD)</t>
  </si>
  <si>
    <t>Old plant Non-operation (Excluding Township)</t>
  </si>
  <si>
    <t>Township</t>
  </si>
  <si>
    <t>0.8*RSPH (Old)</t>
  </si>
  <si>
    <t>PBS-1 Aux(Including RPH 2 contribution)</t>
  </si>
  <si>
    <t>TOTAL OPERATION POWER</t>
  </si>
  <si>
    <t>Old Plant/Auxiliries</t>
  </si>
  <si>
    <t>Sr. No.</t>
  </si>
  <si>
    <t>GROSS POWER AVAILABLE</t>
  </si>
  <si>
    <t>TOTAL LOSSES</t>
  </si>
  <si>
    <t>NET POWER AVAILABLE</t>
  </si>
  <si>
    <t>TOTAL POWER DISTRIBUTED</t>
  </si>
  <si>
    <t>4.1.1</t>
  </si>
  <si>
    <t>4.1.1.1</t>
  </si>
  <si>
    <t>4.1.1.2</t>
  </si>
  <si>
    <t>4.1.1.3</t>
  </si>
  <si>
    <t>4.1.1.4</t>
  </si>
  <si>
    <t>4.1.1.5</t>
  </si>
  <si>
    <t>4.1.1.6</t>
  </si>
  <si>
    <t>4.1.1.7</t>
  </si>
  <si>
    <t>PBS-1 Aux (Including RPH-2 contribution)</t>
  </si>
  <si>
    <t>4.1.1.8</t>
  </si>
  <si>
    <t xml:space="preserve">PBS-2 Aux. </t>
  </si>
  <si>
    <t>4.1.1.9</t>
  </si>
  <si>
    <t>4.1.1.10</t>
  </si>
  <si>
    <t>4.1.1.11</t>
  </si>
  <si>
    <t>Township(PBS-1, old steel zone &amp; old iron zone)</t>
  </si>
  <si>
    <t>4.1.1.12</t>
  </si>
  <si>
    <t>4.1.1.13</t>
  </si>
  <si>
    <t>RSPH (New + Old)</t>
  </si>
  <si>
    <t>4.1.1.14</t>
  </si>
  <si>
    <t>4.1.2</t>
  </si>
  <si>
    <t>4.1.2.1</t>
  </si>
  <si>
    <t>4.1.2.2</t>
  </si>
  <si>
    <t>4.1.2.3</t>
  </si>
  <si>
    <t>TOTAL CONSUMPTION (New + Old)</t>
  </si>
  <si>
    <t>4.2.1</t>
  </si>
  <si>
    <t>4.2.1.1</t>
  </si>
  <si>
    <t>4.2.2</t>
  </si>
  <si>
    <t>4.2.2.1</t>
  </si>
  <si>
    <t>4.2.2.2</t>
  </si>
  <si>
    <t>4.2.2.3</t>
  </si>
  <si>
    <t>4.2.2.4</t>
  </si>
  <si>
    <t>Power Cons-CCHP,Battery, CDCP, BPP</t>
  </si>
  <si>
    <t>Sp Power Cons-CCHP,Battery, CDCP, BPP</t>
  </si>
  <si>
    <t>Power Cons-(CO operation, BPP &amp; Benzol plant)</t>
  </si>
  <si>
    <t>Sp Power Cons-(CO operation, BPP &amp; Benzol plant)</t>
  </si>
  <si>
    <t>COKING COAL CONSUMPTION INC OF HANDLING LOSS</t>
  </si>
  <si>
    <t>Iron Ore Fines</t>
  </si>
  <si>
    <t>Dolomite</t>
  </si>
  <si>
    <t>Limestone</t>
  </si>
  <si>
    <t>LD Slag(-10mm)</t>
  </si>
  <si>
    <t>Flue Dust</t>
  </si>
  <si>
    <t>Trimming Dolomite SP</t>
  </si>
  <si>
    <t>Trimming Limestone SP</t>
  </si>
  <si>
    <t>Limestone fines(basemix input)+limestone trimming (Sinter input)</t>
  </si>
  <si>
    <t>Dolomite fines(basemix input)+Dolo trimming (Sinter input)</t>
  </si>
  <si>
    <t>Coke Breeze (basemix input)+Coke Breeze trimming (Sinter input)</t>
  </si>
  <si>
    <t>Limestone to LDCP</t>
  </si>
  <si>
    <t>Heating Coke (Dry)</t>
  </si>
  <si>
    <t>ICC (MOZ)/Benga</t>
  </si>
  <si>
    <t>BENZOL</t>
  </si>
  <si>
    <t>LIGHT SOLVENT NAPHTHA</t>
  </si>
  <si>
    <t>BF SLAG BOULDER</t>
  </si>
  <si>
    <t>BY PIPELINE</t>
  </si>
  <si>
    <t>OXYGEN GAS</t>
  </si>
  <si>
    <t>QTR 1</t>
  </si>
  <si>
    <t>CaFe</t>
  </si>
  <si>
    <t>Scrap Cu</t>
  </si>
  <si>
    <t>Oxygen enrichment %</t>
  </si>
  <si>
    <t>Scrap Generation (COBBLE/chop)</t>
  </si>
  <si>
    <t>Crop</t>
  </si>
  <si>
    <t>Scale</t>
  </si>
  <si>
    <t>Scrap Generation(Cobble+Chop)</t>
  </si>
  <si>
    <t xml:space="preserve"> Scales</t>
  </si>
  <si>
    <t xml:space="preserve">CRUDE STEEL PRODN </t>
  </si>
  <si>
    <t>Prime Scrap Charged - Mt</t>
  </si>
  <si>
    <t>Process Scrap Charged - Mt</t>
  </si>
  <si>
    <t xml:space="preserve"> CDCP and By product</t>
  </si>
  <si>
    <t>LDCP,CDI,MISC</t>
  </si>
  <si>
    <t>CCP,GPO</t>
  </si>
  <si>
    <t>STILL BOTTOM OIL</t>
  </si>
  <si>
    <t>WHIZZED NAPHTHALENE</t>
  </si>
  <si>
    <t>DISMANTLED MILD STEEL SCRAP</t>
  </si>
  <si>
    <t>Spl Steel of total Bar Mill Prod</t>
  </si>
  <si>
    <t>Spl Steel Production</t>
  </si>
  <si>
    <t>Spl Steel of total WR Mill Prod</t>
  </si>
  <si>
    <t>SMS Sinter consumption</t>
  </si>
  <si>
    <t xml:space="preserve">HM consumed in BOF  </t>
  </si>
  <si>
    <t>Scrap Consumption rate</t>
  </si>
  <si>
    <t>% of Mill Arisings</t>
  </si>
  <si>
    <t>REJECTIONS</t>
  </si>
  <si>
    <t>PRIME Production</t>
  </si>
  <si>
    <t>Total Rejections</t>
  </si>
  <si>
    <t xml:space="preserve">Total Mill Arisings </t>
  </si>
  <si>
    <t>Material Balance</t>
  </si>
  <si>
    <t>Charged wt</t>
  </si>
  <si>
    <t>Rejections</t>
  </si>
  <si>
    <t>prime production</t>
  </si>
  <si>
    <t>Yield weight/ Production</t>
  </si>
  <si>
    <t>Yield weight/Production</t>
  </si>
  <si>
    <t>Mill Arisings/scrap generation (Cobble/chop/crop)</t>
  </si>
  <si>
    <t>Mill Arisings/ Scrap generation (Cobble/chop/crop)</t>
  </si>
  <si>
    <t>Charged wt - Mill Arisings - Scale - Yield wt</t>
  </si>
  <si>
    <t>5 M</t>
  </si>
  <si>
    <t>DISMANTLED CAST IRON SCRAP</t>
  </si>
  <si>
    <t>DART</t>
  </si>
  <si>
    <t>LCFeMn</t>
  </si>
  <si>
    <t>QTR 2</t>
  </si>
  <si>
    <t>BF Coke Yield</t>
  </si>
  <si>
    <t>Equivalent Dry Coal</t>
  </si>
  <si>
    <t>Equivalent Wet Coal</t>
  </si>
  <si>
    <t>Handling Loss</t>
  </si>
  <si>
    <t>BOKARO</t>
  </si>
  <si>
    <t>DURGAPUR</t>
  </si>
  <si>
    <t>BILLET IS7904 HCT1130Cr (PC115)</t>
  </si>
  <si>
    <t xml:space="preserve">NET CHARGE WEIGHT </t>
  </si>
  <si>
    <t>Al wire +bar</t>
  </si>
  <si>
    <t>Spl Steel of total US Mill Prod</t>
  </si>
  <si>
    <t>Grade</t>
  </si>
  <si>
    <t>sectional wt</t>
  </si>
  <si>
    <t>IPE300</t>
  </si>
  <si>
    <t>IPE400</t>
  </si>
  <si>
    <t>IPE400A</t>
  </si>
  <si>
    <t>IPE500</t>
  </si>
  <si>
    <t xml:space="preserve">IPE600 </t>
  </si>
  <si>
    <t xml:space="preserve">32 mm TMT </t>
  </si>
  <si>
    <t xml:space="preserve">40 mm TMT </t>
  </si>
  <si>
    <t xml:space="preserve">20 mm TMT </t>
  </si>
  <si>
    <t xml:space="preserve">16 mm TMT </t>
  </si>
  <si>
    <t xml:space="preserve">12 mm TMT </t>
  </si>
  <si>
    <t xml:space="preserve">10 mm TMT </t>
  </si>
  <si>
    <t xml:space="preserve">8 mm TMT </t>
  </si>
  <si>
    <t>Fe-500D SEQR</t>
  </si>
  <si>
    <t xml:space="preserve">22 mm Plain Coil </t>
  </si>
  <si>
    <t xml:space="preserve">16 mm Plain Coil </t>
  </si>
  <si>
    <t xml:space="preserve">12 mm Plain Coil </t>
  </si>
  <si>
    <t xml:space="preserve">10 mm Plain Coil </t>
  </si>
  <si>
    <t xml:space="preserve">8 mm Plain Coil </t>
  </si>
  <si>
    <t xml:space="preserve">7 mm Plain Coil </t>
  </si>
  <si>
    <t xml:space="preserve">6 mm Plain Coil </t>
  </si>
  <si>
    <t xml:space="preserve">5.5 mm Plain Coil </t>
  </si>
  <si>
    <t xml:space="preserve">8 mm TMT Coil </t>
  </si>
  <si>
    <t>EWNR</t>
  </si>
  <si>
    <t>MIG</t>
  </si>
  <si>
    <t>Fe-500D</t>
  </si>
  <si>
    <t>Fe-500D SeQR</t>
  </si>
  <si>
    <t xml:space="preserve">14 mm Plain Coil </t>
  </si>
  <si>
    <t>EN8D</t>
  </si>
  <si>
    <t>Total Fe-Mn</t>
  </si>
  <si>
    <t>COPPER SCRAP</t>
  </si>
  <si>
    <t xml:space="preserve">20 mm Plain Coil </t>
  </si>
  <si>
    <t>HC62 B</t>
  </si>
  <si>
    <t>IS7904/HCT1130CR PC115</t>
  </si>
  <si>
    <t>Fe-550D</t>
  </si>
  <si>
    <t xml:space="preserve">IPE-300 </t>
  </si>
  <si>
    <t xml:space="preserve">IPE-400 </t>
  </si>
  <si>
    <t xml:space="preserve">IPE-450 </t>
  </si>
  <si>
    <t xml:space="preserve">IPE-450 A </t>
  </si>
  <si>
    <t xml:space="preserve">IPE-500 </t>
  </si>
  <si>
    <t xml:space="preserve">IPE-600 </t>
  </si>
  <si>
    <t xml:space="preserve">Angle 150 / 150 / 12 </t>
  </si>
  <si>
    <t>IS 2062 E350 BR-150/7.1/42.24</t>
  </si>
  <si>
    <t>IS 2062 E250 BR-150/7.1/42.24</t>
  </si>
  <si>
    <t>IS 2062 E350 BR-150/6.1/36.52</t>
  </si>
  <si>
    <t>IS 2062 E350 BR-180/7/57.38</t>
  </si>
  <si>
    <t>IS 2062 E350 BR-180/8.6/66.3</t>
  </si>
  <si>
    <t>IS 2062 E250 BR-180/8.6/66.3</t>
  </si>
  <si>
    <t>IS 2062 E350 BR-190/ 9.4/77.57</t>
  </si>
  <si>
    <t>IS 2062 E250 BR-190/ 9.4/77.57</t>
  </si>
  <si>
    <t>IS 2062 E350 BR-190 7.6/67.15</t>
  </si>
  <si>
    <t>IS 2062 E350 BR-200/10.2/90.68</t>
  </si>
  <si>
    <t>IS 2062 E350 BR-220/12/122.45</t>
  </si>
  <si>
    <t>IPE-500 A</t>
  </si>
  <si>
    <t>IS 2062 E350 BR</t>
  </si>
  <si>
    <t>IS 2062 E250 BR</t>
  </si>
  <si>
    <t>HC52 B</t>
  </si>
  <si>
    <t>EN8D AlK</t>
  </si>
  <si>
    <t>IS7887GR7M/SAE1018 AlK</t>
  </si>
  <si>
    <t>IS7887GR4/SAE1010/SWR 14 AlK</t>
  </si>
  <si>
    <t>IS7887GR7M/SAE1018</t>
  </si>
  <si>
    <t>IS 7887GR3 SWR10/SAE 1008</t>
  </si>
  <si>
    <t>IPE300O</t>
  </si>
  <si>
    <t>Rejected IPE 300</t>
  </si>
  <si>
    <t>Rejected IPE 400</t>
  </si>
  <si>
    <t>USED &amp; REJECTED REFRACTORY SCRAPS</t>
  </si>
  <si>
    <t>HC78 B</t>
  </si>
  <si>
    <t>IS 2062 E250 BR-190 7.6/67.15</t>
  </si>
  <si>
    <t>IS 2062 E250 BR-220/12/122.45</t>
  </si>
  <si>
    <t>9 M</t>
  </si>
  <si>
    <t>Jamabad</t>
  </si>
  <si>
    <t>EN8D Cr</t>
  </si>
  <si>
    <t>IPE450</t>
  </si>
  <si>
    <t>IS 2062 E250 BR-200/10.2/90.68</t>
  </si>
  <si>
    <t>HC78B/PC115/HCT1130Cr</t>
  </si>
  <si>
    <t>Moisture On HL</t>
  </si>
  <si>
    <t>Screening Loss</t>
  </si>
  <si>
    <t>Wet Consumption</t>
  </si>
  <si>
    <t>Nut coke</t>
  </si>
  <si>
    <t>LD Slag</t>
  </si>
  <si>
    <t>Iron Ore Lump(Bed+BF) screening loss</t>
  </si>
  <si>
    <t>Dry consumption</t>
  </si>
  <si>
    <t>Finance consumption calculation</t>
  </si>
  <si>
    <t>Finance calculation</t>
  </si>
  <si>
    <t>Handling loss</t>
  </si>
  <si>
    <t>kg/Tsinter</t>
  </si>
  <si>
    <t>Iron Ore Fines (dry)</t>
  </si>
  <si>
    <t>Return iron ore fines</t>
  </si>
  <si>
    <t>IOF Moisture</t>
  </si>
  <si>
    <t>IOL Moisture</t>
  </si>
  <si>
    <t>Total Iron ore fines purchased</t>
  </si>
  <si>
    <t>screening loss</t>
  </si>
  <si>
    <t>Dolomite to LDCP</t>
  </si>
  <si>
    <t>Calcined lime screening loss</t>
  </si>
  <si>
    <t>Calcined lime consumption at SMS</t>
  </si>
  <si>
    <t>Screen loss</t>
  </si>
  <si>
    <t>Calcined Dolo consumption at SMS</t>
  </si>
  <si>
    <t>Calcined Dolo screening loss</t>
  </si>
  <si>
    <t>BASE MIX INPUT FOR SINTER PLANT WET (Mt)</t>
  </si>
  <si>
    <t>BASE MIX INPUT FOR SINTER PLANT WET (Kg/T)</t>
  </si>
  <si>
    <t>SINTER PLANT INPUT WET (Mt)</t>
  </si>
  <si>
    <t>SINTER PLANT INPUT WET (Kg/T)</t>
  </si>
  <si>
    <t>Channels</t>
  </si>
  <si>
    <t>ISMC300</t>
  </si>
  <si>
    <t>Rejected ISMC300</t>
  </si>
  <si>
    <t>CHANNEL 300*90*7.8</t>
  </si>
  <si>
    <t>DISMANTLED RUSTED MILD STEEL SHEETS</t>
  </si>
  <si>
    <t>ISPEXPT10</t>
  </si>
  <si>
    <t>IS: 2830/2012, C20MMn A (Cu)</t>
  </si>
  <si>
    <t>2021-22</t>
  </si>
  <si>
    <t>E350</t>
  </si>
  <si>
    <t>WPB 240*240*83.20</t>
  </si>
  <si>
    <t xml:space="preserve">28 mm TMT </t>
  </si>
  <si>
    <t xml:space="preserve">EN8D </t>
  </si>
  <si>
    <t>E250A</t>
  </si>
  <si>
    <t>28 mm TMT</t>
  </si>
  <si>
    <t>IS2830C25HMN</t>
  </si>
  <si>
    <t>PROCESSED 0-10 MM LD SLAG</t>
  </si>
  <si>
    <t>NON FERROUS</t>
  </si>
  <si>
    <t>BHILAI</t>
  </si>
  <si>
    <t>Hot Metal Production</t>
  </si>
  <si>
    <t>BF Coke Requirement (Dry)</t>
  </si>
  <si>
    <t>Nut Coke Requirement (Dry)</t>
  </si>
  <si>
    <t>BF Return Fines (Dry)</t>
  </si>
  <si>
    <t>Total  Coke Requirment</t>
  </si>
  <si>
    <t xml:space="preserve">Heating Coke </t>
  </si>
  <si>
    <t>CDI Coal Requirment</t>
  </si>
  <si>
    <t>Total Coal Requirment</t>
  </si>
  <si>
    <t xml:space="preserve">Coal to HM </t>
  </si>
  <si>
    <t>Mill</t>
  </si>
  <si>
    <t>April'21</t>
  </si>
  <si>
    <t>Total WR Mill</t>
  </si>
  <si>
    <t>Total Bar Mill</t>
  </si>
  <si>
    <t xml:space="preserve">Total US Mill </t>
  </si>
  <si>
    <t>SAE 1006 / GR 2</t>
  </si>
  <si>
    <t>HC 38B</t>
  </si>
  <si>
    <t>SAE 1008 / GR 3 / SWR 10</t>
  </si>
  <si>
    <t>HC 62B</t>
  </si>
  <si>
    <t>HC 52B</t>
  </si>
  <si>
    <t>HC 72B</t>
  </si>
  <si>
    <t>HC 82B</t>
  </si>
  <si>
    <t>SAE 1018 / GR 7</t>
  </si>
  <si>
    <t xml:space="preserve">150 Billets </t>
  </si>
  <si>
    <t xml:space="preserve">200 Blooms </t>
  </si>
  <si>
    <t>Special Salebale Steel</t>
  </si>
  <si>
    <t>% Special Salebale Steel</t>
  </si>
  <si>
    <t xml:space="preserve">% </t>
  </si>
  <si>
    <t>MILL</t>
  </si>
  <si>
    <t>6 TMTC</t>
  </si>
  <si>
    <t>BAR Mill</t>
  </si>
  <si>
    <t xml:space="preserve">Total SEQR </t>
  </si>
  <si>
    <t>Production</t>
  </si>
  <si>
    <t xml:space="preserve">Dispatch </t>
  </si>
  <si>
    <t>May'21</t>
  </si>
  <si>
    <t>HC 80B</t>
  </si>
  <si>
    <t>SAIL Tower</t>
  </si>
  <si>
    <t xml:space="preserve">SAE 1010 </t>
  </si>
  <si>
    <t>Jun'21</t>
  </si>
  <si>
    <t>PIG IRON MIXED MOG</t>
  </si>
  <si>
    <t>Trimming Coke Breeze SP</t>
  </si>
  <si>
    <t>Th. NM³/Hr</t>
  </si>
  <si>
    <t>Th.NM3/Hr</t>
  </si>
  <si>
    <t>HC38 B</t>
  </si>
  <si>
    <t>IS 2062 E250 BR-180/7/57.38</t>
  </si>
  <si>
    <t>IS 2062 E250 BR-150/7.1/49.32</t>
  </si>
  <si>
    <t>COAL TO HOT METAL RATIO</t>
  </si>
  <si>
    <t>SEQR PRODUCTION AND DISPATCH</t>
  </si>
  <si>
    <t>Jul'21</t>
  </si>
  <si>
    <t>AWSA5.18ER70S-6(MIG)</t>
  </si>
  <si>
    <t xml:space="preserve">6.5 mm Plain Coil </t>
  </si>
  <si>
    <t>Fe-500D HCR</t>
  </si>
  <si>
    <t>Fe-550D HCR</t>
  </si>
  <si>
    <t>JIS G3131 SPHC</t>
  </si>
  <si>
    <t>Bhelatand</t>
  </si>
  <si>
    <t>BF Return Sinter fines</t>
  </si>
  <si>
    <t>BF Return Coke fines</t>
  </si>
  <si>
    <t>BF Return Iron ore fines</t>
  </si>
  <si>
    <t>6.5 mm Plain Coil</t>
  </si>
  <si>
    <t>Fe 500 D/HCR</t>
  </si>
  <si>
    <t>E250</t>
  </si>
  <si>
    <t>Rejected IPE 450</t>
  </si>
  <si>
    <t>BOBS</t>
  </si>
  <si>
    <t>BOXN</t>
  </si>
  <si>
    <t>GUA</t>
  </si>
  <si>
    <t>BOLANI</t>
  </si>
  <si>
    <t>DALGAON</t>
  </si>
  <si>
    <t>RSMML</t>
  </si>
  <si>
    <t>IMPORTED</t>
  </si>
  <si>
    <t>PCC</t>
  </si>
  <si>
    <t>Aug'21</t>
  </si>
  <si>
    <t xml:space="preserve">JIS G3101 400 </t>
  </si>
  <si>
    <t>Fines</t>
  </si>
  <si>
    <t>Pure Calcium</t>
  </si>
  <si>
    <t>Consumption at RMHP</t>
  </si>
  <si>
    <t>Consumption at BF</t>
  </si>
  <si>
    <t>16 mm</t>
  </si>
  <si>
    <t>12 mm</t>
  </si>
  <si>
    <t xml:space="preserve">10 mm </t>
  </si>
  <si>
    <t>7 mm</t>
  </si>
  <si>
    <t>8 mm</t>
  </si>
  <si>
    <t>6.5 mm</t>
  </si>
  <si>
    <t>6 mm</t>
  </si>
  <si>
    <t xml:space="preserve">5.5 mm </t>
  </si>
  <si>
    <t>SAE 1010/ GR 4/ SWR 14 Al Killed</t>
  </si>
  <si>
    <t>SAE 1018 / GR 7 Al Killed</t>
  </si>
  <si>
    <t xml:space="preserve">Saleable Steel Production </t>
  </si>
  <si>
    <t>Total Billets 150X150</t>
  </si>
  <si>
    <t>Total Blooms 200X280</t>
  </si>
  <si>
    <t>Fe-500 D/ EQR</t>
  </si>
  <si>
    <t>Fe-550 D/ EQR</t>
  </si>
  <si>
    <t>Fe-550 D/ HCR</t>
  </si>
  <si>
    <t>Dispatch via secondary sales</t>
  </si>
  <si>
    <t>12 mm Plain Coil</t>
  </si>
  <si>
    <t>40 mm</t>
  </si>
  <si>
    <t>32 mm</t>
  </si>
  <si>
    <t>Sp. Productivity</t>
  </si>
  <si>
    <t>Sp. Power</t>
  </si>
  <si>
    <t xml:space="preserve">COB#10           </t>
  </si>
  <si>
    <t xml:space="preserve">                      M40 </t>
  </si>
  <si>
    <t>CSR</t>
  </si>
  <si>
    <t>CRI</t>
  </si>
  <si>
    <t xml:space="preserve">COB#11  </t>
  </si>
  <si>
    <t xml:space="preserve">                               M40 </t>
  </si>
  <si>
    <t>Hot Blast Temp</t>
  </si>
  <si>
    <t>Slag Rate</t>
  </si>
  <si>
    <t>Cast Weight</t>
  </si>
  <si>
    <t>T/ Cast</t>
  </si>
  <si>
    <t>Utilization</t>
  </si>
  <si>
    <t>Yield</t>
  </si>
  <si>
    <t>BLAST FURNACE</t>
  </si>
  <si>
    <t>SMS</t>
  </si>
  <si>
    <t>MILLS</t>
  </si>
  <si>
    <t>ENERGY &amp; POWER</t>
  </si>
  <si>
    <t>ENVIRONMENT</t>
  </si>
  <si>
    <t>LABOR PRODUCTIVITY</t>
  </si>
  <si>
    <t>DEPARTMENTS</t>
  </si>
  <si>
    <t>Downgraded</t>
  </si>
  <si>
    <t>E250 A</t>
  </si>
  <si>
    <t>Sep'21</t>
  </si>
  <si>
    <t>ISMC250</t>
  </si>
  <si>
    <t>IPE450 A</t>
  </si>
  <si>
    <t>IS 2830C25HMN MA V55</t>
  </si>
  <si>
    <t>IS 2830C25HMN MA V65</t>
  </si>
  <si>
    <t>CHANNEL 250*82*9</t>
  </si>
  <si>
    <t xml:space="preserve">IS 2830C25HMN MA V55 </t>
  </si>
  <si>
    <t>BB1 IS: 2062/2011; E250C</t>
  </si>
  <si>
    <t>BB1</t>
  </si>
  <si>
    <t>Total BB1</t>
  </si>
  <si>
    <t>JOIST SCRAP</t>
  </si>
  <si>
    <t>NARROW PARALLEL BEAM SCRAP</t>
  </si>
  <si>
    <t>WIDE PARALLEL BEAM SCRAP</t>
  </si>
  <si>
    <t>REJECTED TMT BAR SCRAP</t>
  </si>
  <si>
    <t>INTERNAL CONSUMPTION</t>
  </si>
  <si>
    <t>END CUT &amp; ARISINGS SCRAP OF WRM &amp; BM</t>
  </si>
  <si>
    <t>TOTAL INTERNAL CONSUMPTION</t>
  </si>
  <si>
    <r>
      <t>(NH4)</t>
    </r>
    <r>
      <rPr>
        <sz val="12"/>
        <rFont val="Calibri"/>
        <family val="2"/>
      </rPr>
      <t>₂</t>
    </r>
    <r>
      <rPr>
        <sz val="12"/>
        <rFont val="Times New Roman"/>
        <family val="1"/>
      </rPr>
      <t>SO4 (Existing Plant)</t>
    </r>
  </si>
  <si>
    <r>
      <t>Total (NH4)</t>
    </r>
    <r>
      <rPr>
        <b/>
        <sz val="12"/>
        <rFont val="Calibri"/>
        <family val="2"/>
      </rPr>
      <t>₂</t>
    </r>
    <r>
      <rPr>
        <b/>
        <sz val="12"/>
        <rFont val="Times New Roman"/>
        <family val="1"/>
      </rPr>
      <t>SO4</t>
    </r>
  </si>
  <si>
    <r>
      <t>10</t>
    </r>
    <r>
      <rPr>
        <sz val="11"/>
        <rFont val="Calibri"/>
        <family val="2"/>
      </rPr>
      <t>⁶</t>
    </r>
    <r>
      <rPr>
        <sz val="11"/>
        <rFont val="Times New Roman"/>
        <family val="1"/>
      </rPr>
      <t xml:space="preserve"> k.cal/t</t>
    </r>
  </si>
  <si>
    <t>Short length (&lt;6 m)</t>
  </si>
  <si>
    <t>Charged wt - Mill Arisings - Scale - Yield wt-short length</t>
  </si>
  <si>
    <r>
      <t xml:space="preserve">BF Diverter Sinter (Wet)- </t>
    </r>
    <r>
      <rPr>
        <b/>
        <sz val="11"/>
        <rFont val="Times New Roman"/>
        <family val="1"/>
      </rPr>
      <t>As per Sinter Plant</t>
    </r>
  </si>
  <si>
    <r>
      <t>10</t>
    </r>
    <r>
      <rPr>
        <sz val="11"/>
        <rFont val="Calibri"/>
        <family val="2"/>
      </rPr>
      <t>⁶</t>
    </r>
    <r>
      <rPr>
        <sz val="11"/>
        <rFont val="Times New Roman"/>
        <family val="1"/>
      </rPr>
      <t xml:space="preserve"> K.Cal/tcw</t>
    </r>
  </si>
  <si>
    <t>POWER &amp; BLOWING STATION</t>
  </si>
  <si>
    <r>
      <t>Th NM</t>
    </r>
    <r>
      <rPr>
        <sz val="11"/>
        <rFont val="Calibri"/>
        <family val="2"/>
      </rPr>
      <t>³</t>
    </r>
  </si>
  <si>
    <r>
      <t>000Sm</t>
    </r>
    <r>
      <rPr>
        <sz val="11"/>
        <rFont val="Calibri"/>
        <family val="2"/>
      </rPr>
      <t>³</t>
    </r>
  </si>
  <si>
    <t>Oct'21</t>
  </si>
  <si>
    <t>7 M</t>
  </si>
  <si>
    <t>CAST HOUSE DEBRIS</t>
  </si>
  <si>
    <t xml:space="preserve">22 mm </t>
  </si>
  <si>
    <t>IS2830C15HMNALKNB15</t>
  </si>
  <si>
    <t>High Carbon grades Production</t>
  </si>
  <si>
    <t>% DIRECT (CMO+ITD+Plant Sales+IPT)</t>
  </si>
  <si>
    <t>Calcined Lime(LDCP) (LF)</t>
  </si>
  <si>
    <t>HE200*200</t>
  </si>
  <si>
    <t>HE200A</t>
  </si>
  <si>
    <t xml:space="preserve">IS2830 C18MMNC-ALK </t>
  </si>
  <si>
    <t>IS 2062 E350 BR-150/7.1/49.32</t>
  </si>
  <si>
    <t>IS2830 C18MMNC-ALK</t>
  </si>
  <si>
    <t>Production : High Carbon Grades</t>
  </si>
  <si>
    <t>check point</t>
  </si>
  <si>
    <t>DIRECT SALES/INTERNAL CONSUMPTION/IPT DETAILS</t>
  </si>
  <si>
    <r>
      <t xml:space="preserve">INTER PLANT TRANSFER </t>
    </r>
    <r>
      <rPr>
        <b/>
        <sz val="20"/>
        <color rgb="FFFF6699"/>
        <rFont val="Times New Roman"/>
        <family val="1"/>
      </rPr>
      <t>(OUTGOING)</t>
    </r>
    <r>
      <rPr>
        <b/>
        <sz val="20"/>
        <rFont val="Times New Roman"/>
        <family val="1"/>
      </rPr>
      <t>:</t>
    </r>
  </si>
  <si>
    <t>ALLOY STEELS PLANT</t>
  </si>
  <si>
    <t>SAIL GROWTH WORKS, KULTI</t>
  </si>
  <si>
    <t>LIQUID ARGON (ASP)</t>
  </si>
  <si>
    <r>
      <t xml:space="preserve">INTER PLANT TRANSFER </t>
    </r>
    <r>
      <rPr>
        <b/>
        <sz val="20"/>
        <color rgb="FFFF6699"/>
        <rFont val="Times New Roman"/>
        <family val="1"/>
      </rPr>
      <t>(INCOMING)</t>
    </r>
    <r>
      <rPr>
        <b/>
        <sz val="20"/>
        <rFont val="Times New Roman"/>
        <family val="1"/>
      </rPr>
      <t>:</t>
    </r>
  </si>
  <si>
    <t>CHANDRAPUR FERRO ALLOY PLANT</t>
  </si>
  <si>
    <t>16 mm TMT (Fe-500D)</t>
  </si>
  <si>
    <t>SAIL TOWER 6- V</t>
  </si>
  <si>
    <t>USED &amp; REJECTED EMPTY BAGS</t>
  </si>
  <si>
    <t>Consideration in internal consumption</t>
  </si>
  <si>
    <t>SAIL TOWER Gr VI (V)-Alk</t>
  </si>
  <si>
    <t>SAE 1008 / GR 3 / SWR 10 AlK</t>
  </si>
  <si>
    <t>8 mm WRC</t>
  </si>
  <si>
    <t>8 mm TMTC</t>
  </si>
  <si>
    <t>Fe-600 D</t>
  </si>
  <si>
    <t>REJECTED CHANNEL SCRAP</t>
  </si>
  <si>
    <t>BISRA</t>
  </si>
  <si>
    <t>10-50 mm consumption in SMS</t>
  </si>
  <si>
    <t>Civil road building</t>
  </si>
  <si>
    <t>USED &amp; REJECTED BATTERIES</t>
  </si>
  <si>
    <t>7 WRC HC82B</t>
  </si>
  <si>
    <t>WPB 200*200*37.34</t>
  </si>
  <si>
    <t>CB 45 C8</t>
  </si>
  <si>
    <t>BLOOM CB IS2830C20MMNC 200*280- Bhilai</t>
  </si>
  <si>
    <t>Mixed PCC (Jamadoba + bhelatand)</t>
  </si>
  <si>
    <t>HC 68B</t>
  </si>
  <si>
    <t>SAE 1010/ GR 4/ SWR 14</t>
  </si>
  <si>
    <t>Beam Blank shifted to MRD</t>
  </si>
  <si>
    <t>Sodium Hypochloride(Mat. Code: 35410701000108)</t>
  </si>
  <si>
    <t>Sulfuric Acid</t>
  </si>
  <si>
    <t>OTHER TECHNO-ECONOMIC PARAMETERS</t>
  </si>
  <si>
    <t>BILLET LOW CARBON C25</t>
  </si>
  <si>
    <t>HC 78B</t>
  </si>
  <si>
    <t>IS7904/HCT1130CR(PC) "PC115"</t>
  </si>
  <si>
    <t>Bar  MILL</t>
  </si>
  <si>
    <t>US  MILL</t>
  </si>
  <si>
    <t>DESPATCH SHEET CROSSCHECK</t>
  </si>
  <si>
    <t>Mixed PCC (Jamadoba+bhelatand)</t>
  </si>
  <si>
    <t>Slag Reducer</t>
  </si>
  <si>
    <t>Fe-550 D/ SEQR</t>
  </si>
  <si>
    <t>Rejected WPB 200</t>
  </si>
  <si>
    <t>Fe-550 D SEQR</t>
  </si>
  <si>
    <t>TMT BARS</t>
  </si>
  <si>
    <t xml:space="preserve">IS7887GR4/SAE1010/SWR 14 </t>
  </si>
  <si>
    <t>HC82 B</t>
  </si>
  <si>
    <t>IS7887GR4/SAE1010/SWR 14</t>
  </si>
  <si>
    <t>GR 2/SAE1006</t>
  </si>
  <si>
    <t>IS 7887GR3 SWR10/SAE 1008 AlK</t>
  </si>
  <si>
    <t>HC72 B</t>
  </si>
  <si>
    <t>HC68 B</t>
  </si>
  <si>
    <t>EWNR/ IS 2879</t>
  </si>
  <si>
    <t>GRADE</t>
  </si>
  <si>
    <t>available for distribution is same as total actual distribution</t>
  </si>
  <si>
    <t>generation is same as ABP sheet</t>
  </si>
  <si>
    <t>net available for distribution is same as ABP sheet</t>
  </si>
  <si>
    <t>total actual distribution is same as ABP sheet</t>
  </si>
  <si>
    <t>M3/TCS</t>
  </si>
  <si>
    <t>T/TCS</t>
  </si>
  <si>
    <t>Saleable production</t>
  </si>
  <si>
    <t>Caustic</t>
  </si>
  <si>
    <t>Hydrazine</t>
  </si>
  <si>
    <t>Ammonia</t>
  </si>
  <si>
    <t>TSP</t>
  </si>
  <si>
    <t>Ferric Chloride</t>
  </si>
  <si>
    <t>Sodium Hypochloride(Mat. Code:70410600080050)</t>
  </si>
  <si>
    <t>Hydrated Lime</t>
  </si>
  <si>
    <t>SMBS</t>
  </si>
  <si>
    <t>ANTISCALANT</t>
  </si>
  <si>
    <t>POLY</t>
  </si>
  <si>
    <t>MT(100% Basis)</t>
  </si>
  <si>
    <t>LTR</t>
  </si>
  <si>
    <t>Marketing</t>
  </si>
  <si>
    <t>Land filling</t>
  </si>
  <si>
    <t>Bloom check point</t>
  </si>
  <si>
    <r>
      <t>10</t>
    </r>
    <r>
      <rPr>
        <sz val="11"/>
        <color theme="1"/>
        <rFont val="Calibri"/>
        <family val="2"/>
      </rPr>
      <t>⁶</t>
    </r>
    <r>
      <rPr>
        <sz val="11"/>
        <color theme="1"/>
        <rFont val="Times New Roman"/>
        <family val="1"/>
      </rPr>
      <t>.K.Cal/T</t>
    </r>
  </si>
  <si>
    <t>NPB</t>
  </si>
  <si>
    <t>WPB</t>
  </si>
  <si>
    <t>Saleable production Plan: 2410000 (1500 T has been kept in plan for Internal consumption)</t>
  </si>
  <si>
    <t>Saleable production Plan: 201135 (200 T has been kept in plan for Internal consumption)</t>
  </si>
  <si>
    <t xml:space="preserve">EXPORT </t>
  </si>
  <si>
    <r>
      <rPr>
        <b/>
        <sz val="11"/>
        <rFont val="Times New Roman"/>
        <family val="1"/>
      </rPr>
      <t>MKTG</t>
    </r>
    <r>
      <rPr>
        <sz val="11"/>
        <rFont val="Times New Roman"/>
        <family val="1"/>
      </rPr>
      <t>-Plant sales</t>
    </r>
  </si>
  <si>
    <t>HYDR SYSTEM &amp; SPARES</t>
  </si>
  <si>
    <t>Jamadoba</t>
  </si>
  <si>
    <t>BF Return IOF</t>
  </si>
  <si>
    <t>TH Screened IOF</t>
  </si>
  <si>
    <t>Undersize Limestone</t>
  </si>
  <si>
    <t>Undersize Dolomite</t>
  </si>
  <si>
    <t xml:space="preserve">8 TMT 550D </t>
  </si>
  <si>
    <t xml:space="preserve">8 TMTC 550D </t>
  </si>
  <si>
    <t>10 TMT 550D</t>
  </si>
  <si>
    <t>12 TMT 550D</t>
  </si>
  <si>
    <t>16 TMT 550D</t>
  </si>
  <si>
    <t>WPB 300*300*117.03</t>
  </si>
  <si>
    <t>Caster #3 Beam Blank 1 (Prime Length)</t>
  </si>
  <si>
    <t>Caster #3 Beam Blank 2 (Prime Length)</t>
  </si>
  <si>
    <t>Caster #3 Beam Blank 3 (Prime Length)</t>
  </si>
  <si>
    <t>Diverted Sinter Fines</t>
  </si>
  <si>
    <t>HE300</t>
  </si>
  <si>
    <t>Rejected WPB 300</t>
  </si>
  <si>
    <t>FERRO VANADIUM</t>
  </si>
  <si>
    <t>BF Gran Slag Despatch as per CENVAT</t>
  </si>
  <si>
    <t>BILLET IS: 2879 EWNR (ELECTRODE QUALITY)</t>
  </si>
  <si>
    <t>BILLET SAE1010-SiK</t>
  </si>
  <si>
    <t>BILLET SAE-1015-Sik</t>
  </si>
  <si>
    <t>BILLET SAE-1006-Sik</t>
  </si>
  <si>
    <t>BILLET SAE-1008-AlK</t>
  </si>
  <si>
    <t>BILLET IS: 7904/2018; HC82B</t>
  </si>
  <si>
    <t>BLOOM CB SAILTOWER6 NB 150*150</t>
  </si>
  <si>
    <t>BLOOM CB SAILTOWER6 V 150*150</t>
  </si>
  <si>
    <t>BILLET CC ISPEXPT10 150*150</t>
  </si>
  <si>
    <t>BILLET IS: 2830/2012; C20MMn C</t>
  </si>
  <si>
    <t>BLOOM CB IS2830C25HMN 150*150</t>
  </si>
  <si>
    <t>BLOOM CB IS2830C20MMNA 150*150</t>
  </si>
  <si>
    <t>BLOOM CB IS2830C25HMN 200*280</t>
  </si>
  <si>
    <t>BLOOM CB SWR 14 200*280</t>
  </si>
  <si>
    <t>BLOOM CB SAILTOWER6 NB 200*280</t>
  </si>
  <si>
    <t>BLOOM CB IS2830C20MMNC 200*280</t>
  </si>
  <si>
    <t>BB2 IS: 2062/2011; E350C (V)</t>
  </si>
  <si>
    <t>BB2 IS: 2062/2011; E350C</t>
  </si>
  <si>
    <t>BB2 IS: 2062/2011; E250C</t>
  </si>
  <si>
    <t>RAKE</t>
  </si>
  <si>
    <t>TON</t>
  </si>
  <si>
    <t>I O L</t>
  </si>
  <si>
    <t>MBR/OTHER</t>
  </si>
  <si>
    <t>I O F</t>
  </si>
  <si>
    <t>LIMESTONE(SMS)</t>
  </si>
  <si>
    <t>LIMESTONE(SP)</t>
  </si>
  <si>
    <t>DOLOMITE(SP)</t>
  </si>
  <si>
    <t>BISRA(LUMP)</t>
  </si>
  <si>
    <t>BISRA(FINES)</t>
  </si>
  <si>
    <t>NAGPUR</t>
  </si>
  <si>
    <t>BSP-HIRRI</t>
  </si>
  <si>
    <t>DOLOMITE(SMS)</t>
  </si>
  <si>
    <t>COAL(IISD)</t>
  </si>
  <si>
    <t>AUS/H</t>
  </si>
  <si>
    <t>US/H</t>
  </si>
  <si>
    <t>MZB/H</t>
  </si>
  <si>
    <t>PD LVHR</t>
  </si>
  <si>
    <t>AUS/S</t>
  </si>
  <si>
    <t>KESTR/S</t>
  </si>
  <si>
    <t>US/S</t>
  </si>
  <si>
    <t>HALDIA</t>
  </si>
  <si>
    <t>DHAMRA</t>
  </si>
  <si>
    <t>PARADIP</t>
  </si>
  <si>
    <t>JAMADOBA/BHELATAND/MOONIDIH</t>
  </si>
  <si>
    <t>PCI</t>
  </si>
  <si>
    <t>COAL(BCME)</t>
  </si>
  <si>
    <t>BOILER COAL</t>
  </si>
  <si>
    <t>TOTAL IPT SALES (Road)</t>
  </si>
  <si>
    <t>Total IOF</t>
  </si>
  <si>
    <t>150 X 150 BILLET</t>
  </si>
  <si>
    <t>IS 2062 E350 BR-220/12/154.46</t>
  </si>
  <si>
    <t>Fe-415D</t>
  </si>
  <si>
    <t>2022-23</t>
  </si>
  <si>
    <t>BILLET SAE-1010-AlK</t>
  </si>
  <si>
    <t>BILLET SAE-1018-AlK</t>
  </si>
  <si>
    <t>BLOOM CB IS2830C25HMNMAV65SiK 150*150</t>
  </si>
  <si>
    <t>BILLET SAE-1018-Sik</t>
  </si>
  <si>
    <t>BB3 IS: 2062/2011; E350C (V)</t>
  </si>
  <si>
    <t>BB2 IS: 2062/2011; E350B (V)</t>
  </si>
  <si>
    <t>BLOOM CB SAILTOWER-GR6-NB(A) 200*280</t>
  </si>
  <si>
    <t>MANGANESE ORE</t>
  </si>
  <si>
    <t>KG</t>
  </si>
  <si>
    <t>HE240</t>
  </si>
  <si>
    <t xml:space="preserve">BB2 IS: 2062/2011; E350B </t>
  </si>
  <si>
    <t>grade</t>
  </si>
  <si>
    <t>BB2</t>
  </si>
  <si>
    <t>TOTAL BEAM BLANK</t>
  </si>
  <si>
    <t>July'22</t>
  </si>
  <si>
    <t>CB 55 C8</t>
  </si>
  <si>
    <t>USED &amp; REJ REF BK BATS-TORPEDO (W/L)</t>
  </si>
  <si>
    <t>SLAG REDUCER &amp; CONDITIONER BRIQUETTES</t>
  </si>
  <si>
    <t>BLOOM CB IS2830C15HMNALKNB15 150*150</t>
  </si>
  <si>
    <t>BLOOM CB HCRM C 150*150</t>
  </si>
  <si>
    <t>BB3 IS: 2062/2011; E410C</t>
  </si>
  <si>
    <t>Fe-500D EQR</t>
  </si>
  <si>
    <t>10 mm TMTC</t>
  </si>
  <si>
    <t>25 mm</t>
  </si>
  <si>
    <t>Rejected IPE 500</t>
  </si>
  <si>
    <t xml:space="preserve">25 TMT 550D </t>
  </si>
  <si>
    <t>QUARTZITE</t>
  </si>
  <si>
    <t>PROCESSED 10-50 MM LD SLAG</t>
  </si>
  <si>
    <t>IS2830C20MMN TLT (AL)</t>
  </si>
  <si>
    <t>HCRM C</t>
  </si>
  <si>
    <t>Aug'22</t>
  </si>
  <si>
    <t>ICC (INDO-H)</t>
  </si>
  <si>
    <t>SOLID WASTE</t>
  </si>
  <si>
    <t>TMT BAR SAILSEQR IS1786 500D 8</t>
  </si>
  <si>
    <t>BILLET IS: 7904/2018; HC77B</t>
  </si>
  <si>
    <t>BB2 IS: 2062/2011; E250B</t>
  </si>
  <si>
    <t>LIMESTONE</t>
  </si>
  <si>
    <t>KUTESHWAR</t>
  </si>
  <si>
    <t>INDO/H</t>
  </si>
  <si>
    <t>Sep'22</t>
  </si>
  <si>
    <t>IPE500A</t>
  </si>
  <si>
    <t>OLD, USED REJECTED OIL FILLED IN DRUMS</t>
  </si>
  <si>
    <t>NON MAGNETIC UNSCREEN WORK THROUGH SLAG</t>
  </si>
  <si>
    <t xml:space="preserve">GR1(CAQ) </t>
  </si>
  <si>
    <t>SAE 1008 (BORON)</t>
  </si>
  <si>
    <t>IS 2062 E250 BR-8.4/79.36</t>
  </si>
  <si>
    <t>IS 2830 C20 HMNA</t>
  </si>
  <si>
    <t>BLOOM CB IS2830C20HMNA 150*150</t>
  </si>
  <si>
    <t>BILLET SAE1008-BORON</t>
  </si>
  <si>
    <t>BILLET IS: 7904/2018; HC78B/PC115</t>
  </si>
  <si>
    <t>18 mm</t>
  </si>
  <si>
    <t>Rejected ISMC250</t>
  </si>
  <si>
    <t xml:space="preserve">8 TMTC 500D </t>
  </si>
  <si>
    <t>IS2830 C20HMNA</t>
  </si>
  <si>
    <t>Sl. No.</t>
  </si>
  <si>
    <t>DEPARTMENT</t>
  </si>
  <si>
    <t>Actual</t>
  </si>
  <si>
    <t>SINTER PLANT-1</t>
  </si>
  <si>
    <t>SINTER PLANT-2</t>
  </si>
  <si>
    <t>BOF CCP</t>
  </si>
  <si>
    <t>a</t>
  </si>
  <si>
    <t>b</t>
  </si>
  <si>
    <t>Caster 1</t>
  </si>
  <si>
    <t>c</t>
  </si>
  <si>
    <t>Caster 2</t>
  </si>
  <si>
    <t>d</t>
  </si>
  <si>
    <t>Caster 3</t>
  </si>
  <si>
    <t>USM</t>
  </si>
  <si>
    <t>DOLOMITE</t>
  </si>
  <si>
    <t>WR Coils</t>
  </si>
  <si>
    <t>Oct'22</t>
  </si>
  <si>
    <t>EA 150 x 12</t>
  </si>
  <si>
    <t>Rejected IPE 600</t>
  </si>
  <si>
    <t>Pellet</t>
  </si>
  <si>
    <t>BLOOM CB SAILTOWER-GR6-V (A) 150*150</t>
  </si>
  <si>
    <t>BLOOM IS: 2062/2011; E250C</t>
  </si>
  <si>
    <t>BB1 IS: 2062/2011; E350C</t>
  </si>
  <si>
    <t>BF Return Pellet Fines</t>
  </si>
  <si>
    <t>BAUXITE,CALCINED,10-40MM,AL2O3:70% MIN</t>
  </si>
  <si>
    <t xml:space="preserve"> IS2062 E250B0 600*220*122.45</t>
  </si>
  <si>
    <t>WPB 200*200*61.30</t>
  </si>
  <si>
    <t xml:space="preserve"> IS 2062 E350 BR</t>
  </si>
  <si>
    <t xml:space="preserve"> IS 2062 E350 BR </t>
  </si>
  <si>
    <t>WPB 300*300*100.85</t>
  </si>
  <si>
    <t>SAILTOWER6 NB</t>
  </si>
  <si>
    <t>PELLET</t>
  </si>
  <si>
    <t>Gross Pellets (i/c Return fines)-Dry</t>
  </si>
  <si>
    <t>Pellets (wet) to BMP from BF#5 (Mt)-RMHP</t>
  </si>
  <si>
    <t>Pellets (Dry) to BMP from BF#5 (Mt)-RMHP</t>
  </si>
  <si>
    <t>Moisture in Pellets</t>
  </si>
  <si>
    <t xml:space="preserve">Gross Sinter return (Dry) </t>
  </si>
  <si>
    <t>Gross Sinter return (Wet)to BMP- As per RMHP</t>
  </si>
  <si>
    <t xml:space="preserve">Return Pellets (dry) to BMP </t>
  </si>
  <si>
    <t>Pellet in Fe bearing Load</t>
  </si>
  <si>
    <t>BF Return Pellet</t>
  </si>
  <si>
    <t>GRAPHITE ELECTRODE</t>
  </si>
  <si>
    <t>Nov'22</t>
  </si>
  <si>
    <t>EM12K SiK</t>
  </si>
  <si>
    <t xml:space="preserve">18 mm Plain Coil </t>
  </si>
  <si>
    <t>20 mm</t>
  </si>
  <si>
    <t>Rejected WPB 240</t>
  </si>
  <si>
    <t>WIRE RODS</t>
  </si>
  <si>
    <t>WR COIL SWR 10 7</t>
  </si>
  <si>
    <t>AWS A5.17 EM12K</t>
  </si>
  <si>
    <t xml:space="preserve">18 mm </t>
  </si>
  <si>
    <t>Duration (No of days)</t>
  </si>
  <si>
    <t>for cumulative calculation because of pellets</t>
  </si>
  <si>
    <t xml:space="preserve">total burden </t>
  </si>
  <si>
    <t>sinter %</t>
  </si>
  <si>
    <t>IRON ORE %</t>
  </si>
  <si>
    <t>Pellet %</t>
  </si>
  <si>
    <t>Burnt Fines Generation (0-3 mm)</t>
  </si>
  <si>
    <t>Dec'22</t>
  </si>
  <si>
    <t>IRON BASED SCRAPED ROLLS</t>
  </si>
  <si>
    <t>ASSORTED BILLET (CCP)150*150</t>
  </si>
  <si>
    <t>ASSORTED CC BLOOM 200*280</t>
  </si>
  <si>
    <t>e</t>
  </si>
  <si>
    <t>Convertor 3 Relining</t>
  </si>
  <si>
    <t>Convertor 1 Relining</t>
  </si>
  <si>
    <t>f</t>
  </si>
  <si>
    <t>Road</t>
  </si>
  <si>
    <t>Rail</t>
  </si>
  <si>
    <t>Jan'23</t>
  </si>
  <si>
    <t>IS 2062 E250 BR-220/12/154.46</t>
  </si>
  <si>
    <t>ELEC,GRAPHITE,457MM,1800-2100MM (Graphite Electrode)</t>
  </si>
  <si>
    <t xml:space="preserve">20 TMT 550D </t>
  </si>
  <si>
    <t>U.S. Mill</t>
  </si>
  <si>
    <t>W &amp; R Mill</t>
  </si>
  <si>
    <t>P-Way</t>
  </si>
  <si>
    <t>PCIS Plant Sales</t>
  </si>
  <si>
    <t>14 mm</t>
  </si>
  <si>
    <t>Feb'23</t>
  </si>
  <si>
    <t>FeMo</t>
  </si>
  <si>
    <t>E - 250B0</t>
  </si>
  <si>
    <t>BLOOM CB SPGSTEEL SUP11A 150*150</t>
  </si>
  <si>
    <t>BB3 IS: 2062/2011; E350B (V)</t>
  </si>
  <si>
    <t>12 mm TMT (Fe-500D)</t>
  </si>
  <si>
    <t>IS2062 E250BO</t>
  </si>
  <si>
    <t>ASSORTED CC BEAM BLANK</t>
  </si>
  <si>
    <t>B.F.COKE (IPT)</t>
  </si>
  <si>
    <t>B.F.COKE (EXTERNAL)</t>
  </si>
  <si>
    <t>TOTAL BF COKE</t>
  </si>
  <si>
    <t>SPGSTEEL SUP11A</t>
  </si>
  <si>
    <t>Mar'23</t>
  </si>
  <si>
    <t>Russian (Soft)</t>
  </si>
  <si>
    <t>BB3 IS: 2062/2011; E450BR (V)</t>
  </si>
  <si>
    <t>10 mm TMT (Fe-500D)</t>
  </si>
  <si>
    <t>FLASH-MIXER DROSS</t>
  </si>
  <si>
    <t>PROCESSED 50-200MM LD SLAG (BOLDER)</t>
  </si>
  <si>
    <t>RUS/S</t>
  </si>
  <si>
    <t>PROCESSED 50-200MM LD SLAG (BOULDER)</t>
  </si>
  <si>
    <t>COPPER CATHODE</t>
  </si>
  <si>
    <t>2023-24 ABP</t>
  </si>
  <si>
    <t>Apr'23</t>
  </si>
  <si>
    <t>2023-24 Norm</t>
  </si>
  <si>
    <t>ABP 2023-24</t>
  </si>
  <si>
    <t>901 Kg/THM</t>
  </si>
  <si>
    <t>Available Lime</t>
  </si>
  <si>
    <t>LCFeCr</t>
  </si>
  <si>
    <t>IMPORTED LIME(LF)</t>
  </si>
  <si>
    <t>Mn Ore</t>
  </si>
  <si>
    <t>6th relining life (carried on 13.01.21-23.01.21): 3875 Heats (lasted from 24.01.21-21.10.21);
7th carried on 22.10.21-29.10.21 which has resulted in 5705 Heats (lasted from 30.10.21-18.11.22) ,8th carried on 19.11.22-01.12.22 which has resulted in  2693 Heats till 30.04.23.</t>
  </si>
  <si>
    <t xml:space="preserve">
10th Relining carried on 28.07.22-02.08.22 which has resulted in 3510 Heats till 21.03.23.11th relining carried on from 22.03.2023-27.03.2023 which has resulted 736 Heats till 30.04.2023.</t>
  </si>
  <si>
    <t>7th relining life (carried on 28.05.20-06.07.20): 4157 Heats ( Lasted from 07.07.20  to 16.04.21);
8th carried on 17.04.21-22.05.21, started from 23.05.21  to 03.02.22 resulted in 3748  Heats.9th Relining carried out from 04.02.22 to 11.02.22 , started from 12.02.22 resulted in 3990 Heats till 31.10.22.10th Relining carried out from 10.11.22 to 15.11.22 , started from 16.11.22 resulted in 2598 Heats till 09.04.23.11th Relining carried out from 10.04.23 to 19.04.23 , started from 20.04.23 resulted in 205 Heats till 30.04.23</t>
  </si>
  <si>
    <t>Gr 1(CAQ)</t>
  </si>
  <si>
    <t xml:space="preserve">EN8D Cr </t>
  </si>
  <si>
    <t>28 mm</t>
  </si>
  <si>
    <t>ISMC400</t>
  </si>
  <si>
    <t>Kestral  Soft</t>
  </si>
  <si>
    <t>ICC / Aus Soft</t>
  </si>
  <si>
    <t>SAE1030CR</t>
  </si>
  <si>
    <t>APR'23</t>
  </si>
  <si>
    <t>CRUDE STEEL GRADE SUMMARY AS PER RCL - 2023-24 (Unit: MT)</t>
  </si>
  <si>
    <t>BLOOM 20MnCr5-AlK</t>
  </si>
  <si>
    <t>DISMANTLED COPPER SCRAP</t>
  </si>
  <si>
    <t>BF ETP SLUDGE</t>
  </si>
  <si>
    <t>SPENT REFRACTORY FINES</t>
  </si>
  <si>
    <t>USED &amp; REJECTED EMPTY OIL DRUMS</t>
  </si>
  <si>
    <t>TMT BAR IS 1786 HCR FE500D 10</t>
  </si>
  <si>
    <t>CARBON BASED BF HEARTH GROUTING MATERIAL</t>
  </si>
  <si>
    <t>FIXTURE,STREET LIGHT F/HPSV LAMP,1X250W</t>
  </si>
  <si>
    <t>LAMP,HPSV,1X150W</t>
  </si>
  <si>
    <t>Fe-600</t>
  </si>
  <si>
    <t>CHANNEL 400*100*8.8</t>
  </si>
  <si>
    <t>IS 2062 E250BO</t>
  </si>
  <si>
    <t>IS 2062 E350 BO-190/ 9.4/77.57</t>
  </si>
  <si>
    <t>Scale Inhibitor (MAXTREAT 350A)</t>
  </si>
  <si>
    <t>Corrosion Inhibitor (MAXTREAT 7780)</t>
  </si>
  <si>
    <t>Bio Dispersant (MAXTREAT 7002A)</t>
  </si>
  <si>
    <t>April'23</t>
  </si>
  <si>
    <t xml:space="preserve">US Mill </t>
  </si>
  <si>
    <t xml:space="preserve">AUX. </t>
  </si>
  <si>
    <r>
      <t xml:space="preserve">BURNT LIME REACTIVITY            </t>
    </r>
    <r>
      <rPr>
        <sz val="10"/>
        <rFont val="Times New Roman"/>
        <family val="1"/>
      </rPr>
      <t xml:space="preserve">  K#1</t>
    </r>
  </si>
  <si>
    <t>150*150</t>
  </si>
  <si>
    <t>200*280</t>
  </si>
  <si>
    <t>8 TMT 550D</t>
  </si>
  <si>
    <t>2023-24</t>
  </si>
  <si>
    <t>Sp Energy Consumpt</t>
  </si>
  <si>
    <t>Sp Water Consumption</t>
  </si>
  <si>
    <t>MAJOR TECHNO PARAMETERS 2023-24</t>
  </si>
  <si>
    <t>Total CDI Requirment  (With H.Loss)</t>
  </si>
  <si>
    <t>Total Coking Coal (With H.Loss)</t>
  </si>
  <si>
    <t>Capital Repair Details 2023-24</t>
  </si>
  <si>
    <t>27th May to 2nd June</t>
  </si>
  <si>
    <t>27th May to 5th June</t>
  </si>
  <si>
    <t>7th Aug-16th Aug</t>
  </si>
  <si>
    <t>27th May- 2nd June</t>
  </si>
  <si>
    <t>27th May to 10th June</t>
  </si>
  <si>
    <t>Convertor 2 Relining</t>
  </si>
  <si>
    <t>May'23</t>
  </si>
  <si>
    <t>MAY'23</t>
  </si>
  <si>
    <t>IS 2062 E250A 500*200*79.36</t>
  </si>
  <si>
    <t>SAE 1030CR(VD)</t>
  </si>
  <si>
    <t>BLOOM CB SAILTOWER-GR6-NB(A) 150*150</t>
  </si>
  <si>
    <t>BLOOM CB IS2830C20MMNC 150*150</t>
  </si>
  <si>
    <t>BILLET 150*150 1006 (CAQ)</t>
  </si>
  <si>
    <t>BILLET 150*150 1008 (CAQ)</t>
  </si>
  <si>
    <t>BILLET EM12K-SIK</t>
  </si>
  <si>
    <t>BILLET SAE-1008-Sik</t>
  </si>
  <si>
    <t>BILLET AWS A5.18, ER70S-6 (MIG/CO2)</t>
  </si>
  <si>
    <t>BLOOM CB IS2830 C18MMNC-ALK 150*150</t>
  </si>
  <si>
    <t>BILLET IS: 7904/2018; HC88B</t>
  </si>
  <si>
    <t>BILLET IS: 7904/2018; HC72B</t>
  </si>
  <si>
    <t>BILLET IS: 7904/2018; HC68B</t>
  </si>
  <si>
    <t>BILLET IS: 7904/2018; HC62A</t>
  </si>
  <si>
    <t>BILLET IS: 7904/2018; HC62B</t>
  </si>
  <si>
    <t>BILLET IS: 7904/2018; HC52B</t>
  </si>
  <si>
    <t>BILLET IS: 7904/2018; HC38B</t>
  </si>
  <si>
    <t>BILLET EN8D-SiK</t>
  </si>
  <si>
    <t>BILLET EN8D-AlK</t>
  </si>
  <si>
    <t>BILLET EN8D(Cr)-AlK</t>
  </si>
  <si>
    <t>BLOOM CB IS2830C20MMN TLT (AL) 150*150</t>
  </si>
  <si>
    <t>BLOOM CB IS 2830C25HMN MA V55 150*150</t>
  </si>
  <si>
    <t>BLOOM CB IS2830C20MMNACU 150*150</t>
  </si>
  <si>
    <t>BLOOM CB 55 C8 150*150</t>
  </si>
  <si>
    <t>BLOOM CB 45 C8 150*150</t>
  </si>
  <si>
    <t>BILLET IS: 1786/2008; Fe500HCR</t>
  </si>
  <si>
    <t>BILLET IS: 1786/2008; Fe500D</t>
  </si>
  <si>
    <t>BILLET IS: 1786/2008; Fe550D</t>
  </si>
  <si>
    <t>BILLET IS: 1786/2008; Fe600</t>
  </si>
  <si>
    <t>Non Oxidizing Biocide (MAXTREAT 613)</t>
  </si>
  <si>
    <t>DISMANTLED BRASS SCRAP</t>
  </si>
  <si>
    <t>DISMANTLED REFRACTORY SCRAP</t>
  </si>
  <si>
    <t>CAST IRON SCRAP</t>
  </si>
  <si>
    <t>BOF GCP SLUDGE</t>
  </si>
  <si>
    <t>REJECTED/BROKEN GRAPHITE ELECTRODES</t>
  </si>
  <si>
    <t>SCRAP AL ARMOURED/UNARMOURED(DIFF SIZES)</t>
  </si>
  <si>
    <t>USED &amp; REJECTED WOODEN PALLETS/  SLEEPER</t>
  </si>
  <si>
    <t>USED &amp; REJECTED MILD STEEL SCRAP</t>
  </si>
  <si>
    <t>COMPOSITE TRAILING CABLE,4C,16MM2</t>
  </si>
  <si>
    <t>FERRO SILICON,25-50MM</t>
  </si>
  <si>
    <t>FERRO-NIOBIUM</t>
  </si>
  <si>
    <t>CABLE,ARM,11KV,AL,3C,70MM2(HT XLPE CABLES)</t>
  </si>
  <si>
    <t>LOW CARBON FERRO MANGANESE</t>
  </si>
  <si>
    <t>LOW SILICA LIMESTONE, 30-60 MM</t>
  </si>
  <si>
    <t>BELT,CONVY,M-24,1000/4,5MM/2MM,1000MM</t>
  </si>
  <si>
    <t>BELT,CONVY,M24,5X2MM,1000,1200MM</t>
  </si>
  <si>
    <t>BELT,CONVY,M24,800,4,6/3MM,1000MM</t>
  </si>
  <si>
    <t>3X35SQMM PVC INS.STD.AL.COND.CABLE ARMD</t>
  </si>
  <si>
    <t>CABLE 3X300SQMM,11 KV,XLPE,AL CONDUCTOR</t>
  </si>
  <si>
    <t>CABLE,UNARM,1100V,AL,4C,4MM2</t>
  </si>
  <si>
    <t>CABLE,ARM,440V,CU,16C,0.9MM2</t>
  </si>
  <si>
    <t>6th relining life (carried on 13.01.21-23.01.21): 3875 Heats (lasted from 24.01.21-21.10.21);
7th carried on 22.10.21-29.10.21 which has resulted in 5705 Heats (lasted from 30.10.21-18.11.22) ,8th carried on 19.11.22-01.12.22 which has resulted in  3029 Heats till 31.05.23.</t>
  </si>
  <si>
    <t xml:space="preserve">
10th Relining carried on 28.07.22-02.08.22 which has resulted in 3510 Heats till 21.03.23.11th relining carried on from 22.03.2023-27.03.2023 which has resulted 1139 Heats till 31.05.2023.</t>
  </si>
  <si>
    <t>7th relining life (carried on 28.05.20-06.07.20): 4157 Heats ( Lasted from 07.07.20  to 16.04.21);
8th carried on 17.04.21-22.05.21, started from 23.05.21  to 03.02.22 resulted in 3748  Heats.9th Relining carried out from 04.02.22 to 11.02.22 , started from 12.02.22 resulted in 3990 Heats till 31.10.22.10th Relining carried out from 10.11.22 to 15.11.22 , started from 16.11.22 resulted in 2598 Heats till 09.04.23.11th Relining carried out from 10.04.23 to 19.04.23 , started from 20.04.23 resulted in 641 Heats till 31.05.23</t>
  </si>
  <si>
    <t>% DIRECT (IPT+CMO DIR+ EXPORT+ PLANT SALES)</t>
  </si>
  <si>
    <t>2022-23 Actual</t>
  </si>
  <si>
    <t>Soft Coal in Blend</t>
  </si>
  <si>
    <t>Average Coking Time</t>
  </si>
  <si>
    <t>Avg Si</t>
  </si>
  <si>
    <t>Avg S</t>
  </si>
  <si>
    <t>Specific Refractory Consumption</t>
  </si>
  <si>
    <t>Specific Electrode Consumption</t>
  </si>
  <si>
    <t>CDI Moist (%)</t>
  </si>
  <si>
    <t>CDI Handling Loss (%)</t>
  </si>
  <si>
    <t xml:space="preserve"> Kg/ TCS</t>
  </si>
  <si>
    <t>BOF Slag rate</t>
  </si>
  <si>
    <t>Solid Waste</t>
  </si>
  <si>
    <t>28th May to 2nd June</t>
  </si>
  <si>
    <t>27th May to  5th June</t>
  </si>
  <si>
    <t>28th May to 3rd June</t>
  </si>
  <si>
    <t>13 days in Dec'23</t>
  </si>
  <si>
    <t>10th Apr-16th Apr</t>
  </si>
  <si>
    <t>7 days in Jan'24</t>
  </si>
  <si>
    <t>28th May to 4th June</t>
  </si>
  <si>
    <t>28th May to 5th June</t>
  </si>
  <si>
    <t>28th May to 6th June</t>
  </si>
  <si>
    <t>SP1</t>
  </si>
  <si>
    <t>Feeding stopped  at 00:00 hrs on 27th May
Ignition furnace burner lit up at  20:15 hrs on 4th June
Feeding started at 05:00 hrs on 6th June</t>
  </si>
  <si>
    <t>SP2</t>
  </si>
  <si>
    <t>Feeding stopped at 06:00 hrs on 28th May
Ignition furnace burner lit up at  00:00 hrs on 4th June
Feeding started at 09:30 hrs on 4th June</t>
  </si>
  <si>
    <t>Furnace Blowing down process started at 10:20 hrs on 27th May
Off-blast at 07:00 hrs on 28th May
On-blast at 12:30 hrs on 2nd June</t>
  </si>
  <si>
    <t>Converter-1 blowing started at 21:35 hrs on 5th June
Converter-3 blowing started at 20:50 hrs on 5th June</t>
  </si>
  <si>
    <t>Caster #1 started at 23:50 hrs on 5th June
Caster#2 started at 03:40 hrs on 6th June</t>
  </si>
  <si>
    <t>RHF Shutdown at 10:30 hrs on 27th May 
RHF Lit up at  00:40 hrs on 5th June</t>
  </si>
  <si>
    <t>RHF Shutdown at 08:30 hrs on 27th May 
RHF Lit up at  00:05 hrs on 4th June
Rolling started at 01:20 hrs on 6th June</t>
  </si>
  <si>
    <t>RHF Shutdown at 14:30 hrs on 27th May 
RHF Lit up at  16:00 hrs on 4th June</t>
  </si>
  <si>
    <t>SPECIAL &amp; VALUE ADDED  SALEABLE STEEL</t>
  </si>
  <si>
    <t>Dispatch</t>
  </si>
  <si>
    <t>B.F.COKE NMDC</t>
  </si>
  <si>
    <t>150X150 SALEABLE DECLARED</t>
  </si>
  <si>
    <t>ASSORTED BILLETS FROM SMS</t>
  </si>
  <si>
    <t xml:space="preserve">LOW CARBON C25, C25HMN,C20MMNA,REJECTED BILLET </t>
  </si>
  <si>
    <t>Jun'23</t>
  </si>
  <si>
    <t>June'23</t>
  </si>
  <si>
    <t>Q-1</t>
  </si>
  <si>
    <t>CDCP Dust</t>
  </si>
  <si>
    <t>IS11169/SAE15B25(VD)</t>
  </si>
  <si>
    <t xml:space="preserve">IS11169/SAE15B25(VD) </t>
  </si>
  <si>
    <t>19MNB4
(M)HC (VD)</t>
  </si>
  <si>
    <t>Rejected ISMC400</t>
  </si>
  <si>
    <t>JUN'23</t>
  </si>
  <si>
    <t>Billet 19MnB4(M) HC</t>
  </si>
  <si>
    <t>BILLET SAE15B25Alk</t>
  </si>
  <si>
    <t>BILLET SAE10B21-Alk</t>
  </si>
  <si>
    <t xml:space="preserve">6 WRC SAE 1008 </t>
  </si>
  <si>
    <t>IS 2062 E250 BR-190/11/92.36</t>
  </si>
  <si>
    <t>TOLUENE</t>
  </si>
  <si>
    <t>OLD/USED &amp; REJECTED TYRES OF MV/EQUIP.</t>
  </si>
  <si>
    <t>SCRAP LEAD STRIPPED FROM XLPE CU CABLES</t>
  </si>
  <si>
    <t>USED &amp; REJECTED CONVEYOR BELT (NYLON)</t>
  </si>
  <si>
    <t>USED &amp; REJECTED EMPTY GREASE DRUMS</t>
  </si>
  <si>
    <t>USED &amp; REJECTED EMPTY PVC DRUMS</t>
  </si>
  <si>
    <t>STEEL BASED SCRAPED ROLLS</t>
  </si>
  <si>
    <t>FERRO MOLYBDENUM</t>
  </si>
  <si>
    <t>HIGH CARBON FERRO MANGANESE</t>
  </si>
  <si>
    <t>LANCING PIPES</t>
  </si>
  <si>
    <t>LOW SILICA DOLOMITE</t>
  </si>
  <si>
    <t>6th relining life (carried on 13.01.21-23.01.21): 3875 Heats (lasted from 24.01.21-21.10.21);
7th carried on 22.10.21-29.10.21 which has resulted in 5705 Heats (lasted from 30.10.21-18.11.22) ,8th carried on 19.11.22-01.12.22 which has resulted in  3409 Heats till 30.06.23.</t>
  </si>
  <si>
    <t xml:space="preserve">
10th Relining carried on 28.07.22-02.08.22 which has resulted in 3510 Heats till 21.03.23.11th relining carried on from 22.03.2023-27.03.2023 which has resulted 1524 Heats till 30.06.2023.</t>
  </si>
  <si>
    <t> Non Oxidizing Biocide (MAXTREAT 651) -  70410900200020</t>
  </si>
  <si>
    <t>Hot charging</t>
  </si>
  <si>
    <t>IRON ORE FINES</t>
  </si>
  <si>
    <t xml:space="preserve"> IRON ORE LUMP</t>
  </si>
  <si>
    <t>Fe %</t>
  </si>
  <si>
    <t>SiO2 %</t>
  </si>
  <si>
    <t>Al2O3 %</t>
  </si>
  <si>
    <t>Actual 2016-17</t>
  </si>
  <si>
    <t>Actual 2017-18</t>
  </si>
  <si>
    <t>Actual 2018-19</t>
  </si>
  <si>
    <t>Actual 2019-20</t>
  </si>
  <si>
    <t>Actual 2020-21</t>
  </si>
  <si>
    <t>Actual 2021-22</t>
  </si>
  <si>
    <t>ABP 2022-23</t>
  </si>
  <si>
    <t>Actual 2022-23</t>
  </si>
  <si>
    <t>Bolani</t>
  </si>
  <si>
    <t>Meghataburu</t>
  </si>
  <si>
    <t>Barsua</t>
  </si>
  <si>
    <t>Kiriburu</t>
  </si>
  <si>
    <t>Mix Bin</t>
  </si>
  <si>
    <t>Average</t>
  </si>
  <si>
    <t>ABP 2023-24 (As Desired)</t>
  </si>
  <si>
    <t>ABP 2023-24 (As per Mines)</t>
  </si>
  <si>
    <t>T/Hrs</t>
  </si>
  <si>
    <t>INGOT,CU,99.90%,CATHODE PLATE/INGOT</t>
  </si>
  <si>
    <t>BLOOM CB 20MNCR5 200*280-ASP (Prime)</t>
  </si>
  <si>
    <t>.9th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1136 Heats till 30.06.23</t>
  </si>
  <si>
    <t>Gap</t>
  </si>
  <si>
    <t>RH Degassed Heats</t>
  </si>
  <si>
    <t>De-Sulphurized  Heats</t>
  </si>
  <si>
    <t>No. of Closed Casts</t>
  </si>
  <si>
    <t>Closed Casting Tonnage</t>
  </si>
  <si>
    <t>Non special</t>
  </si>
  <si>
    <t>Total production</t>
  </si>
  <si>
    <t>Special %</t>
  </si>
  <si>
    <t>SMS Assorted</t>
  </si>
  <si>
    <t>150x150 semis</t>
  </si>
  <si>
    <t>Special Steel Production</t>
  </si>
  <si>
    <t>200X280</t>
  </si>
  <si>
    <t>SMS Assorted blooms</t>
  </si>
  <si>
    <t>ASSORTED CC BEAM BLANK sale through marketing/IPT</t>
  </si>
  <si>
    <t>Jul'23</t>
  </si>
  <si>
    <t>July'23</t>
  </si>
  <si>
    <t>JUL'23</t>
  </si>
  <si>
    <t>6th relining life (carried on 13.01.21-23.01.21): 3875 Heats (lasted from 24.01.21-21.10.21);
7th carried on 22.10.21-29.10.21 which has resulted in 5705 Heats (lasted from 30.10.21-18.11.22) ,8th carried on 19.11.22-01.12.22 which has resulted in  3876 Heats till 31.07.23.</t>
  </si>
  <si>
    <t xml:space="preserve">
10th Relining carried on 28.07.22-02.08.22 which has resulted in 3510 Heats till 21.03.23.11th relining carried on from 22.03.2023-27.03.2023 which has resulted 2052 Heats till 31.07.2023.</t>
  </si>
  <si>
    <t>.9th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1685 Heats till 31.07.23</t>
  </si>
  <si>
    <t>SAE10B33(VD)</t>
  </si>
  <si>
    <t>CARES</t>
  </si>
  <si>
    <t>DISMANTLED ALUMINIUM CABLE</t>
  </si>
  <si>
    <t>DISMANTLED FIREBRICKS</t>
  </si>
  <si>
    <t>DISPOSABLE MOTOR,ELE. BKR &amp; PANELS SCRAP</t>
  </si>
  <si>
    <t>OLD USED &amp; REJECTED CGI SCARP SHEETS</t>
  </si>
  <si>
    <t>SCRAP G.I. ARMOURED WIRES</t>
  </si>
  <si>
    <t>SWITCH GEARS/CKT BKR</t>
  </si>
  <si>
    <t>BILLET CB IS2830C20MMNC 200*280- Bhilai</t>
  </si>
  <si>
    <t>19MNB4(M)HC (VD)</t>
  </si>
  <si>
    <t>10B33(VD)</t>
  </si>
  <si>
    <t>C20HMNCMAV55RC</t>
  </si>
  <si>
    <t>CHANNEL IS 2062 E250BR 400*100*8.8</t>
  </si>
  <si>
    <t>NPB IS 2062 E350 BR 500*200*90.68</t>
  </si>
  <si>
    <t>BLOOM CB SAILTOWER6 V 200*280</t>
  </si>
  <si>
    <t>BILLET SAE10B33-Alk</t>
  </si>
  <si>
    <t>BLOOM CB IS2830C20HMNCMAV55RC 150*150</t>
  </si>
  <si>
    <t>BILLET 19MnB4(M)</t>
  </si>
  <si>
    <t>COKE &amp; COKE FRACTION PRODUCTION (WET BASIS)</t>
  </si>
  <si>
    <t>Caster Scale</t>
  </si>
  <si>
    <t>Caster losses</t>
  </si>
  <si>
    <t>Scrap Calculated</t>
  </si>
  <si>
    <t>TUNDISH LOSS</t>
  </si>
  <si>
    <t>METAL LOSS INCL LADLE SKULL</t>
  </si>
  <si>
    <t>EMERGENCY BOX LOSSES</t>
  </si>
  <si>
    <t>LAUNDER SCRAP &amp; CROP END</t>
  </si>
  <si>
    <t>SCALE LOSS</t>
  </si>
  <si>
    <t>PROCESS</t>
  </si>
  <si>
    <t>FINES</t>
  </si>
  <si>
    <t>Muck dump scrap</t>
  </si>
  <si>
    <t>SMS Scale</t>
  </si>
  <si>
    <t>CHECK POINT</t>
  </si>
  <si>
    <t>Special &amp; value added Steel Production</t>
  </si>
  <si>
    <t>Jul'22</t>
  </si>
  <si>
    <t>Iron Ore fines Avg Quality</t>
  </si>
  <si>
    <t>SiO2+Al2O3</t>
  </si>
  <si>
    <t>Al2O3/SiO2</t>
  </si>
  <si>
    <t>Aug'23</t>
  </si>
  <si>
    <t>OTHER CONSUMPTION</t>
  </si>
  <si>
    <t>AUG'23</t>
  </si>
  <si>
    <t>PIG IRON MIXED OG</t>
  </si>
  <si>
    <t>Motor Spirit/Benzol</t>
  </si>
  <si>
    <t>DISMANTLED  STAINLESS STEEL SCRAP</t>
  </si>
  <si>
    <t>DISMANTLED RUBBER SCRAP</t>
  </si>
  <si>
    <t>DISMANTLED CR-MO-V BASED ALLOY SCRAP</t>
  </si>
  <si>
    <t>E-WASTE ELECTRIC./ELECTRONIC SCRAP ITEMS</t>
  </si>
  <si>
    <t>USED &amp; REJ REF BK BATS-LDCP</t>
  </si>
  <si>
    <t>6th relining life (carried on 13.01.21-23.01.21): 3875 Heats (lasted from 24.01.21-21.10.21);
7th carried on 22.10.21-29.10.21 which has resulted in 5705 Heats (lasted from 30.10.21-18.11.22) ,8th carried on 19.11.22-01.12.22 which has resulted in  4374 Heats till 31.08.23.</t>
  </si>
  <si>
    <t xml:space="preserve">
10th Relining carried on 28.07.22-02.08.22 which has resulted in 3510 Heats till 21.03.23.11th relining carried on from 22.03.2023-27.03.2023 which has resulted 2501 Heats till 31.08.2023.</t>
  </si>
  <si>
    <t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2237 Heats till 31.08.23</t>
  </si>
  <si>
    <t>25 mm TMT</t>
  </si>
  <si>
    <t>IS2830, C20HMnC-Alk</t>
  </si>
  <si>
    <t>BLOOM CB SUP 11A ALK(VD) 150*150</t>
  </si>
  <si>
    <t>IS 2062 E350 BR 600*220*107.56</t>
  </si>
  <si>
    <t>IPE-600</t>
  </si>
  <si>
    <t>Angle 200 / 200 / 16</t>
  </si>
  <si>
    <t>Angle 150 / 150 / 10</t>
  </si>
  <si>
    <t xml:space="preserve">22 mm TMT </t>
  </si>
  <si>
    <t>SUP 11A ALK(VD)</t>
  </si>
  <si>
    <t>LP Si-Mn</t>
  </si>
  <si>
    <t>Total Si-Mn</t>
  </si>
  <si>
    <t>Vimla Fuels (Gujarat)</t>
  </si>
  <si>
    <t>Narayani (Gujarat)</t>
  </si>
  <si>
    <t>Num of wagons unloaded</t>
  </si>
  <si>
    <t>IS2830C20MMN TLT</t>
  </si>
  <si>
    <t>CB SUP 11A ALK(VD)</t>
  </si>
  <si>
    <t>COKING TIME</t>
  </si>
  <si>
    <t>Crude Benzol (Existing Plant)</t>
  </si>
  <si>
    <t>OVERALL</t>
  </si>
  <si>
    <t>MAJOR DESPATCH SUMMARY 2023-24 (As per Finance CENVAT report)</t>
  </si>
  <si>
    <t>TOTAL SALEABLE STEEL</t>
  </si>
  <si>
    <t>Total BF COKE</t>
  </si>
  <si>
    <t>Sep'23</t>
  </si>
  <si>
    <t>Prime production</t>
  </si>
  <si>
    <t>Consumption at Base Mix Plant</t>
  </si>
  <si>
    <t>Base Mix Production</t>
  </si>
  <si>
    <t>Trimming</t>
  </si>
  <si>
    <t>Basemix Production including Trimming</t>
  </si>
  <si>
    <t xml:space="preserve">Internal Receipt </t>
  </si>
  <si>
    <t>Received from Blast Furnace (Return)</t>
  </si>
  <si>
    <t>Received from Coke Ovens</t>
  </si>
  <si>
    <t>Coke Breeze from Coke Ovens</t>
  </si>
  <si>
    <t>Screened at OHP/RMHP</t>
  </si>
  <si>
    <t>Iron Ore Fines Screened at OHP</t>
  </si>
  <si>
    <t>Limestone screened at RMHP</t>
  </si>
  <si>
    <t>Dolomite screened at RMHP</t>
  </si>
  <si>
    <t>Received from LDCP</t>
  </si>
  <si>
    <t>Dispatch to Sinter Plant</t>
  </si>
  <si>
    <t>Trimming supplied to Sinter Plant</t>
  </si>
  <si>
    <t>Basemix Dispatch</t>
  </si>
  <si>
    <t>Trimming Dispatch</t>
  </si>
  <si>
    <t>Total Basemix dispatch including Trimming</t>
  </si>
  <si>
    <t>Dispatch to BF, BOF, LDCP</t>
  </si>
  <si>
    <t>Iron Ore Lump to BF</t>
  </si>
  <si>
    <t>Quartzite to BF</t>
  </si>
  <si>
    <t>LD Slag (+10mm) to BF</t>
  </si>
  <si>
    <t>Pellet to BF</t>
  </si>
  <si>
    <t>Iron Ore Lump to BOF</t>
  </si>
  <si>
    <t>Dolomite to BOF</t>
  </si>
  <si>
    <t>Limestone SMS to LDCP</t>
  </si>
  <si>
    <t>Dolomite SMS to LDCP</t>
  </si>
  <si>
    <t>Coke Crushing Index</t>
  </si>
  <si>
    <t>Flux Crushing Index</t>
  </si>
  <si>
    <t>BF Sinter return fines (wet) to BMP-As per RMHP</t>
  </si>
  <si>
    <t>AWS A5.17 EM12K 6</t>
  </si>
  <si>
    <t>SAE 1008 Boron</t>
  </si>
  <si>
    <t>SEP'23</t>
  </si>
  <si>
    <t>FERRO CHROME,HIGH CARBON</t>
  </si>
  <si>
    <t>OLD/USED &amp; REJECTED TYRES OF LV/EQUIP.</t>
  </si>
  <si>
    <t>STEEL SCRAP BALED</t>
  </si>
  <si>
    <t>WASTE/USED PP FLEXRING#4 RANDOM PACKING</t>
  </si>
  <si>
    <t>WRM COILS (REBAR/WR) TRIMMED END SCRAP</t>
  </si>
  <si>
    <t>OLD ,U/ R STEEL MAINTENANCE SCRAP</t>
  </si>
  <si>
    <t>CABLE,ARM,6.6/6.6KV,AL,3C,120MM2</t>
  </si>
  <si>
    <t>LITHIUM EP GREASE: EP2</t>
  </si>
  <si>
    <t>E - 250ACU</t>
  </si>
  <si>
    <t>BLOOM CB IS 2830C25HMN MA V55 200*280</t>
  </si>
  <si>
    <t>BB1 IS: 2062/2011; E250A CU</t>
  </si>
  <si>
    <t>Sept'23</t>
  </si>
  <si>
    <t>Q-2</t>
  </si>
  <si>
    <t>NPB IS2062 E250BR 450*190*67.15</t>
  </si>
  <si>
    <t xml:space="preserve">IS 2062E250ACU </t>
  </si>
  <si>
    <t xml:space="preserve"> IS 2062 E350 BR 500*200*107.31</t>
  </si>
  <si>
    <t xml:space="preserve"> IS 2062 E350 BR 500*200*79.36</t>
  </si>
  <si>
    <t>IS 2062 E250 BR-150/6.1/36.52</t>
  </si>
  <si>
    <t>IS 2830 C20 HMNA ALK</t>
  </si>
  <si>
    <t xml:space="preserve"> IS 2830C25HMN MA V55 </t>
  </si>
  <si>
    <t>SAIL TOWER Gr VI (V)-Sik</t>
  </si>
  <si>
    <t>Scales</t>
  </si>
  <si>
    <t>6th relining life (carried on 13.01.21-23.01.21): 3875 Heats (lasted from 24.01.21-21.10.21);
7th carried on 22.10.21-29.10.21 which has resulted in 5705 Heats (lasted from 30.10.21-18.11.22) ,8th carried on 19.11.22-01.12.22 which has resulted in  4790 Heats till 30.09.23.</t>
  </si>
  <si>
    <t xml:space="preserve">
10th Relining carried on 28.07.22-02.08.22 which has resulted in 3510 Heats till 21.03.23.11th relining carried on from 22.03.2023-27.03.2023 which has resulted 2985 Heats till 30.09.2023.</t>
  </si>
  <si>
    <t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2748 Heats till 30.09.23</t>
  </si>
  <si>
    <t>Bokaro</t>
  </si>
  <si>
    <t>ASP</t>
  </si>
  <si>
    <t>IPT (200X280 &amp; Beam blank)</t>
  </si>
  <si>
    <t>MKTG DIR (DEF) (200x280 &amp; Beam blank)</t>
  </si>
  <si>
    <t>Plant sales</t>
  </si>
  <si>
    <t>Oct'23</t>
  </si>
  <si>
    <t>OCT'23</t>
  </si>
  <si>
    <t>HC 42B</t>
  </si>
  <si>
    <t>E - 350B0</t>
  </si>
  <si>
    <t>E - 410BR</t>
  </si>
  <si>
    <t xml:space="preserve">IPE750 </t>
  </si>
  <si>
    <t>HC42 B</t>
  </si>
  <si>
    <t xml:space="preserve">IPE-750 </t>
  </si>
  <si>
    <t>E350 BR 750*270*202.48</t>
  </si>
  <si>
    <t>IS 2062 E350 BO-180/8.6/66.3</t>
  </si>
  <si>
    <t>IS 2062 E350 BO-200/10.2/90.68</t>
  </si>
  <si>
    <t>IS 2062 E410 BR-220/12/122.45</t>
  </si>
  <si>
    <t>WPB 300*300*237.92</t>
  </si>
  <si>
    <t>NPB IS 2062 E350 BR 400*180*57.38</t>
  </si>
  <si>
    <t>NPB IS 2062 E350 BR 500*200*79.36</t>
  </si>
  <si>
    <t>NPB IS2062 E250BR 500*200*90.68</t>
  </si>
  <si>
    <t>WPB IS2062 E250B0 200*200*37.34</t>
  </si>
  <si>
    <t>IS2830C25HMNMAV65SIK</t>
  </si>
  <si>
    <t>BRASS SCRAP</t>
  </si>
  <si>
    <t>USED &amp; REJECTED RAILS</t>
  </si>
  <si>
    <t>SEAMLESS TUBE 51 X 5 MM AND 12 MTR</t>
  </si>
  <si>
    <t>BILLET HC42B</t>
  </si>
  <si>
    <t>6 WRC SAE 1010</t>
  </si>
  <si>
    <t>HC62 A</t>
  </si>
  <si>
    <t xml:space="preserve">
10th Relining carried on 28.07.22-02.08.22 which has resulted in 3510 Heats till 21.03.23.11th relining carried on from 22.03.2023-27.03.2023 which has resulted 3583 Heats till 31.10.2023.</t>
  </si>
  <si>
    <t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3378 Heats till 31.10.23</t>
  </si>
  <si>
    <t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269 Heats till 31.10.23.</t>
  </si>
  <si>
    <t>IPE600</t>
  </si>
  <si>
    <t>BASICITY</t>
  </si>
  <si>
    <t>&lt; 55</t>
  </si>
  <si>
    <t>&lt;6</t>
  </si>
  <si>
    <t>&lt; 3</t>
  </si>
  <si>
    <t>Nov'23</t>
  </si>
  <si>
    <t>8 M</t>
  </si>
  <si>
    <t>NOV'23</t>
  </si>
  <si>
    <t>CB 51CRV4_ALK_(VD)</t>
  </si>
  <si>
    <t>C20HMNC_AK_RC</t>
  </si>
  <si>
    <t>WPB 240*240*60.32</t>
  </si>
  <si>
    <t>BLOOM CB IS2830C20HMNC_AK_RC 150*150</t>
  </si>
  <si>
    <t>BLOOM CB 51CRV4_ALK_(VD) 150*150</t>
  </si>
  <si>
    <t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861 Heats till 30.11.23.</t>
  </si>
  <si>
    <t xml:space="preserve">
10th Relining carried on 28.07.22-02.08.22 which has resulted in 3510 Heats till 21.03.23.11th relining carried on from 22.03.2023-27.03.2023 which has resulted 3815 Heats till 30.11.2023.</t>
  </si>
  <si>
    <t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3828 Heats till 30.11.23</t>
  </si>
  <si>
    <t>SCREE &amp; DEBRIS</t>
  </si>
  <si>
    <t>WASTE/USED PVC CORRUGATED PACKING FILLS</t>
  </si>
  <si>
    <t>WASTE COTTON,IS:5485,1980</t>
  </si>
  <si>
    <t>Rejected IPE 750</t>
  </si>
  <si>
    <t>Assorted Semis</t>
  </si>
  <si>
    <t>Prime:BLOOM CB IS2830C20MMNC 200*280- Bhilai</t>
  </si>
  <si>
    <t xml:space="preserve">Prime:BLOOM CB 20MNCR5 200*280-ASP </t>
  </si>
  <si>
    <t>Plant Sales (IPT) -Rail</t>
  </si>
  <si>
    <t>Plant Sales (Other Parties)- Road</t>
  </si>
  <si>
    <t>ASSORTED CC BLOOM 200*280- Road</t>
  </si>
  <si>
    <t xml:space="preserve">ASSORTED CC BEAM BLANK </t>
  </si>
  <si>
    <t>REJECTED WIRE ROD COIL SCRAP- Road</t>
  </si>
  <si>
    <t>ISP DIRECT SALES (Except assorted semis)</t>
  </si>
  <si>
    <t>TOTAL ISP DIRECT SALES by Road (except asorted semis)</t>
  </si>
  <si>
    <t>Dec'23</t>
  </si>
  <si>
    <t>QTR 3</t>
  </si>
  <si>
    <t>9M</t>
  </si>
  <si>
    <t>Q-3</t>
  </si>
  <si>
    <t>QRT-3</t>
  </si>
  <si>
    <t>DEC'23</t>
  </si>
  <si>
    <t>22 mm</t>
  </si>
  <si>
    <t>Billet LRPC (V)</t>
  </si>
  <si>
    <t>BB3 IS: 2062/2011; E250C</t>
  </si>
  <si>
    <t>BB2 IS: 2062/2011; E410C</t>
  </si>
  <si>
    <t>CRUDE BENZOL</t>
  </si>
  <si>
    <t>USM STRUCTURALS CROP ENDS SCRAP</t>
  </si>
  <si>
    <t>LOW CARBON FERRO CHROME</t>
  </si>
  <si>
    <t>NITROGEN,LIQUID,PURITY-98% (MINIMUM)</t>
  </si>
  <si>
    <t>HIGH QUALITY CALCINED QUICK LIME,60MM</t>
  </si>
  <si>
    <t xml:space="preserve"> E350 BR 750*270*145.29</t>
  </si>
  <si>
    <t>E350 BR 750*270*174.54</t>
  </si>
  <si>
    <t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1344 Heats till 31.12.23.</t>
  </si>
  <si>
    <t xml:space="preserve">
10th Relining carried on 28.07.22-02.08.22 which has resulted in 3510 Heats till 21.03.23.11th relining carried on from 22.03.2023-27.03.2023 which has resulted 4242 Heats till 31.12.2023.</t>
  </si>
  <si>
    <t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4326 Heats till 31.12.23</t>
  </si>
  <si>
    <t>Bengal Energy</t>
  </si>
  <si>
    <t>Actual May'23</t>
  </si>
  <si>
    <t>Actual Jul'23</t>
  </si>
  <si>
    <t>Actual Jun'23</t>
  </si>
  <si>
    <t>Actual Aug'23</t>
  </si>
  <si>
    <t>Actual Sep'23</t>
  </si>
  <si>
    <t>Actual Oct'23</t>
  </si>
  <si>
    <t>Actual Nov'23</t>
  </si>
  <si>
    <t>Actual Dec'23</t>
  </si>
  <si>
    <t>Actual April'23</t>
  </si>
  <si>
    <t>Jan'24</t>
  </si>
  <si>
    <t>10 M</t>
  </si>
  <si>
    <t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1851 Heats till 31.01.24.</t>
  </si>
  <si>
    <t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4804 Heats till 31.01.24</t>
  </si>
  <si>
    <t>Ferro Alloys (inc LCFeMn)</t>
  </si>
  <si>
    <t>JAN'24</t>
  </si>
  <si>
    <t xml:space="preserve">
10th Relining carried on 28.07.22-02.08.22 which has resulted in 3510 Heats till 21.03.23.11th relining carried on from 22.03.2023-27.03.2023 which has resulted 4715 Heats till 31.01.2024.</t>
  </si>
  <si>
    <t>USED &amp; REJECTED SLEEPER</t>
  </si>
  <si>
    <t>SILICO MANGANESE</t>
  </si>
  <si>
    <t>Actual Jan'24</t>
  </si>
  <si>
    <t>FERRO NEOBIUM</t>
  </si>
  <si>
    <t>ROURKELA</t>
  </si>
  <si>
    <t>FERRO TITANIUM</t>
  </si>
  <si>
    <t>FERRO-CHROME</t>
  </si>
  <si>
    <t>6 WRC SAE 1008  (Boron)</t>
  </si>
  <si>
    <t>UAE</t>
  </si>
  <si>
    <t>Mahalakshmi Fuels</t>
  </si>
  <si>
    <t>NET RAW MATERIAL CONSUMED</t>
  </si>
  <si>
    <t>TOTAL CALCINED MATERIAL PRODUCED</t>
  </si>
  <si>
    <t>CALCINED MATERIAL PRODUCED FOR SINTER PLANT (0-3mm)</t>
  </si>
  <si>
    <t>Kuteswar Lime was first time tested in LDCP in Jan'24.  The burnt lime produced from it was sent to Sinter plant.</t>
  </si>
  <si>
    <t>RAW MATERIAL RECEIVED from Kuteswar</t>
  </si>
  <si>
    <t>Feb'24</t>
  </si>
  <si>
    <t>11 M</t>
  </si>
  <si>
    <t>FEB'24</t>
  </si>
  <si>
    <t>BOF ESP Dust</t>
  </si>
  <si>
    <t>BILLET PC115(6.5)</t>
  </si>
  <si>
    <t>BILLET PC115(6)</t>
  </si>
  <si>
    <t>Solar Generation</t>
  </si>
  <si>
    <t>FIELD MACHINERY EQUIPMENT SCRAP</t>
  </si>
  <si>
    <t>OLD/USED &amp; DISCARDED PLANTE TYPE CELL</t>
  </si>
  <si>
    <t>IS 2062 E250 BR 600*220*107.56</t>
  </si>
  <si>
    <t>CB SUP 11A</t>
  </si>
  <si>
    <t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2370 Heats till 29.02.24.</t>
  </si>
  <si>
    <t xml:space="preserve">
10th Relining carried on 28.07.22-02.08.22 which has resulted in 3510 Heats till 21.03.23.11th relining carried on from 22.03.2023-27.03.2023 which has resulted 5162 Heats till 29.02.2024.</t>
  </si>
  <si>
    <t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5269 Heats till 29.02.24</t>
  </si>
  <si>
    <t>Actual Feb'24</t>
  </si>
  <si>
    <t>10th Nov to 21st Nov</t>
  </si>
  <si>
    <t>5th Oct to 18th Oct</t>
  </si>
  <si>
    <t>10th Apr-19th Apr</t>
  </si>
  <si>
    <t>Scheduled Shutdown Actual</t>
  </si>
  <si>
    <t>Hood Repair</t>
  </si>
  <si>
    <t>Labor productivity calculation</t>
  </si>
  <si>
    <t>Ferro Alloys Break-up</t>
  </si>
  <si>
    <t>Reservoir Filling</t>
  </si>
  <si>
    <t>Previous Month rejection adjusted</t>
  </si>
  <si>
    <t>QTR 4</t>
  </si>
  <si>
    <t>Mar'24</t>
  </si>
  <si>
    <t>QRT-4</t>
  </si>
  <si>
    <t xml:space="preserve">
10th Relining carried on 28.07.22-02.08.22 which has resulted in 3510 Heats till 21.03.23.11th relining carried on from 22.03.2023-27.03.2023 which has resulted 5647 Heats till 31.03.2024.</t>
  </si>
  <si>
    <t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5724 Heats till 31.03.24</t>
  </si>
  <si>
    <t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2903 Heats till 31.03.24.</t>
  </si>
  <si>
    <t>HE200</t>
  </si>
  <si>
    <t>MAR'24</t>
  </si>
  <si>
    <t>BLOOM CB SWR 14 150*150</t>
  </si>
  <si>
    <t>BLOOM CB SA105_(VD) 150*150</t>
  </si>
  <si>
    <t>Q-4</t>
  </si>
  <si>
    <t>Saleable 150</t>
  </si>
  <si>
    <t>TUBE 38 MM X 12 M</t>
  </si>
  <si>
    <t>WPB 200*200*42.26</t>
  </si>
  <si>
    <t>CB SA105_(VD)</t>
  </si>
  <si>
    <t>CB SWR 14</t>
  </si>
  <si>
    <t>Wet Quenching</t>
  </si>
  <si>
    <t>Actual Mar'24</t>
  </si>
  <si>
    <t>Average 2023-24</t>
  </si>
  <si>
    <t>ASSORTED CC BEAM BLANK
 (sent to sister units IPT but taken in plant sales)</t>
  </si>
  <si>
    <t>IPT (Prime)</t>
  </si>
  <si>
    <r>
      <t>10</t>
    </r>
    <r>
      <rPr>
        <sz val="16"/>
        <rFont val="Calibri"/>
        <family val="2"/>
      </rPr>
      <t>⁶</t>
    </r>
    <r>
      <rPr>
        <sz val="16"/>
        <rFont val="Times New Roman"/>
        <family val="1"/>
      </rPr>
      <t xml:space="preserve"> k.cal/tls</t>
    </r>
  </si>
  <si>
    <r>
      <t>10</t>
    </r>
    <r>
      <rPr>
        <sz val="16"/>
        <rFont val="Calibri"/>
        <family val="2"/>
      </rPr>
      <t>⁶</t>
    </r>
    <r>
      <rPr>
        <sz val="16"/>
        <rFont val="Times New Roman"/>
        <family val="1"/>
      </rPr>
      <t xml:space="preserve"> k.cal/tcs</t>
    </r>
  </si>
  <si>
    <t>Plant sales- ASSORTED BILLETS 
(Consists of assorted billets to sister units taken as plant sales)</t>
  </si>
  <si>
    <t xml:space="preserve">ASSORTED CC BILLET </t>
  </si>
  <si>
    <t>ASSORTED CC BLOOM</t>
  </si>
  <si>
    <t>Caster #1 (Assorted Billet)</t>
  </si>
  <si>
    <t>Caster #2 (Assorted Billet)</t>
  </si>
  <si>
    <t>Caster #1+#2 (Assorted Billet)</t>
  </si>
  <si>
    <t>Caster #3 Bloom (Assorted Bloom)</t>
  </si>
  <si>
    <t>Caster #3 Beam Blank 1 (Assorted Beam Blank )</t>
  </si>
  <si>
    <t>Caster #3 Beam Blank 2 (Assorted Beam Blank)</t>
  </si>
  <si>
    <t>Caster #3 Beam Blank 3 (Assorted Beam Blank)</t>
  </si>
  <si>
    <t>Total Caster (Assorted Bloom &amp; Beam Blank)</t>
  </si>
  <si>
    <t>KUTESWAR/BHILAI</t>
  </si>
  <si>
    <t>TON*</t>
  </si>
  <si>
    <t>*- Figures are Provisional</t>
  </si>
  <si>
    <t>Rejection from current year Rolling (T)</t>
  </si>
  <si>
    <t>Rejection from previous year Rolling (T)</t>
  </si>
  <si>
    <t>RCL declared</t>
  </si>
  <si>
    <t>RCL declared PREVIOUS ROLLING</t>
  </si>
  <si>
    <t>RCL declared current year rolling</t>
  </si>
  <si>
    <t>Rejection from Previous year Rollng</t>
  </si>
  <si>
    <t xml:space="preserve">23.3 T </t>
  </si>
  <si>
    <t>COAL(ICC)Hard</t>
  </si>
  <si>
    <t>COAL(ICC)Soft</t>
  </si>
  <si>
    <t>JAMADOBA/BHELATAND/MOONIDIH(PCC)</t>
  </si>
  <si>
    <t>Coke Breeze.</t>
  </si>
  <si>
    <t>SAP POSTING</t>
  </si>
  <si>
    <t>LIMESTONE (TOTAL)</t>
  </si>
  <si>
    <t>DOLOMITE (TOTAL)</t>
  </si>
  <si>
    <t>Difference</t>
  </si>
  <si>
    <t>Difference Observed</t>
  </si>
  <si>
    <t>Item</t>
  </si>
  <si>
    <t>As per SAP
(ZMM_STOCKREPORT)</t>
  </si>
  <si>
    <t>Material Received as per TRM</t>
  </si>
  <si>
    <t>Difference from SAP</t>
  </si>
  <si>
    <t>IOL</t>
  </si>
  <si>
    <t>IOF</t>
  </si>
  <si>
    <t>LS SMS</t>
  </si>
  <si>
    <t>LS SP/BF</t>
  </si>
  <si>
    <t>Dolo SP/BF</t>
  </si>
  <si>
    <t>Dolo SMS</t>
  </si>
  <si>
    <t>Boiler Coal</t>
  </si>
  <si>
    <t>CDI Coal</t>
  </si>
  <si>
    <t>ICC Hard</t>
  </si>
  <si>
    <t>ICC Soft</t>
  </si>
  <si>
    <t>Indigenous Coal</t>
  </si>
  <si>
    <t>External Coke</t>
  </si>
  <si>
    <t>BF Coke from NMDC</t>
  </si>
  <si>
    <t>BF Coke IPT</t>
  </si>
  <si>
    <t>Total Procured Coke</t>
  </si>
  <si>
    <t>DELAY ANALYSIS : (ISP)</t>
  </si>
  <si>
    <t> </t>
  </si>
  <si>
    <t>SP-I</t>
  </si>
  <si>
    <t>SP-II</t>
  </si>
  <si>
    <t>BF-5</t>
  </si>
  <si>
    <t>ICH (Fce/Conv/Mc Hr)</t>
  </si>
  <si>
    <t>Qtr-I</t>
  </si>
  <si>
    <t>Qtr-II</t>
  </si>
  <si>
    <t>Qtr-III</t>
  </si>
  <si>
    <t>Qtr-IV</t>
  </si>
  <si>
    <t>Available Hrs</t>
  </si>
  <si>
    <t>Utilisation Hrs</t>
  </si>
  <si>
    <t>Scheduled S/D</t>
  </si>
  <si>
    <t>Capital Repair</t>
  </si>
  <si>
    <t>Operational</t>
  </si>
  <si>
    <t>Coke Oven</t>
  </si>
  <si>
    <t xml:space="preserve">Mechanical </t>
  </si>
  <si>
    <t>Electrical</t>
  </si>
  <si>
    <t>MISC</t>
  </si>
  <si>
    <t>Poor demand</t>
  </si>
  <si>
    <t>Raw material -Pellet</t>
  </si>
  <si>
    <t>Other Delays</t>
  </si>
  <si>
    <t>Gas/Power Shortage</t>
  </si>
  <si>
    <t>Instrumentation</t>
  </si>
  <si>
    <t>Power Plant</t>
  </si>
  <si>
    <t>Basemix shortage</t>
  </si>
  <si>
    <t>Ladle Bay</t>
  </si>
  <si>
    <t>IDLE (Due to BF shutdown and Hot metal unavailability)</t>
  </si>
  <si>
    <t>Total Delay</t>
  </si>
  <si>
    <t>Apr'23-May'23</t>
  </si>
  <si>
    <t>Total Delay 5 Months</t>
  </si>
  <si>
    <t>Qtr-2</t>
  </si>
  <si>
    <t>Total Delay 7 Months</t>
  </si>
  <si>
    <t>Total Delay 8 Months</t>
  </si>
  <si>
    <t>Qtr-3</t>
  </si>
  <si>
    <t>Total Delay 9 Months</t>
  </si>
  <si>
    <t>Total Delay 10 Months</t>
  </si>
  <si>
    <t>Total Delay 11 Months</t>
  </si>
  <si>
    <t>Total Delay 12 Months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</si>
</sst>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8">
    <numFmt numFmtId="44" formatCode="_ &quot;₹&quot;\ * #,##0.00_ ;_ &quot;₹&quot;\ * \-#,##0.00_ ;_ &quot;₹&quot;\ * &quot;-&quot;??_ ;_ @_ "/>
    <numFmt numFmtId="43" formatCode="_ * #,##0.00_ ;_ * \-#,##0.00_ ;_ * &quot;-&quot;??_ ;_ @_ "/>
    <numFmt numFmtId="164" formatCode="_(* #,##0_);_(* \(#,##0\);_(* &quot;-&quot;_);_(@_)"/>
    <numFmt numFmtId="165" formatCode="_(&quot;$&quot;* #,##0.00_);_(&quot;$&quot;* \(#,##0.00\);_(&quot;$&quot;* &quot;-&quot;??_);_(@_)"/>
    <numFmt numFmtId="166" formatCode="_(* #,##0.00_);_(* \(#,##0.00\);_(* &quot;-&quot;??_);_(@_)"/>
    <numFmt numFmtId="167" formatCode="0.0"/>
    <numFmt numFmtId="168" formatCode="General_)"/>
    <numFmt numFmtId="169" formatCode="0.000"/>
    <numFmt numFmtId="170" formatCode="0.0000"/>
    <numFmt numFmtId="171" formatCode="0.0%"/>
    <numFmt numFmtId="172" formatCode="_(* #,##0.00_);_(* \(#,##0.00\);_(* &quot;-&quot;_);_(@_)"/>
    <numFmt numFmtId="173" formatCode="&quot;Rs.&quot;\ #,##0;[Red]&quot;Rs.&quot;\ \-#,##0"/>
    <numFmt numFmtId="174" formatCode="_(* #,##0_);_(* \(#,##0\);_(* &quot;-&quot;??_);_(@_)"/>
    <numFmt numFmtId="175" formatCode="_(* #,##0.00_);_(* \(#,##0.00\);_(* \-??_);_(@_)"/>
    <numFmt numFmtId="176" formatCode="_-* #,##0.00_-;\-* #,##0.00_-;_-* &quot;-&quot;??_-;_-@_-"/>
    <numFmt numFmtId="177" formatCode="_ * #,##0_ ;_ * \-#,##0_ ;_ * &quot;-&quot;??_ ;_ @_ "/>
    <numFmt numFmtId="178" formatCode="0E+00"/>
    <numFmt numFmtId="179" formatCode="0.000000000000000"/>
  </numFmts>
  <fonts count="197" x14ac:knownFonts="1">
    <font>
      <sz val="11"/>
      <color theme="1"/>
      <name val="Calibri"/>
      <family val="2"/>
      <scheme val="minor"/>
    </font>
    <font>
      <sz val="10"/>
      <name val="Courier"/>
      <family val="3"/>
    </font>
    <font>
      <sz val="10"/>
      <name val="Courier"/>
      <family val="3"/>
    </font>
    <font>
      <b/>
      <sz val="18"/>
      <name val="Times New Roman"/>
      <family val="1"/>
    </font>
    <font>
      <b/>
      <sz val="14"/>
      <name val="Times New Roman"/>
      <family val="1"/>
    </font>
    <font>
      <b/>
      <u/>
      <sz val="14"/>
      <name val="Times New Roman"/>
      <family val="1"/>
    </font>
    <font>
      <sz val="11"/>
      <color indexed="8"/>
      <name val="Calibri"/>
      <family val="2"/>
    </font>
    <font>
      <sz val="14"/>
      <name val="Times New Roman"/>
      <family val="1"/>
    </font>
    <font>
      <b/>
      <sz val="16"/>
      <name val="Times New Roman"/>
      <family val="1"/>
    </font>
    <font>
      <sz val="18"/>
      <color indexed="8"/>
      <name val="Calibri"/>
      <family val="2"/>
    </font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Times New Roman"/>
      <family val="1"/>
    </font>
    <font>
      <sz val="16"/>
      <color theme="1"/>
      <name val="Calibri"/>
      <family val="2"/>
      <scheme val="minor"/>
    </font>
    <font>
      <b/>
      <sz val="12"/>
      <color indexed="8"/>
      <name val="Times New Roman"/>
      <family val="1"/>
    </font>
    <font>
      <b/>
      <sz val="12"/>
      <color theme="1"/>
      <name val="Times New Roman"/>
      <family val="1"/>
    </font>
    <font>
      <b/>
      <sz val="14"/>
      <color rgb="FFC00000"/>
      <name val="Times New Roman"/>
      <family val="1"/>
    </font>
    <font>
      <b/>
      <sz val="16"/>
      <color rgb="FFC00000"/>
      <name val="Times New Roman"/>
      <family val="1"/>
    </font>
    <font>
      <b/>
      <sz val="11"/>
      <color theme="1"/>
      <name val="Calibri"/>
      <family val="2"/>
      <scheme val="minor"/>
    </font>
    <font>
      <b/>
      <sz val="12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1"/>
      <name val="Times New Roman"/>
      <family val="1"/>
    </font>
    <font>
      <b/>
      <sz val="12"/>
      <color theme="1"/>
      <name val="Calibri"/>
      <family val="2"/>
      <scheme val="minor"/>
    </font>
    <font>
      <b/>
      <sz val="14"/>
      <color theme="1"/>
      <name val="Times New Roman"/>
      <family val="1"/>
    </font>
    <font>
      <b/>
      <sz val="11"/>
      <color indexed="8"/>
      <name val="Times New Roman"/>
      <family val="1"/>
    </font>
    <font>
      <sz val="11"/>
      <color indexed="8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u/>
      <sz val="16"/>
      <color rgb="FFC00000"/>
      <name val="Times New Roman"/>
      <family val="1"/>
    </font>
    <font>
      <b/>
      <u/>
      <sz val="11"/>
      <name val="Times New Roman"/>
      <family val="1"/>
    </font>
    <font>
      <b/>
      <sz val="12"/>
      <color rgb="FFC00000"/>
      <name val="Times New Roman"/>
      <family val="1"/>
    </font>
    <font>
      <b/>
      <u/>
      <sz val="18"/>
      <color theme="1"/>
      <name val="Times New Roman"/>
      <family val="1"/>
    </font>
    <font>
      <b/>
      <u/>
      <sz val="12"/>
      <name val="Times New Roman"/>
      <family val="1"/>
    </font>
    <font>
      <b/>
      <sz val="18"/>
      <color theme="1"/>
      <name val="Times New Roman"/>
      <family val="1"/>
    </font>
    <font>
      <b/>
      <sz val="8"/>
      <name val="Times New Roman"/>
      <family val="1"/>
    </font>
    <font>
      <sz val="8"/>
      <color theme="1"/>
      <name val="Times New Roman"/>
      <family val="1"/>
    </font>
    <font>
      <sz val="14"/>
      <color theme="1"/>
      <name val="Times New Roman"/>
      <family val="1"/>
    </font>
    <font>
      <sz val="11"/>
      <color rgb="FFC00000"/>
      <name val="Times New Roman"/>
      <family val="1"/>
    </font>
    <font>
      <b/>
      <sz val="12"/>
      <color rgb="FFC00000"/>
      <name val="Calibri"/>
      <family val="2"/>
      <scheme val="minor"/>
    </font>
    <font>
      <sz val="10"/>
      <name val="Times New Roman"/>
      <family val="1"/>
    </font>
    <font>
      <b/>
      <u/>
      <sz val="16"/>
      <name val="Times New Roman"/>
      <family val="1"/>
    </font>
    <font>
      <b/>
      <sz val="18"/>
      <color rgb="FF0070C0"/>
      <name val="Times New Roman"/>
      <family val="1"/>
    </font>
    <font>
      <sz val="8"/>
      <color theme="1"/>
      <name val="Calibri"/>
      <family val="2"/>
      <scheme val="minor"/>
    </font>
    <font>
      <sz val="9"/>
      <name val="Times New Roman"/>
      <family val="1"/>
    </font>
    <font>
      <sz val="8"/>
      <name val="Times New Roman"/>
      <family val="1"/>
    </font>
    <font>
      <sz val="11"/>
      <name val="Calibri"/>
      <family val="2"/>
      <scheme val="minor"/>
    </font>
    <font>
      <b/>
      <u/>
      <sz val="14"/>
      <color theme="1"/>
      <name val="Times New Roman"/>
      <family val="1"/>
    </font>
    <font>
      <sz val="11"/>
      <color rgb="FFC00000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Arial"/>
      <family val="2"/>
    </font>
    <font>
      <sz val="8"/>
      <color rgb="FFC00000"/>
      <name val="Calibri"/>
      <family val="2"/>
      <scheme val="minor"/>
    </font>
    <font>
      <b/>
      <sz val="14"/>
      <color rgb="FFC0000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0"/>
      <name val="Times New Roman"/>
      <family val="1"/>
    </font>
    <font>
      <sz val="11"/>
      <color theme="0"/>
      <name val="Times New Roman"/>
      <family val="1"/>
    </font>
    <font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name val="Courier"/>
      <family val="3"/>
    </font>
    <font>
      <sz val="11"/>
      <color rgb="FF7030A0"/>
      <name val="Calibri"/>
      <family val="2"/>
      <scheme val="minor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2"/>
      <color theme="1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4"/>
      <name val="Calibri"/>
      <family val="2"/>
      <scheme val="minor"/>
    </font>
    <font>
      <sz val="10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  <font>
      <b/>
      <u/>
      <sz val="18"/>
      <color rgb="FF000000"/>
      <name val="Times New Roman"/>
      <family val="1"/>
    </font>
    <font>
      <b/>
      <u/>
      <sz val="16"/>
      <color rgb="FF000000"/>
      <name val="Times New Roman"/>
      <family val="1"/>
    </font>
    <font>
      <b/>
      <sz val="16"/>
      <color rgb="FF000000"/>
      <name val="Times New Roman"/>
      <family val="1"/>
    </font>
    <font>
      <b/>
      <sz val="14"/>
      <color theme="1"/>
      <name val="Calibri"/>
      <family val="2"/>
      <scheme val="minor"/>
    </font>
    <font>
      <sz val="11"/>
      <color rgb="FF000000"/>
      <name val="Calibri"/>
      <family val="2"/>
    </font>
    <font>
      <sz val="10"/>
      <name val="Lucida Sans"/>
      <family val="2"/>
    </font>
    <font>
      <b/>
      <u/>
      <sz val="18"/>
      <name val="Times New Roman"/>
      <family val="1"/>
    </font>
    <font>
      <b/>
      <sz val="18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4"/>
      <name val="Calibri"/>
      <family val="2"/>
      <scheme val="minor"/>
    </font>
    <font>
      <b/>
      <sz val="11"/>
      <color rgb="FF7030A0"/>
      <name val="Calibri"/>
      <family val="2"/>
      <scheme val="minor"/>
    </font>
    <font>
      <sz val="10"/>
      <color indexed="9"/>
      <name val="Calibri"/>
      <family val="2"/>
    </font>
    <font>
      <b/>
      <sz val="10"/>
      <color indexed="8"/>
      <name val="Calibri"/>
      <family val="2"/>
    </font>
    <font>
      <sz val="10"/>
      <color indexed="10"/>
      <name val="Calibri"/>
      <family val="2"/>
    </font>
    <font>
      <b/>
      <sz val="10"/>
      <color indexed="9"/>
      <name val="Calibri"/>
      <family val="2"/>
    </font>
    <font>
      <i/>
      <sz val="10"/>
      <color indexed="23"/>
      <name val="Calibri"/>
      <family val="2"/>
    </font>
    <font>
      <sz val="10"/>
      <color indexed="17"/>
      <name val="Calibri"/>
      <family val="2"/>
    </font>
    <font>
      <sz val="12"/>
      <color indexed="8"/>
      <name val="Calibri"/>
      <family val="2"/>
    </font>
    <font>
      <u/>
      <sz val="10"/>
      <color indexed="12"/>
      <name val="Calibri"/>
      <family val="2"/>
    </font>
    <font>
      <sz val="10"/>
      <color indexed="19"/>
      <name val="Calibri"/>
      <family val="2"/>
    </font>
    <font>
      <sz val="10"/>
      <color indexed="63"/>
      <name val="Calibri"/>
      <family val="2"/>
    </font>
    <font>
      <b/>
      <sz val="12"/>
      <color rgb="FFFF0000"/>
      <name val="Times New Roman"/>
      <family val="1"/>
    </font>
    <font>
      <b/>
      <sz val="12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name val="Arial"/>
      <family val="2"/>
      <charset val="1"/>
    </font>
    <font>
      <sz val="11"/>
      <name val="Calibri"/>
      <family val="2"/>
    </font>
    <font>
      <sz val="11"/>
      <color rgb="FF000000"/>
      <name val="Calibri"/>
      <family val="2"/>
      <charset val="1"/>
    </font>
    <font>
      <sz val="10"/>
      <name val="Courier"/>
      <family val="3"/>
    </font>
    <font>
      <u/>
      <sz val="12"/>
      <name val="Times New Roman"/>
      <family val="1"/>
    </font>
    <font>
      <b/>
      <sz val="16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0"/>
      <name val="Arial"/>
      <family val="2"/>
    </font>
    <font>
      <sz val="11"/>
      <color theme="4"/>
      <name val="Calibri"/>
      <family val="2"/>
      <scheme val="minor"/>
    </font>
    <font>
      <sz val="14"/>
      <color theme="4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9"/>
      <name val="Calibri"/>
      <family val="2"/>
      <scheme val="minor"/>
    </font>
    <font>
      <b/>
      <sz val="20"/>
      <name val="Times New Roman"/>
      <family val="1"/>
    </font>
    <font>
      <sz val="12"/>
      <name val="Calibri"/>
      <family val="2"/>
    </font>
    <font>
      <b/>
      <sz val="12"/>
      <name val="Calibri"/>
      <family val="2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4"/>
      <name val="Calibri"/>
      <family val="2"/>
      <scheme val="minor"/>
    </font>
    <font>
      <sz val="10"/>
      <name val="Arial"/>
      <family val="2"/>
    </font>
    <font>
      <b/>
      <sz val="20"/>
      <color rgb="FFFF6699"/>
      <name val="Times New Roman"/>
      <family val="1"/>
    </font>
    <font>
      <b/>
      <sz val="18"/>
      <color rgb="FFFF6699"/>
      <name val="Times New Roman"/>
      <family val="1"/>
    </font>
    <font>
      <b/>
      <sz val="14"/>
      <color rgb="FFFF0000"/>
      <name val="Calibri"/>
      <family val="2"/>
      <scheme val="minor"/>
    </font>
    <font>
      <b/>
      <sz val="28"/>
      <name val="Times New Roman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2"/>
      <name val="Arial"/>
      <family val="2"/>
    </font>
    <font>
      <b/>
      <i/>
      <sz val="16"/>
      <color rgb="FFC00000"/>
      <name val="Times New Roman"/>
      <family val="1"/>
    </font>
    <font>
      <sz val="11"/>
      <color rgb="FFFF0000"/>
      <name val="Times New Roman"/>
      <family val="1"/>
    </font>
    <font>
      <sz val="11"/>
      <color theme="1"/>
      <name val="Calibri"/>
      <family val="2"/>
    </font>
    <font>
      <b/>
      <sz val="20"/>
      <name val="Calibri"/>
      <family val="2"/>
      <scheme val="minor"/>
    </font>
    <font>
      <sz val="16"/>
      <color indexed="81"/>
      <name val="Tahoma"/>
      <family val="2"/>
    </font>
    <font>
      <b/>
      <sz val="16"/>
      <color indexed="81"/>
      <name val="Tahoma"/>
      <family val="2"/>
    </font>
    <font>
      <sz val="11"/>
      <color theme="1"/>
      <name val="Bodoni MT Condensed"/>
      <family val="1"/>
    </font>
    <font>
      <sz val="10"/>
      <color theme="1"/>
      <name val="Calibri"/>
      <family val="2"/>
      <scheme val="minor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b/>
      <sz val="18"/>
      <name val="Calibri"/>
      <family val="2"/>
      <scheme val="minor"/>
    </font>
    <font>
      <b/>
      <sz val="12"/>
      <color rgb="FF0070C0"/>
      <name val="Times New Roman"/>
      <family val="1"/>
    </font>
    <font>
      <b/>
      <sz val="12"/>
      <color theme="6" tint="-0.249977111117893"/>
      <name val="Times New Roman"/>
      <family val="1"/>
    </font>
    <font>
      <sz val="16"/>
      <name val="Times New Roman"/>
      <family val="1"/>
    </font>
    <font>
      <sz val="16"/>
      <name val="Calibri"/>
      <family val="2"/>
      <scheme val="minor"/>
    </font>
    <font>
      <b/>
      <i/>
      <sz val="8"/>
      <color rgb="FFC00000"/>
      <name val="Times New Roman"/>
      <family val="1"/>
    </font>
    <font>
      <sz val="8"/>
      <color rgb="FF000000"/>
      <name val="Times New Roman"/>
      <family val="1"/>
    </font>
    <font>
      <b/>
      <i/>
      <sz val="11"/>
      <color rgb="FFFF0000"/>
      <name val="Times New Roman"/>
      <family val="1"/>
    </font>
    <font>
      <sz val="18"/>
      <color theme="1"/>
      <name val="Times New Roman"/>
      <family val="1"/>
    </font>
    <font>
      <b/>
      <sz val="20"/>
      <color theme="1"/>
      <name val="Times New Roman"/>
      <family val="1"/>
    </font>
    <font>
      <b/>
      <sz val="11"/>
      <color theme="7"/>
      <name val="Times New Roman"/>
      <family val="1"/>
    </font>
    <font>
      <b/>
      <sz val="12"/>
      <color theme="7"/>
      <name val="Times New Roman"/>
      <family val="1"/>
    </font>
    <font>
      <sz val="12"/>
      <color rgb="FFC00000"/>
      <name val="Times New Roman"/>
      <family val="1"/>
    </font>
    <font>
      <sz val="10"/>
      <name val="Arial"/>
      <family val="2"/>
    </font>
    <font>
      <sz val="16"/>
      <color theme="1"/>
      <name val="Arial Narrow"/>
      <family val="2"/>
    </font>
    <font>
      <sz val="18"/>
      <name val="Times New Roman"/>
      <family val="1"/>
    </font>
    <font>
      <b/>
      <sz val="22"/>
      <color rgb="FFC00000"/>
      <name val="Calibri"/>
      <family val="2"/>
      <scheme val="minor"/>
    </font>
    <font>
      <sz val="22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i/>
      <u/>
      <sz val="10"/>
      <color indexed="12"/>
      <name val="Arial"/>
      <family val="2"/>
    </font>
    <font>
      <u/>
      <sz val="11"/>
      <color theme="10"/>
      <name val="Calibri"/>
      <family val="2"/>
      <scheme val="minor"/>
    </font>
    <font>
      <sz val="8"/>
      <name val="Comic Sans MS"/>
      <family val="4"/>
    </font>
    <font>
      <sz val="20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6"/>
      <color theme="1"/>
      <name val="Arial Narrow"/>
      <family val="2"/>
    </font>
    <font>
      <sz val="10"/>
      <name val="Arial"/>
      <family val="2"/>
    </font>
    <font>
      <sz val="14"/>
      <color rgb="FFC00000"/>
      <name val="Times New Roman"/>
      <family val="1"/>
    </font>
    <font>
      <sz val="14"/>
      <color rgb="FFC00000"/>
      <name val="Calibri"/>
      <family val="2"/>
      <scheme val="minor"/>
    </font>
    <font>
      <u/>
      <sz val="14"/>
      <name val="Times New Roman"/>
      <family val="1"/>
    </font>
    <font>
      <u/>
      <sz val="11"/>
      <name val="Times New Roman"/>
      <family val="1"/>
    </font>
    <font>
      <sz val="10"/>
      <name val="Arial"/>
      <family val="2"/>
    </font>
    <font>
      <sz val="10"/>
      <color rgb="FF000000"/>
      <name val="Arial"/>
      <family val="2"/>
    </font>
    <font>
      <sz val="14"/>
      <color rgb="FFFF0000"/>
      <name val="Times New Roman"/>
      <family val="1"/>
    </font>
    <font>
      <b/>
      <sz val="20"/>
      <color rgb="FFC00000"/>
      <name val="Times New Roman"/>
      <family val="1"/>
    </font>
    <font>
      <b/>
      <sz val="14"/>
      <color rgb="FF0070C0"/>
      <name val="Times New Roman"/>
      <family val="1"/>
    </font>
    <font>
      <b/>
      <sz val="18"/>
      <color rgb="FFC00000"/>
      <name val="Times New Roman"/>
      <family val="1"/>
    </font>
    <font>
      <sz val="12"/>
      <color indexed="8"/>
      <name val="Calibri"/>
      <family val="2"/>
      <scheme val="minor"/>
    </font>
    <font>
      <sz val="16"/>
      <color theme="1"/>
      <name val="Times New Roman"/>
      <family val="1"/>
    </font>
    <font>
      <sz val="14"/>
      <color theme="0"/>
      <name val="Calibri"/>
      <family val="2"/>
      <scheme val="minor"/>
    </font>
    <font>
      <sz val="12"/>
      <color theme="0"/>
      <name val="Calibri"/>
      <family val="2"/>
      <scheme val="minor"/>
    </font>
    <font>
      <sz val="10"/>
      <name val="Arial"/>
      <family val="2"/>
    </font>
    <font>
      <b/>
      <sz val="11"/>
      <color rgb="FFC00000"/>
      <name val="Calibri"/>
      <family val="2"/>
      <scheme val="minor"/>
    </font>
    <font>
      <sz val="16"/>
      <name val="Calibri"/>
      <family val="2"/>
    </font>
    <font>
      <b/>
      <sz val="16"/>
      <color theme="1"/>
      <name val="Calibri"/>
      <family val="2"/>
      <scheme val="minor"/>
    </font>
    <font>
      <sz val="11"/>
      <color rgb="FF000000"/>
      <name val="Arial"/>
      <family val="2"/>
    </font>
    <font>
      <b/>
      <sz val="16"/>
      <color rgb="FF000000"/>
      <name val="Arial"/>
      <family val="2"/>
    </font>
    <font>
      <b/>
      <sz val="11"/>
      <color rgb="FF000000"/>
      <name val="Arial"/>
      <family val="2"/>
    </font>
    <font>
      <sz val="11"/>
      <color theme="0" tint="-4.9989318521683403E-2"/>
      <name val="Arial"/>
      <family val="2"/>
    </font>
    <font>
      <b/>
      <sz val="11"/>
      <name val="Arial"/>
      <family val="2"/>
    </font>
    <font>
      <b/>
      <sz val="11"/>
      <color theme="0" tint="-4.9989318521683403E-2"/>
      <name val="Arial"/>
      <family val="2"/>
    </font>
    <font>
      <sz val="1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4"/>
      <color rgb="FF000000"/>
      <name val="Arial"/>
      <family val="2"/>
    </font>
  </fonts>
  <fills count="61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indexed="8"/>
        <bgColor indexed="58"/>
      </patternFill>
    </fill>
    <fill>
      <patternFill patternType="solid">
        <fgColor indexed="23"/>
        <bgColor indexed="55"/>
      </patternFill>
    </fill>
    <fill>
      <patternFill patternType="solid">
        <fgColor indexed="31"/>
        <bgColor indexed="47"/>
      </patternFill>
    </fill>
    <fill>
      <patternFill patternType="solid">
        <fgColor indexed="47"/>
        <bgColor indexed="31"/>
      </patternFill>
    </fill>
    <fill>
      <patternFill patternType="solid">
        <fgColor indexed="10"/>
        <bgColor indexed="16"/>
      </patternFill>
    </fill>
    <fill>
      <patternFill patternType="solid">
        <fgColor indexed="42"/>
        <bgColor indexed="27"/>
      </patternFill>
    </fill>
    <fill>
      <patternFill patternType="solid">
        <fgColor indexed="26"/>
        <bgColor indexed="9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6BCF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DAEEF3"/>
        <bgColor indexed="64"/>
      </patternFill>
    </fill>
    <fill>
      <patternFill patternType="solid">
        <fgColor rgb="FFD8E4BC"/>
        <bgColor indexed="64"/>
      </patternFill>
    </fill>
    <fill>
      <patternFill patternType="solid">
        <fgColor rgb="FFCCC0DA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CD5B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92D050"/>
        <bgColor indexed="64"/>
      </patternFill>
    </fill>
  </fills>
  <borders count="14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thick">
        <color auto="1"/>
      </top>
      <bottom style="thin">
        <color indexed="64"/>
      </bottom>
      <diagonal/>
    </border>
    <border>
      <left/>
      <right style="thick">
        <color auto="1"/>
      </right>
      <top/>
      <bottom/>
      <diagonal/>
    </border>
    <border>
      <left/>
      <right style="thin">
        <color indexed="64"/>
      </right>
      <top style="thin">
        <color indexed="64"/>
      </top>
      <bottom style="thick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ck">
        <color indexed="64"/>
      </right>
      <top/>
      <bottom style="thin">
        <color indexed="64"/>
      </bottom>
      <diagonal/>
    </border>
    <border>
      <left/>
      <right style="thick">
        <color auto="1"/>
      </right>
      <top/>
      <bottom style="medium">
        <color indexed="64"/>
      </bottom>
      <diagonal/>
    </border>
    <border>
      <left style="thin">
        <color indexed="64"/>
      </left>
      <right style="thick">
        <color auto="1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ck">
        <color auto="1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thick">
        <color indexed="64"/>
      </top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medium">
        <color indexed="64"/>
      </top>
      <bottom/>
      <diagonal/>
    </border>
    <border>
      <left style="thick">
        <color indexed="64"/>
      </left>
      <right/>
      <top/>
      <bottom style="thin">
        <color indexed="64"/>
      </bottom>
      <diagonal/>
    </border>
    <border>
      <left/>
      <right style="thick">
        <color auto="1"/>
      </right>
      <top style="thin">
        <color indexed="64"/>
      </top>
      <bottom style="thin">
        <color indexed="64"/>
      </bottom>
      <diagonal/>
    </border>
    <border>
      <left/>
      <right style="thick">
        <color auto="1"/>
      </right>
      <top style="thin">
        <color indexed="64"/>
      </top>
      <bottom style="medium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medium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/>
      <bottom style="medium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ck">
        <color indexed="64"/>
      </right>
      <top style="medium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medium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ck">
        <color indexed="64"/>
      </left>
      <right style="thin">
        <color indexed="64"/>
      </right>
      <top/>
      <bottom/>
      <diagonal/>
    </border>
    <border>
      <left style="thick">
        <color indexed="64"/>
      </left>
      <right/>
      <top style="thick">
        <color indexed="64"/>
      </top>
      <bottom style="medium">
        <color indexed="64"/>
      </bottom>
      <diagonal/>
    </border>
    <border>
      <left style="thick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 style="thin">
        <color indexed="64"/>
      </left>
      <right style="thick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ck">
        <color auto="1"/>
      </top>
      <bottom style="thin">
        <color indexed="64"/>
      </bottom>
      <diagonal/>
    </border>
    <border>
      <left/>
      <right style="medium">
        <color indexed="64"/>
      </right>
      <top style="thick">
        <color auto="1"/>
      </top>
      <bottom style="thin">
        <color indexed="64"/>
      </bottom>
      <diagonal/>
    </border>
    <border>
      <left style="medium">
        <color indexed="64"/>
      </left>
      <right/>
      <top style="thick">
        <color indexed="64"/>
      </top>
      <bottom style="medium">
        <color indexed="64"/>
      </bottom>
      <diagonal/>
    </border>
    <border>
      <left/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indexed="64"/>
      </right>
      <top/>
      <bottom/>
      <diagonal/>
    </border>
    <border>
      <left style="thick">
        <color indexed="64"/>
      </left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868">
    <xf numFmtId="0" fontId="0" fillId="0" borderId="0"/>
    <xf numFmtId="168" fontId="1" fillId="0" borderId="0" applyBorder="0"/>
    <xf numFmtId="168" fontId="2" fillId="0" borderId="0" applyBorder="0"/>
    <xf numFmtId="168" fontId="2" fillId="0" borderId="0" applyBorder="0"/>
    <xf numFmtId="168" fontId="2" fillId="0" borderId="0" applyBorder="0"/>
    <xf numFmtId="168" fontId="2" fillId="0" borderId="0" applyBorder="0"/>
    <xf numFmtId="168" fontId="2" fillId="0" borderId="0" applyBorder="0"/>
    <xf numFmtId="0" fontId="50" fillId="0" borderId="0"/>
    <xf numFmtId="0" fontId="50" fillId="0" borderId="0"/>
    <xf numFmtId="166" fontId="10" fillId="0" borderId="0" applyFont="0" applyFill="0" applyBorder="0" applyAlignment="0" applyProtection="0"/>
    <xf numFmtId="0" fontId="50" fillId="0" borderId="0"/>
    <xf numFmtId="166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8" fontId="1" fillId="0" borderId="0" applyBorder="0"/>
    <xf numFmtId="0" fontId="10" fillId="0" borderId="0"/>
    <xf numFmtId="168" fontId="1" fillId="0" borderId="0" applyBorder="0"/>
    <xf numFmtId="168" fontId="1" fillId="0" borderId="0" applyBorder="0"/>
    <xf numFmtId="168" fontId="1" fillId="0" borderId="0" applyBorder="0"/>
    <xf numFmtId="168" fontId="1" fillId="0" borderId="0" applyBorder="0"/>
    <xf numFmtId="0" fontId="50" fillId="0" borderId="0"/>
    <xf numFmtId="9" fontId="50" fillId="0" borderId="0" applyFont="0" applyFill="0" applyBorder="0" applyAlignment="0" applyProtection="0"/>
    <xf numFmtId="9" fontId="50" fillId="0" borderId="0" applyFont="0" applyFill="0" applyBorder="0" applyAlignment="0" applyProtection="0"/>
    <xf numFmtId="9" fontId="10" fillId="0" borderId="0" applyFont="0" applyFill="0" applyBorder="0" applyAlignment="0" applyProtection="0"/>
    <xf numFmtId="168" fontId="58" fillId="0" borderId="0"/>
    <xf numFmtId="168" fontId="1" fillId="0" borderId="0"/>
    <xf numFmtId="168" fontId="1" fillId="0" borderId="0"/>
    <xf numFmtId="0" fontId="10" fillId="0" borderId="0"/>
    <xf numFmtId="0" fontId="50" fillId="0" borderId="0"/>
    <xf numFmtId="0" fontId="50" fillId="0" borderId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0" fillId="20" borderId="0" applyNumberFormat="0" applyBorder="0" applyAlignment="0" applyProtection="0"/>
    <xf numFmtId="0" fontId="60" fillId="20" borderId="0" applyNumberFormat="0" applyBorder="0" applyAlignment="0" applyProtection="0"/>
    <xf numFmtId="0" fontId="60" fillId="17" borderId="0" applyNumberFormat="0" applyBorder="0" applyAlignment="0" applyProtection="0"/>
    <xf numFmtId="0" fontId="60" fillId="17" borderId="0" applyNumberFormat="0" applyBorder="0" applyAlignment="0" applyProtection="0"/>
    <xf numFmtId="0" fontId="60" fillId="18" borderId="0" applyNumberFormat="0" applyBorder="0" applyAlignment="0" applyProtection="0"/>
    <xf numFmtId="0" fontId="60" fillId="18" borderId="0" applyNumberFormat="0" applyBorder="0" applyAlignment="0" applyProtection="0"/>
    <xf numFmtId="0" fontId="60" fillId="21" borderId="0" applyNumberFormat="0" applyBorder="0" applyAlignment="0" applyProtection="0"/>
    <xf numFmtId="0" fontId="60" fillId="21" borderId="0" applyNumberFormat="0" applyBorder="0" applyAlignment="0" applyProtection="0"/>
    <xf numFmtId="0" fontId="60" fillId="22" borderId="0" applyNumberFormat="0" applyBorder="0" applyAlignment="0" applyProtection="0"/>
    <xf numFmtId="0" fontId="60" fillId="22" borderId="0" applyNumberFormat="0" applyBorder="0" applyAlignment="0" applyProtection="0"/>
    <xf numFmtId="0" fontId="60" fillId="23" borderId="0" applyNumberFormat="0" applyBorder="0" applyAlignment="0" applyProtection="0"/>
    <xf numFmtId="0" fontId="60" fillId="23" borderId="0" applyNumberFormat="0" applyBorder="0" applyAlignment="0" applyProtection="0"/>
    <xf numFmtId="0" fontId="60" fillId="24" borderId="0" applyNumberFormat="0" applyBorder="0" applyAlignment="0" applyProtection="0"/>
    <xf numFmtId="0" fontId="60" fillId="24" borderId="0" applyNumberFormat="0" applyBorder="0" applyAlignment="0" applyProtection="0"/>
    <xf numFmtId="0" fontId="60" fillId="25" borderId="0" applyNumberFormat="0" applyBorder="0" applyAlignment="0" applyProtection="0"/>
    <xf numFmtId="0" fontId="60" fillId="25" borderId="0" applyNumberFormat="0" applyBorder="0" applyAlignment="0" applyProtection="0"/>
    <xf numFmtId="0" fontId="60" fillId="26" borderId="0" applyNumberFormat="0" applyBorder="0" applyAlignment="0" applyProtection="0"/>
    <xf numFmtId="0" fontId="60" fillId="26" borderId="0" applyNumberFormat="0" applyBorder="0" applyAlignment="0" applyProtection="0"/>
    <xf numFmtId="0" fontId="60" fillId="21" borderId="0" applyNumberFormat="0" applyBorder="0" applyAlignment="0" applyProtection="0"/>
    <xf numFmtId="0" fontId="60" fillId="21" borderId="0" applyNumberFormat="0" applyBorder="0" applyAlignment="0" applyProtection="0"/>
    <xf numFmtId="0" fontId="60" fillId="22" borderId="0" applyNumberFormat="0" applyBorder="0" applyAlignment="0" applyProtection="0"/>
    <xf numFmtId="0" fontId="60" fillId="22" borderId="0" applyNumberFormat="0" applyBorder="0" applyAlignment="0" applyProtection="0"/>
    <xf numFmtId="0" fontId="60" fillId="27" borderId="0" applyNumberFormat="0" applyBorder="0" applyAlignment="0" applyProtection="0"/>
    <xf numFmtId="0" fontId="60" fillId="27" borderId="0" applyNumberFormat="0" applyBorder="0" applyAlignment="0" applyProtection="0"/>
    <xf numFmtId="0" fontId="61" fillId="11" borderId="0" applyNumberFormat="0" applyBorder="0" applyAlignment="0" applyProtection="0"/>
    <xf numFmtId="0" fontId="61" fillId="11" borderId="0" applyNumberFormat="0" applyBorder="0" applyAlignment="0" applyProtection="0"/>
    <xf numFmtId="0" fontId="62" fillId="28" borderId="113" applyNumberFormat="0" applyAlignment="0" applyProtection="0"/>
    <xf numFmtId="0" fontId="62" fillId="28" borderId="113" applyNumberFormat="0" applyAlignment="0" applyProtection="0"/>
    <xf numFmtId="0" fontId="63" fillId="29" borderId="114" applyNumberFormat="0" applyAlignment="0" applyProtection="0"/>
    <xf numFmtId="0" fontId="63" fillId="29" borderId="114" applyNumberFormat="0" applyAlignment="0" applyProtection="0"/>
    <xf numFmtId="0" fontId="50" fillId="0" borderId="0" applyFont="0" applyFill="0" applyBorder="0" applyAlignment="0" applyProtection="0"/>
    <xf numFmtId="165" fontId="50" fillId="0" borderId="0" applyFon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5" fillId="12" borderId="0" applyNumberFormat="0" applyBorder="0" applyAlignment="0" applyProtection="0"/>
    <xf numFmtId="0" fontId="65" fillId="12" borderId="0" applyNumberFormat="0" applyBorder="0" applyAlignment="0" applyProtection="0"/>
    <xf numFmtId="0" fontId="66" fillId="0" borderId="115" applyNumberFormat="0" applyFill="0" applyAlignment="0" applyProtection="0"/>
    <xf numFmtId="0" fontId="66" fillId="0" borderId="115" applyNumberFormat="0" applyFill="0" applyAlignment="0" applyProtection="0"/>
    <xf numFmtId="0" fontId="67" fillId="0" borderId="116" applyNumberFormat="0" applyFill="0" applyAlignment="0" applyProtection="0"/>
    <xf numFmtId="0" fontId="67" fillId="0" borderId="116" applyNumberFormat="0" applyFill="0" applyAlignment="0" applyProtection="0"/>
    <xf numFmtId="0" fontId="68" fillId="0" borderId="117" applyNumberFormat="0" applyFill="0" applyAlignment="0" applyProtection="0"/>
    <xf numFmtId="0" fontId="68" fillId="0" borderId="117" applyNumberFormat="0" applyFill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9" fillId="0" borderId="0" applyNumberFormat="0" applyFill="0" applyBorder="0" applyAlignment="0" applyProtection="0">
      <alignment vertical="top"/>
      <protection locked="0"/>
    </xf>
    <xf numFmtId="0" fontId="70" fillId="15" borderId="113" applyNumberFormat="0" applyAlignment="0" applyProtection="0"/>
    <xf numFmtId="0" fontId="70" fillId="15" borderId="113" applyNumberFormat="0" applyAlignment="0" applyProtection="0"/>
    <xf numFmtId="0" fontId="71" fillId="0" borderId="118" applyNumberFormat="0" applyFill="0" applyAlignment="0" applyProtection="0"/>
    <xf numFmtId="0" fontId="71" fillId="0" borderId="118" applyNumberFormat="0" applyFill="0" applyAlignment="0" applyProtection="0"/>
    <xf numFmtId="0" fontId="72" fillId="30" borderId="0" applyNumberFormat="0" applyBorder="0" applyAlignment="0" applyProtection="0"/>
    <xf numFmtId="0" fontId="72" fillId="30" borderId="0" applyNumberFormat="0" applyBorder="0" applyAlignment="0" applyProtection="0"/>
    <xf numFmtId="0" fontId="50" fillId="0" borderId="0"/>
    <xf numFmtId="0" fontId="50" fillId="0" borderId="0"/>
    <xf numFmtId="0" fontId="50" fillId="0" borderId="0">
      <alignment horizontal="left"/>
    </xf>
    <xf numFmtId="0" fontId="50" fillId="0" borderId="0"/>
    <xf numFmtId="168" fontId="1" fillId="0" borderId="0" applyBorder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168" fontId="1" fillId="0" borderId="0" applyBorder="0"/>
    <xf numFmtId="168" fontId="1" fillId="0" borderId="0" applyBorder="0"/>
    <xf numFmtId="168" fontId="1" fillId="0" borderId="0" applyBorder="0"/>
    <xf numFmtId="168" fontId="1" fillId="0" borderId="0" applyBorder="0"/>
    <xf numFmtId="168" fontId="1" fillId="0" borderId="0" applyBorder="0"/>
    <xf numFmtId="0" fontId="50" fillId="0" borderId="0"/>
    <xf numFmtId="0" fontId="50" fillId="0" borderId="0"/>
    <xf numFmtId="0" fontId="50" fillId="0" borderId="0"/>
    <xf numFmtId="168" fontId="1" fillId="0" borderId="0" applyBorder="0"/>
    <xf numFmtId="168" fontId="1" fillId="0" borderId="0" applyBorder="0"/>
    <xf numFmtId="168" fontId="1" fillId="0" borderId="0" applyBorder="0"/>
    <xf numFmtId="168" fontId="1" fillId="0" borderId="0" applyBorder="0"/>
    <xf numFmtId="168" fontId="1" fillId="0" borderId="0" applyBorder="0"/>
    <xf numFmtId="168" fontId="1" fillId="0" borderId="0" applyBorder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73" fillId="0" borderId="0"/>
    <xf numFmtId="0" fontId="73" fillId="0" borderId="0"/>
    <xf numFmtId="168" fontId="1" fillId="0" borderId="0" applyBorder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168" fontId="1" fillId="0" borderId="0" applyBorder="0"/>
    <xf numFmtId="168" fontId="1" fillId="0" borderId="0" applyBorder="0"/>
    <xf numFmtId="168" fontId="1" fillId="0" borderId="0" applyBorder="0"/>
    <xf numFmtId="168" fontId="1" fillId="0" borderId="0" applyBorder="0"/>
    <xf numFmtId="0" fontId="73" fillId="0" borderId="0"/>
    <xf numFmtId="0" fontId="73" fillId="0" borderId="0"/>
    <xf numFmtId="168" fontId="1" fillId="0" borderId="0" applyBorder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168" fontId="1" fillId="0" borderId="0" applyBorder="0"/>
    <xf numFmtId="168" fontId="1" fillId="0" borderId="0" applyBorder="0"/>
    <xf numFmtId="168" fontId="1" fillId="0" borderId="0" applyBorder="0"/>
    <xf numFmtId="168" fontId="1" fillId="0" borderId="0" applyBorder="0"/>
    <xf numFmtId="0" fontId="50" fillId="0" borderId="0"/>
    <xf numFmtId="168" fontId="1" fillId="0" borderId="0" applyBorder="0"/>
    <xf numFmtId="168" fontId="1" fillId="0" borderId="0" applyBorder="0"/>
    <xf numFmtId="168" fontId="1" fillId="0" borderId="0" applyBorder="0"/>
    <xf numFmtId="168" fontId="1" fillId="0" borderId="0" applyBorder="0"/>
    <xf numFmtId="168" fontId="1" fillId="0" borderId="0" applyBorder="0"/>
    <xf numFmtId="0" fontId="10" fillId="0" borderId="0"/>
    <xf numFmtId="168" fontId="1" fillId="0" borderId="0" applyBorder="0"/>
    <xf numFmtId="168" fontId="1" fillId="0" borderId="0" applyBorder="0"/>
    <xf numFmtId="168" fontId="1" fillId="0" borderId="0" applyBorder="0"/>
    <xf numFmtId="168" fontId="1" fillId="0" borderId="0" applyBorder="0"/>
    <xf numFmtId="168" fontId="1" fillId="0" borderId="0" applyBorder="0"/>
    <xf numFmtId="0" fontId="10" fillId="0" borderId="0"/>
    <xf numFmtId="0" fontId="6" fillId="31" borderId="119" applyNumberFormat="0" applyFont="0" applyAlignment="0" applyProtection="0"/>
    <xf numFmtId="0" fontId="50" fillId="31" borderId="119" applyNumberFormat="0" applyFont="0" applyAlignment="0" applyProtection="0"/>
    <xf numFmtId="0" fontId="74" fillId="28" borderId="120" applyNumberFormat="0" applyAlignment="0" applyProtection="0"/>
    <xf numFmtId="0" fontId="74" fillId="28" borderId="120" applyNumberFormat="0" applyAlignment="0" applyProtection="0"/>
    <xf numFmtId="0" fontId="75" fillId="0" borderId="0" applyNumberFormat="0" applyFill="0" applyBorder="0" applyAlignment="0" applyProtection="0"/>
    <xf numFmtId="0" fontId="75" fillId="0" borderId="0" applyNumberFormat="0" applyFill="0" applyBorder="0" applyAlignment="0" applyProtection="0"/>
    <xf numFmtId="0" fontId="76" fillId="0" borderId="121" applyNumberFormat="0" applyFill="0" applyAlignment="0" applyProtection="0"/>
    <xf numFmtId="0" fontId="76" fillId="0" borderId="121" applyNumberFormat="0" applyFill="0" applyAlignment="0" applyProtection="0"/>
    <xf numFmtId="0" fontId="77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0" fontId="79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169" fontId="86" fillId="0" borderId="0" applyBorder="0" applyProtection="0"/>
    <xf numFmtId="0" fontId="66" fillId="0" borderId="122" applyNumberFormat="0" applyFill="0" applyAlignment="0" applyProtection="0"/>
    <xf numFmtId="0" fontId="66" fillId="0" borderId="122" applyNumberFormat="0" applyFill="0" applyAlignment="0" applyProtection="0"/>
    <xf numFmtId="0" fontId="67" fillId="0" borderId="123" applyNumberFormat="0" applyFill="0" applyAlignment="0" applyProtection="0"/>
    <xf numFmtId="0" fontId="67" fillId="0" borderId="123" applyNumberFormat="0" applyFill="0" applyAlignment="0" applyProtection="0"/>
    <xf numFmtId="0" fontId="50" fillId="0" borderId="0"/>
    <xf numFmtId="0" fontId="5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6" fillId="0" borderId="0"/>
    <xf numFmtId="0" fontId="6" fillId="0" borderId="0"/>
    <xf numFmtId="0" fontId="10" fillId="0" borderId="0"/>
    <xf numFmtId="0" fontId="10" fillId="0" borderId="0"/>
    <xf numFmtId="0" fontId="10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8" fontId="1" fillId="0" borderId="0" applyBorder="0"/>
    <xf numFmtId="168" fontId="1" fillId="0" borderId="0" applyBorder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87" fillId="0" borderId="0" applyNumberFormat="0" applyFill="0" applyBorder="0" applyAlignment="0" applyProtection="0"/>
    <xf numFmtId="0" fontId="93" fillId="35" borderId="0" applyNumberFormat="0" applyBorder="0" applyAlignment="0" applyProtection="0"/>
    <xf numFmtId="0" fontId="93" fillId="36" borderId="0" applyNumberFormat="0" applyBorder="0" applyAlignment="0" applyProtection="0"/>
    <xf numFmtId="0" fontId="94" fillId="37" borderId="0" applyNumberFormat="0" applyBorder="0" applyAlignment="0" applyProtection="0"/>
    <xf numFmtId="0" fontId="94" fillId="0" borderId="0" applyNumberFormat="0" applyFill="0" applyBorder="0" applyAlignment="0" applyProtection="0"/>
    <xf numFmtId="0" fontId="95" fillId="38" borderId="0" applyNumberFormat="0" applyBorder="0" applyAlignment="0" applyProtection="0"/>
    <xf numFmtId="0" fontId="96" fillId="39" borderId="0" applyNumberFormat="0" applyBorder="0" applyAlignment="0" applyProtection="0"/>
    <xf numFmtId="0" fontId="97" fillId="0" borderId="0" applyNumberFormat="0" applyFill="0" applyBorder="0" applyAlignment="0" applyProtection="0"/>
    <xf numFmtId="0" fontId="98" fillId="40" borderId="0" applyNumberFormat="0" applyBorder="0" applyAlignment="0" applyProtection="0"/>
    <xf numFmtId="0" fontId="9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0" fontId="100" fillId="0" borderId="0" applyNumberFormat="0" applyFill="0" applyBorder="0" applyAlignment="0" applyProtection="0"/>
    <xf numFmtId="0" fontId="101" fillId="41" borderId="0" applyNumberFormat="0" applyBorder="0" applyAlignment="0" applyProtection="0"/>
    <xf numFmtId="0" fontId="102" fillId="41" borderId="113" applyNumberFormat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95" fillId="0" borderId="0" applyNumberFormat="0" applyFill="0" applyBorder="0" applyAlignment="0" applyProtection="0"/>
    <xf numFmtId="0" fontId="106" fillId="0" borderId="0"/>
    <xf numFmtId="0" fontId="10" fillId="0" borderId="0"/>
    <xf numFmtId="0" fontId="107" fillId="0" borderId="0">
      <alignment vertical="center"/>
    </xf>
    <xf numFmtId="0" fontId="10" fillId="0" borderId="0"/>
    <xf numFmtId="0" fontId="10" fillId="0" borderId="0"/>
    <xf numFmtId="0" fontId="107" fillId="0" borderId="0">
      <protection locked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8" fillId="0" borderId="0"/>
    <xf numFmtId="0" fontId="10" fillId="0" borderId="0"/>
    <xf numFmtId="166" fontId="6" fillId="0" borderId="0" applyFont="0" applyFill="0" applyBorder="0" applyAlignment="0" applyProtection="0"/>
    <xf numFmtId="168" fontId="1" fillId="0" borderId="0" applyBorder="0"/>
    <xf numFmtId="168" fontId="1" fillId="0" borderId="0" applyBorder="0"/>
    <xf numFmtId="168" fontId="1" fillId="0" borderId="0" applyBorder="0"/>
    <xf numFmtId="0" fontId="50" fillId="0" borderId="0"/>
    <xf numFmtId="168" fontId="1" fillId="0" borderId="0"/>
    <xf numFmtId="168" fontId="1" fillId="0" borderId="0"/>
    <xf numFmtId="0" fontId="66" fillId="0" borderId="124" applyNumberFormat="0" applyFill="0" applyAlignment="0" applyProtection="0"/>
    <xf numFmtId="0" fontId="66" fillId="0" borderId="124" applyNumberFormat="0" applyFill="0" applyAlignment="0" applyProtection="0"/>
    <xf numFmtId="0" fontId="67" fillId="0" borderId="125" applyNumberFormat="0" applyFill="0" applyAlignment="0" applyProtection="0"/>
    <xf numFmtId="0" fontId="67" fillId="0" borderId="125" applyNumberFormat="0" applyFill="0" applyAlignment="0" applyProtection="0"/>
    <xf numFmtId="168" fontId="1" fillId="0" borderId="0" applyBorder="0"/>
    <xf numFmtId="0" fontId="66" fillId="0" borderId="124" applyNumberFormat="0" applyFill="0" applyAlignment="0" applyProtection="0"/>
    <xf numFmtId="0" fontId="66" fillId="0" borderId="124" applyNumberFormat="0" applyFill="0" applyAlignment="0" applyProtection="0"/>
    <xf numFmtId="0" fontId="67" fillId="0" borderId="125" applyNumberFormat="0" applyFill="0" applyAlignment="0" applyProtection="0"/>
    <xf numFmtId="0" fontId="67" fillId="0" borderId="125" applyNumberFormat="0" applyFill="0" applyAlignment="0" applyProtection="0"/>
    <xf numFmtId="0" fontId="10" fillId="0" borderId="0"/>
    <xf numFmtId="165" fontId="6" fillId="0" borderId="0" applyFont="0" applyFill="0" applyBorder="0" applyAlignment="0" applyProtection="0"/>
    <xf numFmtId="0" fontId="108" fillId="0" borderId="0"/>
    <xf numFmtId="0" fontId="11" fillId="0" borderId="0"/>
    <xf numFmtId="0" fontId="50" fillId="0" borderId="0"/>
    <xf numFmtId="168" fontId="1" fillId="0" borderId="0"/>
    <xf numFmtId="168" fontId="1" fillId="0" borderId="0"/>
    <xf numFmtId="0" fontId="10" fillId="0" borderId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166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0" fontId="108" fillId="0" borderId="0"/>
    <xf numFmtId="0" fontId="50" fillId="0" borderId="0"/>
    <xf numFmtId="168" fontId="1" fillId="0" borderId="0" applyBorder="0"/>
    <xf numFmtId="168" fontId="1" fillId="0" borderId="0" applyBorder="0"/>
    <xf numFmtId="168" fontId="1" fillId="0" borderId="0" applyBorder="0"/>
    <xf numFmtId="0" fontId="50" fillId="0" borderId="0" applyFont="0" applyFill="0" applyBorder="0" applyAlignment="0" applyProtection="0"/>
    <xf numFmtId="165" fontId="50" fillId="0" borderId="0" applyFont="0" applyFill="0" applyBorder="0" applyAlignment="0" applyProtection="0"/>
    <xf numFmtId="0" fontId="66" fillId="0" borderId="126" applyNumberFormat="0" applyFill="0" applyAlignment="0" applyProtection="0"/>
    <xf numFmtId="0" fontId="66" fillId="0" borderId="126" applyNumberFormat="0" applyFill="0" applyAlignment="0" applyProtection="0"/>
    <xf numFmtId="0" fontId="67" fillId="0" borderId="127" applyNumberFormat="0" applyFill="0" applyAlignment="0" applyProtection="0"/>
    <xf numFmtId="0" fontId="67" fillId="0" borderId="127" applyNumberFormat="0" applyFill="0" applyAlignment="0" applyProtection="0"/>
    <xf numFmtId="0" fontId="62" fillId="28" borderId="113" applyNumberFormat="0" applyAlignment="0" applyProtection="0"/>
    <xf numFmtId="0" fontId="62" fillId="28" borderId="113" applyNumberFormat="0" applyAlignment="0" applyProtection="0"/>
    <xf numFmtId="0" fontId="70" fillId="15" borderId="113" applyNumberFormat="0" applyAlignment="0" applyProtection="0"/>
    <xf numFmtId="0" fontId="70" fillId="15" borderId="113" applyNumberFormat="0" applyAlignment="0" applyProtection="0"/>
    <xf numFmtId="0" fontId="6" fillId="31" borderId="119" applyNumberFormat="0" applyFont="0" applyAlignment="0" applyProtection="0"/>
    <xf numFmtId="0" fontId="50" fillId="31" borderId="119" applyNumberFormat="0" applyFont="0" applyAlignment="0" applyProtection="0"/>
    <xf numFmtId="0" fontId="74" fillId="28" borderId="120" applyNumberFormat="0" applyAlignment="0" applyProtection="0"/>
    <xf numFmtId="0" fontId="74" fillId="28" borderId="120" applyNumberFormat="0" applyAlignment="0" applyProtection="0"/>
    <xf numFmtId="0" fontId="76" fillId="0" borderId="121" applyNumberFormat="0" applyFill="0" applyAlignment="0" applyProtection="0"/>
    <xf numFmtId="0" fontId="76" fillId="0" borderId="121" applyNumberFormat="0" applyFill="0" applyAlignment="0" applyProtection="0"/>
    <xf numFmtId="166" fontId="10" fillId="0" borderId="0" applyFont="0" applyFill="0" applyBorder="0" applyAlignment="0" applyProtection="0"/>
    <xf numFmtId="0" fontId="10" fillId="0" borderId="0"/>
    <xf numFmtId="0" fontId="10" fillId="0" borderId="0"/>
    <xf numFmtId="0" fontId="62" fillId="28" borderId="113" applyNumberFormat="0" applyAlignment="0" applyProtection="0"/>
    <xf numFmtId="0" fontId="62" fillId="28" borderId="113" applyNumberFormat="0" applyAlignment="0" applyProtection="0"/>
    <xf numFmtId="0" fontId="70" fillId="15" borderId="113" applyNumberFormat="0" applyAlignment="0" applyProtection="0"/>
    <xf numFmtId="0" fontId="70" fillId="15" borderId="113" applyNumberFormat="0" applyAlignment="0" applyProtection="0"/>
    <xf numFmtId="0" fontId="6" fillId="31" borderId="119" applyNumberFormat="0" applyFont="0" applyAlignment="0" applyProtection="0"/>
    <xf numFmtId="0" fontId="50" fillId="31" borderId="119" applyNumberFormat="0" applyFont="0" applyAlignment="0" applyProtection="0"/>
    <xf numFmtId="0" fontId="74" fillId="28" borderId="120" applyNumberFormat="0" applyAlignment="0" applyProtection="0"/>
    <xf numFmtId="0" fontId="74" fillId="28" borderId="120" applyNumberFormat="0" applyAlignment="0" applyProtection="0"/>
    <xf numFmtId="0" fontId="76" fillId="0" borderId="121" applyNumberFormat="0" applyFill="0" applyAlignment="0" applyProtection="0"/>
    <xf numFmtId="0" fontId="76" fillId="0" borderId="121" applyNumberFormat="0" applyFill="0" applyAlignment="0" applyProtection="0"/>
    <xf numFmtId="0" fontId="56" fillId="0" borderId="0"/>
    <xf numFmtId="0" fontId="66" fillId="0" borderId="126" applyNumberFormat="0" applyFill="0" applyAlignment="0" applyProtection="0"/>
    <xf numFmtId="0" fontId="66" fillId="0" borderId="126" applyNumberFormat="0" applyFill="0" applyAlignment="0" applyProtection="0"/>
    <xf numFmtId="0" fontId="67" fillId="0" borderId="127" applyNumberFormat="0" applyFill="0" applyAlignment="0" applyProtection="0"/>
    <xf numFmtId="0" fontId="67" fillId="0" borderId="127" applyNumberFormat="0" applyFill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66" fillId="0" borderId="126" applyNumberFormat="0" applyFill="0" applyAlignment="0" applyProtection="0"/>
    <xf numFmtId="0" fontId="66" fillId="0" borderId="126" applyNumberFormat="0" applyFill="0" applyAlignment="0" applyProtection="0"/>
    <xf numFmtId="0" fontId="67" fillId="0" borderId="127" applyNumberFormat="0" applyFill="0" applyAlignment="0" applyProtection="0"/>
    <xf numFmtId="0" fontId="67" fillId="0" borderId="127" applyNumberFormat="0" applyFill="0" applyAlignment="0" applyProtection="0"/>
    <xf numFmtId="0" fontId="50" fillId="0" borderId="0"/>
    <xf numFmtId="0" fontId="6" fillId="0" borderId="0"/>
    <xf numFmtId="168" fontId="109" fillId="0" borderId="0"/>
    <xf numFmtId="0" fontId="113" fillId="0" borderId="0"/>
    <xf numFmtId="0" fontId="124" fillId="0" borderId="0"/>
    <xf numFmtId="43" fontId="50" fillId="0" borderId="0" applyFont="0" applyFill="0" applyBorder="0" applyAlignment="0" applyProtection="0"/>
    <xf numFmtId="173" fontId="50" fillId="0" borderId="0" applyFont="0" applyFill="0" applyBorder="0" applyAlignment="0" applyProtection="0"/>
    <xf numFmtId="174" fontId="5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4" fontId="50" fillId="0" borderId="0" applyFont="0" applyFill="0" applyBorder="0" applyAlignment="0" applyProtection="0"/>
    <xf numFmtId="0" fontId="6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10" fillId="0" borderId="0"/>
    <xf numFmtId="43" fontId="10" fillId="0" borderId="0" applyFont="0" applyFill="0" applyBorder="0" applyAlignment="0" applyProtection="0"/>
    <xf numFmtId="0" fontId="155" fillId="0" borderId="0"/>
    <xf numFmtId="0" fontId="62" fillId="28" borderId="113" applyNumberFormat="0" applyAlignment="0" applyProtection="0"/>
    <xf numFmtId="0" fontId="62" fillId="28" borderId="113" applyNumberFormat="0" applyAlignment="0" applyProtection="0"/>
    <xf numFmtId="0" fontId="62" fillId="28" borderId="113" applyNumberFormat="0" applyAlignment="0" applyProtection="0"/>
    <xf numFmtId="0" fontId="62" fillId="28" borderId="113" applyNumberFormat="0" applyAlignment="0" applyProtection="0"/>
    <xf numFmtId="0" fontId="62" fillId="28" borderId="113" applyNumberFormat="0" applyAlignment="0" applyProtection="0"/>
    <xf numFmtId="0" fontId="62" fillId="28" borderId="113" applyNumberFormat="0" applyAlignment="0" applyProtection="0"/>
    <xf numFmtId="0" fontId="62" fillId="28" borderId="113" applyNumberFormat="0" applyAlignment="0" applyProtection="0"/>
    <xf numFmtId="0" fontId="62" fillId="28" borderId="113" applyNumberFormat="0" applyAlignment="0" applyProtection="0"/>
    <xf numFmtId="0" fontId="62" fillId="28" borderId="113" applyNumberFormat="0" applyAlignment="0" applyProtection="0"/>
    <xf numFmtId="0" fontId="62" fillId="28" borderId="113" applyNumberFormat="0" applyAlignment="0" applyProtection="0"/>
    <xf numFmtId="0" fontId="62" fillId="28" borderId="113" applyNumberFormat="0" applyAlignment="0" applyProtection="0"/>
    <xf numFmtId="0" fontId="62" fillId="28" borderId="113" applyNumberFormat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0" fontId="50" fillId="0" borderId="0" applyFont="0" applyFill="0" applyBorder="0" applyAlignment="0" applyProtection="0"/>
    <xf numFmtId="43" fontId="6" fillId="0" borderId="0" applyFont="0" applyFill="0" applyBorder="0" applyAlignment="0" applyProtection="0"/>
    <xf numFmtId="166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175" fontId="86" fillId="0" borderId="0" applyBorder="0" applyProtection="0"/>
    <xf numFmtId="176" fontId="10" fillId="0" borderId="0" applyFont="0" applyFill="0" applyBorder="0" applyAlignment="0" applyProtection="0"/>
    <xf numFmtId="176" fontId="10" fillId="0" borderId="0" applyFont="0" applyFill="0" applyBorder="0" applyAlignment="0" applyProtection="0"/>
    <xf numFmtId="176" fontId="10" fillId="0" borderId="0" applyFont="0" applyFill="0" applyBorder="0" applyAlignment="0" applyProtection="0"/>
    <xf numFmtId="17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7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7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5" fontId="50" fillId="0" borderId="0" applyFont="0" applyFill="0" applyBorder="0" applyAlignment="0" applyProtection="0"/>
    <xf numFmtId="0" fontId="66" fillId="0" borderId="126" applyNumberFormat="0" applyFill="0" applyAlignment="0" applyProtection="0"/>
    <xf numFmtId="0" fontId="66" fillId="0" borderId="126" applyNumberFormat="0" applyFill="0" applyAlignment="0" applyProtection="0"/>
    <xf numFmtId="0" fontId="66" fillId="0" borderId="126" applyNumberFormat="0" applyFill="0" applyAlignment="0" applyProtection="0"/>
    <xf numFmtId="0" fontId="66" fillId="0" borderId="126" applyNumberFormat="0" applyFill="0" applyAlignment="0" applyProtection="0"/>
    <xf numFmtId="0" fontId="66" fillId="0" borderId="126" applyNumberFormat="0" applyFill="0" applyAlignment="0" applyProtection="0"/>
    <xf numFmtId="0" fontId="66" fillId="0" borderId="126" applyNumberFormat="0" applyFill="0" applyAlignment="0" applyProtection="0"/>
    <xf numFmtId="0" fontId="66" fillId="0" borderId="126" applyNumberFormat="0" applyFill="0" applyAlignment="0" applyProtection="0"/>
    <xf numFmtId="0" fontId="66" fillId="0" borderId="126" applyNumberFormat="0" applyFill="0" applyAlignment="0" applyProtection="0"/>
    <xf numFmtId="0" fontId="66" fillId="0" borderId="126" applyNumberFormat="0" applyFill="0" applyAlignment="0" applyProtection="0"/>
    <xf numFmtId="0" fontId="66" fillId="0" borderId="126" applyNumberFormat="0" applyFill="0" applyAlignment="0" applyProtection="0"/>
    <xf numFmtId="0" fontId="66" fillId="0" borderId="126" applyNumberFormat="0" applyFill="0" applyAlignment="0" applyProtection="0"/>
    <xf numFmtId="0" fontId="66" fillId="0" borderId="126" applyNumberFormat="0" applyFill="0" applyAlignment="0" applyProtection="0"/>
    <xf numFmtId="0" fontId="66" fillId="0" borderId="126" applyNumberFormat="0" applyFill="0" applyAlignment="0" applyProtection="0"/>
    <xf numFmtId="0" fontId="66" fillId="0" borderId="126" applyNumberFormat="0" applyFill="0" applyAlignment="0" applyProtection="0"/>
    <xf numFmtId="0" fontId="66" fillId="0" borderId="126" applyNumberFormat="0" applyFill="0" applyAlignment="0" applyProtection="0"/>
    <xf numFmtId="0" fontId="66" fillId="0" borderId="126" applyNumberFormat="0" applyFill="0" applyAlignment="0" applyProtection="0"/>
    <xf numFmtId="0" fontId="66" fillId="0" borderId="126" applyNumberFormat="0" applyFill="0" applyAlignment="0" applyProtection="0"/>
    <xf numFmtId="0" fontId="66" fillId="0" borderId="126" applyNumberFormat="0" applyFill="0" applyAlignment="0" applyProtection="0"/>
    <xf numFmtId="0" fontId="66" fillId="0" borderId="126" applyNumberFormat="0" applyFill="0" applyAlignment="0" applyProtection="0"/>
    <xf numFmtId="0" fontId="66" fillId="0" borderId="126" applyNumberFormat="0" applyFill="0" applyAlignment="0" applyProtection="0"/>
    <xf numFmtId="0" fontId="66" fillId="0" borderId="126" applyNumberFormat="0" applyFill="0" applyAlignment="0" applyProtection="0"/>
    <xf numFmtId="0" fontId="66" fillId="0" borderId="126" applyNumberFormat="0" applyFill="0" applyAlignment="0" applyProtection="0"/>
    <xf numFmtId="0" fontId="67" fillId="0" borderId="127" applyNumberFormat="0" applyFill="0" applyAlignment="0" applyProtection="0"/>
    <xf numFmtId="0" fontId="67" fillId="0" borderId="127" applyNumberFormat="0" applyFill="0" applyAlignment="0" applyProtection="0"/>
    <xf numFmtId="0" fontId="67" fillId="0" borderId="127" applyNumberFormat="0" applyFill="0" applyAlignment="0" applyProtection="0"/>
    <xf numFmtId="0" fontId="67" fillId="0" borderId="127" applyNumberFormat="0" applyFill="0" applyAlignment="0" applyProtection="0"/>
    <xf numFmtId="0" fontId="67" fillId="0" borderId="127" applyNumberFormat="0" applyFill="0" applyAlignment="0" applyProtection="0"/>
    <xf numFmtId="0" fontId="67" fillId="0" borderId="127" applyNumberFormat="0" applyFill="0" applyAlignment="0" applyProtection="0"/>
    <xf numFmtId="0" fontId="67" fillId="0" borderId="127" applyNumberFormat="0" applyFill="0" applyAlignment="0" applyProtection="0"/>
    <xf numFmtId="0" fontId="67" fillId="0" borderId="127" applyNumberFormat="0" applyFill="0" applyAlignment="0" applyProtection="0"/>
    <xf numFmtId="0" fontId="67" fillId="0" borderId="127" applyNumberFormat="0" applyFill="0" applyAlignment="0" applyProtection="0"/>
    <xf numFmtId="0" fontId="67" fillId="0" borderId="127" applyNumberFormat="0" applyFill="0" applyAlignment="0" applyProtection="0"/>
    <xf numFmtId="0" fontId="67" fillId="0" borderId="127" applyNumberFormat="0" applyFill="0" applyAlignment="0" applyProtection="0"/>
    <xf numFmtId="0" fontId="67" fillId="0" borderId="127" applyNumberFormat="0" applyFill="0" applyAlignment="0" applyProtection="0"/>
    <xf numFmtId="0" fontId="67" fillId="0" borderId="127" applyNumberFormat="0" applyFill="0" applyAlignment="0" applyProtection="0"/>
    <xf numFmtId="0" fontId="67" fillId="0" borderId="127" applyNumberFormat="0" applyFill="0" applyAlignment="0" applyProtection="0"/>
    <xf numFmtId="0" fontId="67" fillId="0" borderId="127" applyNumberFormat="0" applyFill="0" applyAlignment="0" applyProtection="0"/>
    <xf numFmtId="0" fontId="67" fillId="0" borderId="127" applyNumberFormat="0" applyFill="0" applyAlignment="0" applyProtection="0"/>
    <xf numFmtId="0" fontId="67" fillId="0" borderId="127" applyNumberFormat="0" applyFill="0" applyAlignment="0" applyProtection="0"/>
    <xf numFmtId="0" fontId="67" fillId="0" borderId="127" applyNumberFormat="0" applyFill="0" applyAlignment="0" applyProtection="0"/>
    <xf numFmtId="0" fontId="67" fillId="0" borderId="127" applyNumberFormat="0" applyFill="0" applyAlignment="0" applyProtection="0"/>
    <xf numFmtId="0" fontId="67" fillId="0" borderId="127" applyNumberFormat="0" applyFill="0" applyAlignment="0" applyProtection="0"/>
    <xf numFmtId="0" fontId="161" fillId="0" borderId="0" applyNumberFormat="0" applyFill="0" applyBorder="0" applyAlignment="0" applyProtection="0">
      <alignment vertical="top"/>
      <protection locked="0"/>
    </xf>
    <xf numFmtId="0" fontId="162" fillId="0" borderId="0" applyNumberFormat="0" applyFill="0" applyBorder="0" applyAlignment="0" applyProtection="0"/>
    <xf numFmtId="0" fontId="70" fillId="15" borderId="113" applyNumberFormat="0" applyAlignment="0" applyProtection="0"/>
    <xf numFmtId="0" fontId="70" fillId="15" borderId="113" applyNumberFormat="0" applyAlignment="0" applyProtection="0"/>
    <xf numFmtId="0" fontId="70" fillId="15" borderId="113" applyNumberFormat="0" applyAlignment="0" applyProtection="0"/>
    <xf numFmtId="0" fontId="70" fillId="15" borderId="113" applyNumberFormat="0" applyAlignment="0" applyProtection="0"/>
    <xf numFmtId="0" fontId="70" fillId="15" borderId="113" applyNumberFormat="0" applyAlignment="0" applyProtection="0"/>
    <xf numFmtId="0" fontId="70" fillId="15" borderId="113" applyNumberFormat="0" applyAlignment="0" applyProtection="0"/>
    <xf numFmtId="0" fontId="70" fillId="15" borderId="113" applyNumberFormat="0" applyAlignment="0" applyProtection="0"/>
    <xf numFmtId="0" fontId="70" fillId="15" borderId="113" applyNumberFormat="0" applyAlignment="0" applyProtection="0"/>
    <xf numFmtId="0" fontId="70" fillId="15" borderId="113" applyNumberFormat="0" applyAlignment="0" applyProtection="0"/>
    <xf numFmtId="0" fontId="70" fillId="15" borderId="113" applyNumberFormat="0" applyAlignment="0" applyProtection="0"/>
    <xf numFmtId="0" fontId="70" fillId="15" borderId="113" applyNumberFormat="0" applyAlignment="0" applyProtection="0"/>
    <xf numFmtId="0" fontId="70" fillId="15" borderId="113" applyNumberFormat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6" fillId="0" borderId="0"/>
    <xf numFmtId="0" fontId="50" fillId="0" borderId="0"/>
    <xf numFmtId="0" fontId="50" fillId="0" borderId="0"/>
    <xf numFmtId="0" fontId="10" fillId="0" borderId="0"/>
    <xf numFmtId="0" fontId="10" fillId="0" borderId="0"/>
    <xf numFmtId="0" fontId="10" fillId="0" borderId="0"/>
    <xf numFmtId="0" fontId="50" fillId="0" borderId="0"/>
    <xf numFmtId="0" fontId="50" fillId="0" borderId="0" applyFill="0"/>
    <xf numFmtId="0" fontId="107" fillId="0" borderId="0">
      <protection locked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68" fontId="1" fillId="0" borderId="0"/>
    <xf numFmtId="168" fontId="1" fillId="0" borderId="0" applyBorder="0"/>
    <xf numFmtId="0" fontId="107" fillId="0" borderId="0">
      <protection locked="0"/>
    </xf>
    <xf numFmtId="0" fontId="6" fillId="0" borderId="0"/>
    <xf numFmtId="0" fontId="50" fillId="0" borderId="0"/>
    <xf numFmtId="0" fontId="50" fillId="0" borderId="0"/>
    <xf numFmtId="0" fontId="10" fillId="0" borderId="0"/>
    <xf numFmtId="0" fontId="10" fillId="0" borderId="0"/>
    <xf numFmtId="0" fontId="10" fillId="0" borderId="0"/>
    <xf numFmtId="3" fontId="163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7" fillId="0" borderId="0">
      <alignment vertical="center"/>
    </xf>
    <xf numFmtId="0" fontId="5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86" fillId="0" borderId="0"/>
    <xf numFmtId="0" fontId="10" fillId="0" borderId="0"/>
    <xf numFmtId="0" fontId="86" fillId="0" borderId="0"/>
    <xf numFmtId="168" fontId="1" fillId="0" borderId="0" applyBorder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73" fillId="0" borderId="0"/>
    <xf numFmtId="0" fontId="10" fillId="0" borderId="0"/>
    <xf numFmtId="0" fontId="107" fillId="0" borderId="0">
      <alignment vertical="center"/>
    </xf>
    <xf numFmtId="0" fontId="50" fillId="0" borderId="0"/>
    <xf numFmtId="0" fontId="73" fillId="0" borderId="0"/>
    <xf numFmtId="0" fontId="73" fillId="0" borderId="0"/>
    <xf numFmtId="0" fontId="10" fillId="0" borderId="0"/>
    <xf numFmtId="0" fontId="10" fillId="0" borderId="0"/>
    <xf numFmtId="0" fontId="10" fillId="0" borderId="0">
      <alignment horizontal="center"/>
    </xf>
    <xf numFmtId="0" fontId="10" fillId="0" borderId="0">
      <alignment horizontal="center"/>
    </xf>
    <xf numFmtId="0" fontId="10" fillId="0" borderId="0"/>
    <xf numFmtId="168" fontId="1" fillId="0" borderId="0" applyBorder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7" fillId="0" borderId="0">
      <alignment vertical="center"/>
    </xf>
    <xf numFmtId="168" fontId="1" fillId="0" borderId="0" applyBorder="0"/>
    <xf numFmtId="0" fontId="10" fillId="0" borderId="0"/>
    <xf numFmtId="0" fontId="107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5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0" fillId="0" borderId="0"/>
    <xf numFmtId="0" fontId="50" fillId="0" borderId="0"/>
    <xf numFmtId="0" fontId="102" fillId="41" borderId="113" applyNumberFormat="0" applyAlignment="0" applyProtection="0"/>
    <xf numFmtId="0" fontId="102" fillId="41" borderId="113" applyNumberFormat="0" applyAlignment="0" applyProtection="0"/>
    <xf numFmtId="0" fontId="6" fillId="31" borderId="119" applyNumberFormat="0" applyFont="0" applyAlignment="0" applyProtection="0"/>
    <xf numFmtId="0" fontId="6" fillId="31" borderId="119" applyNumberFormat="0" applyFont="0" applyAlignment="0" applyProtection="0"/>
    <xf numFmtId="0" fontId="6" fillId="31" borderId="119" applyNumberFormat="0" applyFont="0" applyAlignment="0" applyProtection="0"/>
    <xf numFmtId="0" fontId="6" fillId="31" borderId="119" applyNumberFormat="0" applyFont="0" applyAlignment="0" applyProtection="0"/>
    <xf numFmtId="0" fontId="6" fillId="31" borderId="119" applyNumberFormat="0" applyFont="0" applyAlignment="0" applyProtection="0"/>
    <xf numFmtId="0" fontId="6" fillId="31" borderId="119" applyNumberFormat="0" applyFont="0" applyAlignment="0" applyProtection="0"/>
    <xf numFmtId="0" fontId="50" fillId="31" borderId="119" applyNumberFormat="0" applyFont="0" applyAlignment="0" applyProtection="0"/>
    <xf numFmtId="0" fontId="50" fillId="31" borderId="119" applyNumberFormat="0" applyFont="0" applyAlignment="0" applyProtection="0"/>
    <xf numFmtId="0" fontId="50" fillId="31" borderId="119" applyNumberFormat="0" applyFont="0" applyAlignment="0" applyProtection="0"/>
    <xf numFmtId="0" fontId="50" fillId="31" borderId="119" applyNumberFormat="0" applyFont="0" applyAlignment="0" applyProtection="0"/>
    <xf numFmtId="0" fontId="50" fillId="31" borderId="119" applyNumberFormat="0" applyFont="0" applyAlignment="0" applyProtection="0"/>
    <xf numFmtId="0" fontId="50" fillId="31" borderId="119" applyNumberFormat="0" applyFont="0" applyAlignment="0" applyProtection="0"/>
    <xf numFmtId="0" fontId="74" fillId="28" borderId="120" applyNumberFormat="0" applyAlignment="0" applyProtection="0"/>
    <xf numFmtId="0" fontId="74" fillId="28" borderId="120" applyNumberFormat="0" applyAlignment="0" applyProtection="0"/>
    <xf numFmtId="0" fontId="74" fillId="28" borderId="120" applyNumberFormat="0" applyAlignment="0" applyProtection="0"/>
    <xf numFmtId="0" fontId="74" fillId="28" borderId="120" applyNumberFormat="0" applyAlignment="0" applyProtection="0"/>
    <xf numFmtId="0" fontId="74" fillId="28" borderId="120" applyNumberFormat="0" applyAlignment="0" applyProtection="0"/>
    <xf numFmtId="0" fontId="74" fillId="28" borderId="120" applyNumberFormat="0" applyAlignment="0" applyProtection="0"/>
    <xf numFmtId="0" fontId="74" fillId="28" borderId="120" applyNumberFormat="0" applyAlignment="0" applyProtection="0"/>
    <xf numFmtId="0" fontId="74" fillId="28" borderId="120" applyNumberFormat="0" applyAlignment="0" applyProtection="0"/>
    <xf numFmtId="0" fontId="74" fillId="28" borderId="120" applyNumberFormat="0" applyAlignment="0" applyProtection="0"/>
    <xf numFmtId="0" fontId="74" fillId="28" borderId="120" applyNumberFormat="0" applyAlignment="0" applyProtection="0"/>
    <xf numFmtId="0" fontId="74" fillId="28" borderId="120" applyNumberFormat="0" applyAlignment="0" applyProtection="0"/>
    <xf numFmtId="0" fontId="74" fillId="28" borderId="120" applyNumberFormat="0" applyAlignment="0" applyProtection="0"/>
    <xf numFmtId="9" fontId="40" fillId="0" borderId="0" applyFont="0" applyFill="0" applyBorder="0" applyAlignment="0" applyProtection="0"/>
    <xf numFmtId="9" fontId="86" fillId="0" borderId="0" applyBorder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76" fillId="0" borderId="121" applyNumberFormat="0" applyFill="0" applyAlignment="0" applyProtection="0"/>
    <xf numFmtId="0" fontId="76" fillId="0" borderId="121" applyNumberFormat="0" applyFill="0" applyAlignment="0" applyProtection="0"/>
    <xf numFmtId="0" fontId="76" fillId="0" borderId="121" applyNumberFormat="0" applyFill="0" applyAlignment="0" applyProtection="0"/>
    <xf numFmtId="0" fontId="76" fillId="0" borderId="121" applyNumberFormat="0" applyFill="0" applyAlignment="0" applyProtection="0"/>
    <xf numFmtId="0" fontId="76" fillId="0" borderId="121" applyNumberFormat="0" applyFill="0" applyAlignment="0" applyProtection="0"/>
    <xf numFmtId="0" fontId="76" fillId="0" borderId="121" applyNumberFormat="0" applyFill="0" applyAlignment="0" applyProtection="0"/>
    <xf numFmtId="0" fontId="76" fillId="0" borderId="121" applyNumberFormat="0" applyFill="0" applyAlignment="0" applyProtection="0"/>
    <xf numFmtId="0" fontId="76" fillId="0" borderId="121" applyNumberFormat="0" applyFill="0" applyAlignment="0" applyProtection="0"/>
    <xf numFmtId="0" fontId="76" fillId="0" borderId="121" applyNumberFormat="0" applyFill="0" applyAlignment="0" applyProtection="0"/>
    <xf numFmtId="0" fontId="76" fillId="0" borderId="121" applyNumberFormat="0" applyFill="0" applyAlignment="0" applyProtection="0"/>
    <xf numFmtId="0" fontId="76" fillId="0" borderId="121" applyNumberFormat="0" applyFill="0" applyAlignment="0" applyProtection="0"/>
    <xf numFmtId="0" fontId="76" fillId="0" borderId="121" applyNumberFormat="0" applyFill="0" applyAlignment="0" applyProtection="0"/>
    <xf numFmtId="0" fontId="168" fillId="0" borderId="0"/>
    <xf numFmtId="0" fontId="173" fillId="0" borderId="0"/>
    <xf numFmtId="0" fontId="174" fillId="0" borderId="0"/>
    <xf numFmtId="9" fontId="174" fillId="0" borderId="0" applyFont="0" applyFill="0" applyBorder="0" applyAlignment="0" applyProtection="0"/>
    <xf numFmtId="0" fontId="183" fillId="0" borderId="0"/>
  </cellStyleXfs>
  <cellXfs count="6662">
    <xf numFmtId="0" fontId="0" fillId="0" borderId="0" xfId="0"/>
    <xf numFmtId="0" fontId="19" fillId="0" borderId="7" xfId="0" applyFont="1" applyBorder="1" applyAlignment="1">
      <alignment vertical="center"/>
    </xf>
    <xf numFmtId="0" fontId="0" fillId="0" borderId="31" xfId="0" applyBorder="1"/>
    <xf numFmtId="0" fontId="26" fillId="0" borderId="31" xfId="0" applyFont="1" applyBorder="1" applyAlignment="1">
      <alignment horizontal="right" vertical="center"/>
    </xf>
    <xf numFmtId="0" fontId="12" fillId="0" borderId="0" xfId="0" applyFont="1"/>
    <xf numFmtId="0" fontId="27" fillId="0" borderId="17" xfId="0" applyFont="1" applyBorder="1" applyAlignment="1">
      <alignment horizontal="center" vertical="center"/>
    </xf>
    <xf numFmtId="0" fontId="30" fillId="0" borderId="24" xfId="0" applyFont="1" applyBorder="1" applyAlignment="1">
      <alignment vertical="center"/>
    </xf>
    <xf numFmtId="0" fontId="4" fillId="0" borderId="6" xfId="0" applyFont="1" applyBorder="1" applyAlignment="1">
      <alignment vertical="center"/>
    </xf>
    <xf numFmtId="0" fontId="21" fillId="0" borderId="31" xfId="0" applyFont="1" applyBorder="1" applyAlignment="1">
      <alignment horizontal="right" vertical="center"/>
    </xf>
    <xf numFmtId="0" fontId="21" fillId="0" borderId="31" xfId="0" applyFont="1" applyBorder="1" applyAlignment="1">
      <alignment vertical="center"/>
    </xf>
    <xf numFmtId="0" fontId="14" fillId="0" borderId="1" xfId="0" applyFont="1" applyBorder="1"/>
    <xf numFmtId="0" fontId="19" fillId="0" borderId="34" xfId="0" applyFont="1" applyBorder="1" applyAlignment="1">
      <alignment vertical="center"/>
    </xf>
    <xf numFmtId="0" fontId="21" fillId="0" borderId="32" xfId="0" applyFont="1" applyBorder="1" applyAlignment="1">
      <alignment vertical="center"/>
    </xf>
    <xf numFmtId="0" fontId="21" fillId="0" borderId="17" xfId="0" applyFont="1" applyBorder="1" applyAlignment="1">
      <alignment horizontal="center" vertical="center"/>
    </xf>
    <xf numFmtId="0" fontId="21" fillId="0" borderId="72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21" fillId="0" borderId="53" xfId="0" applyFont="1" applyBorder="1" applyAlignment="1">
      <alignment horizontal="center" vertical="center"/>
    </xf>
    <xf numFmtId="0" fontId="32" fillId="0" borderId="0" xfId="0" applyFont="1"/>
    <xf numFmtId="1" fontId="21" fillId="0" borderId="17" xfId="0" applyNumberFormat="1" applyFont="1" applyBorder="1" applyAlignment="1">
      <alignment horizontal="center" vertical="center"/>
    </xf>
    <xf numFmtId="2" fontId="22" fillId="0" borderId="17" xfId="0" quotePrefix="1" applyNumberFormat="1" applyFont="1" applyBorder="1" applyAlignment="1">
      <alignment horizontal="center" vertical="center"/>
    </xf>
    <xf numFmtId="2" fontId="22" fillId="0" borderId="72" xfId="0" quotePrefix="1" applyNumberFormat="1" applyFont="1" applyBorder="1" applyAlignment="1">
      <alignment horizontal="center" vertical="center"/>
    </xf>
    <xf numFmtId="2" fontId="4" fillId="0" borderId="33" xfId="0" quotePrefix="1" applyNumberFormat="1" applyFont="1" applyBorder="1" applyAlignment="1">
      <alignment horizontal="center" vertical="center"/>
    </xf>
    <xf numFmtId="0" fontId="26" fillId="0" borderId="31" xfId="0" applyFont="1" applyBorder="1"/>
    <xf numFmtId="0" fontId="26" fillId="0" borderId="62" xfId="0" applyFont="1" applyBorder="1"/>
    <xf numFmtId="0" fontId="26" fillId="0" borderId="0" xfId="0" applyFont="1"/>
    <xf numFmtId="0" fontId="12" fillId="0" borderId="0" xfId="0" applyFont="1" applyAlignment="1">
      <alignment horizontal="center" vertical="center"/>
    </xf>
    <xf numFmtId="1" fontId="0" fillId="0" borderId="0" xfId="0" applyNumberFormat="1"/>
    <xf numFmtId="1" fontId="19" fillId="0" borderId="4" xfId="0" applyNumberFormat="1" applyFont="1" applyBorder="1" applyAlignment="1">
      <alignment horizontal="center" vertical="center"/>
    </xf>
    <xf numFmtId="1" fontId="19" fillId="0" borderId="67" xfId="0" applyNumberFormat="1" applyFont="1" applyBorder="1" applyAlignment="1">
      <alignment horizontal="center" vertical="center"/>
    </xf>
    <xf numFmtId="1" fontId="21" fillId="0" borderId="53" xfId="0" applyNumberFormat="1" applyFont="1" applyBorder="1" applyAlignment="1">
      <alignment horizontal="center" vertical="center"/>
    </xf>
    <xf numFmtId="167" fontId="19" fillId="0" borderId="11" xfId="0" applyNumberFormat="1" applyFont="1" applyBorder="1" applyAlignment="1">
      <alignment horizontal="center" vertical="center"/>
    </xf>
    <xf numFmtId="1" fontId="19" fillId="0" borderId="11" xfId="0" applyNumberFormat="1" applyFont="1" applyBorder="1" applyAlignment="1">
      <alignment horizontal="center" vertical="center"/>
    </xf>
    <xf numFmtId="0" fontId="12" fillId="0" borderId="0" xfId="0" applyFont="1" applyAlignment="1">
      <alignment vertical="center"/>
    </xf>
    <xf numFmtId="0" fontId="35" fillId="0" borderId="0" xfId="0" applyFont="1" applyAlignment="1">
      <alignment horizontal="center" vertical="center"/>
    </xf>
    <xf numFmtId="0" fontId="18" fillId="0" borderId="0" xfId="0" applyFont="1"/>
    <xf numFmtId="0" fontId="12" fillId="7" borderId="17" xfId="0" applyFont="1" applyFill="1" applyBorder="1" applyAlignment="1">
      <alignment horizontal="center" vertical="center"/>
    </xf>
    <xf numFmtId="1" fontId="12" fillId="7" borderId="17" xfId="0" applyNumberFormat="1" applyFont="1" applyFill="1" applyBorder="1" applyAlignment="1">
      <alignment horizontal="center" vertical="center"/>
    </xf>
    <xf numFmtId="2" fontId="12" fillId="7" borderId="17" xfId="0" applyNumberFormat="1" applyFont="1" applyFill="1" applyBorder="1" applyAlignment="1">
      <alignment horizontal="center" vertical="center"/>
    </xf>
    <xf numFmtId="0" fontId="36" fillId="0" borderId="0" xfId="0" applyFont="1" applyAlignment="1">
      <alignment horizontal="center" vertical="center"/>
    </xf>
    <xf numFmtId="0" fontId="4" fillId="0" borderId="90" xfId="0" applyFont="1" applyBorder="1" applyAlignment="1">
      <alignment vertical="center"/>
    </xf>
    <xf numFmtId="0" fontId="21" fillId="0" borderId="98" xfId="0" applyFont="1" applyBorder="1" applyAlignment="1">
      <alignment horizontal="right" vertical="center"/>
    </xf>
    <xf numFmtId="0" fontId="21" fillId="0" borderId="100" xfId="0" applyFont="1" applyBorder="1" applyAlignment="1">
      <alignment horizontal="right" vertical="center"/>
    </xf>
    <xf numFmtId="0" fontId="19" fillId="0" borderId="101" xfId="0" applyFont="1" applyBorder="1" applyAlignment="1">
      <alignment horizontal="right" vertical="center"/>
    </xf>
    <xf numFmtId="0" fontId="4" fillId="0" borderId="110" xfId="0" applyFont="1" applyBorder="1" applyAlignment="1">
      <alignment vertical="center" wrapText="1"/>
    </xf>
    <xf numFmtId="0" fontId="21" fillId="0" borderId="103" xfId="0" applyFont="1" applyBorder="1" applyAlignment="1">
      <alignment vertical="center"/>
    </xf>
    <xf numFmtId="0" fontId="21" fillId="0" borderId="98" xfId="0" applyFont="1" applyBorder="1" applyAlignment="1">
      <alignment vertical="center"/>
    </xf>
    <xf numFmtId="0" fontId="21" fillId="2" borderId="98" xfId="0" applyFont="1" applyFill="1" applyBorder="1" applyAlignment="1">
      <alignment vertical="center"/>
    </xf>
    <xf numFmtId="2" fontId="21" fillId="0" borderId="98" xfId="0" applyNumberFormat="1" applyFont="1" applyBorder="1" applyAlignment="1">
      <alignment horizontal="left" vertical="center"/>
    </xf>
    <xf numFmtId="1" fontId="7" fillId="0" borderId="42" xfId="0" applyNumberFormat="1" applyFont="1" applyBorder="1" applyAlignment="1">
      <alignment horizontal="center" vertical="center"/>
    </xf>
    <xf numFmtId="0" fontId="30" fillId="0" borderId="104" xfId="0" applyFont="1" applyBorder="1" applyAlignment="1">
      <alignment vertical="center"/>
    </xf>
    <xf numFmtId="0" fontId="19" fillId="0" borderId="73" xfId="0" applyFont="1" applyBorder="1" applyAlignment="1">
      <alignment horizontal="center" vertical="center"/>
    </xf>
    <xf numFmtId="0" fontId="19" fillId="0" borderId="42" xfId="0" applyFont="1" applyBorder="1" applyAlignment="1">
      <alignment horizontal="center" vertical="center"/>
    </xf>
    <xf numFmtId="1" fontId="21" fillId="0" borderId="33" xfId="0" applyNumberFormat="1" applyFont="1" applyBorder="1" applyAlignment="1">
      <alignment horizontal="center" vertical="center"/>
    </xf>
    <xf numFmtId="1" fontId="21" fillId="7" borderId="17" xfId="0" applyNumberFormat="1" applyFont="1" applyFill="1" applyBorder="1" applyAlignment="1">
      <alignment horizontal="center" vertical="center"/>
    </xf>
    <xf numFmtId="1" fontId="19" fillId="7" borderId="1" xfId="0" applyNumberFormat="1" applyFont="1" applyFill="1" applyBorder="1" applyAlignment="1">
      <alignment horizontal="center" vertical="center"/>
    </xf>
    <xf numFmtId="1" fontId="19" fillId="7" borderId="11" xfId="0" applyNumberFormat="1" applyFont="1" applyFill="1" applyBorder="1" applyAlignment="1">
      <alignment horizontal="center" vertical="center"/>
    </xf>
    <xf numFmtId="167" fontId="19" fillId="7" borderId="11" xfId="0" applyNumberFormat="1" applyFont="1" applyFill="1" applyBorder="1" applyAlignment="1">
      <alignment horizontal="center" vertical="center"/>
    </xf>
    <xf numFmtId="1" fontId="21" fillId="7" borderId="42" xfId="0" applyNumberFormat="1" applyFont="1" applyFill="1" applyBorder="1" applyAlignment="1">
      <alignment horizontal="center" vertical="center"/>
    </xf>
    <xf numFmtId="1" fontId="21" fillId="7" borderId="33" xfId="0" applyNumberFormat="1" applyFont="1" applyFill="1" applyBorder="1" applyAlignment="1">
      <alignment horizontal="center" vertical="center"/>
    </xf>
    <xf numFmtId="0" fontId="21" fillId="0" borderId="0" xfId="0" applyFont="1"/>
    <xf numFmtId="0" fontId="19" fillId="0" borderId="6" xfId="0" applyFont="1" applyBorder="1" applyAlignment="1">
      <alignment vertical="center"/>
    </xf>
    <xf numFmtId="0" fontId="5" fillId="0" borderId="6" xfId="0" applyFont="1" applyBorder="1" applyAlignment="1">
      <alignment vertical="center"/>
    </xf>
    <xf numFmtId="0" fontId="20" fillId="0" borderId="37" xfId="0" applyFont="1" applyBorder="1" applyAlignment="1">
      <alignment horizontal="center" vertical="center"/>
    </xf>
    <xf numFmtId="0" fontId="20" fillId="0" borderId="65" xfId="0" applyFont="1" applyBorder="1" applyAlignment="1">
      <alignment horizontal="center" vertical="center"/>
    </xf>
    <xf numFmtId="0" fontId="4" fillId="0" borderId="67" xfId="0" applyFont="1" applyBorder="1" applyAlignment="1">
      <alignment horizontal="center" vertical="center"/>
    </xf>
    <xf numFmtId="0" fontId="20" fillId="0" borderId="48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1" fontId="4" fillId="7" borderId="78" xfId="0" applyNumberFormat="1" applyFont="1" applyFill="1" applyBorder="1" applyAlignment="1">
      <alignment horizontal="center" vertical="center"/>
    </xf>
    <xf numFmtId="0" fontId="41" fillId="0" borderId="24" xfId="0" applyFont="1" applyBorder="1" applyAlignment="1">
      <alignment vertical="center"/>
    </xf>
    <xf numFmtId="167" fontId="21" fillId="0" borderId="29" xfId="0" applyNumberFormat="1" applyFont="1" applyBorder="1" applyAlignment="1">
      <alignment horizontal="center" vertical="center"/>
    </xf>
    <xf numFmtId="167" fontId="21" fillId="7" borderId="31" xfId="0" applyNumberFormat="1" applyFont="1" applyFill="1" applyBorder="1" applyAlignment="1">
      <alignment horizontal="center" vertical="center"/>
    </xf>
    <xf numFmtId="167" fontId="21" fillId="7" borderId="34" xfId="0" applyNumberFormat="1" applyFont="1" applyFill="1" applyBorder="1" applyAlignment="1">
      <alignment horizontal="center" vertical="center"/>
    </xf>
    <xf numFmtId="0" fontId="5" fillId="0" borderId="24" xfId="0" applyFont="1" applyBorder="1" applyAlignment="1">
      <alignment vertical="center"/>
    </xf>
    <xf numFmtId="0" fontId="41" fillId="0" borderId="104" xfId="0" applyFont="1" applyBorder="1" applyAlignment="1">
      <alignment vertical="center"/>
    </xf>
    <xf numFmtId="0" fontId="19" fillId="0" borderId="90" xfId="0" applyFont="1" applyBorder="1" applyAlignment="1">
      <alignment vertical="center"/>
    </xf>
    <xf numFmtId="0" fontId="20" fillId="0" borderId="98" xfId="0" applyFont="1" applyBorder="1" applyAlignment="1">
      <alignment vertical="center"/>
    </xf>
    <xf numFmtId="167" fontId="21" fillId="7" borderId="83" xfId="0" applyNumberFormat="1" applyFont="1" applyFill="1" applyBorder="1" applyAlignment="1">
      <alignment horizontal="center" vertical="center"/>
    </xf>
    <xf numFmtId="0" fontId="20" fillId="0" borderId="100" xfId="0" applyFont="1" applyBorder="1" applyAlignment="1">
      <alignment vertical="center"/>
    </xf>
    <xf numFmtId="0" fontId="4" fillId="0" borderId="101" xfId="0" applyFont="1" applyBorder="1" applyAlignment="1">
      <alignment vertical="center"/>
    </xf>
    <xf numFmtId="0" fontId="20" fillId="0" borderId="103" xfId="0" applyFont="1" applyBorder="1" applyAlignment="1">
      <alignment vertical="center"/>
    </xf>
    <xf numFmtId="0" fontId="4" fillId="0" borderId="98" xfId="0" applyFont="1" applyBorder="1" applyAlignment="1">
      <alignment vertical="center"/>
    </xf>
    <xf numFmtId="167" fontId="4" fillId="7" borderId="83" xfId="0" applyNumberFormat="1" applyFont="1" applyFill="1" applyBorder="1" applyAlignment="1">
      <alignment horizontal="center" vertical="center"/>
    </xf>
    <xf numFmtId="0" fontId="5" fillId="0" borderId="90" xfId="0" applyFont="1" applyBorder="1" applyAlignment="1">
      <alignment vertical="center"/>
    </xf>
    <xf numFmtId="0" fontId="4" fillId="0" borderId="101" xfId="0" applyFont="1" applyBorder="1" applyAlignment="1">
      <alignment horizontal="right" vertical="center"/>
    </xf>
    <xf numFmtId="0" fontId="5" fillId="0" borderId="104" xfId="0" applyFont="1" applyBorder="1" applyAlignment="1">
      <alignment vertical="center"/>
    </xf>
    <xf numFmtId="0" fontId="26" fillId="0" borderId="34" xfId="0" applyFont="1" applyBorder="1"/>
    <xf numFmtId="0" fontId="26" fillId="0" borderId="74" xfId="0" applyFont="1" applyBorder="1"/>
    <xf numFmtId="0" fontId="21" fillId="0" borderId="48" xfId="0" applyFont="1" applyBorder="1" applyAlignment="1">
      <alignment horizontal="center" vertical="center"/>
    </xf>
    <xf numFmtId="1" fontId="21" fillId="7" borderId="31" xfId="0" applyNumberFormat="1" applyFont="1" applyFill="1" applyBorder="1" applyAlignment="1">
      <alignment horizontal="center" vertical="center"/>
    </xf>
    <xf numFmtId="1" fontId="21" fillId="7" borderId="53" xfId="0" applyNumberFormat="1" applyFont="1" applyFill="1" applyBorder="1" applyAlignment="1">
      <alignment horizontal="center" vertical="center"/>
    </xf>
    <xf numFmtId="167" fontId="22" fillId="7" borderId="11" xfId="0" applyNumberFormat="1" applyFont="1" applyFill="1" applyBorder="1" applyAlignment="1">
      <alignment horizontal="center" vertical="center"/>
    </xf>
    <xf numFmtId="0" fontId="12" fillId="0" borderId="10" xfId="0" applyFont="1" applyBorder="1" applyAlignment="1">
      <alignment horizontal="center" vertical="center"/>
    </xf>
    <xf numFmtId="1" fontId="21" fillId="0" borderId="0" xfId="0" applyNumberFormat="1" applyFont="1" applyAlignment="1">
      <alignment horizontal="center" vertical="center"/>
    </xf>
    <xf numFmtId="2" fontId="19" fillId="0" borderId="0" xfId="0" applyNumberFormat="1" applyFont="1" applyAlignment="1">
      <alignment horizontal="center" vertical="center"/>
    </xf>
    <xf numFmtId="0" fontId="12" fillId="5" borderId="17" xfId="0" applyFont="1" applyFill="1" applyBorder="1" applyAlignment="1">
      <alignment horizontal="center" vertical="center"/>
    </xf>
    <xf numFmtId="1" fontId="12" fillId="5" borderId="17" xfId="0" applyNumberFormat="1" applyFont="1" applyFill="1" applyBorder="1" applyAlignment="1">
      <alignment horizontal="center" vertical="center"/>
    </xf>
    <xf numFmtId="1" fontId="19" fillId="5" borderId="11" xfId="0" applyNumberFormat="1" applyFont="1" applyFill="1" applyBorder="1" applyAlignment="1">
      <alignment horizontal="center" vertical="center"/>
    </xf>
    <xf numFmtId="1" fontId="21" fillId="5" borderId="29" xfId="0" applyNumberFormat="1" applyFont="1" applyFill="1" applyBorder="1" applyAlignment="1">
      <alignment horizontal="center" vertical="center"/>
    </xf>
    <xf numFmtId="1" fontId="21" fillId="5" borderId="17" xfId="0" applyNumberFormat="1" applyFont="1" applyFill="1" applyBorder="1" applyAlignment="1">
      <alignment horizontal="center" vertical="center"/>
    </xf>
    <xf numFmtId="167" fontId="22" fillId="5" borderId="11" xfId="0" applyNumberFormat="1" applyFont="1" applyFill="1" applyBorder="1" applyAlignment="1">
      <alignment horizontal="center" vertical="center"/>
    </xf>
    <xf numFmtId="167" fontId="19" fillId="5" borderId="11" xfId="0" applyNumberFormat="1" applyFont="1" applyFill="1" applyBorder="1" applyAlignment="1">
      <alignment horizontal="center" vertical="center"/>
    </xf>
    <xf numFmtId="1" fontId="21" fillId="5" borderId="31" xfId="0" applyNumberFormat="1" applyFont="1" applyFill="1" applyBorder="1" applyAlignment="1">
      <alignment horizontal="center" vertical="center"/>
    </xf>
    <xf numFmtId="1" fontId="21" fillId="5" borderId="42" xfId="0" applyNumberFormat="1" applyFont="1" applyFill="1" applyBorder="1" applyAlignment="1">
      <alignment horizontal="center" vertical="center"/>
    </xf>
    <xf numFmtId="1" fontId="21" fillId="5" borderId="33" xfId="0" applyNumberFormat="1" applyFont="1" applyFill="1" applyBorder="1" applyAlignment="1">
      <alignment horizontal="center" vertical="center"/>
    </xf>
    <xf numFmtId="1" fontId="4" fillId="5" borderId="76" xfId="0" applyNumberFormat="1" applyFont="1" applyFill="1" applyBorder="1" applyAlignment="1">
      <alignment horizontal="center" vertical="center"/>
    </xf>
    <xf numFmtId="1" fontId="4" fillId="5" borderId="78" xfId="0" applyNumberFormat="1" applyFont="1" applyFill="1" applyBorder="1" applyAlignment="1">
      <alignment horizontal="center" vertical="center"/>
    </xf>
    <xf numFmtId="167" fontId="21" fillId="5" borderId="31" xfId="0" applyNumberFormat="1" applyFont="1" applyFill="1" applyBorder="1" applyAlignment="1">
      <alignment horizontal="center" vertical="center"/>
    </xf>
    <xf numFmtId="167" fontId="21" fillId="5" borderId="83" xfId="0" applyNumberFormat="1" applyFont="1" applyFill="1" applyBorder="1" applyAlignment="1">
      <alignment horizontal="center" vertical="center"/>
    </xf>
    <xf numFmtId="167" fontId="4" fillId="5" borderId="31" xfId="0" applyNumberFormat="1" applyFont="1" applyFill="1" applyBorder="1" applyAlignment="1">
      <alignment horizontal="center" vertical="center"/>
    </xf>
    <xf numFmtId="167" fontId="4" fillId="5" borderId="83" xfId="0" applyNumberFormat="1" applyFont="1" applyFill="1" applyBorder="1" applyAlignment="1">
      <alignment horizontal="center" vertical="center"/>
    </xf>
    <xf numFmtId="1" fontId="21" fillId="0" borderId="61" xfId="0" applyNumberFormat="1" applyFont="1" applyBorder="1" applyAlignment="1">
      <alignment horizontal="center" vertical="center"/>
    </xf>
    <xf numFmtId="2" fontId="21" fillId="0" borderId="17" xfId="0" applyNumberFormat="1" applyFont="1" applyBorder="1" applyAlignment="1">
      <alignment horizontal="center" vertical="center"/>
    </xf>
    <xf numFmtId="2" fontId="21" fillId="7" borderId="31" xfId="0" applyNumberFormat="1" applyFont="1" applyFill="1" applyBorder="1" applyAlignment="1">
      <alignment horizontal="center" vertical="center"/>
    </xf>
    <xf numFmtId="1" fontId="21" fillId="5" borderId="53" xfId="0" applyNumberFormat="1" applyFont="1" applyFill="1" applyBorder="1" applyAlignment="1">
      <alignment horizontal="center" vertical="center"/>
    </xf>
    <xf numFmtId="1" fontId="21" fillId="0" borderId="50" xfId="0" applyNumberFormat="1" applyFont="1" applyBorder="1" applyAlignment="1">
      <alignment horizontal="center" vertical="center"/>
    </xf>
    <xf numFmtId="0" fontId="12" fillId="0" borderId="11" xfId="0" applyFont="1" applyBorder="1" applyAlignment="1">
      <alignment horizontal="center" vertical="center"/>
    </xf>
    <xf numFmtId="0" fontId="48" fillId="0" borderId="0" xfId="0" applyFont="1"/>
    <xf numFmtId="1" fontId="21" fillId="0" borderId="42" xfId="0" applyNumberFormat="1" applyFont="1" applyBorder="1" applyAlignment="1">
      <alignment horizontal="center" vertical="center"/>
    </xf>
    <xf numFmtId="1" fontId="21" fillId="7" borderId="19" xfId="0" applyNumberFormat="1" applyFont="1" applyFill="1" applyBorder="1" applyAlignment="1">
      <alignment horizontal="center" vertical="center"/>
    </xf>
    <xf numFmtId="2" fontId="21" fillId="5" borderId="53" xfId="0" applyNumberFormat="1" applyFont="1" applyFill="1" applyBorder="1" applyAlignment="1">
      <alignment horizontal="center" vertical="center"/>
    </xf>
    <xf numFmtId="1" fontId="19" fillId="5" borderId="53" xfId="0" applyNumberFormat="1" applyFont="1" applyFill="1" applyBorder="1" applyAlignment="1">
      <alignment horizontal="center" vertical="center"/>
    </xf>
    <xf numFmtId="1" fontId="19" fillId="0" borderId="21" xfId="0" applyNumberFormat="1" applyFont="1" applyBorder="1" applyAlignment="1">
      <alignment horizontal="center" vertical="center"/>
    </xf>
    <xf numFmtId="0" fontId="46" fillId="0" borderId="0" xfId="0" applyFont="1"/>
    <xf numFmtId="2" fontId="21" fillId="0" borderId="42" xfId="0" applyNumberFormat="1" applyFont="1" applyBorder="1" applyAlignment="1">
      <alignment horizontal="center" vertical="center"/>
    </xf>
    <xf numFmtId="2" fontId="21" fillId="5" borderId="42" xfId="0" applyNumberFormat="1" applyFont="1" applyFill="1" applyBorder="1" applyAlignment="1">
      <alignment horizontal="center" vertical="center"/>
    </xf>
    <xf numFmtId="0" fontId="0" fillId="4" borderId="0" xfId="0" applyFill="1"/>
    <xf numFmtId="0" fontId="45" fillId="0" borderId="0" xfId="0" applyFont="1" applyAlignment="1">
      <alignment horizontal="center" vertical="center"/>
    </xf>
    <xf numFmtId="2" fontId="21" fillId="7" borderId="53" xfId="0" applyNumberFormat="1" applyFont="1" applyFill="1" applyBorder="1" applyAlignment="1">
      <alignment horizontal="center" vertical="center"/>
    </xf>
    <xf numFmtId="1" fontId="19" fillId="7" borderId="53" xfId="0" applyNumberFormat="1" applyFont="1" applyFill="1" applyBorder="1" applyAlignment="1">
      <alignment horizontal="center" vertical="center"/>
    </xf>
    <xf numFmtId="1" fontId="22" fillId="7" borderId="53" xfId="0" applyNumberFormat="1" applyFont="1" applyFill="1" applyBorder="1" applyAlignment="1">
      <alignment horizontal="center" vertical="center"/>
    </xf>
    <xf numFmtId="167" fontId="21" fillId="0" borderId="17" xfId="0" applyNumberFormat="1" applyFont="1" applyBorder="1" applyAlignment="1">
      <alignment horizontal="center" vertical="center"/>
    </xf>
    <xf numFmtId="167" fontId="21" fillId="0" borderId="10" xfId="0" applyNumberFormat="1" applyFont="1" applyBorder="1" applyAlignment="1">
      <alignment horizontal="center" vertical="center"/>
    </xf>
    <xf numFmtId="167" fontId="21" fillId="0" borderId="30" xfId="0" applyNumberFormat="1" applyFont="1" applyBorder="1" applyAlignment="1">
      <alignment horizontal="center" vertical="center"/>
    </xf>
    <xf numFmtId="0" fontId="22" fillId="0" borderId="11" xfId="0" applyFont="1" applyBorder="1" applyAlignment="1">
      <alignment horizontal="center" vertical="center"/>
    </xf>
    <xf numFmtId="167" fontId="21" fillId="7" borderId="19" xfId="0" applyNumberFormat="1" applyFont="1" applyFill="1" applyBorder="1" applyAlignment="1">
      <alignment horizontal="center" vertical="center"/>
    </xf>
    <xf numFmtId="167" fontId="21" fillId="0" borderId="6" xfId="0" applyNumberFormat="1" applyFont="1" applyBorder="1" applyAlignment="1">
      <alignment horizontal="center" vertical="center"/>
    </xf>
    <xf numFmtId="167" fontId="21" fillId="7" borderId="17" xfId="0" applyNumberFormat="1" applyFont="1" applyFill="1" applyBorder="1" applyAlignment="1">
      <alignment horizontal="center" vertical="center"/>
    </xf>
    <xf numFmtId="167" fontId="21" fillId="7" borderId="72" xfId="0" applyNumberFormat="1" applyFont="1" applyFill="1" applyBorder="1" applyAlignment="1">
      <alignment horizontal="center" vertical="center"/>
    </xf>
    <xf numFmtId="1" fontId="21" fillId="0" borderId="23" xfId="0" applyNumberFormat="1" applyFont="1" applyBorder="1" applyAlignment="1">
      <alignment horizontal="center" vertical="center"/>
    </xf>
    <xf numFmtId="167" fontId="22" fillId="0" borderId="5" xfId="0" applyNumberFormat="1" applyFont="1" applyBorder="1" applyAlignment="1">
      <alignment horizontal="center" vertical="center"/>
    </xf>
    <xf numFmtId="167" fontId="19" fillId="0" borderId="5" xfId="0" applyNumberFormat="1" applyFont="1" applyBorder="1" applyAlignment="1">
      <alignment horizontal="center" vertical="center"/>
    </xf>
    <xf numFmtId="0" fontId="51" fillId="0" borderId="0" xfId="0" applyFont="1" applyAlignment="1">
      <alignment horizontal="center" vertical="center"/>
    </xf>
    <xf numFmtId="0" fontId="38" fillId="0" borderId="0" xfId="0" applyFont="1"/>
    <xf numFmtId="167" fontId="21" fillId="5" borderId="19" xfId="0" applyNumberFormat="1" applyFont="1" applyFill="1" applyBorder="1" applyAlignment="1">
      <alignment horizontal="center" vertical="center"/>
    </xf>
    <xf numFmtId="167" fontId="21" fillId="5" borderId="17" xfId="0" applyNumberFormat="1" applyFont="1" applyFill="1" applyBorder="1" applyAlignment="1">
      <alignment horizontal="center" vertical="center"/>
    </xf>
    <xf numFmtId="167" fontId="21" fillId="5" borderId="72" xfId="0" applyNumberFormat="1" applyFont="1" applyFill="1" applyBorder="1" applyAlignment="1">
      <alignment horizontal="center" vertical="center"/>
    </xf>
    <xf numFmtId="0" fontId="19" fillId="0" borderId="30" xfId="0" applyFont="1" applyBorder="1" applyAlignment="1">
      <alignment horizontal="center" vertical="center"/>
    </xf>
    <xf numFmtId="1" fontId="46" fillId="0" borderId="0" xfId="0" applyNumberFormat="1" applyFont="1"/>
    <xf numFmtId="0" fontId="30" fillId="0" borderId="24" xfId="0" applyFont="1" applyBorder="1"/>
    <xf numFmtId="1" fontId="19" fillId="0" borderId="55" xfId="0" applyNumberFormat="1" applyFont="1" applyBorder="1" applyAlignment="1">
      <alignment vertical="center"/>
    </xf>
    <xf numFmtId="167" fontId="21" fillId="0" borderId="50" xfId="0" applyNumberFormat="1" applyFont="1" applyBorder="1" applyAlignment="1">
      <alignment horizontal="center" vertical="center"/>
    </xf>
    <xf numFmtId="1" fontId="21" fillId="5" borderId="99" xfId="0" applyNumberFormat="1" applyFont="1" applyFill="1" applyBorder="1" applyAlignment="1">
      <alignment horizontal="center" vertical="center"/>
    </xf>
    <xf numFmtId="1" fontId="19" fillId="5" borderId="102" xfId="0" applyNumberFormat="1" applyFont="1" applyFill="1" applyBorder="1" applyAlignment="1">
      <alignment horizontal="center" vertical="center"/>
    </xf>
    <xf numFmtId="167" fontId="21" fillId="5" borderId="53" xfId="0" applyNumberFormat="1" applyFont="1" applyFill="1" applyBorder="1" applyAlignment="1">
      <alignment horizontal="center" vertical="center"/>
    </xf>
    <xf numFmtId="1" fontId="21" fillId="0" borderId="19" xfId="0" applyNumberFormat="1" applyFont="1" applyBorder="1" applyAlignment="1">
      <alignment horizontal="center" vertical="center"/>
    </xf>
    <xf numFmtId="1" fontId="21" fillId="5" borderId="19" xfId="0" applyNumberFormat="1" applyFont="1" applyFill="1" applyBorder="1" applyAlignment="1">
      <alignment horizontal="center" vertical="center"/>
    </xf>
    <xf numFmtId="1" fontId="21" fillId="0" borderId="72" xfId="0" applyNumberFormat="1" applyFont="1" applyBorder="1" applyAlignment="1">
      <alignment horizontal="center" vertical="center"/>
    </xf>
    <xf numFmtId="167" fontId="21" fillId="7" borderId="53" xfId="0" applyNumberFormat="1" applyFont="1" applyFill="1" applyBorder="1" applyAlignment="1">
      <alignment horizontal="center" vertical="center"/>
    </xf>
    <xf numFmtId="0" fontId="3" fillId="0" borderId="24" xfId="0" applyFont="1" applyBorder="1"/>
    <xf numFmtId="1" fontId="4" fillId="0" borderId="42" xfId="0" applyNumberFormat="1" applyFont="1" applyBorder="1" applyAlignment="1">
      <alignment horizontal="center" vertical="center"/>
    </xf>
    <xf numFmtId="1" fontId="19" fillId="0" borderId="42" xfId="0" applyNumberFormat="1" applyFont="1" applyBorder="1" applyAlignment="1">
      <alignment horizontal="center" vertical="center"/>
    </xf>
    <xf numFmtId="167" fontId="21" fillId="7" borderId="33" xfId="0" applyNumberFormat="1" applyFont="1" applyFill="1" applyBorder="1" applyAlignment="1">
      <alignment horizontal="center" vertical="center"/>
    </xf>
    <xf numFmtId="167" fontId="21" fillId="0" borderId="19" xfId="0" applyNumberFormat="1" applyFont="1" applyBorder="1" applyAlignment="1">
      <alignment horizontal="center" vertical="center"/>
    </xf>
    <xf numFmtId="167" fontId="21" fillId="0" borderId="72" xfId="0" applyNumberFormat="1" applyFont="1" applyBorder="1" applyAlignment="1">
      <alignment horizontal="center" vertical="center"/>
    </xf>
    <xf numFmtId="167" fontId="21" fillId="8" borderId="17" xfId="0" applyNumberFormat="1" applyFont="1" applyFill="1" applyBorder="1" applyAlignment="1">
      <alignment horizontal="center" vertical="center"/>
    </xf>
    <xf numFmtId="2" fontId="21" fillId="0" borderId="33" xfId="0" applyNumberFormat="1" applyFont="1" applyBorder="1" applyAlignment="1">
      <alignment horizontal="center" vertical="center"/>
    </xf>
    <xf numFmtId="1" fontId="21" fillId="8" borderId="48" xfId="0" applyNumberFormat="1" applyFont="1" applyFill="1" applyBorder="1" applyAlignment="1">
      <alignment horizontal="center" vertical="center"/>
    </xf>
    <xf numFmtId="0" fontId="3" fillId="0" borderId="77" xfId="0" applyFont="1" applyBorder="1"/>
    <xf numFmtId="0" fontId="3" fillId="0" borderId="88" xfId="0" applyFont="1" applyBorder="1"/>
    <xf numFmtId="1" fontId="19" fillId="0" borderId="55" xfId="0" applyNumberFormat="1" applyFont="1" applyBorder="1" applyAlignment="1">
      <alignment horizontal="center" vertical="center"/>
    </xf>
    <xf numFmtId="2" fontId="38" fillId="5" borderId="10" xfId="0" applyNumberFormat="1" applyFont="1" applyFill="1" applyBorder="1" applyAlignment="1">
      <alignment horizontal="center" vertical="center"/>
    </xf>
    <xf numFmtId="2" fontId="38" fillId="7" borderId="10" xfId="0" applyNumberFormat="1" applyFont="1" applyFill="1" applyBorder="1" applyAlignment="1">
      <alignment horizontal="center" vertical="center"/>
    </xf>
    <xf numFmtId="1" fontId="19" fillId="0" borderId="53" xfId="0" applyNumberFormat="1" applyFont="1" applyBorder="1" applyAlignment="1">
      <alignment horizontal="center" vertical="center"/>
    </xf>
    <xf numFmtId="1" fontId="4" fillId="0" borderId="11" xfId="0" applyNumberFormat="1" applyFont="1" applyBorder="1" applyAlignment="1">
      <alignment horizontal="center" vertical="center"/>
    </xf>
    <xf numFmtId="1" fontId="22" fillId="0" borderId="11" xfId="0" applyNumberFormat="1" applyFont="1" applyBorder="1" applyAlignment="1">
      <alignment horizontal="center" vertical="center"/>
    </xf>
    <xf numFmtId="167" fontId="21" fillId="0" borderId="7" xfId="0" applyNumberFormat="1" applyFont="1" applyBorder="1" applyAlignment="1">
      <alignment horizontal="center" vertical="center"/>
    </xf>
    <xf numFmtId="167" fontId="4" fillId="0" borderId="11" xfId="0" applyNumberFormat="1" applyFont="1" applyBorder="1" applyAlignment="1">
      <alignment horizontal="center" vertical="center"/>
    </xf>
    <xf numFmtId="167" fontId="21" fillId="0" borderId="42" xfId="0" applyNumberFormat="1" applyFont="1" applyBorder="1" applyAlignment="1">
      <alignment horizontal="center" vertical="center"/>
    </xf>
    <xf numFmtId="167" fontId="22" fillId="0" borderId="19" xfId="0" applyNumberFormat="1" applyFont="1" applyBorder="1" applyAlignment="1">
      <alignment horizontal="center" vertical="center"/>
    </xf>
    <xf numFmtId="0" fontId="22" fillId="7" borderId="4" xfId="0" applyFont="1" applyFill="1" applyBorder="1" applyAlignment="1">
      <alignment horizontal="center" vertical="center"/>
    </xf>
    <xf numFmtId="2" fontId="38" fillId="0" borderId="10" xfId="0" applyNumberFormat="1" applyFont="1" applyBorder="1" applyAlignment="1">
      <alignment horizontal="center" vertical="center"/>
    </xf>
    <xf numFmtId="0" fontId="53" fillId="0" borderId="0" xfId="0" applyFont="1"/>
    <xf numFmtId="0" fontId="53" fillId="8" borderId="0" xfId="0" applyFont="1" applyFill="1"/>
    <xf numFmtId="0" fontId="0" fillId="8" borderId="0" xfId="0" applyFill="1"/>
    <xf numFmtId="0" fontId="0" fillId="8" borderId="0" xfId="0" applyFill="1" applyAlignment="1">
      <alignment horizontal="center" vertical="center"/>
    </xf>
    <xf numFmtId="1" fontId="12" fillId="8" borderId="10" xfId="0" applyNumberFormat="1" applyFont="1" applyFill="1" applyBorder="1" applyAlignment="1">
      <alignment horizontal="center" vertical="center"/>
    </xf>
    <xf numFmtId="0" fontId="56" fillId="0" borderId="0" xfId="0" applyFont="1"/>
    <xf numFmtId="0" fontId="12" fillId="8" borderId="17" xfId="0" applyFont="1" applyFill="1" applyBorder="1" applyAlignment="1">
      <alignment horizontal="center" vertical="center"/>
    </xf>
    <xf numFmtId="0" fontId="46" fillId="8" borderId="0" xfId="0" applyFont="1" applyFill="1"/>
    <xf numFmtId="1" fontId="21" fillId="8" borderId="31" xfId="0" applyNumberFormat="1" applyFont="1" applyFill="1" applyBorder="1" applyAlignment="1">
      <alignment horizontal="center" vertical="center"/>
    </xf>
    <xf numFmtId="1" fontId="21" fillId="8" borderId="33" xfId="0" applyNumberFormat="1" applyFont="1" applyFill="1" applyBorder="1" applyAlignment="1">
      <alignment horizontal="center" vertical="center"/>
    </xf>
    <xf numFmtId="0" fontId="22" fillId="0" borderId="69" xfId="0" applyFont="1" applyBorder="1" applyAlignment="1">
      <alignment horizontal="center" vertical="center"/>
    </xf>
    <xf numFmtId="1" fontId="21" fillId="0" borderId="41" xfId="0" applyNumberFormat="1" applyFont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167" fontId="21" fillId="0" borderId="45" xfId="0" applyNumberFormat="1" applyFont="1" applyBorder="1" applyAlignment="1">
      <alignment horizontal="center" vertical="center"/>
    </xf>
    <xf numFmtId="0" fontId="21" fillId="0" borderId="45" xfId="0" applyFont="1" applyBorder="1" applyAlignment="1">
      <alignment horizontal="center" vertical="center"/>
    </xf>
    <xf numFmtId="0" fontId="22" fillId="0" borderId="26" xfId="0" applyFont="1" applyBorder="1" applyAlignment="1">
      <alignment horizontal="center" vertical="center"/>
    </xf>
    <xf numFmtId="2" fontId="21" fillId="8" borderId="17" xfId="0" applyNumberFormat="1" applyFont="1" applyFill="1" applyBorder="1" applyAlignment="1">
      <alignment horizontal="center" vertical="center"/>
    </xf>
    <xf numFmtId="0" fontId="21" fillId="0" borderId="65" xfId="0" applyFont="1" applyBorder="1" applyAlignment="1">
      <alignment horizontal="center" vertical="center"/>
    </xf>
    <xf numFmtId="0" fontId="22" fillId="7" borderId="28" xfId="0" applyFont="1" applyFill="1" applyBorder="1" applyAlignment="1">
      <alignment horizontal="center" vertical="center"/>
    </xf>
    <xf numFmtId="2" fontId="21" fillId="7" borderId="33" xfId="0" applyNumberFormat="1" applyFont="1" applyFill="1" applyBorder="1" applyAlignment="1">
      <alignment horizontal="center" vertical="center"/>
    </xf>
    <xf numFmtId="1" fontId="21" fillId="7" borderId="72" xfId="0" applyNumberFormat="1" applyFont="1" applyFill="1" applyBorder="1" applyAlignment="1">
      <alignment horizontal="center" vertical="center"/>
    </xf>
    <xf numFmtId="167" fontId="21" fillId="7" borderId="42" xfId="0" applyNumberFormat="1" applyFont="1" applyFill="1" applyBorder="1" applyAlignment="1">
      <alignment horizontal="center" vertical="center"/>
    </xf>
    <xf numFmtId="167" fontId="21" fillId="7" borderId="50" xfId="0" applyNumberFormat="1" applyFont="1" applyFill="1" applyBorder="1" applyAlignment="1">
      <alignment horizontal="center" vertical="center"/>
    </xf>
    <xf numFmtId="167" fontId="22" fillId="7" borderId="19" xfId="0" applyNumberFormat="1" applyFont="1" applyFill="1" applyBorder="1" applyAlignment="1">
      <alignment horizontal="center" vertical="center"/>
    </xf>
    <xf numFmtId="167" fontId="4" fillId="7" borderId="11" xfId="0" applyNumberFormat="1" applyFont="1" applyFill="1" applyBorder="1" applyAlignment="1">
      <alignment horizontal="center" vertical="center"/>
    </xf>
    <xf numFmtId="0" fontId="22" fillId="5" borderId="28" xfId="0" applyFont="1" applyFill="1" applyBorder="1" applyAlignment="1">
      <alignment horizontal="center" vertical="center"/>
    </xf>
    <xf numFmtId="2" fontId="21" fillId="5" borderId="33" xfId="0" applyNumberFormat="1" applyFont="1" applyFill="1" applyBorder="1" applyAlignment="1">
      <alignment horizontal="center" vertical="center"/>
    </xf>
    <xf numFmtId="1" fontId="22" fillId="5" borderId="11" xfId="0" applyNumberFormat="1" applyFont="1" applyFill="1" applyBorder="1" applyAlignment="1">
      <alignment horizontal="center" vertical="center"/>
    </xf>
    <xf numFmtId="1" fontId="21" fillId="5" borderId="72" xfId="0" applyNumberFormat="1" applyFont="1" applyFill="1" applyBorder="1" applyAlignment="1">
      <alignment horizontal="center" vertical="center"/>
    </xf>
    <xf numFmtId="167" fontId="21" fillId="5" borderId="42" xfId="0" applyNumberFormat="1" applyFont="1" applyFill="1" applyBorder="1" applyAlignment="1">
      <alignment horizontal="center" vertical="center"/>
    </xf>
    <xf numFmtId="167" fontId="21" fillId="5" borderId="50" xfId="0" applyNumberFormat="1" applyFont="1" applyFill="1" applyBorder="1" applyAlignment="1">
      <alignment horizontal="center" vertical="center"/>
    </xf>
    <xf numFmtId="167" fontId="22" fillId="5" borderId="19" xfId="0" applyNumberFormat="1" applyFont="1" applyFill="1" applyBorder="1" applyAlignment="1">
      <alignment horizontal="center" vertical="center"/>
    </xf>
    <xf numFmtId="167" fontId="21" fillId="5" borderId="33" xfId="0" applyNumberFormat="1" applyFont="1" applyFill="1" applyBorder="1" applyAlignment="1">
      <alignment horizontal="center" vertical="center"/>
    </xf>
    <xf numFmtId="0" fontId="22" fillId="0" borderId="28" xfId="0" applyFont="1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0" fontId="59" fillId="0" borderId="0" xfId="0" applyFont="1"/>
    <xf numFmtId="1" fontId="21" fillId="8" borderId="17" xfId="0" applyNumberFormat="1" applyFont="1" applyFill="1" applyBorder="1" applyAlignment="1">
      <alignment horizontal="center" vertical="center"/>
    </xf>
    <xf numFmtId="1" fontId="19" fillId="7" borderId="17" xfId="0" applyNumberFormat="1" applyFont="1" applyFill="1" applyBorder="1" applyAlignment="1">
      <alignment horizontal="center" vertical="center"/>
    </xf>
    <xf numFmtId="0" fontId="26" fillId="8" borderId="31" xfId="0" applyFont="1" applyFill="1" applyBorder="1"/>
    <xf numFmtId="0" fontId="0" fillId="0" borderId="10" xfId="0" applyBorder="1"/>
    <xf numFmtId="171" fontId="0" fillId="0" borderId="0" xfId="22" applyNumberFormat="1" applyFont="1"/>
    <xf numFmtId="1" fontId="57" fillId="0" borderId="0" xfId="0" applyNumberFormat="1" applyFont="1"/>
    <xf numFmtId="0" fontId="4" fillId="8" borderId="39" xfId="0" applyFont="1" applyFill="1" applyBorder="1" applyAlignment="1">
      <alignment horizontal="center" vertical="center"/>
    </xf>
    <xf numFmtId="0" fontId="4" fillId="8" borderId="39" xfId="0" applyFont="1" applyFill="1" applyBorder="1" applyAlignment="1">
      <alignment vertical="center"/>
    </xf>
    <xf numFmtId="0" fontId="27" fillId="7" borderId="10" xfId="0" applyFont="1" applyFill="1" applyBorder="1" applyAlignment="1">
      <alignment horizontal="center" vertical="center"/>
    </xf>
    <xf numFmtId="0" fontId="27" fillId="5" borderId="10" xfId="0" applyFont="1" applyFill="1" applyBorder="1" applyAlignment="1">
      <alignment horizontal="center" vertical="center"/>
    </xf>
    <xf numFmtId="167" fontId="21" fillId="8" borderId="10" xfId="0" applyNumberFormat="1" applyFont="1" applyFill="1" applyBorder="1" applyAlignment="1">
      <alignment horizontal="center" vertical="center"/>
    </xf>
    <xf numFmtId="167" fontId="21" fillId="8" borderId="23" xfId="0" applyNumberFormat="1" applyFont="1" applyFill="1" applyBorder="1" applyAlignment="1">
      <alignment horizontal="center" vertical="center"/>
    </xf>
    <xf numFmtId="169" fontId="21" fillId="7" borderId="19" xfId="0" applyNumberFormat="1" applyFont="1" applyFill="1" applyBorder="1" applyAlignment="1">
      <alignment horizontal="center" vertical="center"/>
    </xf>
    <xf numFmtId="0" fontId="19" fillId="5" borderId="53" xfId="0" applyFont="1" applyFill="1" applyBorder="1" applyAlignment="1">
      <alignment horizontal="center" vertical="center"/>
    </xf>
    <xf numFmtId="2" fontId="22" fillId="5" borderId="53" xfId="0" applyNumberFormat="1" applyFont="1" applyFill="1" applyBorder="1" applyAlignment="1">
      <alignment horizontal="center" vertical="center"/>
    </xf>
    <xf numFmtId="169" fontId="21" fillId="5" borderId="19" xfId="0" applyNumberFormat="1" applyFont="1" applyFill="1" applyBorder="1" applyAlignment="1">
      <alignment horizontal="center" vertical="center"/>
    </xf>
    <xf numFmtId="1" fontId="21" fillId="7" borderId="73" xfId="0" applyNumberFormat="1" applyFont="1" applyFill="1" applyBorder="1" applyAlignment="1">
      <alignment horizontal="center" vertical="center"/>
    </xf>
    <xf numFmtId="1" fontId="22" fillId="0" borderId="1" xfId="0" applyNumberFormat="1" applyFont="1" applyBorder="1" applyAlignment="1">
      <alignment horizontal="center" vertical="center"/>
    </xf>
    <xf numFmtId="0" fontId="46" fillId="0" borderId="0" xfId="0" quotePrefix="1" applyFont="1"/>
    <xf numFmtId="1" fontId="19" fillId="0" borderId="10" xfId="0" applyNumberFormat="1" applyFont="1" applyBorder="1" applyAlignment="1">
      <alignment horizontal="center" vertical="center"/>
    </xf>
    <xf numFmtId="1" fontId="19" fillId="0" borderId="45" xfId="0" applyNumberFormat="1" applyFont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48" fillId="8" borderId="0" xfId="0" applyFont="1" applyFill="1"/>
    <xf numFmtId="0" fontId="21" fillId="0" borderId="8" xfId="0" applyFont="1" applyBorder="1" applyAlignment="1">
      <alignment horizontal="center" vertical="center"/>
    </xf>
    <xf numFmtId="0" fontId="21" fillId="8" borderId="41" xfId="0" applyFont="1" applyFill="1" applyBorder="1" applyAlignment="1">
      <alignment horizontal="center" vertical="center"/>
    </xf>
    <xf numFmtId="0" fontId="21" fillId="8" borderId="10" xfId="0" applyFont="1" applyFill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1" fontId="7" fillId="0" borderId="10" xfId="0" applyNumberFormat="1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/>
    </xf>
    <xf numFmtId="1" fontId="7" fillId="0" borderId="17" xfId="0" applyNumberFormat="1" applyFont="1" applyBorder="1" applyAlignment="1">
      <alignment horizontal="center" vertical="center"/>
    </xf>
    <xf numFmtId="167" fontId="22" fillId="8" borderId="10" xfId="0" applyNumberFormat="1" applyFont="1" applyFill="1" applyBorder="1" applyAlignment="1">
      <alignment horizontal="center" vertical="center"/>
    </xf>
    <xf numFmtId="0" fontId="4" fillId="7" borderId="28" xfId="0" applyFont="1" applyFill="1" applyBorder="1" applyAlignment="1">
      <alignment horizontal="center" vertical="center"/>
    </xf>
    <xf numFmtId="1" fontId="7" fillId="7" borderId="17" xfId="0" applyNumberFormat="1" applyFont="1" applyFill="1" applyBorder="1" applyAlignment="1">
      <alignment horizontal="center" vertical="center"/>
    </xf>
    <xf numFmtId="2" fontId="22" fillId="0" borderId="10" xfId="0" applyNumberFormat="1" applyFont="1" applyBorder="1" applyAlignment="1">
      <alignment horizontal="center" vertical="center"/>
    </xf>
    <xf numFmtId="1" fontId="4" fillId="0" borderId="50" xfId="0" applyNumberFormat="1" applyFont="1" applyBorder="1" applyAlignment="1">
      <alignment horizontal="center" vertical="center"/>
    </xf>
    <xf numFmtId="0" fontId="3" fillId="0" borderId="7" xfId="0" applyFont="1" applyBorder="1"/>
    <xf numFmtId="1" fontId="19" fillId="0" borderId="39" xfId="0" applyNumberFormat="1" applyFont="1" applyBorder="1" applyAlignment="1">
      <alignment horizontal="center" vertical="center"/>
    </xf>
    <xf numFmtId="1" fontId="20" fillId="0" borderId="42" xfId="0" applyNumberFormat="1" applyFont="1" applyBorder="1" applyAlignment="1">
      <alignment horizontal="center" vertical="center"/>
    </xf>
    <xf numFmtId="0" fontId="22" fillId="7" borderId="82" xfId="0" applyFont="1" applyFill="1" applyBorder="1" applyAlignment="1">
      <alignment horizontal="center" vertical="center"/>
    </xf>
    <xf numFmtId="0" fontId="21" fillId="7" borderId="83" xfId="0" applyFont="1" applyFill="1" applyBorder="1" applyAlignment="1">
      <alignment horizontal="center" vertical="center"/>
    </xf>
    <xf numFmtId="1" fontId="21" fillId="7" borderId="83" xfId="0" applyNumberFormat="1" applyFont="1" applyFill="1" applyBorder="1" applyAlignment="1">
      <alignment horizontal="center" vertical="center"/>
    </xf>
    <xf numFmtId="1" fontId="19" fillId="7" borderId="102" xfId="0" applyNumberFormat="1" applyFont="1" applyFill="1" applyBorder="1" applyAlignment="1">
      <alignment horizontal="center" vertical="center"/>
    </xf>
    <xf numFmtId="1" fontId="21" fillId="7" borderId="99" xfId="0" applyNumberFormat="1" applyFont="1" applyFill="1" applyBorder="1" applyAlignment="1">
      <alignment horizontal="center" vertical="center"/>
    </xf>
    <xf numFmtId="1" fontId="21" fillId="7" borderId="81" xfId="0" applyNumberFormat="1" applyFont="1" applyFill="1" applyBorder="1" applyAlignment="1">
      <alignment horizontal="center" vertical="center"/>
    </xf>
    <xf numFmtId="1" fontId="21" fillId="7" borderId="93" xfId="0" applyNumberFormat="1" applyFont="1" applyFill="1" applyBorder="1" applyAlignment="1">
      <alignment horizontal="center" vertical="center"/>
    </xf>
    <xf numFmtId="1" fontId="21" fillId="7" borderId="94" xfId="0" applyNumberFormat="1" applyFont="1" applyFill="1" applyBorder="1" applyAlignment="1">
      <alignment horizontal="center" vertical="center"/>
    </xf>
    <xf numFmtId="1" fontId="19" fillId="7" borderId="108" xfId="0" applyNumberFormat="1" applyFont="1" applyFill="1" applyBorder="1" applyAlignment="1">
      <alignment horizontal="center" vertical="center"/>
    </xf>
    <xf numFmtId="1" fontId="19" fillId="7" borderId="82" xfId="0" applyNumberFormat="1" applyFont="1" applyFill="1" applyBorder="1" applyAlignment="1">
      <alignment horizontal="center" vertical="center"/>
    </xf>
    <xf numFmtId="1" fontId="21" fillId="7" borderId="105" xfId="0" applyNumberFormat="1" applyFont="1" applyFill="1" applyBorder="1" applyAlignment="1">
      <alignment horizontal="center" vertical="center"/>
    </xf>
    <xf numFmtId="2" fontId="21" fillId="7" borderId="94" xfId="0" applyNumberFormat="1" applyFont="1" applyFill="1" applyBorder="1" applyAlignment="1">
      <alignment horizontal="center" vertical="center"/>
    </xf>
    <xf numFmtId="1" fontId="4" fillId="7" borderId="81" xfId="0" applyNumberFormat="1" applyFont="1" applyFill="1" applyBorder="1" applyAlignment="1">
      <alignment horizontal="center" vertical="center"/>
    </xf>
    <xf numFmtId="0" fontId="21" fillId="8" borderId="17" xfId="0" applyFont="1" applyFill="1" applyBorder="1" applyAlignment="1">
      <alignment horizontal="center" vertical="center"/>
    </xf>
    <xf numFmtId="1" fontId="21" fillId="8" borderId="45" xfId="0" applyNumberFormat="1" applyFont="1" applyFill="1" applyBorder="1" applyAlignment="1">
      <alignment horizontal="center" vertical="center"/>
    </xf>
    <xf numFmtId="0" fontId="22" fillId="8" borderId="4" xfId="0" applyFont="1" applyFill="1" applyBorder="1" applyAlignment="1">
      <alignment horizontal="center" vertical="center"/>
    </xf>
    <xf numFmtId="0" fontId="57" fillId="0" borderId="0" xfId="0" applyFont="1"/>
    <xf numFmtId="1" fontId="21" fillId="8" borderId="23" xfId="0" applyNumberFormat="1" applyFont="1" applyFill="1" applyBorder="1" applyAlignment="1">
      <alignment horizontal="center" vertical="center"/>
    </xf>
    <xf numFmtId="0" fontId="21" fillId="8" borderId="30" xfId="0" applyFont="1" applyFill="1" applyBorder="1" applyAlignment="1">
      <alignment horizontal="center" vertical="center"/>
    </xf>
    <xf numFmtId="0" fontId="79" fillId="0" borderId="0" xfId="186" applyAlignment="1">
      <alignment horizontal="left" vertical="center"/>
    </xf>
    <xf numFmtId="0" fontId="79" fillId="0" borderId="0" xfId="186" applyAlignment="1">
      <alignment horizontal="left" vertical="top"/>
    </xf>
    <xf numFmtId="0" fontId="80" fillId="0" borderId="12" xfId="186" applyFont="1" applyBorder="1" applyAlignment="1">
      <alignment horizontal="left" vertical="center"/>
    </xf>
    <xf numFmtId="1" fontId="81" fillId="0" borderId="10" xfId="186" applyNumberFormat="1" applyFont="1" applyBorder="1" applyAlignment="1">
      <alignment horizontal="center" vertical="center"/>
    </xf>
    <xf numFmtId="1" fontId="81" fillId="0" borderId="29" xfId="186" applyNumberFormat="1" applyFont="1" applyBorder="1" applyAlignment="1">
      <alignment horizontal="center" vertical="center"/>
    </xf>
    <xf numFmtId="0" fontId="80" fillId="0" borderId="60" xfId="186" applyFont="1" applyBorder="1" applyAlignment="1">
      <alignment horizontal="left" vertical="center"/>
    </xf>
    <xf numFmtId="1" fontId="81" fillId="8" borderId="10" xfId="186" applyNumberFormat="1" applyFont="1" applyFill="1" applyBorder="1" applyAlignment="1">
      <alignment horizontal="center" vertical="center"/>
    </xf>
    <xf numFmtId="0" fontId="19" fillId="8" borderId="24" xfId="0" applyFont="1" applyFill="1" applyBorder="1" applyAlignment="1">
      <alignment vertical="center"/>
    </xf>
    <xf numFmtId="1" fontId="21" fillId="5" borderId="83" xfId="0" applyNumberFormat="1" applyFont="1" applyFill="1" applyBorder="1" applyAlignment="1">
      <alignment horizontal="center" vertical="center"/>
    </xf>
    <xf numFmtId="167" fontId="21" fillId="5" borderId="34" xfId="0" applyNumberFormat="1" applyFont="1" applyFill="1" applyBorder="1" applyAlignment="1">
      <alignment horizontal="center" vertical="center"/>
    </xf>
    <xf numFmtId="1" fontId="19" fillId="5" borderId="108" xfId="0" applyNumberFormat="1" applyFont="1" applyFill="1" applyBorder="1" applyAlignment="1">
      <alignment horizontal="center" vertical="center"/>
    </xf>
    <xf numFmtId="1" fontId="19" fillId="5" borderId="82" xfId="0" applyNumberFormat="1" applyFont="1" applyFill="1" applyBorder="1" applyAlignment="1">
      <alignment horizontal="center" vertical="center"/>
    </xf>
    <xf numFmtId="0" fontId="21" fillId="5" borderId="83" xfId="0" applyFont="1" applyFill="1" applyBorder="1" applyAlignment="1">
      <alignment horizontal="center" vertical="center"/>
    </xf>
    <xf numFmtId="0" fontId="80" fillId="0" borderId="40" xfId="186" applyFont="1" applyBorder="1" applyAlignment="1">
      <alignment horizontal="left" vertical="center"/>
    </xf>
    <xf numFmtId="1" fontId="81" fillId="8" borderId="45" xfId="186" applyNumberFormat="1" applyFont="1" applyFill="1" applyBorder="1" applyAlignment="1">
      <alignment horizontal="center" vertical="center"/>
    </xf>
    <xf numFmtId="17" fontId="17" fillId="34" borderId="13" xfId="186" applyNumberFormat="1" applyFont="1" applyFill="1" applyBorder="1" applyAlignment="1">
      <alignment horizontal="left" vertical="center"/>
    </xf>
    <xf numFmtId="1" fontId="84" fillId="34" borderId="4" xfId="186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right" vertical="center"/>
    </xf>
    <xf numFmtId="1" fontId="4" fillId="0" borderId="17" xfId="0" applyNumberFormat="1" applyFont="1" applyBorder="1" applyAlignment="1">
      <alignment horizontal="center" vertical="center"/>
    </xf>
    <xf numFmtId="1" fontId="7" fillId="7" borderId="10" xfId="0" applyNumberFormat="1" applyFont="1" applyFill="1" applyBorder="1" applyAlignment="1">
      <alignment horizontal="center" vertical="center"/>
    </xf>
    <xf numFmtId="1" fontId="4" fillId="8" borderId="39" xfId="0" applyNumberFormat="1" applyFont="1" applyFill="1" applyBorder="1" applyAlignment="1">
      <alignment horizontal="center" vertical="center"/>
    </xf>
    <xf numFmtId="1" fontId="7" fillId="5" borderId="17" xfId="0" applyNumberFormat="1" applyFont="1" applyFill="1" applyBorder="1" applyAlignment="1">
      <alignment horizontal="center" vertical="center"/>
    </xf>
    <xf numFmtId="1" fontId="4" fillId="8" borderId="33" xfId="0" applyNumberFormat="1" applyFont="1" applyFill="1" applyBorder="1" applyAlignment="1">
      <alignment horizontal="center" vertical="center"/>
    </xf>
    <xf numFmtId="1" fontId="7" fillId="8" borderId="10" xfId="0" applyNumberFormat="1" applyFont="1" applyFill="1" applyBorder="1" applyAlignment="1">
      <alignment horizontal="center" vertical="center"/>
    </xf>
    <xf numFmtId="0" fontId="5" fillId="8" borderId="10" xfId="0" applyFont="1" applyFill="1" applyBorder="1" applyAlignment="1">
      <alignment vertical="center"/>
    </xf>
    <xf numFmtId="1" fontId="7" fillId="5" borderId="10" xfId="0" applyNumberFormat="1" applyFont="1" applyFill="1" applyBorder="1" applyAlignment="1">
      <alignment horizontal="center" vertical="center"/>
    </xf>
    <xf numFmtId="0" fontId="4" fillId="8" borderId="24" xfId="0" applyFont="1" applyFill="1" applyBorder="1" applyAlignment="1">
      <alignment vertical="center"/>
    </xf>
    <xf numFmtId="1" fontId="81" fillId="8" borderId="38" xfId="186" applyNumberFormat="1" applyFont="1" applyFill="1" applyBorder="1" applyAlignment="1">
      <alignment horizontal="center" vertical="center"/>
    </xf>
    <xf numFmtId="1" fontId="80" fillId="8" borderId="71" xfId="186" applyNumberFormat="1" applyFont="1" applyFill="1" applyBorder="1" applyAlignment="1">
      <alignment horizontal="center" vertical="center"/>
    </xf>
    <xf numFmtId="1" fontId="21" fillId="8" borderId="53" xfId="0" applyNumberFormat="1" applyFont="1" applyFill="1" applyBorder="1" applyAlignment="1">
      <alignment horizontal="center" vertical="center"/>
    </xf>
    <xf numFmtId="0" fontId="80" fillId="0" borderId="52" xfId="186" applyFont="1" applyBorder="1" applyAlignment="1">
      <alignment horizontal="left" vertical="center"/>
    </xf>
    <xf numFmtId="1" fontId="4" fillId="8" borderId="17" xfId="0" applyNumberFormat="1" applyFont="1" applyFill="1" applyBorder="1" applyAlignment="1">
      <alignment horizontal="center" vertical="center"/>
    </xf>
    <xf numFmtId="1" fontId="4" fillId="8" borderId="11" xfId="0" applyNumberFormat="1" applyFont="1" applyFill="1" applyBorder="1" applyAlignment="1">
      <alignment horizontal="center" vertical="center"/>
    </xf>
    <xf numFmtId="1" fontId="19" fillId="5" borderId="73" xfId="0" applyNumberFormat="1" applyFont="1" applyFill="1" applyBorder="1" applyAlignment="1">
      <alignment horizontal="center" vertical="center"/>
    </xf>
    <xf numFmtId="0" fontId="19" fillId="0" borderId="103" xfId="0" applyFont="1" applyBorder="1"/>
    <xf numFmtId="0" fontId="21" fillId="0" borderId="98" xfId="0" applyFont="1" applyBorder="1" applyAlignment="1">
      <alignment horizontal="right"/>
    </xf>
    <xf numFmtId="1" fontId="19" fillId="7" borderId="10" xfId="0" applyNumberFormat="1" applyFont="1" applyFill="1" applyBorder="1" applyAlignment="1">
      <alignment horizontal="center" vertical="center"/>
    </xf>
    <xf numFmtId="0" fontId="80" fillId="8" borderId="47" xfId="186" applyFont="1" applyFill="1" applyBorder="1" applyAlignment="1">
      <alignment horizontal="left" vertical="center"/>
    </xf>
    <xf numFmtId="1" fontId="81" fillId="0" borderId="30" xfId="186" applyNumberFormat="1" applyFont="1" applyBorder="1" applyAlignment="1">
      <alignment horizontal="center" vertical="center"/>
    </xf>
    <xf numFmtId="1" fontId="81" fillId="0" borderId="7" xfId="186" applyNumberFormat="1" applyFont="1" applyBorder="1" applyAlignment="1">
      <alignment horizontal="center" vertical="center"/>
    </xf>
    <xf numFmtId="1" fontId="80" fillId="9" borderId="50" xfId="186" applyNumberFormat="1" applyFont="1" applyFill="1" applyBorder="1" applyAlignment="1">
      <alignment horizontal="center" vertical="center"/>
    </xf>
    <xf numFmtId="1" fontId="81" fillId="5" borderId="30" xfId="186" applyNumberFormat="1" applyFont="1" applyFill="1" applyBorder="1" applyAlignment="1">
      <alignment horizontal="center" vertical="center"/>
    </xf>
    <xf numFmtId="1" fontId="81" fillId="3" borderId="30" xfId="186" applyNumberFormat="1" applyFont="1" applyFill="1" applyBorder="1" applyAlignment="1">
      <alignment horizontal="center" vertical="center"/>
    </xf>
    <xf numFmtId="1" fontId="80" fillId="7" borderId="30" xfId="186" applyNumberFormat="1" applyFont="1" applyFill="1" applyBorder="1" applyAlignment="1">
      <alignment horizontal="center" vertical="center"/>
    </xf>
    <xf numFmtId="0" fontId="79" fillId="8" borderId="0" xfId="186" applyFill="1" applyAlignment="1">
      <alignment horizontal="left" vertical="top"/>
    </xf>
    <xf numFmtId="0" fontId="21" fillId="8" borderId="53" xfId="0" applyFont="1" applyFill="1" applyBorder="1" applyAlignment="1">
      <alignment horizontal="center" vertical="center"/>
    </xf>
    <xf numFmtId="1" fontId="81" fillId="8" borderId="30" xfId="186" applyNumberFormat="1" applyFont="1" applyFill="1" applyBorder="1" applyAlignment="1">
      <alignment horizontal="center" vertical="center"/>
    </xf>
    <xf numFmtId="1" fontId="79" fillId="8" borderId="0" xfId="186" applyNumberFormat="1" applyFill="1" applyAlignment="1">
      <alignment horizontal="left" vertical="top"/>
    </xf>
    <xf numFmtId="0" fontId="0" fillId="0" borderId="0" xfId="0" applyAlignment="1">
      <alignment horizontal="left"/>
    </xf>
    <xf numFmtId="0" fontId="20" fillId="0" borderId="10" xfId="0" applyFont="1" applyBorder="1" applyAlignment="1">
      <alignment horizontal="center" vertical="center"/>
    </xf>
    <xf numFmtId="0" fontId="22" fillId="0" borderId="31" xfId="0" applyFont="1" applyBorder="1" applyAlignment="1">
      <alignment horizontal="left" vertical="center"/>
    </xf>
    <xf numFmtId="1" fontId="19" fillId="8" borderId="17" xfId="0" applyNumberFormat="1" applyFont="1" applyFill="1" applyBorder="1" applyAlignment="1">
      <alignment horizontal="center" vertical="center"/>
    </xf>
    <xf numFmtId="169" fontId="21" fillId="8" borderId="10" xfId="0" applyNumberFormat="1" applyFont="1" applyFill="1" applyBorder="1" applyAlignment="1">
      <alignment horizontal="center" vertical="center"/>
    </xf>
    <xf numFmtId="0" fontId="4" fillId="8" borderId="3" xfId="0" applyFont="1" applyFill="1" applyBorder="1" applyAlignment="1">
      <alignment vertical="center"/>
    </xf>
    <xf numFmtId="0" fontId="19" fillId="8" borderId="7" xfId="0" applyFont="1" applyFill="1" applyBorder="1" applyAlignment="1">
      <alignment horizontal="center" vertical="center"/>
    </xf>
    <xf numFmtId="0" fontId="19" fillId="8" borderId="7" xfId="0" applyFont="1" applyFill="1" applyBorder="1" applyAlignment="1">
      <alignment vertical="center"/>
    </xf>
    <xf numFmtId="167" fontId="21" fillId="7" borderId="10" xfId="0" applyNumberFormat="1" applyFont="1" applyFill="1" applyBorder="1" applyAlignment="1">
      <alignment horizontal="center" vertical="center"/>
    </xf>
    <xf numFmtId="0" fontId="4" fillId="8" borderId="44" xfId="0" applyFont="1" applyFill="1" applyBorder="1" applyAlignment="1">
      <alignment vertical="center"/>
    </xf>
    <xf numFmtId="0" fontId="4" fillId="8" borderId="61" xfId="0" applyFont="1" applyFill="1" applyBorder="1" applyAlignment="1">
      <alignment vertical="center"/>
    </xf>
    <xf numFmtId="0" fontId="4" fillId="8" borderId="10" xfId="0" applyFont="1" applyFill="1" applyBorder="1" applyAlignment="1">
      <alignment vertical="center"/>
    </xf>
    <xf numFmtId="0" fontId="4" fillId="8" borderId="10" xfId="0" applyFont="1" applyFill="1" applyBorder="1" applyAlignment="1">
      <alignment horizontal="center" vertical="center"/>
    </xf>
    <xf numFmtId="0" fontId="46" fillId="0" borderId="10" xfId="0" applyFont="1" applyBorder="1"/>
    <xf numFmtId="0" fontId="4" fillId="8" borderId="0" xfId="0" applyFont="1" applyFill="1" applyAlignment="1">
      <alignment horizontal="center" vertical="center"/>
    </xf>
    <xf numFmtId="0" fontId="4" fillId="8" borderId="0" xfId="0" applyFont="1" applyFill="1" applyAlignment="1">
      <alignment vertical="center"/>
    </xf>
    <xf numFmtId="0" fontId="19" fillId="8" borderId="30" xfId="0" applyFont="1" applyFill="1" applyBorder="1" applyAlignment="1">
      <alignment vertical="center"/>
    </xf>
    <xf numFmtId="0" fontId="0" fillId="0" borderId="10" xfId="0" applyBorder="1" applyAlignment="1">
      <alignment horizontal="center" vertical="center"/>
    </xf>
    <xf numFmtId="1" fontId="21" fillId="8" borderId="41" xfId="0" applyNumberFormat="1" applyFont="1" applyFill="1" applyBorder="1" applyAlignment="1">
      <alignment horizontal="center" vertical="center"/>
    </xf>
    <xf numFmtId="1" fontId="21" fillId="7" borderId="45" xfId="0" applyNumberFormat="1" applyFont="1" applyFill="1" applyBorder="1" applyAlignment="1">
      <alignment horizontal="center" vertical="center"/>
    </xf>
    <xf numFmtId="1" fontId="21" fillId="8" borderId="42" xfId="0" applyNumberFormat="1" applyFont="1" applyFill="1" applyBorder="1" applyAlignment="1">
      <alignment horizontal="center" vertical="center"/>
    </xf>
    <xf numFmtId="0" fontId="19" fillId="0" borderId="1" xfId="0" applyFont="1" applyBorder="1" applyAlignment="1">
      <alignment horizontal="left" vertic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2" fontId="21" fillId="0" borderId="0" xfId="0" applyNumberFormat="1" applyFont="1" applyAlignment="1">
      <alignment horizontal="center" vertical="center"/>
    </xf>
    <xf numFmtId="0" fontId="12" fillId="0" borderId="0" xfId="0" applyFont="1" applyAlignment="1">
      <alignment horizontal="center"/>
    </xf>
    <xf numFmtId="0" fontId="0" fillId="0" borderId="0" xfId="0" applyAlignment="1">
      <alignment horizontal="right"/>
    </xf>
    <xf numFmtId="0" fontId="36" fillId="0" borderId="0" xfId="0" applyFont="1" applyAlignment="1">
      <alignment horizontal="right" vertical="center"/>
    </xf>
    <xf numFmtId="0" fontId="42" fillId="0" borderId="24" xfId="0" applyFont="1" applyBorder="1" applyAlignment="1">
      <alignment vertical="center"/>
    </xf>
    <xf numFmtId="0" fontId="27" fillId="0" borderId="10" xfId="0" applyFont="1" applyBorder="1" applyAlignment="1">
      <alignment horizontal="right" vertical="center"/>
    </xf>
    <xf numFmtId="0" fontId="27" fillId="0" borderId="37" xfId="0" applyFont="1" applyBorder="1" applyAlignment="1">
      <alignment horizontal="right" vertical="center"/>
    </xf>
    <xf numFmtId="0" fontId="25" fillId="0" borderId="49" xfId="0" applyFont="1" applyBorder="1"/>
    <xf numFmtId="0" fontId="26" fillId="0" borderId="8" xfId="0" applyFont="1" applyBorder="1"/>
    <xf numFmtId="0" fontId="0" fillId="0" borderId="10" xfId="0" applyBorder="1" applyAlignment="1">
      <alignment horizontal="right" vertical="center"/>
    </xf>
    <xf numFmtId="0" fontId="0" fillId="0" borderId="37" xfId="0" applyBorder="1" applyAlignment="1">
      <alignment horizontal="right" vertical="center"/>
    </xf>
    <xf numFmtId="0" fontId="26" fillId="0" borderId="29" xfId="0" applyFont="1" applyBorder="1"/>
    <xf numFmtId="1" fontId="0" fillId="0" borderId="10" xfId="0" applyNumberFormat="1" applyBorder="1" applyAlignment="1">
      <alignment horizontal="right" vertical="center"/>
    </xf>
    <xf numFmtId="1" fontId="0" fillId="0" borderId="37" xfId="0" applyNumberFormat="1" applyBorder="1" applyAlignment="1">
      <alignment horizontal="right" vertical="center"/>
    </xf>
    <xf numFmtId="0" fontId="26" fillId="8" borderId="29" xfId="0" applyFont="1" applyFill="1" applyBorder="1"/>
    <xf numFmtId="0" fontId="26" fillId="0" borderId="36" xfId="0" applyFont="1" applyBorder="1"/>
    <xf numFmtId="0" fontId="14" fillId="0" borderId="4" xfId="0" applyFont="1" applyBorder="1"/>
    <xf numFmtId="0" fontId="19" fillId="0" borderId="10" xfId="0" applyFont="1" applyBorder="1" applyAlignment="1">
      <alignment horizontal="right" vertical="center"/>
    </xf>
    <xf numFmtId="0" fontId="19" fillId="0" borderId="37" xfId="0" applyFont="1" applyBorder="1" applyAlignment="1">
      <alignment horizontal="right" vertical="center"/>
    </xf>
    <xf numFmtId="0" fontId="26" fillId="0" borderId="38" xfId="0" applyFont="1" applyBorder="1"/>
    <xf numFmtId="0" fontId="14" fillId="0" borderId="87" xfId="0" applyFont="1" applyBorder="1"/>
    <xf numFmtId="1" fontId="19" fillId="0" borderId="10" xfId="0" applyNumberFormat="1" applyFont="1" applyBorder="1" applyAlignment="1">
      <alignment horizontal="right" vertical="center"/>
    </xf>
    <xf numFmtId="1" fontId="19" fillId="0" borderId="37" xfId="0" applyNumberFormat="1" applyFont="1" applyBorder="1" applyAlignment="1">
      <alignment horizontal="right" vertical="center"/>
    </xf>
    <xf numFmtId="0" fontId="18" fillId="0" borderId="10" xfId="0" applyFont="1" applyBorder="1"/>
    <xf numFmtId="0" fontId="0" fillId="0" borderId="29" xfId="0" applyBorder="1"/>
    <xf numFmtId="0" fontId="14" fillId="0" borderId="10" xfId="0" applyFont="1" applyBorder="1" applyAlignment="1">
      <alignment horizontal="left" vertical="center"/>
    </xf>
    <xf numFmtId="0" fontId="17" fillId="0" borderId="4" xfId="0" applyFont="1" applyBorder="1" applyAlignment="1">
      <alignment vertical="center"/>
    </xf>
    <xf numFmtId="0" fontId="20" fillId="0" borderId="67" xfId="0" applyFont="1" applyBorder="1" applyAlignment="1">
      <alignment horizontal="center" vertical="center"/>
    </xf>
    <xf numFmtId="1" fontId="0" fillId="0" borderId="10" xfId="0" applyNumberFormat="1" applyBorder="1" applyAlignment="1">
      <alignment horizontal="right"/>
    </xf>
    <xf numFmtId="1" fontId="0" fillId="0" borderId="37" xfId="0" applyNumberFormat="1" applyBorder="1" applyAlignment="1">
      <alignment horizontal="right"/>
    </xf>
    <xf numFmtId="0" fontId="53" fillId="8" borderId="0" xfId="0" applyFont="1" applyFill="1" applyAlignment="1">
      <alignment horizontal="center" vertical="center"/>
    </xf>
    <xf numFmtId="0" fontId="14" fillId="0" borderId="0" xfId="0" applyFont="1"/>
    <xf numFmtId="0" fontId="54" fillId="8" borderId="0" xfId="0" applyFont="1" applyFill="1" applyAlignment="1">
      <alignment horizontal="center" vertical="center"/>
    </xf>
    <xf numFmtId="0" fontId="53" fillId="8" borderId="0" xfId="0" applyFont="1" applyFill="1" applyAlignment="1">
      <alignment horizontal="right"/>
    </xf>
    <xf numFmtId="0" fontId="55" fillId="8" borderId="0" xfId="0" applyFont="1" applyFill="1" applyAlignment="1">
      <alignment horizontal="center"/>
    </xf>
    <xf numFmtId="2" fontId="21" fillId="0" borderId="8" xfId="0" applyNumberFormat="1" applyFont="1" applyBorder="1" applyAlignment="1">
      <alignment horizontal="right" vertical="center"/>
    </xf>
    <xf numFmtId="2" fontId="22" fillId="0" borderId="8" xfId="0" applyNumberFormat="1" applyFont="1" applyBorder="1" applyAlignment="1">
      <alignment horizontal="right" vertical="center"/>
    </xf>
    <xf numFmtId="0" fontId="14" fillId="0" borderId="76" xfId="0" applyFont="1" applyBorder="1"/>
    <xf numFmtId="0" fontId="19" fillId="0" borderId="85" xfId="0" applyFont="1" applyBorder="1" applyAlignment="1">
      <alignment horizontal="center" vertical="center"/>
    </xf>
    <xf numFmtId="0" fontId="14" fillId="0" borderId="63" xfId="0" applyFont="1" applyBorder="1"/>
    <xf numFmtId="0" fontId="23" fillId="0" borderId="17" xfId="0" applyFont="1" applyBorder="1" applyAlignment="1">
      <alignment horizontal="center"/>
    </xf>
    <xf numFmtId="0" fontId="0" fillId="0" borderId="17" xfId="0" applyBorder="1" applyAlignment="1">
      <alignment horizontal="center"/>
    </xf>
    <xf numFmtId="1" fontId="0" fillId="0" borderId="17" xfId="0" applyNumberFormat="1" applyBorder="1" applyAlignment="1">
      <alignment horizontal="center"/>
    </xf>
    <xf numFmtId="1" fontId="23" fillId="0" borderId="17" xfId="0" applyNumberFormat="1" applyFont="1" applyBorder="1" applyAlignment="1">
      <alignment horizontal="center"/>
    </xf>
    <xf numFmtId="1" fontId="31" fillId="0" borderId="17" xfId="0" applyNumberFormat="1" applyFont="1" applyBorder="1" applyAlignment="1">
      <alignment horizontal="center" vertical="center"/>
    </xf>
    <xf numFmtId="1" fontId="18" fillId="0" borderId="17" xfId="0" applyNumberFormat="1" applyFont="1" applyBorder="1" applyAlignment="1">
      <alignment horizontal="center"/>
    </xf>
    <xf numFmtId="1" fontId="0" fillId="0" borderId="33" xfId="0" applyNumberFormat="1" applyBorder="1" applyAlignment="1">
      <alignment horizontal="center"/>
    </xf>
    <xf numFmtId="2" fontId="23" fillId="0" borderId="10" xfId="0" applyNumberFormat="1" applyFont="1" applyBorder="1" applyAlignment="1">
      <alignment horizontal="center"/>
    </xf>
    <xf numFmtId="2" fontId="23" fillId="0" borderId="17" xfId="0" applyNumberFormat="1" applyFon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2" fontId="0" fillId="0" borderId="17" xfId="0" applyNumberFormat="1" applyBorder="1" applyAlignment="1">
      <alignment horizontal="center"/>
    </xf>
    <xf numFmtId="2" fontId="31" fillId="0" borderId="10" xfId="0" applyNumberFormat="1" applyFont="1" applyBorder="1" applyAlignment="1">
      <alignment horizontal="center" vertical="center"/>
    </xf>
    <xf numFmtId="2" fontId="31" fillId="0" borderId="17" xfId="0" applyNumberFormat="1" applyFont="1" applyBorder="1" applyAlignment="1">
      <alignment horizontal="center" vertical="center"/>
    </xf>
    <xf numFmtId="2" fontId="18" fillId="0" borderId="10" xfId="0" applyNumberFormat="1" applyFont="1" applyBorder="1" applyAlignment="1">
      <alignment horizontal="center"/>
    </xf>
    <xf numFmtId="2" fontId="18" fillId="0" borderId="17" xfId="0" applyNumberFormat="1" applyFont="1" applyBorder="1" applyAlignment="1">
      <alignment horizontal="center"/>
    </xf>
    <xf numFmtId="2" fontId="0" fillId="0" borderId="33" xfId="0" applyNumberFormat="1" applyBorder="1" applyAlignment="1">
      <alignment horizontal="center"/>
    </xf>
    <xf numFmtId="0" fontId="43" fillId="8" borderId="0" xfId="0" applyFont="1" applyFill="1" applyAlignment="1">
      <alignment horizontal="center" vertical="center"/>
    </xf>
    <xf numFmtId="0" fontId="26" fillId="8" borderId="0" xfId="0" applyFont="1" applyFill="1"/>
    <xf numFmtId="0" fontId="12" fillId="8" borderId="0" xfId="0" applyFont="1" applyFill="1" applyAlignment="1">
      <alignment horizontal="center" vertical="center"/>
    </xf>
    <xf numFmtId="0" fontId="36" fillId="8" borderId="0" xfId="0" applyFont="1" applyFill="1" applyAlignment="1">
      <alignment horizontal="right" vertical="center"/>
    </xf>
    <xf numFmtId="0" fontId="0" fillId="8" borderId="0" xfId="0" applyFill="1" applyAlignment="1">
      <alignment horizontal="left"/>
    </xf>
    <xf numFmtId="0" fontId="0" fillId="8" borderId="0" xfId="0" applyFill="1" applyAlignment="1">
      <alignment horizontal="center"/>
    </xf>
    <xf numFmtId="0" fontId="27" fillId="8" borderId="0" xfId="0" applyFont="1" applyFill="1" applyAlignment="1">
      <alignment horizontal="center" vertical="center"/>
    </xf>
    <xf numFmtId="0" fontId="42" fillId="8" borderId="44" xfId="0" applyFont="1" applyFill="1" applyBorder="1" applyAlignment="1">
      <alignment vertical="center"/>
    </xf>
    <xf numFmtId="0" fontId="27" fillId="8" borderId="0" xfId="0" applyFont="1" applyFill="1" applyAlignment="1">
      <alignment horizontal="right" vertical="center"/>
    </xf>
    <xf numFmtId="0" fontId="25" fillId="8" borderId="51" xfId="0" applyFont="1" applyFill="1" applyBorder="1"/>
    <xf numFmtId="0" fontId="27" fillId="8" borderId="10" xfId="0" applyFont="1" applyFill="1" applyBorder="1" applyAlignment="1">
      <alignment horizontal="right" vertical="center"/>
    </xf>
    <xf numFmtId="169" fontId="21" fillId="8" borderId="0" xfId="0" applyNumberFormat="1" applyFont="1" applyFill="1" applyAlignment="1">
      <alignment horizontal="center" vertical="center"/>
    </xf>
    <xf numFmtId="0" fontId="26" fillId="8" borderId="34" xfId="0" applyFont="1" applyFill="1" applyBorder="1"/>
    <xf numFmtId="2" fontId="21" fillId="8" borderId="8" xfId="0" applyNumberFormat="1" applyFont="1" applyFill="1" applyBorder="1" applyAlignment="1">
      <alignment horizontal="right" vertical="center"/>
    </xf>
    <xf numFmtId="2" fontId="21" fillId="8" borderId="0" xfId="0" applyNumberFormat="1" applyFont="1" applyFill="1" applyAlignment="1">
      <alignment horizontal="center" vertical="center"/>
    </xf>
    <xf numFmtId="0" fontId="46" fillId="0" borderId="0" xfId="0" applyFont="1" applyAlignment="1">
      <alignment horizontal="center" vertical="center"/>
    </xf>
    <xf numFmtId="1" fontId="21" fillId="8" borderId="29" xfId="0" applyNumberFormat="1" applyFont="1" applyFill="1" applyBorder="1" applyAlignment="1">
      <alignment horizontal="center" vertical="center"/>
    </xf>
    <xf numFmtId="167" fontId="21" fillId="7" borderId="30" xfId="0" applyNumberFormat="1" applyFont="1" applyFill="1" applyBorder="1" applyAlignment="1">
      <alignment horizontal="center" vertical="center"/>
    </xf>
    <xf numFmtId="2" fontId="7" fillId="7" borderId="10" xfId="0" applyNumberFormat="1" applyFont="1" applyFill="1" applyBorder="1" applyAlignment="1">
      <alignment horizontal="center" vertical="center"/>
    </xf>
    <xf numFmtId="1" fontId="7" fillId="7" borderId="29" xfId="0" applyNumberFormat="1" applyFont="1" applyFill="1" applyBorder="1" applyAlignment="1">
      <alignment horizontal="center" vertical="center"/>
    </xf>
    <xf numFmtId="0" fontId="56" fillId="8" borderId="0" xfId="0" applyFont="1" applyFill="1"/>
    <xf numFmtId="1" fontId="0" fillId="0" borderId="10" xfId="0" applyNumberFormat="1" applyBorder="1" applyAlignment="1">
      <alignment horizontal="center" vertical="center"/>
    </xf>
    <xf numFmtId="1" fontId="81" fillId="0" borderId="38" xfId="186" applyNumberFormat="1" applyFont="1" applyBorder="1" applyAlignment="1">
      <alignment horizontal="center" vertical="center"/>
    </xf>
    <xf numFmtId="167" fontId="21" fillId="5" borderId="10" xfId="0" applyNumberFormat="1" applyFont="1" applyFill="1" applyBorder="1" applyAlignment="1">
      <alignment horizontal="center" vertical="center"/>
    </xf>
    <xf numFmtId="1" fontId="19" fillId="5" borderId="1" xfId="0" applyNumberFormat="1" applyFont="1" applyFill="1" applyBorder="1" applyAlignment="1">
      <alignment horizontal="center" vertical="center"/>
    </xf>
    <xf numFmtId="167" fontId="4" fillId="5" borderId="67" xfId="0" applyNumberFormat="1" applyFont="1" applyFill="1" applyBorder="1" applyAlignment="1">
      <alignment horizontal="center" vertical="center"/>
    </xf>
    <xf numFmtId="167" fontId="21" fillId="5" borderId="37" xfId="0" applyNumberFormat="1" applyFont="1" applyFill="1" applyBorder="1" applyAlignment="1">
      <alignment horizontal="center" vertical="center"/>
    </xf>
    <xf numFmtId="1" fontId="38" fillId="0" borderId="10" xfId="0" applyNumberFormat="1" applyFont="1" applyBorder="1" applyAlignment="1">
      <alignment horizontal="center" vertical="center"/>
    </xf>
    <xf numFmtId="1" fontId="38" fillId="5" borderId="10" xfId="0" applyNumberFormat="1" applyFont="1" applyFill="1" applyBorder="1" applyAlignment="1">
      <alignment horizontal="center" vertical="center"/>
    </xf>
    <xf numFmtId="0" fontId="0" fillId="5" borderId="17" xfId="0" applyFill="1" applyBorder="1" applyAlignment="1">
      <alignment horizontal="center"/>
    </xf>
    <xf numFmtId="1" fontId="0" fillId="5" borderId="17" xfId="0" applyNumberFormat="1" applyFill="1" applyBorder="1" applyAlignment="1">
      <alignment horizontal="center"/>
    </xf>
    <xf numFmtId="1" fontId="23" fillId="5" borderId="17" xfId="0" applyNumberFormat="1" applyFont="1" applyFill="1" applyBorder="1" applyAlignment="1">
      <alignment horizontal="center"/>
    </xf>
    <xf numFmtId="0" fontId="46" fillId="8" borderId="26" xfId="0" applyFont="1" applyFill="1" applyBorder="1" applyAlignment="1">
      <alignment horizontal="center" vertical="center"/>
    </xf>
    <xf numFmtId="2" fontId="21" fillId="8" borderId="53" xfId="0" applyNumberFormat="1" applyFont="1" applyFill="1" applyBorder="1" applyAlignment="1">
      <alignment horizontal="center" vertical="center"/>
    </xf>
    <xf numFmtId="1" fontId="23" fillId="8" borderId="17" xfId="0" applyNumberFormat="1" applyFont="1" applyFill="1" applyBorder="1" applyAlignment="1">
      <alignment horizontal="center"/>
    </xf>
    <xf numFmtId="0" fontId="7" fillId="5" borderId="32" xfId="0" applyFont="1" applyFill="1" applyBorder="1" applyAlignment="1">
      <alignment horizontal="left" vertical="center" wrapText="1"/>
    </xf>
    <xf numFmtId="167" fontId="20" fillId="8" borderId="53" xfId="0" applyNumberFormat="1" applyFont="1" applyFill="1" applyBorder="1" applyAlignment="1">
      <alignment horizontal="center" vertical="center"/>
    </xf>
    <xf numFmtId="0" fontId="49" fillId="0" borderId="10" xfId="0" applyFont="1" applyBorder="1" applyAlignment="1">
      <alignment horizontal="center" vertical="center"/>
    </xf>
    <xf numFmtId="1" fontId="46" fillId="0" borderId="10" xfId="0" applyNumberFormat="1" applyFont="1" applyBorder="1" applyAlignment="1">
      <alignment horizontal="center" vertical="center"/>
    </xf>
    <xf numFmtId="1" fontId="46" fillId="7" borderId="10" xfId="0" applyNumberFormat="1" applyFont="1" applyFill="1" applyBorder="1" applyAlignment="1">
      <alignment horizontal="center" vertical="center"/>
    </xf>
    <xf numFmtId="1" fontId="21" fillId="8" borderId="63" xfId="0" applyNumberFormat="1" applyFont="1" applyFill="1" applyBorder="1" applyAlignment="1">
      <alignment horizontal="center" vertical="center"/>
    </xf>
    <xf numFmtId="1" fontId="21" fillId="7" borderId="12" xfId="0" applyNumberFormat="1" applyFont="1" applyFill="1" applyBorder="1" applyAlignment="1">
      <alignment horizontal="center" vertical="center"/>
    </xf>
    <xf numFmtId="0" fontId="7" fillId="8" borderId="30" xfId="0" applyFont="1" applyFill="1" applyBorder="1" applyAlignment="1">
      <alignment vertical="center"/>
    </xf>
    <xf numFmtId="1" fontId="21" fillId="8" borderId="72" xfId="0" applyNumberFormat="1" applyFont="1" applyFill="1" applyBorder="1" applyAlignment="1">
      <alignment horizontal="center" vertical="center"/>
    </xf>
    <xf numFmtId="1" fontId="19" fillId="8" borderId="21" xfId="0" applyNumberFormat="1" applyFont="1" applyFill="1" applyBorder="1" applyAlignment="1">
      <alignment horizontal="center" vertical="center"/>
    </xf>
    <xf numFmtId="1" fontId="21" fillId="7" borderId="41" xfId="0" applyNumberFormat="1" applyFont="1" applyFill="1" applyBorder="1" applyAlignment="1">
      <alignment horizontal="center" vertical="center"/>
    </xf>
    <xf numFmtId="1" fontId="19" fillId="7" borderId="23" xfId="0" applyNumberFormat="1" applyFont="1" applyFill="1" applyBorder="1" applyAlignment="1">
      <alignment horizontal="center" vertical="center"/>
    </xf>
    <xf numFmtId="2" fontId="21" fillId="7" borderId="10" xfId="0" applyNumberFormat="1" applyFont="1" applyFill="1" applyBorder="1" applyAlignment="1">
      <alignment horizontal="center" vertical="center"/>
    </xf>
    <xf numFmtId="1" fontId="22" fillId="7" borderId="10" xfId="0" applyNumberFormat="1" applyFont="1" applyFill="1" applyBorder="1" applyAlignment="1">
      <alignment horizontal="center" vertical="center"/>
    </xf>
    <xf numFmtId="2" fontId="21" fillId="5" borderId="10" xfId="0" applyNumberFormat="1" applyFont="1" applyFill="1" applyBorder="1" applyAlignment="1">
      <alignment horizontal="center" vertical="center"/>
    </xf>
    <xf numFmtId="1" fontId="22" fillId="5" borderId="10" xfId="0" applyNumberFormat="1" applyFont="1" applyFill="1" applyBorder="1" applyAlignment="1">
      <alignment horizontal="center" vertical="center"/>
    </xf>
    <xf numFmtId="169" fontId="21" fillId="7" borderId="31" xfId="0" applyNumberFormat="1" applyFont="1" applyFill="1" applyBorder="1" applyAlignment="1">
      <alignment horizontal="center" vertical="center"/>
    </xf>
    <xf numFmtId="169" fontId="21" fillId="5" borderId="31" xfId="0" applyNumberFormat="1" applyFont="1" applyFill="1" applyBorder="1" applyAlignment="1">
      <alignment horizontal="center" vertical="center"/>
    </xf>
    <xf numFmtId="169" fontId="21" fillId="7" borderId="10" xfId="0" applyNumberFormat="1" applyFont="1" applyFill="1" applyBorder="1" applyAlignment="1">
      <alignment horizontal="center" vertical="center"/>
    </xf>
    <xf numFmtId="169" fontId="21" fillId="5" borderId="10" xfId="0" applyNumberFormat="1" applyFont="1" applyFill="1" applyBorder="1" applyAlignment="1">
      <alignment horizontal="center" vertical="center"/>
    </xf>
    <xf numFmtId="2" fontId="21" fillId="5" borderId="31" xfId="0" applyNumberFormat="1" applyFont="1" applyFill="1" applyBorder="1" applyAlignment="1">
      <alignment horizontal="center" vertical="center"/>
    </xf>
    <xf numFmtId="2" fontId="0" fillId="8" borderId="10" xfId="0" applyNumberFormat="1" applyFill="1" applyBorder="1" applyAlignment="1">
      <alignment horizontal="center"/>
    </xf>
    <xf numFmtId="2" fontId="18" fillId="8" borderId="10" xfId="0" applyNumberFormat="1" applyFont="1" applyFill="1" applyBorder="1" applyAlignment="1">
      <alignment horizontal="center"/>
    </xf>
    <xf numFmtId="2" fontId="23" fillId="8" borderId="10" xfId="0" applyNumberFormat="1" applyFont="1" applyFill="1" applyBorder="1" applyAlignment="1">
      <alignment horizontal="center"/>
    </xf>
    <xf numFmtId="2" fontId="0" fillId="8" borderId="23" xfId="0" applyNumberFormat="1" applyFill="1" applyBorder="1" applyAlignment="1">
      <alignment horizontal="center"/>
    </xf>
    <xf numFmtId="169" fontId="21" fillId="8" borderId="33" xfId="0" applyNumberFormat="1" applyFont="1" applyFill="1" applyBorder="1" applyAlignment="1">
      <alignment horizontal="center" vertical="center"/>
    </xf>
    <xf numFmtId="0" fontId="88" fillId="0" borderId="0" xfId="0" applyFont="1"/>
    <xf numFmtId="167" fontId="21" fillId="7" borderId="29" xfId="0" applyNumberFormat="1" applyFont="1" applyFill="1" applyBorder="1" applyAlignment="1">
      <alignment horizontal="center" vertical="center"/>
    </xf>
    <xf numFmtId="167" fontId="21" fillId="5" borderId="29" xfId="0" applyNumberFormat="1" applyFont="1" applyFill="1" applyBorder="1" applyAlignment="1">
      <alignment horizontal="center" vertical="center"/>
    </xf>
    <xf numFmtId="169" fontId="21" fillId="7" borderId="59" xfId="0" applyNumberFormat="1" applyFont="1" applyFill="1" applyBorder="1" applyAlignment="1">
      <alignment horizontal="center" vertical="center"/>
    </xf>
    <xf numFmtId="169" fontId="21" fillId="5" borderId="59" xfId="0" applyNumberFormat="1" applyFont="1" applyFill="1" applyBorder="1" applyAlignment="1">
      <alignment horizontal="center" vertical="center"/>
    </xf>
    <xf numFmtId="169" fontId="21" fillId="7" borderId="32" xfId="0" applyNumberFormat="1" applyFont="1" applyFill="1" applyBorder="1" applyAlignment="1">
      <alignment horizontal="center" vertical="center"/>
    </xf>
    <xf numFmtId="169" fontId="21" fillId="5" borderId="32" xfId="0" applyNumberFormat="1" applyFont="1" applyFill="1" applyBorder="1" applyAlignment="1">
      <alignment horizontal="center" vertical="center"/>
    </xf>
    <xf numFmtId="167" fontId="21" fillId="8" borderId="6" xfId="0" applyNumberFormat="1" applyFont="1" applyFill="1" applyBorder="1" applyAlignment="1">
      <alignment horizontal="center" vertical="center"/>
    </xf>
    <xf numFmtId="1" fontId="46" fillId="8" borderId="10" xfId="0" applyNumberFormat="1" applyFont="1" applyFill="1" applyBorder="1" applyAlignment="1">
      <alignment horizontal="center" vertical="center"/>
    </xf>
    <xf numFmtId="169" fontId="21" fillId="8" borderId="37" xfId="0" applyNumberFormat="1" applyFont="1" applyFill="1" applyBorder="1" applyAlignment="1">
      <alignment horizontal="center" vertical="center"/>
    </xf>
    <xf numFmtId="169" fontId="21" fillId="8" borderId="17" xfId="0" applyNumberFormat="1" applyFont="1" applyFill="1" applyBorder="1" applyAlignment="1">
      <alignment horizontal="center" vertical="center"/>
    </xf>
    <xf numFmtId="0" fontId="45" fillId="8" borderId="0" xfId="0" applyFont="1" applyFill="1" applyAlignment="1">
      <alignment horizontal="center" vertical="center"/>
    </xf>
    <xf numFmtId="0" fontId="22" fillId="8" borderId="28" xfId="0" applyFont="1" applyFill="1" applyBorder="1" applyAlignment="1">
      <alignment horizontal="center" vertical="center"/>
    </xf>
    <xf numFmtId="1" fontId="19" fillId="8" borderId="11" xfId="0" applyNumberFormat="1" applyFont="1" applyFill="1" applyBorder="1" applyAlignment="1">
      <alignment horizontal="center" vertical="center"/>
    </xf>
    <xf numFmtId="0" fontId="49" fillId="8" borderId="10" xfId="0" applyFont="1" applyFill="1" applyBorder="1" applyAlignment="1">
      <alignment horizontal="center" vertical="center"/>
    </xf>
    <xf numFmtId="2" fontId="22" fillId="7" borderId="10" xfId="0" applyNumberFormat="1" applyFont="1" applyFill="1" applyBorder="1" applyAlignment="1">
      <alignment horizontal="center" vertical="center"/>
    </xf>
    <xf numFmtId="0" fontId="7" fillId="8" borderId="10" xfId="0" applyFont="1" applyFill="1" applyBorder="1" applyAlignment="1">
      <alignment horizontal="center" vertical="center"/>
    </xf>
    <xf numFmtId="1" fontId="7" fillId="5" borderId="30" xfId="0" applyNumberFormat="1" applyFont="1" applyFill="1" applyBorder="1" applyAlignment="1">
      <alignment horizontal="center" vertical="center"/>
    </xf>
    <xf numFmtId="1" fontId="4" fillId="5" borderId="41" xfId="0" applyNumberFormat="1" applyFont="1" applyFill="1" applyBorder="1" applyAlignment="1">
      <alignment horizontal="center" vertical="center"/>
    </xf>
    <xf numFmtId="167" fontId="7" fillId="5" borderId="10" xfId="0" applyNumberFormat="1" applyFont="1" applyFill="1" applyBorder="1" applyAlignment="1">
      <alignment horizontal="center" vertical="center"/>
    </xf>
    <xf numFmtId="167" fontId="7" fillId="5" borderId="30" xfId="0" applyNumberFormat="1" applyFont="1" applyFill="1" applyBorder="1" applyAlignment="1">
      <alignment horizontal="center" vertical="center"/>
    </xf>
    <xf numFmtId="1" fontId="7" fillId="5" borderId="29" xfId="0" applyNumberFormat="1" applyFont="1" applyFill="1" applyBorder="1" applyAlignment="1">
      <alignment horizontal="center" vertical="center"/>
    </xf>
    <xf numFmtId="2" fontId="21" fillId="8" borderId="31" xfId="0" applyNumberFormat="1" applyFont="1" applyFill="1" applyBorder="1" applyAlignment="1">
      <alignment horizontal="center" vertical="center"/>
    </xf>
    <xf numFmtId="1" fontId="21" fillId="8" borderId="34" xfId="0" applyNumberFormat="1" applyFont="1" applyFill="1" applyBorder="1" applyAlignment="1">
      <alignment horizontal="center" vertical="center"/>
    </xf>
    <xf numFmtId="0" fontId="29" fillId="8" borderId="44" xfId="0" applyFont="1" applyFill="1" applyBorder="1" applyAlignment="1">
      <alignment vertical="center"/>
    </xf>
    <xf numFmtId="2" fontId="4" fillId="8" borderId="33" xfId="0" applyNumberFormat="1" applyFont="1" applyFill="1" applyBorder="1" applyAlignment="1">
      <alignment horizontal="center" vertical="center"/>
    </xf>
    <xf numFmtId="1" fontId="7" fillId="8" borderId="42" xfId="0" applyNumberFormat="1" applyFont="1" applyFill="1" applyBorder="1" applyAlignment="1">
      <alignment horizontal="center" vertical="center"/>
    </xf>
    <xf numFmtId="167" fontId="21" fillId="8" borderId="53" xfId="0" applyNumberFormat="1" applyFont="1" applyFill="1" applyBorder="1" applyAlignment="1">
      <alignment horizontal="center" vertical="center"/>
    </xf>
    <xf numFmtId="1" fontId="20" fillId="8" borderId="42" xfId="0" applyNumberFormat="1" applyFont="1" applyFill="1" applyBorder="1" applyAlignment="1">
      <alignment horizontal="center" vertical="center"/>
    </xf>
    <xf numFmtId="2" fontId="19" fillId="0" borderId="72" xfId="0" quotePrefix="1" applyNumberFormat="1" applyFont="1" applyBorder="1" applyAlignment="1">
      <alignment horizontal="center" vertical="center"/>
    </xf>
    <xf numFmtId="0" fontId="20" fillId="0" borderId="107" xfId="0" applyFont="1" applyBorder="1" applyAlignment="1">
      <alignment vertical="center"/>
    </xf>
    <xf numFmtId="0" fontId="19" fillId="0" borderId="109" xfId="0" applyFont="1" applyBorder="1" applyAlignment="1">
      <alignment horizontal="left" vertical="center"/>
    </xf>
    <xf numFmtId="2" fontId="19" fillId="0" borderId="33" xfId="0" quotePrefix="1" applyNumberFormat="1" applyFont="1" applyBorder="1" applyAlignment="1">
      <alignment horizontal="center" vertical="center"/>
    </xf>
    <xf numFmtId="0" fontId="4" fillId="0" borderId="107" xfId="0" applyFont="1" applyBorder="1" applyAlignment="1">
      <alignment vertical="center"/>
    </xf>
    <xf numFmtId="0" fontId="4" fillId="0" borderId="109" xfId="0" applyFont="1" applyBorder="1" applyAlignment="1">
      <alignment horizontal="left" vertical="center"/>
    </xf>
    <xf numFmtId="0" fontId="30" fillId="8" borderId="90" xfId="0" applyFont="1" applyFill="1" applyBorder="1" applyAlignment="1">
      <alignment vertical="center"/>
    </xf>
    <xf numFmtId="0" fontId="30" fillId="8" borderId="6" xfId="0" applyFont="1" applyFill="1" applyBorder="1" applyAlignment="1">
      <alignment vertical="center"/>
    </xf>
    <xf numFmtId="0" fontId="4" fillId="0" borderId="75" xfId="0" applyFont="1" applyBorder="1" applyAlignment="1">
      <alignment vertical="center"/>
    </xf>
    <xf numFmtId="1" fontId="21" fillId="7" borderId="18" xfId="0" applyNumberFormat="1" applyFont="1" applyFill="1" applyBorder="1" applyAlignment="1">
      <alignment horizontal="center" vertical="center"/>
    </xf>
    <xf numFmtId="2" fontId="22" fillId="7" borderId="12" xfId="0" applyNumberFormat="1" applyFont="1" applyFill="1" applyBorder="1" applyAlignment="1">
      <alignment horizontal="center" vertical="center"/>
    </xf>
    <xf numFmtId="1" fontId="7" fillId="7" borderId="18" xfId="0" applyNumberFormat="1" applyFont="1" applyFill="1" applyBorder="1" applyAlignment="1">
      <alignment horizontal="center" vertical="center"/>
    </xf>
    <xf numFmtId="2" fontId="4" fillId="7" borderId="20" xfId="0" applyNumberFormat="1" applyFont="1" applyFill="1" applyBorder="1" applyAlignment="1">
      <alignment horizontal="center" vertical="center"/>
    </xf>
    <xf numFmtId="167" fontId="22" fillId="7" borderId="12" xfId="0" applyNumberFormat="1" applyFont="1" applyFill="1" applyBorder="1" applyAlignment="1">
      <alignment horizontal="center" vertical="center"/>
    </xf>
    <xf numFmtId="167" fontId="19" fillId="7" borderId="60" xfId="0" quotePrefix="1" applyNumberFormat="1" applyFont="1" applyFill="1" applyBorder="1" applyAlignment="1">
      <alignment horizontal="center" vertical="center"/>
    </xf>
    <xf numFmtId="1" fontId="20" fillId="7" borderId="18" xfId="0" applyNumberFormat="1" applyFont="1" applyFill="1" applyBorder="1" applyAlignment="1">
      <alignment horizontal="center" vertical="center"/>
    </xf>
    <xf numFmtId="167" fontId="20" fillId="7" borderId="22" xfId="0" applyNumberFormat="1" applyFont="1" applyFill="1" applyBorder="1" applyAlignment="1">
      <alignment horizontal="center" vertical="center"/>
    </xf>
    <xf numFmtId="1" fontId="4" fillId="7" borderId="20" xfId="0" applyNumberFormat="1" applyFont="1" applyFill="1" applyBorder="1" applyAlignment="1">
      <alignment horizontal="center" vertical="center"/>
    </xf>
    <xf numFmtId="1" fontId="21" fillId="5" borderId="18" xfId="0" applyNumberFormat="1" applyFont="1" applyFill="1" applyBorder="1" applyAlignment="1">
      <alignment horizontal="center" vertical="center"/>
    </xf>
    <xf numFmtId="2" fontId="22" fillId="5" borderId="12" xfId="0" applyNumberFormat="1" applyFont="1" applyFill="1" applyBorder="1" applyAlignment="1">
      <alignment horizontal="center" vertical="center"/>
    </xf>
    <xf numFmtId="1" fontId="21" fillId="5" borderId="12" xfId="0" applyNumberFormat="1" applyFont="1" applyFill="1" applyBorder="1" applyAlignment="1">
      <alignment horizontal="center" vertical="center"/>
    </xf>
    <xf numFmtId="1" fontId="7" fillId="5" borderId="18" xfId="0" applyNumberFormat="1" applyFont="1" applyFill="1" applyBorder="1" applyAlignment="1">
      <alignment horizontal="center" vertical="center"/>
    </xf>
    <xf numFmtId="2" fontId="4" fillId="5" borderId="20" xfId="0" applyNumberFormat="1" applyFont="1" applyFill="1" applyBorder="1" applyAlignment="1">
      <alignment horizontal="center" vertical="center"/>
    </xf>
    <xf numFmtId="167" fontId="22" fillId="5" borderId="12" xfId="0" applyNumberFormat="1" applyFont="1" applyFill="1" applyBorder="1" applyAlignment="1">
      <alignment horizontal="center" vertical="center"/>
    </xf>
    <xf numFmtId="167" fontId="19" fillId="5" borderId="60" xfId="0" quotePrefix="1" applyNumberFormat="1" applyFont="1" applyFill="1" applyBorder="1" applyAlignment="1">
      <alignment horizontal="center" vertical="center"/>
    </xf>
    <xf numFmtId="1" fontId="20" fillId="5" borderId="18" xfId="0" applyNumberFormat="1" applyFont="1" applyFill="1" applyBorder="1" applyAlignment="1">
      <alignment horizontal="center" vertical="center"/>
    </xf>
    <xf numFmtId="167" fontId="20" fillId="5" borderId="22" xfId="0" applyNumberFormat="1" applyFont="1" applyFill="1" applyBorder="1" applyAlignment="1">
      <alignment horizontal="center" vertical="center"/>
    </xf>
    <xf numFmtId="1" fontId="4" fillId="5" borderId="20" xfId="0" applyNumberFormat="1" applyFont="1" applyFill="1" applyBorder="1" applyAlignment="1">
      <alignment horizontal="center" vertical="center"/>
    </xf>
    <xf numFmtId="167" fontId="21" fillId="7" borderId="8" xfId="0" applyNumberFormat="1" applyFont="1" applyFill="1" applyBorder="1" applyAlignment="1">
      <alignment horizontal="center" vertical="center"/>
    </xf>
    <xf numFmtId="167" fontId="21" fillId="5" borderId="8" xfId="0" applyNumberFormat="1" applyFont="1" applyFill="1" applyBorder="1" applyAlignment="1">
      <alignment horizontal="center" vertical="center"/>
    </xf>
    <xf numFmtId="1" fontId="21" fillId="7" borderId="29" xfId="0" applyNumberFormat="1" applyFont="1" applyFill="1" applyBorder="1" applyAlignment="1">
      <alignment horizontal="center" vertical="center"/>
    </xf>
    <xf numFmtId="9" fontId="46" fillId="0" borderId="10" xfId="22" applyFont="1" applyBorder="1" applyAlignment="1">
      <alignment horizontal="center" vertical="center"/>
    </xf>
    <xf numFmtId="9" fontId="46" fillId="7" borderId="10" xfId="22" applyFont="1" applyFill="1" applyBorder="1" applyAlignment="1">
      <alignment horizontal="center" vertical="center"/>
    </xf>
    <xf numFmtId="9" fontId="46" fillId="5" borderId="10" xfId="22" applyFont="1" applyFill="1" applyBorder="1" applyAlignment="1">
      <alignment horizontal="center" vertical="center"/>
    </xf>
    <xf numFmtId="0" fontId="0" fillId="8" borderId="10" xfId="0" applyFill="1" applyBorder="1"/>
    <xf numFmtId="9" fontId="46" fillId="8" borderId="10" xfId="22" applyFont="1" applyFill="1" applyBorder="1" applyAlignment="1">
      <alignment horizontal="center" vertical="center"/>
    </xf>
    <xf numFmtId="1" fontId="46" fillId="8" borderId="10" xfId="22" applyNumberFormat="1" applyFont="1" applyFill="1" applyBorder="1" applyAlignment="1">
      <alignment horizontal="center" vertical="center"/>
    </xf>
    <xf numFmtId="1" fontId="46" fillId="7" borderId="10" xfId="22" applyNumberFormat="1" applyFont="1" applyFill="1" applyBorder="1" applyAlignment="1">
      <alignment horizontal="center" vertical="center"/>
    </xf>
    <xf numFmtId="1" fontId="46" fillId="5" borderId="10" xfId="22" applyNumberFormat="1" applyFont="1" applyFill="1" applyBorder="1" applyAlignment="1">
      <alignment horizontal="center" vertical="center"/>
    </xf>
    <xf numFmtId="1" fontId="46" fillId="5" borderId="10" xfId="0" applyNumberFormat="1" applyFont="1" applyFill="1" applyBorder="1" applyAlignment="1">
      <alignment horizontal="center" vertical="center"/>
    </xf>
    <xf numFmtId="0" fontId="36" fillId="8" borderId="0" xfId="0" applyFont="1" applyFill="1" applyAlignment="1">
      <alignment horizontal="center" vertical="center"/>
    </xf>
    <xf numFmtId="1" fontId="46" fillId="8" borderId="0" xfId="0" applyNumberFormat="1" applyFont="1" applyFill="1" applyAlignment="1">
      <alignment horizontal="center" vertical="center"/>
    </xf>
    <xf numFmtId="1" fontId="21" fillId="8" borderId="6" xfId="0" applyNumberFormat="1" applyFont="1" applyFill="1" applyBorder="1" applyAlignment="1">
      <alignment horizontal="center" vertical="center"/>
    </xf>
    <xf numFmtId="0" fontId="22" fillId="8" borderId="10" xfId="0" applyFont="1" applyFill="1" applyBorder="1" applyAlignment="1">
      <alignment horizontal="left" vertical="center"/>
    </xf>
    <xf numFmtId="0" fontId="20" fillId="8" borderId="10" xfId="0" applyFont="1" applyFill="1" applyBorder="1" applyAlignment="1">
      <alignment horizontal="center" vertical="center"/>
    </xf>
    <xf numFmtId="1" fontId="21" fillId="8" borderId="24" xfId="0" applyNumberFormat="1" applyFont="1" applyFill="1" applyBorder="1" applyAlignment="1">
      <alignment horizontal="center" vertical="center"/>
    </xf>
    <xf numFmtId="167" fontId="21" fillId="5" borderId="30" xfId="0" applyNumberFormat="1" applyFont="1" applyFill="1" applyBorder="1" applyAlignment="1">
      <alignment horizontal="center" vertical="center"/>
    </xf>
    <xf numFmtId="167" fontId="21" fillId="8" borderId="29" xfId="0" applyNumberFormat="1" applyFont="1" applyFill="1" applyBorder="1" applyAlignment="1">
      <alignment horizontal="center" vertical="center"/>
    </xf>
    <xf numFmtId="2" fontId="21" fillId="8" borderId="29" xfId="0" applyNumberFormat="1" applyFont="1" applyFill="1" applyBorder="1" applyAlignment="1">
      <alignment horizontal="center" vertical="center"/>
    </xf>
    <xf numFmtId="167" fontId="7" fillId="7" borderId="17" xfId="0" applyNumberFormat="1" applyFont="1" applyFill="1" applyBorder="1" applyAlignment="1">
      <alignment horizontal="center" vertical="center"/>
    </xf>
    <xf numFmtId="1" fontId="12" fillId="6" borderId="17" xfId="0" applyNumberFormat="1" applyFont="1" applyFill="1" applyBorder="1" applyAlignment="1">
      <alignment horizontal="center" vertical="center"/>
    </xf>
    <xf numFmtId="0" fontId="0" fillId="6" borderId="0" xfId="0" applyFill="1"/>
    <xf numFmtId="1" fontId="21" fillId="6" borderId="17" xfId="0" applyNumberFormat="1" applyFont="1" applyFill="1" applyBorder="1" applyAlignment="1">
      <alignment horizontal="center" vertical="center"/>
    </xf>
    <xf numFmtId="1" fontId="19" fillId="8" borderId="1" xfId="0" applyNumberFormat="1" applyFont="1" applyFill="1" applyBorder="1" applyAlignment="1">
      <alignment horizontal="center" vertical="center"/>
    </xf>
    <xf numFmtId="1" fontId="21" fillId="5" borderId="8" xfId="0" applyNumberFormat="1" applyFont="1" applyFill="1" applyBorder="1" applyAlignment="1">
      <alignment horizontal="center" vertical="center"/>
    </xf>
    <xf numFmtId="1" fontId="22" fillId="8" borderId="10" xfId="0" applyNumberFormat="1" applyFont="1" applyFill="1" applyBorder="1" applyAlignment="1">
      <alignment horizontal="center" vertical="center"/>
    </xf>
    <xf numFmtId="1" fontId="21" fillId="6" borderId="42" xfId="0" applyNumberFormat="1" applyFont="1" applyFill="1" applyBorder="1" applyAlignment="1">
      <alignment horizontal="center" vertical="center"/>
    </xf>
    <xf numFmtId="1" fontId="21" fillId="6" borderId="33" xfId="0" applyNumberFormat="1" applyFont="1" applyFill="1" applyBorder="1" applyAlignment="1">
      <alignment horizontal="center" vertical="center"/>
    </xf>
    <xf numFmtId="1" fontId="19" fillId="6" borderId="11" xfId="0" applyNumberFormat="1" applyFont="1" applyFill="1" applyBorder="1" applyAlignment="1">
      <alignment horizontal="center" vertical="center"/>
    </xf>
    <xf numFmtId="167" fontId="19" fillId="6" borderId="11" xfId="0" applyNumberFormat="1" applyFont="1" applyFill="1" applyBorder="1" applyAlignment="1">
      <alignment horizontal="center" vertical="center"/>
    </xf>
    <xf numFmtId="167" fontId="21" fillId="6" borderId="34" xfId="0" applyNumberFormat="1" applyFont="1" applyFill="1" applyBorder="1" applyAlignment="1">
      <alignment horizontal="center" vertical="center"/>
    </xf>
    <xf numFmtId="1" fontId="19" fillId="6" borderId="1" xfId="0" applyNumberFormat="1" applyFont="1" applyFill="1" applyBorder="1" applyAlignment="1">
      <alignment horizontal="center" vertical="center"/>
    </xf>
    <xf numFmtId="2" fontId="21" fillId="6" borderId="17" xfId="0" applyNumberFormat="1" applyFont="1" applyFill="1" applyBorder="1" applyAlignment="1">
      <alignment horizontal="center" vertical="center"/>
    </xf>
    <xf numFmtId="1" fontId="38" fillId="6" borderId="10" xfId="0" applyNumberFormat="1" applyFont="1" applyFill="1" applyBorder="1" applyAlignment="1">
      <alignment horizontal="center" vertical="center"/>
    </xf>
    <xf numFmtId="1" fontId="21" fillId="6" borderId="10" xfId="0" applyNumberFormat="1" applyFont="1" applyFill="1" applyBorder="1" applyAlignment="1">
      <alignment horizontal="center" vertical="center"/>
    </xf>
    <xf numFmtId="167" fontId="21" fillId="6" borderId="10" xfId="0" applyNumberFormat="1" applyFont="1" applyFill="1" applyBorder="1" applyAlignment="1">
      <alignment horizontal="center" vertical="center"/>
    </xf>
    <xf numFmtId="0" fontId="90" fillId="0" borderId="0" xfId="0" applyFont="1" applyAlignment="1">
      <alignment horizontal="center" vertical="center"/>
    </xf>
    <xf numFmtId="0" fontId="22" fillId="6" borderId="28" xfId="0" applyFont="1" applyFill="1" applyBorder="1" applyAlignment="1">
      <alignment horizontal="center" vertical="center"/>
    </xf>
    <xf numFmtId="1" fontId="19" fillId="6" borderId="53" xfId="0" applyNumberFormat="1" applyFont="1" applyFill="1" applyBorder="1" applyAlignment="1">
      <alignment horizontal="center" vertical="center"/>
    </xf>
    <xf numFmtId="1" fontId="21" fillId="6" borderId="29" xfId="0" applyNumberFormat="1" applyFont="1" applyFill="1" applyBorder="1" applyAlignment="1">
      <alignment horizontal="center" vertical="center"/>
    </xf>
    <xf numFmtId="1" fontId="46" fillId="6" borderId="10" xfId="0" applyNumberFormat="1" applyFont="1" applyFill="1" applyBorder="1" applyAlignment="1">
      <alignment horizontal="center" vertical="center"/>
    </xf>
    <xf numFmtId="167" fontId="21" fillId="6" borderId="19" xfId="0" applyNumberFormat="1" applyFont="1" applyFill="1" applyBorder="1" applyAlignment="1">
      <alignment horizontal="center" vertical="center"/>
    </xf>
    <xf numFmtId="167" fontId="21" fillId="6" borderId="30" xfId="0" applyNumberFormat="1" applyFont="1" applyFill="1" applyBorder="1" applyAlignment="1">
      <alignment horizontal="center" vertical="center"/>
    </xf>
    <xf numFmtId="1" fontId="22" fillId="6" borderId="11" xfId="0" applyNumberFormat="1" applyFont="1" applyFill="1" applyBorder="1" applyAlignment="1">
      <alignment horizontal="center" vertical="center"/>
    </xf>
    <xf numFmtId="167" fontId="21" fillId="6" borderId="17" xfId="0" applyNumberFormat="1" applyFont="1" applyFill="1" applyBorder="1" applyAlignment="1">
      <alignment horizontal="center" vertical="center"/>
    </xf>
    <xf numFmtId="2" fontId="21" fillId="6" borderId="53" xfId="0" applyNumberFormat="1" applyFont="1" applyFill="1" applyBorder="1" applyAlignment="1">
      <alignment horizontal="center" vertical="center"/>
    </xf>
    <xf numFmtId="2" fontId="21" fillId="6" borderId="33" xfId="0" applyNumberFormat="1" applyFont="1" applyFill="1" applyBorder="1" applyAlignment="1">
      <alignment horizontal="center" vertical="center"/>
    </xf>
    <xf numFmtId="1" fontId="21" fillId="6" borderId="53" xfId="0" applyNumberFormat="1" applyFont="1" applyFill="1" applyBorder="1" applyAlignment="1">
      <alignment horizontal="center" vertical="center"/>
    </xf>
    <xf numFmtId="167" fontId="21" fillId="6" borderId="42" xfId="0" applyNumberFormat="1" applyFont="1" applyFill="1" applyBorder="1" applyAlignment="1">
      <alignment horizontal="center" vertical="center"/>
    </xf>
    <xf numFmtId="167" fontId="21" fillId="6" borderId="72" xfId="0" applyNumberFormat="1" applyFont="1" applyFill="1" applyBorder="1" applyAlignment="1">
      <alignment horizontal="center" vertical="center"/>
    </xf>
    <xf numFmtId="167" fontId="21" fillId="6" borderId="53" xfId="0" applyNumberFormat="1" applyFont="1" applyFill="1" applyBorder="1" applyAlignment="1">
      <alignment horizontal="center" vertical="center"/>
    </xf>
    <xf numFmtId="167" fontId="21" fillId="6" borderId="50" xfId="0" applyNumberFormat="1" applyFont="1" applyFill="1" applyBorder="1" applyAlignment="1">
      <alignment horizontal="center" vertical="center"/>
    </xf>
    <xf numFmtId="167" fontId="22" fillId="6" borderId="19" xfId="0" applyNumberFormat="1" applyFont="1" applyFill="1" applyBorder="1" applyAlignment="1">
      <alignment horizontal="center" vertical="center"/>
    </xf>
    <xf numFmtId="167" fontId="21" fillId="6" borderId="29" xfId="0" applyNumberFormat="1" applyFont="1" applyFill="1" applyBorder="1" applyAlignment="1">
      <alignment horizontal="center" vertical="center"/>
    </xf>
    <xf numFmtId="1" fontId="21" fillId="6" borderId="19" xfId="0" applyNumberFormat="1" applyFont="1" applyFill="1" applyBorder="1" applyAlignment="1">
      <alignment horizontal="center" vertical="center"/>
    </xf>
    <xf numFmtId="169" fontId="21" fillId="6" borderId="32" xfId="0" applyNumberFormat="1" applyFont="1" applyFill="1" applyBorder="1" applyAlignment="1">
      <alignment horizontal="center" vertical="center"/>
    </xf>
    <xf numFmtId="167" fontId="21" fillId="6" borderId="37" xfId="0" applyNumberFormat="1" applyFont="1" applyFill="1" applyBorder="1" applyAlignment="1">
      <alignment horizontal="center" vertical="center"/>
    </xf>
    <xf numFmtId="1" fontId="22" fillId="5" borderId="73" xfId="0" applyNumberFormat="1" applyFont="1" applyFill="1" applyBorder="1" applyAlignment="1">
      <alignment horizontal="center" vertical="center"/>
    </xf>
    <xf numFmtId="1" fontId="21" fillId="5" borderId="30" xfId="0" applyNumberFormat="1" applyFont="1" applyFill="1" applyBorder="1" applyAlignment="1">
      <alignment horizontal="center" vertical="center"/>
    </xf>
    <xf numFmtId="1" fontId="21" fillId="5" borderId="23" xfId="0" applyNumberFormat="1" applyFont="1" applyFill="1" applyBorder="1" applyAlignment="1">
      <alignment horizontal="center" vertical="center"/>
    </xf>
    <xf numFmtId="2" fontId="21" fillId="5" borderId="34" xfId="0" applyNumberFormat="1" applyFont="1" applyFill="1" applyBorder="1" applyAlignment="1">
      <alignment horizontal="center" vertical="center"/>
    </xf>
    <xf numFmtId="0" fontId="22" fillId="8" borderId="55" xfId="0" applyFont="1" applyFill="1" applyBorder="1" applyAlignment="1">
      <alignment vertical="center"/>
    </xf>
    <xf numFmtId="1" fontId="22" fillId="6" borderId="53" xfId="0" applyNumberFormat="1" applyFont="1" applyFill="1" applyBorder="1" applyAlignment="1">
      <alignment horizontal="center" vertical="center"/>
    </xf>
    <xf numFmtId="167" fontId="21" fillId="6" borderId="33" xfId="0" applyNumberFormat="1" applyFont="1" applyFill="1" applyBorder="1" applyAlignment="1">
      <alignment horizontal="center" vertical="center"/>
    </xf>
    <xf numFmtId="2" fontId="21" fillId="6" borderId="10" xfId="0" applyNumberFormat="1" applyFont="1" applyFill="1" applyBorder="1" applyAlignment="1">
      <alignment horizontal="center" vertical="center"/>
    </xf>
    <xf numFmtId="2" fontId="22" fillId="6" borderId="10" xfId="0" applyNumberFormat="1" applyFont="1" applyFill="1" applyBorder="1" applyAlignment="1">
      <alignment horizontal="center" vertical="center"/>
    </xf>
    <xf numFmtId="0" fontId="19" fillId="0" borderId="67" xfId="0" applyFont="1" applyBorder="1" applyAlignment="1">
      <alignment horizontal="center" vertical="center"/>
    </xf>
    <xf numFmtId="1" fontId="21" fillId="8" borderId="19" xfId="0" applyNumberFormat="1" applyFont="1" applyFill="1" applyBorder="1" applyAlignment="1">
      <alignment horizontal="center" vertical="center"/>
    </xf>
    <xf numFmtId="0" fontId="7" fillId="6" borderId="10" xfId="0" applyFont="1" applyFill="1" applyBorder="1" applyAlignment="1">
      <alignment horizontal="center" vertical="center"/>
    </xf>
    <xf numFmtId="1" fontId="4" fillId="6" borderId="41" xfId="0" applyNumberFormat="1" applyFont="1" applyFill="1" applyBorder="1" applyAlignment="1">
      <alignment horizontal="center" vertical="center"/>
    </xf>
    <xf numFmtId="167" fontId="7" fillId="6" borderId="10" xfId="0" applyNumberFormat="1" applyFont="1" applyFill="1" applyBorder="1" applyAlignment="1">
      <alignment horizontal="center" vertical="center"/>
    </xf>
    <xf numFmtId="1" fontId="7" fillId="6" borderId="10" xfId="0" applyNumberFormat="1" applyFont="1" applyFill="1" applyBorder="1" applyAlignment="1">
      <alignment horizontal="center" vertical="center"/>
    </xf>
    <xf numFmtId="167" fontId="7" fillId="6" borderId="30" xfId="0" applyNumberFormat="1" applyFont="1" applyFill="1" applyBorder="1" applyAlignment="1">
      <alignment horizontal="center" vertical="center"/>
    </xf>
    <xf numFmtId="2" fontId="7" fillId="6" borderId="10" xfId="0" applyNumberFormat="1" applyFont="1" applyFill="1" applyBorder="1" applyAlignment="1">
      <alignment horizontal="center" vertical="center"/>
    </xf>
    <xf numFmtId="167" fontId="7" fillId="0" borderId="17" xfId="0" applyNumberFormat="1" applyFont="1" applyBorder="1" applyAlignment="1">
      <alignment horizontal="center" vertical="center"/>
    </xf>
    <xf numFmtId="0" fontId="22" fillId="6" borderId="82" xfId="0" applyFont="1" applyFill="1" applyBorder="1" applyAlignment="1">
      <alignment horizontal="center" vertical="center"/>
    </xf>
    <xf numFmtId="1" fontId="21" fillId="6" borderId="99" xfId="0" applyNumberFormat="1" applyFont="1" applyFill="1" applyBorder="1" applyAlignment="1">
      <alignment horizontal="center" vertical="center"/>
    </xf>
    <xf numFmtId="1" fontId="21" fillId="6" borderId="83" xfId="0" applyNumberFormat="1" applyFont="1" applyFill="1" applyBorder="1" applyAlignment="1">
      <alignment horizontal="center" vertical="center"/>
    </xf>
    <xf numFmtId="1" fontId="19" fillId="6" borderId="102" xfId="0" applyNumberFormat="1" applyFont="1" applyFill="1" applyBorder="1" applyAlignment="1">
      <alignment horizontal="center" vertical="center"/>
    </xf>
    <xf numFmtId="167" fontId="21" fillId="6" borderId="83" xfId="0" applyNumberFormat="1" applyFont="1" applyFill="1" applyBorder="1" applyAlignment="1">
      <alignment horizontal="center" vertical="center"/>
    </xf>
    <xf numFmtId="167" fontId="21" fillId="6" borderId="8" xfId="0" applyNumberFormat="1" applyFont="1" applyFill="1" applyBorder="1" applyAlignment="1">
      <alignment horizontal="center" vertical="center"/>
    </xf>
    <xf numFmtId="0" fontId="30" fillId="8" borderId="24" xfId="0" applyFont="1" applyFill="1" applyBorder="1"/>
    <xf numFmtId="0" fontId="4" fillId="8" borderId="90" xfId="0" applyFont="1" applyFill="1" applyBorder="1"/>
    <xf numFmtId="0" fontId="4" fillId="8" borderId="6" xfId="0" applyFont="1" applyFill="1" applyBorder="1"/>
    <xf numFmtId="1" fontId="21" fillId="6" borderId="18" xfId="0" applyNumberFormat="1" applyFont="1" applyFill="1" applyBorder="1" applyAlignment="1">
      <alignment horizontal="center" vertical="center"/>
    </xf>
    <xf numFmtId="2" fontId="22" fillId="6" borderId="12" xfId="0" applyNumberFormat="1" applyFont="1" applyFill="1" applyBorder="1" applyAlignment="1">
      <alignment horizontal="center" vertical="center"/>
    </xf>
    <xf numFmtId="1" fontId="21" fillId="6" borderId="12" xfId="0" applyNumberFormat="1" applyFont="1" applyFill="1" applyBorder="1" applyAlignment="1">
      <alignment horizontal="center" vertical="center"/>
    </xf>
    <xf numFmtId="1" fontId="7" fillId="6" borderId="18" xfId="0" applyNumberFormat="1" applyFont="1" applyFill="1" applyBorder="1" applyAlignment="1">
      <alignment horizontal="center" vertical="center"/>
    </xf>
    <xf numFmtId="2" fontId="4" fillId="6" borderId="20" xfId="0" applyNumberFormat="1" applyFont="1" applyFill="1" applyBorder="1" applyAlignment="1">
      <alignment horizontal="center" vertical="center"/>
    </xf>
    <xf numFmtId="167" fontId="22" fillId="6" borderId="12" xfId="0" applyNumberFormat="1" applyFont="1" applyFill="1" applyBorder="1" applyAlignment="1">
      <alignment horizontal="center" vertical="center"/>
    </xf>
    <xf numFmtId="167" fontId="19" fillId="6" borderId="60" xfId="0" quotePrefix="1" applyNumberFormat="1" applyFont="1" applyFill="1" applyBorder="1" applyAlignment="1">
      <alignment horizontal="center" vertical="center"/>
    </xf>
    <xf numFmtId="1" fontId="20" fillId="6" borderId="18" xfId="0" applyNumberFormat="1" applyFont="1" applyFill="1" applyBorder="1" applyAlignment="1">
      <alignment horizontal="center" vertical="center"/>
    </xf>
    <xf numFmtId="167" fontId="20" fillId="6" borderId="22" xfId="0" applyNumberFormat="1" applyFont="1" applyFill="1" applyBorder="1" applyAlignment="1">
      <alignment horizontal="center" vertical="center"/>
    </xf>
    <xf numFmtId="1" fontId="4" fillId="6" borderId="20" xfId="0" applyNumberFormat="1" applyFont="1" applyFill="1" applyBorder="1" applyAlignment="1">
      <alignment horizontal="center" vertical="center"/>
    </xf>
    <xf numFmtId="1" fontId="19" fillId="6" borderId="82" xfId="0" applyNumberFormat="1" applyFont="1" applyFill="1" applyBorder="1" applyAlignment="1">
      <alignment horizontal="center" vertical="center"/>
    </xf>
    <xf numFmtId="1" fontId="4" fillId="6" borderId="78" xfId="0" applyNumberFormat="1" applyFont="1" applyFill="1" applyBorder="1" applyAlignment="1">
      <alignment horizontal="center" vertical="center"/>
    </xf>
    <xf numFmtId="167" fontId="4" fillId="6" borderId="102" xfId="0" applyNumberFormat="1" applyFont="1" applyFill="1" applyBorder="1" applyAlignment="1">
      <alignment horizontal="center" vertical="center"/>
    </xf>
    <xf numFmtId="167" fontId="4" fillId="6" borderId="83" xfId="0" applyNumberFormat="1" applyFont="1" applyFill="1" applyBorder="1" applyAlignment="1">
      <alignment horizontal="center" vertical="center"/>
    </xf>
    <xf numFmtId="1" fontId="21" fillId="8" borderId="50" xfId="0" applyNumberFormat="1" applyFont="1" applyFill="1" applyBorder="1" applyAlignment="1">
      <alignment horizontal="center" vertical="center"/>
    </xf>
    <xf numFmtId="2" fontId="38" fillId="6" borderId="10" xfId="0" applyNumberFormat="1" applyFont="1" applyFill="1" applyBorder="1" applyAlignment="1">
      <alignment horizontal="center" vertical="center"/>
    </xf>
    <xf numFmtId="0" fontId="12" fillId="6" borderId="17" xfId="0" applyFont="1" applyFill="1" applyBorder="1" applyAlignment="1">
      <alignment horizontal="center" vertical="center"/>
    </xf>
    <xf numFmtId="1" fontId="19" fillId="6" borderId="10" xfId="0" applyNumberFormat="1" applyFont="1" applyFill="1" applyBorder="1" applyAlignment="1">
      <alignment horizontal="center" vertical="center"/>
    </xf>
    <xf numFmtId="0" fontId="19" fillId="8" borderId="1" xfId="0" applyFont="1" applyFill="1" applyBorder="1" applyAlignment="1">
      <alignment horizontal="left" vertical="center"/>
    </xf>
    <xf numFmtId="1" fontId="27" fillId="8" borderId="1" xfId="0" applyNumberFormat="1" applyFont="1" applyFill="1" applyBorder="1" applyAlignment="1">
      <alignment horizontal="center" vertical="center"/>
    </xf>
    <xf numFmtId="1" fontId="27" fillId="8" borderId="11" xfId="0" applyNumberFormat="1" applyFont="1" applyFill="1" applyBorder="1" applyAlignment="1">
      <alignment horizontal="center" vertical="center"/>
    </xf>
    <xf numFmtId="1" fontId="81" fillId="5" borderId="8" xfId="186" applyNumberFormat="1" applyFont="1" applyFill="1" applyBorder="1" applyAlignment="1">
      <alignment horizontal="center" vertical="center"/>
    </xf>
    <xf numFmtId="0" fontId="7" fillId="8" borderId="0" xfId="0" applyFont="1" applyFill="1"/>
    <xf numFmtId="1" fontId="21" fillId="6" borderId="61" xfId="0" applyNumberFormat="1" applyFont="1" applyFill="1" applyBorder="1" applyAlignment="1">
      <alignment horizontal="center" vertical="center"/>
    </xf>
    <xf numFmtId="1" fontId="38" fillId="7" borderId="10" xfId="0" applyNumberFormat="1" applyFont="1" applyFill="1" applyBorder="1" applyAlignment="1">
      <alignment horizontal="center" vertical="center"/>
    </xf>
    <xf numFmtId="0" fontId="21" fillId="8" borderId="0" xfId="0" applyFont="1" applyFill="1"/>
    <xf numFmtId="0" fontId="53" fillId="0" borderId="10" xfId="0" applyFont="1" applyBorder="1"/>
    <xf numFmtId="1" fontId="21" fillId="7" borderId="37" xfId="0" applyNumberFormat="1" applyFont="1" applyFill="1" applyBorder="1" applyAlignment="1">
      <alignment horizontal="center" vertical="center"/>
    </xf>
    <xf numFmtId="1" fontId="21" fillId="5" borderId="37" xfId="0" applyNumberFormat="1" applyFont="1" applyFill="1" applyBorder="1" applyAlignment="1">
      <alignment horizontal="center" vertical="center"/>
    </xf>
    <xf numFmtId="0" fontId="4" fillId="8" borderId="31" xfId="0" applyFont="1" applyFill="1" applyBorder="1" applyAlignment="1">
      <alignment horizontal="left" vertical="center"/>
    </xf>
    <xf numFmtId="0" fontId="85" fillId="8" borderId="0" xfId="0" applyFont="1" applyFill="1"/>
    <xf numFmtId="0" fontId="80" fillId="32" borderId="14" xfId="186" applyFont="1" applyFill="1" applyBorder="1" applyAlignment="1">
      <alignment horizontal="center" vertical="center"/>
    </xf>
    <xf numFmtId="0" fontId="80" fillId="5" borderId="15" xfId="186" applyFont="1" applyFill="1" applyBorder="1" applyAlignment="1">
      <alignment horizontal="center" vertical="center"/>
    </xf>
    <xf numFmtId="0" fontId="80" fillId="32" borderId="73" xfId="186" applyFont="1" applyFill="1" applyBorder="1" applyAlignment="1">
      <alignment horizontal="center" vertical="center"/>
    </xf>
    <xf numFmtId="0" fontId="80" fillId="3" borderId="15" xfId="186" applyFont="1" applyFill="1" applyBorder="1" applyAlignment="1">
      <alignment horizontal="center" vertical="center"/>
    </xf>
    <xf numFmtId="0" fontId="80" fillId="32" borderId="16" xfId="186" applyFont="1" applyFill="1" applyBorder="1" applyAlignment="1">
      <alignment horizontal="center" vertical="center"/>
    </xf>
    <xf numFmtId="0" fontId="80" fillId="32" borderId="28" xfId="186" applyFont="1" applyFill="1" applyBorder="1" applyAlignment="1">
      <alignment horizontal="center" vertical="center"/>
    </xf>
    <xf numFmtId="0" fontId="80" fillId="9" borderId="16" xfId="186" applyFont="1" applyFill="1" applyBorder="1" applyAlignment="1">
      <alignment horizontal="center" vertical="center"/>
    </xf>
    <xf numFmtId="0" fontId="80" fillId="9" borderId="13" xfId="186" applyFont="1" applyFill="1" applyBorder="1" applyAlignment="1">
      <alignment horizontal="center" vertical="center"/>
    </xf>
    <xf numFmtId="0" fontId="92" fillId="0" borderId="0" xfId="0" applyFont="1"/>
    <xf numFmtId="167" fontId="0" fillId="0" borderId="0" xfId="0" applyNumberFormat="1"/>
    <xf numFmtId="1" fontId="21" fillId="5" borderId="71" xfId="0" applyNumberFormat="1" applyFont="1" applyFill="1" applyBorder="1" applyAlignment="1">
      <alignment horizontal="center" vertical="center"/>
    </xf>
    <xf numFmtId="1" fontId="21" fillId="7" borderId="71" xfId="0" applyNumberFormat="1" applyFont="1" applyFill="1" applyBorder="1" applyAlignment="1">
      <alignment horizontal="center" vertical="center"/>
    </xf>
    <xf numFmtId="0" fontId="5" fillId="8" borderId="7" xfId="0" applyFont="1" applyFill="1" applyBorder="1" applyAlignment="1">
      <alignment vertical="center"/>
    </xf>
    <xf numFmtId="1" fontId="19" fillId="0" borderId="1" xfId="0" applyNumberFormat="1" applyFont="1" applyBorder="1" applyAlignment="1">
      <alignment horizontal="center" vertical="center"/>
    </xf>
    <xf numFmtId="167" fontId="22" fillId="0" borderId="58" xfId="0" applyNumberFormat="1" applyFont="1" applyBorder="1" applyAlignment="1">
      <alignment horizontal="center" vertical="center"/>
    </xf>
    <xf numFmtId="167" fontId="22" fillId="7" borderId="58" xfId="0" applyNumberFormat="1" applyFont="1" applyFill="1" applyBorder="1" applyAlignment="1">
      <alignment horizontal="center" vertical="center"/>
    </xf>
    <xf numFmtId="167" fontId="22" fillId="0" borderId="75" xfId="0" applyNumberFormat="1" applyFont="1" applyBorder="1" applyAlignment="1">
      <alignment horizontal="center" vertical="center"/>
    </xf>
    <xf numFmtId="167" fontId="22" fillId="5" borderId="58" xfId="0" applyNumberFormat="1" applyFont="1" applyFill="1" applyBorder="1" applyAlignment="1">
      <alignment horizontal="center" vertical="center"/>
    </xf>
    <xf numFmtId="1" fontId="91" fillId="0" borderId="10" xfId="0" applyNumberFormat="1" applyFont="1" applyBorder="1" applyAlignment="1">
      <alignment horizontal="center" vertical="center"/>
    </xf>
    <xf numFmtId="0" fontId="11" fillId="0" borderId="0" xfId="0" applyFont="1"/>
    <xf numFmtId="0" fontId="85" fillId="0" borderId="0" xfId="0" applyFont="1"/>
    <xf numFmtId="1" fontId="22" fillId="6" borderId="10" xfId="0" applyNumberFormat="1" applyFont="1" applyFill="1" applyBorder="1" applyAlignment="1">
      <alignment horizontal="center" vertical="center"/>
    </xf>
    <xf numFmtId="2" fontId="12" fillId="8" borderId="17" xfId="0" applyNumberFormat="1" applyFont="1" applyFill="1" applyBorder="1" applyAlignment="1">
      <alignment horizontal="center" vertical="center"/>
    </xf>
    <xf numFmtId="0" fontId="12" fillId="0" borderId="10" xfId="0" applyFont="1" applyBorder="1" applyAlignment="1">
      <alignment horizontal="right"/>
    </xf>
    <xf numFmtId="2" fontId="12" fillId="5" borderId="17" xfId="0" applyNumberFormat="1" applyFont="1" applyFill="1" applyBorder="1" applyAlignment="1">
      <alignment horizontal="center" vertical="center"/>
    </xf>
    <xf numFmtId="2" fontId="12" fillId="6" borderId="17" xfId="0" applyNumberFormat="1" applyFont="1" applyFill="1" applyBorder="1" applyAlignment="1">
      <alignment horizontal="center" vertical="center"/>
    </xf>
    <xf numFmtId="1" fontId="12" fillId="8" borderId="17" xfId="0" applyNumberFormat="1" applyFont="1" applyFill="1" applyBorder="1" applyAlignment="1">
      <alignment horizontal="center" vertical="center"/>
    </xf>
    <xf numFmtId="0" fontId="18" fillId="0" borderId="5" xfId="0" applyFont="1" applyBorder="1" applyAlignment="1">
      <alignment horizontal="center" vertical="center"/>
    </xf>
    <xf numFmtId="0" fontId="22" fillId="0" borderId="4" xfId="0" applyFont="1" applyBorder="1" applyAlignment="1">
      <alignment horizontal="center" vertical="center"/>
    </xf>
    <xf numFmtId="0" fontId="22" fillId="7" borderId="1" xfId="0" applyFont="1" applyFill="1" applyBorder="1" applyAlignment="1">
      <alignment horizontal="center" vertical="center"/>
    </xf>
    <xf numFmtId="0" fontId="27" fillId="0" borderId="10" xfId="0" applyFont="1" applyBorder="1" applyAlignment="1">
      <alignment horizontal="center" vertical="center"/>
    </xf>
    <xf numFmtId="1" fontId="0" fillId="8" borderId="0" xfId="0" applyNumberFormat="1" applyFill="1"/>
    <xf numFmtId="2" fontId="21" fillId="0" borderId="53" xfId="0" applyNumberFormat="1" applyFont="1" applyBorder="1" applyAlignment="1">
      <alignment horizontal="center" vertical="center"/>
    </xf>
    <xf numFmtId="0" fontId="21" fillId="0" borderId="37" xfId="0" applyFont="1" applyBorder="1" applyAlignment="1">
      <alignment horizontal="center" vertical="center"/>
    </xf>
    <xf numFmtId="0" fontId="28" fillId="0" borderId="0" xfId="0" applyFont="1"/>
    <xf numFmtId="0" fontId="24" fillId="0" borderId="10" xfId="0" applyFont="1" applyBorder="1" applyAlignment="1">
      <alignment horizontal="center"/>
    </xf>
    <xf numFmtId="0" fontId="37" fillId="0" borderId="10" xfId="0" applyFont="1" applyBorder="1"/>
    <xf numFmtId="1" fontId="37" fillId="0" borderId="10" xfId="0" applyNumberFormat="1" applyFont="1" applyBorder="1" applyAlignment="1">
      <alignment horizontal="center"/>
    </xf>
    <xf numFmtId="0" fontId="24" fillId="0" borderId="10" xfId="0" applyFont="1" applyBorder="1"/>
    <xf numFmtId="1" fontId="24" fillId="0" borderId="10" xfId="0" applyNumberFormat="1" applyFont="1" applyBorder="1" applyAlignment="1">
      <alignment horizontal="center"/>
    </xf>
    <xf numFmtId="1" fontId="27" fillId="0" borderId="13" xfId="0" applyNumberFormat="1" applyFont="1" applyBorder="1" applyAlignment="1">
      <alignment horizontal="center"/>
    </xf>
    <xf numFmtId="1" fontId="12" fillId="0" borderId="47" xfId="0" applyNumberFormat="1" applyFont="1" applyBorder="1" applyAlignment="1">
      <alignment horizontal="center"/>
    </xf>
    <xf numFmtId="1" fontId="22" fillId="0" borderId="13" xfId="0" applyNumberFormat="1" applyFont="1" applyBorder="1" applyAlignment="1">
      <alignment horizontal="center"/>
    </xf>
    <xf numFmtId="1" fontId="12" fillId="0" borderId="60" xfId="0" applyNumberFormat="1" applyFont="1" applyBorder="1" applyAlignment="1">
      <alignment horizontal="center"/>
    </xf>
    <xf numFmtId="1" fontId="22" fillId="0" borderId="51" xfId="0" applyNumberFormat="1" applyFont="1" applyBorder="1" applyAlignment="1">
      <alignment horizontal="center"/>
    </xf>
    <xf numFmtId="1" fontId="12" fillId="0" borderId="12" xfId="0" applyNumberFormat="1" applyFont="1" applyBorder="1" applyAlignment="1">
      <alignment horizontal="center"/>
    </xf>
    <xf numFmtId="0" fontId="27" fillId="0" borderId="25" xfId="0" applyFont="1" applyBorder="1" applyAlignment="1">
      <alignment horizontal="left" vertical="center"/>
    </xf>
    <xf numFmtId="0" fontId="12" fillId="0" borderId="70" xfId="0" applyFont="1" applyBorder="1" applyAlignment="1">
      <alignment horizontal="center"/>
    </xf>
    <xf numFmtId="0" fontId="12" fillId="0" borderId="47" xfId="0" applyFont="1" applyBorder="1" applyAlignment="1">
      <alignment horizontal="center"/>
    </xf>
    <xf numFmtId="1" fontId="27" fillId="0" borderId="25" xfId="0" applyNumberFormat="1" applyFont="1" applyBorder="1" applyAlignment="1">
      <alignment horizontal="center"/>
    </xf>
    <xf numFmtId="0" fontId="27" fillId="0" borderId="13" xfId="0" applyFont="1" applyBorder="1" applyAlignment="1">
      <alignment horizontal="center" vertical="center"/>
    </xf>
    <xf numFmtId="1" fontId="12" fillId="0" borderId="70" xfId="0" applyNumberFormat="1" applyFont="1" applyBorder="1" applyAlignment="1">
      <alignment horizontal="center"/>
    </xf>
    <xf numFmtId="1" fontId="22" fillId="0" borderId="25" xfId="0" applyNumberFormat="1" applyFont="1" applyBorder="1" applyAlignment="1">
      <alignment horizontal="center"/>
    </xf>
    <xf numFmtId="1" fontId="22" fillId="0" borderId="20" xfId="0" applyNumberFormat="1" applyFont="1" applyBorder="1" applyAlignment="1">
      <alignment horizontal="center"/>
    </xf>
    <xf numFmtId="1" fontId="21" fillId="7" borderId="30" xfId="0" applyNumberFormat="1" applyFont="1" applyFill="1" applyBorder="1" applyAlignment="1">
      <alignment horizontal="center" vertical="center"/>
    </xf>
    <xf numFmtId="2" fontId="21" fillId="7" borderId="85" xfId="0" applyNumberFormat="1" applyFont="1" applyFill="1" applyBorder="1" applyAlignment="1">
      <alignment horizontal="center" vertical="center"/>
    </xf>
    <xf numFmtId="2" fontId="21" fillId="7" borderId="10" xfId="0" applyNumberFormat="1" applyFont="1" applyFill="1" applyBorder="1" applyAlignment="1">
      <alignment horizontal="center"/>
    </xf>
    <xf numFmtId="1" fontId="20" fillId="5" borderId="10" xfId="0" applyNumberFormat="1" applyFont="1" applyFill="1" applyBorder="1" applyAlignment="1">
      <alignment horizontal="center" vertical="center"/>
    </xf>
    <xf numFmtId="1" fontId="19" fillId="7" borderId="71" xfId="0" applyNumberFormat="1" applyFont="1" applyFill="1" applyBorder="1" applyAlignment="1">
      <alignment horizontal="center" vertical="center"/>
    </xf>
    <xf numFmtId="1" fontId="19" fillId="0" borderId="71" xfId="0" applyNumberFormat="1" applyFont="1" applyBorder="1" applyAlignment="1">
      <alignment horizontal="center" vertical="center"/>
    </xf>
    <xf numFmtId="0" fontId="33" fillId="8" borderId="10" xfId="0" applyFont="1" applyFill="1" applyBorder="1" applyAlignment="1">
      <alignment horizontal="center" vertical="center"/>
    </xf>
    <xf numFmtId="0" fontId="46" fillId="8" borderId="0" xfId="0" applyFont="1" applyFill="1" applyAlignment="1">
      <alignment horizontal="center" vertical="center"/>
    </xf>
    <xf numFmtId="1" fontId="4" fillId="7" borderId="1" xfId="0" applyNumberFormat="1" applyFont="1" applyFill="1" applyBorder="1" applyAlignment="1">
      <alignment horizontal="center" vertical="center"/>
    </xf>
    <xf numFmtId="0" fontId="37" fillId="8" borderId="10" xfId="0" applyFont="1" applyFill="1" applyBorder="1" applyAlignment="1">
      <alignment horizontal="center"/>
    </xf>
    <xf numFmtId="1" fontId="37" fillId="8" borderId="10" xfId="0" applyNumberFormat="1" applyFont="1" applyFill="1" applyBorder="1" applyAlignment="1">
      <alignment horizontal="center"/>
    </xf>
    <xf numFmtId="0" fontId="4" fillId="0" borderId="8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0" borderId="10" xfId="0" applyFont="1" applyBorder="1" applyAlignment="1">
      <alignment vertical="center"/>
    </xf>
    <xf numFmtId="1" fontId="11" fillId="0" borderId="0" xfId="0" applyNumberFormat="1" applyFont="1"/>
    <xf numFmtId="1" fontId="81" fillId="8" borderId="65" xfId="186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0" fontId="110" fillId="8" borderId="10" xfId="0" applyFont="1" applyFill="1" applyBorder="1" applyAlignment="1">
      <alignment horizontal="center" vertical="center"/>
    </xf>
    <xf numFmtId="1" fontId="21" fillId="7" borderId="23" xfId="0" applyNumberFormat="1" applyFont="1" applyFill="1" applyBorder="1" applyAlignment="1">
      <alignment horizontal="center" vertical="center"/>
    </xf>
    <xf numFmtId="0" fontId="21" fillId="7" borderId="10" xfId="0" applyFont="1" applyFill="1" applyBorder="1" applyAlignment="1">
      <alignment horizontal="center" vertical="center"/>
    </xf>
    <xf numFmtId="0" fontId="4" fillId="8" borderId="41" xfId="0" applyFont="1" applyFill="1" applyBorder="1" applyAlignment="1">
      <alignment horizontal="center" vertical="center"/>
    </xf>
    <xf numFmtId="0" fontId="4" fillId="8" borderId="42" xfId="0" applyFont="1" applyFill="1" applyBorder="1" applyAlignment="1">
      <alignment horizontal="center" vertical="center"/>
    </xf>
    <xf numFmtId="167" fontId="21" fillId="7" borderId="23" xfId="0" applyNumberFormat="1" applyFont="1" applyFill="1" applyBorder="1" applyAlignment="1">
      <alignment horizontal="center" vertical="center"/>
    </xf>
    <xf numFmtId="167" fontId="21" fillId="5" borderId="23" xfId="0" applyNumberFormat="1" applyFont="1" applyFill="1" applyBorder="1" applyAlignment="1">
      <alignment horizontal="center" vertical="center"/>
    </xf>
    <xf numFmtId="1" fontId="20" fillId="5" borderId="72" xfId="0" applyNumberFormat="1" applyFont="1" applyFill="1" applyBorder="1" applyAlignment="1">
      <alignment horizontal="center" vertical="center"/>
    </xf>
    <xf numFmtId="1" fontId="21" fillId="7" borderId="6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0" borderId="10" xfId="0" applyNumberFormat="1" applyFont="1" applyBorder="1" applyAlignment="1">
      <alignment horizontal="center" vertical="center"/>
    </xf>
    <xf numFmtId="1" fontId="4" fillId="8" borderId="1" xfId="0" applyNumberFormat="1" applyFont="1" applyFill="1" applyBorder="1" applyAlignment="1">
      <alignment horizontal="center" vertical="center"/>
    </xf>
    <xf numFmtId="1" fontId="21" fillId="0" borderId="0" xfId="0" applyNumberFormat="1" applyFont="1"/>
    <xf numFmtId="1" fontId="33" fillId="8" borderId="10" xfId="0" applyNumberFormat="1" applyFont="1" applyFill="1" applyBorder="1" applyAlignment="1">
      <alignment vertical="center"/>
    </xf>
    <xf numFmtId="0" fontId="21" fillId="8" borderId="0" xfId="0" applyFont="1" applyFill="1" applyAlignment="1">
      <alignment vertical="center"/>
    </xf>
    <xf numFmtId="167" fontId="4" fillId="7" borderId="128" xfId="0" applyNumberFormat="1" applyFont="1" applyFill="1" applyBorder="1" applyAlignment="1">
      <alignment horizontal="center" vertical="center"/>
    </xf>
    <xf numFmtId="167" fontId="4" fillId="5" borderId="128" xfId="0" applyNumberFormat="1" applyFont="1" applyFill="1" applyBorder="1" applyAlignment="1">
      <alignment horizontal="center" vertical="center"/>
    </xf>
    <xf numFmtId="167" fontId="21" fillId="7" borderId="45" xfId="0" applyNumberFormat="1" applyFont="1" applyFill="1" applyBorder="1" applyAlignment="1">
      <alignment horizontal="center" vertical="center"/>
    </xf>
    <xf numFmtId="167" fontId="4" fillId="7" borderId="5" xfId="0" applyNumberFormat="1" applyFont="1" applyFill="1" applyBorder="1" applyAlignment="1">
      <alignment horizontal="center" vertical="center"/>
    </xf>
    <xf numFmtId="167" fontId="4" fillId="5" borderId="5" xfId="0" applyNumberFormat="1" applyFont="1" applyFill="1" applyBorder="1" applyAlignment="1">
      <alignment horizontal="center" vertical="center"/>
    </xf>
    <xf numFmtId="1" fontId="19" fillId="8" borderId="63" xfId="0" quotePrefix="1" applyNumberFormat="1" applyFont="1" applyFill="1" applyBorder="1" applyAlignment="1">
      <alignment horizontal="center" vertical="center"/>
    </xf>
    <xf numFmtId="1" fontId="4" fillId="8" borderId="63" xfId="0" applyNumberFormat="1" applyFont="1" applyFill="1" applyBorder="1" applyAlignment="1">
      <alignment horizontal="center" vertical="center"/>
    </xf>
    <xf numFmtId="167" fontId="5" fillId="8" borderId="24" xfId="0" applyNumberFormat="1" applyFont="1" applyFill="1" applyBorder="1" applyAlignment="1">
      <alignment vertical="center"/>
    </xf>
    <xf numFmtId="169" fontId="5" fillId="0" borderId="6" xfId="0" applyNumberFormat="1" applyFont="1" applyBorder="1" applyAlignment="1">
      <alignment vertical="center"/>
    </xf>
    <xf numFmtId="0" fontId="19" fillId="8" borderId="61" xfId="0" applyFont="1" applyFill="1" applyBorder="1" applyAlignment="1">
      <alignment vertical="center"/>
    </xf>
    <xf numFmtId="2" fontId="22" fillId="5" borderId="73" xfId="0" applyNumberFormat="1" applyFont="1" applyFill="1" applyBorder="1" applyAlignment="1">
      <alignment horizontal="center" vertical="center"/>
    </xf>
    <xf numFmtId="2" fontId="22" fillId="7" borderId="46" xfId="0" applyNumberFormat="1" applyFont="1" applyFill="1" applyBorder="1" applyAlignment="1">
      <alignment horizontal="center" vertical="center"/>
    </xf>
    <xf numFmtId="2" fontId="22" fillId="5" borderId="71" xfId="0" applyNumberFormat="1" applyFont="1" applyFill="1" applyBorder="1" applyAlignment="1">
      <alignment horizontal="center" vertical="center"/>
    </xf>
    <xf numFmtId="2" fontId="22" fillId="7" borderId="41" xfId="0" applyNumberFormat="1" applyFont="1" applyFill="1" applyBorder="1" applyAlignment="1">
      <alignment horizontal="center" vertical="center"/>
    </xf>
    <xf numFmtId="2" fontId="22" fillId="5" borderId="42" xfId="0" applyNumberFormat="1" applyFont="1" applyFill="1" applyBorder="1" applyAlignment="1">
      <alignment horizontal="center" vertical="center"/>
    </xf>
    <xf numFmtId="2" fontId="22" fillId="7" borderId="23" xfId="0" applyNumberFormat="1" applyFont="1" applyFill="1" applyBorder="1" applyAlignment="1">
      <alignment horizontal="center" vertical="center"/>
    </xf>
    <xf numFmtId="1" fontId="79" fillId="8" borderId="10" xfId="186" applyNumberFormat="1" applyFill="1" applyBorder="1" applyAlignment="1">
      <alignment horizontal="center" vertical="top"/>
    </xf>
    <xf numFmtId="1" fontId="19" fillId="0" borderId="26" xfId="0" applyNumberFormat="1" applyFont="1" applyBorder="1" applyAlignment="1">
      <alignment horizontal="center" vertical="center"/>
    </xf>
    <xf numFmtId="0" fontId="0" fillId="7" borderId="10" xfId="0" applyFill="1" applyBorder="1"/>
    <xf numFmtId="0" fontId="0" fillId="5" borderId="10" xfId="0" applyFill="1" applyBorder="1"/>
    <xf numFmtId="1" fontId="21" fillId="5" borderId="41" xfId="0" applyNumberFormat="1" applyFont="1" applyFill="1" applyBorder="1" applyAlignment="1">
      <alignment horizontal="center" vertical="center"/>
    </xf>
    <xf numFmtId="167" fontId="21" fillId="6" borderId="23" xfId="0" applyNumberFormat="1" applyFont="1" applyFill="1" applyBorder="1" applyAlignment="1">
      <alignment horizontal="center" vertical="center"/>
    </xf>
    <xf numFmtId="167" fontId="22" fillId="5" borderId="10" xfId="0" applyNumberFormat="1" applyFont="1" applyFill="1" applyBorder="1" applyAlignment="1">
      <alignment horizontal="center" vertical="center"/>
    </xf>
    <xf numFmtId="1" fontId="4" fillId="8" borderId="10" xfId="0" applyNumberFormat="1" applyFont="1" applyFill="1" applyBorder="1" applyAlignment="1">
      <alignment horizontal="center" vertical="center"/>
    </xf>
    <xf numFmtId="0" fontId="18" fillId="0" borderId="10" xfId="0" applyFont="1" applyBorder="1" applyAlignment="1">
      <alignment horizontal="right"/>
    </xf>
    <xf numFmtId="0" fontId="46" fillId="8" borderId="0" xfId="0" applyFont="1" applyFill="1" applyAlignment="1">
      <alignment horizontal="center"/>
    </xf>
    <xf numFmtId="9" fontId="22" fillId="8" borderId="10" xfId="22" applyFont="1" applyFill="1" applyBorder="1" applyAlignment="1">
      <alignment horizontal="center" vertical="center"/>
    </xf>
    <xf numFmtId="1" fontId="11" fillId="0" borderId="10" xfId="0" applyNumberFormat="1" applyFont="1" applyBorder="1" applyAlignment="1">
      <alignment horizontal="center" vertical="center"/>
    </xf>
    <xf numFmtId="1" fontId="37" fillId="7" borderId="10" xfId="0" applyNumberFormat="1" applyFont="1" applyFill="1" applyBorder="1" applyAlignment="1">
      <alignment horizontal="center"/>
    </xf>
    <xf numFmtId="1" fontId="24" fillId="7" borderId="10" xfId="0" applyNumberFormat="1" applyFont="1" applyFill="1" applyBorder="1" applyAlignment="1">
      <alignment horizontal="center"/>
    </xf>
    <xf numFmtId="0" fontId="37" fillId="7" borderId="10" xfId="0" applyFont="1" applyFill="1" applyBorder="1" applyAlignment="1">
      <alignment horizontal="center"/>
    </xf>
    <xf numFmtId="0" fontId="0" fillId="7" borderId="0" xfId="0" applyFill="1"/>
    <xf numFmtId="1" fontId="11" fillId="7" borderId="10" xfId="0" applyNumberFormat="1" applyFont="1" applyFill="1" applyBorder="1" applyAlignment="1">
      <alignment horizontal="center" vertical="center"/>
    </xf>
    <xf numFmtId="1" fontId="37" fillId="5" borderId="10" xfId="0" applyNumberFormat="1" applyFont="1" applyFill="1" applyBorder="1" applyAlignment="1">
      <alignment horizontal="center"/>
    </xf>
    <xf numFmtId="1" fontId="24" fillId="5" borderId="10" xfId="0" applyNumberFormat="1" applyFont="1" applyFill="1" applyBorder="1" applyAlignment="1">
      <alignment horizontal="center"/>
    </xf>
    <xf numFmtId="0" fontId="37" fillId="5" borderId="10" xfId="0" applyFont="1" applyFill="1" applyBorder="1" applyAlignment="1">
      <alignment horizontal="center"/>
    </xf>
    <xf numFmtId="0" fontId="0" fillId="5" borderId="0" xfId="0" applyFill="1"/>
    <xf numFmtId="1" fontId="11" fillId="5" borderId="10" xfId="0" applyNumberFormat="1" applyFont="1" applyFill="1" applyBorder="1" applyAlignment="1">
      <alignment horizontal="center" vertical="center"/>
    </xf>
    <xf numFmtId="0" fontId="24" fillId="43" borderId="10" xfId="0" applyFont="1" applyFill="1" applyBorder="1"/>
    <xf numFmtId="1" fontId="24" fillId="43" borderId="10" xfId="0" applyNumberFormat="1" applyFont="1" applyFill="1" applyBorder="1" applyAlignment="1">
      <alignment horizontal="center"/>
    </xf>
    <xf numFmtId="1" fontId="37" fillId="43" borderId="10" xfId="0" applyNumberFormat="1" applyFont="1" applyFill="1" applyBorder="1" applyAlignment="1">
      <alignment horizontal="center"/>
    </xf>
    <xf numFmtId="0" fontId="24" fillId="43" borderId="10" xfId="0" applyFont="1" applyFill="1" applyBorder="1" applyAlignment="1">
      <alignment horizontal="center"/>
    </xf>
    <xf numFmtId="9" fontId="24" fillId="0" borderId="10" xfId="22" applyFont="1" applyBorder="1" applyAlignment="1">
      <alignment horizontal="center"/>
    </xf>
    <xf numFmtId="0" fontId="79" fillId="0" borderId="0" xfId="186"/>
    <xf numFmtId="167" fontId="22" fillId="0" borderId="1" xfId="0" applyNumberFormat="1" applyFont="1" applyBorder="1" applyAlignment="1">
      <alignment horizontal="center" vertical="center"/>
    </xf>
    <xf numFmtId="0" fontId="18" fillId="0" borderId="37" xfId="0" applyFont="1" applyBorder="1" applyAlignment="1">
      <alignment horizontal="center" vertical="center"/>
    </xf>
    <xf numFmtId="0" fontId="18" fillId="0" borderId="10" xfId="0" applyFont="1" applyBorder="1" applyAlignment="1">
      <alignment horizontal="center" vertical="center"/>
    </xf>
    <xf numFmtId="1" fontId="21" fillId="6" borderId="31" xfId="0" applyNumberFormat="1" applyFont="1" applyFill="1" applyBorder="1" applyAlignment="1">
      <alignment horizontal="center" vertical="center"/>
    </xf>
    <xf numFmtId="0" fontId="21" fillId="8" borderId="0" xfId="0" applyFont="1" applyFill="1" applyAlignment="1">
      <alignment horizontal="center" vertical="center"/>
    </xf>
    <xf numFmtId="0" fontId="46" fillId="8" borderId="10" xfId="0" applyFont="1" applyFill="1" applyBorder="1"/>
    <xf numFmtId="2" fontId="21" fillId="5" borderId="10" xfId="0" applyNumberFormat="1" applyFont="1" applyFill="1" applyBorder="1" applyAlignment="1">
      <alignment horizontal="center"/>
    </xf>
    <xf numFmtId="0" fontId="114" fillId="0" borderId="0" xfId="0" applyFont="1"/>
    <xf numFmtId="0" fontId="22" fillId="8" borderId="6" xfId="0" applyFont="1" applyFill="1" applyBorder="1" applyAlignment="1">
      <alignment horizontal="center" vertical="center"/>
    </xf>
    <xf numFmtId="0" fontId="46" fillId="5" borderId="10" xfId="0" applyFont="1" applyFill="1" applyBorder="1" applyAlignment="1">
      <alignment horizontal="center" vertical="center"/>
    </xf>
    <xf numFmtId="0" fontId="46" fillId="7" borderId="10" xfId="0" applyFont="1" applyFill="1" applyBorder="1" applyAlignment="1">
      <alignment horizontal="center" vertical="center"/>
    </xf>
    <xf numFmtId="0" fontId="116" fillId="0" borderId="0" xfId="0" applyFont="1"/>
    <xf numFmtId="1" fontId="4" fillId="0" borderId="10" xfId="0" applyNumberFormat="1" applyFont="1" applyBorder="1" applyAlignment="1">
      <alignment horizontal="center" vertical="center"/>
    </xf>
    <xf numFmtId="1" fontId="4" fillId="7" borderId="10" xfId="0" applyNumberFormat="1" applyFont="1" applyFill="1" applyBorder="1" applyAlignment="1">
      <alignment horizontal="center" vertical="center"/>
    </xf>
    <xf numFmtId="1" fontId="4" fillId="5" borderId="10" xfId="0" applyNumberFormat="1" applyFont="1" applyFill="1" applyBorder="1" applyAlignment="1">
      <alignment horizontal="center" vertical="center"/>
    </xf>
    <xf numFmtId="1" fontId="4" fillId="6" borderId="10" xfId="0" applyNumberFormat="1" applyFont="1" applyFill="1" applyBorder="1" applyAlignment="1">
      <alignment horizontal="center" vertical="center"/>
    </xf>
    <xf numFmtId="1" fontId="22" fillId="8" borderId="6" xfId="0" applyNumberFormat="1" applyFont="1" applyFill="1" applyBorder="1" applyAlignment="1">
      <alignment horizontal="center" vertical="center"/>
    </xf>
    <xf numFmtId="169" fontId="21" fillId="6" borderId="37" xfId="0" applyNumberFormat="1" applyFont="1" applyFill="1" applyBorder="1" applyAlignment="1">
      <alignment horizontal="center" vertical="center"/>
    </xf>
    <xf numFmtId="2" fontId="21" fillId="6" borderId="37" xfId="0" applyNumberFormat="1" applyFont="1" applyFill="1" applyBorder="1" applyAlignment="1">
      <alignment horizontal="center" vertical="center"/>
    </xf>
    <xf numFmtId="1" fontId="21" fillId="6" borderId="37" xfId="0" applyNumberFormat="1" applyFont="1" applyFill="1" applyBorder="1" applyAlignment="1">
      <alignment horizontal="center" vertical="center"/>
    </xf>
    <xf numFmtId="0" fontId="49" fillId="6" borderId="10" xfId="0" applyFont="1" applyFill="1" applyBorder="1" applyAlignment="1">
      <alignment horizontal="center" vertical="center"/>
    </xf>
    <xf numFmtId="169" fontId="21" fillId="5" borderId="37" xfId="0" applyNumberFormat="1" applyFont="1" applyFill="1" applyBorder="1" applyAlignment="1">
      <alignment horizontal="center" vertical="center"/>
    </xf>
    <xf numFmtId="2" fontId="21" fillId="5" borderId="37" xfId="0" applyNumberFormat="1" applyFont="1" applyFill="1" applyBorder="1" applyAlignment="1">
      <alignment horizontal="center" vertical="center"/>
    </xf>
    <xf numFmtId="0" fontId="49" fillId="5" borderId="10" xfId="0" applyFont="1" applyFill="1" applyBorder="1" applyAlignment="1">
      <alignment horizontal="center" vertical="center"/>
    </xf>
    <xf numFmtId="0" fontId="49" fillId="7" borderId="10" xfId="0" applyFont="1" applyFill="1" applyBorder="1" applyAlignment="1">
      <alignment horizontal="center" vertical="center"/>
    </xf>
    <xf numFmtId="1" fontId="19" fillId="6" borderId="73" xfId="0" applyNumberFormat="1" applyFont="1" applyFill="1" applyBorder="1" applyAlignment="1">
      <alignment horizontal="center" vertical="center"/>
    </xf>
    <xf numFmtId="1" fontId="20" fillId="6" borderId="10" xfId="0" applyNumberFormat="1" applyFont="1" applyFill="1" applyBorder="1" applyAlignment="1">
      <alignment horizontal="center" vertical="center"/>
    </xf>
    <xf numFmtId="169" fontId="21" fillId="6" borderId="10" xfId="0" applyNumberFormat="1" applyFont="1" applyFill="1" applyBorder="1" applyAlignment="1">
      <alignment horizontal="center" vertical="center"/>
    </xf>
    <xf numFmtId="9" fontId="46" fillId="6" borderId="10" xfId="22" applyFont="1" applyFill="1" applyBorder="1" applyAlignment="1">
      <alignment horizontal="center" vertical="center"/>
    </xf>
    <xf numFmtId="1" fontId="19" fillId="5" borderId="38" xfId="0" applyNumberFormat="1" applyFont="1" applyFill="1" applyBorder="1" applyAlignment="1">
      <alignment horizontal="center" vertical="center"/>
    </xf>
    <xf numFmtId="1" fontId="19" fillId="6" borderId="38" xfId="0" applyNumberFormat="1" applyFont="1" applyFill="1" applyBorder="1" applyAlignment="1">
      <alignment horizontal="center" vertical="center"/>
    </xf>
    <xf numFmtId="167" fontId="21" fillId="6" borderId="31" xfId="0" applyNumberFormat="1" applyFont="1" applyFill="1" applyBorder="1" applyAlignment="1">
      <alignment horizontal="center" vertical="center"/>
    </xf>
    <xf numFmtId="2" fontId="21" fillId="6" borderId="27" xfId="0" applyNumberFormat="1" applyFont="1" applyFill="1" applyBorder="1" applyAlignment="1">
      <alignment horizontal="center" vertical="center"/>
    </xf>
    <xf numFmtId="1" fontId="4" fillId="6" borderId="50" xfId="0" applyNumberFormat="1" applyFont="1" applyFill="1" applyBorder="1" applyAlignment="1">
      <alignment horizontal="center" vertical="center"/>
    </xf>
    <xf numFmtId="2" fontId="4" fillId="7" borderId="94" xfId="0" applyNumberFormat="1" applyFont="1" applyFill="1" applyBorder="1" applyAlignment="1">
      <alignment horizontal="center" vertical="center"/>
    </xf>
    <xf numFmtId="2" fontId="4" fillId="6" borderId="27" xfId="0" applyNumberFormat="1" applyFont="1" applyFill="1" applyBorder="1" applyAlignment="1">
      <alignment horizontal="center" vertical="center"/>
    </xf>
    <xf numFmtId="1" fontId="21" fillId="7" borderId="44" xfId="0" applyNumberFormat="1" applyFont="1" applyFill="1" applyBorder="1" applyAlignment="1">
      <alignment horizontal="center" vertical="center"/>
    </xf>
    <xf numFmtId="1" fontId="21" fillId="7" borderId="47" xfId="0" applyNumberFormat="1" applyFont="1" applyFill="1" applyBorder="1" applyAlignment="1">
      <alignment horizontal="center" vertical="center"/>
    </xf>
    <xf numFmtId="1" fontId="7" fillId="7" borderId="44" xfId="0" applyNumberFormat="1" applyFont="1" applyFill="1" applyBorder="1" applyAlignment="1">
      <alignment horizontal="center" vertical="center"/>
    </xf>
    <xf numFmtId="2" fontId="4" fillId="7" borderId="51" xfId="0" applyNumberFormat="1" applyFont="1" applyFill="1" applyBorder="1" applyAlignment="1">
      <alignment horizontal="center" vertical="center"/>
    </xf>
    <xf numFmtId="167" fontId="22" fillId="7" borderId="47" xfId="0" applyNumberFormat="1" applyFont="1" applyFill="1" applyBorder="1" applyAlignment="1">
      <alignment horizontal="center" vertical="center"/>
    </xf>
    <xf numFmtId="0" fontId="4" fillId="8" borderId="19" xfId="0" applyFont="1" applyFill="1" applyBorder="1"/>
    <xf numFmtId="0" fontId="30" fillId="8" borderId="61" xfId="0" applyFont="1" applyFill="1" applyBorder="1"/>
    <xf numFmtId="1" fontId="19" fillId="0" borderId="21" xfId="0" applyNumberFormat="1" applyFont="1" applyBorder="1" applyAlignment="1">
      <alignment vertical="center"/>
    </xf>
    <xf numFmtId="0" fontId="30" fillId="0" borderId="61" xfId="0" applyFont="1" applyBorder="1"/>
    <xf numFmtId="0" fontId="3" fillId="0" borderId="130" xfId="0" applyFont="1" applyBorder="1"/>
    <xf numFmtId="0" fontId="4" fillId="0" borderId="19" xfId="0" applyFont="1" applyBorder="1" applyAlignment="1">
      <alignment vertical="center"/>
    </xf>
    <xf numFmtId="2" fontId="22" fillId="8" borderId="17" xfId="0" applyNumberFormat="1" applyFont="1" applyFill="1" applyBorder="1" applyAlignment="1">
      <alignment horizontal="center" vertical="center"/>
    </xf>
    <xf numFmtId="167" fontId="22" fillId="8" borderId="17" xfId="0" applyNumberFormat="1" applyFont="1" applyFill="1" applyBorder="1" applyAlignment="1">
      <alignment horizontal="center" vertical="center"/>
    </xf>
    <xf numFmtId="1" fontId="19" fillId="8" borderId="18" xfId="0" quotePrefix="1" applyNumberFormat="1" applyFont="1" applyFill="1" applyBorder="1" applyAlignment="1">
      <alignment horizontal="center" vertical="center"/>
    </xf>
    <xf numFmtId="167" fontId="19" fillId="8" borderId="58" xfId="0" quotePrefix="1" applyNumberFormat="1" applyFont="1" applyFill="1" applyBorder="1" applyAlignment="1">
      <alignment horizontal="center" vertical="center"/>
    </xf>
    <xf numFmtId="1" fontId="4" fillId="8" borderId="18" xfId="0" applyNumberFormat="1" applyFont="1" applyFill="1" applyBorder="1" applyAlignment="1">
      <alignment horizontal="center" vertical="center"/>
    </xf>
    <xf numFmtId="0" fontId="30" fillId="0" borderId="61" xfId="0" applyFont="1" applyBorder="1" applyAlignment="1">
      <alignment vertical="center"/>
    </xf>
    <xf numFmtId="1" fontId="19" fillId="0" borderId="28" xfId="0" applyNumberFormat="1" applyFont="1" applyBorder="1" applyAlignment="1">
      <alignment horizontal="center" vertical="center"/>
    </xf>
    <xf numFmtId="1" fontId="4" fillId="0" borderId="54" xfId="0" applyNumberFormat="1" applyFont="1" applyBorder="1" applyAlignment="1">
      <alignment horizontal="center" vertical="center"/>
    </xf>
    <xf numFmtId="0" fontId="41" fillId="0" borderId="61" xfId="0" applyFont="1" applyBorder="1" applyAlignment="1">
      <alignment vertical="center"/>
    </xf>
    <xf numFmtId="0" fontId="19" fillId="0" borderId="19" xfId="0" applyFont="1" applyBorder="1" applyAlignment="1">
      <alignment vertical="center"/>
    </xf>
    <xf numFmtId="167" fontId="21" fillId="0" borderId="53" xfId="0" applyNumberFormat="1" applyFont="1" applyBorder="1" applyAlignment="1">
      <alignment horizontal="center" vertical="center"/>
    </xf>
    <xf numFmtId="169" fontId="5" fillId="0" borderId="19" xfId="0" applyNumberFormat="1" applyFont="1" applyBorder="1" applyAlignment="1">
      <alignment vertical="center"/>
    </xf>
    <xf numFmtId="167" fontId="5" fillId="8" borderId="61" xfId="0" applyNumberFormat="1" applyFont="1" applyFill="1" applyBorder="1" applyAlignment="1">
      <alignment vertical="center"/>
    </xf>
    <xf numFmtId="0" fontId="30" fillId="8" borderId="19" xfId="0" applyFont="1" applyFill="1" applyBorder="1" applyAlignment="1">
      <alignment vertical="center"/>
    </xf>
    <xf numFmtId="0" fontId="3" fillId="0" borderId="132" xfId="0" applyFont="1" applyBorder="1"/>
    <xf numFmtId="167" fontId="21" fillId="0" borderId="27" xfId="0" applyNumberFormat="1" applyFont="1" applyBorder="1" applyAlignment="1">
      <alignment horizontal="center" vertical="center"/>
    </xf>
    <xf numFmtId="167" fontId="4" fillId="0" borderId="27" xfId="0" applyNumberFormat="1" applyFont="1" applyBorder="1" applyAlignment="1">
      <alignment horizontal="center" vertical="center"/>
    </xf>
    <xf numFmtId="0" fontId="22" fillId="5" borderId="26" xfId="0" applyFont="1" applyFill="1" applyBorder="1" applyAlignment="1">
      <alignment horizontal="center" vertical="center"/>
    </xf>
    <xf numFmtId="1" fontId="7" fillId="5" borderId="44" xfId="0" applyNumberFormat="1" applyFont="1" applyFill="1" applyBorder="1" applyAlignment="1">
      <alignment horizontal="center" vertical="center"/>
    </xf>
    <xf numFmtId="167" fontId="22" fillId="5" borderId="47" xfId="0" applyNumberFormat="1" applyFont="1" applyFill="1" applyBorder="1" applyAlignment="1">
      <alignment horizontal="center" vertical="center"/>
    </xf>
    <xf numFmtId="9" fontId="24" fillId="5" borderId="10" xfId="22" applyFont="1" applyFill="1" applyBorder="1" applyAlignment="1">
      <alignment horizontal="center"/>
    </xf>
    <xf numFmtId="0" fontId="22" fillId="44" borderId="28" xfId="0" applyFont="1" applyFill="1" applyBorder="1" applyAlignment="1">
      <alignment horizontal="center" vertical="center"/>
    </xf>
    <xf numFmtId="1" fontId="19" fillId="44" borderId="53" xfId="0" applyNumberFormat="1" applyFont="1" applyFill="1" applyBorder="1" applyAlignment="1">
      <alignment horizontal="center" vertical="center"/>
    </xf>
    <xf numFmtId="1" fontId="21" fillId="44" borderId="10" xfId="0" applyNumberFormat="1" applyFont="1" applyFill="1" applyBorder="1" applyAlignment="1">
      <alignment horizontal="center" vertical="center"/>
    </xf>
    <xf numFmtId="1" fontId="21" fillId="44" borderId="31" xfId="0" applyNumberFormat="1" applyFont="1" applyFill="1" applyBorder="1" applyAlignment="1">
      <alignment horizontal="center" vertical="center"/>
    </xf>
    <xf numFmtId="167" fontId="21" fillId="44" borderId="31" xfId="0" applyNumberFormat="1" applyFont="1" applyFill="1" applyBorder="1" applyAlignment="1">
      <alignment horizontal="center" vertical="center"/>
    </xf>
    <xf numFmtId="167" fontId="21" fillId="44" borderId="19" xfId="0" applyNumberFormat="1" applyFont="1" applyFill="1" applyBorder="1" applyAlignment="1">
      <alignment horizontal="center" vertical="center"/>
    </xf>
    <xf numFmtId="169" fontId="21" fillId="44" borderId="31" xfId="0" applyNumberFormat="1" applyFont="1" applyFill="1" applyBorder="1" applyAlignment="1">
      <alignment horizontal="center" vertical="center"/>
    </xf>
    <xf numFmtId="2" fontId="21" fillId="44" borderId="31" xfId="0" applyNumberFormat="1" applyFont="1" applyFill="1" applyBorder="1" applyAlignment="1">
      <alignment horizontal="center" vertical="center"/>
    </xf>
    <xf numFmtId="1" fontId="46" fillId="44" borderId="10" xfId="0" applyNumberFormat="1" applyFont="1" applyFill="1" applyBorder="1" applyAlignment="1">
      <alignment horizontal="center" vertical="center"/>
    </xf>
    <xf numFmtId="9" fontId="46" fillId="44" borderId="10" xfId="22" applyFont="1" applyFill="1" applyBorder="1" applyAlignment="1">
      <alignment horizontal="center" vertical="center"/>
    </xf>
    <xf numFmtId="1" fontId="81" fillId="0" borderId="37" xfId="186" applyNumberFormat="1" applyFont="1" applyBorder="1" applyAlignment="1">
      <alignment horizontal="center" vertical="center"/>
    </xf>
    <xf numFmtId="1" fontId="80" fillId="8" borderId="64" xfId="186" applyNumberFormat="1" applyFont="1" applyFill="1" applyBorder="1" applyAlignment="1">
      <alignment horizontal="center" vertical="center"/>
    </xf>
    <xf numFmtId="0" fontId="22" fillId="5" borderId="1" xfId="0" applyFont="1" applyFill="1" applyBorder="1" applyAlignment="1">
      <alignment horizontal="center" vertical="center"/>
    </xf>
    <xf numFmtId="0" fontId="22" fillId="5" borderId="4" xfId="0" applyFont="1" applyFill="1" applyBorder="1" applyAlignment="1">
      <alignment horizontal="center" vertical="center"/>
    </xf>
    <xf numFmtId="0" fontId="22" fillId="6" borderId="4" xfId="0" applyFont="1" applyFill="1" applyBorder="1" applyAlignment="1">
      <alignment horizontal="center" vertical="center"/>
    </xf>
    <xf numFmtId="0" fontId="22" fillId="0" borderId="10" xfId="0" applyFont="1" applyBorder="1" applyAlignment="1">
      <alignment horizontal="center" vertical="center"/>
    </xf>
    <xf numFmtId="0" fontId="22" fillId="7" borderId="10" xfId="0" applyFont="1" applyFill="1" applyBorder="1" applyAlignment="1">
      <alignment horizontal="center" vertical="center"/>
    </xf>
    <xf numFmtId="0" fontId="22" fillId="5" borderId="10" xfId="0" applyFont="1" applyFill="1" applyBorder="1" applyAlignment="1">
      <alignment horizontal="center" vertical="center"/>
    </xf>
    <xf numFmtId="9" fontId="21" fillId="8" borderId="71" xfId="22" applyFont="1" applyFill="1" applyBorder="1" applyAlignment="1">
      <alignment horizontal="center" vertical="center"/>
    </xf>
    <xf numFmtId="1" fontId="21" fillId="8" borderId="36" xfId="0" applyNumberFormat="1" applyFont="1" applyFill="1" applyBorder="1" applyAlignment="1">
      <alignment horizontal="center" vertical="center"/>
    </xf>
    <xf numFmtId="1" fontId="19" fillId="8" borderId="4" xfId="0" applyNumberFormat="1" applyFont="1" applyFill="1" applyBorder="1" applyAlignment="1">
      <alignment horizontal="center" vertical="center"/>
    </xf>
    <xf numFmtId="1" fontId="21" fillId="7" borderId="63" xfId="0" applyNumberFormat="1" applyFont="1" applyFill="1" applyBorder="1" applyAlignment="1">
      <alignment horizontal="center" vertical="center"/>
    </xf>
    <xf numFmtId="1" fontId="21" fillId="5" borderId="63" xfId="0" applyNumberFormat="1" applyFont="1" applyFill="1" applyBorder="1" applyAlignment="1">
      <alignment horizontal="center" vertical="center"/>
    </xf>
    <xf numFmtId="1" fontId="21" fillId="6" borderId="63" xfId="0" applyNumberFormat="1" applyFont="1" applyFill="1" applyBorder="1" applyAlignment="1">
      <alignment horizontal="center" vertical="center"/>
    </xf>
    <xf numFmtId="1" fontId="21" fillId="7" borderId="3" xfId="0" applyNumberFormat="1" applyFont="1" applyFill="1" applyBorder="1" applyAlignment="1">
      <alignment horizontal="center" vertical="center"/>
    </xf>
    <xf numFmtId="1" fontId="21" fillId="5" borderId="3" xfId="0" applyNumberFormat="1" applyFont="1" applyFill="1" applyBorder="1" applyAlignment="1">
      <alignment horizontal="center" vertical="center"/>
    </xf>
    <xf numFmtId="0" fontId="19" fillId="8" borderId="0" xfId="0" applyFont="1" applyFill="1" applyAlignment="1">
      <alignment vertical="center"/>
    </xf>
    <xf numFmtId="1" fontId="21" fillId="7" borderId="34" xfId="0" applyNumberFormat="1" applyFont="1" applyFill="1" applyBorder="1" applyAlignment="1">
      <alignment horizontal="center" vertical="center"/>
    </xf>
    <xf numFmtId="1" fontId="4" fillId="8" borderId="32" xfId="0" applyNumberFormat="1" applyFont="1" applyFill="1" applyBorder="1" applyAlignment="1">
      <alignment horizontal="center" vertical="center"/>
    </xf>
    <xf numFmtId="1" fontId="21" fillId="8" borderId="32" xfId="0" applyNumberFormat="1" applyFont="1" applyFill="1" applyBorder="1" applyAlignment="1">
      <alignment horizontal="center" vertical="center"/>
    </xf>
    <xf numFmtId="1" fontId="21" fillId="7" borderId="59" xfId="0" applyNumberFormat="1" applyFont="1" applyFill="1" applyBorder="1" applyAlignment="1">
      <alignment horizontal="center" vertical="center"/>
    </xf>
    <xf numFmtId="1" fontId="21" fillId="7" borderId="32" xfId="0" applyNumberFormat="1" applyFont="1" applyFill="1" applyBorder="1" applyAlignment="1">
      <alignment horizontal="center" vertical="center"/>
    </xf>
    <xf numFmtId="1" fontId="21" fillId="6" borderId="32" xfId="0" applyNumberFormat="1" applyFont="1" applyFill="1" applyBorder="1" applyAlignment="1">
      <alignment horizontal="center" vertical="center"/>
    </xf>
    <xf numFmtId="0" fontId="21" fillId="0" borderId="0" xfId="0" applyFont="1" applyAlignment="1">
      <alignment horizontal="left" wrapText="1"/>
    </xf>
    <xf numFmtId="1" fontId="46" fillId="8" borderId="0" xfId="0" applyNumberFormat="1" applyFont="1" applyFill="1"/>
    <xf numFmtId="0" fontId="117" fillId="8" borderId="0" xfId="0" applyFont="1" applyFill="1" applyAlignment="1">
      <alignment horizontal="left" vertical="center" wrapText="1"/>
    </xf>
    <xf numFmtId="1" fontId="21" fillId="0" borderId="62" xfId="0" applyNumberFormat="1" applyFont="1" applyBorder="1" applyAlignment="1">
      <alignment horizontal="center" vertical="center"/>
    </xf>
    <xf numFmtId="1" fontId="19" fillId="7" borderId="4" xfId="0" applyNumberFormat="1" applyFont="1" applyFill="1" applyBorder="1" applyAlignment="1">
      <alignment horizontal="center" vertical="center"/>
    </xf>
    <xf numFmtId="1" fontId="19" fillId="5" borderId="4" xfId="0" applyNumberFormat="1" applyFont="1" applyFill="1" applyBorder="1" applyAlignment="1">
      <alignment horizontal="center" vertical="center"/>
    </xf>
    <xf numFmtId="1" fontId="19" fillId="6" borderId="4" xfId="0" applyNumberFormat="1" applyFont="1" applyFill="1" applyBorder="1" applyAlignment="1">
      <alignment horizontal="center" vertical="center"/>
    </xf>
    <xf numFmtId="1" fontId="21" fillId="8" borderId="61" xfId="0" applyNumberFormat="1" applyFont="1" applyFill="1" applyBorder="1" applyAlignment="1">
      <alignment horizontal="center" vertical="center"/>
    </xf>
    <xf numFmtId="0" fontId="21" fillId="0" borderId="33" xfId="0" applyFont="1" applyBorder="1" applyAlignment="1">
      <alignment horizontal="center" vertical="center"/>
    </xf>
    <xf numFmtId="0" fontId="21" fillId="0" borderId="29" xfId="0" applyFont="1" applyBorder="1" applyAlignment="1">
      <alignment horizontal="center" vertical="center"/>
    </xf>
    <xf numFmtId="0" fontId="19" fillId="0" borderId="53" xfId="0" applyFont="1" applyBorder="1" applyAlignment="1">
      <alignment horizontal="center" vertical="center"/>
    </xf>
    <xf numFmtId="0" fontId="19" fillId="8" borderId="11" xfId="0" applyFont="1" applyFill="1" applyBorder="1" applyAlignment="1">
      <alignment horizontal="center" vertical="center"/>
    </xf>
    <xf numFmtId="2" fontId="21" fillId="8" borderId="34" xfId="0" applyNumberFormat="1" applyFont="1" applyFill="1" applyBorder="1" applyAlignment="1">
      <alignment horizontal="center" vertical="center"/>
    </xf>
    <xf numFmtId="2" fontId="21" fillId="7" borderId="29" xfId="0" applyNumberFormat="1" applyFont="1" applyFill="1" applyBorder="1" applyAlignment="1">
      <alignment horizontal="center" vertical="center"/>
    </xf>
    <xf numFmtId="0" fontId="7" fillId="0" borderId="37" xfId="0" applyFont="1" applyBorder="1" applyAlignment="1">
      <alignment horizontal="center" vertical="center"/>
    </xf>
    <xf numFmtId="0" fontId="7" fillId="0" borderId="65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1" fontId="4" fillId="8" borderId="31" xfId="0" applyNumberFormat="1" applyFont="1" applyFill="1" applyBorder="1" applyAlignment="1">
      <alignment horizontal="center" vertical="center"/>
    </xf>
    <xf numFmtId="1" fontId="7" fillId="0" borderId="31" xfId="0" applyNumberFormat="1" applyFont="1" applyBorder="1" applyAlignment="1">
      <alignment horizontal="center" vertical="center"/>
    </xf>
    <xf numFmtId="1" fontId="7" fillId="0" borderId="10" xfId="0" applyNumberFormat="1" applyFont="1" applyBorder="1" applyAlignment="1">
      <alignment vertical="center"/>
    </xf>
    <xf numFmtId="1" fontId="78" fillId="8" borderId="10" xfId="0" applyNumberFormat="1" applyFont="1" applyFill="1" applyBorder="1" applyAlignment="1">
      <alignment vertical="center"/>
    </xf>
    <xf numFmtId="1" fontId="78" fillId="8" borderId="10" xfId="0" applyNumberFormat="1" applyFont="1" applyFill="1" applyBorder="1" applyAlignment="1">
      <alignment horizontal="center" vertical="center"/>
    </xf>
    <xf numFmtId="1" fontId="4" fillId="8" borderId="76" xfId="0" applyNumberFormat="1" applyFont="1" applyFill="1" applyBorder="1" applyAlignment="1">
      <alignment horizontal="center" vertical="center"/>
    </xf>
    <xf numFmtId="1" fontId="7" fillId="8" borderId="10" xfId="0" applyNumberFormat="1" applyFont="1" applyFill="1" applyBorder="1" applyAlignment="1">
      <alignment horizontal="center"/>
    </xf>
    <xf numFmtId="0" fontId="5" fillId="0" borderId="10" xfId="0" applyFont="1" applyBorder="1" applyAlignment="1">
      <alignment vertical="center"/>
    </xf>
    <xf numFmtId="0" fontId="7" fillId="8" borderId="10" xfId="0" applyFont="1" applyFill="1" applyBorder="1" applyAlignment="1">
      <alignment vertical="center"/>
    </xf>
    <xf numFmtId="0" fontId="7" fillId="0" borderId="10" xfId="0" applyFont="1" applyBorder="1" applyAlignment="1">
      <alignment vertical="center"/>
    </xf>
    <xf numFmtId="1" fontId="7" fillId="8" borderId="31" xfId="0" applyNumberFormat="1" applyFont="1" applyFill="1" applyBorder="1" applyAlignment="1">
      <alignment horizontal="center" vertical="center"/>
    </xf>
    <xf numFmtId="1" fontId="4" fillId="8" borderId="29" xfId="0" applyNumberFormat="1" applyFont="1" applyFill="1" applyBorder="1" applyAlignment="1">
      <alignment horizontal="center" vertical="center"/>
    </xf>
    <xf numFmtId="0" fontId="21" fillId="8" borderId="31" xfId="0" applyFont="1" applyFill="1" applyBorder="1" applyAlignment="1">
      <alignment horizontal="right" vertical="center"/>
    </xf>
    <xf numFmtId="0" fontId="78" fillId="0" borderId="10" xfId="0" applyFont="1" applyBorder="1"/>
    <xf numFmtId="0" fontId="78" fillId="0" borderId="10" xfId="0" applyFont="1" applyBorder="1" applyAlignment="1">
      <alignment horizontal="center"/>
    </xf>
    <xf numFmtId="1" fontId="78" fillId="0" borderId="10" xfId="0" applyNumberFormat="1" applyFont="1" applyBorder="1" applyAlignment="1">
      <alignment horizontal="center"/>
    </xf>
    <xf numFmtId="167" fontId="78" fillId="0" borderId="10" xfId="0" applyNumberFormat="1" applyFont="1" applyBorder="1" applyAlignment="1">
      <alignment horizontal="center"/>
    </xf>
    <xf numFmtId="1" fontId="78" fillId="8" borderId="10" xfId="0" applyNumberFormat="1" applyFont="1" applyFill="1" applyBorder="1" applyAlignment="1">
      <alignment horizontal="center"/>
    </xf>
    <xf numFmtId="0" fontId="8" fillId="8" borderId="31" xfId="0" applyFont="1" applyFill="1" applyBorder="1" applyAlignment="1">
      <alignment horizontal="left" vertical="center"/>
    </xf>
    <xf numFmtId="0" fontId="22" fillId="8" borderId="31" xfId="0" applyFont="1" applyFill="1" applyBorder="1" applyAlignment="1">
      <alignment horizontal="left" vertical="center"/>
    </xf>
    <xf numFmtId="0" fontId="8" fillId="0" borderId="31" xfId="0" applyFont="1" applyBorder="1" applyAlignment="1">
      <alignment horizontal="right" vertical="center"/>
    </xf>
    <xf numFmtId="1" fontId="22" fillId="7" borderId="25" xfId="0" applyNumberFormat="1" applyFont="1" applyFill="1" applyBorder="1" applyAlignment="1">
      <alignment horizontal="center" vertical="center"/>
    </xf>
    <xf numFmtId="167" fontId="22" fillId="5" borderId="25" xfId="0" applyNumberFormat="1" applyFont="1" applyFill="1" applyBorder="1" applyAlignment="1">
      <alignment horizontal="center" vertical="center"/>
    </xf>
    <xf numFmtId="167" fontId="22" fillId="7" borderId="25" xfId="0" applyNumberFormat="1" applyFont="1" applyFill="1" applyBorder="1" applyAlignment="1">
      <alignment horizontal="center" vertical="center"/>
    </xf>
    <xf numFmtId="1" fontId="22" fillId="5" borderId="25" xfId="0" applyNumberFormat="1" applyFont="1" applyFill="1" applyBorder="1" applyAlignment="1">
      <alignment horizontal="center" vertical="center"/>
    </xf>
    <xf numFmtId="0" fontId="21" fillId="0" borderId="68" xfId="0" applyFont="1" applyBorder="1" applyAlignment="1">
      <alignment horizontal="center" vertical="center"/>
    </xf>
    <xf numFmtId="0" fontId="19" fillId="8" borderId="44" xfId="0" applyFont="1" applyFill="1" applyBorder="1"/>
    <xf numFmtId="2" fontId="21" fillId="0" borderId="34" xfId="0" applyNumberFormat="1" applyFont="1" applyBorder="1" applyAlignment="1">
      <alignment horizontal="center" vertical="center"/>
    </xf>
    <xf numFmtId="2" fontId="21" fillId="7" borderId="34" xfId="0" applyNumberFormat="1" applyFont="1" applyFill="1" applyBorder="1" applyAlignment="1">
      <alignment horizontal="center" vertical="center"/>
    </xf>
    <xf numFmtId="2" fontId="21" fillId="6" borderId="34" xfId="0" applyNumberFormat="1" applyFont="1" applyFill="1" applyBorder="1" applyAlignment="1">
      <alignment horizontal="center" vertical="center"/>
    </xf>
    <xf numFmtId="2" fontId="21" fillId="0" borderId="32" xfId="0" applyNumberFormat="1" applyFont="1" applyBorder="1" applyAlignment="1">
      <alignment horizontal="center" vertical="center"/>
    </xf>
    <xf numFmtId="2" fontId="21" fillId="7" borderId="32" xfId="0" applyNumberFormat="1" applyFont="1" applyFill="1" applyBorder="1" applyAlignment="1">
      <alignment horizontal="center" vertical="center"/>
    </xf>
    <xf numFmtId="2" fontId="21" fillId="5" borderId="32" xfId="0" applyNumberFormat="1" applyFont="1" applyFill="1" applyBorder="1" applyAlignment="1">
      <alignment horizontal="center" vertical="center"/>
    </xf>
    <xf numFmtId="2" fontId="21" fillId="6" borderId="32" xfId="0" applyNumberFormat="1" applyFont="1" applyFill="1" applyBorder="1" applyAlignment="1">
      <alignment horizontal="center" vertical="center"/>
    </xf>
    <xf numFmtId="0" fontId="21" fillId="0" borderId="66" xfId="0" applyFont="1" applyBorder="1" applyAlignment="1">
      <alignment horizontal="center" vertical="center"/>
    </xf>
    <xf numFmtId="1" fontId="21" fillId="6" borderId="24" xfId="0" applyNumberFormat="1" applyFont="1" applyFill="1" applyBorder="1" applyAlignment="1">
      <alignment horizontal="center" vertical="center"/>
    </xf>
    <xf numFmtId="1" fontId="21" fillId="7" borderId="52" xfId="0" applyNumberFormat="1" applyFont="1" applyFill="1" applyBorder="1" applyAlignment="1">
      <alignment horizontal="center" vertical="center"/>
    </xf>
    <xf numFmtId="1" fontId="21" fillId="5" borderId="52" xfId="0" applyNumberFormat="1" applyFont="1" applyFill="1" applyBorder="1" applyAlignment="1">
      <alignment horizontal="center" vertical="center"/>
    </xf>
    <xf numFmtId="1" fontId="22" fillId="5" borderId="57" xfId="0" applyNumberFormat="1" applyFont="1" applyFill="1" applyBorder="1" applyAlignment="1">
      <alignment horizontal="center" vertical="center"/>
    </xf>
    <xf numFmtId="1" fontId="21" fillId="6" borderId="52" xfId="0" applyNumberFormat="1" applyFont="1" applyFill="1" applyBorder="1" applyAlignment="1">
      <alignment horizontal="center" vertical="center"/>
    </xf>
    <xf numFmtId="1" fontId="21" fillId="7" borderId="51" xfId="0" applyNumberFormat="1" applyFont="1" applyFill="1" applyBorder="1" applyAlignment="1">
      <alignment horizontal="center" vertical="center"/>
    </xf>
    <xf numFmtId="1" fontId="21" fillId="7" borderId="70" xfId="0" applyNumberFormat="1" applyFont="1" applyFill="1" applyBorder="1" applyAlignment="1">
      <alignment horizontal="center" vertical="center"/>
    </xf>
    <xf numFmtId="1" fontId="22" fillId="5" borderId="1" xfId="0" applyNumberFormat="1" applyFont="1" applyFill="1" applyBorder="1" applyAlignment="1">
      <alignment horizontal="center" vertical="center"/>
    </xf>
    <xf numFmtId="167" fontId="21" fillId="0" borderId="63" xfId="0" applyNumberFormat="1" applyFont="1" applyBorder="1" applyAlignment="1">
      <alignment horizontal="center" vertical="center"/>
    </xf>
    <xf numFmtId="167" fontId="21" fillId="7" borderId="63" xfId="0" applyNumberFormat="1" applyFont="1" applyFill="1" applyBorder="1" applyAlignment="1">
      <alignment horizontal="center" vertical="center"/>
    </xf>
    <xf numFmtId="167" fontId="21" fillId="0" borderId="31" xfId="0" applyNumberFormat="1" applyFont="1" applyBorder="1" applyAlignment="1">
      <alignment horizontal="center" vertical="center"/>
    </xf>
    <xf numFmtId="167" fontId="21" fillId="0" borderId="62" xfId="0" applyNumberFormat="1" applyFont="1" applyBorder="1" applyAlignment="1">
      <alignment horizontal="center" vertical="center"/>
    </xf>
    <xf numFmtId="167" fontId="21" fillId="7" borderId="62" xfId="0" applyNumberFormat="1" applyFont="1" applyFill="1" applyBorder="1" applyAlignment="1">
      <alignment horizontal="center" vertical="center"/>
    </xf>
    <xf numFmtId="167" fontId="19" fillId="0" borderId="1" xfId="0" applyNumberFormat="1" applyFont="1" applyBorder="1" applyAlignment="1">
      <alignment horizontal="center" vertical="center"/>
    </xf>
    <xf numFmtId="167" fontId="19" fillId="7" borderId="1" xfId="0" applyNumberFormat="1" applyFont="1" applyFill="1" applyBorder="1" applyAlignment="1">
      <alignment horizontal="center" vertical="center"/>
    </xf>
    <xf numFmtId="167" fontId="19" fillId="5" borderId="1" xfId="0" applyNumberFormat="1" applyFont="1" applyFill="1" applyBorder="1" applyAlignment="1">
      <alignment horizontal="center" vertical="center"/>
    </xf>
    <xf numFmtId="167" fontId="19" fillId="6" borderId="1" xfId="0" applyNumberFormat="1" applyFont="1" applyFill="1" applyBorder="1" applyAlignment="1">
      <alignment horizontal="center" vertical="center"/>
    </xf>
    <xf numFmtId="167" fontId="21" fillId="8" borderId="31" xfId="0" applyNumberFormat="1" applyFont="1" applyFill="1" applyBorder="1" applyAlignment="1">
      <alignment horizontal="center" vertical="center"/>
    </xf>
    <xf numFmtId="1" fontId="19" fillId="0" borderId="13" xfId="0" applyNumberFormat="1" applyFont="1" applyBorder="1" applyAlignment="1">
      <alignment horizontal="center" vertical="center"/>
    </xf>
    <xf numFmtId="0" fontId="21" fillId="0" borderId="10" xfId="0" applyFont="1" applyBorder="1" applyAlignment="1">
      <alignment vertical="center"/>
    </xf>
    <xf numFmtId="0" fontId="21" fillId="0" borderId="10" xfId="0" applyFont="1" applyBorder="1" applyAlignment="1">
      <alignment horizontal="center"/>
    </xf>
    <xf numFmtId="0" fontId="19" fillId="0" borderId="9" xfId="0" applyFont="1" applyBorder="1" applyAlignment="1">
      <alignment vertical="center"/>
    </xf>
    <xf numFmtId="0" fontId="5" fillId="8" borderId="52" xfId="0" applyFont="1" applyFill="1" applyBorder="1" applyAlignment="1">
      <alignment vertical="center"/>
    </xf>
    <xf numFmtId="1" fontId="21" fillId="5" borderId="35" xfId="0" applyNumberFormat="1" applyFont="1" applyFill="1" applyBorder="1" applyAlignment="1">
      <alignment horizontal="center" vertical="center"/>
    </xf>
    <xf numFmtId="1" fontId="21" fillId="5" borderId="10" xfId="0" applyNumberFormat="1" applyFont="1" applyFill="1" applyBorder="1" applyAlignment="1">
      <alignment horizontal="center" vertical="center"/>
    </xf>
    <xf numFmtId="1" fontId="21" fillId="7" borderId="10" xfId="0" applyNumberFormat="1" applyFont="1" applyFill="1" applyBorder="1" applyAlignment="1">
      <alignment horizontal="center" vertical="center"/>
    </xf>
    <xf numFmtId="0" fontId="19" fillId="8" borderId="44" xfId="0" applyFont="1" applyFill="1" applyBorder="1" applyAlignment="1">
      <alignment vertical="center"/>
    </xf>
    <xf numFmtId="0" fontId="22" fillId="0" borderId="17" xfId="0" applyFont="1" applyBorder="1" applyAlignment="1">
      <alignment horizontal="center" vertical="center"/>
    </xf>
    <xf numFmtId="1" fontId="22" fillId="5" borderId="29" xfId="0" applyNumberFormat="1" applyFont="1" applyFill="1" applyBorder="1" applyAlignment="1">
      <alignment horizontal="center" vertical="center"/>
    </xf>
    <xf numFmtId="169" fontId="21" fillId="8" borderId="29" xfId="0" applyNumberFormat="1" applyFont="1" applyFill="1" applyBorder="1" applyAlignment="1">
      <alignment horizontal="center" vertical="center"/>
    </xf>
    <xf numFmtId="0" fontId="21" fillId="7" borderId="29" xfId="0" applyFont="1" applyFill="1" applyBorder="1" applyAlignment="1">
      <alignment horizontal="center" vertical="center"/>
    </xf>
    <xf numFmtId="0" fontId="21" fillId="6" borderId="29" xfId="0" applyFont="1" applyFill="1" applyBorder="1" applyAlignment="1">
      <alignment horizontal="center" vertical="center"/>
    </xf>
    <xf numFmtId="0" fontId="19" fillId="8" borderId="47" xfId="0" applyFont="1" applyFill="1" applyBorder="1" applyAlignment="1">
      <alignment vertical="center"/>
    </xf>
    <xf numFmtId="0" fontId="21" fillId="0" borderId="5" xfId="0" applyFont="1" applyBorder="1" applyAlignment="1">
      <alignment horizontal="center" vertical="center"/>
    </xf>
    <xf numFmtId="0" fontId="21" fillId="5" borderId="31" xfId="0" applyFont="1" applyFill="1" applyBorder="1" applyAlignment="1">
      <alignment horizontal="center" vertical="center"/>
    </xf>
    <xf numFmtId="169" fontId="21" fillId="8" borderId="32" xfId="0" applyNumberFormat="1" applyFont="1" applyFill="1" applyBorder="1" applyAlignment="1">
      <alignment horizontal="center" vertical="center"/>
    </xf>
    <xf numFmtId="0" fontId="46" fillId="0" borderId="1" xfId="0" applyFont="1" applyBorder="1"/>
    <xf numFmtId="0" fontId="21" fillId="0" borderId="30" xfId="0" applyFont="1" applyBorder="1" applyAlignment="1">
      <alignment horizontal="center" vertical="center"/>
    </xf>
    <xf numFmtId="0" fontId="88" fillId="8" borderId="0" xfId="0" applyFont="1" applyFill="1"/>
    <xf numFmtId="2" fontId="21" fillId="7" borderId="47" xfId="0" applyNumberFormat="1" applyFont="1" applyFill="1" applyBorder="1" applyAlignment="1">
      <alignment horizontal="center" vertical="center"/>
    </xf>
    <xf numFmtId="2" fontId="21" fillId="6" borderId="47" xfId="0" applyNumberFormat="1" applyFont="1" applyFill="1" applyBorder="1" applyAlignment="1">
      <alignment horizontal="center" vertical="center"/>
    </xf>
    <xf numFmtId="1" fontId="21" fillId="6" borderId="34" xfId="0" applyNumberFormat="1" applyFont="1" applyFill="1" applyBorder="1" applyAlignment="1">
      <alignment horizontal="center" vertical="center"/>
    </xf>
    <xf numFmtId="0" fontId="4" fillId="0" borderId="71" xfId="0" applyFont="1" applyBorder="1" applyAlignment="1">
      <alignment horizontal="center" vertical="center"/>
    </xf>
    <xf numFmtId="1" fontId="4" fillId="6" borderId="34" xfId="0" applyNumberFormat="1" applyFont="1" applyFill="1" applyBorder="1" applyAlignment="1">
      <alignment horizontal="center" vertical="center"/>
    </xf>
    <xf numFmtId="1" fontId="4" fillId="7" borderId="34" xfId="0" applyNumberFormat="1" applyFont="1" applyFill="1" applyBorder="1" applyAlignment="1">
      <alignment horizontal="center" vertical="center"/>
    </xf>
    <xf numFmtId="167" fontId="46" fillId="0" borderId="10" xfId="0" applyNumberFormat="1" applyFont="1" applyBorder="1" applyAlignment="1">
      <alignment horizontal="center" vertical="center"/>
    </xf>
    <xf numFmtId="0" fontId="22" fillId="6" borderId="10" xfId="0" applyFont="1" applyFill="1" applyBorder="1" applyAlignment="1">
      <alignment horizontal="center" vertical="center"/>
    </xf>
    <xf numFmtId="1" fontId="19" fillId="5" borderId="10" xfId="0" applyNumberFormat="1" applyFont="1" applyFill="1" applyBorder="1" applyAlignment="1">
      <alignment horizontal="center" vertical="center"/>
    </xf>
    <xf numFmtId="0" fontId="22" fillId="6" borderId="17" xfId="0" applyFont="1" applyFill="1" applyBorder="1" applyAlignment="1">
      <alignment horizontal="center" vertical="center"/>
    </xf>
    <xf numFmtId="0" fontId="20" fillId="0" borderId="10" xfId="0" applyFont="1" applyBorder="1"/>
    <xf numFmtId="0" fontId="121" fillId="0" borderId="10" xfId="0" applyFont="1" applyBorder="1"/>
    <xf numFmtId="0" fontId="19" fillId="0" borderId="10" xfId="0" applyFont="1" applyBorder="1" applyAlignment="1">
      <alignment horizontal="center" vertical="center"/>
    </xf>
    <xf numFmtId="167" fontId="20" fillId="5" borderId="10" xfId="0" applyNumberFormat="1" applyFont="1" applyFill="1" applyBorder="1" applyAlignment="1">
      <alignment horizontal="center" vertical="center"/>
    </xf>
    <xf numFmtId="167" fontId="20" fillId="7" borderId="10" xfId="0" applyNumberFormat="1" applyFont="1" applyFill="1" applyBorder="1" applyAlignment="1">
      <alignment horizontal="center" vertical="center"/>
    </xf>
    <xf numFmtId="167" fontId="20" fillId="6" borderId="10" xfId="0" applyNumberFormat="1" applyFont="1" applyFill="1" applyBorder="1" applyAlignment="1">
      <alignment horizontal="center" vertical="center"/>
    </xf>
    <xf numFmtId="0" fontId="33" fillId="0" borderId="10" xfId="0" applyFont="1" applyBorder="1"/>
    <xf numFmtId="0" fontId="122" fillId="0" borderId="10" xfId="0" applyFont="1" applyBorder="1"/>
    <xf numFmtId="0" fontId="19" fillId="0" borderId="10" xfId="0" applyFont="1" applyBorder="1" applyAlignment="1">
      <alignment vertical="center"/>
    </xf>
    <xf numFmtId="0" fontId="19" fillId="8" borderId="10" xfId="0" applyFont="1" applyFill="1" applyBorder="1" applyAlignment="1">
      <alignment horizontal="center" vertical="center"/>
    </xf>
    <xf numFmtId="0" fontId="22" fillId="8" borderId="10" xfId="0" applyFont="1" applyFill="1" applyBorder="1" applyAlignment="1">
      <alignment horizontal="center" vertical="center"/>
    </xf>
    <xf numFmtId="167" fontId="19" fillId="8" borderId="10" xfId="0" applyNumberFormat="1" applyFont="1" applyFill="1" applyBorder="1" applyAlignment="1">
      <alignment horizontal="center" vertical="center"/>
    </xf>
    <xf numFmtId="167" fontId="19" fillId="7" borderId="10" xfId="0" applyNumberFormat="1" applyFont="1" applyFill="1" applyBorder="1" applyAlignment="1">
      <alignment horizontal="center" vertical="center"/>
    </xf>
    <xf numFmtId="167" fontId="19" fillId="5" borderId="10" xfId="0" applyNumberFormat="1" applyFont="1" applyFill="1" applyBorder="1" applyAlignment="1">
      <alignment horizontal="center" vertical="center"/>
    </xf>
    <xf numFmtId="167" fontId="19" fillId="6" borderId="10" xfId="0" applyNumberFormat="1" applyFont="1" applyFill="1" applyBorder="1" applyAlignment="1">
      <alignment horizontal="center" vertical="center"/>
    </xf>
    <xf numFmtId="167" fontId="19" fillId="0" borderId="10" xfId="0" applyNumberFormat="1" applyFont="1" applyBorder="1" applyAlignment="1">
      <alignment horizontal="center" vertical="center"/>
    </xf>
    <xf numFmtId="0" fontId="7" fillId="0" borderId="31" xfId="0" applyFont="1" applyBorder="1" applyAlignment="1">
      <alignment horizontal="left" vertical="center"/>
    </xf>
    <xf numFmtId="0" fontId="21" fillId="0" borderId="41" xfId="0" applyFont="1" applyBorder="1" applyAlignment="1">
      <alignment horizontal="center" vertical="center"/>
    </xf>
    <xf numFmtId="1" fontId="19" fillId="0" borderId="8" xfId="0" applyNumberFormat="1" applyFont="1" applyBorder="1" applyAlignment="1">
      <alignment horizontal="center" vertical="center"/>
    </xf>
    <xf numFmtId="0" fontId="21" fillId="5" borderId="29" xfId="0" applyFont="1" applyFill="1" applyBorder="1" applyAlignment="1">
      <alignment horizontal="center" vertical="center"/>
    </xf>
    <xf numFmtId="1" fontId="22" fillId="7" borderId="29" xfId="0" applyNumberFormat="1" applyFont="1" applyFill="1" applyBorder="1" applyAlignment="1">
      <alignment horizontal="center" vertical="center"/>
    </xf>
    <xf numFmtId="0" fontId="33" fillId="8" borderId="47" xfId="0" applyFont="1" applyFill="1" applyBorder="1" applyAlignment="1">
      <alignment vertical="center"/>
    </xf>
    <xf numFmtId="0" fontId="33" fillId="8" borderId="52" xfId="0" applyFont="1" applyFill="1" applyBorder="1" applyAlignment="1">
      <alignment vertical="center"/>
    </xf>
    <xf numFmtId="0" fontId="21" fillId="7" borderId="3" xfId="0" applyFont="1" applyFill="1" applyBorder="1" applyAlignment="1">
      <alignment horizontal="center" vertical="center"/>
    </xf>
    <xf numFmtId="0" fontId="21" fillId="5" borderId="3" xfId="0" applyFont="1" applyFill="1" applyBorder="1" applyAlignment="1">
      <alignment horizontal="center" vertical="center"/>
    </xf>
    <xf numFmtId="0" fontId="21" fillId="6" borderId="3" xfId="0" applyFont="1" applyFill="1" applyBorder="1" applyAlignment="1">
      <alignment horizontal="center" vertical="center"/>
    </xf>
    <xf numFmtId="0" fontId="21" fillId="0" borderId="64" xfId="0" applyFont="1" applyBorder="1" applyAlignment="1">
      <alignment horizontal="center" vertical="center"/>
    </xf>
    <xf numFmtId="0" fontId="21" fillId="6" borderId="38" xfId="0" applyFont="1" applyFill="1" applyBorder="1" applyAlignment="1">
      <alignment horizontal="center" vertical="center"/>
    </xf>
    <xf numFmtId="1" fontId="21" fillId="7" borderId="31" xfId="0" quotePrefix="1" applyNumberFormat="1" applyFont="1" applyFill="1" applyBorder="1" applyAlignment="1">
      <alignment horizontal="center" vertical="center"/>
    </xf>
    <xf numFmtId="1" fontId="21" fillId="5" borderId="31" xfId="0" quotePrefix="1" applyNumberFormat="1" applyFont="1" applyFill="1" applyBorder="1" applyAlignment="1">
      <alignment horizontal="center" vertical="center"/>
    </xf>
    <xf numFmtId="1" fontId="21" fillId="6" borderId="31" xfId="0" quotePrefix="1" applyNumberFormat="1" applyFont="1" applyFill="1" applyBorder="1" applyAlignment="1">
      <alignment horizontal="center" vertical="center"/>
    </xf>
    <xf numFmtId="0" fontId="21" fillId="0" borderId="15" xfId="0" applyFont="1" applyBorder="1" applyAlignment="1">
      <alignment horizontal="center" vertical="center"/>
    </xf>
    <xf numFmtId="1" fontId="22" fillId="7" borderId="35" xfId="0" quotePrefix="1" applyNumberFormat="1" applyFont="1" applyFill="1" applyBorder="1" applyAlignment="1">
      <alignment horizontal="center" vertical="center"/>
    </xf>
    <xf numFmtId="1" fontId="22" fillId="5" borderId="74" xfId="0" quotePrefix="1" applyNumberFormat="1" applyFont="1" applyFill="1" applyBorder="1" applyAlignment="1">
      <alignment horizontal="center" vertical="center"/>
    </xf>
    <xf numFmtId="2" fontId="22" fillId="7" borderId="66" xfId="0" applyNumberFormat="1" applyFont="1" applyFill="1" applyBorder="1" applyAlignment="1">
      <alignment horizontal="center" vertical="center"/>
    </xf>
    <xf numFmtId="2" fontId="22" fillId="6" borderId="48" xfId="0" applyNumberFormat="1" applyFont="1" applyFill="1" applyBorder="1" applyAlignment="1">
      <alignment horizontal="center" vertical="center"/>
    </xf>
    <xf numFmtId="2" fontId="22" fillId="7" borderId="48" xfId="0" applyNumberFormat="1" applyFont="1" applyFill="1" applyBorder="1" applyAlignment="1">
      <alignment horizontal="center" vertical="center"/>
    </xf>
    <xf numFmtId="2" fontId="22" fillId="7" borderId="15" xfId="0" applyNumberFormat="1" applyFont="1" applyFill="1" applyBorder="1" applyAlignment="1">
      <alignment horizontal="center" vertical="center"/>
    </xf>
    <xf numFmtId="0" fontId="22" fillId="0" borderId="64" xfId="0" applyFont="1" applyBorder="1" applyAlignment="1">
      <alignment horizontal="center" vertical="center"/>
    </xf>
    <xf numFmtId="0" fontId="21" fillId="7" borderId="31" xfId="0" applyFont="1" applyFill="1" applyBorder="1" applyAlignment="1">
      <alignment horizontal="center" vertical="center"/>
    </xf>
    <xf numFmtId="0" fontId="21" fillId="6" borderId="31" xfId="0" applyFont="1" applyFill="1" applyBorder="1" applyAlignment="1">
      <alignment horizontal="center" vertical="center"/>
    </xf>
    <xf numFmtId="0" fontId="49" fillId="0" borderId="10" xfId="0" applyFont="1" applyBorder="1"/>
    <xf numFmtId="0" fontId="46" fillId="8" borderId="10" xfId="0" applyFont="1" applyFill="1" applyBorder="1" applyAlignment="1">
      <alignment horizontal="center" vertical="center"/>
    </xf>
    <xf numFmtId="0" fontId="46" fillId="6" borderId="10" xfId="0" applyFont="1" applyFill="1" applyBorder="1" applyAlignment="1">
      <alignment horizontal="center" vertical="center"/>
    </xf>
    <xf numFmtId="0" fontId="49" fillId="0" borderId="0" xfId="0" applyFont="1"/>
    <xf numFmtId="0" fontId="91" fillId="0" borderId="37" xfId="0" applyFont="1" applyBorder="1" applyAlignment="1">
      <alignment horizontal="center" vertical="center"/>
    </xf>
    <xf numFmtId="0" fontId="46" fillId="0" borderId="10" xfId="0" applyFont="1" applyBorder="1" applyAlignment="1">
      <alignment horizontal="right"/>
    </xf>
    <xf numFmtId="0" fontId="46" fillId="0" borderId="37" xfId="0" applyFont="1" applyBorder="1" applyAlignment="1">
      <alignment horizontal="center" vertical="center"/>
    </xf>
    <xf numFmtId="0" fontId="46" fillId="0" borderId="29" xfId="0" applyFont="1" applyBorder="1" applyAlignment="1">
      <alignment horizontal="center" vertical="center"/>
    </xf>
    <xf numFmtId="0" fontId="46" fillId="0" borderId="10" xfId="0" applyFont="1" applyBorder="1" applyAlignment="1">
      <alignment horizontal="left"/>
    </xf>
    <xf numFmtId="2" fontId="22" fillId="5" borderId="10" xfId="0" applyNumberFormat="1" applyFont="1" applyFill="1" applyBorder="1" applyAlignment="1">
      <alignment horizontal="center" vertical="center"/>
    </xf>
    <xf numFmtId="0" fontId="44" fillId="0" borderId="0" xfId="0" applyFont="1" applyAlignment="1">
      <alignment vertical="center"/>
    </xf>
    <xf numFmtId="0" fontId="7" fillId="7" borderId="29" xfId="0" applyFont="1" applyFill="1" applyBorder="1" applyAlignment="1">
      <alignment horizontal="center" vertical="center"/>
    </xf>
    <xf numFmtId="0" fontId="7" fillId="8" borderId="44" xfId="0" applyFont="1" applyFill="1" applyBorder="1" applyAlignment="1">
      <alignment horizontal="center" vertical="center" wrapText="1"/>
    </xf>
    <xf numFmtId="0" fontId="7" fillId="8" borderId="42" xfId="0" applyFont="1" applyFill="1" applyBorder="1" applyAlignment="1">
      <alignment horizontal="left" vertical="center" wrapText="1"/>
    </xf>
    <xf numFmtId="0" fontId="7" fillId="7" borderId="44" xfId="0" applyFont="1" applyFill="1" applyBorder="1" applyAlignment="1">
      <alignment horizontal="center" vertical="center" wrapText="1"/>
    </xf>
    <xf numFmtId="0" fontId="7" fillId="7" borderId="42" xfId="0" applyFont="1" applyFill="1" applyBorder="1" applyAlignment="1">
      <alignment horizontal="left" vertical="center" wrapText="1"/>
    </xf>
    <xf numFmtId="0" fontId="7" fillId="5" borderId="63" xfId="0" applyFont="1" applyFill="1" applyBorder="1" applyAlignment="1">
      <alignment horizontal="center" vertical="center" wrapText="1"/>
    </xf>
    <xf numFmtId="0" fontId="7" fillId="6" borderId="44" xfId="0" applyFont="1" applyFill="1" applyBorder="1" applyAlignment="1">
      <alignment horizontal="center" vertical="center" wrapText="1"/>
    </xf>
    <xf numFmtId="0" fontId="7" fillId="6" borderId="42" xfId="0" applyFont="1" applyFill="1" applyBorder="1" applyAlignment="1">
      <alignment horizontal="left" vertical="center" wrapText="1"/>
    </xf>
    <xf numFmtId="0" fontId="7" fillId="8" borderId="47" xfId="0" quotePrefix="1" applyFont="1" applyFill="1" applyBorder="1" applyAlignment="1">
      <alignment horizontal="center" vertical="center"/>
    </xf>
    <xf numFmtId="0" fontId="7" fillId="8" borderId="17" xfId="0" quotePrefix="1" applyFont="1" applyFill="1" applyBorder="1" applyAlignment="1">
      <alignment horizontal="left" vertical="center" wrapText="1"/>
    </xf>
    <xf numFmtId="0" fontId="7" fillId="7" borderId="47" xfId="0" quotePrefix="1" applyFont="1" applyFill="1" applyBorder="1" applyAlignment="1">
      <alignment horizontal="center" vertical="center"/>
    </xf>
    <xf numFmtId="0" fontId="7" fillId="7" borderId="17" xfId="0" quotePrefix="1" applyFont="1" applyFill="1" applyBorder="1" applyAlignment="1">
      <alignment horizontal="left" vertical="center" wrapText="1"/>
    </xf>
    <xf numFmtId="0" fontId="7" fillId="5" borderId="31" xfId="0" applyFont="1" applyFill="1" applyBorder="1" applyAlignment="1">
      <alignment horizontal="center" vertical="center" wrapText="1"/>
    </xf>
    <xf numFmtId="0" fontId="7" fillId="6" borderId="47" xfId="0" quotePrefix="1" applyFont="1" applyFill="1" applyBorder="1" applyAlignment="1">
      <alignment horizontal="center" vertical="center"/>
    </xf>
    <xf numFmtId="0" fontId="7" fillId="6" borderId="17" xfId="0" quotePrefix="1" applyFont="1" applyFill="1" applyBorder="1" applyAlignment="1">
      <alignment horizontal="left" vertical="center" wrapText="1"/>
    </xf>
    <xf numFmtId="0" fontId="7" fillId="5" borderId="32" xfId="0" applyFont="1" applyFill="1" applyBorder="1" applyAlignment="1">
      <alignment horizontal="center" vertical="center" wrapText="1"/>
    </xf>
    <xf numFmtId="0" fontId="7" fillId="6" borderId="51" xfId="0" quotePrefix="1" applyFont="1" applyFill="1" applyBorder="1" applyAlignment="1">
      <alignment horizontal="center" vertical="center"/>
    </xf>
    <xf numFmtId="0" fontId="7" fillId="6" borderId="33" xfId="0" quotePrefix="1" applyFont="1" applyFill="1" applyBorder="1" applyAlignment="1">
      <alignment horizontal="left" vertical="center" wrapText="1"/>
    </xf>
    <xf numFmtId="0" fontId="4" fillId="0" borderId="53" xfId="0" applyFont="1" applyBorder="1" applyAlignment="1">
      <alignment horizontal="center" vertical="center"/>
    </xf>
    <xf numFmtId="0" fontId="4" fillId="8" borderId="37" xfId="0" applyFont="1" applyFill="1" applyBorder="1" applyAlignment="1">
      <alignment horizontal="center" vertical="center"/>
    </xf>
    <xf numFmtId="167" fontId="4" fillId="7" borderId="9" xfId="0" applyNumberFormat="1" applyFont="1" applyFill="1" applyBorder="1" applyAlignment="1">
      <alignment horizontal="center" vertical="center"/>
    </xf>
    <xf numFmtId="0" fontId="4" fillId="7" borderId="29" xfId="0" applyFont="1" applyFill="1" applyBorder="1" applyAlignment="1">
      <alignment horizontal="center" vertical="center"/>
    </xf>
    <xf numFmtId="0" fontId="4" fillId="5" borderId="29" xfId="0" applyFont="1" applyFill="1" applyBorder="1" applyAlignment="1">
      <alignment horizontal="center" vertical="center"/>
    </xf>
    <xf numFmtId="1" fontId="19" fillId="5" borderId="9" xfId="0" applyNumberFormat="1" applyFont="1" applyFill="1" applyBorder="1" applyAlignment="1">
      <alignment horizontal="center" vertical="center"/>
    </xf>
    <xf numFmtId="1" fontId="19" fillId="6" borderId="9" xfId="0" applyNumberFormat="1" applyFont="1" applyFill="1" applyBorder="1" applyAlignment="1">
      <alignment horizontal="center" vertical="center"/>
    </xf>
    <xf numFmtId="0" fontId="33" fillId="8" borderId="7" xfId="0" applyFont="1" applyFill="1" applyBorder="1" applyAlignment="1">
      <alignment vertical="center"/>
    </xf>
    <xf numFmtId="164" fontId="21" fillId="8" borderId="31" xfId="0" quotePrefix="1" applyNumberFormat="1" applyFont="1" applyFill="1" applyBorder="1" applyAlignment="1">
      <alignment horizontal="left" vertical="center"/>
    </xf>
    <xf numFmtId="0" fontId="19" fillId="8" borderId="10" xfId="0" applyFont="1" applyFill="1" applyBorder="1" applyAlignment="1">
      <alignment vertical="center"/>
    </xf>
    <xf numFmtId="1" fontId="21" fillId="7" borderId="10" xfId="0" applyNumberFormat="1" applyFont="1" applyFill="1" applyBorder="1" applyAlignment="1">
      <alignment vertical="center"/>
    </xf>
    <xf numFmtId="1" fontId="21" fillId="0" borderId="29" xfId="0" applyNumberFormat="1" applyFont="1" applyBorder="1" applyAlignment="1">
      <alignment vertical="center"/>
    </xf>
    <xf numFmtId="1" fontId="21" fillId="8" borderId="10" xfId="0" applyNumberFormat="1" applyFont="1" applyFill="1" applyBorder="1" applyAlignment="1">
      <alignment vertical="center"/>
    </xf>
    <xf numFmtId="1" fontId="19" fillId="8" borderId="10" xfId="0" applyNumberFormat="1" applyFont="1" applyFill="1" applyBorder="1" applyAlignment="1">
      <alignment vertical="center"/>
    </xf>
    <xf numFmtId="1" fontId="19" fillId="0" borderId="29" xfId="0" applyNumberFormat="1" applyFont="1" applyBorder="1" applyAlignment="1">
      <alignment vertical="center"/>
    </xf>
    <xf numFmtId="1" fontId="20" fillId="5" borderId="45" xfId="0" applyNumberFormat="1" applyFont="1" applyFill="1" applyBorder="1" applyAlignment="1">
      <alignment horizontal="center" vertical="center"/>
    </xf>
    <xf numFmtId="1" fontId="19" fillId="0" borderId="36" xfId="0" applyNumberFormat="1" applyFont="1" applyBorder="1" applyAlignment="1">
      <alignment vertical="center"/>
    </xf>
    <xf numFmtId="164" fontId="19" fillId="0" borderId="10" xfId="0" applyNumberFormat="1" applyFont="1" applyBorder="1" applyAlignment="1">
      <alignment horizontal="left" vertical="center"/>
    </xf>
    <xf numFmtId="164" fontId="19" fillId="0" borderId="10" xfId="0" applyNumberFormat="1" applyFont="1" applyBorder="1" applyAlignment="1">
      <alignment horizontal="right" vertical="center"/>
    </xf>
    <xf numFmtId="164" fontId="19" fillId="0" borderId="10" xfId="0" applyNumberFormat="1" applyFont="1" applyBorder="1" applyAlignment="1">
      <alignment horizontal="center" vertical="center"/>
    </xf>
    <xf numFmtId="164" fontId="19" fillId="8" borderId="10" xfId="0" applyNumberFormat="1" applyFont="1" applyFill="1" applyBorder="1" applyAlignment="1">
      <alignment horizontal="right" vertical="center"/>
    </xf>
    <xf numFmtId="164" fontId="19" fillId="8" borderId="10" xfId="0" applyNumberFormat="1" applyFont="1" applyFill="1" applyBorder="1" applyAlignment="1">
      <alignment horizontal="center" vertical="center"/>
    </xf>
    <xf numFmtId="0" fontId="22" fillId="8" borderId="10" xfId="0" applyFont="1" applyFill="1" applyBorder="1" applyAlignment="1">
      <alignment vertical="center"/>
    </xf>
    <xf numFmtId="0" fontId="4" fillId="8" borderId="35" xfId="0" applyFont="1" applyFill="1" applyBorder="1" applyAlignment="1">
      <alignment vertical="center"/>
    </xf>
    <xf numFmtId="0" fontId="21" fillId="0" borderId="63" xfId="0" applyFont="1" applyBorder="1" applyAlignment="1">
      <alignment vertical="center"/>
    </xf>
    <xf numFmtId="0" fontId="21" fillId="0" borderId="24" xfId="0" applyFont="1" applyBorder="1" applyAlignment="1">
      <alignment vertical="center"/>
    </xf>
    <xf numFmtId="0" fontId="21" fillId="0" borderId="42" xfId="0" applyFont="1" applyBorder="1" applyAlignment="1">
      <alignment horizontal="center" vertical="center"/>
    </xf>
    <xf numFmtId="0" fontId="21" fillId="7" borderId="44" xfId="0" applyFont="1" applyFill="1" applyBorder="1" applyAlignment="1">
      <alignment horizontal="center" vertical="center"/>
    </xf>
    <xf numFmtId="0" fontId="21" fillId="0" borderId="6" xfId="0" applyFont="1" applyBorder="1" applyAlignment="1">
      <alignment vertical="center"/>
    </xf>
    <xf numFmtId="167" fontId="21" fillId="7" borderId="47" xfId="0" applyNumberFormat="1" applyFont="1" applyFill="1" applyBorder="1" applyAlignment="1">
      <alignment horizontal="center" vertical="center"/>
    </xf>
    <xf numFmtId="167" fontId="21" fillId="5" borderId="47" xfId="0" applyNumberFormat="1" applyFont="1" applyFill="1" applyBorder="1" applyAlignment="1">
      <alignment horizontal="center" vertical="center"/>
    </xf>
    <xf numFmtId="167" fontId="21" fillId="6" borderId="47" xfId="0" applyNumberFormat="1" applyFont="1" applyFill="1" applyBorder="1" applyAlignment="1">
      <alignment horizontal="center" vertical="center"/>
    </xf>
    <xf numFmtId="169" fontId="21" fillId="7" borderId="47" xfId="0" applyNumberFormat="1" applyFont="1" applyFill="1" applyBorder="1" applyAlignment="1">
      <alignment horizontal="center" vertical="center"/>
    </xf>
    <xf numFmtId="169" fontId="21" fillId="5" borderId="47" xfId="0" applyNumberFormat="1" applyFont="1" applyFill="1" applyBorder="1" applyAlignment="1">
      <alignment horizontal="center" vertical="center"/>
    </xf>
    <xf numFmtId="2" fontId="21" fillId="5" borderId="47" xfId="0" applyNumberFormat="1" applyFont="1" applyFill="1" applyBorder="1" applyAlignment="1">
      <alignment horizontal="center" vertical="center"/>
    </xf>
    <xf numFmtId="0" fontId="21" fillId="0" borderId="49" xfId="0" applyFont="1" applyBorder="1" applyAlignment="1">
      <alignment vertical="center"/>
    </xf>
    <xf numFmtId="0" fontId="46" fillId="7" borderId="10" xfId="0" applyFont="1" applyFill="1" applyBorder="1"/>
    <xf numFmtId="0" fontId="46" fillId="5" borderId="10" xfId="0" applyFont="1" applyFill="1" applyBorder="1"/>
    <xf numFmtId="0" fontId="46" fillId="5" borderId="10" xfId="0" applyFont="1" applyFill="1" applyBorder="1" applyAlignment="1">
      <alignment horizontal="center"/>
    </xf>
    <xf numFmtId="0" fontId="46" fillId="6" borderId="10" xfId="0" applyFont="1" applyFill="1" applyBorder="1" applyAlignment="1">
      <alignment horizontal="center"/>
    </xf>
    <xf numFmtId="167" fontId="46" fillId="0" borderId="10" xfId="0" applyNumberFormat="1" applyFont="1" applyBorder="1"/>
    <xf numFmtId="167" fontId="46" fillId="7" borderId="10" xfId="0" applyNumberFormat="1" applyFont="1" applyFill="1" applyBorder="1"/>
    <xf numFmtId="167" fontId="46" fillId="5" borderId="10" xfId="0" applyNumberFormat="1" applyFont="1" applyFill="1" applyBorder="1"/>
    <xf numFmtId="167" fontId="46" fillId="5" borderId="10" xfId="0" applyNumberFormat="1" applyFont="1" applyFill="1" applyBorder="1" applyAlignment="1">
      <alignment horizontal="center"/>
    </xf>
    <xf numFmtId="167" fontId="46" fillId="6" borderId="10" xfId="0" applyNumberFormat="1" applyFont="1" applyFill="1" applyBorder="1" applyAlignment="1">
      <alignment horizontal="center"/>
    </xf>
    <xf numFmtId="0" fontId="123" fillId="8" borderId="0" xfId="0" applyFont="1" applyFill="1"/>
    <xf numFmtId="0" fontId="46" fillId="0" borderId="10" xfId="0" applyFont="1" applyBorder="1" applyAlignment="1">
      <alignment horizontal="left" vertical="center" wrapText="1"/>
    </xf>
    <xf numFmtId="1" fontId="19" fillId="0" borderId="38" xfId="0" applyNumberFormat="1" applyFont="1" applyBorder="1" applyAlignment="1">
      <alignment horizontal="center" vertical="center"/>
    </xf>
    <xf numFmtId="1" fontId="19" fillId="7" borderId="38" xfId="0" applyNumberFormat="1" applyFont="1" applyFill="1" applyBorder="1" applyAlignment="1">
      <alignment horizontal="center" vertical="center"/>
    </xf>
    <xf numFmtId="0" fontId="33" fillId="8" borderId="6" xfId="0" applyFont="1" applyFill="1" applyBorder="1" applyAlignment="1">
      <alignment vertical="center"/>
    </xf>
    <xf numFmtId="164" fontId="21" fillId="0" borderId="47" xfId="0" quotePrefix="1" applyNumberFormat="1" applyFont="1" applyBorder="1" applyAlignment="1">
      <alignment horizontal="left" vertical="center"/>
    </xf>
    <xf numFmtId="164" fontId="21" fillId="0" borderId="10" xfId="0" quotePrefix="1" applyNumberFormat="1" applyFont="1" applyBorder="1" applyAlignment="1">
      <alignment horizontal="left" vertical="center"/>
    </xf>
    <xf numFmtId="0" fontId="21" fillId="8" borderId="37" xfId="0" applyFont="1" applyFill="1" applyBorder="1" applyAlignment="1">
      <alignment horizontal="center" vertical="center"/>
    </xf>
    <xf numFmtId="1" fontId="19" fillId="5" borderId="45" xfId="0" applyNumberFormat="1" applyFont="1" applyFill="1" applyBorder="1" applyAlignment="1">
      <alignment horizontal="center" vertical="center"/>
    </xf>
    <xf numFmtId="1" fontId="19" fillId="7" borderId="45" xfId="0" applyNumberFormat="1" applyFont="1" applyFill="1" applyBorder="1" applyAlignment="1">
      <alignment horizontal="center" vertical="center"/>
    </xf>
    <xf numFmtId="0" fontId="22" fillId="8" borderId="63" xfId="0" applyFont="1" applyFill="1" applyBorder="1" applyAlignment="1">
      <alignment vertical="center"/>
    </xf>
    <xf numFmtId="0" fontId="22" fillId="8" borderId="24" xfId="0" applyFont="1" applyFill="1" applyBorder="1" applyAlignment="1">
      <alignment vertical="center"/>
    </xf>
    <xf numFmtId="0" fontId="22" fillId="8" borderId="42" xfId="0" applyFont="1" applyFill="1" applyBorder="1" applyAlignment="1">
      <alignment horizontal="center" vertical="center"/>
    </xf>
    <xf numFmtId="0" fontId="21" fillId="0" borderId="23" xfId="0" applyFont="1" applyBorder="1" applyAlignment="1">
      <alignment vertical="center"/>
    </xf>
    <xf numFmtId="0" fontId="21" fillId="0" borderId="23" xfId="0" applyFont="1" applyBorder="1" applyAlignment="1">
      <alignment horizontal="center" vertical="center"/>
    </xf>
    <xf numFmtId="0" fontId="46" fillId="0" borderId="37" xfId="0" applyFont="1" applyBorder="1"/>
    <xf numFmtId="167" fontId="46" fillId="7" borderId="10" xfId="0" applyNumberFormat="1" applyFont="1" applyFill="1" applyBorder="1" applyAlignment="1">
      <alignment horizontal="center" vertical="center"/>
    </xf>
    <xf numFmtId="167" fontId="46" fillId="5" borderId="10" xfId="0" applyNumberFormat="1" applyFont="1" applyFill="1" applyBorder="1" applyAlignment="1">
      <alignment horizontal="center" vertical="center"/>
    </xf>
    <xf numFmtId="167" fontId="46" fillId="6" borderId="10" xfId="0" applyNumberFormat="1" applyFont="1" applyFill="1" applyBorder="1" applyAlignment="1">
      <alignment horizontal="center" vertical="center"/>
    </xf>
    <xf numFmtId="0" fontId="46" fillId="0" borderId="10" xfId="0" applyFont="1" applyBorder="1" applyAlignment="1">
      <alignment wrapText="1"/>
    </xf>
    <xf numFmtId="0" fontId="46" fillId="0" borderId="10" xfId="0" applyFont="1" applyBorder="1" applyAlignment="1">
      <alignment horizontal="center" vertical="center"/>
    </xf>
    <xf numFmtId="0" fontId="22" fillId="44" borderId="4" xfId="0" applyFont="1" applyFill="1" applyBorder="1" applyAlignment="1">
      <alignment horizontal="center" vertical="center"/>
    </xf>
    <xf numFmtId="1" fontId="19" fillId="7" borderId="8" xfId="0" applyNumberFormat="1" applyFont="1" applyFill="1" applyBorder="1" applyAlignment="1">
      <alignment horizontal="center" vertical="center"/>
    </xf>
    <xf numFmtId="1" fontId="19" fillId="5" borderId="8" xfId="0" applyNumberFormat="1" applyFont="1" applyFill="1" applyBorder="1" applyAlignment="1">
      <alignment horizontal="center" vertical="center"/>
    </xf>
    <xf numFmtId="1" fontId="19" fillId="44" borderId="8" xfId="0" applyNumberFormat="1" applyFont="1" applyFill="1" applyBorder="1" applyAlignment="1">
      <alignment horizontal="center" vertical="center"/>
    </xf>
    <xf numFmtId="1" fontId="21" fillId="5" borderId="10" xfId="0" applyNumberFormat="1" applyFont="1" applyFill="1" applyBorder="1" applyAlignment="1">
      <alignment vertical="center"/>
    </xf>
    <xf numFmtId="1" fontId="21" fillId="44" borderId="10" xfId="0" applyNumberFormat="1" applyFont="1" applyFill="1" applyBorder="1" applyAlignment="1">
      <alignment vertical="center"/>
    </xf>
    <xf numFmtId="1" fontId="22" fillId="5" borderId="10" xfId="0" applyNumberFormat="1" applyFont="1" applyFill="1" applyBorder="1" applyAlignment="1">
      <alignment vertical="center"/>
    </xf>
    <xf numFmtId="1" fontId="22" fillId="44" borderId="10" xfId="0" applyNumberFormat="1" applyFont="1" applyFill="1" applyBorder="1" applyAlignment="1">
      <alignment vertical="center"/>
    </xf>
    <xf numFmtId="164" fontId="19" fillId="8" borderId="1" xfId="0" applyNumberFormat="1" applyFont="1" applyFill="1" applyBorder="1" applyAlignment="1">
      <alignment horizontal="right" vertical="center"/>
    </xf>
    <xf numFmtId="164" fontId="19" fillId="8" borderId="1" xfId="0" applyNumberFormat="1" applyFont="1" applyFill="1" applyBorder="1" applyAlignment="1">
      <alignment horizontal="center" vertical="center"/>
    </xf>
    <xf numFmtId="0" fontId="46" fillId="44" borderId="10" xfId="0" applyFont="1" applyFill="1" applyBorder="1"/>
    <xf numFmtId="167" fontId="46" fillId="44" borderId="10" xfId="0" applyNumberFormat="1" applyFont="1" applyFill="1" applyBorder="1"/>
    <xf numFmtId="0" fontId="46" fillId="0" borderId="0" xfId="0" applyFont="1" applyAlignment="1">
      <alignment horizontal="left"/>
    </xf>
    <xf numFmtId="0" fontId="46" fillId="0" borderId="0" xfId="0" applyFont="1" applyAlignment="1">
      <alignment horizontal="center"/>
    </xf>
    <xf numFmtId="0" fontId="46" fillId="0" borderId="63" xfId="0" applyFont="1" applyBorder="1" applyAlignment="1">
      <alignment horizontal="left"/>
    </xf>
    <xf numFmtId="0" fontId="3" fillId="0" borderId="41" xfId="0" applyFont="1" applyBorder="1" applyAlignment="1">
      <alignment vertical="center"/>
    </xf>
    <xf numFmtId="0" fontId="46" fillId="0" borderId="31" xfId="0" applyFont="1" applyBorder="1" applyAlignment="1">
      <alignment horizontal="left"/>
    </xf>
    <xf numFmtId="0" fontId="22" fillId="7" borderId="17" xfId="0" applyFont="1" applyFill="1" applyBorder="1" applyAlignment="1">
      <alignment horizontal="center" vertical="center"/>
    </xf>
    <xf numFmtId="0" fontId="22" fillId="5" borderId="17" xfId="0" applyFont="1" applyFill="1" applyBorder="1" applyAlignment="1">
      <alignment horizontal="center" vertical="center"/>
    </xf>
    <xf numFmtId="0" fontId="122" fillId="0" borderId="31" xfId="0" applyFont="1" applyBorder="1" applyAlignment="1">
      <alignment horizontal="left"/>
    </xf>
    <xf numFmtId="0" fontId="122" fillId="7" borderId="17" xfId="0" applyFont="1" applyFill="1" applyBorder="1" applyAlignment="1">
      <alignment horizontal="center"/>
    </xf>
    <xf numFmtId="1" fontId="122" fillId="7" borderId="17" xfId="0" applyNumberFormat="1" applyFont="1" applyFill="1" applyBorder="1" applyAlignment="1">
      <alignment horizontal="center"/>
    </xf>
    <xf numFmtId="1" fontId="122" fillId="6" borderId="17" xfId="0" applyNumberFormat="1" applyFont="1" applyFill="1" applyBorder="1" applyAlignment="1">
      <alignment horizontal="center"/>
    </xf>
    <xf numFmtId="0" fontId="46" fillId="7" borderId="17" xfId="0" applyFont="1" applyFill="1" applyBorder="1" applyAlignment="1">
      <alignment horizontal="center"/>
    </xf>
    <xf numFmtId="1" fontId="46" fillId="7" borderId="17" xfId="0" applyNumberFormat="1" applyFont="1" applyFill="1" applyBorder="1" applyAlignment="1">
      <alignment horizontal="center"/>
    </xf>
    <xf numFmtId="1" fontId="46" fillId="6" borderId="17" xfId="0" applyNumberFormat="1" applyFont="1" applyFill="1" applyBorder="1" applyAlignment="1">
      <alignment horizontal="center"/>
    </xf>
    <xf numFmtId="0" fontId="19" fillId="0" borderId="31" xfId="0" applyFont="1" applyBorder="1" applyAlignment="1">
      <alignment horizontal="left" vertical="center"/>
    </xf>
    <xf numFmtId="0" fontId="49" fillId="0" borderId="31" xfId="0" applyFont="1" applyBorder="1" applyAlignment="1">
      <alignment horizontal="left"/>
    </xf>
    <xf numFmtId="1" fontId="49" fillId="7" borderId="17" xfId="0" applyNumberFormat="1" applyFont="1" applyFill="1" applyBorder="1" applyAlignment="1">
      <alignment horizontal="center"/>
    </xf>
    <xf numFmtId="1" fontId="49" fillId="6" borderId="17" xfId="0" applyNumberFormat="1" applyFont="1" applyFill="1" applyBorder="1" applyAlignment="1">
      <alignment horizontal="center"/>
    </xf>
    <xf numFmtId="0" fontId="46" fillId="0" borderId="32" xfId="0" applyFont="1" applyBorder="1" applyAlignment="1">
      <alignment horizontal="left"/>
    </xf>
    <xf numFmtId="0" fontId="46" fillId="0" borderId="23" xfId="0" applyFont="1" applyBorder="1"/>
    <xf numFmtId="1" fontId="46" fillId="7" borderId="33" xfId="0" applyNumberFormat="1" applyFont="1" applyFill="1" applyBorder="1" applyAlignment="1">
      <alignment horizontal="center"/>
    </xf>
    <xf numFmtId="1" fontId="46" fillId="6" borderId="33" xfId="0" applyNumberFormat="1" applyFont="1" applyFill="1" applyBorder="1" applyAlignment="1">
      <alignment horizontal="center"/>
    </xf>
    <xf numFmtId="0" fontId="46" fillId="8" borderId="0" xfId="0" applyFont="1" applyFill="1" applyAlignment="1">
      <alignment horizontal="left"/>
    </xf>
    <xf numFmtId="2" fontId="122" fillId="7" borderId="17" xfId="0" applyNumberFormat="1" applyFont="1" applyFill="1" applyBorder="1" applyAlignment="1">
      <alignment horizontal="center"/>
    </xf>
    <xf numFmtId="2" fontId="122" fillId="5" borderId="17" xfId="0" applyNumberFormat="1" applyFont="1" applyFill="1" applyBorder="1" applyAlignment="1">
      <alignment horizontal="center"/>
    </xf>
    <xf numFmtId="2" fontId="122" fillId="6" borderId="17" xfId="0" applyNumberFormat="1" applyFont="1" applyFill="1" applyBorder="1" applyAlignment="1">
      <alignment horizontal="center"/>
    </xf>
    <xf numFmtId="2" fontId="46" fillId="7" borderId="17" xfId="0" applyNumberFormat="1" applyFont="1" applyFill="1" applyBorder="1" applyAlignment="1">
      <alignment horizontal="center"/>
    </xf>
    <xf numFmtId="2" fontId="46" fillId="5" borderId="17" xfId="0" applyNumberFormat="1" applyFont="1" applyFill="1" applyBorder="1" applyAlignment="1">
      <alignment horizontal="center"/>
    </xf>
    <xf numFmtId="2" fontId="46" fillId="6" borderId="17" xfId="0" applyNumberFormat="1" applyFont="1" applyFill="1" applyBorder="1" applyAlignment="1">
      <alignment horizontal="center"/>
    </xf>
    <xf numFmtId="2" fontId="19" fillId="7" borderId="17" xfId="0" applyNumberFormat="1" applyFont="1" applyFill="1" applyBorder="1" applyAlignment="1">
      <alignment horizontal="center" vertical="center"/>
    </xf>
    <xf numFmtId="2" fontId="49" fillId="7" borderId="17" xfId="0" applyNumberFormat="1" applyFont="1" applyFill="1" applyBorder="1" applyAlignment="1">
      <alignment horizontal="center"/>
    </xf>
    <xf numFmtId="2" fontId="49" fillId="5" borderId="17" xfId="0" applyNumberFormat="1" applyFont="1" applyFill="1" applyBorder="1" applyAlignment="1">
      <alignment horizontal="center"/>
    </xf>
    <xf numFmtId="2" fontId="49" fillId="6" borderId="17" xfId="0" applyNumberFormat="1" applyFont="1" applyFill="1" applyBorder="1" applyAlignment="1">
      <alignment horizontal="center"/>
    </xf>
    <xf numFmtId="2" fontId="46" fillId="7" borderId="33" xfId="0" applyNumberFormat="1" applyFont="1" applyFill="1" applyBorder="1" applyAlignment="1">
      <alignment horizontal="center"/>
    </xf>
    <xf numFmtId="2" fontId="46" fillId="5" borderId="33" xfId="0" applyNumberFormat="1" applyFont="1" applyFill="1" applyBorder="1" applyAlignment="1">
      <alignment horizontal="center"/>
    </xf>
    <xf numFmtId="2" fontId="46" fillId="6" borderId="33" xfId="0" applyNumberFormat="1" applyFont="1" applyFill="1" applyBorder="1" applyAlignment="1">
      <alignment horizontal="center"/>
    </xf>
    <xf numFmtId="1" fontId="19" fillId="7" borderId="59" xfId="0" applyNumberFormat="1" applyFont="1" applyFill="1" applyBorder="1" applyAlignment="1">
      <alignment horizontal="center" vertical="center"/>
    </xf>
    <xf numFmtId="1" fontId="19" fillId="7" borderId="63" xfId="0" applyNumberFormat="1" applyFont="1" applyFill="1" applyBorder="1" applyAlignment="1">
      <alignment horizontal="center" vertical="center"/>
    </xf>
    <xf numFmtId="0" fontId="19" fillId="8" borderId="10" xfId="0" applyFont="1" applyFill="1" applyBorder="1"/>
    <xf numFmtId="0" fontId="21" fillId="5" borderId="10" xfId="0" applyFont="1" applyFill="1" applyBorder="1" applyAlignment="1">
      <alignment horizontal="center" vertical="center"/>
    </xf>
    <xf numFmtId="0" fontId="7" fillId="0" borderId="10" xfId="0" applyFont="1" applyBorder="1"/>
    <xf numFmtId="0" fontId="7" fillId="8" borderId="10" xfId="0" applyFont="1" applyFill="1" applyBorder="1"/>
    <xf numFmtId="0" fontId="3" fillId="0" borderId="92" xfId="0" applyFont="1" applyBorder="1"/>
    <xf numFmtId="0" fontId="3" fillId="8" borderId="7" xfId="0" applyFont="1" applyFill="1" applyBorder="1"/>
    <xf numFmtId="0" fontId="21" fillId="8" borderId="8" xfId="0" applyFont="1" applyFill="1" applyBorder="1" applyAlignment="1">
      <alignment horizontal="center" vertical="center"/>
    </xf>
    <xf numFmtId="0" fontId="21" fillId="8" borderId="62" xfId="0" applyFont="1" applyFill="1" applyBorder="1" applyAlignment="1">
      <alignment horizontal="center" vertical="center"/>
    </xf>
    <xf numFmtId="0" fontId="21" fillId="7" borderId="8" xfId="0" applyFont="1" applyFill="1" applyBorder="1" applyAlignment="1">
      <alignment horizontal="center" vertical="center"/>
    </xf>
    <xf numFmtId="0" fontId="21" fillId="5" borderId="8" xfId="0" applyFont="1" applyFill="1" applyBorder="1" applyAlignment="1">
      <alignment horizontal="center" vertical="center"/>
    </xf>
    <xf numFmtId="2" fontId="21" fillId="6" borderId="59" xfId="0" applyNumberFormat="1" applyFont="1" applyFill="1" applyBorder="1" applyAlignment="1">
      <alignment horizontal="center" vertical="center"/>
    </xf>
    <xf numFmtId="0" fontId="21" fillId="8" borderId="63" xfId="0" applyFont="1" applyFill="1" applyBorder="1" applyAlignment="1">
      <alignment horizontal="center" vertical="center"/>
    </xf>
    <xf numFmtId="0" fontId="4" fillId="8" borderId="47" xfId="0" applyFont="1" applyFill="1" applyBorder="1"/>
    <xf numFmtId="0" fontId="21" fillId="0" borderId="100" xfId="0" applyFont="1" applyBorder="1" applyAlignment="1">
      <alignment horizontal="right"/>
    </xf>
    <xf numFmtId="0" fontId="21" fillId="7" borderId="62" xfId="0" applyFont="1" applyFill="1" applyBorder="1" applyAlignment="1">
      <alignment horizontal="center" vertical="center"/>
    </xf>
    <xf numFmtId="0" fontId="19" fillId="0" borderId="101" xfId="0" applyFont="1" applyBorder="1" applyAlignment="1">
      <alignment horizontal="right"/>
    </xf>
    <xf numFmtId="0" fontId="19" fillId="8" borderId="1" xfId="0" applyFont="1" applyFill="1" applyBorder="1" applyAlignment="1">
      <alignment horizontal="center" vertical="center"/>
    </xf>
    <xf numFmtId="0" fontId="19" fillId="8" borderId="104" xfId="0" applyFont="1" applyFill="1" applyBorder="1"/>
    <xf numFmtId="0" fontId="30" fillId="8" borderId="44" xfId="0" applyFont="1" applyFill="1" applyBorder="1"/>
    <xf numFmtId="168" fontId="21" fillId="0" borderId="98" xfId="0" applyNumberFormat="1" applyFont="1" applyBorder="1" applyAlignment="1">
      <alignment horizontal="right" vertical="center"/>
    </xf>
    <xf numFmtId="167" fontId="21" fillId="7" borderId="59" xfId="0" applyNumberFormat="1" applyFont="1" applyFill="1" applyBorder="1" applyAlignment="1">
      <alignment horizontal="center" vertical="center"/>
    </xf>
    <xf numFmtId="0" fontId="19" fillId="0" borderId="91" xfId="0" applyFont="1" applyBorder="1" applyAlignment="1">
      <alignment horizontal="right"/>
    </xf>
    <xf numFmtId="0" fontId="19" fillId="0" borderId="39" xfId="0" applyFont="1" applyBorder="1" applyAlignment="1">
      <alignment horizontal="center" vertical="center"/>
    </xf>
    <xf numFmtId="1" fontId="19" fillId="0" borderId="25" xfId="0" applyNumberFormat="1" applyFont="1" applyBorder="1" applyAlignment="1">
      <alignment vertical="center"/>
    </xf>
    <xf numFmtId="0" fontId="19" fillId="0" borderId="104" xfId="0" applyFont="1" applyBorder="1"/>
    <xf numFmtId="0" fontId="30" fillId="0" borderId="44" xfId="0" applyFont="1" applyBorder="1"/>
    <xf numFmtId="167" fontId="21" fillId="8" borderId="34" xfId="0" applyNumberFormat="1" applyFont="1" applyFill="1" applyBorder="1" applyAlignment="1">
      <alignment horizontal="center" vertical="center"/>
    </xf>
    <xf numFmtId="168" fontId="21" fillId="0" borderId="106" xfId="0" applyNumberFormat="1" applyFont="1" applyBorder="1" applyAlignment="1">
      <alignment horizontal="right" vertical="center"/>
    </xf>
    <xf numFmtId="0" fontId="21" fillId="0" borderId="84" xfId="0" applyFont="1" applyBorder="1" applyAlignment="1">
      <alignment horizontal="center" vertical="center"/>
    </xf>
    <xf numFmtId="0" fontId="3" fillId="0" borderId="89" xfId="0" applyFont="1" applyBorder="1"/>
    <xf numFmtId="0" fontId="3" fillId="0" borderId="129" xfId="0" applyFont="1" applyBorder="1"/>
    <xf numFmtId="0" fontId="4" fillId="0" borderId="47" xfId="0" applyFont="1" applyBorder="1" applyAlignment="1">
      <alignment vertical="center"/>
    </xf>
    <xf numFmtId="1" fontId="7" fillId="8" borderId="63" xfId="0" quotePrefix="1" applyNumberFormat="1" applyFont="1" applyFill="1" applyBorder="1" applyAlignment="1">
      <alignment horizontal="center" vertical="center"/>
    </xf>
    <xf numFmtId="1" fontId="7" fillId="6" borderId="44" xfId="0" applyNumberFormat="1" applyFont="1" applyFill="1" applyBorder="1" applyAlignment="1">
      <alignment horizontal="center" vertical="center"/>
    </xf>
    <xf numFmtId="2" fontId="4" fillId="7" borderId="57" xfId="0" applyNumberFormat="1" applyFont="1" applyFill="1" applyBorder="1" applyAlignment="1">
      <alignment horizontal="center" vertical="center"/>
    </xf>
    <xf numFmtId="2" fontId="4" fillId="5" borderId="57" xfId="0" applyNumberFormat="1" applyFont="1" applyFill="1" applyBorder="1" applyAlignment="1">
      <alignment horizontal="center" vertical="center"/>
    </xf>
    <xf numFmtId="167" fontId="4" fillId="8" borderId="9" xfId="0" quotePrefix="1" applyNumberFormat="1" applyFont="1" applyFill="1" applyBorder="1" applyAlignment="1">
      <alignment horizontal="center" vertical="center"/>
    </xf>
    <xf numFmtId="2" fontId="4" fillId="6" borderId="57" xfId="0" applyNumberFormat="1" applyFont="1" applyFill="1" applyBorder="1" applyAlignment="1">
      <alignment horizontal="center" vertical="center"/>
    </xf>
    <xf numFmtId="1" fontId="21" fillId="8" borderId="34" xfId="0" quotePrefix="1" applyNumberFormat="1" applyFont="1" applyFill="1" applyBorder="1" applyAlignment="1">
      <alignment horizontal="center" vertical="center"/>
    </xf>
    <xf numFmtId="167" fontId="22" fillId="8" borderId="31" xfId="0" quotePrefix="1" applyNumberFormat="1" applyFont="1" applyFill="1" applyBorder="1" applyAlignment="1">
      <alignment horizontal="center" vertical="center"/>
    </xf>
    <xf numFmtId="167" fontId="22" fillId="6" borderId="47" xfId="0" applyNumberFormat="1" applyFont="1" applyFill="1" applyBorder="1" applyAlignment="1">
      <alignment horizontal="center" vertical="center"/>
    </xf>
    <xf numFmtId="1" fontId="21" fillId="8" borderId="31" xfId="0" quotePrefix="1" applyNumberFormat="1" applyFont="1" applyFill="1" applyBorder="1" applyAlignment="1">
      <alignment horizontal="center" vertical="center"/>
    </xf>
    <xf numFmtId="167" fontId="22" fillId="8" borderId="62" xfId="0" quotePrefix="1" applyNumberFormat="1" applyFont="1" applyFill="1" applyBorder="1" applyAlignment="1">
      <alignment horizontal="center" vertical="center"/>
    </xf>
    <xf numFmtId="167" fontId="19" fillId="8" borderId="32" xfId="0" quotePrefix="1" applyNumberFormat="1" applyFont="1" applyFill="1" applyBorder="1" applyAlignment="1">
      <alignment horizontal="center" vertical="center"/>
    </xf>
    <xf numFmtId="167" fontId="19" fillId="7" borderId="51" xfId="0" quotePrefix="1" applyNumberFormat="1" applyFont="1" applyFill="1" applyBorder="1" applyAlignment="1">
      <alignment horizontal="center" vertical="center"/>
    </xf>
    <xf numFmtId="167" fontId="19" fillId="5" borderId="51" xfId="0" quotePrefix="1" applyNumberFormat="1" applyFont="1" applyFill="1" applyBorder="1" applyAlignment="1">
      <alignment horizontal="center" vertical="center"/>
    </xf>
    <xf numFmtId="167" fontId="19" fillId="6" borderId="51" xfId="0" quotePrefix="1" applyNumberFormat="1" applyFont="1" applyFill="1" applyBorder="1" applyAlignment="1">
      <alignment horizontal="center" vertical="center"/>
    </xf>
    <xf numFmtId="1" fontId="20" fillId="8" borderId="63" xfId="0" applyNumberFormat="1" applyFont="1" applyFill="1" applyBorder="1" applyAlignment="1">
      <alignment horizontal="center" vertical="center"/>
    </xf>
    <xf numFmtId="167" fontId="19" fillId="8" borderId="32" xfId="0" applyNumberFormat="1" applyFont="1" applyFill="1" applyBorder="1" applyAlignment="1">
      <alignment horizontal="center" vertical="center"/>
    </xf>
    <xf numFmtId="1" fontId="4" fillId="8" borderId="3" xfId="0" applyNumberFormat="1" applyFont="1" applyFill="1" applyBorder="1" applyAlignment="1">
      <alignment horizontal="center" vertical="center"/>
    </xf>
    <xf numFmtId="0" fontId="30" fillId="8" borderId="44" xfId="0" applyFont="1" applyFill="1" applyBorder="1" applyAlignment="1">
      <alignment vertical="center"/>
    </xf>
    <xf numFmtId="1" fontId="19" fillId="8" borderId="63" xfId="0" applyNumberFormat="1" applyFont="1" applyFill="1" applyBorder="1" applyAlignment="1">
      <alignment horizontal="center" vertical="center"/>
    </xf>
    <xf numFmtId="1" fontId="19" fillId="5" borderId="63" xfId="0" applyNumberFormat="1" applyFont="1" applyFill="1" applyBorder="1" applyAlignment="1">
      <alignment horizontal="center" vertical="center"/>
    </xf>
    <xf numFmtId="1" fontId="19" fillId="7" borderId="32" xfId="0" applyNumberFormat="1" applyFont="1" applyFill="1" applyBorder="1" applyAlignment="1">
      <alignment horizontal="center" vertical="center"/>
    </xf>
    <xf numFmtId="1" fontId="19" fillId="8" borderId="32" xfId="0" applyNumberFormat="1" applyFont="1" applyFill="1" applyBorder="1" applyAlignment="1">
      <alignment horizontal="center" vertical="center"/>
    </xf>
    <xf numFmtId="1" fontId="19" fillId="5" borderId="32" xfId="0" applyNumberFormat="1" applyFont="1" applyFill="1" applyBorder="1" applyAlignment="1">
      <alignment horizontal="center" vertical="center"/>
    </xf>
    <xf numFmtId="1" fontId="19" fillId="6" borderId="32" xfId="0" applyNumberFormat="1" applyFont="1" applyFill="1" applyBorder="1" applyAlignment="1">
      <alignment horizontal="center" vertical="center"/>
    </xf>
    <xf numFmtId="1" fontId="4" fillId="7" borderId="76" xfId="0" applyNumberFormat="1" applyFont="1" applyFill="1" applyBorder="1" applyAlignment="1">
      <alignment horizontal="center" vertical="center"/>
    </xf>
    <xf numFmtId="1" fontId="4" fillId="6" borderId="76" xfId="0" applyNumberFormat="1" applyFont="1" applyFill="1" applyBorder="1" applyAlignment="1">
      <alignment horizontal="center" vertical="center"/>
    </xf>
    <xf numFmtId="0" fontId="41" fillId="0" borderId="44" xfId="0" applyFont="1" applyBorder="1" applyAlignment="1">
      <alignment vertical="center"/>
    </xf>
    <xf numFmtId="0" fontId="19" fillId="0" borderId="47" xfId="0" applyFont="1" applyBorder="1" applyAlignment="1">
      <alignment vertical="center"/>
    </xf>
    <xf numFmtId="167" fontId="4" fillId="6" borderId="1" xfId="0" applyNumberFormat="1" applyFont="1" applyFill="1" applyBorder="1" applyAlignment="1">
      <alignment horizontal="center" vertical="center"/>
    </xf>
    <xf numFmtId="167" fontId="4" fillId="7" borderId="31" xfId="0" applyNumberFormat="1" applyFont="1" applyFill="1" applyBorder="1" applyAlignment="1">
      <alignment horizontal="center" vertical="center"/>
    </xf>
    <xf numFmtId="167" fontId="4" fillId="6" borderId="31" xfId="0" applyNumberFormat="1" applyFont="1" applyFill="1" applyBorder="1" applyAlignment="1">
      <alignment horizontal="center" vertical="center"/>
    </xf>
    <xf numFmtId="169" fontId="5" fillId="0" borderId="47" xfId="0" applyNumberFormat="1" applyFont="1" applyBorder="1" applyAlignment="1">
      <alignment vertical="center"/>
    </xf>
    <xf numFmtId="167" fontId="4" fillId="8" borderId="1" xfId="0" applyNumberFormat="1" applyFont="1" applyFill="1" applyBorder="1" applyAlignment="1">
      <alignment horizontal="center" vertical="center"/>
    </xf>
    <xf numFmtId="167" fontId="5" fillId="8" borderId="44" xfId="0" applyNumberFormat="1" applyFont="1" applyFill="1" applyBorder="1" applyAlignment="1">
      <alignment vertical="center"/>
    </xf>
    <xf numFmtId="167" fontId="21" fillId="5" borderId="45" xfId="0" applyNumberFormat="1" applyFont="1" applyFill="1" applyBorder="1" applyAlignment="1">
      <alignment horizontal="center" vertical="center"/>
    </xf>
    <xf numFmtId="169" fontId="21" fillId="8" borderId="31" xfId="0" applyNumberFormat="1" applyFont="1" applyFill="1" applyBorder="1" applyAlignment="1">
      <alignment horizontal="center" vertical="center"/>
    </xf>
    <xf numFmtId="169" fontId="21" fillId="7" borderId="29" xfId="0" applyNumberFormat="1" applyFont="1" applyFill="1" applyBorder="1" applyAlignment="1">
      <alignment horizontal="center" vertical="center"/>
    </xf>
    <xf numFmtId="0" fontId="30" fillId="8" borderId="47" xfId="0" applyFont="1" applyFill="1" applyBorder="1" applyAlignment="1">
      <alignment vertical="center"/>
    </xf>
    <xf numFmtId="167" fontId="21" fillId="8" borderId="62" xfId="0" applyNumberFormat="1" applyFont="1" applyFill="1" applyBorder="1" applyAlignment="1">
      <alignment vertical="center"/>
    </xf>
    <xf numFmtId="167" fontId="21" fillId="8" borderId="74" xfId="0" applyNumberFormat="1" applyFont="1" applyFill="1" applyBorder="1" applyAlignment="1">
      <alignment vertical="center"/>
    </xf>
    <xf numFmtId="0" fontId="21" fillId="8" borderId="98" xfId="0" applyFont="1" applyFill="1" applyBorder="1" applyAlignment="1">
      <alignment vertical="center"/>
    </xf>
    <xf numFmtId="0" fontId="3" fillId="0" borderId="111" xfId="0" applyFont="1" applyBorder="1"/>
    <xf numFmtId="0" fontId="3" fillId="0" borderId="131" xfId="0" applyFont="1" applyBorder="1"/>
    <xf numFmtId="167" fontId="21" fillId="8" borderId="32" xfId="0" applyNumberFormat="1" applyFont="1" applyFill="1" applyBorder="1" applyAlignment="1">
      <alignment horizontal="center" vertical="center"/>
    </xf>
    <xf numFmtId="1" fontId="4" fillId="8" borderId="34" xfId="0" applyNumberFormat="1" applyFont="1" applyFill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2" fontId="4" fillId="7" borderId="32" xfId="0" applyNumberFormat="1" applyFont="1" applyFill="1" applyBorder="1" applyAlignment="1">
      <alignment horizontal="center" vertical="center"/>
    </xf>
    <xf numFmtId="167" fontId="4" fillId="8" borderId="32" xfId="0" applyNumberFormat="1" applyFont="1" applyFill="1" applyBorder="1" applyAlignment="1">
      <alignment horizontal="center" vertical="center"/>
    </xf>
    <xf numFmtId="2" fontId="4" fillId="6" borderId="32" xfId="0" applyNumberFormat="1" applyFont="1" applyFill="1" applyBorder="1" applyAlignment="1">
      <alignment horizontal="center" vertical="center"/>
    </xf>
    <xf numFmtId="167" fontId="21" fillId="8" borderId="10" xfId="0" quotePrefix="1" applyNumberFormat="1" applyFont="1" applyFill="1" applyBorder="1" applyAlignment="1">
      <alignment horizontal="center" vertical="center"/>
    </xf>
    <xf numFmtId="0" fontId="88" fillId="0" borderId="10" xfId="0" applyFont="1" applyBorder="1"/>
    <xf numFmtId="0" fontId="21" fillId="0" borderId="10" xfId="0" applyFont="1" applyBorder="1"/>
    <xf numFmtId="0" fontId="21" fillId="8" borderId="10" xfId="0" applyFont="1" applyFill="1" applyBorder="1"/>
    <xf numFmtId="0" fontId="44" fillId="0" borderId="10" xfId="0" applyFont="1" applyBorder="1" applyAlignment="1">
      <alignment horizontal="center"/>
    </xf>
    <xf numFmtId="0" fontId="45" fillId="8" borderId="10" xfId="0" applyFont="1" applyFill="1" applyBorder="1" applyAlignment="1">
      <alignment horizontal="center" vertical="center"/>
    </xf>
    <xf numFmtId="0" fontId="45" fillId="0" borderId="10" xfId="0" applyFont="1" applyBorder="1" applyAlignment="1">
      <alignment horizontal="center" vertical="center"/>
    </xf>
    <xf numFmtId="0" fontId="41" fillId="8" borderId="10" xfId="0" applyFont="1" applyFill="1" applyBorder="1" applyAlignment="1">
      <alignment vertical="center"/>
    </xf>
    <xf numFmtId="0" fontId="44" fillId="8" borderId="10" xfId="0" applyFont="1" applyFill="1" applyBorder="1" applyAlignment="1">
      <alignment horizontal="center" vertical="center"/>
    </xf>
    <xf numFmtId="2" fontId="45" fillId="8" borderId="10" xfId="0" applyNumberFormat="1" applyFont="1" applyFill="1" applyBorder="1" applyAlignment="1">
      <alignment horizontal="center" vertical="center"/>
    </xf>
    <xf numFmtId="0" fontId="21" fillId="2" borderId="10" xfId="0" applyFont="1" applyFill="1" applyBorder="1" applyAlignment="1">
      <alignment vertical="center"/>
    </xf>
    <xf numFmtId="0" fontId="22" fillId="0" borderId="10" xfId="0" applyFont="1" applyBorder="1" applyAlignment="1">
      <alignment vertical="center"/>
    </xf>
    <xf numFmtId="0" fontId="22" fillId="0" borderId="10" xfId="0" applyFont="1" applyBorder="1"/>
    <xf numFmtId="0" fontId="4" fillId="0" borderId="10" xfId="0" applyFont="1" applyBorder="1" applyAlignment="1">
      <alignment horizontal="center" vertical="center"/>
    </xf>
    <xf numFmtId="0" fontId="21" fillId="0" borderId="10" xfId="0" applyFont="1" applyBorder="1" applyAlignment="1">
      <alignment horizontal="right" vertical="center"/>
    </xf>
    <xf numFmtId="0" fontId="41" fillId="0" borderId="10" xfId="0" applyFont="1" applyBorder="1" applyAlignment="1">
      <alignment vertical="center"/>
    </xf>
    <xf numFmtId="0" fontId="4" fillId="2" borderId="10" xfId="0" applyFont="1" applyFill="1" applyBorder="1" applyAlignment="1">
      <alignment vertical="center"/>
    </xf>
    <xf numFmtId="0" fontId="19" fillId="0" borderId="10" xfId="0" applyFont="1" applyBorder="1"/>
    <xf numFmtId="167" fontId="21" fillId="7" borderId="10" xfId="0" quotePrefix="1" applyNumberFormat="1" applyFont="1" applyFill="1" applyBorder="1" applyAlignment="1">
      <alignment horizontal="center" vertical="center"/>
    </xf>
    <xf numFmtId="1" fontId="21" fillId="0" borderId="10" xfId="0" quotePrefix="1" applyNumberFormat="1" applyFont="1" applyBorder="1" applyAlignment="1">
      <alignment horizontal="center" vertical="center"/>
    </xf>
    <xf numFmtId="1" fontId="21" fillId="7" borderId="10" xfId="0" quotePrefix="1" applyNumberFormat="1" applyFont="1" applyFill="1" applyBorder="1" applyAlignment="1">
      <alignment horizontal="center" vertical="center"/>
    </xf>
    <xf numFmtId="1" fontId="19" fillId="5" borderId="10" xfId="0" quotePrefix="1" applyNumberFormat="1" applyFont="1" applyFill="1" applyBorder="1" applyAlignment="1">
      <alignment horizontal="center" vertical="center"/>
    </xf>
    <xf numFmtId="1" fontId="21" fillId="6" borderId="10" xfId="0" quotePrefix="1" applyNumberFormat="1" applyFont="1" applyFill="1" applyBorder="1" applyAlignment="1">
      <alignment horizontal="center" vertical="center"/>
    </xf>
    <xf numFmtId="0" fontId="19" fillId="2" borderId="10" xfId="0" applyFont="1" applyFill="1" applyBorder="1" applyAlignment="1">
      <alignment vertical="center"/>
    </xf>
    <xf numFmtId="1" fontId="19" fillId="0" borderId="10" xfId="0" quotePrefix="1" applyNumberFormat="1" applyFont="1" applyBorder="1" applyAlignment="1">
      <alignment horizontal="center" vertical="center"/>
    </xf>
    <xf numFmtId="1" fontId="19" fillId="7" borderId="10" xfId="0" quotePrefix="1" applyNumberFormat="1" applyFont="1" applyFill="1" applyBorder="1" applyAlignment="1">
      <alignment horizontal="center" vertical="center"/>
    </xf>
    <xf numFmtId="1" fontId="19" fillId="6" borderId="10" xfId="0" quotePrefix="1" applyNumberFormat="1" applyFont="1" applyFill="1" applyBorder="1" applyAlignment="1">
      <alignment horizontal="center" vertical="center"/>
    </xf>
    <xf numFmtId="1" fontId="21" fillId="5" borderId="10" xfId="0" quotePrefix="1" applyNumberFormat="1" applyFont="1" applyFill="1" applyBorder="1" applyAlignment="1">
      <alignment horizontal="center" vertical="center"/>
    </xf>
    <xf numFmtId="167" fontId="21" fillId="5" borderId="10" xfId="0" quotePrefix="1" applyNumberFormat="1" applyFont="1" applyFill="1" applyBorder="1" applyAlignment="1">
      <alignment horizontal="center" vertical="center"/>
    </xf>
    <xf numFmtId="167" fontId="21" fillId="6" borderId="10" xfId="0" quotePrefix="1" applyNumberFormat="1" applyFont="1" applyFill="1" applyBorder="1" applyAlignment="1">
      <alignment horizontal="center" vertical="center"/>
    </xf>
    <xf numFmtId="0" fontId="4" fillId="0" borderId="10" xfId="0" applyFont="1" applyBorder="1" applyAlignment="1">
      <alignment horizontal="right" vertical="center"/>
    </xf>
    <xf numFmtId="0" fontId="8" fillId="0" borderId="10" xfId="0" applyFont="1" applyBorder="1" applyAlignment="1">
      <alignment vertical="center"/>
    </xf>
    <xf numFmtId="0" fontId="8" fillId="8" borderId="10" xfId="0" applyFont="1" applyFill="1" applyBorder="1" applyAlignment="1">
      <alignment vertical="center"/>
    </xf>
    <xf numFmtId="168" fontId="21" fillId="0" borderId="10" xfId="1" applyFont="1" applyBorder="1" applyAlignment="1">
      <alignment vertical="center"/>
    </xf>
    <xf numFmtId="168" fontId="19" fillId="0" borderId="10" xfId="1" applyFont="1" applyBorder="1" applyAlignment="1">
      <alignment horizontal="right" vertical="center"/>
    </xf>
    <xf numFmtId="169" fontId="19" fillId="8" borderId="10" xfId="0" applyNumberFormat="1" applyFont="1" applyFill="1" applyBorder="1" applyAlignment="1">
      <alignment horizontal="center" vertical="center"/>
    </xf>
    <xf numFmtId="169" fontId="19" fillId="0" borderId="10" xfId="0" applyNumberFormat="1" applyFont="1" applyBorder="1" applyAlignment="1">
      <alignment horizontal="center" vertical="center"/>
    </xf>
    <xf numFmtId="169" fontId="19" fillId="7" borderId="10" xfId="0" applyNumberFormat="1" applyFont="1" applyFill="1" applyBorder="1" applyAlignment="1">
      <alignment horizontal="center" vertical="center"/>
    </xf>
    <xf numFmtId="169" fontId="19" fillId="5" borderId="10" xfId="0" applyNumberFormat="1" applyFont="1" applyFill="1" applyBorder="1" applyAlignment="1">
      <alignment horizontal="center" vertical="center"/>
    </xf>
    <xf numFmtId="169" fontId="19" fillId="6" borderId="10" xfId="0" applyNumberFormat="1" applyFont="1" applyFill="1" applyBorder="1" applyAlignment="1">
      <alignment horizontal="center" vertical="center"/>
    </xf>
    <xf numFmtId="167" fontId="0" fillId="0" borderId="31" xfId="0" applyNumberFormat="1" applyBorder="1" applyAlignment="1">
      <alignment horizontal="center" vertical="center"/>
    </xf>
    <xf numFmtId="167" fontId="0" fillId="0" borderId="17" xfId="0" applyNumberFormat="1" applyBorder="1" applyAlignment="1">
      <alignment horizontal="center" vertical="center"/>
    </xf>
    <xf numFmtId="1" fontId="0" fillId="0" borderId="31" xfId="0" applyNumberFormat="1" applyBorder="1" applyAlignment="1">
      <alignment horizontal="center" vertical="center"/>
    </xf>
    <xf numFmtId="2" fontId="0" fillId="0" borderId="31" xfId="0" applyNumberFormat="1" applyBorder="1" applyAlignment="1">
      <alignment horizontal="center" vertical="center"/>
    </xf>
    <xf numFmtId="169" fontId="0" fillId="0" borderId="31" xfId="0" applyNumberFormat="1" applyBorder="1" applyAlignment="1">
      <alignment horizontal="center" vertical="center"/>
    </xf>
    <xf numFmtId="1" fontId="0" fillId="0" borderId="32" xfId="0" applyNumberFormat="1" applyBorder="1" applyAlignment="1">
      <alignment horizontal="center" vertical="center"/>
    </xf>
    <xf numFmtId="167" fontId="0" fillId="5" borderId="31" xfId="0" applyNumberFormat="1" applyFill="1" applyBorder="1" applyAlignment="1">
      <alignment horizontal="center" vertical="center"/>
    </xf>
    <xf numFmtId="1" fontId="0" fillId="5" borderId="31" xfId="0" applyNumberFormat="1" applyFill="1" applyBorder="1" applyAlignment="1">
      <alignment horizontal="center" vertical="center"/>
    </xf>
    <xf numFmtId="2" fontId="0" fillId="5" borderId="31" xfId="0" applyNumberFormat="1" applyFill="1" applyBorder="1" applyAlignment="1">
      <alignment horizontal="center" vertical="center"/>
    </xf>
    <xf numFmtId="169" fontId="0" fillId="5" borderId="31" xfId="0" applyNumberFormat="1" applyFill="1" applyBorder="1" applyAlignment="1">
      <alignment horizontal="center" vertical="center"/>
    </xf>
    <xf numFmtId="1" fontId="0" fillId="5" borderId="32" xfId="0" applyNumberFormat="1" applyFill="1" applyBorder="1" applyAlignment="1">
      <alignment horizontal="center" vertical="center"/>
    </xf>
    <xf numFmtId="167" fontId="0" fillId="7" borderId="31" xfId="0" applyNumberFormat="1" applyFill="1" applyBorder="1" applyAlignment="1">
      <alignment horizontal="center" vertical="center"/>
    </xf>
    <xf numFmtId="167" fontId="0" fillId="7" borderId="17" xfId="0" applyNumberFormat="1" applyFill="1" applyBorder="1" applyAlignment="1">
      <alignment horizontal="center" vertical="center"/>
    </xf>
    <xf numFmtId="1" fontId="0" fillId="7" borderId="31" xfId="0" applyNumberFormat="1" applyFill="1" applyBorder="1" applyAlignment="1">
      <alignment horizontal="center" vertical="center"/>
    </xf>
    <xf numFmtId="2" fontId="0" fillId="7" borderId="31" xfId="0" applyNumberFormat="1" applyFill="1" applyBorder="1" applyAlignment="1">
      <alignment horizontal="center" vertical="center"/>
    </xf>
    <xf numFmtId="169" fontId="0" fillId="7" borderId="31" xfId="0" applyNumberFormat="1" applyFill="1" applyBorder="1" applyAlignment="1">
      <alignment horizontal="center" vertical="center"/>
    </xf>
    <xf numFmtId="1" fontId="0" fillId="7" borderId="32" xfId="0" applyNumberFormat="1" applyFill="1" applyBorder="1" applyAlignment="1">
      <alignment horizontal="center" vertical="center"/>
    </xf>
    <xf numFmtId="0" fontId="22" fillId="8" borderId="1" xfId="0" applyFont="1" applyFill="1" applyBorder="1" applyAlignment="1">
      <alignment horizontal="center" vertical="center"/>
    </xf>
    <xf numFmtId="1" fontId="21" fillId="8" borderId="7" xfId="0" applyNumberFormat="1" applyFont="1" applyFill="1" applyBorder="1" applyAlignment="1">
      <alignment horizontal="center" vertical="center"/>
    </xf>
    <xf numFmtId="164" fontId="19" fillId="8" borderId="55" xfId="0" applyNumberFormat="1" applyFont="1" applyFill="1" applyBorder="1" applyAlignment="1">
      <alignment horizontal="right" vertical="center"/>
    </xf>
    <xf numFmtId="0" fontId="19" fillId="8" borderId="9" xfId="0" applyFont="1" applyFill="1" applyBorder="1" applyAlignment="1">
      <alignment vertical="center"/>
    </xf>
    <xf numFmtId="0" fontId="19" fillId="8" borderId="26" xfId="0" applyFont="1" applyFill="1" applyBorder="1" applyAlignment="1">
      <alignment vertical="center"/>
    </xf>
    <xf numFmtId="0" fontId="19" fillId="8" borderId="73" xfId="0" applyFont="1" applyFill="1" applyBorder="1" applyAlignment="1">
      <alignment horizontal="center" vertical="center"/>
    </xf>
    <xf numFmtId="164" fontId="19" fillId="8" borderId="30" xfId="0" applyNumberFormat="1" applyFont="1" applyFill="1" applyBorder="1" applyAlignment="1">
      <alignment horizontal="right" vertical="center"/>
    </xf>
    <xf numFmtId="164" fontId="19" fillId="8" borderId="9" xfId="0" applyNumberFormat="1" applyFont="1" applyFill="1" applyBorder="1" applyAlignment="1">
      <alignment horizontal="right" vertical="center"/>
    </xf>
    <xf numFmtId="0" fontId="19" fillId="8" borderId="74" xfId="0" applyFont="1" applyFill="1" applyBorder="1" applyAlignment="1">
      <alignment vertical="center"/>
    </xf>
    <xf numFmtId="0" fontId="22" fillId="8" borderId="32" xfId="0" applyFont="1" applyFill="1" applyBorder="1" applyAlignment="1">
      <alignment vertical="center"/>
    </xf>
    <xf numFmtId="0" fontId="22" fillId="8" borderId="49" xfId="0" applyFont="1" applyFill="1" applyBorder="1" applyAlignment="1">
      <alignment vertical="center"/>
    </xf>
    <xf numFmtId="0" fontId="80" fillId="8" borderId="52" xfId="186" applyFont="1" applyFill="1" applyBorder="1" applyAlignment="1">
      <alignment horizontal="left" vertical="center"/>
    </xf>
    <xf numFmtId="0" fontId="85" fillId="0" borderId="10" xfId="0" applyFont="1" applyBorder="1"/>
    <xf numFmtId="1" fontId="85" fillId="0" borderId="10" xfId="0" applyNumberFormat="1" applyFont="1" applyBorder="1" applyAlignment="1">
      <alignment horizontal="center" vertical="center"/>
    </xf>
    <xf numFmtId="1" fontId="21" fillId="6" borderId="41" xfId="0" applyNumberFormat="1" applyFont="1" applyFill="1" applyBorder="1" applyAlignment="1">
      <alignment horizontal="center" vertical="center"/>
    </xf>
    <xf numFmtId="0" fontId="46" fillId="8" borderId="57" xfId="0" applyFont="1" applyFill="1" applyBorder="1"/>
    <xf numFmtId="0" fontId="46" fillId="8" borderId="26" xfId="0" applyFont="1" applyFill="1" applyBorder="1"/>
    <xf numFmtId="0" fontId="46" fillId="8" borderId="26" xfId="0" applyFont="1" applyFill="1" applyBorder="1" applyAlignment="1">
      <alignment horizontal="center"/>
    </xf>
    <xf numFmtId="0" fontId="46" fillId="0" borderId="63" xfId="0" applyFont="1" applyBorder="1"/>
    <xf numFmtId="0" fontId="46" fillId="0" borderId="41" xfId="0" applyFont="1" applyBorder="1"/>
    <xf numFmtId="1" fontId="46" fillId="0" borderId="41" xfId="0" applyNumberFormat="1" applyFont="1" applyBorder="1" applyAlignment="1">
      <alignment horizontal="center" vertical="center"/>
    </xf>
    <xf numFmtId="0" fontId="46" fillId="7" borderId="41" xfId="0" applyFont="1" applyFill="1" applyBorder="1"/>
    <xf numFmtId="1" fontId="46" fillId="7" borderId="41" xfId="0" applyNumberFormat="1" applyFont="1" applyFill="1" applyBorder="1" applyAlignment="1">
      <alignment horizontal="center" vertical="center"/>
    </xf>
    <xf numFmtId="0" fontId="46" fillId="5" borderId="41" xfId="0" applyFont="1" applyFill="1" applyBorder="1"/>
    <xf numFmtId="0" fontId="46" fillId="5" borderId="41" xfId="0" applyFont="1" applyFill="1" applyBorder="1" applyAlignment="1">
      <alignment horizontal="center"/>
    </xf>
    <xf numFmtId="0" fontId="46" fillId="6" borderId="41" xfId="0" applyFont="1" applyFill="1" applyBorder="1" applyAlignment="1">
      <alignment horizontal="center"/>
    </xf>
    <xf numFmtId="0" fontId="46" fillId="0" borderId="31" xfId="0" applyFont="1" applyBorder="1"/>
    <xf numFmtId="0" fontId="46" fillId="8" borderId="31" xfId="0" applyFont="1" applyFill="1" applyBorder="1"/>
    <xf numFmtId="9" fontId="46" fillId="7" borderId="17" xfId="22" applyFont="1" applyFill="1" applyBorder="1" applyAlignment="1">
      <alignment horizontal="center" vertical="center"/>
    </xf>
    <xf numFmtId="0" fontId="46" fillId="0" borderId="32" xfId="0" applyFont="1" applyBorder="1"/>
    <xf numFmtId="167" fontId="46" fillId="0" borderId="23" xfId="0" applyNumberFormat="1" applyFont="1" applyBorder="1"/>
    <xf numFmtId="1" fontId="46" fillId="0" borderId="23" xfId="0" applyNumberFormat="1" applyFont="1" applyBorder="1" applyAlignment="1">
      <alignment horizontal="center" vertical="center"/>
    </xf>
    <xf numFmtId="167" fontId="46" fillId="7" borderId="23" xfId="0" applyNumberFormat="1" applyFont="1" applyFill="1" applyBorder="1"/>
    <xf numFmtId="1" fontId="46" fillId="7" borderId="23" xfId="0" applyNumberFormat="1" applyFont="1" applyFill="1" applyBorder="1" applyAlignment="1">
      <alignment horizontal="center" vertical="center"/>
    </xf>
    <xf numFmtId="167" fontId="46" fillId="5" borderId="23" xfId="0" applyNumberFormat="1" applyFont="1" applyFill="1" applyBorder="1"/>
    <xf numFmtId="167" fontId="46" fillId="5" borderId="23" xfId="0" applyNumberFormat="1" applyFont="1" applyFill="1" applyBorder="1" applyAlignment="1">
      <alignment horizontal="center"/>
    </xf>
    <xf numFmtId="167" fontId="46" fillId="6" borderId="23" xfId="0" applyNumberFormat="1" applyFont="1" applyFill="1" applyBorder="1" applyAlignment="1">
      <alignment horizontal="center"/>
    </xf>
    <xf numFmtId="167" fontId="46" fillId="0" borderId="41" xfId="0" applyNumberFormat="1" applyFont="1" applyBorder="1"/>
    <xf numFmtId="167" fontId="46" fillId="7" borderId="41" xfId="0" applyNumberFormat="1" applyFont="1" applyFill="1" applyBorder="1"/>
    <xf numFmtId="167" fontId="46" fillId="5" borderId="41" xfId="0" applyNumberFormat="1" applyFont="1" applyFill="1" applyBorder="1"/>
    <xf numFmtId="1" fontId="46" fillId="5" borderId="41" xfId="0" applyNumberFormat="1" applyFont="1" applyFill="1" applyBorder="1" applyAlignment="1">
      <alignment horizontal="center" vertical="center"/>
    </xf>
    <xf numFmtId="167" fontId="46" fillId="5" borderId="41" xfId="0" applyNumberFormat="1" applyFont="1" applyFill="1" applyBorder="1" applyAlignment="1">
      <alignment horizontal="center"/>
    </xf>
    <xf numFmtId="167" fontId="46" fillId="6" borderId="41" xfId="0" applyNumberFormat="1" applyFont="1" applyFill="1" applyBorder="1" applyAlignment="1">
      <alignment horizontal="center"/>
    </xf>
    <xf numFmtId="1" fontId="46" fillId="6" borderId="41" xfId="0" applyNumberFormat="1" applyFont="1" applyFill="1" applyBorder="1" applyAlignment="1">
      <alignment horizontal="center" vertical="center"/>
    </xf>
    <xf numFmtId="1" fontId="46" fillId="7" borderId="42" xfId="0" applyNumberFormat="1" applyFont="1" applyFill="1" applyBorder="1" applyAlignment="1">
      <alignment horizontal="center" vertical="center"/>
    </xf>
    <xf numFmtId="0" fontId="46" fillId="0" borderId="31" xfId="0" applyFont="1" applyBorder="1" applyAlignment="1">
      <alignment horizontal="left" vertical="center" wrapText="1"/>
    </xf>
    <xf numFmtId="1" fontId="46" fillId="7" borderId="17" xfId="0" applyNumberFormat="1" applyFont="1" applyFill="1" applyBorder="1" applyAlignment="1">
      <alignment horizontal="center" vertical="center"/>
    </xf>
    <xf numFmtId="1" fontId="46" fillId="5" borderId="23" xfId="0" applyNumberFormat="1" applyFont="1" applyFill="1" applyBorder="1" applyAlignment="1">
      <alignment horizontal="center" vertical="center"/>
    </xf>
    <xf numFmtId="1" fontId="46" fillId="6" borderId="23" xfId="0" applyNumberFormat="1" applyFont="1" applyFill="1" applyBorder="1" applyAlignment="1">
      <alignment horizontal="center" vertical="center"/>
    </xf>
    <xf numFmtId="1" fontId="46" fillId="7" borderId="33" xfId="0" applyNumberFormat="1" applyFont="1" applyFill="1" applyBorder="1" applyAlignment="1">
      <alignment horizontal="center" vertical="center"/>
    </xf>
    <xf numFmtId="0" fontId="46" fillId="0" borderId="5" xfId="0" applyFont="1" applyBorder="1"/>
    <xf numFmtId="1" fontId="46" fillId="0" borderId="5" xfId="0" applyNumberFormat="1" applyFont="1" applyBorder="1" applyAlignment="1">
      <alignment horizontal="center" vertical="center"/>
    </xf>
    <xf numFmtId="1" fontId="46" fillId="7" borderId="5" xfId="0" applyNumberFormat="1" applyFont="1" applyFill="1" applyBorder="1" applyAlignment="1">
      <alignment horizontal="center" vertical="center"/>
    </xf>
    <xf numFmtId="1" fontId="46" fillId="5" borderId="5" xfId="0" applyNumberFormat="1" applyFont="1" applyFill="1" applyBorder="1" applyAlignment="1">
      <alignment horizontal="center" vertical="center"/>
    </xf>
    <xf numFmtId="167" fontId="46" fillId="7" borderId="5" xfId="0" applyNumberFormat="1" applyFont="1" applyFill="1" applyBorder="1"/>
    <xf numFmtId="167" fontId="46" fillId="5" borderId="5" xfId="0" applyNumberFormat="1" applyFont="1" applyFill="1" applyBorder="1" applyAlignment="1">
      <alignment horizontal="center"/>
    </xf>
    <xf numFmtId="167" fontId="46" fillId="6" borderId="5" xfId="0" applyNumberFormat="1" applyFont="1" applyFill="1" applyBorder="1" applyAlignment="1">
      <alignment horizontal="center"/>
    </xf>
    <xf numFmtId="1" fontId="46" fillId="6" borderId="5" xfId="0" applyNumberFormat="1" applyFont="1" applyFill="1" applyBorder="1" applyAlignment="1">
      <alignment horizontal="center" vertical="center"/>
    </xf>
    <xf numFmtId="1" fontId="46" fillId="7" borderId="11" xfId="0" applyNumberFormat="1" applyFont="1" applyFill="1" applyBorder="1" applyAlignment="1">
      <alignment horizontal="center" vertical="center"/>
    </xf>
    <xf numFmtId="0" fontId="91" fillId="0" borderId="10" xfId="0" applyFont="1" applyBorder="1" applyAlignment="1">
      <alignment horizontal="left"/>
    </xf>
    <xf numFmtId="164" fontId="21" fillId="0" borderId="36" xfId="0" quotePrefix="1" applyNumberFormat="1" applyFont="1" applyBorder="1" applyAlignment="1">
      <alignment horizontal="left" vertical="center"/>
    </xf>
    <xf numFmtId="0" fontId="19" fillId="0" borderId="8" xfId="0" applyFont="1" applyBorder="1" applyAlignment="1">
      <alignment vertical="center"/>
    </xf>
    <xf numFmtId="0" fontId="19" fillId="0" borderId="12" xfId="0" applyFont="1" applyBorder="1" applyAlignment="1">
      <alignment vertical="center"/>
    </xf>
    <xf numFmtId="164" fontId="21" fillId="0" borderId="12" xfId="0" quotePrefix="1" applyNumberFormat="1" applyFont="1" applyBorder="1" applyAlignment="1">
      <alignment horizontal="left" vertical="center"/>
    </xf>
    <xf numFmtId="0" fontId="89" fillId="0" borderId="0" xfId="0" applyFont="1" applyAlignment="1">
      <alignment horizontal="center"/>
    </xf>
    <xf numFmtId="0" fontId="37" fillId="0" borderId="10" xfId="0" applyFont="1" applyBorder="1" applyAlignment="1">
      <alignment horizontal="center"/>
    </xf>
    <xf numFmtId="0" fontId="22" fillId="45" borderId="4" xfId="0" applyFont="1" applyFill="1" applyBorder="1" applyAlignment="1">
      <alignment horizontal="center" vertical="center"/>
    </xf>
    <xf numFmtId="0" fontId="22" fillId="45" borderId="28" xfId="0" applyFont="1" applyFill="1" applyBorder="1" applyAlignment="1">
      <alignment horizontal="center" vertical="center"/>
    </xf>
    <xf numFmtId="0" fontId="4" fillId="45" borderId="24" xfId="0" applyFont="1" applyFill="1" applyBorder="1" applyAlignment="1">
      <alignment vertical="center"/>
    </xf>
    <xf numFmtId="1" fontId="19" fillId="45" borderId="1" xfId="0" applyNumberFormat="1" applyFont="1" applyFill="1" applyBorder="1" applyAlignment="1">
      <alignment horizontal="center" vertical="center"/>
    </xf>
    <xf numFmtId="1" fontId="19" fillId="45" borderId="11" xfId="0" applyNumberFormat="1" applyFont="1" applyFill="1" applyBorder="1" applyAlignment="1">
      <alignment horizontal="center" vertical="center"/>
    </xf>
    <xf numFmtId="1" fontId="21" fillId="45" borderId="53" xfId="0" applyNumberFormat="1" applyFont="1" applyFill="1" applyBorder="1" applyAlignment="1">
      <alignment horizontal="center" vertical="center"/>
    </xf>
    <xf numFmtId="1" fontId="21" fillId="45" borderId="29" xfId="0" applyNumberFormat="1" applyFont="1" applyFill="1" applyBorder="1" applyAlignment="1">
      <alignment horizontal="center" vertical="center"/>
    </xf>
    <xf numFmtId="1" fontId="21" fillId="45" borderId="17" xfId="0" applyNumberFormat="1" applyFont="1" applyFill="1" applyBorder="1" applyAlignment="1">
      <alignment horizontal="center" vertical="center"/>
    </xf>
    <xf numFmtId="1" fontId="21" fillId="45" borderId="31" xfId="0" applyNumberFormat="1" applyFont="1" applyFill="1" applyBorder="1" applyAlignment="1">
      <alignment horizontal="center" vertical="center"/>
    </xf>
    <xf numFmtId="1" fontId="21" fillId="45" borderId="33" xfId="0" applyNumberFormat="1" applyFont="1" applyFill="1" applyBorder="1" applyAlignment="1">
      <alignment horizontal="center" vertical="center"/>
    </xf>
    <xf numFmtId="0" fontId="4" fillId="45" borderId="61" xfId="0" applyFont="1" applyFill="1" applyBorder="1" applyAlignment="1">
      <alignment vertical="center"/>
    </xf>
    <xf numFmtId="1" fontId="19" fillId="45" borderId="21" xfId="0" applyNumberFormat="1" applyFont="1" applyFill="1" applyBorder="1" applyAlignment="1">
      <alignment horizontal="center" vertical="center"/>
    </xf>
    <xf numFmtId="1" fontId="80" fillId="45" borderId="1" xfId="186" applyNumberFormat="1" applyFont="1" applyFill="1" applyBorder="1" applyAlignment="1">
      <alignment horizontal="center" vertical="center"/>
    </xf>
    <xf numFmtId="1" fontId="80" fillId="45" borderId="10" xfId="186" applyNumberFormat="1" applyFont="1" applyFill="1" applyBorder="1" applyAlignment="1">
      <alignment horizontal="center" vertical="top"/>
    </xf>
    <xf numFmtId="1" fontId="80" fillId="6" borderId="10" xfId="186" applyNumberFormat="1" applyFont="1" applyFill="1" applyBorder="1" applyAlignment="1">
      <alignment horizontal="center" vertical="center"/>
    </xf>
    <xf numFmtId="0" fontId="27" fillId="34" borderId="25" xfId="0" applyFont="1" applyFill="1" applyBorder="1" applyAlignment="1">
      <alignment horizontal="center" vertical="center"/>
    </xf>
    <xf numFmtId="0" fontId="27" fillId="34" borderId="13" xfId="0" applyFont="1" applyFill="1" applyBorder="1" applyAlignment="1">
      <alignment horizontal="center" vertical="center"/>
    </xf>
    <xf numFmtId="1" fontId="12" fillId="34" borderId="47" xfId="0" applyNumberFormat="1" applyFont="1" applyFill="1" applyBorder="1" applyAlignment="1">
      <alignment horizontal="center"/>
    </xf>
    <xf numFmtId="1" fontId="22" fillId="34" borderId="25" xfId="0" applyNumberFormat="1" applyFont="1" applyFill="1" applyBorder="1" applyAlignment="1">
      <alignment horizontal="center"/>
    </xf>
    <xf numFmtId="1" fontId="22" fillId="34" borderId="13" xfId="0" applyNumberFormat="1" applyFont="1" applyFill="1" applyBorder="1" applyAlignment="1">
      <alignment horizontal="center"/>
    </xf>
    <xf numFmtId="1" fontId="27" fillId="34" borderId="25" xfId="0" applyNumberFormat="1" applyFont="1" applyFill="1" applyBorder="1" applyAlignment="1">
      <alignment horizontal="center"/>
    </xf>
    <xf numFmtId="1" fontId="27" fillId="34" borderId="13" xfId="0" applyNumberFormat="1" applyFont="1" applyFill="1" applyBorder="1" applyAlignment="1">
      <alignment horizontal="center"/>
    </xf>
    <xf numFmtId="1" fontId="22" fillId="34" borderId="51" xfId="0" applyNumberFormat="1" applyFont="1" applyFill="1" applyBorder="1" applyAlignment="1">
      <alignment horizontal="center"/>
    </xf>
    <xf numFmtId="1" fontId="22" fillId="34" borderId="20" xfId="0" applyNumberFormat="1" applyFont="1" applyFill="1" applyBorder="1" applyAlignment="1">
      <alignment horizontal="center"/>
    </xf>
    <xf numFmtId="1" fontId="22" fillId="7" borderId="25" xfId="0" applyNumberFormat="1" applyFont="1" applyFill="1" applyBorder="1" applyAlignment="1">
      <alignment horizontal="center"/>
    </xf>
    <xf numFmtId="1" fontId="22" fillId="7" borderId="13" xfId="0" applyNumberFormat="1" applyFont="1" applyFill="1" applyBorder="1" applyAlignment="1">
      <alignment horizontal="center"/>
    </xf>
    <xf numFmtId="1" fontId="22" fillId="7" borderId="51" xfId="0" applyNumberFormat="1" applyFont="1" applyFill="1" applyBorder="1" applyAlignment="1">
      <alignment horizontal="center"/>
    </xf>
    <xf numFmtId="1" fontId="22" fillId="7" borderId="20" xfId="0" applyNumberFormat="1" applyFont="1" applyFill="1" applyBorder="1" applyAlignment="1">
      <alignment horizontal="center"/>
    </xf>
    <xf numFmtId="0" fontId="0" fillId="0" borderId="2" xfId="0" applyBorder="1"/>
    <xf numFmtId="0" fontId="0" fillId="0" borderId="39" xfId="0" applyBorder="1"/>
    <xf numFmtId="1" fontId="11" fillId="8" borderId="10" xfId="0" applyNumberFormat="1" applyFont="1" applyFill="1" applyBorder="1" applyAlignment="1">
      <alignment horizontal="center" vertical="center"/>
    </xf>
    <xf numFmtId="0" fontId="21" fillId="8" borderId="37" xfId="0" applyFont="1" applyFill="1" applyBorder="1" applyAlignment="1">
      <alignment horizontal="left" vertical="center"/>
    </xf>
    <xf numFmtId="0" fontId="126" fillId="8" borderId="31" xfId="0" applyFont="1" applyFill="1" applyBorder="1" applyAlignment="1">
      <alignment horizontal="left" vertical="center"/>
    </xf>
    <xf numFmtId="1" fontId="19" fillId="0" borderId="9" xfId="0" applyNumberFormat="1" applyFont="1" applyBorder="1" applyAlignment="1">
      <alignment horizontal="center" vertical="center"/>
    </xf>
    <xf numFmtId="1" fontId="127" fillId="8" borderId="0" xfId="0" applyNumberFormat="1" applyFont="1" applyFill="1" applyAlignment="1">
      <alignment vertical="center" wrapText="1"/>
    </xf>
    <xf numFmtId="9" fontId="24" fillId="8" borderId="10" xfId="22" applyFont="1" applyFill="1" applyBorder="1" applyAlignment="1">
      <alignment horizontal="center"/>
    </xf>
    <xf numFmtId="1" fontId="21" fillId="0" borderId="34" xfId="0" applyNumberFormat="1" applyFont="1" applyBorder="1" applyAlignment="1">
      <alignment horizontal="center" vertical="center"/>
    </xf>
    <xf numFmtId="1" fontId="21" fillId="5" borderId="34" xfId="0" applyNumberFormat="1" applyFont="1" applyFill="1" applyBorder="1" applyAlignment="1">
      <alignment horizontal="center" vertical="center"/>
    </xf>
    <xf numFmtId="1" fontId="21" fillId="7" borderId="62" xfId="0" applyNumberFormat="1" applyFont="1" applyFill="1" applyBorder="1" applyAlignment="1">
      <alignment horizontal="center" vertical="center"/>
    </xf>
    <xf numFmtId="1" fontId="21" fillId="0" borderId="63" xfId="0" applyNumberFormat="1" applyFont="1" applyBorder="1" applyAlignment="1">
      <alignment horizontal="center" vertical="center"/>
    </xf>
    <xf numFmtId="1" fontId="21" fillId="0" borderId="31" xfId="0" applyNumberFormat="1" applyFont="1" applyBorder="1" applyAlignment="1">
      <alignment horizontal="center" vertical="center"/>
    </xf>
    <xf numFmtId="1" fontId="21" fillId="7" borderId="8" xfId="0" applyNumberFormat="1" applyFont="1" applyFill="1" applyBorder="1" applyAlignment="1">
      <alignment horizontal="center" vertical="center"/>
    </xf>
    <xf numFmtId="1" fontId="22" fillId="7" borderId="1" xfId="0" applyNumberFormat="1" applyFont="1" applyFill="1" applyBorder="1" applyAlignment="1">
      <alignment horizontal="center" vertical="center"/>
    </xf>
    <xf numFmtId="1" fontId="22" fillId="7" borderId="11" xfId="0" applyNumberFormat="1" applyFont="1" applyFill="1" applyBorder="1" applyAlignment="1">
      <alignment horizontal="center" vertical="center"/>
    </xf>
    <xf numFmtId="1" fontId="7" fillId="7" borderId="31" xfId="0" applyNumberFormat="1" applyFont="1" applyFill="1" applyBorder="1" applyAlignment="1">
      <alignment horizontal="center" vertical="center"/>
    </xf>
    <xf numFmtId="0" fontId="91" fillId="7" borderId="10" xfId="0" applyFont="1" applyFill="1" applyBorder="1" applyAlignment="1">
      <alignment horizontal="center" vertical="center"/>
    </xf>
    <xf numFmtId="1" fontId="7" fillId="5" borderId="31" xfId="0" applyNumberFormat="1" applyFont="1" applyFill="1" applyBorder="1" applyAlignment="1">
      <alignment horizontal="center" vertical="center"/>
    </xf>
    <xf numFmtId="0" fontId="91" fillId="6" borderId="10" xfId="0" applyFont="1" applyFill="1" applyBorder="1" applyAlignment="1">
      <alignment horizontal="center" vertical="center"/>
    </xf>
    <xf numFmtId="1" fontId="7" fillId="6" borderId="31" xfId="0" applyNumberFormat="1" applyFont="1" applyFill="1" applyBorder="1" applyAlignment="1">
      <alignment horizontal="center" vertical="center"/>
    </xf>
    <xf numFmtId="1" fontId="21" fillId="8" borderId="10" xfId="0" applyNumberFormat="1" applyFont="1" applyFill="1" applyBorder="1" applyAlignment="1">
      <alignment horizontal="center" vertical="center"/>
    </xf>
    <xf numFmtId="0" fontId="22" fillId="0" borderId="66" xfId="0" applyFont="1" applyBorder="1" applyAlignment="1">
      <alignment horizontal="center" vertical="center"/>
    </xf>
    <xf numFmtId="0" fontId="22" fillId="0" borderId="37" xfId="0" applyFont="1" applyBorder="1" applyAlignment="1">
      <alignment horizontal="center" vertical="center"/>
    </xf>
    <xf numFmtId="0" fontId="22" fillId="0" borderId="68" xfId="0" applyFont="1" applyBorder="1" applyAlignment="1">
      <alignment horizontal="center" vertical="center"/>
    </xf>
    <xf numFmtId="2" fontId="21" fillId="8" borderId="10" xfId="0" applyNumberFormat="1" applyFont="1" applyFill="1" applyBorder="1" applyAlignment="1">
      <alignment horizontal="center" vertical="center"/>
    </xf>
    <xf numFmtId="1" fontId="19" fillId="8" borderId="10" xfId="0" applyNumberFormat="1" applyFont="1" applyFill="1" applyBorder="1" applyAlignment="1">
      <alignment horizontal="center" vertical="center"/>
    </xf>
    <xf numFmtId="0" fontId="22" fillId="45" borderId="10" xfId="0" applyFont="1" applyFill="1" applyBorder="1" applyAlignment="1">
      <alignment horizontal="center" vertical="center"/>
    </xf>
    <xf numFmtId="1" fontId="19" fillId="45" borderId="10" xfId="0" applyNumberFormat="1" applyFont="1" applyFill="1" applyBorder="1" applyAlignment="1">
      <alignment horizontal="center" vertical="center"/>
    </xf>
    <xf numFmtId="1" fontId="4" fillId="45" borderId="10" xfId="0" applyNumberFormat="1" applyFont="1" applyFill="1" applyBorder="1" applyAlignment="1">
      <alignment horizontal="center" vertical="center"/>
    </xf>
    <xf numFmtId="1" fontId="22" fillId="8" borderId="17" xfId="0" applyNumberFormat="1" applyFont="1" applyFill="1" applyBorder="1" applyAlignment="1">
      <alignment horizontal="center" vertical="center"/>
    </xf>
    <xf numFmtId="1" fontId="22" fillId="8" borderId="23" xfId="0" applyNumberFormat="1" applyFont="1" applyFill="1" applyBorder="1" applyAlignment="1">
      <alignment horizontal="center" vertical="center"/>
    </xf>
    <xf numFmtId="1" fontId="21" fillId="6" borderId="23" xfId="0" applyNumberFormat="1" applyFont="1" applyFill="1" applyBorder="1" applyAlignment="1">
      <alignment horizontal="center" vertical="center"/>
    </xf>
    <xf numFmtId="1" fontId="21" fillId="45" borderId="23" xfId="0" applyNumberFormat="1" applyFont="1" applyFill="1" applyBorder="1" applyAlignment="1">
      <alignment horizontal="center" vertical="center"/>
    </xf>
    <xf numFmtId="1" fontId="20" fillId="8" borderId="17" xfId="0" applyNumberFormat="1" applyFont="1" applyFill="1" applyBorder="1" applyAlignment="1">
      <alignment horizontal="center" vertical="center"/>
    </xf>
    <xf numFmtId="167" fontId="21" fillId="8" borderId="30" xfId="0" applyNumberFormat="1" applyFont="1" applyFill="1" applyBorder="1" applyAlignment="1">
      <alignment horizontal="center" vertical="center"/>
    </xf>
    <xf numFmtId="0" fontId="22" fillId="7" borderId="23" xfId="0" applyFont="1" applyFill="1" applyBorder="1" applyAlignment="1">
      <alignment horizontal="center" vertical="center"/>
    </xf>
    <xf numFmtId="0" fontId="22" fillId="0" borderId="32" xfId="0" applyFont="1" applyBorder="1" applyAlignment="1">
      <alignment horizontal="center" vertical="center"/>
    </xf>
    <xf numFmtId="0" fontId="22" fillId="0" borderId="33" xfId="0" applyFont="1" applyBorder="1" applyAlignment="1">
      <alignment horizontal="center" vertical="center"/>
    </xf>
    <xf numFmtId="1" fontId="21" fillId="8" borderId="75" xfId="0" applyNumberFormat="1" applyFont="1" applyFill="1" applyBorder="1" applyAlignment="1">
      <alignment horizontal="center" vertical="center"/>
    </xf>
    <xf numFmtId="2" fontId="49" fillId="8" borderId="10" xfId="0" applyNumberFormat="1" applyFont="1" applyFill="1" applyBorder="1" applyAlignment="1">
      <alignment horizontal="center" vertical="center"/>
    </xf>
    <xf numFmtId="167" fontId="0" fillId="6" borderId="31" xfId="0" applyNumberFormat="1" applyFill="1" applyBorder="1" applyAlignment="1">
      <alignment horizontal="center" vertical="center"/>
    </xf>
    <xf numFmtId="1" fontId="0" fillId="6" borderId="31" xfId="0" applyNumberFormat="1" applyFill="1" applyBorder="1" applyAlignment="1">
      <alignment horizontal="center" vertical="center"/>
    </xf>
    <xf numFmtId="2" fontId="0" fillId="6" borderId="31" xfId="0" applyNumberFormat="1" applyFill="1" applyBorder="1" applyAlignment="1">
      <alignment horizontal="center" vertical="center"/>
    </xf>
    <xf numFmtId="169" fontId="0" fillId="6" borderId="31" xfId="0" applyNumberFormat="1" applyFill="1" applyBorder="1" applyAlignment="1">
      <alignment horizontal="center" vertical="center"/>
    </xf>
    <xf numFmtId="1" fontId="0" fillId="6" borderId="32" xfId="0" applyNumberFormat="1" applyFill="1" applyBorder="1" applyAlignment="1">
      <alignment horizontal="center" vertical="center"/>
    </xf>
    <xf numFmtId="1" fontId="121" fillId="5" borderId="10" xfId="0" applyNumberFormat="1" applyFont="1" applyFill="1" applyBorder="1" applyAlignment="1">
      <alignment horizontal="center" vertical="center"/>
    </xf>
    <xf numFmtId="0" fontId="20" fillId="0" borderId="45" xfId="0" applyFont="1" applyBorder="1"/>
    <xf numFmtId="0" fontId="121" fillId="0" borderId="45" xfId="0" applyFont="1" applyBorder="1"/>
    <xf numFmtId="0" fontId="19" fillId="7" borderId="33" xfId="0" applyFont="1" applyFill="1" applyBorder="1" applyAlignment="1">
      <alignment horizontal="center" vertical="center"/>
    </xf>
    <xf numFmtId="0" fontId="121" fillId="0" borderId="0" xfId="0" applyFont="1"/>
    <xf numFmtId="0" fontId="121" fillId="0" borderId="0" xfId="0" applyFont="1" applyAlignment="1">
      <alignment horizontal="center" vertical="center"/>
    </xf>
    <xf numFmtId="0" fontId="19" fillId="8" borderId="32" xfId="0" applyFont="1" applyFill="1" applyBorder="1" applyAlignment="1">
      <alignment horizontal="center" vertical="center"/>
    </xf>
    <xf numFmtId="0" fontId="19" fillId="8" borderId="33" xfId="0" applyFont="1" applyFill="1" applyBorder="1" applyAlignment="1">
      <alignment horizontal="center" vertical="center"/>
    </xf>
    <xf numFmtId="0" fontId="20" fillId="8" borderId="17" xfId="0" applyFont="1" applyFill="1" applyBorder="1" applyAlignment="1">
      <alignment horizontal="center" vertical="center"/>
    </xf>
    <xf numFmtId="167" fontId="20" fillId="8" borderId="17" xfId="0" applyNumberFormat="1" applyFont="1" applyFill="1" applyBorder="1" applyAlignment="1">
      <alignment horizontal="center" vertical="center"/>
    </xf>
    <xf numFmtId="1" fontId="20" fillId="5" borderId="31" xfId="0" applyNumberFormat="1" applyFont="1" applyFill="1" applyBorder="1" applyAlignment="1">
      <alignment horizontal="center" vertical="center"/>
    </xf>
    <xf numFmtId="0" fontId="20" fillId="5" borderId="17" xfId="0" applyFont="1" applyFill="1" applyBorder="1" applyAlignment="1">
      <alignment horizontal="center" vertical="center"/>
    </xf>
    <xf numFmtId="1" fontId="20" fillId="5" borderId="17" xfId="0" applyNumberFormat="1" applyFont="1" applyFill="1" applyBorder="1" applyAlignment="1">
      <alignment horizontal="center" vertical="center"/>
    </xf>
    <xf numFmtId="1" fontId="20" fillId="6" borderId="31" xfId="0" applyNumberFormat="1" applyFont="1" applyFill="1" applyBorder="1" applyAlignment="1">
      <alignment horizontal="center" vertical="center"/>
    </xf>
    <xf numFmtId="1" fontId="20" fillId="6" borderId="17" xfId="0" applyNumberFormat="1" applyFont="1" applyFill="1" applyBorder="1" applyAlignment="1">
      <alignment horizontal="center" vertical="center"/>
    </xf>
    <xf numFmtId="0" fontId="20" fillId="6" borderId="17" xfId="0" applyFont="1" applyFill="1" applyBorder="1" applyAlignment="1">
      <alignment horizontal="center" vertical="center"/>
    </xf>
    <xf numFmtId="0" fontId="110" fillId="8" borderId="34" xfId="0" applyFont="1" applyFill="1" applyBorder="1" applyAlignment="1">
      <alignment vertical="center"/>
    </xf>
    <xf numFmtId="0" fontId="110" fillId="8" borderId="53" xfId="0" applyFont="1" applyFill="1" applyBorder="1" applyAlignment="1">
      <alignment vertical="center"/>
    </xf>
    <xf numFmtId="0" fontId="110" fillId="8" borderId="31" xfId="0" applyFont="1" applyFill="1" applyBorder="1" applyAlignment="1">
      <alignment vertical="center"/>
    </xf>
    <xf numFmtId="0" fontId="110" fillId="8" borderId="17" xfId="0" applyFont="1" applyFill="1" applyBorder="1" applyAlignment="1">
      <alignment vertical="center"/>
    </xf>
    <xf numFmtId="1" fontId="121" fillId="5" borderId="17" xfId="0" applyNumberFormat="1" applyFont="1" applyFill="1" applyBorder="1" applyAlignment="1">
      <alignment horizontal="center"/>
    </xf>
    <xf numFmtId="1" fontId="121" fillId="6" borderId="17" xfId="0" applyNumberFormat="1" applyFont="1" applyFill="1" applyBorder="1" applyAlignment="1">
      <alignment horizontal="center"/>
    </xf>
    <xf numFmtId="1" fontId="121" fillId="5" borderId="33" xfId="0" applyNumberFormat="1" applyFont="1" applyFill="1" applyBorder="1" applyAlignment="1">
      <alignment horizontal="center"/>
    </xf>
    <xf numFmtId="1" fontId="121" fillId="6" borderId="33" xfId="0" applyNumberFormat="1" applyFont="1" applyFill="1" applyBorder="1" applyAlignment="1">
      <alignment horizontal="center"/>
    </xf>
    <xf numFmtId="169" fontId="21" fillId="8" borderId="79" xfId="0" applyNumberFormat="1" applyFont="1" applyFill="1" applyBorder="1" applyAlignment="1">
      <alignment horizontal="center" vertical="center"/>
    </xf>
    <xf numFmtId="1" fontId="11" fillId="6" borderId="10" xfId="0" applyNumberFormat="1" applyFont="1" applyFill="1" applyBorder="1" applyAlignment="1">
      <alignment horizontal="center" vertical="center"/>
    </xf>
    <xf numFmtId="0" fontId="18" fillId="8" borderId="63" xfId="0" applyFont="1" applyFill="1" applyBorder="1"/>
    <xf numFmtId="0" fontId="18" fillId="8" borderId="41" xfId="0" applyFont="1" applyFill="1" applyBorder="1"/>
    <xf numFmtId="0" fontId="11" fillId="8" borderId="31" xfId="0" applyFont="1" applyFill="1" applyBorder="1"/>
    <xf numFmtId="0" fontId="85" fillId="8" borderId="32" xfId="0" applyFont="1" applyFill="1" applyBorder="1"/>
    <xf numFmtId="1" fontId="85" fillId="8" borderId="23" xfId="0" applyNumberFormat="1" applyFont="1" applyFill="1" applyBorder="1" applyAlignment="1">
      <alignment horizontal="center" vertical="center"/>
    </xf>
    <xf numFmtId="0" fontId="105" fillId="0" borderId="10" xfId="0" applyFont="1" applyBorder="1" applyAlignment="1">
      <alignment horizontal="left"/>
    </xf>
    <xf numFmtId="0" fontId="19" fillId="8" borderId="31" xfId="0" applyFont="1" applyFill="1" applyBorder="1" applyAlignment="1">
      <alignment horizontal="left" vertical="center"/>
    </xf>
    <xf numFmtId="0" fontId="20" fillId="7" borderId="17" xfId="0" applyFont="1" applyFill="1" applyBorder="1" applyAlignment="1">
      <alignment horizontal="center" vertical="center"/>
    </xf>
    <xf numFmtId="1" fontId="20" fillId="7" borderId="17" xfId="0" applyNumberFormat="1" applyFont="1" applyFill="1" applyBorder="1" applyAlignment="1">
      <alignment horizontal="center" vertical="center"/>
    </xf>
    <xf numFmtId="1" fontId="121" fillId="7" borderId="17" xfId="0" applyNumberFormat="1" applyFont="1" applyFill="1" applyBorder="1" applyAlignment="1">
      <alignment horizontal="center"/>
    </xf>
    <xf numFmtId="1" fontId="121" fillId="7" borderId="33" xfId="0" applyNumberFormat="1" applyFont="1" applyFill="1" applyBorder="1" applyAlignment="1">
      <alignment horizontal="center"/>
    </xf>
    <xf numFmtId="167" fontId="0" fillId="8" borderId="31" xfId="0" applyNumberFormat="1" applyFill="1" applyBorder="1" applyAlignment="1">
      <alignment horizontal="center" vertical="center"/>
    </xf>
    <xf numFmtId="1" fontId="0" fillId="8" borderId="31" xfId="0" applyNumberFormat="1" applyFill="1" applyBorder="1" applyAlignment="1">
      <alignment horizontal="center" vertical="center"/>
    </xf>
    <xf numFmtId="1" fontId="19" fillId="0" borderId="16" xfId="0" applyNumberFormat="1" applyFont="1" applyBorder="1" applyAlignment="1">
      <alignment horizontal="center" vertical="center"/>
    </xf>
    <xf numFmtId="0" fontId="19" fillId="0" borderId="5" xfId="0" applyFont="1" applyBorder="1" applyAlignment="1">
      <alignment horizontal="center" vertical="center"/>
    </xf>
    <xf numFmtId="167" fontId="19" fillId="7" borderId="5" xfId="0" applyNumberFormat="1" applyFont="1" applyFill="1" applyBorder="1" applyAlignment="1">
      <alignment horizontal="center" vertical="center"/>
    </xf>
    <xf numFmtId="1" fontId="19" fillId="7" borderId="5" xfId="0" applyNumberFormat="1" applyFont="1" applyFill="1" applyBorder="1" applyAlignment="1">
      <alignment horizontal="center" vertical="center"/>
    </xf>
    <xf numFmtId="1" fontId="19" fillId="5" borderId="5" xfId="0" applyNumberFormat="1" applyFont="1" applyFill="1" applyBorder="1" applyAlignment="1">
      <alignment horizontal="center" vertical="center"/>
    </xf>
    <xf numFmtId="1" fontId="19" fillId="6" borderId="5" xfId="0" applyNumberFormat="1" applyFont="1" applyFill="1" applyBorder="1" applyAlignment="1">
      <alignment horizontal="center" vertical="center"/>
    </xf>
    <xf numFmtId="0" fontId="5" fillId="8" borderId="0" xfId="0" applyFont="1" applyFill="1" applyAlignment="1">
      <alignment vertical="center"/>
    </xf>
    <xf numFmtId="0" fontId="22" fillId="45" borderId="13" xfId="0" applyFont="1" applyFill="1" applyBorder="1" applyAlignment="1">
      <alignment horizontal="center" vertical="center"/>
    </xf>
    <xf numFmtId="167" fontId="21" fillId="45" borderId="34" xfId="0" applyNumberFormat="1" applyFont="1" applyFill="1" applyBorder="1" applyAlignment="1">
      <alignment horizontal="center" vertical="center"/>
    </xf>
    <xf numFmtId="167" fontId="21" fillId="45" borderId="50" xfId="0" applyNumberFormat="1" applyFont="1" applyFill="1" applyBorder="1" applyAlignment="1">
      <alignment horizontal="center" vertical="center"/>
    </xf>
    <xf numFmtId="167" fontId="21" fillId="45" borderId="53" xfId="0" applyNumberFormat="1" applyFont="1" applyFill="1" applyBorder="1" applyAlignment="1">
      <alignment horizontal="center" vertical="center"/>
    </xf>
    <xf numFmtId="167" fontId="19" fillId="45" borderId="21" xfId="0" applyNumberFormat="1" applyFont="1" applyFill="1" applyBorder="1" applyAlignment="1">
      <alignment horizontal="center" vertical="center"/>
    </xf>
    <xf numFmtId="1" fontId="21" fillId="45" borderId="34" xfId="0" applyNumberFormat="1" applyFont="1" applyFill="1" applyBorder="1" applyAlignment="1">
      <alignment horizontal="center" vertical="center"/>
    </xf>
    <xf numFmtId="1" fontId="21" fillId="45" borderId="19" xfId="0" applyNumberFormat="1" applyFont="1" applyFill="1" applyBorder="1" applyAlignment="1">
      <alignment horizontal="center" vertical="center"/>
    </xf>
    <xf numFmtId="0" fontId="19" fillId="45" borderId="1" xfId="0" applyFont="1" applyFill="1" applyBorder="1" applyAlignment="1">
      <alignment horizontal="center" vertical="center"/>
    </xf>
    <xf numFmtId="167" fontId="21" fillId="45" borderId="17" xfId="0" applyNumberFormat="1" applyFont="1" applyFill="1" applyBorder="1" applyAlignment="1">
      <alignment horizontal="center" vertical="center"/>
    </xf>
    <xf numFmtId="2" fontId="21" fillId="45" borderId="17" xfId="0" applyNumberFormat="1" applyFont="1" applyFill="1" applyBorder="1" applyAlignment="1">
      <alignment horizontal="center" vertical="center"/>
    </xf>
    <xf numFmtId="0" fontId="4" fillId="46" borderId="87" xfId="0" applyFont="1" applyFill="1" applyBorder="1" applyAlignment="1">
      <alignment horizontal="center" vertical="center"/>
    </xf>
    <xf numFmtId="0" fontId="4" fillId="46" borderId="38" xfId="0" applyFont="1" applyFill="1" applyBorder="1" applyAlignment="1">
      <alignment horizontal="center" vertical="center"/>
    </xf>
    <xf numFmtId="1" fontId="21" fillId="0" borderId="10" xfId="0" applyNumberFormat="1" applyFont="1" applyBorder="1" applyAlignment="1">
      <alignment horizontal="center" vertical="center"/>
    </xf>
    <xf numFmtId="1" fontId="7" fillId="6" borderId="30" xfId="0" applyNumberFormat="1" applyFont="1" applyFill="1" applyBorder="1" applyAlignment="1">
      <alignment horizontal="center" vertical="center"/>
    </xf>
    <xf numFmtId="1" fontId="21" fillId="0" borderId="30" xfId="0" applyNumberFormat="1" applyFont="1" applyBorder="1" applyAlignment="1">
      <alignment horizontal="center" vertical="center"/>
    </xf>
    <xf numFmtId="1" fontId="21" fillId="5" borderId="45" xfId="0" applyNumberFormat="1" applyFont="1" applyFill="1" applyBorder="1" applyAlignment="1">
      <alignment horizontal="center" vertical="center"/>
    </xf>
    <xf numFmtId="167" fontId="21" fillId="45" borderId="72" xfId="0" applyNumberFormat="1" applyFont="1" applyFill="1" applyBorder="1" applyAlignment="1">
      <alignment horizontal="center" vertical="center"/>
    </xf>
    <xf numFmtId="1" fontId="21" fillId="45" borderId="71" xfId="0" applyNumberFormat="1" applyFont="1" applyFill="1" applyBorder="1" applyAlignment="1">
      <alignment horizontal="center" vertical="center"/>
    </xf>
    <xf numFmtId="0" fontId="19" fillId="0" borderId="32" xfId="0" applyFont="1" applyBorder="1" applyAlignment="1">
      <alignment vertical="center"/>
    </xf>
    <xf numFmtId="169" fontId="21" fillId="45" borderId="32" xfId="0" applyNumberFormat="1" applyFont="1" applyFill="1" applyBorder="1" applyAlignment="1">
      <alignment horizontal="center" vertical="center"/>
    </xf>
    <xf numFmtId="169" fontId="19" fillId="45" borderId="11" xfId="0" applyNumberFormat="1" applyFont="1" applyFill="1" applyBorder="1" applyAlignment="1">
      <alignment horizontal="center" vertical="center"/>
    </xf>
    <xf numFmtId="1" fontId="21" fillId="45" borderId="58" xfId="0" applyNumberFormat="1" applyFont="1" applyFill="1" applyBorder="1" applyAlignment="1">
      <alignment horizontal="center" vertical="center"/>
    </xf>
    <xf numFmtId="0" fontId="19" fillId="0" borderId="63" xfId="0" applyFont="1" applyBorder="1" applyAlignment="1">
      <alignment vertical="center"/>
    </xf>
    <xf numFmtId="1" fontId="19" fillId="8" borderId="45" xfId="0" applyNumberFormat="1" applyFont="1" applyFill="1" applyBorder="1" applyAlignment="1">
      <alignment horizontal="center" vertical="center"/>
    </xf>
    <xf numFmtId="167" fontId="21" fillId="45" borderId="10" xfId="0" applyNumberFormat="1" applyFont="1" applyFill="1" applyBorder="1" applyAlignment="1">
      <alignment horizontal="center" vertical="center"/>
    </xf>
    <xf numFmtId="169" fontId="21" fillId="45" borderId="10" xfId="0" applyNumberFormat="1" applyFont="1" applyFill="1" applyBorder="1" applyAlignment="1">
      <alignment horizontal="center" vertical="center"/>
    </xf>
    <xf numFmtId="2" fontId="21" fillId="45" borderId="10" xfId="0" applyNumberFormat="1" applyFont="1" applyFill="1" applyBorder="1" applyAlignment="1">
      <alignment horizontal="center" vertical="center"/>
    </xf>
    <xf numFmtId="170" fontId="21" fillId="45" borderId="10" xfId="0" applyNumberFormat="1" applyFont="1" applyFill="1" applyBorder="1" applyAlignment="1">
      <alignment horizontal="center" vertical="center"/>
    </xf>
    <xf numFmtId="0" fontId="48" fillId="8" borderId="10" xfId="0" applyFont="1" applyFill="1" applyBorder="1"/>
    <xf numFmtId="1" fontId="48" fillId="8" borderId="10" xfId="0" applyNumberFormat="1" applyFont="1" applyFill="1" applyBorder="1" applyAlignment="1">
      <alignment horizontal="center" vertical="center"/>
    </xf>
    <xf numFmtId="1" fontId="21" fillId="0" borderId="45" xfId="0" applyNumberFormat="1" applyFont="1" applyBorder="1" applyAlignment="1">
      <alignment horizontal="center" vertical="center"/>
    </xf>
    <xf numFmtId="1" fontId="78" fillId="7" borderId="10" xfId="0" applyNumberFormat="1" applyFont="1" applyFill="1" applyBorder="1" applyAlignment="1">
      <alignment horizontal="center"/>
    </xf>
    <xf numFmtId="167" fontId="78" fillId="7" borderId="10" xfId="0" applyNumberFormat="1" applyFont="1" applyFill="1" applyBorder="1" applyAlignment="1">
      <alignment horizontal="center"/>
    </xf>
    <xf numFmtId="0" fontId="4" fillId="7" borderId="87" xfId="0" applyFont="1" applyFill="1" applyBorder="1" applyAlignment="1">
      <alignment horizontal="center" vertical="center"/>
    </xf>
    <xf numFmtId="1" fontId="80" fillId="5" borderId="17" xfId="186" applyNumberFormat="1" applyFont="1" applyFill="1" applyBorder="1" applyAlignment="1">
      <alignment horizontal="center" vertical="center"/>
    </xf>
    <xf numFmtId="1" fontId="21" fillId="8" borderId="10" xfId="0" applyNumberFormat="1" applyFont="1" applyFill="1" applyBorder="1" applyAlignment="1">
      <alignment horizontal="center" vertical="center" wrapText="1"/>
    </xf>
    <xf numFmtId="2" fontId="0" fillId="0" borderId="0" xfId="0" applyNumberFormat="1"/>
    <xf numFmtId="0" fontId="48" fillId="0" borderId="10" xfId="0" applyFont="1" applyBorder="1" applyAlignment="1">
      <alignment horizontal="center" vertical="center"/>
    </xf>
    <xf numFmtId="1" fontId="37" fillId="8" borderId="46" xfId="0" applyNumberFormat="1" applyFont="1" applyFill="1" applyBorder="1" applyAlignment="1">
      <alignment horizontal="center"/>
    </xf>
    <xf numFmtId="167" fontId="21" fillId="8" borderId="41" xfId="0" applyNumberFormat="1" applyFont="1" applyFill="1" applyBorder="1" applyAlignment="1">
      <alignment horizontal="center" vertical="center"/>
    </xf>
    <xf numFmtId="1" fontId="12" fillId="6" borderId="10" xfId="0" applyNumberFormat="1" applyFont="1" applyFill="1" applyBorder="1" applyAlignment="1">
      <alignment horizontal="center" vertical="center"/>
    </xf>
    <xf numFmtId="0" fontId="7" fillId="8" borderId="10" xfId="0" applyFont="1" applyFill="1" applyBorder="1" applyAlignment="1">
      <alignment horizontal="left" vertical="center"/>
    </xf>
    <xf numFmtId="1" fontId="78" fillId="0" borderId="10" xfId="0" applyNumberFormat="1" applyFont="1" applyBorder="1" applyAlignment="1">
      <alignment horizontal="center" vertical="center"/>
    </xf>
    <xf numFmtId="17" fontId="80" fillId="0" borderId="44" xfId="186" applyNumberFormat="1" applyFont="1" applyBorder="1" applyAlignment="1">
      <alignment horizontal="left" vertical="center"/>
    </xf>
    <xf numFmtId="17" fontId="80" fillId="0" borderId="51" xfId="186" applyNumberFormat="1" applyFont="1" applyBorder="1" applyAlignment="1">
      <alignment horizontal="left" vertical="center"/>
    </xf>
    <xf numFmtId="0" fontId="80" fillId="45" borderId="25" xfId="186" applyFont="1" applyFill="1" applyBorder="1" applyAlignment="1">
      <alignment horizontal="left" vertical="center"/>
    </xf>
    <xf numFmtId="0" fontId="80" fillId="32" borderId="69" xfId="186" applyFont="1" applyFill="1" applyBorder="1" applyAlignment="1">
      <alignment horizontal="center" vertical="center"/>
    </xf>
    <xf numFmtId="1" fontId="81" fillId="0" borderId="8" xfId="186" applyNumberFormat="1" applyFont="1" applyBorder="1" applyAlignment="1">
      <alignment horizontal="center" vertical="center"/>
    </xf>
    <xf numFmtId="1" fontId="81" fillId="0" borderId="34" xfId="186" applyNumberFormat="1" applyFont="1" applyBorder="1" applyAlignment="1">
      <alignment horizontal="center" vertical="center"/>
    </xf>
    <xf numFmtId="1" fontId="80" fillId="7" borderId="53" xfId="186" applyNumberFormat="1" applyFont="1" applyFill="1" applyBorder="1" applyAlignment="1">
      <alignment horizontal="center" vertical="center"/>
    </xf>
    <xf numFmtId="1" fontId="81" fillId="0" borderId="31" xfId="186" applyNumberFormat="1" applyFont="1" applyBorder="1" applyAlignment="1">
      <alignment horizontal="center" vertical="center"/>
    </xf>
    <xf numFmtId="0" fontId="80" fillId="7" borderId="9" xfId="186" applyFont="1" applyFill="1" applyBorder="1" applyAlignment="1">
      <alignment horizontal="center" vertical="center"/>
    </xf>
    <xf numFmtId="0" fontId="80" fillId="7" borderId="14" xfId="186" applyFont="1" applyFill="1" applyBorder="1" applyAlignment="1">
      <alignment horizontal="center" vertical="center"/>
    </xf>
    <xf numFmtId="0" fontId="80" fillId="7" borderId="15" xfId="186" applyFont="1" applyFill="1" applyBorder="1" applyAlignment="1">
      <alignment horizontal="center" vertical="center"/>
    </xf>
    <xf numFmtId="0" fontId="80" fillId="7" borderId="73" xfId="186" applyFont="1" applyFill="1" applyBorder="1" applyAlignment="1">
      <alignment horizontal="center" vertical="center"/>
    </xf>
    <xf numFmtId="0" fontId="80" fillId="7" borderId="16" xfId="186" applyFont="1" applyFill="1" applyBorder="1" applyAlignment="1">
      <alignment horizontal="center" vertical="center"/>
    </xf>
    <xf numFmtId="0" fontId="80" fillId="7" borderId="28" xfId="186" applyFont="1" applyFill="1" applyBorder="1" applyAlignment="1">
      <alignment horizontal="center" vertical="center"/>
    </xf>
    <xf numFmtId="0" fontId="80" fillId="8" borderId="0" xfId="186" applyFont="1" applyFill="1" applyAlignment="1">
      <alignment horizontal="left" vertical="top"/>
    </xf>
    <xf numFmtId="1" fontId="80" fillId="5" borderId="53" xfId="186" applyNumberFormat="1" applyFont="1" applyFill="1" applyBorder="1" applyAlignment="1">
      <alignment horizontal="center" vertical="center"/>
    </xf>
    <xf numFmtId="1" fontId="80" fillId="6" borderId="30" xfId="186" applyNumberFormat="1" applyFont="1" applyFill="1" applyBorder="1" applyAlignment="1">
      <alignment horizontal="center" vertical="center"/>
    </xf>
    <xf numFmtId="1" fontId="80" fillId="7" borderId="10" xfId="186" applyNumberFormat="1" applyFont="1" applyFill="1" applyBorder="1" applyAlignment="1">
      <alignment horizontal="center" vertical="center"/>
    </xf>
    <xf numFmtId="1" fontId="81" fillId="8" borderId="36" xfId="186" applyNumberFormat="1" applyFont="1" applyFill="1" applyBorder="1" applyAlignment="1">
      <alignment horizontal="center" vertical="center"/>
    </xf>
    <xf numFmtId="1" fontId="80" fillId="8" borderId="45" xfId="186" applyNumberFormat="1" applyFont="1" applyFill="1" applyBorder="1" applyAlignment="1">
      <alignment horizontal="center" vertical="center"/>
    </xf>
    <xf numFmtId="1" fontId="80" fillId="8" borderId="72" xfId="186" applyNumberFormat="1" applyFont="1" applyFill="1" applyBorder="1" applyAlignment="1">
      <alignment horizontal="center" vertical="center"/>
    </xf>
    <xf numFmtId="17" fontId="8" fillId="42" borderId="40" xfId="186" applyNumberFormat="1" applyFont="1" applyFill="1" applyBorder="1" applyAlignment="1">
      <alignment horizontal="left" vertical="center"/>
    </xf>
    <xf numFmtId="0" fontId="80" fillId="42" borderId="38" xfId="186" applyFont="1" applyFill="1" applyBorder="1" applyAlignment="1">
      <alignment horizontal="center" vertical="center"/>
    </xf>
    <xf numFmtId="0" fontId="80" fillId="42" borderId="46" xfId="186" applyFont="1" applyFill="1" applyBorder="1" applyAlignment="1">
      <alignment horizontal="center" vertical="center"/>
    </xf>
    <xf numFmtId="0" fontId="80" fillId="42" borderId="71" xfId="186" applyFont="1" applyFill="1" applyBorder="1" applyAlignment="1">
      <alignment horizontal="center" vertical="center"/>
    </xf>
    <xf numFmtId="0" fontId="79" fillId="42" borderId="0" xfId="186" applyFill="1" applyAlignment="1">
      <alignment horizontal="left" vertical="top"/>
    </xf>
    <xf numFmtId="17" fontId="8" fillId="42" borderId="13" xfId="186" applyNumberFormat="1" applyFont="1" applyFill="1" applyBorder="1" applyAlignment="1">
      <alignment horizontal="left" vertical="center"/>
    </xf>
    <xf numFmtId="1" fontId="81" fillId="42" borderId="4" xfId="186" applyNumberFormat="1" applyFont="1" applyFill="1" applyBorder="1" applyAlignment="1">
      <alignment horizontal="center" vertical="center"/>
    </xf>
    <xf numFmtId="1" fontId="80" fillId="42" borderId="67" xfId="186" applyNumberFormat="1" applyFont="1" applyFill="1" applyBorder="1" applyAlignment="1">
      <alignment horizontal="center" vertical="center"/>
    </xf>
    <xf numFmtId="1" fontId="81" fillId="42" borderId="5" xfId="186" applyNumberFormat="1" applyFont="1" applyFill="1" applyBorder="1" applyAlignment="1">
      <alignment horizontal="center" vertical="center"/>
    </xf>
    <xf numFmtId="1" fontId="80" fillId="42" borderId="11" xfId="186" applyNumberFormat="1" applyFont="1" applyFill="1" applyBorder="1" applyAlignment="1">
      <alignment horizontal="center" vertical="center"/>
    </xf>
    <xf numFmtId="1" fontId="80" fillId="42" borderId="5" xfId="186" applyNumberFormat="1" applyFont="1" applyFill="1" applyBorder="1" applyAlignment="1">
      <alignment horizontal="center" vertical="center"/>
    </xf>
    <xf numFmtId="0" fontId="133" fillId="0" borderId="10" xfId="0" applyFont="1" applyBorder="1" applyAlignment="1">
      <alignment horizontal="left"/>
    </xf>
    <xf numFmtId="0" fontId="57" fillId="0" borderId="10" xfId="0" applyFont="1" applyBorder="1" applyAlignment="1">
      <alignment horizontal="right"/>
    </xf>
    <xf numFmtId="0" fontId="133" fillId="0" borderId="29" xfId="0" applyFont="1" applyBorder="1" applyAlignment="1">
      <alignment horizontal="center" vertical="center"/>
    </xf>
    <xf numFmtId="1" fontId="133" fillId="0" borderId="29" xfId="0" applyNumberFormat="1" applyFont="1" applyBorder="1" applyAlignment="1">
      <alignment horizontal="center" vertical="center"/>
    </xf>
    <xf numFmtId="1" fontId="133" fillId="0" borderId="37" xfId="0" applyNumberFormat="1" applyFont="1" applyBorder="1" applyAlignment="1">
      <alignment horizontal="center" vertical="center"/>
    </xf>
    <xf numFmtId="1" fontId="133" fillId="7" borderId="31" xfId="0" applyNumberFormat="1" applyFont="1" applyFill="1" applyBorder="1" applyAlignment="1">
      <alignment horizontal="center" vertical="center"/>
    </xf>
    <xf numFmtId="1" fontId="133" fillId="7" borderId="19" xfId="0" applyNumberFormat="1" applyFont="1" applyFill="1" applyBorder="1" applyAlignment="1">
      <alignment horizontal="center" vertical="center"/>
    </xf>
    <xf numFmtId="1" fontId="133" fillId="5" borderId="31" xfId="0" applyNumberFormat="1" applyFont="1" applyFill="1" applyBorder="1" applyAlignment="1">
      <alignment horizontal="center" vertical="center"/>
    </xf>
    <xf numFmtId="1" fontId="133" fillId="5" borderId="19" xfId="0" applyNumberFormat="1" applyFont="1" applyFill="1" applyBorder="1" applyAlignment="1">
      <alignment horizontal="center" vertical="center"/>
    </xf>
    <xf numFmtId="1" fontId="133" fillId="8" borderId="29" xfId="0" applyNumberFormat="1" applyFont="1" applyFill="1" applyBorder="1" applyAlignment="1">
      <alignment horizontal="center" vertical="center"/>
    </xf>
    <xf numFmtId="1" fontId="133" fillId="8" borderId="37" xfId="0" applyNumberFormat="1" applyFont="1" applyFill="1" applyBorder="1" applyAlignment="1">
      <alignment horizontal="center" vertical="center"/>
    </xf>
    <xf numFmtId="1" fontId="133" fillId="6" borderId="31" xfId="0" applyNumberFormat="1" applyFont="1" applyFill="1" applyBorder="1" applyAlignment="1">
      <alignment horizontal="center" vertical="center"/>
    </xf>
    <xf numFmtId="1" fontId="133" fillId="6" borderId="19" xfId="0" applyNumberFormat="1" applyFont="1" applyFill="1" applyBorder="1" applyAlignment="1">
      <alignment horizontal="center" vertical="center"/>
    </xf>
    <xf numFmtId="167" fontId="133" fillId="0" borderId="29" xfId="0" applyNumberFormat="1" applyFont="1" applyBorder="1" applyAlignment="1">
      <alignment horizontal="center" vertical="center"/>
    </xf>
    <xf numFmtId="167" fontId="133" fillId="0" borderId="37" xfId="0" applyNumberFormat="1" applyFont="1" applyBorder="1" applyAlignment="1">
      <alignment horizontal="center" vertical="center"/>
    </xf>
    <xf numFmtId="167" fontId="133" fillId="7" borderId="31" xfId="0" applyNumberFormat="1" applyFont="1" applyFill="1" applyBorder="1" applyAlignment="1">
      <alignment horizontal="center" vertical="center"/>
    </xf>
    <xf numFmtId="167" fontId="133" fillId="7" borderId="19" xfId="0" applyNumberFormat="1" applyFont="1" applyFill="1" applyBorder="1" applyAlignment="1">
      <alignment horizontal="center" vertical="center"/>
    </xf>
    <xf numFmtId="167" fontId="133" fillId="5" borderId="31" xfId="0" applyNumberFormat="1" applyFont="1" applyFill="1" applyBorder="1" applyAlignment="1">
      <alignment horizontal="center" vertical="center"/>
    </xf>
    <xf numFmtId="167" fontId="133" fillId="5" borderId="19" xfId="0" applyNumberFormat="1" applyFont="1" applyFill="1" applyBorder="1" applyAlignment="1">
      <alignment horizontal="center" vertical="center"/>
    </xf>
    <xf numFmtId="167" fontId="133" fillId="8" borderId="29" xfId="0" applyNumberFormat="1" applyFont="1" applyFill="1" applyBorder="1" applyAlignment="1">
      <alignment horizontal="center" vertical="center"/>
    </xf>
    <xf numFmtId="167" fontId="133" fillId="8" borderId="37" xfId="0" applyNumberFormat="1" applyFont="1" applyFill="1" applyBorder="1" applyAlignment="1">
      <alignment horizontal="center" vertical="center"/>
    </xf>
    <xf numFmtId="167" fontId="133" fillId="6" borderId="31" xfId="0" applyNumberFormat="1" applyFont="1" applyFill="1" applyBorder="1" applyAlignment="1">
      <alignment horizontal="center" vertical="center"/>
    </xf>
    <xf numFmtId="167" fontId="133" fillId="6" borderId="19" xfId="0" applyNumberFormat="1" applyFont="1" applyFill="1" applyBorder="1" applyAlignment="1">
      <alignment horizontal="center" vertical="center"/>
    </xf>
    <xf numFmtId="0" fontId="105" fillId="0" borderId="10" xfId="0" applyFont="1" applyBorder="1"/>
    <xf numFmtId="0" fontId="57" fillId="0" borderId="29" xfId="0" applyFont="1" applyBorder="1"/>
    <xf numFmtId="0" fontId="57" fillId="0" borderId="29" xfId="0" applyFont="1" applyBorder="1" applyAlignment="1">
      <alignment horizontal="center" vertical="center"/>
    </xf>
    <xf numFmtId="0" fontId="57" fillId="0" borderId="10" xfId="0" applyFont="1" applyBorder="1"/>
    <xf numFmtId="0" fontId="104" fillId="0" borderId="10" xfId="0" applyFont="1" applyBorder="1" applyAlignment="1">
      <alignment horizontal="left"/>
    </xf>
    <xf numFmtId="0" fontId="57" fillId="0" borderId="29" xfId="0" applyFont="1" applyBorder="1" applyAlignment="1">
      <alignment horizontal="center"/>
    </xf>
    <xf numFmtId="2" fontId="133" fillId="0" borderId="29" xfId="0" applyNumberFormat="1" applyFont="1" applyBorder="1" applyAlignment="1">
      <alignment horizontal="center" vertical="center"/>
    </xf>
    <xf numFmtId="2" fontId="133" fillId="0" borderId="37" xfId="0" applyNumberFormat="1" applyFont="1" applyBorder="1" applyAlignment="1">
      <alignment horizontal="center" vertical="center"/>
    </xf>
    <xf numFmtId="2" fontId="133" fillId="7" borderId="31" xfId="0" applyNumberFormat="1" applyFont="1" applyFill="1" applyBorder="1" applyAlignment="1">
      <alignment horizontal="center" vertical="center"/>
    </xf>
    <xf numFmtId="2" fontId="133" fillId="7" borderId="19" xfId="0" applyNumberFormat="1" applyFont="1" applyFill="1" applyBorder="1" applyAlignment="1">
      <alignment horizontal="center" vertical="center"/>
    </xf>
    <xf numFmtId="2" fontId="133" fillId="5" borderId="31" xfId="0" applyNumberFormat="1" applyFont="1" applyFill="1" applyBorder="1" applyAlignment="1">
      <alignment horizontal="center" vertical="center"/>
    </xf>
    <xf numFmtId="2" fontId="133" fillId="5" borderId="19" xfId="0" applyNumberFormat="1" applyFont="1" applyFill="1" applyBorder="1" applyAlignment="1">
      <alignment horizontal="center" vertical="center"/>
    </xf>
    <xf numFmtId="2" fontId="133" fillId="8" borderId="29" xfId="0" applyNumberFormat="1" applyFont="1" applyFill="1" applyBorder="1" applyAlignment="1">
      <alignment horizontal="center" vertical="center"/>
    </xf>
    <xf numFmtId="2" fontId="133" fillId="8" borderId="37" xfId="0" applyNumberFormat="1" applyFont="1" applyFill="1" applyBorder="1" applyAlignment="1">
      <alignment horizontal="center" vertical="center"/>
    </xf>
    <xf numFmtId="2" fontId="133" fillId="6" borderId="31" xfId="0" applyNumberFormat="1" applyFont="1" applyFill="1" applyBorder="1" applyAlignment="1">
      <alignment horizontal="center" vertical="center"/>
    </xf>
    <xf numFmtId="2" fontId="133" fillId="6" borderId="19" xfId="0" applyNumberFormat="1" applyFont="1" applyFill="1" applyBorder="1" applyAlignment="1">
      <alignment horizontal="center" vertical="center"/>
    </xf>
    <xf numFmtId="0" fontId="32" fillId="8" borderId="0" xfId="0" applyFont="1" applyFill="1"/>
    <xf numFmtId="0" fontId="12" fillId="8" borderId="0" xfId="0" applyFont="1" applyFill="1"/>
    <xf numFmtId="1" fontId="36" fillId="0" borderId="0" xfId="0" applyNumberFormat="1" applyFont="1" applyAlignment="1">
      <alignment horizontal="center" vertical="center"/>
    </xf>
    <xf numFmtId="1" fontId="36" fillId="8" borderId="0" xfId="0" applyNumberFormat="1" applyFont="1" applyFill="1" applyAlignment="1">
      <alignment horizontal="center" vertical="center"/>
    </xf>
    <xf numFmtId="0" fontId="27" fillId="6" borderId="10" xfId="0" applyFont="1" applyFill="1" applyBorder="1" applyAlignment="1">
      <alignment horizontal="center" vertical="center"/>
    </xf>
    <xf numFmtId="0" fontId="47" fillId="8" borderId="10" xfId="0" applyFont="1" applyFill="1" applyBorder="1" applyAlignment="1">
      <alignment vertical="center"/>
    </xf>
    <xf numFmtId="0" fontId="12" fillId="0" borderId="10" xfId="0" applyFont="1" applyBorder="1" applyAlignment="1">
      <alignment horizontal="right" vertical="center"/>
    </xf>
    <xf numFmtId="1" fontId="12" fillId="0" borderId="10" xfId="0" applyNumberFormat="1" applyFont="1" applyBorder="1" applyAlignment="1">
      <alignment horizontal="center" vertical="center"/>
    </xf>
    <xf numFmtId="1" fontId="12" fillId="7" borderId="10" xfId="0" applyNumberFormat="1" applyFont="1" applyFill="1" applyBorder="1" applyAlignment="1">
      <alignment horizontal="center" vertical="center"/>
    </xf>
    <xf numFmtId="0" fontId="12" fillId="7" borderId="10" xfId="0" applyFont="1" applyFill="1" applyBorder="1" applyAlignment="1">
      <alignment horizontal="center" vertical="center"/>
    </xf>
    <xf numFmtId="1" fontId="12" fillId="5" borderId="10" xfId="0" applyNumberFormat="1" applyFont="1" applyFill="1" applyBorder="1" applyAlignment="1">
      <alignment horizontal="center" vertical="center"/>
    </xf>
    <xf numFmtId="0" fontId="12" fillId="5" borderId="10" xfId="0" applyFont="1" applyFill="1" applyBorder="1" applyAlignment="1">
      <alignment horizontal="center" vertical="center"/>
    </xf>
    <xf numFmtId="0" fontId="15" fillId="0" borderId="10" xfId="0" applyFont="1" applyBorder="1" applyAlignment="1">
      <alignment horizontal="right" vertical="center"/>
    </xf>
    <xf numFmtId="0" fontId="15" fillId="0" borderId="10" xfId="0" applyFont="1" applyBorder="1" applyAlignment="1">
      <alignment horizontal="center" vertical="center"/>
    </xf>
    <xf numFmtId="1" fontId="15" fillId="0" borderId="10" xfId="0" applyNumberFormat="1" applyFont="1" applyBorder="1" applyAlignment="1">
      <alignment horizontal="center" vertical="center"/>
    </xf>
    <xf numFmtId="1" fontId="15" fillId="7" borderId="10" xfId="0" applyNumberFormat="1" applyFont="1" applyFill="1" applyBorder="1" applyAlignment="1">
      <alignment horizontal="center" vertical="center"/>
    </xf>
    <xf numFmtId="0" fontId="15" fillId="7" borderId="10" xfId="0" applyFont="1" applyFill="1" applyBorder="1" applyAlignment="1">
      <alignment horizontal="center" vertical="center"/>
    </xf>
    <xf numFmtId="1" fontId="15" fillId="5" borderId="10" xfId="0" applyNumberFormat="1" applyFont="1" applyFill="1" applyBorder="1" applyAlignment="1">
      <alignment horizontal="center" vertical="center"/>
    </xf>
    <xf numFmtId="1" fontId="15" fillId="6" borderId="10" xfId="0" applyNumberFormat="1" applyFont="1" applyFill="1" applyBorder="1" applyAlignment="1">
      <alignment horizontal="center" vertical="center"/>
    </xf>
    <xf numFmtId="2" fontId="12" fillId="0" borderId="10" xfId="0" applyNumberFormat="1" applyFont="1" applyBorder="1" applyAlignment="1">
      <alignment horizontal="center" vertical="center"/>
    </xf>
    <xf numFmtId="2" fontId="12" fillId="7" borderId="10" xfId="0" applyNumberFormat="1" applyFont="1" applyFill="1" applyBorder="1" applyAlignment="1">
      <alignment horizontal="center" vertical="center"/>
    </xf>
    <xf numFmtId="167" fontId="12" fillId="0" borderId="10" xfId="0" applyNumberFormat="1" applyFont="1" applyBorder="1" applyAlignment="1">
      <alignment horizontal="center" vertical="center"/>
    </xf>
    <xf numFmtId="167" fontId="12" fillId="5" borderId="10" xfId="0" applyNumberFormat="1" applyFont="1" applyFill="1" applyBorder="1" applyAlignment="1">
      <alignment horizontal="center" vertical="center"/>
    </xf>
    <xf numFmtId="0" fontId="12" fillId="6" borderId="10" xfId="0" applyFont="1" applyFill="1" applyBorder="1" applyAlignment="1">
      <alignment horizontal="center" vertical="center"/>
    </xf>
    <xf numFmtId="167" fontId="12" fillId="7" borderId="10" xfId="0" applyNumberFormat="1" applyFont="1" applyFill="1" applyBorder="1" applyAlignment="1">
      <alignment horizontal="center" vertical="center"/>
    </xf>
    <xf numFmtId="167" fontId="12" fillId="6" borderId="10" xfId="0" applyNumberFormat="1" applyFont="1" applyFill="1" applyBorder="1" applyAlignment="1">
      <alignment horizontal="center" vertical="center"/>
    </xf>
    <xf numFmtId="0" fontId="47" fillId="8" borderId="10" xfId="0" applyFont="1" applyFill="1" applyBorder="1" applyAlignment="1">
      <alignment horizontal="center" vertical="center"/>
    </xf>
    <xf numFmtId="0" fontId="12" fillId="8" borderId="10" xfId="0" applyFont="1" applyFill="1" applyBorder="1" applyAlignment="1">
      <alignment horizontal="center" vertical="center"/>
    </xf>
    <xf numFmtId="167" fontId="12" fillId="8" borderId="10" xfId="0" applyNumberFormat="1" applyFont="1" applyFill="1" applyBorder="1" applyAlignment="1">
      <alignment horizontal="center" vertical="center"/>
    </xf>
    <xf numFmtId="2" fontId="12" fillId="8" borderId="10" xfId="0" applyNumberFormat="1" applyFont="1" applyFill="1" applyBorder="1" applyAlignment="1">
      <alignment horizontal="center" vertical="center"/>
    </xf>
    <xf numFmtId="2" fontId="12" fillId="5" borderId="10" xfId="0" applyNumberFormat="1" applyFont="1" applyFill="1" applyBorder="1" applyAlignment="1">
      <alignment horizontal="center" vertical="center"/>
    </xf>
    <xf numFmtId="2" fontId="12" fillId="6" borderId="10" xfId="0" applyNumberFormat="1" applyFont="1" applyFill="1" applyBorder="1" applyAlignment="1">
      <alignment horizontal="center" vertical="center"/>
    </xf>
    <xf numFmtId="170" fontId="12" fillId="8" borderId="10" xfId="0" applyNumberFormat="1" applyFont="1" applyFill="1" applyBorder="1" applyAlignment="1">
      <alignment horizontal="center" vertical="center"/>
    </xf>
    <xf numFmtId="170" fontId="12" fillId="7" borderId="10" xfId="0" applyNumberFormat="1" applyFont="1" applyFill="1" applyBorder="1" applyAlignment="1">
      <alignment horizontal="center" vertical="center"/>
    </xf>
    <xf numFmtId="170" fontId="12" fillId="5" borderId="10" xfId="0" applyNumberFormat="1" applyFont="1" applyFill="1" applyBorder="1" applyAlignment="1">
      <alignment horizontal="center" vertical="center"/>
    </xf>
    <xf numFmtId="169" fontId="12" fillId="8" borderId="10" xfId="0" applyNumberFormat="1" applyFont="1" applyFill="1" applyBorder="1" applyAlignment="1">
      <alignment horizontal="center" vertical="center"/>
    </xf>
    <xf numFmtId="1" fontId="21" fillId="0" borderId="9" xfId="0" applyNumberFormat="1" applyFont="1" applyBorder="1" applyAlignment="1">
      <alignment horizontal="center" vertical="center"/>
    </xf>
    <xf numFmtId="1" fontId="21" fillId="8" borderId="30" xfId="0" applyNumberFormat="1" applyFont="1" applyFill="1" applyBorder="1" applyAlignment="1">
      <alignment horizontal="center" vertical="center"/>
    </xf>
    <xf numFmtId="1" fontId="131" fillId="0" borderId="10" xfId="104" applyNumberFormat="1" applyFont="1" applyBorder="1" applyAlignment="1">
      <alignment horizontal="center" vertical="center"/>
    </xf>
    <xf numFmtId="1" fontId="20" fillId="0" borderId="6" xfId="0" applyNumberFormat="1" applyFont="1" applyBorder="1" applyAlignment="1">
      <alignment horizontal="center" vertical="center"/>
    </xf>
    <xf numFmtId="1" fontId="20" fillId="0" borderId="75" xfId="0" applyNumberFormat="1" applyFont="1" applyBorder="1" applyAlignment="1">
      <alignment horizontal="center" vertical="center"/>
    </xf>
    <xf numFmtId="0" fontId="19" fillId="0" borderId="10" xfId="0" applyFont="1" applyBorder="1" applyAlignment="1">
      <alignment horizontal="left" vertical="center"/>
    </xf>
    <xf numFmtId="167" fontId="18" fillId="0" borderId="10" xfId="0" applyNumberFormat="1" applyFont="1" applyBorder="1" applyAlignment="1">
      <alignment horizontal="center" vertical="center"/>
    </xf>
    <xf numFmtId="1" fontId="18" fillId="0" borderId="10" xfId="0" applyNumberFormat="1" applyFont="1" applyBorder="1" applyAlignment="1">
      <alignment horizontal="center" vertical="center"/>
    </xf>
    <xf numFmtId="2" fontId="18" fillId="0" borderId="10" xfId="0" applyNumberFormat="1" applyFont="1" applyBorder="1" applyAlignment="1">
      <alignment horizontal="center" vertical="center"/>
    </xf>
    <xf numFmtId="169" fontId="18" fillId="0" borderId="10" xfId="0" applyNumberFormat="1" applyFont="1" applyBorder="1" applyAlignment="1">
      <alignment horizontal="center" vertical="center"/>
    </xf>
    <xf numFmtId="0" fontId="18" fillId="0" borderId="41" xfId="0" applyFont="1" applyBorder="1"/>
    <xf numFmtId="0" fontId="18" fillId="0" borderId="41" xfId="0" applyFont="1" applyBorder="1" applyAlignment="1">
      <alignment horizontal="center" vertical="center"/>
    </xf>
    <xf numFmtId="2" fontId="0" fillId="0" borderId="17" xfId="0" applyNumberFormat="1" applyBorder="1" applyAlignment="1">
      <alignment horizontal="center" vertical="center"/>
    </xf>
    <xf numFmtId="1" fontId="0" fillId="0" borderId="17" xfId="0" applyNumberFormat="1" applyBorder="1" applyAlignment="1">
      <alignment horizontal="center" vertical="center"/>
    </xf>
    <xf numFmtId="169" fontId="0" fillId="0" borderId="17" xfId="0" applyNumberFormat="1" applyBorder="1" applyAlignment="1">
      <alignment horizontal="center" vertical="center"/>
    </xf>
    <xf numFmtId="0" fontId="18" fillId="0" borderId="23" xfId="0" applyFont="1" applyBorder="1"/>
    <xf numFmtId="0" fontId="18" fillId="0" borderId="23" xfId="0" applyFont="1" applyBorder="1" applyAlignment="1">
      <alignment horizontal="center" vertical="center"/>
    </xf>
    <xf numFmtId="1" fontId="18" fillId="0" borderId="23" xfId="0" applyNumberFormat="1" applyFont="1" applyBorder="1" applyAlignment="1">
      <alignment horizontal="center" vertical="center"/>
    </xf>
    <xf numFmtId="1" fontId="0" fillId="0" borderId="33" xfId="0" applyNumberFormat="1" applyBorder="1" applyAlignment="1">
      <alignment horizontal="center" vertical="center"/>
    </xf>
    <xf numFmtId="0" fontId="18" fillId="0" borderId="66" xfId="0" applyFont="1" applyBorder="1" applyAlignment="1">
      <alignment horizontal="center" vertical="center"/>
    </xf>
    <xf numFmtId="167" fontId="18" fillId="0" borderId="37" xfId="0" applyNumberFormat="1" applyFont="1" applyBorder="1" applyAlignment="1">
      <alignment horizontal="center" vertical="center"/>
    </xf>
    <xf numFmtId="1" fontId="18" fillId="0" borderId="37" xfId="0" applyNumberFormat="1" applyFont="1" applyBorder="1" applyAlignment="1">
      <alignment horizontal="center" vertical="center"/>
    </xf>
    <xf numFmtId="169" fontId="18" fillId="0" borderId="37" xfId="0" applyNumberFormat="1" applyFont="1" applyBorder="1" applyAlignment="1">
      <alignment horizontal="center" vertical="center"/>
    </xf>
    <xf numFmtId="2" fontId="18" fillId="0" borderId="37" xfId="0" applyNumberFormat="1" applyFont="1" applyBorder="1" applyAlignment="1">
      <alignment horizontal="center" vertical="center"/>
    </xf>
    <xf numFmtId="1" fontId="18" fillId="0" borderId="68" xfId="0" applyNumberFormat="1" applyFont="1" applyBorder="1" applyAlignment="1">
      <alignment horizontal="center" vertical="center"/>
    </xf>
    <xf numFmtId="0" fontId="22" fillId="0" borderId="31" xfId="0" applyFont="1" applyBorder="1" applyAlignment="1">
      <alignment horizontal="center" vertical="center"/>
    </xf>
    <xf numFmtId="1" fontId="21" fillId="8" borderId="62" xfId="0" applyNumberFormat="1" applyFont="1" applyFill="1" applyBorder="1" applyAlignment="1">
      <alignment horizontal="center" vertical="center"/>
    </xf>
    <xf numFmtId="1" fontId="7" fillId="8" borderId="29" xfId="0" applyNumberFormat="1" applyFont="1" applyFill="1" applyBorder="1" applyAlignment="1">
      <alignment horizontal="center" vertical="center"/>
    </xf>
    <xf numFmtId="167" fontId="18" fillId="8" borderId="37" xfId="0" applyNumberFormat="1" applyFont="1" applyFill="1" applyBorder="1" applyAlignment="1">
      <alignment horizontal="center" vertical="center"/>
    </xf>
    <xf numFmtId="1" fontId="21" fillId="47" borderId="30" xfId="0" applyNumberFormat="1" applyFont="1" applyFill="1" applyBorder="1" applyAlignment="1">
      <alignment horizontal="center" vertical="center"/>
    </xf>
    <xf numFmtId="1" fontId="21" fillId="0" borderId="7" xfId="0" applyNumberFormat="1" applyFont="1" applyBorder="1" applyAlignment="1">
      <alignment horizontal="center" vertical="center"/>
    </xf>
    <xf numFmtId="1" fontId="21" fillId="8" borderId="54" xfId="0" applyNumberFormat="1" applyFont="1" applyFill="1" applyBorder="1" applyAlignment="1">
      <alignment horizontal="center" vertical="center"/>
    </xf>
    <xf numFmtId="1" fontId="21" fillId="8" borderId="58" xfId="0" applyNumberFormat="1" applyFont="1" applyFill="1" applyBorder="1" applyAlignment="1">
      <alignment horizontal="center" vertical="center"/>
    </xf>
    <xf numFmtId="1" fontId="22" fillId="8" borderId="11" xfId="0" applyNumberFormat="1" applyFont="1" applyFill="1" applyBorder="1" applyAlignment="1">
      <alignment horizontal="center" vertical="center"/>
    </xf>
    <xf numFmtId="0" fontId="22" fillId="8" borderId="25" xfId="0" applyFont="1" applyFill="1" applyBorder="1" applyAlignment="1">
      <alignment vertical="center"/>
    </xf>
    <xf numFmtId="9" fontId="22" fillId="8" borderId="21" xfId="22" applyFont="1" applyFill="1" applyBorder="1" applyAlignment="1">
      <alignment vertical="center"/>
    </xf>
    <xf numFmtId="0" fontId="19" fillId="8" borderId="19" xfId="0" applyFont="1" applyFill="1" applyBorder="1" applyAlignment="1">
      <alignment vertical="center"/>
    </xf>
    <xf numFmtId="167" fontId="21" fillId="8" borderId="19" xfId="0" applyNumberFormat="1" applyFont="1" applyFill="1" applyBorder="1" applyAlignment="1">
      <alignment horizontal="center" vertical="center"/>
    </xf>
    <xf numFmtId="0" fontId="5" fillId="8" borderId="50" xfId="0" applyFont="1" applyFill="1" applyBorder="1" applyAlignment="1">
      <alignment vertical="center"/>
    </xf>
    <xf numFmtId="167" fontId="19" fillId="8" borderId="31" xfId="0" applyNumberFormat="1" applyFont="1" applyFill="1" applyBorder="1" applyAlignment="1">
      <alignment horizontal="center" vertical="center"/>
    </xf>
    <xf numFmtId="167" fontId="19" fillId="8" borderId="17" xfId="0" applyNumberFormat="1" applyFont="1" applyFill="1" applyBorder="1" applyAlignment="1">
      <alignment horizontal="center" vertical="center"/>
    </xf>
    <xf numFmtId="1" fontId="19" fillId="0" borderId="76" xfId="0" applyNumberFormat="1" applyFont="1" applyBorder="1" applyAlignment="1">
      <alignment horizontal="center" vertical="center"/>
    </xf>
    <xf numFmtId="0" fontId="5" fillId="8" borderId="35" xfId="0" applyFont="1" applyFill="1" applyBorder="1" applyAlignment="1">
      <alignment vertical="center"/>
    </xf>
    <xf numFmtId="0" fontId="5" fillId="8" borderId="54" xfId="0" applyFont="1" applyFill="1" applyBorder="1" applyAlignment="1">
      <alignment vertical="center"/>
    </xf>
    <xf numFmtId="1" fontId="21" fillId="0" borderId="22" xfId="0" applyNumberFormat="1" applyFont="1" applyBorder="1" applyAlignment="1">
      <alignment horizontal="center" vertical="center"/>
    </xf>
    <xf numFmtId="1" fontId="21" fillId="0" borderId="12" xfId="0" applyNumberFormat="1" applyFont="1" applyBorder="1" applyAlignment="1">
      <alignment horizontal="center" vertical="center"/>
    </xf>
    <xf numFmtId="1" fontId="4" fillId="8" borderId="50" xfId="0" applyNumberFormat="1" applyFont="1" applyFill="1" applyBorder="1" applyAlignment="1">
      <alignment horizontal="center" vertical="center"/>
    </xf>
    <xf numFmtId="167" fontId="21" fillId="0" borderId="12" xfId="0" applyNumberFormat="1" applyFont="1" applyBorder="1" applyAlignment="1">
      <alignment horizontal="center" vertical="center"/>
    </xf>
    <xf numFmtId="2" fontId="21" fillId="0" borderId="63" xfId="0" applyNumberFormat="1" applyFont="1" applyBorder="1" applyAlignment="1">
      <alignment horizontal="center" vertical="center"/>
    </xf>
    <xf numFmtId="2" fontId="21" fillId="0" borderId="31" xfId="0" applyNumberFormat="1" applyFont="1" applyBorder="1" applyAlignment="1">
      <alignment horizontal="center"/>
    </xf>
    <xf numFmtId="2" fontId="21" fillId="0" borderId="17" xfId="0" applyNumberFormat="1" applyFont="1" applyBorder="1" applyAlignment="1">
      <alignment horizontal="center"/>
    </xf>
    <xf numFmtId="0" fontId="46" fillId="8" borderId="54" xfId="0" applyFont="1" applyFill="1" applyBorder="1"/>
    <xf numFmtId="0" fontId="21" fillId="0" borderId="18" xfId="0" applyFont="1" applyBorder="1" applyAlignment="1">
      <alignment horizontal="center" vertical="center"/>
    </xf>
    <xf numFmtId="0" fontId="37" fillId="0" borderId="10" xfId="0" applyFont="1" applyBorder="1" applyAlignment="1">
      <alignment horizontal="center" vertical="center"/>
    </xf>
    <xf numFmtId="0" fontId="0" fillId="0" borderId="23" xfId="0" applyBorder="1"/>
    <xf numFmtId="1" fontId="12" fillId="0" borderId="6" xfId="0" applyNumberFormat="1" applyFont="1" applyBorder="1" applyAlignment="1">
      <alignment horizontal="center"/>
    </xf>
    <xf numFmtId="0" fontId="12" fillId="0" borderId="6" xfId="0" applyFont="1" applyBorder="1" applyAlignment="1">
      <alignment horizontal="center"/>
    </xf>
    <xf numFmtId="1" fontId="12" fillId="0" borderId="75" xfId="0" applyNumberFormat="1" applyFont="1" applyBorder="1" applyAlignment="1">
      <alignment horizontal="center"/>
    </xf>
    <xf numFmtId="1" fontId="22" fillId="0" borderId="55" xfId="0" applyNumberFormat="1" applyFont="1" applyBorder="1" applyAlignment="1">
      <alignment horizontal="center"/>
    </xf>
    <xf numFmtId="1" fontId="27" fillId="0" borderId="55" xfId="0" applyNumberFormat="1" applyFont="1" applyBorder="1" applyAlignment="1">
      <alignment horizontal="center"/>
    </xf>
    <xf numFmtId="1" fontId="22" fillId="0" borderId="49" xfId="0" applyNumberFormat="1" applyFont="1" applyBorder="1" applyAlignment="1">
      <alignment horizontal="center"/>
    </xf>
    <xf numFmtId="0" fontId="21" fillId="8" borderId="31" xfId="0" applyFont="1" applyFill="1" applyBorder="1" applyAlignment="1">
      <alignment horizontal="center" vertical="center"/>
    </xf>
    <xf numFmtId="1" fontId="21" fillId="8" borderId="26" xfId="0" applyNumberFormat="1" applyFont="1" applyFill="1" applyBorder="1" applyAlignment="1">
      <alignment horizontal="center" vertical="center"/>
    </xf>
    <xf numFmtId="1" fontId="21" fillId="8" borderId="49" xfId="0" applyNumberFormat="1" applyFont="1" applyFill="1" applyBorder="1" applyAlignment="1">
      <alignment horizontal="center" vertical="center"/>
    </xf>
    <xf numFmtId="0" fontId="22" fillId="8" borderId="17" xfId="0" applyFont="1" applyFill="1" applyBorder="1" applyAlignment="1">
      <alignment horizontal="center" vertical="center"/>
    </xf>
    <xf numFmtId="1" fontId="19" fillId="0" borderId="31" xfId="0" applyNumberFormat="1" applyFont="1" applyBorder="1" applyAlignment="1">
      <alignment horizontal="center" vertical="center"/>
    </xf>
    <xf numFmtId="1" fontId="22" fillId="8" borderId="31" xfId="0" applyNumberFormat="1" applyFont="1" applyFill="1" applyBorder="1" applyAlignment="1">
      <alignment horizontal="center" vertical="center"/>
    </xf>
    <xf numFmtId="167" fontId="22" fillId="8" borderId="31" xfId="0" applyNumberFormat="1" applyFont="1" applyFill="1" applyBorder="1" applyAlignment="1">
      <alignment horizontal="center" vertical="center"/>
    </xf>
    <xf numFmtId="0" fontId="46" fillId="8" borderId="31" xfId="0" applyFont="1" applyFill="1" applyBorder="1" applyAlignment="1">
      <alignment horizontal="center" vertical="center"/>
    </xf>
    <xf numFmtId="0" fontId="46" fillId="0" borderId="17" xfId="0" applyFont="1" applyBorder="1" applyAlignment="1">
      <alignment horizontal="center" vertical="center"/>
    </xf>
    <xf numFmtId="0" fontId="4" fillId="8" borderId="31" xfId="0" applyFont="1" applyFill="1" applyBorder="1" applyAlignment="1">
      <alignment horizontal="center" vertical="center"/>
    </xf>
    <xf numFmtId="1" fontId="91" fillId="0" borderId="17" xfId="0" applyNumberFormat="1" applyFont="1" applyBorder="1" applyAlignment="1">
      <alignment horizontal="center" vertical="center"/>
    </xf>
    <xf numFmtId="0" fontId="22" fillId="8" borderId="11" xfId="0" applyFont="1" applyFill="1" applyBorder="1" applyAlignment="1">
      <alignment horizontal="center" vertical="center"/>
    </xf>
    <xf numFmtId="167" fontId="21" fillId="8" borderId="62" xfId="0" applyNumberFormat="1" applyFont="1" applyFill="1" applyBorder="1" applyAlignment="1">
      <alignment horizontal="center" vertical="center"/>
    </xf>
    <xf numFmtId="2" fontId="21" fillId="0" borderId="10" xfId="0" applyNumberFormat="1" applyFont="1" applyBorder="1" applyAlignment="1">
      <alignment horizontal="center" vertical="center"/>
    </xf>
    <xf numFmtId="1" fontId="81" fillId="42" borderId="87" xfId="186" applyNumberFormat="1" applyFont="1" applyFill="1" applyBorder="1" applyAlignment="1">
      <alignment horizontal="center" vertical="center"/>
    </xf>
    <xf numFmtId="1" fontId="46" fillId="8" borderId="10" xfId="0" applyNumberFormat="1" applyFont="1" applyFill="1" applyBorder="1"/>
    <xf numFmtId="1" fontId="46" fillId="0" borderId="0" xfId="0" applyNumberFormat="1" applyFont="1" applyAlignment="1">
      <alignment horizontal="center" vertical="center"/>
    </xf>
    <xf numFmtId="17" fontId="17" fillId="34" borderId="43" xfId="186" applyNumberFormat="1" applyFont="1" applyFill="1" applyBorder="1" applyAlignment="1">
      <alignment horizontal="left" vertical="center"/>
    </xf>
    <xf numFmtId="0" fontId="80" fillId="0" borderId="10" xfId="186" applyFont="1" applyBorder="1" applyAlignment="1">
      <alignment horizontal="left" vertical="center"/>
    </xf>
    <xf numFmtId="0" fontId="4" fillId="0" borderId="37" xfId="0" applyFont="1" applyBorder="1"/>
    <xf numFmtId="0" fontId="4" fillId="8" borderId="37" xfId="0" applyFont="1" applyFill="1" applyBorder="1"/>
    <xf numFmtId="0" fontId="33" fillId="0" borderId="0" xfId="0" applyFont="1" applyAlignment="1">
      <alignment vertical="center"/>
    </xf>
    <xf numFmtId="0" fontId="19" fillId="0" borderId="0" xfId="0" applyFont="1" applyAlignment="1">
      <alignment vertical="center"/>
    </xf>
    <xf numFmtId="0" fontId="19" fillId="0" borderId="62" xfId="0" applyFont="1" applyBorder="1" applyAlignment="1">
      <alignment vertical="center"/>
    </xf>
    <xf numFmtId="0" fontId="19" fillId="0" borderId="31" xfId="0" applyFont="1" applyBorder="1" applyAlignment="1">
      <alignment vertical="center"/>
    </xf>
    <xf numFmtId="2" fontId="21" fillId="0" borderId="31" xfId="0" applyNumberFormat="1" applyFont="1" applyBorder="1" applyAlignment="1">
      <alignment horizontal="center" vertical="center"/>
    </xf>
    <xf numFmtId="0" fontId="138" fillId="0" borderId="0" xfId="0" applyFont="1" applyAlignment="1">
      <alignment horizontal="center" vertical="center"/>
    </xf>
    <xf numFmtId="0" fontId="139" fillId="0" borderId="0" xfId="0" applyFont="1"/>
    <xf numFmtId="0" fontId="138" fillId="0" borderId="0" xfId="0" applyFont="1"/>
    <xf numFmtId="0" fontId="18" fillId="0" borderId="68" xfId="0" applyFont="1" applyBorder="1" applyAlignment="1">
      <alignment horizontal="center" vertical="center"/>
    </xf>
    <xf numFmtId="2" fontId="0" fillId="7" borderId="17" xfId="0" applyNumberFormat="1" applyFill="1" applyBorder="1" applyAlignment="1">
      <alignment horizontal="center" vertical="center"/>
    </xf>
    <xf numFmtId="1" fontId="0" fillId="7" borderId="17" xfId="0" applyNumberFormat="1" applyFill="1" applyBorder="1" applyAlignment="1">
      <alignment horizontal="center" vertical="center"/>
    </xf>
    <xf numFmtId="169" fontId="0" fillId="7" borderId="17" xfId="0" applyNumberFormat="1" applyFill="1" applyBorder="1" applyAlignment="1">
      <alignment horizontal="center" vertical="center"/>
    </xf>
    <xf numFmtId="1" fontId="0" fillId="7" borderId="33" xfId="0" applyNumberFormat="1" applyFill="1" applyBorder="1" applyAlignment="1">
      <alignment horizontal="center" vertical="center"/>
    </xf>
    <xf numFmtId="0" fontId="18" fillId="8" borderId="10" xfId="0" applyFont="1" applyFill="1" applyBorder="1"/>
    <xf numFmtId="0" fontId="18" fillId="8" borderId="10" xfId="0" applyFont="1" applyFill="1" applyBorder="1" applyAlignment="1">
      <alignment horizontal="center" vertical="center"/>
    </xf>
    <xf numFmtId="167" fontId="0" fillId="8" borderId="17" xfId="0" applyNumberFormat="1" applyFill="1" applyBorder="1" applyAlignment="1">
      <alignment horizontal="center" vertical="center"/>
    </xf>
    <xf numFmtId="167" fontId="0" fillId="8" borderId="29" xfId="0" applyNumberFormat="1" applyFill="1" applyBorder="1" applyAlignment="1">
      <alignment horizontal="center" vertical="center"/>
    </xf>
    <xf numFmtId="167" fontId="18" fillId="8" borderId="10" xfId="0" applyNumberFormat="1" applyFont="1" applyFill="1" applyBorder="1" applyAlignment="1">
      <alignment horizontal="center" vertical="center"/>
    </xf>
    <xf numFmtId="1" fontId="19" fillId="48" borderId="10" xfId="0" applyNumberFormat="1" applyFont="1" applyFill="1" applyBorder="1" applyAlignment="1">
      <alignment horizontal="center" vertical="center"/>
    </xf>
    <xf numFmtId="1" fontId="8" fillId="8" borderId="11" xfId="0" applyNumberFormat="1" applyFont="1" applyFill="1" applyBorder="1" applyAlignment="1">
      <alignment horizontal="center" vertical="center"/>
    </xf>
    <xf numFmtId="0" fontId="22" fillId="7" borderId="59" xfId="0" applyFont="1" applyFill="1" applyBorder="1" applyAlignment="1">
      <alignment horizontal="center" vertical="center"/>
    </xf>
    <xf numFmtId="0" fontId="22" fillId="7" borderId="33" xfId="0" applyFont="1" applyFill="1" applyBorder="1" applyAlignment="1">
      <alignment horizontal="center" vertical="center"/>
    </xf>
    <xf numFmtId="167" fontId="18" fillId="0" borderId="41" xfId="0" applyNumberFormat="1" applyFont="1" applyBorder="1" applyAlignment="1">
      <alignment horizontal="center" vertical="center"/>
    </xf>
    <xf numFmtId="167" fontId="0" fillId="0" borderId="63" xfId="0" applyNumberFormat="1" applyBorder="1" applyAlignment="1">
      <alignment horizontal="center" vertical="center"/>
    </xf>
    <xf numFmtId="167" fontId="0" fillId="0" borderId="42" xfId="0" applyNumberFormat="1" applyBorder="1" applyAlignment="1">
      <alignment horizontal="center" vertical="center"/>
    </xf>
    <xf numFmtId="167" fontId="0" fillId="7" borderId="63" xfId="0" applyNumberFormat="1" applyFill="1" applyBorder="1" applyAlignment="1">
      <alignment horizontal="center" vertical="center"/>
    </xf>
    <xf numFmtId="167" fontId="0" fillId="7" borderId="42" xfId="0" applyNumberFormat="1" applyFill="1" applyBorder="1" applyAlignment="1">
      <alignment horizontal="center" vertical="center"/>
    </xf>
    <xf numFmtId="0" fontId="18" fillId="0" borderId="23" xfId="0" applyFont="1" applyBorder="1" applyAlignment="1">
      <alignment horizontal="right"/>
    </xf>
    <xf numFmtId="167" fontId="18" fillId="0" borderId="23" xfId="0" applyNumberFormat="1" applyFont="1" applyBorder="1" applyAlignment="1">
      <alignment horizontal="center" vertical="center"/>
    </xf>
    <xf numFmtId="167" fontId="18" fillId="0" borderId="68" xfId="0" applyNumberFormat="1" applyFont="1" applyBorder="1" applyAlignment="1">
      <alignment horizontal="center" vertical="center"/>
    </xf>
    <xf numFmtId="167" fontId="0" fillId="0" borderId="32" xfId="0" applyNumberFormat="1" applyBorder="1" applyAlignment="1">
      <alignment horizontal="center" vertical="center"/>
    </xf>
    <xf numFmtId="167" fontId="0" fillId="0" borderId="33" xfId="0" applyNumberFormat="1" applyBorder="1" applyAlignment="1">
      <alignment horizontal="center" vertical="center"/>
    </xf>
    <xf numFmtId="167" fontId="0" fillId="7" borderId="32" xfId="0" applyNumberFormat="1" applyFill="1" applyBorder="1" applyAlignment="1">
      <alignment horizontal="center" vertical="center"/>
    </xf>
    <xf numFmtId="167" fontId="0" fillId="7" borderId="33" xfId="0" applyNumberFormat="1" applyFill="1" applyBorder="1" applyAlignment="1">
      <alignment horizontal="center" vertical="center"/>
    </xf>
    <xf numFmtId="2" fontId="18" fillId="0" borderId="41" xfId="0" applyNumberFormat="1" applyFont="1" applyBorder="1" applyAlignment="1">
      <alignment horizontal="center" vertical="center"/>
    </xf>
    <xf numFmtId="2" fontId="18" fillId="0" borderId="66" xfId="0" applyNumberFormat="1" applyFont="1" applyBorder="1" applyAlignment="1">
      <alignment horizontal="center" vertical="center"/>
    </xf>
    <xf numFmtId="2" fontId="0" fillId="0" borderId="63" xfId="0" applyNumberFormat="1" applyBorder="1" applyAlignment="1">
      <alignment horizontal="center" vertical="center"/>
    </xf>
    <xf numFmtId="2" fontId="0" fillId="0" borderId="42" xfId="0" applyNumberFormat="1" applyBorder="1" applyAlignment="1">
      <alignment horizontal="center" vertical="center"/>
    </xf>
    <xf numFmtId="2" fontId="0" fillId="7" borderId="63" xfId="0" applyNumberFormat="1" applyFill="1" applyBorder="1" applyAlignment="1">
      <alignment horizontal="center" vertical="center"/>
    </xf>
    <xf numFmtId="2" fontId="0" fillId="7" borderId="42" xfId="0" applyNumberFormat="1" applyFill="1" applyBorder="1" applyAlignment="1">
      <alignment horizontal="center" vertical="center"/>
    </xf>
    <xf numFmtId="167" fontId="18" fillId="8" borderId="68" xfId="0" applyNumberFormat="1" applyFont="1" applyFill="1" applyBorder="1" applyAlignment="1">
      <alignment horizontal="center" vertical="center"/>
    </xf>
    <xf numFmtId="1" fontId="18" fillId="0" borderId="41" xfId="0" applyNumberFormat="1" applyFont="1" applyBorder="1" applyAlignment="1">
      <alignment horizontal="center" vertical="center"/>
    </xf>
    <xf numFmtId="1" fontId="18" fillId="0" borderId="66" xfId="0" applyNumberFormat="1" applyFont="1" applyBorder="1" applyAlignment="1">
      <alignment horizontal="center" vertical="center"/>
    </xf>
    <xf numFmtId="1" fontId="0" fillId="0" borderId="63" xfId="0" applyNumberFormat="1" applyBorder="1" applyAlignment="1">
      <alignment horizontal="center" vertical="center"/>
    </xf>
    <xf numFmtId="1" fontId="0" fillId="0" borderId="42" xfId="0" applyNumberFormat="1" applyBorder="1" applyAlignment="1">
      <alignment horizontal="center" vertical="center"/>
    </xf>
    <xf numFmtId="1" fontId="0" fillId="7" borderId="63" xfId="0" applyNumberFormat="1" applyFill="1" applyBorder="1" applyAlignment="1">
      <alignment horizontal="center" vertical="center"/>
    </xf>
    <xf numFmtId="1" fontId="0" fillId="7" borderId="42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8" fillId="0" borderId="5" xfId="0" applyFont="1" applyBorder="1"/>
    <xf numFmtId="1" fontId="18" fillId="0" borderId="5" xfId="0" applyNumberFormat="1" applyFont="1" applyBorder="1" applyAlignment="1">
      <alignment horizontal="center" vertical="center"/>
    </xf>
    <xf numFmtId="1" fontId="18" fillId="0" borderId="67" xfId="0" applyNumberFormat="1" applyFon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1" fontId="0" fillId="0" borderId="11" xfId="0" applyNumberFormat="1" applyBorder="1" applyAlignment="1">
      <alignment horizontal="center" vertical="center"/>
    </xf>
    <xf numFmtId="1" fontId="0" fillId="7" borderId="1" xfId="0" applyNumberFormat="1" applyFill="1" applyBorder="1" applyAlignment="1">
      <alignment horizontal="center" vertical="center"/>
    </xf>
    <xf numFmtId="1" fontId="0" fillId="7" borderId="11" xfId="0" applyNumberFormat="1" applyFill="1" applyBorder="1" applyAlignment="1">
      <alignment horizontal="center" vertical="center"/>
    </xf>
    <xf numFmtId="0" fontId="18" fillId="8" borderId="41" xfId="0" applyFont="1" applyFill="1" applyBorder="1" applyAlignment="1">
      <alignment horizontal="center" vertical="center"/>
    </xf>
    <xf numFmtId="0" fontId="18" fillId="8" borderId="66" xfId="0" applyFont="1" applyFill="1" applyBorder="1" applyAlignment="1">
      <alignment horizontal="center" vertical="center"/>
    </xf>
    <xf numFmtId="167" fontId="0" fillId="8" borderId="63" xfId="0" applyNumberFormat="1" applyFill="1" applyBorder="1" applyAlignment="1">
      <alignment horizontal="center" vertical="center"/>
    </xf>
    <xf numFmtId="167" fontId="0" fillId="8" borderId="42" xfId="0" applyNumberFormat="1" applyFill="1" applyBorder="1" applyAlignment="1">
      <alignment horizontal="center" vertical="center"/>
    </xf>
    <xf numFmtId="0" fontId="23" fillId="0" borderId="9" xfId="0" applyFont="1" applyBorder="1" applyAlignment="1">
      <alignment horizontal="center" vertical="center"/>
    </xf>
    <xf numFmtId="0" fontId="18" fillId="0" borderId="14" xfId="0" applyFont="1" applyBorder="1"/>
    <xf numFmtId="0" fontId="18" fillId="0" borderId="14" xfId="0" applyFont="1" applyBorder="1" applyAlignment="1">
      <alignment horizontal="center" vertical="center"/>
    </xf>
    <xf numFmtId="1" fontId="18" fillId="0" borderId="14" xfId="0" applyNumberFormat="1" applyFont="1" applyBorder="1" applyAlignment="1">
      <alignment horizontal="center" vertical="center"/>
    </xf>
    <xf numFmtId="1" fontId="18" fillId="0" borderId="15" xfId="0" applyNumberFormat="1" applyFont="1" applyBorder="1" applyAlignment="1">
      <alignment horizontal="center" vertical="center"/>
    </xf>
    <xf numFmtId="1" fontId="0" fillId="0" borderId="9" xfId="0" applyNumberFormat="1" applyBorder="1" applyAlignment="1">
      <alignment horizontal="center" vertical="center"/>
    </xf>
    <xf numFmtId="1" fontId="0" fillId="0" borderId="73" xfId="0" applyNumberFormat="1" applyBorder="1" applyAlignment="1">
      <alignment horizontal="center" vertical="center"/>
    </xf>
    <xf numFmtId="1" fontId="0" fillId="7" borderId="9" xfId="0" applyNumberFormat="1" applyFill="1" applyBorder="1" applyAlignment="1">
      <alignment horizontal="center" vertical="center"/>
    </xf>
    <xf numFmtId="1" fontId="0" fillId="7" borderId="73" xfId="0" applyNumberFormat="1" applyFill="1" applyBorder="1" applyAlignment="1">
      <alignment horizontal="center" vertical="center"/>
    </xf>
    <xf numFmtId="2" fontId="18" fillId="0" borderId="23" xfId="0" applyNumberFormat="1" applyFont="1" applyBorder="1" applyAlignment="1">
      <alignment horizontal="center" vertical="center"/>
    </xf>
    <xf numFmtId="2" fontId="18" fillId="0" borderId="68" xfId="0" applyNumberFormat="1" applyFont="1" applyBorder="1" applyAlignment="1">
      <alignment horizontal="center" vertical="center"/>
    </xf>
    <xf numFmtId="2" fontId="0" fillId="0" borderId="32" xfId="0" applyNumberFormat="1" applyBorder="1" applyAlignment="1">
      <alignment horizontal="center" vertical="center"/>
    </xf>
    <xf numFmtId="2" fontId="0" fillId="0" borderId="33" xfId="0" applyNumberFormat="1" applyBorder="1" applyAlignment="1">
      <alignment horizontal="center" vertical="center"/>
    </xf>
    <xf numFmtId="2" fontId="0" fillId="7" borderId="32" xfId="0" applyNumberFormat="1" applyFill="1" applyBorder="1" applyAlignment="1">
      <alignment horizontal="center" vertical="center"/>
    </xf>
    <xf numFmtId="2" fontId="0" fillId="7" borderId="33" xfId="0" applyNumberFormat="1" applyFill="1" applyBorder="1" applyAlignment="1">
      <alignment horizontal="center" vertical="center"/>
    </xf>
    <xf numFmtId="0" fontId="4" fillId="7" borderId="54" xfId="0" applyFont="1" applyFill="1" applyBorder="1" applyAlignment="1">
      <alignment horizontal="center" vertical="center"/>
    </xf>
    <xf numFmtId="0" fontId="4" fillId="0" borderId="31" xfId="0" applyFont="1" applyBorder="1" applyAlignment="1">
      <alignment vertical="center"/>
    </xf>
    <xf numFmtId="0" fontId="78" fillId="0" borderId="31" xfId="0" applyFont="1" applyBorder="1"/>
    <xf numFmtId="1" fontId="78" fillId="7" borderId="17" xfId="0" applyNumberFormat="1" applyFont="1" applyFill="1" applyBorder="1" applyAlignment="1">
      <alignment horizontal="center"/>
    </xf>
    <xf numFmtId="167" fontId="78" fillId="7" borderId="17" xfId="0" applyNumberFormat="1" applyFont="1" applyFill="1" applyBorder="1" applyAlignment="1">
      <alignment horizontal="center"/>
    </xf>
    <xf numFmtId="0" fontId="91" fillId="0" borderId="32" xfId="0" applyFont="1" applyBorder="1"/>
    <xf numFmtId="0" fontId="91" fillId="0" borderId="23" xfId="0" applyFont="1" applyBorder="1" applyAlignment="1">
      <alignment horizontal="center"/>
    </xf>
    <xf numFmtId="1" fontId="21" fillId="8" borderId="37" xfId="0" applyNumberFormat="1" applyFont="1" applyFill="1" applyBorder="1" applyAlignment="1">
      <alignment horizontal="center" vertical="center"/>
    </xf>
    <xf numFmtId="167" fontId="21" fillId="0" borderId="34" xfId="0" applyNumberFormat="1" applyFont="1" applyBorder="1" applyAlignment="1">
      <alignment horizontal="center" vertical="center"/>
    </xf>
    <xf numFmtId="167" fontId="22" fillId="0" borderId="13" xfId="0" applyNumberFormat="1" applyFont="1" applyBorder="1" applyAlignment="1">
      <alignment horizontal="center" vertical="center"/>
    </xf>
    <xf numFmtId="167" fontId="22" fillId="6" borderId="11" xfId="0" applyNumberFormat="1" applyFont="1" applyFill="1" applyBorder="1" applyAlignment="1">
      <alignment horizontal="center" vertical="center"/>
    </xf>
    <xf numFmtId="167" fontId="21" fillId="0" borderId="52" xfId="0" applyNumberFormat="1" applyFont="1" applyBorder="1" applyAlignment="1">
      <alignment horizontal="center" vertical="center"/>
    </xf>
    <xf numFmtId="167" fontId="21" fillId="7" borderId="52" xfId="0" applyNumberFormat="1" applyFont="1" applyFill="1" applyBorder="1" applyAlignment="1">
      <alignment horizontal="center" vertical="center"/>
    </xf>
    <xf numFmtId="167" fontId="19" fillId="7" borderId="31" xfId="0" applyNumberFormat="1" applyFont="1" applyFill="1" applyBorder="1" applyAlignment="1">
      <alignment horizontal="center" vertical="center"/>
    </xf>
    <xf numFmtId="2" fontId="21" fillId="7" borderId="63" xfId="0" applyNumberFormat="1" applyFont="1" applyFill="1" applyBorder="1" applyAlignment="1">
      <alignment horizontal="center" vertical="center"/>
    </xf>
    <xf numFmtId="2" fontId="21" fillId="7" borderId="31" xfId="0" applyNumberFormat="1" applyFont="1" applyFill="1" applyBorder="1" applyAlignment="1">
      <alignment horizontal="center"/>
    </xf>
    <xf numFmtId="167" fontId="22" fillId="0" borderId="31" xfId="0" applyNumberFormat="1" applyFont="1" applyBorder="1" applyAlignment="1">
      <alignment horizontal="center" vertical="center"/>
    </xf>
    <xf numFmtId="167" fontId="22" fillId="7" borderId="31" xfId="0" applyNumberFormat="1" applyFont="1" applyFill="1" applyBorder="1" applyAlignment="1">
      <alignment horizontal="center" vertical="center"/>
    </xf>
    <xf numFmtId="167" fontId="22" fillId="5" borderId="31" xfId="0" applyNumberFormat="1" applyFont="1" applyFill="1" applyBorder="1" applyAlignment="1">
      <alignment horizontal="center" vertical="center"/>
    </xf>
    <xf numFmtId="167" fontId="22" fillId="5" borderId="29" xfId="0" applyNumberFormat="1" applyFont="1" applyFill="1" applyBorder="1" applyAlignment="1">
      <alignment horizontal="center" vertical="center"/>
    </xf>
    <xf numFmtId="167" fontId="5" fillId="8" borderId="6" xfId="0" applyNumberFormat="1" applyFont="1" applyFill="1" applyBorder="1" applyAlignment="1">
      <alignment vertical="center"/>
    </xf>
    <xf numFmtId="167" fontId="5" fillId="8" borderId="47" xfId="0" applyNumberFormat="1" applyFont="1" applyFill="1" applyBorder="1" applyAlignment="1">
      <alignment vertical="center"/>
    </xf>
    <xf numFmtId="167" fontId="5" fillId="8" borderId="19" xfId="0" applyNumberFormat="1" applyFont="1" applyFill="1" applyBorder="1" applyAlignment="1">
      <alignment vertical="center"/>
    </xf>
    <xf numFmtId="167" fontId="5" fillId="8" borderId="7" xfId="0" applyNumberFormat="1" applyFont="1" applyFill="1" applyBorder="1" applyAlignment="1">
      <alignment horizontal="center" vertical="center"/>
    </xf>
    <xf numFmtId="167" fontId="5" fillId="8" borderId="6" xfId="0" applyNumberFormat="1" applyFont="1" applyFill="1" applyBorder="1" applyAlignment="1">
      <alignment horizontal="center" vertical="center"/>
    </xf>
    <xf numFmtId="167" fontId="22" fillId="0" borderId="62" xfId="0" applyNumberFormat="1" applyFont="1" applyBorder="1" applyAlignment="1">
      <alignment horizontal="center" vertical="center"/>
    </xf>
    <xf numFmtId="167" fontId="22" fillId="7" borderId="62" xfId="0" applyNumberFormat="1" applyFont="1" applyFill="1" applyBorder="1" applyAlignment="1">
      <alignment horizontal="center" vertical="center"/>
    </xf>
    <xf numFmtId="167" fontId="22" fillId="5" borderId="62" xfId="0" applyNumberFormat="1" applyFont="1" applyFill="1" applyBorder="1" applyAlignment="1">
      <alignment horizontal="center" vertical="center"/>
    </xf>
    <xf numFmtId="167" fontId="5" fillId="8" borderId="47" xfId="0" applyNumberFormat="1" applyFont="1" applyFill="1" applyBorder="1" applyAlignment="1">
      <alignment horizontal="center" vertical="center"/>
    </xf>
    <xf numFmtId="167" fontId="30" fillId="8" borderId="6" xfId="0" applyNumberFormat="1" applyFont="1" applyFill="1" applyBorder="1" applyAlignment="1">
      <alignment vertical="center"/>
    </xf>
    <xf numFmtId="167" fontId="30" fillId="8" borderId="47" xfId="0" applyNumberFormat="1" applyFont="1" applyFill="1" applyBorder="1" applyAlignment="1">
      <alignment vertical="center"/>
    </xf>
    <xf numFmtId="167" fontId="30" fillId="8" borderId="19" xfId="0" applyNumberFormat="1" applyFont="1" applyFill="1" applyBorder="1" applyAlignment="1">
      <alignment vertical="center"/>
    </xf>
    <xf numFmtId="167" fontId="30" fillId="8" borderId="6" xfId="0" applyNumberFormat="1" applyFont="1" applyFill="1" applyBorder="1" applyAlignment="1">
      <alignment horizontal="center" vertical="center"/>
    </xf>
    <xf numFmtId="167" fontId="4" fillId="5" borderId="80" xfId="0" applyNumberFormat="1" applyFont="1" applyFill="1" applyBorder="1" applyAlignment="1">
      <alignment horizontal="center" vertical="center"/>
    </xf>
    <xf numFmtId="167" fontId="4" fillId="0" borderId="1" xfId="0" applyNumberFormat="1" applyFont="1" applyBorder="1" applyAlignment="1">
      <alignment horizontal="center" vertical="center"/>
    </xf>
    <xf numFmtId="167" fontId="4" fillId="6" borderId="5" xfId="0" applyNumberFormat="1" applyFont="1" applyFill="1" applyBorder="1" applyAlignment="1">
      <alignment horizontal="center" vertical="center"/>
    </xf>
    <xf numFmtId="1" fontId="19" fillId="8" borderId="13" xfId="0" applyNumberFormat="1" applyFont="1" applyFill="1" applyBorder="1" applyAlignment="1">
      <alignment horizontal="center" vertical="center"/>
    </xf>
    <xf numFmtId="1" fontId="19" fillId="8" borderId="55" xfId="0" applyNumberFormat="1" applyFont="1" applyFill="1" applyBorder="1" applyAlignment="1">
      <alignment horizontal="center" vertical="center"/>
    </xf>
    <xf numFmtId="0" fontId="22" fillId="0" borderId="25" xfId="0" applyFont="1" applyBorder="1"/>
    <xf numFmtId="0" fontId="21" fillId="0" borderId="52" xfId="0" applyFont="1" applyBorder="1" applyAlignment="1">
      <alignment horizontal="right"/>
    </xf>
    <xf numFmtId="0" fontId="21" fillId="0" borderId="12" xfId="0" applyFont="1" applyBorder="1" applyAlignment="1">
      <alignment horizontal="center" vertical="center"/>
    </xf>
    <xf numFmtId="0" fontId="22" fillId="0" borderId="12" xfId="0" applyFont="1" applyBorder="1" applyAlignment="1">
      <alignment horizontal="center" vertical="center"/>
    </xf>
    <xf numFmtId="0" fontId="21" fillId="0" borderId="12" xfId="0" applyFont="1" applyBorder="1" applyAlignment="1">
      <alignment horizontal="center"/>
    </xf>
    <xf numFmtId="0" fontId="5" fillId="8" borderId="12" xfId="0" applyFont="1" applyFill="1" applyBorder="1" applyAlignment="1">
      <alignment horizontal="center"/>
    </xf>
    <xf numFmtId="0" fontId="19" fillId="0" borderId="12" xfId="0" applyFont="1" applyBorder="1" applyAlignment="1">
      <alignment horizontal="center"/>
    </xf>
    <xf numFmtId="0" fontId="5" fillId="8" borderId="12" xfId="0" applyFont="1" applyFill="1" applyBorder="1" applyAlignment="1">
      <alignment horizontal="center" vertical="center"/>
    </xf>
    <xf numFmtId="0" fontId="30" fillId="8" borderId="12" xfId="0" applyFont="1" applyFill="1" applyBorder="1" applyAlignment="1">
      <alignment horizontal="center" vertical="center"/>
    </xf>
    <xf numFmtId="1" fontId="19" fillId="8" borderId="28" xfId="0" applyNumberFormat="1" applyFont="1" applyFill="1" applyBorder="1" applyAlignment="1">
      <alignment horizontal="center" vertical="center"/>
    </xf>
    <xf numFmtId="0" fontId="19" fillId="8" borderId="13" xfId="0" applyFont="1" applyFill="1" applyBorder="1" applyAlignment="1">
      <alignment horizontal="center"/>
    </xf>
    <xf numFmtId="1" fontId="19" fillId="8" borderId="74" xfId="0" applyNumberFormat="1" applyFont="1" applyFill="1" applyBorder="1" applyAlignment="1">
      <alignment horizontal="center" vertical="center"/>
    </xf>
    <xf numFmtId="1" fontId="19" fillId="8" borderId="54" xfId="0" applyNumberFormat="1" applyFont="1" applyFill="1" applyBorder="1" applyAlignment="1">
      <alignment horizontal="center" vertical="center"/>
    </xf>
    <xf numFmtId="1" fontId="19" fillId="8" borderId="38" xfId="0" applyNumberFormat="1" applyFont="1" applyFill="1" applyBorder="1" applyAlignment="1">
      <alignment horizontal="center" vertical="center"/>
    </xf>
    <xf numFmtId="0" fontId="21" fillId="0" borderId="45" xfId="0" applyFont="1" applyBorder="1" applyAlignment="1">
      <alignment horizontal="center"/>
    </xf>
    <xf numFmtId="0" fontId="21" fillId="0" borderId="30" xfId="0" applyFont="1" applyBorder="1" applyAlignment="1">
      <alignment horizontal="center"/>
    </xf>
    <xf numFmtId="0" fontId="21" fillId="0" borderId="60" xfId="0" applyFont="1" applyBorder="1" applyAlignment="1">
      <alignment horizontal="center" vertical="center"/>
    </xf>
    <xf numFmtId="167" fontId="21" fillId="0" borderId="74" xfId="0" applyNumberFormat="1" applyFont="1" applyBorder="1" applyAlignment="1">
      <alignment horizontal="center" vertical="center"/>
    </xf>
    <xf numFmtId="167" fontId="21" fillId="0" borderId="71" xfId="0" applyNumberFormat="1" applyFont="1" applyBorder="1" applyAlignment="1">
      <alignment horizontal="center" vertical="center"/>
    </xf>
    <xf numFmtId="167" fontId="21" fillId="7" borderId="46" xfId="0" applyNumberFormat="1" applyFont="1" applyFill="1" applyBorder="1" applyAlignment="1">
      <alignment horizontal="center" vertical="center"/>
    </xf>
    <xf numFmtId="0" fontId="21" fillId="0" borderId="22" xfId="0" applyFont="1" applyBorder="1" applyAlignment="1">
      <alignment horizontal="center" vertical="center"/>
    </xf>
    <xf numFmtId="167" fontId="21" fillId="7" borderId="71" xfId="0" applyNumberFormat="1" applyFont="1" applyFill="1" applyBorder="1" applyAlignment="1">
      <alignment horizontal="center" vertical="center"/>
    </xf>
    <xf numFmtId="0" fontId="22" fillId="0" borderId="13" xfId="0" applyFont="1" applyBorder="1" applyAlignment="1">
      <alignment horizontal="center" vertical="center"/>
    </xf>
    <xf numFmtId="167" fontId="21" fillId="0" borderId="35" xfId="0" applyNumberFormat="1" applyFont="1" applyBorder="1" applyAlignment="1">
      <alignment horizontal="center" vertical="center"/>
    </xf>
    <xf numFmtId="167" fontId="21" fillId="8" borderId="71" xfId="0" applyNumberFormat="1" applyFont="1" applyFill="1" applyBorder="1" applyAlignment="1">
      <alignment horizontal="center" vertical="center"/>
    </xf>
    <xf numFmtId="167" fontId="21" fillId="7" borderId="35" xfId="0" applyNumberFormat="1" applyFont="1" applyFill="1" applyBorder="1" applyAlignment="1">
      <alignment horizontal="center" vertical="center"/>
    </xf>
    <xf numFmtId="0" fontId="19" fillId="8" borderId="18" xfId="0" applyFont="1" applyFill="1" applyBorder="1"/>
    <xf numFmtId="0" fontId="21" fillId="0" borderId="51" xfId="0" applyFont="1" applyBorder="1" applyAlignment="1">
      <alignment horizontal="right"/>
    </xf>
    <xf numFmtId="0" fontId="21" fillId="0" borderId="20" xfId="0" applyFont="1" applyBorder="1" applyAlignment="1">
      <alignment horizontal="center" vertical="center"/>
    </xf>
    <xf numFmtId="1" fontId="21" fillId="7" borderId="35" xfId="0" applyNumberFormat="1" applyFont="1" applyFill="1" applyBorder="1" applyAlignment="1">
      <alignment horizontal="center" vertical="center"/>
    </xf>
    <xf numFmtId="0" fontId="19" fillId="8" borderId="35" xfId="0" applyFont="1" applyFill="1" applyBorder="1"/>
    <xf numFmtId="0" fontId="22" fillId="8" borderId="0" xfId="0" applyFont="1" applyFill="1" applyAlignment="1">
      <alignment vertical="center"/>
    </xf>
    <xf numFmtId="0" fontId="19" fillId="0" borderId="60" xfId="0" applyFont="1" applyBorder="1" applyAlignment="1">
      <alignment horizontal="center" vertical="center"/>
    </xf>
    <xf numFmtId="1" fontId="19" fillId="0" borderId="85" xfId="0" applyNumberFormat="1" applyFont="1" applyBorder="1" applyAlignment="1">
      <alignment horizontal="center" vertical="center"/>
    </xf>
    <xf numFmtId="1" fontId="19" fillId="7" borderId="80" xfId="0" applyNumberFormat="1" applyFont="1" applyFill="1" applyBorder="1" applyAlignment="1">
      <alignment horizontal="center" vertical="center"/>
    </xf>
    <xf numFmtId="0" fontId="3" fillId="0" borderId="66" xfId="0" applyFont="1" applyBorder="1" applyAlignment="1">
      <alignment vertical="center"/>
    </xf>
    <xf numFmtId="0" fontId="122" fillId="0" borderId="37" xfId="0" applyFont="1" applyBorder="1"/>
    <xf numFmtId="0" fontId="19" fillId="0" borderId="37" xfId="0" applyFont="1" applyBorder="1" applyAlignment="1">
      <alignment vertical="center"/>
    </xf>
    <xf numFmtId="0" fontId="49" fillId="0" borderId="37" xfId="0" applyFont="1" applyBorder="1"/>
    <xf numFmtId="0" fontId="46" fillId="0" borderId="68" xfId="0" applyFont="1" applyBorder="1"/>
    <xf numFmtId="0" fontId="46" fillId="0" borderId="29" xfId="0" applyFont="1" applyBorder="1" applyAlignment="1">
      <alignment horizontal="center"/>
    </xf>
    <xf numFmtId="1" fontId="23" fillId="0" borderId="31" xfId="0" applyNumberFormat="1" applyFont="1" applyBorder="1" applyAlignment="1">
      <alignment horizontal="center"/>
    </xf>
    <xf numFmtId="0" fontId="0" fillId="0" borderId="31" xfId="0" applyBorder="1" applyAlignment="1">
      <alignment horizontal="center"/>
    </xf>
    <xf numFmtId="1" fontId="0" fillId="0" borderId="31" xfId="0" applyNumberFormat="1" applyBorder="1" applyAlignment="1">
      <alignment horizontal="center"/>
    </xf>
    <xf numFmtId="1" fontId="31" fillId="0" borderId="31" xfId="0" applyNumberFormat="1" applyFont="1" applyBorder="1" applyAlignment="1">
      <alignment horizontal="center" vertical="center"/>
    </xf>
    <xf numFmtId="1" fontId="18" fillId="0" borderId="31" xfId="0" applyNumberFormat="1" applyFont="1" applyBorder="1" applyAlignment="1">
      <alignment horizontal="center"/>
    </xf>
    <xf numFmtId="0" fontId="0" fillId="8" borderId="35" xfId="0" applyFill="1" applyBorder="1"/>
    <xf numFmtId="0" fontId="0" fillId="0" borderId="32" xfId="0" applyBorder="1" applyAlignment="1">
      <alignment horizontal="center"/>
    </xf>
    <xf numFmtId="1" fontId="7" fillId="7" borderId="37" xfId="0" applyNumberFormat="1" applyFont="1" applyFill="1" applyBorder="1" applyAlignment="1">
      <alignment horizontal="center" vertical="center"/>
    </xf>
    <xf numFmtId="167" fontId="21" fillId="0" borderId="0" xfId="0" applyNumberFormat="1" applyFont="1" applyAlignment="1">
      <alignment horizontal="center" vertical="center"/>
    </xf>
    <xf numFmtId="167" fontId="22" fillId="0" borderId="55" xfId="0" applyNumberFormat="1" applyFont="1" applyBorder="1" applyAlignment="1">
      <alignment horizontal="center" vertical="center"/>
    </xf>
    <xf numFmtId="2" fontId="21" fillId="0" borderId="7" xfId="0" applyNumberFormat="1" applyFont="1" applyBorder="1" applyAlignment="1">
      <alignment horizontal="center" vertical="center"/>
    </xf>
    <xf numFmtId="2" fontId="21" fillId="0" borderId="49" xfId="0" applyNumberFormat="1" applyFont="1" applyBorder="1" applyAlignment="1">
      <alignment horizontal="center" vertical="center"/>
    </xf>
    <xf numFmtId="1" fontId="21" fillId="0" borderId="75" xfId="0" applyNumberFormat="1" applyFont="1" applyBorder="1" applyAlignment="1">
      <alignment horizontal="center" vertical="center"/>
    </xf>
    <xf numFmtId="1" fontId="22" fillId="0" borderId="55" xfId="0" applyNumberFormat="1" applyFont="1" applyBorder="1" applyAlignment="1">
      <alignment horizontal="center" vertical="center"/>
    </xf>
    <xf numFmtId="1" fontId="21" fillId="0" borderId="24" xfId="0" applyNumberFormat="1" applyFont="1" applyBorder="1" applyAlignment="1">
      <alignment horizontal="center" vertical="center"/>
    </xf>
    <xf numFmtId="167" fontId="22" fillId="0" borderId="6" xfId="0" applyNumberFormat="1" applyFont="1" applyBorder="1" applyAlignment="1">
      <alignment horizontal="center" vertical="center"/>
    </xf>
    <xf numFmtId="169" fontId="21" fillId="8" borderId="49" xfId="0" applyNumberFormat="1" applyFont="1" applyFill="1" applyBorder="1" applyAlignment="1">
      <alignment horizontal="center" vertical="center"/>
    </xf>
    <xf numFmtId="167" fontId="21" fillId="8" borderId="7" xfId="0" applyNumberFormat="1" applyFont="1" applyFill="1" applyBorder="1" applyAlignment="1">
      <alignment horizontal="center" vertical="center"/>
    </xf>
    <xf numFmtId="2" fontId="21" fillId="0" borderId="24" xfId="0" applyNumberFormat="1" applyFont="1" applyBorder="1" applyAlignment="1">
      <alignment horizontal="center" vertical="center"/>
    </xf>
    <xf numFmtId="2" fontId="21" fillId="0" borderId="6" xfId="0" applyNumberFormat="1" applyFont="1" applyBorder="1" applyAlignment="1">
      <alignment horizontal="center"/>
    </xf>
    <xf numFmtId="167" fontId="4" fillId="0" borderId="55" xfId="0" applyNumberFormat="1" applyFont="1" applyBorder="1" applyAlignment="1">
      <alignment horizontal="center" vertical="center"/>
    </xf>
    <xf numFmtId="1" fontId="45" fillId="0" borderId="0" xfId="0" applyNumberFormat="1" applyFont="1" applyAlignment="1">
      <alignment horizontal="center" vertical="center"/>
    </xf>
    <xf numFmtId="0" fontId="46" fillId="0" borderId="29" xfId="0" applyFont="1" applyBorder="1"/>
    <xf numFmtId="9" fontId="24" fillId="7" borderId="10" xfId="22" applyFont="1" applyFill="1" applyBorder="1" applyAlignment="1">
      <alignment horizontal="center"/>
    </xf>
    <xf numFmtId="167" fontId="4" fillId="8" borderId="11" xfId="0" applyNumberFormat="1" applyFont="1" applyFill="1" applyBorder="1" applyAlignment="1">
      <alignment horizontal="center" vertical="center"/>
    </xf>
    <xf numFmtId="0" fontId="46" fillId="8" borderId="0" xfId="0" quotePrefix="1" applyFont="1" applyFill="1"/>
    <xf numFmtId="0" fontId="46" fillId="4" borderId="0" xfId="0" applyFont="1" applyFill="1"/>
    <xf numFmtId="0" fontId="22" fillId="0" borderId="63" xfId="0" applyFont="1" applyBorder="1" applyAlignment="1">
      <alignment vertical="center"/>
    </xf>
    <xf numFmtId="0" fontId="22" fillId="0" borderId="32" xfId="0" applyFont="1" applyBorder="1" applyAlignment="1">
      <alignment vertical="center"/>
    </xf>
    <xf numFmtId="167" fontId="19" fillId="8" borderId="9" xfId="0" applyNumberFormat="1" applyFont="1" applyFill="1" applyBorder="1" applyAlignment="1">
      <alignment horizontal="center" vertical="center"/>
    </xf>
    <xf numFmtId="167" fontId="19" fillId="0" borderId="73" xfId="0" applyNumberFormat="1" applyFont="1" applyBorder="1" applyAlignment="1">
      <alignment horizontal="center" vertical="center"/>
    </xf>
    <xf numFmtId="167" fontId="19" fillId="7" borderId="9" xfId="0" applyNumberFormat="1" applyFont="1" applyFill="1" applyBorder="1" applyAlignment="1">
      <alignment horizontal="center" vertical="center"/>
    </xf>
    <xf numFmtId="2" fontId="19" fillId="7" borderId="128" xfId="0" applyNumberFormat="1" applyFont="1" applyFill="1" applyBorder="1" applyAlignment="1">
      <alignment horizontal="center" vertical="center"/>
    </xf>
    <xf numFmtId="167" fontId="21" fillId="0" borderId="41" xfId="0" applyNumberFormat="1" applyFont="1" applyBorder="1" applyAlignment="1">
      <alignment horizontal="center" vertical="center"/>
    </xf>
    <xf numFmtId="167" fontId="21" fillId="7" borderId="41" xfId="0" applyNumberFormat="1" applyFont="1" applyFill="1" applyBorder="1" applyAlignment="1">
      <alignment horizontal="center" vertical="center"/>
    </xf>
    <xf numFmtId="167" fontId="21" fillId="0" borderId="23" xfId="0" applyNumberFormat="1" applyFont="1" applyBorder="1" applyAlignment="1">
      <alignment horizontal="center" vertical="center"/>
    </xf>
    <xf numFmtId="0" fontId="80" fillId="8" borderId="22" xfId="186" applyFont="1" applyFill="1" applyBorder="1" applyAlignment="1">
      <alignment horizontal="left" vertical="center"/>
    </xf>
    <xf numFmtId="17" fontId="8" fillId="42" borderId="43" xfId="186" applyNumberFormat="1" applyFont="1" applyFill="1" applyBorder="1" applyAlignment="1">
      <alignment horizontal="left" vertical="center"/>
    </xf>
    <xf numFmtId="0" fontId="80" fillId="8" borderId="40" xfId="186" applyFont="1" applyFill="1" applyBorder="1" applyAlignment="1">
      <alignment horizontal="left" vertical="center"/>
    </xf>
    <xf numFmtId="0" fontId="27" fillId="7" borderId="13" xfId="0" applyFont="1" applyFill="1" applyBorder="1" applyAlignment="1">
      <alignment horizontal="center" vertical="center"/>
    </xf>
    <xf numFmtId="1" fontId="12" fillId="7" borderId="47" xfId="0" applyNumberFormat="1" applyFont="1" applyFill="1" applyBorder="1" applyAlignment="1">
      <alignment horizontal="center"/>
    </xf>
    <xf numFmtId="1" fontId="12" fillId="7" borderId="12" xfId="0" applyNumberFormat="1" applyFont="1" applyFill="1" applyBorder="1" applyAlignment="1">
      <alignment horizontal="center"/>
    </xf>
    <xf numFmtId="1" fontId="27" fillId="7" borderId="25" xfId="0" applyNumberFormat="1" applyFont="1" applyFill="1" applyBorder="1" applyAlignment="1">
      <alignment horizontal="center"/>
    </xf>
    <xf numFmtId="1" fontId="27" fillId="7" borderId="13" xfId="0" applyNumberFormat="1" applyFont="1" applyFill="1" applyBorder="1" applyAlignment="1">
      <alignment horizontal="center"/>
    </xf>
    <xf numFmtId="1" fontId="81" fillId="7" borderId="29" xfId="186" applyNumberFormat="1" applyFont="1" applyFill="1" applyBorder="1" applyAlignment="1">
      <alignment horizontal="center" vertical="center"/>
    </xf>
    <xf numFmtId="0" fontId="28" fillId="0" borderId="18" xfId="0" applyFont="1" applyBorder="1" applyAlignment="1">
      <alignment horizontal="left" vertical="center"/>
    </xf>
    <xf numFmtId="0" fontId="28" fillId="0" borderId="12" xfId="0" applyFont="1" applyBorder="1" applyAlignment="1">
      <alignment horizontal="left" vertical="center"/>
    </xf>
    <xf numFmtId="0" fontId="15" fillId="0" borderId="20" xfId="0" applyFont="1" applyBorder="1" applyAlignment="1">
      <alignment horizontal="right" vertical="center"/>
    </xf>
    <xf numFmtId="167" fontId="28" fillId="0" borderId="8" xfId="0" applyNumberFormat="1" applyFont="1" applyBorder="1" applyAlignment="1">
      <alignment horizontal="center" vertical="center"/>
    </xf>
    <xf numFmtId="167" fontId="28" fillId="0" borderId="29" xfId="0" applyNumberFormat="1" applyFont="1" applyBorder="1" applyAlignment="1">
      <alignment horizontal="center" vertical="center"/>
    </xf>
    <xf numFmtId="1" fontId="28" fillId="0" borderId="10" xfId="0" applyNumberFormat="1" applyFont="1" applyBorder="1" applyAlignment="1">
      <alignment horizontal="center" vertical="center"/>
    </xf>
    <xf numFmtId="167" fontId="28" fillId="0" borderId="36" xfId="0" applyNumberFormat="1" applyFont="1" applyBorder="1" applyAlignment="1">
      <alignment horizontal="center" vertical="center"/>
    </xf>
    <xf numFmtId="167" fontId="28" fillId="0" borderId="59" xfId="0" applyNumberFormat="1" applyFont="1" applyBorder="1" applyAlignment="1">
      <alignment horizontal="center" vertical="center"/>
    </xf>
    <xf numFmtId="1" fontId="28" fillId="0" borderId="53" xfId="0" applyNumberFormat="1" applyFont="1" applyBorder="1" applyAlignment="1">
      <alignment horizontal="center" vertical="center"/>
    </xf>
    <xf numFmtId="0" fontId="28" fillId="0" borderId="20" xfId="0" applyFont="1" applyBorder="1" applyAlignment="1">
      <alignment horizontal="left" vertical="center"/>
    </xf>
    <xf numFmtId="0" fontId="7" fillId="0" borderId="29" xfId="0" applyFont="1" applyBorder="1"/>
    <xf numFmtId="0" fontId="7" fillId="8" borderId="29" xfId="0" applyFont="1" applyFill="1" applyBorder="1"/>
    <xf numFmtId="0" fontId="4" fillId="0" borderId="31" xfId="0" applyFont="1" applyBorder="1"/>
    <xf numFmtId="0" fontId="7" fillId="0" borderId="17" xfId="0" applyFont="1" applyBorder="1"/>
    <xf numFmtId="0" fontId="4" fillId="8" borderId="31" xfId="0" applyFont="1" applyFill="1" applyBorder="1"/>
    <xf numFmtId="0" fontId="7" fillId="8" borderId="17" xfId="0" applyFont="1" applyFill="1" applyBorder="1"/>
    <xf numFmtId="0" fontId="7" fillId="0" borderId="31" xfId="0" applyFont="1" applyBorder="1"/>
    <xf numFmtId="0" fontId="7" fillId="8" borderId="31" xfId="0" applyFont="1" applyFill="1" applyBorder="1"/>
    <xf numFmtId="0" fontId="22" fillId="7" borderId="29" xfId="0" applyFont="1" applyFill="1" applyBorder="1" applyAlignment="1">
      <alignment horizontal="center" vertical="center"/>
    </xf>
    <xf numFmtId="167" fontId="28" fillId="0" borderId="3" xfId="0" applyNumberFormat="1" applyFont="1" applyBorder="1" applyAlignment="1">
      <alignment horizontal="center" vertical="center"/>
    </xf>
    <xf numFmtId="1" fontId="28" fillId="0" borderId="17" xfId="0" applyNumberFormat="1" applyFont="1" applyBorder="1" applyAlignment="1">
      <alignment horizontal="center" vertical="center"/>
    </xf>
    <xf numFmtId="0" fontId="15" fillId="0" borderId="33" xfId="0" applyFont="1" applyBorder="1" applyAlignment="1">
      <alignment horizontal="center" vertical="center"/>
    </xf>
    <xf numFmtId="0" fontId="28" fillId="0" borderId="44" xfId="0" applyFont="1" applyBorder="1"/>
    <xf numFmtId="0" fontId="28" fillId="0" borderId="51" xfId="0" applyFont="1" applyBorder="1"/>
    <xf numFmtId="0" fontId="15" fillId="0" borderId="59" xfId="0" applyFont="1" applyBorder="1" applyAlignment="1">
      <alignment horizontal="center" vertical="center"/>
    </xf>
    <xf numFmtId="0" fontId="28" fillId="0" borderId="18" xfId="0" applyFont="1" applyBorder="1" applyAlignment="1">
      <alignment horizontal="center" vertical="center"/>
    </xf>
    <xf numFmtId="0" fontId="28" fillId="0" borderId="20" xfId="0" applyFont="1" applyBorder="1"/>
    <xf numFmtId="0" fontId="15" fillId="0" borderId="12" xfId="0" applyFont="1" applyBorder="1" applyAlignment="1">
      <alignment horizontal="right" vertical="center"/>
    </xf>
    <xf numFmtId="1" fontId="28" fillId="0" borderId="33" xfId="0" applyNumberFormat="1" applyFont="1" applyBorder="1" applyAlignment="1">
      <alignment horizontal="center" vertical="center"/>
    </xf>
    <xf numFmtId="1" fontId="28" fillId="0" borderId="42" xfId="0" applyNumberFormat="1" applyFont="1" applyBorder="1" applyAlignment="1">
      <alignment horizontal="center" vertical="center"/>
    </xf>
    <xf numFmtId="0" fontId="28" fillId="0" borderId="25" xfId="0" applyFont="1" applyBorder="1" applyAlignment="1">
      <alignment vertical="center"/>
    </xf>
    <xf numFmtId="0" fontId="15" fillId="0" borderId="35" xfId="0" applyFont="1" applyBorder="1" applyAlignment="1">
      <alignment vertical="center"/>
    </xf>
    <xf numFmtId="0" fontId="15" fillId="7" borderId="33" xfId="0" applyFont="1" applyFill="1" applyBorder="1" applyAlignment="1">
      <alignment horizontal="center" vertical="center"/>
    </xf>
    <xf numFmtId="0" fontId="15" fillId="0" borderId="60" xfId="0" applyFont="1" applyBorder="1" applyAlignment="1">
      <alignment horizontal="right" vertical="center"/>
    </xf>
    <xf numFmtId="1" fontId="28" fillId="0" borderId="72" xfId="0" applyNumberFormat="1" applyFont="1" applyBorder="1" applyAlignment="1">
      <alignment horizontal="center" vertical="center"/>
    </xf>
    <xf numFmtId="0" fontId="15" fillId="7" borderId="59" xfId="0" applyFont="1" applyFill="1" applyBorder="1" applyAlignment="1">
      <alignment horizontal="center" vertical="center"/>
    </xf>
    <xf numFmtId="167" fontId="28" fillId="7" borderId="3" xfId="0" applyNumberFormat="1" applyFont="1" applyFill="1" applyBorder="1" applyAlignment="1">
      <alignment horizontal="center" vertical="center"/>
    </xf>
    <xf numFmtId="1" fontId="28" fillId="7" borderId="42" xfId="0" applyNumberFormat="1" applyFont="1" applyFill="1" applyBorder="1" applyAlignment="1">
      <alignment horizontal="center" vertical="center"/>
    </xf>
    <xf numFmtId="0" fontId="19" fillId="0" borderId="41" xfId="0" applyFont="1" applyBorder="1" applyAlignment="1">
      <alignment horizontal="left" vertical="center"/>
    </xf>
    <xf numFmtId="0" fontId="19" fillId="0" borderId="46" xfId="0" applyFont="1" applyBorder="1" applyAlignment="1">
      <alignment horizontal="left" vertical="center"/>
    </xf>
    <xf numFmtId="0" fontId="19" fillId="0" borderId="23" xfId="0" applyFont="1" applyBorder="1" applyAlignment="1">
      <alignment horizontal="left" vertical="center"/>
    </xf>
    <xf numFmtId="0" fontId="19" fillId="7" borderId="32" xfId="0" applyFont="1" applyFill="1" applyBorder="1" applyAlignment="1">
      <alignment horizontal="center" vertical="center"/>
    </xf>
    <xf numFmtId="1" fontId="21" fillId="45" borderId="10" xfId="0" applyNumberFormat="1" applyFont="1" applyFill="1" applyBorder="1" applyAlignment="1">
      <alignment horizontal="center" vertical="center"/>
    </xf>
    <xf numFmtId="167" fontId="19" fillId="45" borderId="10" xfId="0" applyNumberFormat="1" applyFont="1" applyFill="1" applyBorder="1" applyAlignment="1">
      <alignment horizontal="center" vertical="center"/>
    </xf>
    <xf numFmtId="1" fontId="20" fillId="45" borderId="10" xfId="0" applyNumberFormat="1" applyFont="1" applyFill="1" applyBorder="1" applyAlignment="1">
      <alignment horizontal="center" vertical="center"/>
    </xf>
    <xf numFmtId="1" fontId="22" fillId="45" borderId="10" xfId="0" applyNumberFormat="1" applyFont="1" applyFill="1" applyBorder="1" applyAlignment="1">
      <alignment horizontal="center" vertical="center"/>
    </xf>
    <xf numFmtId="1" fontId="19" fillId="5" borderId="21" xfId="0" applyNumberFormat="1" applyFont="1" applyFill="1" applyBorder="1" applyAlignment="1">
      <alignment horizontal="center" vertical="center"/>
    </xf>
    <xf numFmtId="167" fontId="0" fillId="5" borderId="63" xfId="0" applyNumberFormat="1" applyFill="1" applyBorder="1" applyAlignment="1">
      <alignment horizontal="center" vertical="center"/>
    </xf>
    <xf numFmtId="167" fontId="0" fillId="5" borderId="42" xfId="0" applyNumberFormat="1" applyFill="1" applyBorder="1" applyAlignment="1">
      <alignment horizontal="center" vertical="center"/>
    </xf>
    <xf numFmtId="167" fontId="0" fillId="5" borderId="17" xfId="0" applyNumberFormat="1" applyFill="1" applyBorder="1" applyAlignment="1">
      <alignment horizontal="center" vertical="center"/>
    </xf>
    <xf numFmtId="167" fontId="0" fillId="5" borderId="32" xfId="0" applyNumberFormat="1" applyFill="1" applyBorder="1" applyAlignment="1">
      <alignment horizontal="center" vertical="center"/>
    </xf>
    <xf numFmtId="167" fontId="0" fillId="5" borderId="33" xfId="0" applyNumberFormat="1" applyFill="1" applyBorder="1" applyAlignment="1">
      <alignment horizontal="center" vertical="center"/>
    </xf>
    <xf numFmtId="2" fontId="0" fillId="5" borderId="63" xfId="0" applyNumberFormat="1" applyFill="1" applyBorder="1" applyAlignment="1">
      <alignment horizontal="center" vertical="center"/>
    </xf>
    <xf numFmtId="2" fontId="0" fillId="5" borderId="42" xfId="0" applyNumberFormat="1" applyFill="1" applyBorder="1" applyAlignment="1">
      <alignment horizontal="center" vertical="center"/>
    </xf>
    <xf numFmtId="1" fontId="0" fillId="5" borderId="17" xfId="0" applyNumberFormat="1" applyFill="1" applyBorder="1" applyAlignment="1">
      <alignment horizontal="center" vertical="center"/>
    </xf>
    <xf numFmtId="1" fontId="0" fillId="5" borderId="63" xfId="0" applyNumberFormat="1" applyFill="1" applyBorder="1" applyAlignment="1">
      <alignment horizontal="center" vertical="center"/>
    </xf>
    <xf numFmtId="1" fontId="0" fillId="5" borderId="42" xfId="0" applyNumberFormat="1" applyFill="1" applyBorder="1" applyAlignment="1">
      <alignment horizontal="center" vertical="center"/>
    </xf>
    <xf numFmtId="169" fontId="0" fillId="5" borderId="17" xfId="0" applyNumberFormat="1" applyFill="1" applyBorder="1" applyAlignment="1">
      <alignment horizontal="center" vertical="center"/>
    </xf>
    <xf numFmtId="1" fontId="0" fillId="5" borderId="33" xfId="0" applyNumberFormat="1" applyFill="1" applyBorder="1" applyAlignment="1">
      <alignment horizontal="center" vertical="center"/>
    </xf>
    <xf numFmtId="1" fontId="0" fillId="5" borderId="1" xfId="0" applyNumberFormat="1" applyFill="1" applyBorder="1" applyAlignment="1">
      <alignment horizontal="center" vertical="center"/>
    </xf>
    <xf numFmtId="1" fontId="0" fillId="5" borderId="11" xfId="0" applyNumberFormat="1" applyFill="1" applyBorder="1" applyAlignment="1">
      <alignment horizontal="center" vertical="center"/>
    </xf>
    <xf numFmtId="2" fontId="0" fillId="5" borderId="17" xfId="0" applyNumberFormat="1" applyFill="1" applyBorder="1" applyAlignment="1">
      <alignment horizontal="center" vertical="center"/>
    </xf>
    <xf numFmtId="2" fontId="0" fillId="5" borderId="32" xfId="0" applyNumberFormat="1" applyFill="1" applyBorder="1" applyAlignment="1">
      <alignment horizontal="center" vertical="center"/>
    </xf>
    <xf numFmtId="2" fontId="0" fillId="5" borderId="33" xfId="0" applyNumberFormat="1" applyFill="1" applyBorder="1" applyAlignment="1">
      <alignment horizontal="center" vertical="center"/>
    </xf>
    <xf numFmtId="1" fontId="0" fillId="5" borderId="9" xfId="0" applyNumberFormat="1" applyFill="1" applyBorder="1" applyAlignment="1">
      <alignment horizontal="center" vertical="center"/>
    </xf>
    <xf numFmtId="1" fontId="0" fillId="5" borderId="73" xfId="0" applyNumberFormat="1" applyFill="1" applyBorder="1" applyAlignment="1">
      <alignment horizontal="center" vertical="center"/>
    </xf>
    <xf numFmtId="1" fontId="19" fillId="5" borderId="10" xfId="0" applyNumberFormat="1" applyFont="1" applyFill="1" applyBorder="1" applyAlignment="1">
      <alignment vertical="center"/>
    </xf>
    <xf numFmtId="1" fontId="19" fillId="5" borderId="45" xfId="0" applyNumberFormat="1" applyFont="1" applyFill="1" applyBorder="1" applyAlignment="1">
      <alignment vertical="center"/>
    </xf>
    <xf numFmtId="9" fontId="22" fillId="5" borderId="10" xfId="22" applyFont="1" applyFill="1" applyBorder="1" applyAlignment="1">
      <alignment horizontal="center" vertical="center"/>
    </xf>
    <xf numFmtId="0" fontId="27" fillId="0" borderId="55" xfId="0" applyFont="1" applyBorder="1" applyAlignment="1">
      <alignment horizontal="center" vertical="center"/>
    </xf>
    <xf numFmtId="0" fontId="27" fillId="0" borderId="25" xfId="0" applyFont="1" applyBorder="1" applyAlignment="1">
      <alignment horizontal="center" vertical="center"/>
    </xf>
    <xf numFmtId="0" fontId="27" fillId="7" borderId="25" xfId="0" applyFont="1" applyFill="1" applyBorder="1" applyAlignment="1">
      <alignment horizontal="center" vertical="center"/>
    </xf>
    <xf numFmtId="0" fontId="15" fillId="5" borderId="10" xfId="0" applyFont="1" applyFill="1" applyBorder="1" applyAlignment="1">
      <alignment horizontal="center" vertical="center"/>
    </xf>
    <xf numFmtId="1" fontId="27" fillId="5" borderId="10" xfId="0" applyNumberFormat="1" applyFont="1" applyFill="1" applyBorder="1" applyAlignment="1">
      <alignment horizontal="center" vertical="center"/>
    </xf>
    <xf numFmtId="1" fontId="23" fillId="5" borderId="10" xfId="0" applyNumberFormat="1" applyFont="1" applyFill="1" applyBorder="1" applyAlignment="1">
      <alignment horizontal="center"/>
    </xf>
    <xf numFmtId="0" fontId="0" fillId="5" borderId="10" xfId="0" applyFill="1" applyBorder="1" applyAlignment="1">
      <alignment horizontal="center"/>
    </xf>
    <xf numFmtId="1" fontId="0" fillId="5" borderId="10" xfId="0" applyNumberFormat="1" applyFill="1" applyBorder="1" applyAlignment="1">
      <alignment horizontal="center"/>
    </xf>
    <xf numFmtId="1" fontId="31" fillId="5" borderId="10" xfId="0" applyNumberFormat="1" applyFont="1" applyFill="1" applyBorder="1" applyAlignment="1">
      <alignment horizontal="center" vertical="center"/>
    </xf>
    <xf numFmtId="1" fontId="31" fillId="5" borderId="17" xfId="0" applyNumberFormat="1" applyFont="1" applyFill="1" applyBorder="1" applyAlignment="1">
      <alignment horizontal="center" vertical="center"/>
    </xf>
    <xf numFmtId="1" fontId="18" fillId="5" borderId="10" xfId="0" applyNumberFormat="1" applyFont="1" applyFill="1" applyBorder="1" applyAlignment="1">
      <alignment horizontal="center"/>
    </xf>
    <xf numFmtId="1" fontId="18" fillId="5" borderId="17" xfId="0" applyNumberFormat="1" applyFont="1" applyFill="1" applyBorder="1" applyAlignment="1">
      <alignment horizontal="center"/>
    </xf>
    <xf numFmtId="0" fontId="0" fillId="5" borderId="23" xfId="0" applyFill="1" applyBorder="1" applyAlignment="1">
      <alignment horizontal="center"/>
    </xf>
    <xf numFmtId="1" fontId="0" fillId="5" borderId="33" xfId="0" applyNumberFormat="1" applyFill="1" applyBorder="1" applyAlignment="1">
      <alignment horizontal="center"/>
    </xf>
    <xf numFmtId="2" fontId="7" fillId="8" borderId="31" xfId="0" applyNumberFormat="1" applyFont="1" applyFill="1" applyBorder="1" applyAlignment="1">
      <alignment horizontal="center" vertical="center"/>
    </xf>
    <xf numFmtId="1" fontId="12" fillId="34" borderId="12" xfId="0" applyNumberFormat="1" applyFont="1" applyFill="1" applyBorder="1" applyAlignment="1">
      <alignment horizontal="center"/>
    </xf>
    <xf numFmtId="1" fontId="81" fillId="8" borderId="29" xfId="186" applyNumberFormat="1" applyFont="1" applyFill="1" applyBorder="1" applyAlignment="1">
      <alignment horizontal="center" vertical="center"/>
    </xf>
    <xf numFmtId="0" fontId="41" fillId="8" borderId="0" xfId="0" applyFont="1" applyFill="1"/>
    <xf numFmtId="0" fontId="145" fillId="8" borderId="0" xfId="0" applyFont="1" applyFill="1"/>
    <xf numFmtId="0" fontId="41" fillId="8" borderId="44" xfId="0" applyFont="1" applyFill="1" applyBorder="1" applyAlignment="1">
      <alignment vertical="center"/>
    </xf>
    <xf numFmtId="164" fontId="145" fillId="8" borderId="10" xfId="0" quotePrefix="1" applyNumberFormat="1" applyFont="1" applyFill="1" applyBorder="1" applyAlignment="1">
      <alignment horizontal="left" vertical="center" wrapText="1"/>
    </xf>
    <xf numFmtId="164" fontId="145" fillId="8" borderId="10" xfId="0" quotePrefix="1" applyNumberFormat="1" applyFont="1" applyFill="1" applyBorder="1" applyAlignment="1">
      <alignment horizontal="left" vertical="center"/>
    </xf>
    <xf numFmtId="0" fontId="145" fillId="0" borderId="10" xfId="0" applyFont="1" applyBorder="1" applyAlignment="1">
      <alignment horizontal="right" vertical="center"/>
    </xf>
    <xf numFmtId="0" fontId="80" fillId="8" borderId="12" xfId="186" applyFont="1" applyFill="1" applyBorder="1" applyAlignment="1">
      <alignment horizontal="left" vertical="center"/>
    </xf>
    <xf numFmtId="1" fontId="27" fillId="5" borderId="1" xfId="0" applyNumberFormat="1" applyFont="1" applyFill="1" applyBorder="1" applyAlignment="1">
      <alignment horizontal="center" vertical="center"/>
    </xf>
    <xf numFmtId="1" fontId="27" fillId="5" borderId="11" xfId="0" applyNumberFormat="1" applyFont="1" applyFill="1" applyBorder="1" applyAlignment="1">
      <alignment horizontal="center" vertical="center"/>
    </xf>
    <xf numFmtId="1" fontId="4" fillId="5" borderId="34" xfId="0" applyNumberFormat="1" applyFont="1" applyFill="1" applyBorder="1" applyAlignment="1">
      <alignment horizontal="center" vertical="center"/>
    </xf>
    <xf numFmtId="167" fontId="4" fillId="5" borderId="9" xfId="0" applyNumberFormat="1" applyFont="1" applyFill="1" applyBorder="1" applyAlignment="1">
      <alignment horizontal="center" vertical="center"/>
    </xf>
    <xf numFmtId="0" fontId="15" fillId="8" borderId="59" xfId="0" applyFont="1" applyFill="1" applyBorder="1" applyAlignment="1">
      <alignment horizontal="center" vertical="center"/>
    </xf>
    <xf numFmtId="0" fontId="15" fillId="8" borderId="33" xfId="0" applyFont="1" applyFill="1" applyBorder="1" applyAlignment="1">
      <alignment horizontal="center" vertical="center"/>
    </xf>
    <xf numFmtId="167" fontId="28" fillId="8" borderId="3" xfId="0" applyNumberFormat="1" applyFont="1" applyFill="1" applyBorder="1" applyAlignment="1">
      <alignment horizontal="center" vertical="center"/>
    </xf>
    <xf numFmtId="1" fontId="28" fillId="8" borderId="42" xfId="0" applyNumberFormat="1" applyFont="1" applyFill="1" applyBorder="1" applyAlignment="1">
      <alignment horizontal="center" vertical="center"/>
    </xf>
    <xf numFmtId="167" fontId="28" fillId="8" borderId="29" xfId="0" applyNumberFormat="1" applyFont="1" applyFill="1" applyBorder="1" applyAlignment="1">
      <alignment horizontal="center" vertical="center"/>
    </xf>
    <xf numFmtId="1" fontId="28" fillId="8" borderId="17" xfId="0" applyNumberFormat="1" applyFont="1" applyFill="1" applyBorder="1" applyAlignment="1">
      <alignment horizontal="center" vertical="center"/>
    </xf>
    <xf numFmtId="167" fontId="28" fillId="8" borderId="59" xfId="0" applyNumberFormat="1" applyFont="1" applyFill="1" applyBorder="1" applyAlignment="1">
      <alignment horizontal="center" vertical="center"/>
    </xf>
    <xf numFmtId="1" fontId="28" fillId="8" borderId="33" xfId="0" applyNumberFormat="1" applyFont="1" applyFill="1" applyBorder="1" applyAlignment="1">
      <alignment horizontal="center" vertical="center"/>
    </xf>
    <xf numFmtId="167" fontId="28" fillId="8" borderId="36" xfId="0" applyNumberFormat="1" applyFont="1" applyFill="1" applyBorder="1" applyAlignment="1">
      <alignment horizontal="center" vertical="center"/>
    </xf>
    <xf numFmtId="1" fontId="28" fillId="8" borderId="41" xfId="0" applyNumberFormat="1" applyFont="1" applyFill="1" applyBorder="1" applyAlignment="1">
      <alignment horizontal="center" vertical="center"/>
    </xf>
    <xf numFmtId="1" fontId="28" fillId="8" borderId="10" xfId="0" applyNumberFormat="1" applyFont="1" applyFill="1" applyBorder="1" applyAlignment="1">
      <alignment horizontal="center" vertical="center"/>
    </xf>
    <xf numFmtId="167" fontId="28" fillId="8" borderId="8" xfId="0" applyNumberFormat="1" applyFont="1" applyFill="1" applyBorder="1" applyAlignment="1">
      <alignment horizontal="center" vertical="center"/>
    </xf>
    <xf numFmtId="1" fontId="28" fillId="8" borderId="53" xfId="0" applyNumberFormat="1" applyFont="1" applyFill="1" applyBorder="1" applyAlignment="1">
      <alignment horizontal="center" vertical="center"/>
    </xf>
    <xf numFmtId="17" fontId="8" fillId="42" borderId="0" xfId="186" applyNumberFormat="1" applyFont="1" applyFill="1" applyAlignment="1">
      <alignment horizontal="left" vertical="center"/>
    </xf>
    <xf numFmtId="0" fontId="80" fillId="0" borderId="6" xfId="186" applyFont="1" applyBorder="1" applyAlignment="1">
      <alignment horizontal="left" vertical="center"/>
    </xf>
    <xf numFmtId="17" fontId="17" fillId="34" borderId="55" xfId="186" applyNumberFormat="1" applyFont="1" applyFill="1" applyBorder="1" applyAlignment="1">
      <alignment horizontal="left" vertical="center"/>
    </xf>
    <xf numFmtId="17" fontId="8" fillId="42" borderId="39" xfId="186" applyNumberFormat="1" applyFont="1" applyFill="1" applyBorder="1" applyAlignment="1">
      <alignment horizontal="left" vertical="center"/>
    </xf>
    <xf numFmtId="0" fontId="80" fillId="0" borderId="0" xfId="186" applyFont="1" applyAlignment="1">
      <alignment horizontal="left" vertical="center"/>
    </xf>
    <xf numFmtId="17" fontId="8" fillId="42" borderId="55" xfId="186" applyNumberFormat="1" applyFont="1" applyFill="1" applyBorder="1" applyAlignment="1">
      <alignment horizontal="left" vertical="center"/>
    </xf>
    <xf numFmtId="0" fontId="80" fillId="8" borderId="7" xfId="186" applyFont="1" applyFill="1" applyBorder="1" applyAlignment="1">
      <alignment horizontal="left" vertical="center"/>
    </xf>
    <xf numFmtId="0" fontId="80" fillId="8" borderId="6" xfId="186" applyFont="1" applyFill="1" applyBorder="1" applyAlignment="1">
      <alignment horizontal="left" vertical="center"/>
    </xf>
    <xf numFmtId="0" fontId="80" fillId="8" borderId="0" xfId="186" applyFont="1" applyFill="1" applyAlignment="1">
      <alignment horizontal="left" vertical="center"/>
    </xf>
    <xf numFmtId="0" fontId="80" fillId="0" borderId="75" xfId="186" applyFont="1" applyBorder="1" applyAlignment="1">
      <alignment horizontal="left" vertical="center"/>
    </xf>
    <xf numFmtId="17" fontId="17" fillId="34" borderId="39" xfId="186" applyNumberFormat="1" applyFont="1" applyFill="1" applyBorder="1" applyAlignment="1">
      <alignment horizontal="left" vertical="center"/>
    </xf>
    <xf numFmtId="0" fontId="80" fillId="0" borderId="8" xfId="186" applyFont="1" applyBorder="1" applyAlignment="1">
      <alignment horizontal="left" vertical="center"/>
    </xf>
    <xf numFmtId="0" fontId="80" fillId="42" borderId="64" xfId="186" applyFont="1" applyFill="1" applyBorder="1" applyAlignment="1">
      <alignment horizontal="center" vertical="center"/>
    </xf>
    <xf numFmtId="1" fontId="81" fillId="0" borderId="6" xfId="186" applyNumberFormat="1" applyFont="1" applyBorder="1" applyAlignment="1">
      <alignment horizontal="center" vertical="center"/>
    </xf>
    <xf numFmtId="1" fontId="81" fillId="42" borderId="39" xfId="186" applyNumberFormat="1" applyFont="1" applyFill="1" applyBorder="1" applyAlignment="1">
      <alignment horizontal="center" vertical="center"/>
    </xf>
    <xf numFmtId="1" fontId="81" fillId="8" borderId="0" xfId="186" applyNumberFormat="1" applyFont="1" applyFill="1" applyAlignment="1">
      <alignment horizontal="center" vertical="center"/>
    </xf>
    <xf numFmtId="1" fontId="81" fillId="42" borderId="67" xfId="186" applyNumberFormat="1" applyFont="1" applyFill="1" applyBorder="1" applyAlignment="1">
      <alignment horizontal="center" vertical="center"/>
    </xf>
    <xf numFmtId="1" fontId="81" fillId="5" borderId="6" xfId="186" applyNumberFormat="1" applyFont="1" applyFill="1" applyBorder="1" applyAlignment="1">
      <alignment horizontal="center" vertical="center"/>
    </xf>
    <xf numFmtId="1" fontId="132" fillId="8" borderId="0" xfId="186" applyNumberFormat="1" applyFont="1" applyFill="1" applyAlignment="1">
      <alignment horizontal="center" vertical="center"/>
    </xf>
    <xf numFmtId="0" fontId="132" fillId="8" borderId="0" xfId="186" applyFont="1" applyFill="1" applyAlignment="1">
      <alignment horizontal="center" vertical="center"/>
    </xf>
    <xf numFmtId="0" fontId="84" fillId="33" borderId="40" xfId="186" applyFont="1" applyFill="1" applyBorder="1" applyAlignment="1">
      <alignment horizontal="left" vertical="center"/>
    </xf>
    <xf numFmtId="0" fontId="84" fillId="33" borderId="0" xfId="186" applyFont="1" applyFill="1" applyAlignment="1">
      <alignment horizontal="left" vertical="center"/>
    </xf>
    <xf numFmtId="1" fontId="8" fillId="33" borderId="87" xfId="1" applyNumberFormat="1" applyFont="1" applyFill="1" applyBorder="1" applyAlignment="1">
      <alignment horizontal="center" vertical="center"/>
    </xf>
    <xf numFmtId="0" fontId="147" fillId="8" borderId="10" xfId="186" applyFont="1" applyFill="1" applyBorder="1" applyAlignment="1">
      <alignment horizontal="left" vertical="center"/>
    </xf>
    <xf numFmtId="1" fontId="147" fillId="8" borderId="10" xfId="186" applyNumberFormat="1" applyFont="1" applyFill="1" applyBorder="1" applyAlignment="1">
      <alignment horizontal="center" vertical="center"/>
    </xf>
    <xf numFmtId="0" fontId="148" fillId="8" borderId="10" xfId="186" applyFont="1" applyFill="1" applyBorder="1" applyAlignment="1">
      <alignment horizontal="left" vertical="center"/>
    </xf>
    <xf numFmtId="167" fontId="21" fillId="5" borderId="41" xfId="0" applyNumberFormat="1" applyFont="1" applyFill="1" applyBorder="1" applyAlignment="1">
      <alignment horizontal="center" vertical="center"/>
    </xf>
    <xf numFmtId="167" fontId="19" fillId="5" borderId="9" xfId="0" applyNumberFormat="1" applyFont="1" applyFill="1" applyBorder="1" applyAlignment="1">
      <alignment horizontal="center" vertical="center"/>
    </xf>
    <xf numFmtId="2" fontId="19" fillId="5" borderId="128" xfId="0" applyNumberFormat="1" applyFont="1" applyFill="1" applyBorder="1" applyAlignment="1">
      <alignment horizontal="center" vertical="center"/>
    </xf>
    <xf numFmtId="1" fontId="21" fillId="5" borderId="105" xfId="0" applyNumberFormat="1" applyFont="1" applyFill="1" applyBorder="1" applyAlignment="1">
      <alignment horizontal="center" vertical="center"/>
    </xf>
    <xf numFmtId="2" fontId="21" fillId="5" borderId="94" xfId="0" applyNumberFormat="1" applyFont="1" applyFill="1" applyBorder="1" applyAlignment="1">
      <alignment horizontal="center" vertical="center"/>
    </xf>
    <xf numFmtId="1" fontId="4" fillId="5" borderId="81" xfId="0" applyNumberFormat="1" applyFont="1" applyFill="1" applyBorder="1" applyAlignment="1">
      <alignment horizontal="center" vertical="center"/>
    </xf>
    <xf numFmtId="167" fontId="4" fillId="5" borderId="32" xfId="0" applyNumberFormat="1" applyFont="1" applyFill="1" applyBorder="1" applyAlignment="1">
      <alignment horizontal="center" vertical="center"/>
    </xf>
    <xf numFmtId="167" fontId="4" fillId="5" borderId="94" xfId="0" applyNumberFormat="1" applyFont="1" applyFill="1" applyBorder="1" applyAlignment="1">
      <alignment horizontal="center" vertical="center"/>
    </xf>
    <xf numFmtId="1" fontId="21" fillId="5" borderId="32" xfId="0" applyNumberFormat="1" applyFont="1" applyFill="1" applyBorder="1" applyAlignment="1">
      <alignment horizontal="center" vertical="center"/>
    </xf>
    <xf numFmtId="169" fontId="21" fillId="5" borderId="79" xfId="0" applyNumberFormat="1" applyFont="1" applyFill="1" applyBorder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43" fillId="0" borderId="78" xfId="0" applyFont="1" applyBorder="1" applyAlignment="1">
      <alignment vertical="center"/>
    </xf>
    <xf numFmtId="0" fontId="46" fillId="49" borderId="0" xfId="0" applyFont="1" applyFill="1"/>
    <xf numFmtId="0" fontId="0" fillId="49" borderId="0" xfId="0" applyFill="1"/>
    <xf numFmtId="169" fontId="0" fillId="0" borderId="0" xfId="0" applyNumberFormat="1"/>
    <xf numFmtId="9" fontId="5" fillId="8" borderId="10" xfId="22" applyFont="1" applyFill="1" applyBorder="1" applyAlignment="1">
      <alignment vertical="center"/>
    </xf>
    <xf numFmtId="0" fontId="78" fillId="8" borderId="10" xfId="0" applyFont="1" applyFill="1" applyBorder="1"/>
    <xf numFmtId="0" fontId="78" fillId="8" borderId="17" xfId="0" applyFont="1" applyFill="1" applyBorder="1"/>
    <xf numFmtId="1" fontId="28" fillId="7" borderId="3" xfId="0" applyNumberFormat="1" applyFont="1" applyFill="1" applyBorder="1" applyAlignment="1">
      <alignment horizontal="center" vertical="center"/>
    </xf>
    <xf numFmtId="9" fontId="22" fillId="7" borderId="10" xfId="22" applyFont="1" applyFill="1" applyBorder="1" applyAlignment="1">
      <alignment horizontal="center" vertical="center"/>
    </xf>
    <xf numFmtId="1" fontId="80" fillId="7" borderId="17" xfId="186" applyNumberFormat="1" applyFont="1" applyFill="1" applyBorder="1" applyAlignment="1">
      <alignment horizontal="center" vertical="center"/>
    </xf>
    <xf numFmtId="1" fontId="81" fillId="8" borderId="31" xfId="186" applyNumberFormat="1" applyFont="1" applyFill="1" applyBorder="1" applyAlignment="1">
      <alignment horizontal="center" vertical="center"/>
    </xf>
    <xf numFmtId="0" fontId="0" fillId="8" borderId="41" xfId="0" applyFill="1" applyBorder="1"/>
    <xf numFmtId="0" fontId="90" fillId="8" borderId="0" xfId="0" applyFont="1" applyFill="1" applyAlignment="1">
      <alignment horizontal="center" vertical="center"/>
    </xf>
    <xf numFmtId="1" fontId="19" fillId="8" borderId="31" xfId="0" applyNumberFormat="1" applyFont="1" applyFill="1" applyBorder="1" applyAlignment="1">
      <alignment horizontal="center" vertical="center"/>
    </xf>
    <xf numFmtId="0" fontId="21" fillId="8" borderId="31" xfId="0" quotePrefix="1" applyFont="1" applyFill="1" applyBorder="1" applyAlignment="1">
      <alignment horizontal="center" vertical="center"/>
    </xf>
    <xf numFmtId="0" fontId="91" fillId="8" borderId="31" xfId="0" applyFont="1" applyFill="1" applyBorder="1" applyAlignment="1">
      <alignment horizontal="center" vertical="center"/>
    </xf>
    <xf numFmtId="0" fontId="91" fillId="8" borderId="32" xfId="0" applyFont="1" applyFill="1" applyBorder="1" applyAlignment="1">
      <alignment horizontal="center" vertical="center"/>
    </xf>
    <xf numFmtId="0" fontId="27" fillId="8" borderId="10" xfId="0" applyFont="1" applyFill="1" applyBorder="1" applyAlignment="1">
      <alignment horizontal="center" vertical="center"/>
    </xf>
    <xf numFmtId="0" fontId="57" fillId="8" borderId="0" xfId="0" applyFont="1" applyFill="1"/>
    <xf numFmtId="1" fontId="15" fillId="8" borderId="10" xfId="0" applyNumberFormat="1" applyFont="1" applyFill="1" applyBorder="1" applyAlignment="1">
      <alignment horizontal="center" vertical="center"/>
    </xf>
    <xf numFmtId="0" fontId="35" fillId="8" borderId="0" xfId="0" applyFont="1" applyFill="1" applyAlignment="1">
      <alignment horizontal="center" vertical="center"/>
    </xf>
    <xf numFmtId="0" fontId="22" fillId="8" borderId="29" xfId="0" applyFont="1" applyFill="1" applyBorder="1" applyAlignment="1">
      <alignment horizontal="center" vertical="center"/>
    </xf>
    <xf numFmtId="1" fontId="19" fillId="8" borderId="69" xfId="0" applyNumberFormat="1" applyFont="1" applyFill="1" applyBorder="1" applyAlignment="1">
      <alignment horizontal="center" vertical="center"/>
    </xf>
    <xf numFmtId="0" fontId="21" fillId="8" borderId="3" xfId="0" applyFont="1" applyFill="1" applyBorder="1" applyAlignment="1">
      <alignment horizontal="center" vertical="center"/>
    </xf>
    <xf numFmtId="0" fontId="46" fillId="8" borderId="41" xfId="0" applyFont="1" applyFill="1" applyBorder="1"/>
    <xf numFmtId="167" fontId="46" fillId="8" borderId="23" xfId="0" applyNumberFormat="1" applyFont="1" applyFill="1" applyBorder="1"/>
    <xf numFmtId="167" fontId="46" fillId="8" borderId="41" xfId="0" applyNumberFormat="1" applyFont="1" applyFill="1" applyBorder="1"/>
    <xf numFmtId="167" fontId="46" fillId="8" borderId="10" xfId="0" applyNumberFormat="1" applyFont="1" applyFill="1" applyBorder="1"/>
    <xf numFmtId="1" fontId="46" fillId="8" borderId="5" xfId="0" applyNumberFormat="1" applyFont="1" applyFill="1" applyBorder="1" applyAlignment="1">
      <alignment horizontal="center" vertical="center"/>
    </xf>
    <xf numFmtId="167" fontId="46" fillId="8" borderId="10" xfId="0" applyNumberFormat="1" applyFont="1" applyFill="1" applyBorder="1" applyAlignment="1">
      <alignment horizontal="center" vertical="center"/>
    </xf>
    <xf numFmtId="0" fontId="22" fillId="8" borderId="101" xfId="0" applyFont="1" applyFill="1" applyBorder="1" applyAlignment="1">
      <alignment horizontal="center" vertical="center"/>
    </xf>
    <xf numFmtId="0" fontId="3" fillId="8" borderId="24" xfId="0" applyFont="1" applyFill="1" applyBorder="1"/>
    <xf numFmtId="1" fontId="19" fillId="8" borderId="25" xfId="0" applyNumberFormat="1" applyFont="1" applyFill="1" applyBorder="1" applyAlignment="1">
      <alignment vertical="center"/>
    </xf>
    <xf numFmtId="0" fontId="3" fillId="8" borderId="129" xfId="0" applyFont="1" applyFill="1" applyBorder="1"/>
    <xf numFmtId="0" fontId="4" fillId="8" borderId="47" xfId="0" applyFont="1" applyFill="1" applyBorder="1" applyAlignment="1">
      <alignment vertical="center"/>
    </xf>
    <xf numFmtId="169" fontId="5" fillId="8" borderId="47" xfId="0" applyNumberFormat="1" applyFont="1" applyFill="1" applyBorder="1" applyAlignment="1">
      <alignment vertical="center"/>
    </xf>
    <xf numFmtId="0" fontId="3" fillId="8" borderId="131" xfId="0" applyFont="1" applyFill="1" applyBorder="1"/>
    <xf numFmtId="0" fontId="121" fillId="8" borderId="0" xfId="0" applyFont="1" applyFill="1" applyAlignment="1">
      <alignment horizontal="center" vertical="center"/>
    </xf>
    <xf numFmtId="0" fontId="48" fillId="8" borderId="10" xfId="0" applyFont="1" applyFill="1" applyBorder="1" applyAlignment="1">
      <alignment horizontal="center" vertical="center"/>
    </xf>
    <xf numFmtId="1" fontId="21" fillId="5" borderId="62" xfId="0" applyNumberFormat="1" applyFont="1" applyFill="1" applyBorder="1" applyAlignment="1">
      <alignment horizontal="center" vertical="center"/>
    </xf>
    <xf numFmtId="167" fontId="19" fillId="5" borderId="5" xfId="0" applyNumberFormat="1" applyFont="1" applyFill="1" applyBorder="1" applyAlignment="1">
      <alignment horizontal="center" vertical="center"/>
    </xf>
    <xf numFmtId="1" fontId="22" fillId="0" borderId="85" xfId="0" applyNumberFormat="1" applyFont="1" applyBorder="1" applyAlignment="1">
      <alignment horizontal="center" vertical="center"/>
    </xf>
    <xf numFmtId="1" fontId="22" fillId="7" borderId="2" xfId="0" applyNumberFormat="1" applyFont="1" applyFill="1" applyBorder="1" applyAlignment="1">
      <alignment horizontal="center" vertical="center"/>
    </xf>
    <xf numFmtId="1" fontId="22" fillId="7" borderId="85" xfId="0" applyNumberFormat="1" applyFont="1" applyFill="1" applyBorder="1" applyAlignment="1">
      <alignment horizontal="center" vertical="center"/>
    </xf>
    <xf numFmtId="1" fontId="22" fillId="0" borderId="76" xfId="0" applyNumberFormat="1" applyFont="1" applyBorder="1" applyAlignment="1">
      <alignment horizontal="center" vertical="center"/>
    </xf>
    <xf numFmtId="167" fontId="21" fillId="5" borderId="74" xfId="0" applyNumberFormat="1" applyFont="1" applyFill="1" applyBorder="1" applyAlignment="1">
      <alignment horizontal="center" vertical="center"/>
    </xf>
    <xf numFmtId="167" fontId="21" fillId="5" borderId="71" xfId="0" applyNumberFormat="1" applyFont="1" applyFill="1" applyBorder="1" applyAlignment="1">
      <alignment horizontal="center" vertical="center"/>
    </xf>
    <xf numFmtId="167" fontId="22" fillId="5" borderId="1" xfId="0" applyNumberFormat="1" applyFont="1" applyFill="1" applyBorder="1" applyAlignment="1">
      <alignment horizontal="center" vertical="center"/>
    </xf>
    <xf numFmtId="167" fontId="22" fillId="5" borderId="13" xfId="0" applyNumberFormat="1" applyFont="1" applyFill="1" applyBorder="1" applyAlignment="1">
      <alignment horizontal="center" vertical="center"/>
    </xf>
    <xf numFmtId="167" fontId="21" fillId="5" borderId="52" xfId="0" applyNumberFormat="1" applyFont="1" applyFill="1" applyBorder="1" applyAlignment="1">
      <alignment horizontal="center" vertical="center"/>
    </xf>
    <xf numFmtId="167" fontId="21" fillId="5" borderId="35" xfId="0" applyNumberFormat="1" applyFont="1" applyFill="1" applyBorder="1" applyAlignment="1">
      <alignment horizontal="center" vertical="center"/>
    </xf>
    <xf numFmtId="1" fontId="22" fillId="5" borderId="76" xfId="0" applyNumberFormat="1" applyFont="1" applyFill="1" applyBorder="1" applyAlignment="1">
      <alignment horizontal="center" vertical="center"/>
    </xf>
    <xf numFmtId="1" fontId="22" fillId="5" borderId="85" xfId="0" applyNumberFormat="1" applyFont="1" applyFill="1" applyBorder="1" applyAlignment="1">
      <alignment horizontal="center" vertical="center"/>
    </xf>
    <xf numFmtId="1" fontId="21" fillId="5" borderId="73" xfId="0" applyNumberFormat="1" applyFont="1" applyFill="1" applyBorder="1" applyAlignment="1">
      <alignment horizontal="center" vertical="center"/>
    </xf>
    <xf numFmtId="167" fontId="21" fillId="5" borderId="63" xfId="0" applyNumberFormat="1" applyFont="1" applyFill="1" applyBorder="1" applyAlignment="1">
      <alignment horizontal="center" vertical="center"/>
    </xf>
    <xf numFmtId="167" fontId="21" fillId="5" borderId="62" xfId="0" applyNumberFormat="1" applyFont="1" applyFill="1" applyBorder="1" applyAlignment="1">
      <alignment horizontal="center" vertical="center"/>
    </xf>
    <xf numFmtId="1" fontId="21" fillId="5" borderId="58" xfId="0" applyNumberFormat="1" applyFont="1" applyFill="1" applyBorder="1" applyAlignment="1">
      <alignment horizontal="center" vertical="center"/>
    </xf>
    <xf numFmtId="1" fontId="21" fillId="5" borderId="50" xfId="0" applyNumberFormat="1" applyFont="1" applyFill="1" applyBorder="1" applyAlignment="1">
      <alignment horizontal="center" vertical="center"/>
    </xf>
    <xf numFmtId="1" fontId="21" fillId="5" borderId="54" xfId="0" applyNumberFormat="1" applyFont="1" applyFill="1" applyBorder="1" applyAlignment="1">
      <alignment horizontal="center" vertical="center"/>
    </xf>
    <xf numFmtId="1" fontId="19" fillId="5" borderId="76" xfId="0" applyNumberFormat="1" applyFont="1" applyFill="1" applyBorder="1" applyAlignment="1">
      <alignment horizontal="center" vertical="center"/>
    </xf>
    <xf numFmtId="1" fontId="19" fillId="5" borderId="85" xfId="0" applyNumberFormat="1" applyFont="1" applyFill="1" applyBorder="1" applyAlignment="1">
      <alignment horizontal="center" vertical="center"/>
    </xf>
    <xf numFmtId="167" fontId="19" fillId="5" borderId="31" xfId="0" applyNumberFormat="1" applyFont="1" applyFill="1" applyBorder="1" applyAlignment="1">
      <alignment horizontal="center" vertical="center"/>
    </xf>
    <xf numFmtId="167" fontId="19" fillId="5" borderId="17" xfId="0" applyNumberFormat="1" applyFont="1" applyFill="1" applyBorder="1" applyAlignment="1">
      <alignment horizontal="center" vertical="center"/>
    </xf>
    <xf numFmtId="1" fontId="19" fillId="5" borderId="13" xfId="0" applyNumberFormat="1" applyFont="1" applyFill="1" applyBorder="1" applyAlignment="1">
      <alignment horizontal="center" vertical="center"/>
    </xf>
    <xf numFmtId="1" fontId="19" fillId="5" borderId="74" xfId="0" applyNumberFormat="1" applyFont="1" applyFill="1" applyBorder="1" applyAlignment="1">
      <alignment horizontal="center" vertical="center"/>
    </xf>
    <xf numFmtId="1" fontId="19" fillId="5" borderId="16" xfId="0" applyNumberFormat="1" applyFont="1" applyFill="1" applyBorder="1" applyAlignment="1">
      <alignment horizontal="center" vertical="center"/>
    </xf>
    <xf numFmtId="1" fontId="21" fillId="5" borderId="22" xfId="0" applyNumberFormat="1" applyFont="1" applyFill="1" applyBorder="1" applyAlignment="1">
      <alignment horizontal="center" vertical="center"/>
    </xf>
    <xf numFmtId="167" fontId="21" fillId="5" borderId="12" xfId="0" applyNumberFormat="1" applyFont="1" applyFill="1" applyBorder="1" applyAlignment="1">
      <alignment horizontal="center" vertical="center"/>
    </xf>
    <xf numFmtId="169" fontId="21" fillId="5" borderId="33" xfId="0" applyNumberFormat="1" applyFont="1" applyFill="1" applyBorder="1" applyAlignment="1">
      <alignment horizontal="center" vertical="center"/>
    </xf>
    <xf numFmtId="2" fontId="21" fillId="5" borderId="63" xfId="0" applyNumberFormat="1" applyFont="1" applyFill="1" applyBorder="1" applyAlignment="1">
      <alignment horizontal="center" vertical="center"/>
    </xf>
    <xf numFmtId="2" fontId="21" fillId="5" borderId="31" xfId="0" applyNumberFormat="1" applyFont="1" applyFill="1" applyBorder="1" applyAlignment="1">
      <alignment horizontal="center"/>
    </xf>
    <xf numFmtId="2" fontId="21" fillId="5" borderId="17" xfId="0" applyNumberFormat="1" applyFont="1" applyFill="1" applyBorder="1" applyAlignment="1">
      <alignment horizontal="center"/>
    </xf>
    <xf numFmtId="167" fontId="4" fillId="5" borderId="1" xfId="0" applyNumberFormat="1" applyFont="1" applyFill="1" applyBorder="1" applyAlignment="1">
      <alignment horizontal="center" vertical="center"/>
    </xf>
    <xf numFmtId="167" fontId="4" fillId="5" borderId="11" xfId="0" applyNumberFormat="1" applyFont="1" applyFill="1" applyBorder="1" applyAlignment="1">
      <alignment horizontal="center" vertical="center"/>
    </xf>
    <xf numFmtId="1" fontId="147" fillId="8" borderId="0" xfId="186" applyNumberFormat="1" applyFont="1" applyFill="1" applyAlignment="1">
      <alignment horizontal="center" vertical="center"/>
    </xf>
    <xf numFmtId="1" fontId="103" fillId="7" borderId="17" xfId="0" applyNumberFormat="1" applyFont="1" applyFill="1" applyBorder="1" applyAlignment="1">
      <alignment horizontal="center" vertical="center"/>
    </xf>
    <xf numFmtId="0" fontId="22" fillId="50" borderId="4" xfId="0" applyFont="1" applyFill="1" applyBorder="1" applyAlignment="1">
      <alignment horizontal="center" vertical="center"/>
    </xf>
    <xf numFmtId="0" fontId="22" fillId="50" borderId="26" xfId="0" applyFont="1" applyFill="1" applyBorder="1" applyAlignment="1">
      <alignment horizontal="center" vertical="center"/>
    </xf>
    <xf numFmtId="1" fontId="4" fillId="5" borderId="63" xfId="0" applyNumberFormat="1" applyFont="1" applyFill="1" applyBorder="1" applyAlignment="1">
      <alignment horizontal="center" vertical="center"/>
    </xf>
    <xf numFmtId="1" fontId="19" fillId="5" borderId="63" xfId="0" quotePrefix="1" applyNumberFormat="1" applyFont="1" applyFill="1" applyBorder="1" applyAlignment="1">
      <alignment horizontal="center" vertical="center"/>
    </xf>
    <xf numFmtId="0" fontId="118" fillId="8" borderId="41" xfId="0" applyFont="1" applyFill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1" fillId="8" borderId="0" xfId="0" applyNumberFormat="1" applyFont="1" applyFill="1"/>
    <xf numFmtId="2" fontId="21" fillId="8" borderId="48" xfId="0" applyNumberFormat="1" applyFont="1" applyFill="1" applyBorder="1" applyAlignment="1">
      <alignment horizontal="center" vertical="center"/>
    </xf>
    <xf numFmtId="1" fontId="46" fillId="8" borderId="41" xfId="0" applyNumberFormat="1" applyFont="1" applyFill="1" applyBorder="1" applyAlignment="1">
      <alignment horizontal="center" vertical="center"/>
    </xf>
    <xf numFmtId="1" fontId="19" fillId="8" borderId="53" xfId="0" applyNumberFormat="1" applyFont="1" applyFill="1" applyBorder="1" applyAlignment="1">
      <alignment horizontal="center" vertical="center"/>
    </xf>
    <xf numFmtId="2" fontId="46" fillId="8" borderId="10" xfId="0" applyNumberFormat="1" applyFont="1" applyFill="1" applyBorder="1" applyAlignment="1">
      <alignment horizontal="center" vertical="center"/>
    </xf>
    <xf numFmtId="1" fontId="3" fillId="0" borderId="132" xfId="0" applyNumberFormat="1" applyFont="1" applyBorder="1"/>
    <xf numFmtId="0" fontId="33" fillId="0" borderId="75" xfId="0" applyFont="1" applyBorder="1" applyAlignment="1">
      <alignment vertical="center"/>
    </xf>
    <xf numFmtId="167" fontId="7" fillId="8" borderId="17" xfId="0" applyNumberFormat="1" applyFont="1" applyFill="1" applyBorder="1" applyAlignment="1">
      <alignment horizontal="center" vertical="center"/>
    </xf>
    <xf numFmtId="0" fontId="149" fillId="8" borderId="0" xfId="186" applyFont="1" applyFill="1" applyAlignment="1">
      <alignment horizontal="center" vertical="center"/>
    </xf>
    <xf numFmtId="1" fontId="20" fillId="48" borderId="10" xfId="0" applyNumberFormat="1" applyFont="1" applyFill="1" applyBorder="1" applyAlignment="1">
      <alignment horizontal="center" vertical="center"/>
    </xf>
    <xf numFmtId="1" fontId="21" fillId="7" borderId="24" xfId="0" applyNumberFormat="1" applyFont="1" applyFill="1" applyBorder="1" applyAlignment="1">
      <alignment horizontal="center" vertical="center"/>
    </xf>
    <xf numFmtId="167" fontId="19" fillId="8" borderId="73" xfId="0" applyNumberFormat="1" applyFont="1" applyFill="1" applyBorder="1" applyAlignment="1">
      <alignment horizontal="center" vertical="center"/>
    </xf>
    <xf numFmtId="1" fontId="19" fillId="8" borderId="21" xfId="0" applyNumberFormat="1" applyFont="1" applyFill="1" applyBorder="1" applyAlignment="1">
      <alignment vertical="center"/>
    </xf>
    <xf numFmtId="167" fontId="21" fillId="8" borderId="50" xfId="0" applyNumberFormat="1" applyFont="1" applyFill="1" applyBorder="1" applyAlignment="1">
      <alignment horizontal="center" vertical="center"/>
    </xf>
    <xf numFmtId="0" fontId="3" fillId="8" borderId="130" xfId="0" applyFont="1" applyFill="1" applyBorder="1"/>
    <xf numFmtId="0" fontId="4" fillId="8" borderId="19" xfId="0" applyFont="1" applyFill="1" applyBorder="1" applyAlignment="1">
      <alignment vertical="center"/>
    </xf>
    <xf numFmtId="0" fontId="30" fillId="8" borderId="61" xfId="0" applyFont="1" applyFill="1" applyBorder="1" applyAlignment="1">
      <alignment vertical="center"/>
    </xf>
    <xf numFmtId="1" fontId="19" fillId="8" borderId="42" xfId="0" applyNumberFormat="1" applyFont="1" applyFill="1" applyBorder="1" applyAlignment="1">
      <alignment horizontal="center" vertical="center"/>
    </xf>
    <xf numFmtId="1" fontId="4" fillId="8" borderId="54" xfId="0" applyNumberFormat="1" applyFont="1" applyFill="1" applyBorder="1" applyAlignment="1">
      <alignment horizontal="center" vertical="center"/>
    </xf>
    <xf numFmtId="0" fontId="41" fillId="8" borderId="61" xfId="0" applyFont="1" applyFill="1" applyBorder="1" applyAlignment="1">
      <alignment vertical="center"/>
    </xf>
    <xf numFmtId="167" fontId="4" fillId="8" borderId="17" xfId="0" applyNumberFormat="1" applyFont="1" applyFill="1" applyBorder="1" applyAlignment="1">
      <alignment horizontal="center" vertical="center"/>
    </xf>
    <xf numFmtId="169" fontId="5" fillId="8" borderId="19" xfId="0" applyNumberFormat="1" applyFont="1" applyFill="1" applyBorder="1" applyAlignment="1">
      <alignment vertical="center"/>
    </xf>
    <xf numFmtId="167" fontId="21" fillId="8" borderId="72" xfId="0" applyNumberFormat="1" applyFont="1" applyFill="1" applyBorder="1" applyAlignment="1">
      <alignment horizontal="center" vertical="center"/>
    </xf>
    <xf numFmtId="1" fontId="3" fillId="8" borderId="132" xfId="0" applyNumberFormat="1" applyFont="1" applyFill="1" applyBorder="1"/>
    <xf numFmtId="167" fontId="21" fillId="8" borderId="27" xfId="0" applyNumberFormat="1" applyFont="1" applyFill="1" applyBorder="1" applyAlignment="1">
      <alignment horizontal="center" vertical="center"/>
    </xf>
    <xf numFmtId="167" fontId="4" fillId="8" borderId="27" xfId="0" applyNumberFormat="1" applyFont="1" applyFill="1" applyBorder="1" applyAlignment="1">
      <alignment horizontal="center" vertical="center"/>
    </xf>
    <xf numFmtId="0" fontId="79" fillId="8" borderId="0" xfId="186" applyFill="1" applyAlignment="1">
      <alignment horizontal="left" vertical="center"/>
    </xf>
    <xf numFmtId="1" fontId="149" fillId="8" borderId="0" xfId="186" applyNumberFormat="1" applyFont="1" applyFill="1" applyAlignment="1">
      <alignment horizontal="center" vertical="center"/>
    </xf>
    <xf numFmtId="1" fontId="21" fillId="5" borderId="66" xfId="0" applyNumberFormat="1" applyFont="1" applyFill="1" applyBorder="1" applyAlignment="1">
      <alignment horizontal="center" vertical="center"/>
    </xf>
    <xf numFmtId="1" fontId="19" fillId="5" borderId="67" xfId="0" applyNumberFormat="1" applyFont="1" applyFill="1" applyBorder="1" applyAlignment="1">
      <alignment horizontal="center" vertical="center"/>
    </xf>
    <xf numFmtId="1" fontId="28" fillId="8" borderId="65" xfId="0" applyNumberFormat="1" applyFont="1" applyFill="1" applyBorder="1" applyAlignment="1">
      <alignment horizontal="center" vertical="center"/>
    </xf>
    <xf numFmtId="0" fontId="28" fillId="8" borderId="12" xfId="0" applyFont="1" applyFill="1" applyBorder="1" applyAlignment="1">
      <alignment horizontal="left" vertical="center"/>
    </xf>
    <xf numFmtId="0" fontId="15" fillId="8" borderId="12" xfId="0" applyFont="1" applyFill="1" applyBorder="1" applyAlignment="1">
      <alignment horizontal="right" vertical="center"/>
    </xf>
    <xf numFmtId="0" fontId="28" fillId="8" borderId="20" xfId="0" applyFont="1" applyFill="1" applyBorder="1" applyAlignment="1">
      <alignment horizontal="left" vertical="center"/>
    </xf>
    <xf numFmtId="0" fontId="15" fillId="8" borderId="13" xfId="0" applyFont="1" applyFill="1" applyBorder="1" applyAlignment="1">
      <alignment horizontal="left" vertical="center"/>
    </xf>
    <xf numFmtId="0" fontId="28" fillId="8" borderId="40" xfId="0" applyFont="1" applyFill="1" applyBorder="1" applyAlignment="1">
      <alignment horizontal="left" vertical="center"/>
    </xf>
    <xf numFmtId="0" fontId="28" fillId="8" borderId="18" xfId="0" applyFont="1" applyFill="1" applyBorder="1" applyAlignment="1">
      <alignment horizontal="left" vertical="center"/>
    </xf>
    <xf numFmtId="0" fontId="28" fillId="8" borderId="60" xfId="0" applyFont="1" applyFill="1" applyBorder="1" applyAlignment="1">
      <alignment horizontal="left" vertical="center"/>
    </xf>
    <xf numFmtId="0" fontId="15" fillId="8" borderId="20" xfId="0" applyFont="1" applyFill="1" applyBorder="1" applyAlignment="1">
      <alignment horizontal="right" vertical="center"/>
    </xf>
    <xf numFmtId="0" fontId="28" fillId="8" borderId="22" xfId="0" applyFont="1" applyFill="1" applyBorder="1" applyAlignment="1">
      <alignment horizontal="left" vertical="center"/>
    </xf>
    <xf numFmtId="1" fontId="21" fillId="6" borderId="30" xfId="0" applyNumberFormat="1" applyFont="1" applyFill="1" applyBorder="1" applyAlignment="1">
      <alignment horizontal="center" vertical="center"/>
    </xf>
    <xf numFmtId="167" fontId="22" fillId="5" borderId="5" xfId="0" applyNumberFormat="1" applyFont="1" applyFill="1" applyBorder="1" applyAlignment="1">
      <alignment horizontal="center" vertical="center"/>
    </xf>
    <xf numFmtId="167" fontId="22" fillId="6" borderId="5" xfId="0" applyNumberFormat="1" applyFont="1" applyFill="1" applyBorder="1" applyAlignment="1">
      <alignment horizontal="center" vertical="center"/>
    </xf>
    <xf numFmtId="167" fontId="21" fillId="6" borderId="52" xfId="0" applyNumberFormat="1" applyFont="1" applyFill="1" applyBorder="1" applyAlignment="1">
      <alignment horizontal="center" vertical="center"/>
    </xf>
    <xf numFmtId="167" fontId="21" fillId="6" borderId="63" xfId="0" applyNumberFormat="1" applyFont="1" applyFill="1" applyBorder="1" applyAlignment="1">
      <alignment horizontal="center" vertical="center"/>
    </xf>
    <xf numFmtId="167" fontId="21" fillId="6" borderId="62" xfId="0" applyNumberFormat="1" applyFont="1" applyFill="1" applyBorder="1" applyAlignment="1">
      <alignment horizontal="center" vertical="center"/>
    </xf>
    <xf numFmtId="2" fontId="21" fillId="6" borderId="63" xfId="0" applyNumberFormat="1" applyFont="1" applyFill="1" applyBorder="1" applyAlignment="1">
      <alignment horizontal="center" vertical="center"/>
    </xf>
    <xf numFmtId="2" fontId="21" fillId="6" borderId="31" xfId="0" applyNumberFormat="1" applyFont="1" applyFill="1" applyBorder="1" applyAlignment="1">
      <alignment horizontal="center"/>
    </xf>
    <xf numFmtId="170" fontId="12" fillId="6" borderId="10" xfId="0" applyNumberFormat="1" applyFont="1" applyFill="1" applyBorder="1" applyAlignment="1">
      <alignment horizontal="center" vertical="center"/>
    </xf>
    <xf numFmtId="9" fontId="22" fillId="6" borderId="10" xfId="22" applyFont="1" applyFill="1" applyBorder="1" applyAlignment="1">
      <alignment horizontal="center" vertical="center"/>
    </xf>
    <xf numFmtId="2" fontId="46" fillId="7" borderId="10" xfId="22" applyNumberFormat="1" applyFont="1" applyFill="1" applyBorder="1" applyAlignment="1">
      <alignment horizontal="center" vertical="center"/>
    </xf>
    <xf numFmtId="1" fontId="19" fillId="44" borderId="10" xfId="0" applyNumberFormat="1" applyFont="1" applyFill="1" applyBorder="1" applyAlignment="1">
      <alignment horizontal="center" vertical="center"/>
    </xf>
    <xf numFmtId="167" fontId="19" fillId="44" borderId="10" xfId="0" applyNumberFormat="1" applyFont="1" applyFill="1" applyBorder="1" applyAlignment="1">
      <alignment horizontal="center" vertical="center"/>
    </xf>
    <xf numFmtId="1" fontId="22" fillId="44" borderId="10" xfId="0" applyNumberFormat="1" applyFont="1" applyFill="1" applyBorder="1" applyAlignment="1">
      <alignment horizontal="center" vertical="center"/>
    </xf>
    <xf numFmtId="9" fontId="22" fillId="44" borderId="10" xfId="22" applyFont="1" applyFill="1" applyBorder="1" applyAlignment="1">
      <alignment horizontal="center" vertical="center"/>
    </xf>
    <xf numFmtId="1" fontId="28" fillId="0" borderId="59" xfId="0" applyNumberFormat="1" applyFont="1" applyBorder="1" applyAlignment="1">
      <alignment horizontal="center" vertical="center"/>
    </xf>
    <xf numFmtId="0" fontId="27" fillId="44" borderId="25" xfId="0" applyFont="1" applyFill="1" applyBorder="1" applyAlignment="1">
      <alignment horizontal="center" vertical="center"/>
    </xf>
    <xf numFmtId="0" fontId="27" fillId="44" borderId="13" xfId="0" applyFont="1" applyFill="1" applyBorder="1" applyAlignment="1">
      <alignment horizontal="center" vertical="center"/>
    </xf>
    <xf numFmtId="1" fontId="12" fillId="44" borderId="47" xfId="0" applyNumberFormat="1" applyFont="1" applyFill="1" applyBorder="1" applyAlignment="1">
      <alignment horizontal="center"/>
    </xf>
    <xf numFmtId="1" fontId="12" fillId="44" borderId="12" xfId="0" applyNumberFormat="1" applyFont="1" applyFill="1" applyBorder="1" applyAlignment="1">
      <alignment horizontal="center"/>
    </xf>
    <xf numFmtId="1" fontId="22" fillId="44" borderId="25" xfId="0" applyNumberFormat="1" applyFont="1" applyFill="1" applyBorder="1" applyAlignment="1">
      <alignment horizontal="center"/>
    </xf>
    <xf numFmtId="1" fontId="22" fillId="44" borderId="13" xfId="0" applyNumberFormat="1" applyFont="1" applyFill="1" applyBorder="1" applyAlignment="1">
      <alignment horizontal="center"/>
    </xf>
    <xf numFmtId="1" fontId="27" fillId="44" borderId="25" xfId="0" applyNumberFormat="1" applyFont="1" applyFill="1" applyBorder="1" applyAlignment="1">
      <alignment horizontal="center"/>
    </xf>
    <xf numFmtId="1" fontId="27" fillId="44" borderId="13" xfId="0" applyNumberFormat="1" applyFont="1" applyFill="1" applyBorder="1" applyAlignment="1">
      <alignment horizontal="center"/>
    </xf>
    <xf numFmtId="1" fontId="22" fillId="44" borderId="51" xfId="0" applyNumberFormat="1" applyFont="1" applyFill="1" applyBorder="1" applyAlignment="1">
      <alignment horizontal="center"/>
    </xf>
    <xf numFmtId="1" fontId="22" fillId="44" borderId="20" xfId="0" applyNumberFormat="1" applyFont="1" applyFill="1" applyBorder="1" applyAlignment="1">
      <alignment horizontal="center"/>
    </xf>
    <xf numFmtId="0" fontId="37" fillId="8" borderId="10" xfId="0" applyFont="1" applyFill="1" applyBorder="1"/>
    <xf numFmtId="167" fontId="19" fillId="0" borderId="37" xfId="0" applyNumberFormat="1" applyFont="1" applyBorder="1" applyAlignment="1">
      <alignment horizontal="center" vertical="center"/>
    </xf>
    <xf numFmtId="167" fontId="21" fillId="7" borderId="10" xfId="0" applyNumberFormat="1" applyFont="1" applyFill="1" applyBorder="1" applyAlignment="1">
      <alignment vertical="center"/>
    </xf>
    <xf numFmtId="167" fontId="19" fillId="7" borderId="10" xfId="0" applyNumberFormat="1" applyFont="1" applyFill="1" applyBorder="1" applyAlignment="1">
      <alignment vertical="center"/>
    </xf>
    <xf numFmtId="167" fontId="19" fillId="7" borderId="45" xfId="0" applyNumberFormat="1" applyFont="1" applyFill="1" applyBorder="1" applyAlignment="1">
      <alignment vertical="center"/>
    </xf>
    <xf numFmtId="167" fontId="19" fillId="8" borderId="45" xfId="0" applyNumberFormat="1" applyFont="1" applyFill="1" applyBorder="1" applyAlignment="1">
      <alignment vertical="center"/>
    </xf>
    <xf numFmtId="164" fontId="153" fillId="8" borderId="62" xfId="0" quotePrefix="1" applyNumberFormat="1" applyFont="1" applyFill="1" applyBorder="1" applyAlignment="1">
      <alignment horizontal="left" vertical="center"/>
    </xf>
    <xf numFmtId="0" fontId="152" fillId="8" borderId="75" xfId="0" applyFont="1" applyFill="1" applyBorder="1" applyAlignment="1">
      <alignment horizontal="left" vertical="center"/>
    </xf>
    <xf numFmtId="0" fontId="153" fillId="0" borderId="37" xfId="0" applyFont="1" applyBorder="1" applyAlignment="1">
      <alignment horizontal="center" vertical="center"/>
    </xf>
    <xf numFmtId="0" fontId="152" fillId="0" borderId="75" xfId="0" applyFont="1" applyBorder="1" applyAlignment="1">
      <alignment horizontal="left" vertical="center"/>
    </xf>
    <xf numFmtId="164" fontId="153" fillId="0" borderId="62" xfId="0" quotePrefix="1" applyNumberFormat="1" applyFont="1" applyBorder="1" applyAlignment="1">
      <alignment horizontal="left" vertical="center"/>
    </xf>
    <xf numFmtId="164" fontId="154" fillId="8" borderId="62" xfId="0" quotePrefix="1" applyNumberFormat="1" applyFont="1" applyFill="1" applyBorder="1" applyAlignment="1">
      <alignment horizontal="left" vertical="center"/>
    </xf>
    <xf numFmtId="164" fontId="154" fillId="8" borderId="75" xfId="0" quotePrefix="1" applyNumberFormat="1" applyFont="1" applyFill="1" applyBorder="1" applyAlignment="1">
      <alignment horizontal="left" vertical="center"/>
    </xf>
    <xf numFmtId="0" fontId="154" fillId="0" borderId="37" xfId="0" applyFont="1" applyBorder="1" applyAlignment="1">
      <alignment horizontal="center" vertical="center"/>
    </xf>
    <xf numFmtId="164" fontId="154" fillId="0" borderId="62" xfId="0" quotePrefix="1" applyNumberFormat="1" applyFont="1" applyBorder="1" applyAlignment="1">
      <alignment horizontal="left" vertical="center"/>
    </xf>
    <xf numFmtId="164" fontId="154" fillId="0" borderId="75" xfId="0" quotePrefix="1" applyNumberFormat="1" applyFont="1" applyBorder="1" applyAlignment="1">
      <alignment horizontal="left" vertical="center"/>
    </xf>
    <xf numFmtId="0" fontId="154" fillId="0" borderId="65" xfId="0" applyFont="1" applyBorder="1" applyAlignment="1">
      <alignment horizontal="center" vertical="center"/>
    </xf>
    <xf numFmtId="164" fontId="154" fillId="0" borderId="31" xfId="0" quotePrefix="1" applyNumberFormat="1" applyFont="1" applyBorder="1" applyAlignment="1">
      <alignment horizontal="left" vertical="center"/>
    </xf>
    <xf numFmtId="164" fontId="154" fillId="0" borderId="6" xfId="0" quotePrefix="1" applyNumberFormat="1" applyFont="1" applyBorder="1" applyAlignment="1">
      <alignment horizontal="left" vertical="center"/>
    </xf>
    <xf numFmtId="164" fontId="154" fillId="0" borderId="74" xfId="0" quotePrefix="1" applyNumberFormat="1" applyFont="1" applyBorder="1" applyAlignment="1">
      <alignment horizontal="left" vertical="center"/>
    </xf>
    <xf numFmtId="164" fontId="154" fillId="0" borderId="0" xfId="0" quotePrefix="1" applyNumberFormat="1" applyFont="1" applyAlignment="1">
      <alignment horizontal="left" vertical="center"/>
    </xf>
    <xf numFmtId="0" fontId="154" fillId="0" borderId="64" xfId="0" applyFont="1" applyBorder="1" applyAlignment="1">
      <alignment horizontal="center" vertical="center"/>
    </xf>
    <xf numFmtId="164" fontId="38" fillId="0" borderId="12" xfId="0" quotePrefix="1" applyNumberFormat="1" applyFont="1" applyBorder="1" applyAlignment="1">
      <alignment horizontal="left" vertical="center"/>
    </xf>
    <xf numFmtId="164" fontId="38" fillId="0" borderId="29" xfId="0" quotePrefix="1" applyNumberFormat="1" applyFont="1" applyBorder="1" applyAlignment="1">
      <alignment horizontal="left" vertical="center"/>
    </xf>
    <xf numFmtId="164" fontId="38" fillId="0" borderId="20" xfId="0" quotePrefix="1" applyNumberFormat="1" applyFont="1" applyBorder="1" applyAlignment="1">
      <alignment horizontal="left" vertical="center"/>
    </xf>
    <xf numFmtId="0" fontId="0" fillId="0" borderId="0" xfId="0" quotePrefix="1"/>
    <xf numFmtId="164" fontId="38" fillId="8" borderId="47" xfId="0" quotePrefix="1" applyNumberFormat="1" applyFont="1" applyFill="1" applyBorder="1" applyAlignment="1">
      <alignment horizontal="left" vertical="center"/>
    </xf>
    <xf numFmtId="164" fontId="21" fillId="8" borderId="6" xfId="0" quotePrefix="1" applyNumberFormat="1" applyFont="1" applyFill="1" applyBorder="1" applyAlignment="1">
      <alignment horizontal="left" vertical="center"/>
    </xf>
    <xf numFmtId="1" fontId="0" fillId="0" borderId="0" xfId="0" applyNumberFormat="1" applyAlignment="1">
      <alignment horizontal="center" vertical="center"/>
    </xf>
    <xf numFmtId="0" fontId="0" fillId="49" borderId="10" xfId="0" applyFill="1" applyBorder="1"/>
    <xf numFmtId="1" fontId="0" fillId="49" borderId="10" xfId="0" applyNumberFormat="1" applyFill="1" applyBorder="1" applyAlignment="1">
      <alignment horizontal="center" vertical="center"/>
    </xf>
    <xf numFmtId="0" fontId="48" fillId="49" borderId="10" xfId="0" applyFont="1" applyFill="1" applyBorder="1"/>
    <xf numFmtId="0" fontId="46" fillId="49" borderId="10" xfId="0" applyFont="1" applyFill="1" applyBorder="1"/>
    <xf numFmtId="1" fontId="46" fillId="49" borderId="10" xfId="0" applyNumberFormat="1" applyFont="1" applyFill="1" applyBorder="1" applyAlignment="1">
      <alignment horizontal="center"/>
    </xf>
    <xf numFmtId="167" fontId="28" fillId="7" borderId="10" xfId="0" applyNumberFormat="1" applyFont="1" applyFill="1" applyBorder="1" applyAlignment="1">
      <alignment horizontal="center" vertical="center"/>
    </xf>
    <xf numFmtId="1" fontId="28" fillId="7" borderId="10" xfId="0" applyNumberFormat="1" applyFont="1" applyFill="1" applyBorder="1" applyAlignment="1">
      <alignment horizontal="center" vertical="center"/>
    </xf>
    <xf numFmtId="167" fontId="19" fillId="8" borderId="29" xfId="0" applyNumberFormat="1" applyFont="1" applyFill="1" applyBorder="1" applyAlignment="1">
      <alignment horizontal="center" vertical="center"/>
    </xf>
    <xf numFmtId="167" fontId="0" fillId="8" borderId="0" xfId="0" applyNumberFormat="1" applyFill="1"/>
    <xf numFmtId="0" fontId="19" fillId="0" borderId="45" xfId="0" applyFont="1" applyBorder="1" applyAlignment="1">
      <alignment horizontal="center" vertical="center"/>
    </xf>
    <xf numFmtId="1" fontId="19" fillId="0" borderId="65" xfId="0" applyNumberFormat="1" applyFont="1" applyBorder="1" applyAlignment="1">
      <alignment horizontal="center" vertical="center"/>
    </xf>
    <xf numFmtId="1" fontId="19" fillId="0" borderId="72" xfId="0" applyNumberFormat="1" applyFont="1" applyBorder="1" applyAlignment="1">
      <alignment horizontal="center" vertical="center"/>
    </xf>
    <xf numFmtId="167" fontId="19" fillId="0" borderId="65" xfId="0" applyNumberFormat="1" applyFont="1" applyBorder="1" applyAlignment="1">
      <alignment horizontal="center" vertical="center"/>
    </xf>
    <xf numFmtId="0" fontId="12" fillId="8" borderId="10" xfId="0" applyFont="1" applyFill="1" applyBorder="1" applyAlignment="1">
      <alignment horizontal="right" vertical="center"/>
    </xf>
    <xf numFmtId="167" fontId="46" fillId="0" borderId="0" xfId="0" applyNumberFormat="1" applyFont="1" applyAlignment="1">
      <alignment horizontal="center" vertical="center"/>
    </xf>
    <xf numFmtId="0" fontId="22" fillId="0" borderId="31" xfId="0" applyFont="1" applyBorder="1" applyAlignment="1">
      <alignment horizontal="left" vertical="top"/>
    </xf>
    <xf numFmtId="1" fontId="21" fillId="8" borderId="66" xfId="0" applyNumberFormat="1" applyFont="1" applyFill="1" applyBorder="1" applyAlignment="1">
      <alignment horizontal="center" vertical="center"/>
    </xf>
    <xf numFmtId="167" fontId="103" fillId="8" borderId="10" xfId="0" applyNumberFormat="1" applyFont="1" applyFill="1" applyBorder="1" applyAlignment="1">
      <alignment horizontal="center" vertical="center"/>
    </xf>
    <xf numFmtId="0" fontId="150" fillId="0" borderId="10" xfId="0" applyFont="1" applyBorder="1" applyAlignment="1">
      <alignment horizontal="left" vertical="center"/>
    </xf>
    <xf numFmtId="0" fontId="151" fillId="8" borderId="10" xfId="0" applyFont="1" applyFill="1" applyBorder="1" applyAlignment="1">
      <alignment horizontal="left" vertical="center"/>
    </xf>
    <xf numFmtId="1" fontId="24" fillId="8" borderId="10" xfId="0" applyNumberFormat="1" applyFont="1" applyFill="1" applyBorder="1" applyAlignment="1">
      <alignment horizontal="center" vertical="center"/>
    </xf>
    <xf numFmtId="0" fontId="15" fillId="0" borderId="10" xfId="0" applyFont="1" applyBorder="1" applyAlignment="1">
      <alignment vertical="center"/>
    </xf>
    <xf numFmtId="170" fontId="0" fillId="0" borderId="0" xfId="0" applyNumberFormat="1"/>
    <xf numFmtId="0" fontId="0" fillId="50" borderId="0" xfId="0" applyFill="1"/>
    <xf numFmtId="0" fontId="22" fillId="50" borderId="28" xfId="0" applyFont="1" applyFill="1" applyBorder="1" applyAlignment="1">
      <alignment horizontal="center" vertical="center"/>
    </xf>
    <xf numFmtId="1" fontId="21" fillId="50" borderId="10" xfId="0" applyNumberFormat="1" applyFont="1" applyFill="1" applyBorder="1" applyAlignment="1">
      <alignment horizontal="center" vertical="center"/>
    </xf>
    <xf numFmtId="1" fontId="19" fillId="50" borderId="10" xfId="0" applyNumberFormat="1" applyFont="1" applyFill="1" applyBorder="1" applyAlignment="1">
      <alignment horizontal="center" vertical="center"/>
    </xf>
    <xf numFmtId="1" fontId="20" fillId="50" borderId="10" xfId="0" applyNumberFormat="1" applyFont="1" applyFill="1" applyBorder="1" applyAlignment="1">
      <alignment horizontal="center" vertical="center"/>
    </xf>
    <xf numFmtId="1" fontId="0" fillId="50" borderId="10" xfId="0" applyNumberFormat="1" applyFill="1" applyBorder="1" applyAlignment="1">
      <alignment horizontal="center" vertical="center"/>
    </xf>
    <xf numFmtId="1" fontId="22" fillId="50" borderId="10" xfId="0" applyNumberFormat="1" applyFont="1" applyFill="1" applyBorder="1" applyAlignment="1">
      <alignment horizontal="center" vertical="center"/>
    </xf>
    <xf numFmtId="0" fontId="7" fillId="50" borderId="10" xfId="0" applyFont="1" applyFill="1" applyBorder="1" applyAlignment="1">
      <alignment horizontal="center" vertical="center"/>
    </xf>
    <xf numFmtId="1" fontId="19" fillId="50" borderId="72" xfId="0" applyNumberFormat="1" applyFont="1" applyFill="1" applyBorder="1" applyAlignment="1">
      <alignment horizontal="center" vertical="center"/>
    </xf>
    <xf numFmtId="1" fontId="4" fillId="50" borderId="10" xfId="0" applyNumberFormat="1" applyFont="1" applyFill="1" applyBorder="1" applyAlignment="1">
      <alignment horizontal="center" vertical="center"/>
    </xf>
    <xf numFmtId="1" fontId="4" fillId="8" borderId="39" xfId="0" applyNumberFormat="1" applyFont="1" applyFill="1" applyBorder="1" applyAlignment="1">
      <alignment vertical="center"/>
    </xf>
    <xf numFmtId="0" fontId="28" fillId="0" borderId="10" xfId="0" applyFont="1" applyBorder="1" applyAlignment="1">
      <alignment horizontal="left" vertical="center"/>
    </xf>
    <xf numFmtId="167" fontId="28" fillId="8" borderId="10" xfId="0" applyNumberFormat="1" applyFont="1" applyFill="1" applyBorder="1" applyAlignment="1">
      <alignment horizontal="center" vertical="center"/>
    </xf>
    <xf numFmtId="1" fontId="24" fillId="0" borderId="10" xfId="0" applyNumberFormat="1" applyFont="1" applyBorder="1" applyAlignment="1">
      <alignment horizontal="left" vertical="center"/>
    </xf>
    <xf numFmtId="1" fontId="24" fillId="0" borderId="10" xfId="0" applyNumberFormat="1" applyFont="1" applyBorder="1" applyAlignment="1">
      <alignment horizontal="center" vertical="center"/>
    </xf>
    <xf numFmtId="1" fontId="24" fillId="7" borderId="10" xfId="0" applyNumberFormat="1" applyFont="1" applyFill="1" applyBorder="1" applyAlignment="1">
      <alignment horizontal="center" vertical="center"/>
    </xf>
    <xf numFmtId="1" fontId="28" fillId="0" borderId="10" xfId="0" applyNumberFormat="1" applyFont="1" applyBorder="1" applyAlignment="1">
      <alignment horizontal="left" vertical="center"/>
    </xf>
    <xf numFmtId="167" fontId="15" fillId="0" borderId="10" xfId="0" applyNumberFormat="1" applyFont="1" applyBorder="1" applyAlignment="1">
      <alignment horizontal="center" vertical="center"/>
    </xf>
    <xf numFmtId="2" fontId="103" fillId="6" borderId="17" xfId="0" applyNumberFormat="1" applyFont="1" applyFill="1" applyBorder="1" applyAlignment="1">
      <alignment horizontal="center" vertical="center"/>
    </xf>
    <xf numFmtId="2" fontId="103" fillId="5" borderId="17" xfId="0" applyNumberFormat="1" applyFont="1" applyFill="1" applyBorder="1" applyAlignment="1">
      <alignment horizontal="center" vertical="center"/>
    </xf>
    <xf numFmtId="1" fontId="28" fillId="8" borderId="6" xfId="0" applyNumberFormat="1" applyFont="1" applyFill="1" applyBorder="1" applyAlignment="1">
      <alignment horizontal="center" vertical="center"/>
    </xf>
    <xf numFmtId="1" fontId="103" fillId="6" borderId="17" xfId="0" applyNumberFormat="1" applyFont="1" applyFill="1" applyBorder="1" applyAlignment="1">
      <alignment horizontal="center" vertical="center"/>
    </xf>
    <xf numFmtId="1" fontId="21" fillId="7" borderId="50" xfId="0" applyNumberFormat="1" applyFont="1" applyFill="1" applyBorder="1" applyAlignment="1">
      <alignment horizontal="center" vertical="center"/>
    </xf>
    <xf numFmtId="1" fontId="21" fillId="7" borderId="38" xfId="0" applyNumberFormat="1" applyFont="1" applyFill="1" applyBorder="1" applyAlignment="1">
      <alignment horizontal="center" vertical="center"/>
    </xf>
    <xf numFmtId="1" fontId="21" fillId="6" borderId="73" xfId="0" applyNumberFormat="1" applyFont="1" applyFill="1" applyBorder="1" applyAlignment="1">
      <alignment horizontal="center" vertical="center"/>
    </xf>
    <xf numFmtId="0" fontId="0" fillId="8" borderId="42" xfId="0" applyFill="1" applyBorder="1"/>
    <xf numFmtId="170" fontId="0" fillId="8" borderId="0" xfId="0" applyNumberFormat="1" applyFill="1"/>
    <xf numFmtId="0" fontId="91" fillId="0" borderId="10" xfId="0" applyFont="1" applyBorder="1" applyAlignment="1">
      <alignment horizontal="center" vertical="center"/>
    </xf>
    <xf numFmtId="0" fontId="19" fillId="0" borderId="10" xfId="0" applyFont="1" applyBorder="1" applyAlignment="1">
      <alignment horizontal="center"/>
    </xf>
    <xf numFmtId="0" fontId="21" fillId="0" borderId="19" xfId="0" applyFont="1" applyBorder="1" applyAlignment="1">
      <alignment horizontal="center"/>
    </xf>
    <xf numFmtId="0" fontId="19" fillId="0" borderId="19" xfId="0" applyFont="1" applyBorder="1" applyAlignment="1">
      <alignment horizontal="center"/>
    </xf>
    <xf numFmtId="0" fontId="21" fillId="0" borderId="19" xfId="0" applyFont="1" applyBorder="1" applyAlignment="1">
      <alignment horizontal="center" vertical="center"/>
    </xf>
    <xf numFmtId="0" fontId="21" fillId="0" borderId="58" xfId="0" applyFont="1" applyBorder="1" applyAlignment="1">
      <alignment horizontal="center" vertical="center"/>
    </xf>
    <xf numFmtId="1" fontId="21" fillId="8" borderId="10" xfId="0" quotePrefix="1" applyNumberFormat="1" applyFont="1" applyFill="1" applyBorder="1" applyAlignment="1">
      <alignment horizontal="center" vertical="center"/>
    </xf>
    <xf numFmtId="0" fontId="46" fillId="8" borderId="37" xfId="0" applyFont="1" applyFill="1" applyBorder="1" applyAlignment="1">
      <alignment horizontal="center" vertical="center"/>
    </xf>
    <xf numFmtId="0" fontId="21" fillId="0" borderId="10" xfId="0" quotePrefix="1" applyFont="1" applyBorder="1" applyAlignment="1">
      <alignment horizontal="center" vertical="center"/>
    </xf>
    <xf numFmtId="2" fontId="22" fillId="8" borderId="10" xfId="0" applyNumberFormat="1" applyFont="1" applyFill="1" applyBorder="1" applyAlignment="1">
      <alignment horizontal="center" vertical="center"/>
    </xf>
    <xf numFmtId="1" fontId="12" fillId="0" borderId="57" xfId="0" applyNumberFormat="1" applyFont="1" applyBorder="1" applyAlignment="1">
      <alignment horizontal="center"/>
    </xf>
    <xf numFmtId="1" fontId="12" fillId="0" borderId="16" xfId="0" applyNumberFormat="1" applyFont="1" applyBorder="1" applyAlignment="1">
      <alignment horizontal="center"/>
    </xf>
    <xf numFmtId="1" fontId="21" fillId="45" borderId="62" xfId="0" applyNumberFormat="1" applyFont="1" applyFill="1" applyBorder="1" applyAlignment="1">
      <alignment horizontal="center" vertical="center"/>
    </xf>
    <xf numFmtId="1" fontId="21" fillId="45" borderId="74" xfId="0" applyNumberFormat="1" applyFont="1" applyFill="1" applyBorder="1" applyAlignment="1">
      <alignment horizontal="center" vertical="center"/>
    </xf>
    <xf numFmtId="0" fontId="22" fillId="7" borderId="26" xfId="0" applyFont="1" applyFill="1" applyBorder="1" applyAlignment="1">
      <alignment horizontal="center" vertical="center"/>
    </xf>
    <xf numFmtId="169" fontId="21" fillId="0" borderId="10" xfId="0" applyNumberFormat="1" applyFont="1" applyBorder="1" applyAlignment="1">
      <alignment horizontal="center" vertical="center"/>
    </xf>
    <xf numFmtId="0" fontId="22" fillId="8" borderId="29" xfId="0" applyFont="1" applyFill="1" applyBorder="1" applyAlignment="1">
      <alignment vertical="center"/>
    </xf>
    <xf numFmtId="0" fontId="22" fillId="8" borderId="6" xfId="0" applyFont="1" applyFill="1" applyBorder="1" applyAlignment="1">
      <alignment vertical="center"/>
    </xf>
    <xf numFmtId="0" fontId="22" fillId="8" borderId="19" xfId="0" applyFont="1" applyFill="1" applyBorder="1" applyAlignment="1">
      <alignment vertical="center"/>
    </xf>
    <xf numFmtId="2" fontId="28" fillId="0" borderId="29" xfId="0" applyNumberFormat="1" applyFont="1" applyBorder="1" applyAlignment="1">
      <alignment horizontal="center" vertical="center"/>
    </xf>
    <xf numFmtId="2" fontId="28" fillId="0" borderId="17" xfId="0" applyNumberFormat="1" applyFont="1" applyBorder="1" applyAlignment="1">
      <alignment horizontal="center" vertical="center"/>
    </xf>
    <xf numFmtId="0" fontId="150" fillId="8" borderId="10" xfId="0" applyFont="1" applyFill="1" applyBorder="1" applyAlignment="1">
      <alignment horizontal="center" vertical="center"/>
    </xf>
    <xf numFmtId="167" fontId="0" fillId="7" borderId="0" xfId="0" applyNumberFormat="1" applyFill="1" applyAlignment="1">
      <alignment horizontal="center" vertical="center"/>
    </xf>
    <xf numFmtId="171" fontId="0" fillId="0" borderId="0" xfId="22" applyNumberFormat="1" applyFont="1" applyAlignment="1">
      <alignment horizontal="center" vertical="center"/>
    </xf>
    <xf numFmtId="0" fontId="150" fillId="0" borderId="10" xfId="0" applyFont="1" applyBorder="1" applyAlignment="1">
      <alignment horizontal="center" vertical="center"/>
    </xf>
    <xf numFmtId="0" fontId="150" fillId="8" borderId="10" xfId="0" applyFont="1" applyFill="1" applyBorder="1" applyAlignment="1">
      <alignment horizontal="left" vertical="center"/>
    </xf>
    <xf numFmtId="1" fontId="19" fillId="45" borderId="76" xfId="0" applyNumberFormat="1" applyFont="1" applyFill="1" applyBorder="1" applyAlignment="1">
      <alignment horizontal="center" vertical="center"/>
    </xf>
    <xf numFmtId="1" fontId="19" fillId="45" borderId="56" xfId="0" applyNumberFormat="1" applyFont="1" applyFill="1" applyBorder="1" applyAlignment="1">
      <alignment horizontal="center" vertical="center"/>
    </xf>
    <xf numFmtId="0" fontId="18" fillId="0" borderId="45" xfId="0" applyFont="1" applyBorder="1"/>
    <xf numFmtId="0" fontId="18" fillId="0" borderId="45" xfId="0" applyFont="1" applyBorder="1" applyAlignment="1">
      <alignment horizontal="center" vertical="center"/>
    </xf>
    <xf numFmtId="167" fontId="18" fillId="0" borderId="45" xfId="0" applyNumberFormat="1" applyFont="1" applyBorder="1" applyAlignment="1">
      <alignment horizontal="center" vertical="center"/>
    </xf>
    <xf numFmtId="167" fontId="18" fillId="8" borderId="65" xfId="0" applyNumberFormat="1" applyFont="1" applyFill="1" applyBorder="1" applyAlignment="1">
      <alignment horizontal="center" vertical="center"/>
    </xf>
    <xf numFmtId="2" fontId="18" fillId="8" borderId="65" xfId="0" applyNumberFormat="1" applyFont="1" applyFill="1" applyBorder="1" applyAlignment="1">
      <alignment horizontal="center" vertical="center"/>
    </xf>
    <xf numFmtId="2" fontId="0" fillId="8" borderId="31" xfId="0" applyNumberFormat="1" applyFill="1" applyBorder="1" applyAlignment="1">
      <alignment horizontal="center" vertical="center"/>
    </xf>
    <xf numFmtId="0" fontId="19" fillId="8" borderId="22" xfId="0" applyFont="1" applyFill="1" applyBorder="1"/>
    <xf numFmtId="0" fontId="19" fillId="8" borderId="52" xfId="0" applyFont="1" applyFill="1" applyBorder="1" applyAlignment="1">
      <alignment vertical="center"/>
    </xf>
    <xf numFmtId="0" fontId="19" fillId="8" borderId="50" xfId="0" applyFont="1" applyFill="1" applyBorder="1" applyAlignment="1">
      <alignment vertical="center"/>
    </xf>
    <xf numFmtId="0" fontId="20" fillId="0" borderId="23" xfId="0" applyFont="1" applyBorder="1" applyAlignment="1">
      <alignment horizontal="center" vertical="center"/>
    </xf>
    <xf numFmtId="2" fontId="20" fillId="0" borderId="23" xfId="0" applyNumberFormat="1" applyFont="1" applyBorder="1" applyAlignment="1">
      <alignment horizontal="center" vertical="center"/>
    </xf>
    <xf numFmtId="0" fontId="11" fillId="47" borderId="0" xfId="0" applyFont="1" applyFill="1"/>
    <xf numFmtId="0" fontId="150" fillId="0" borderId="10" xfId="0" applyFont="1" applyBorder="1" applyAlignment="1">
      <alignment vertical="center"/>
    </xf>
    <xf numFmtId="0" fontId="157" fillId="0" borderId="10" xfId="0" applyFont="1" applyBorder="1" applyAlignment="1">
      <alignment horizontal="center" vertical="center"/>
    </xf>
    <xf numFmtId="0" fontId="0" fillId="0" borderId="10" xfId="0" applyBorder="1" applyAlignment="1">
      <alignment horizontal="left" vertical="center"/>
    </xf>
    <xf numFmtId="0" fontId="151" fillId="8" borderId="10" xfId="0" applyFont="1" applyFill="1" applyBorder="1" applyAlignment="1">
      <alignment horizontal="center" vertical="center"/>
    </xf>
    <xf numFmtId="0" fontId="150" fillId="8" borderId="10" xfId="0" applyFont="1" applyFill="1" applyBorder="1" applyAlignment="1">
      <alignment horizontal="right" vertical="center"/>
    </xf>
    <xf numFmtId="0" fontId="150" fillId="8" borderId="10" xfId="0" applyFont="1" applyFill="1" applyBorder="1" applyAlignment="1">
      <alignment horizontal="left" vertical="center" wrapText="1"/>
    </xf>
    <xf numFmtId="0" fontId="11" fillId="0" borderId="10" xfId="0" quotePrefix="1" applyFont="1" applyBorder="1" applyAlignment="1">
      <alignment horizontal="left" vertical="center" wrapText="1"/>
    </xf>
    <xf numFmtId="0" fontId="18" fillId="0" borderId="10" xfId="0" applyFont="1" applyBorder="1" applyAlignment="1">
      <alignment horizontal="center" vertical="center" wrapText="1"/>
    </xf>
    <xf numFmtId="0" fontId="78" fillId="0" borderId="10" xfId="0" quotePrefix="1" applyFont="1" applyBorder="1" applyAlignment="1">
      <alignment horizontal="left" vertical="center" wrapText="1"/>
    </xf>
    <xf numFmtId="0" fontId="78" fillId="0" borderId="10" xfId="0" applyFont="1" applyBorder="1" applyAlignment="1">
      <alignment horizontal="left" vertical="center" wrapText="1"/>
    </xf>
    <xf numFmtId="2" fontId="18" fillId="0" borderId="45" xfId="0" applyNumberFormat="1" applyFont="1" applyBorder="1" applyAlignment="1">
      <alignment horizontal="center" vertical="center"/>
    </xf>
    <xf numFmtId="2" fontId="121" fillId="8" borderId="10" xfId="0" applyNumberFormat="1" applyFont="1" applyFill="1" applyBorder="1" applyAlignment="1">
      <alignment horizontal="center" vertical="center"/>
    </xf>
    <xf numFmtId="2" fontId="49" fillId="7" borderId="10" xfId="0" applyNumberFormat="1" applyFont="1" applyFill="1" applyBorder="1" applyAlignment="1">
      <alignment horizontal="center" vertical="center"/>
    </xf>
    <xf numFmtId="0" fontId="5" fillId="7" borderId="10" xfId="0" applyFont="1" applyFill="1" applyBorder="1" applyAlignment="1">
      <alignment vertical="center"/>
    </xf>
    <xf numFmtId="1" fontId="7" fillId="7" borderId="42" xfId="0" applyNumberFormat="1" applyFont="1" applyFill="1" applyBorder="1" applyAlignment="1">
      <alignment horizontal="center" vertical="center"/>
    </xf>
    <xf numFmtId="1" fontId="7" fillId="7" borderId="10" xfId="0" applyNumberFormat="1" applyFont="1" applyFill="1" applyBorder="1" applyAlignment="1">
      <alignment vertical="center"/>
    </xf>
    <xf numFmtId="1" fontId="78" fillId="7" borderId="10" xfId="0" applyNumberFormat="1" applyFont="1" applyFill="1" applyBorder="1" applyAlignment="1">
      <alignment vertical="center"/>
    </xf>
    <xf numFmtId="1" fontId="78" fillId="7" borderId="10" xfId="0" applyNumberFormat="1" applyFont="1" applyFill="1" applyBorder="1" applyAlignment="1">
      <alignment horizontal="center" vertical="center"/>
    </xf>
    <xf numFmtId="1" fontId="7" fillId="7" borderId="10" xfId="0" applyNumberFormat="1" applyFont="1" applyFill="1" applyBorder="1" applyAlignment="1">
      <alignment horizontal="center"/>
    </xf>
    <xf numFmtId="0" fontId="7" fillId="7" borderId="10" xfId="0" applyFont="1" applyFill="1" applyBorder="1" applyAlignment="1">
      <alignment vertical="center"/>
    </xf>
    <xf numFmtId="1" fontId="4" fillId="7" borderId="17" xfId="0" applyNumberFormat="1" applyFont="1" applyFill="1" applyBorder="1" applyAlignment="1">
      <alignment horizontal="center" vertical="center"/>
    </xf>
    <xf numFmtId="0" fontId="22" fillId="50" borderId="1" xfId="0" applyFont="1" applyFill="1" applyBorder="1" applyAlignment="1">
      <alignment horizontal="center" vertical="center"/>
    </xf>
    <xf numFmtId="1" fontId="12" fillId="7" borderId="52" xfId="0" applyNumberFormat="1" applyFont="1" applyFill="1" applyBorder="1" applyAlignment="1">
      <alignment horizontal="center"/>
    </xf>
    <xf numFmtId="1" fontId="12" fillId="7" borderId="22" xfId="0" applyNumberFormat="1" applyFont="1" applyFill="1" applyBorder="1" applyAlignment="1">
      <alignment horizontal="center"/>
    </xf>
    <xf numFmtId="0" fontId="80" fillId="4" borderId="47" xfId="186" applyFont="1" applyFill="1" applyBorder="1" applyAlignment="1">
      <alignment horizontal="left" vertical="center"/>
    </xf>
    <xf numFmtId="1" fontId="81" fillId="4" borderId="31" xfId="186" applyNumberFormat="1" applyFont="1" applyFill="1" applyBorder="1" applyAlignment="1">
      <alignment horizontal="center" vertical="center"/>
    </xf>
    <xf numFmtId="1" fontId="81" fillId="4" borderId="10" xfId="186" applyNumberFormat="1" applyFont="1" applyFill="1" applyBorder="1" applyAlignment="1">
      <alignment horizontal="center" vertical="center"/>
    </xf>
    <xf numFmtId="1" fontId="81" fillId="4" borderId="30" xfId="186" applyNumberFormat="1" applyFont="1" applyFill="1" applyBorder="1" applyAlignment="1">
      <alignment horizontal="center" vertical="center"/>
    </xf>
    <xf numFmtId="1" fontId="81" fillId="4" borderId="7" xfId="186" applyNumberFormat="1" applyFont="1" applyFill="1" applyBorder="1" applyAlignment="1">
      <alignment horizontal="center" vertical="center"/>
    </xf>
    <xf numFmtId="1" fontId="81" fillId="4" borderId="29" xfId="186" applyNumberFormat="1" applyFont="1" applyFill="1" applyBorder="1" applyAlignment="1">
      <alignment horizontal="center" vertical="center"/>
    </xf>
    <xf numFmtId="0" fontId="79" fillId="4" borderId="0" xfId="186" applyFill="1" applyAlignment="1">
      <alignment horizontal="left" vertical="top"/>
    </xf>
    <xf numFmtId="1" fontId="79" fillId="4" borderId="10" xfId="186" applyNumberFormat="1" applyFill="1" applyBorder="1" applyAlignment="1">
      <alignment horizontal="center" vertical="top"/>
    </xf>
    <xf numFmtId="0" fontId="78" fillId="5" borderId="10" xfId="0" applyFont="1" applyFill="1" applyBorder="1"/>
    <xf numFmtId="0" fontId="78" fillId="5" borderId="17" xfId="0" applyFont="1" applyFill="1" applyBorder="1"/>
    <xf numFmtId="1" fontId="78" fillId="5" borderId="17" xfId="0" applyNumberFormat="1" applyFont="1" applyFill="1" applyBorder="1" applyAlignment="1">
      <alignment horizontal="center"/>
    </xf>
    <xf numFmtId="167" fontId="78" fillId="5" borderId="17" xfId="0" applyNumberFormat="1" applyFont="1" applyFill="1" applyBorder="1" applyAlignment="1">
      <alignment horizontal="center"/>
    </xf>
    <xf numFmtId="1" fontId="21" fillId="0" borderId="29" xfId="0" applyNumberFormat="1" applyFont="1" applyBorder="1" applyAlignment="1">
      <alignment horizontal="center" vertical="center"/>
    </xf>
    <xf numFmtId="2" fontId="49" fillId="5" borderId="10" xfId="0" applyNumberFormat="1" applyFont="1" applyFill="1" applyBorder="1" applyAlignment="1">
      <alignment horizontal="center" vertical="center"/>
    </xf>
    <xf numFmtId="0" fontId="4" fillId="8" borderId="34" xfId="0" applyFont="1" applyFill="1" applyBorder="1" applyAlignment="1">
      <alignment vertical="center"/>
    </xf>
    <xf numFmtId="9" fontId="22" fillId="8" borderId="30" xfId="22" applyFont="1" applyFill="1" applyBorder="1" applyAlignment="1">
      <alignment horizontal="center" vertical="center"/>
    </xf>
    <xf numFmtId="9" fontId="22" fillId="7" borderId="30" xfId="22" applyFont="1" applyFill="1" applyBorder="1" applyAlignment="1">
      <alignment horizontal="center" vertical="center"/>
    </xf>
    <xf numFmtId="9" fontId="22" fillId="5" borderId="30" xfId="22" applyFont="1" applyFill="1" applyBorder="1" applyAlignment="1">
      <alignment horizontal="center" vertical="center"/>
    </xf>
    <xf numFmtId="9" fontId="22" fillId="6" borderId="30" xfId="22" applyFont="1" applyFill="1" applyBorder="1" applyAlignment="1">
      <alignment horizontal="center" vertical="center"/>
    </xf>
    <xf numFmtId="9" fontId="22" fillId="6" borderId="48" xfId="22" applyFont="1" applyFill="1" applyBorder="1" applyAlignment="1">
      <alignment horizontal="center" vertical="center"/>
    </xf>
    <xf numFmtId="9" fontId="22" fillId="8" borderId="29" xfId="22" applyFont="1" applyFill="1" applyBorder="1" applyAlignment="1">
      <alignment horizontal="center" vertical="center"/>
    </xf>
    <xf numFmtId="9" fontId="22" fillId="8" borderId="8" xfId="22" applyFont="1" applyFill="1" applyBorder="1" applyAlignment="1">
      <alignment horizontal="center" vertical="center"/>
    </xf>
    <xf numFmtId="0" fontId="4" fillId="8" borderId="30" xfId="0" applyFont="1" applyFill="1" applyBorder="1" applyAlignment="1">
      <alignment vertical="center"/>
    </xf>
    <xf numFmtId="1" fontId="12" fillId="34" borderId="60" xfId="0" applyNumberFormat="1" applyFont="1" applyFill="1" applyBorder="1" applyAlignment="1">
      <alignment horizontal="center"/>
    </xf>
    <xf numFmtId="1" fontId="22" fillId="34" borderId="16" xfId="0" applyNumberFormat="1" applyFont="1" applyFill="1" applyBorder="1" applyAlignment="1">
      <alignment horizontal="center"/>
    </xf>
    <xf numFmtId="1" fontId="27" fillId="34" borderId="10" xfId="0" applyNumberFormat="1" applyFont="1" applyFill="1" applyBorder="1" applyAlignment="1">
      <alignment horizontal="center"/>
    </xf>
    <xf numFmtId="169" fontId="12" fillId="5" borderId="10" xfId="0" applyNumberFormat="1" applyFont="1" applyFill="1" applyBorder="1" applyAlignment="1">
      <alignment horizontal="center" vertical="center"/>
    </xf>
    <xf numFmtId="0" fontId="56" fillId="0" borderId="0" xfId="376"/>
    <xf numFmtId="167" fontId="22" fillId="8" borderId="63" xfId="0" applyNumberFormat="1" applyFont="1" applyFill="1" applyBorder="1" applyAlignment="1">
      <alignment horizontal="center" vertical="center"/>
    </xf>
    <xf numFmtId="167" fontId="22" fillId="8" borderId="41" xfId="0" applyNumberFormat="1" applyFont="1" applyFill="1" applyBorder="1" applyAlignment="1">
      <alignment horizontal="center" vertical="center"/>
    </xf>
    <xf numFmtId="167" fontId="22" fillId="5" borderId="63" xfId="0" applyNumberFormat="1" applyFont="1" applyFill="1" applyBorder="1" applyAlignment="1">
      <alignment horizontal="center" vertical="center"/>
    </xf>
    <xf numFmtId="167" fontId="22" fillId="8" borderId="32" xfId="0" applyNumberFormat="1" applyFont="1" applyFill="1" applyBorder="1" applyAlignment="1">
      <alignment horizontal="center" vertical="center"/>
    </xf>
    <xf numFmtId="167" fontId="22" fillId="8" borderId="23" xfId="0" applyNumberFormat="1" applyFont="1" applyFill="1" applyBorder="1" applyAlignment="1">
      <alignment horizontal="center" vertical="center"/>
    </xf>
    <xf numFmtId="2" fontId="22" fillId="8" borderId="23" xfId="0" applyNumberFormat="1" applyFont="1" applyFill="1" applyBorder="1" applyAlignment="1">
      <alignment horizontal="center" vertical="center"/>
    </xf>
    <xf numFmtId="167" fontId="22" fillId="5" borderId="32" xfId="0" applyNumberFormat="1" applyFont="1" applyFill="1" applyBorder="1" applyAlignment="1">
      <alignment horizontal="center" vertical="center"/>
    </xf>
    <xf numFmtId="0" fontId="7" fillId="0" borderId="10" xfId="0" applyFont="1" applyBorder="1" applyAlignment="1">
      <alignment horizontal="left" vertical="center"/>
    </xf>
    <xf numFmtId="169" fontId="7" fillId="5" borderId="10" xfId="0" applyNumberFormat="1" applyFont="1" applyFill="1" applyBorder="1" applyAlignment="1">
      <alignment horizontal="center" vertical="center"/>
    </xf>
    <xf numFmtId="169" fontId="7" fillId="6" borderId="10" xfId="0" applyNumberFormat="1" applyFont="1" applyFill="1" applyBorder="1" applyAlignment="1">
      <alignment horizontal="center" vertical="center"/>
    </xf>
    <xf numFmtId="1" fontId="79" fillId="0" borderId="0" xfId="186" applyNumberFormat="1"/>
    <xf numFmtId="0" fontId="79" fillId="0" borderId="0" xfId="186" applyAlignment="1">
      <alignment horizontal="center" vertical="center"/>
    </xf>
    <xf numFmtId="0" fontId="15" fillId="0" borderId="43" xfId="0" applyFont="1" applyBorder="1" applyAlignment="1">
      <alignment horizontal="left" vertical="center"/>
    </xf>
    <xf numFmtId="167" fontId="24" fillId="7" borderId="10" xfId="0" applyNumberFormat="1" applyFont="1" applyFill="1" applyBorder="1" applyAlignment="1">
      <alignment horizontal="center" vertical="center"/>
    </xf>
    <xf numFmtId="167" fontId="15" fillId="7" borderId="10" xfId="0" applyNumberFormat="1" applyFont="1" applyFill="1" applyBorder="1" applyAlignment="1">
      <alignment horizontal="center" vertical="center"/>
    </xf>
    <xf numFmtId="0" fontId="122" fillId="0" borderId="30" xfId="0" applyFont="1" applyBorder="1" applyAlignment="1">
      <alignment horizontal="left" vertical="center"/>
    </xf>
    <xf numFmtId="0" fontId="122" fillId="0" borderId="10" xfId="0" applyFont="1" applyBorder="1" applyAlignment="1">
      <alignment horizontal="left" vertical="center"/>
    </xf>
    <xf numFmtId="0" fontId="122" fillId="0" borderId="10" xfId="0" applyFont="1" applyBorder="1" applyAlignment="1">
      <alignment horizontal="left" vertical="center" wrapText="1"/>
    </xf>
    <xf numFmtId="0" fontId="122" fillId="32" borderId="10" xfId="0" applyFont="1" applyFill="1" applyBorder="1" applyAlignment="1">
      <alignment horizontal="right" vertical="center"/>
    </xf>
    <xf numFmtId="0" fontId="39" fillId="8" borderId="10" xfId="0" applyFont="1" applyFill="1" applyBorder="1" applyAlignment="1">
      <alignment horizontal="left" vertical="center"/>
    </xf>
    <xf numFmtId="0" fontId="122" fillId="4" borderId="10" xfId="0" applyFont="1" applyFill="1" applyBorder="1" applyAlignment="1">
      <alignment horizontal="left" vertical="center" wrapText="1"/>
    </xf>
    <xf numFmtId="0" fontId="19" fillId="4" borderId="10" xfId="0" applyFont="1" applyFill="1" applyBorder="1" applyAlignment="1">
      <alignment horizontal="center" vertical="center"/>
    </xf>
    <xf numFmtId="0" fontId="122" fillId="32" borderId="10" xfId="0" applyFont="1" applyFill="1" applyBorder="1" applyAlignment="1">
      <alignment horizontal="center" vertical="center"/>
    </xf>
    <xf numFmtId="0" fontId="24" fillId="0" borderId="10" xfId="0" applyFont="1" applyBorder="1" applyAlignment="1">
      <alignment horizontal="center" vertical="center"/>
    </xf>
    <xf numFmtId="9" fontId="52" fillId="0" borderId="10" xfId="22" applyFont="1" applyBorder="1" applyAlignment="1">
      <alignment horizontal="center" vertical="center"/>
    </xf>
    <xf numFmtId="1" fontId="52" fillId="0" borderId="10" xfId="0" applyNumberFormat="1" applyFont="1" applyBorder="1" applyAlignment="1">
      <alignment horizontal="center" vertical="center"/>
    </xf>
    <xf numFmtId="0" fontId="0" fillId="0" borderId="30" xfId="0" applyBorder="1"/>
    <xf numFmtId="0" fontId="0" fillId="0" borderId="41" xfId="0" applyBorder="1"/>
    <xf numFmtId="0" fontId="52" fillId="0" borderId="41" xfId="0" applyFont="1" applyBorder="1" applyAlignment="1">
      <alignment horizontal="center" vertical="center"/>
    </xf>
    <xf numFmtId="0" fontId="0" fillId="0" borderId="46" xfId="0" applyBorder="1"/>
    <xf numFmtId="0" fontId="0" fillId="0" borderId="46" xfId="0" applyBorder="1" applyAlignment="1">
      <alignment horizontal="center" vertical="center"/>
    </xf>
    <xf numFmtId="9" fontId="52" fillId="0" borderId="23" xfId="22" applyFont="1" applyBorder="1" applyAlignment="1">
      <alignment horizontal="center" vertical="center"/>
    </xf>
    <xf numFmtId="1" fontId="52" fillId="0" borderId="30" xfId="0" applyNumberFormat="1" applyFont="1" applyBorder="1" applyAlignment="1">
      <alignment horizontal="center" vertical="center"/>
    </xf>
    <xf numFmtId="1" fontId="52" fillId="0" borderId="46" xfId="0" applyNumberFormat="1" applyFont="1" applyBorder="1" applyAlignment="1">
      <alignment horizontal="center" vertical="center"/>
    </xf>
    <xf numFmtId="0" fontId="18" fillId="0" borderId="46" xfId="0" applyFont="1" applyBorder="1"/>
    <xf numFmtId="1" fontId="18" fillId="0" borderId="46" xfId="0" applyNumberFormat="1" applyFont="1" applyBorder="1" applyAlignment="1">
      <alignment horizontal="center" vertical="center"/>
    </xf>
    <xf numFmtId="0" fontId="52" fillId="0" borderId="3" xfId="0" applyFont="1" applyBorder="1" applyAlignment="1">
      <alignment horizontal="left" vertical="center"/>
    </xf>
    <xf numFmtId="0" fontId="52" fillId="0" borderId="29" xfId="0" applyFont="1" applyBorder="1" applyAlignment="1">
      <alignment horizontal="left" vertical="center"/>
    </xf>
    <xf numFmtId="0" fontId="21" fillId="8" borderId="29" xfId="0" applyFont="1" applyFill="1" applyBorder="1" applyAlignment="1">
      <alignment horizontal="right" vertical="center"/>
    </xf>
    <xf numFmtId="0" fontId="0" fillId="0" borderId="29" xfId="0" applyBorder="1" applyAlignment="1">
      <alignment horizontal="right" vertical="center"/>
    </xf>
    <xf numFmtId="0" fontId="18" fillId="0" borderId="59" xfId="0" applyFont="1" applyBorder="1" applyAlignment="1">
      <alignment horizontal="right" vertical="center"/>
    </xf>
    <xf numFmtId="0" fontId="0" fillId="0" borderId="38" xfId="0" applyBorder="1" applyAlignment="1">
      <alignment horizontal="center" vertical="center"/>
    </xf>
    <xf numFmtId="0" fontId="52" fillId="0" borderId="59" xfId="0" applyFont="1" applyBorder="1" applyAlignment="1">
      <alignment horizontal="left" vertical="center"/>
    </xf>
    <xf numFmtId="0" fontId="18" fillId="0" borderId="38" xfId="0" applyFont="1" applyBorder="1" applyAlignment="1">
      <alignment horizontal="right" vertical="center"/>
    </xf>
    <xf numFmtId="0" fontId="0" fillId="0" borderId="40" xfId="0" applyBorder="1"/>
    <xf numFmtId="0" fontId="164" fillId="0" borderId="40" xfId="0" applyFont="1" applyBorder="1" applyAlignment="1">
      <alignment horizontal="center" vertical="center"/>
    </xf>
    <xf numFmtId="0" fontId="80" fillId="4" borderId="12" xfId="186" applyFont="1" applyFill="1" applyBorder="1" applyAlignment="1">
      <alignment horizontal="left" vertical="center"/>
    </xf>
    <xf numFmtId="0" fontId="80" fillId="4" borderId="6" xfId="186" applyFont="1" applyFill="1" applyBorder="1" applyAlignment="1">
      <alignment horizontal="left" vertical="center"/>
    </xf>
    <xf numFmtId="1" fontId="52" fillId="0" borderId="41" xfId="0" applyNumberFormat="1" applyFont="1" applyBorder="1" applyAlignment="1">
      <alignment horizontal="center" vertical="center"/>
    </xf>
    <xf numFmtId="0" fontId="52" fillId="0" borderId="63" xfId="0" applyFont="1" applyBorder="1" applyAlignment="1">
      <alignment horizontal="left" vertical="center"/>
    </xf>
    <xf numFmtId="0" fontId="52" fillId="0" borderId="31" xfId="0" applyFont="1" applyBorder="1" applyAlignment="1">
      <alignment horizontal="left" vertical="center"/>
    </xf>
    <xf numFmtId="0" fontId="0" fillId="0" borderId="31" xfId="0" applyBorder="1" applyAlignment="1">
      <alignment horizontal="right" vertical="center"/>
    </xf>
    <xf numFmtId="0" fontId="78" fillId="7" borderId="10" xfId="0" applyFont="1" applyFill="1" applyBorder="1"/>
    <xf numFmtId="0" fontId="78" fillId="7" borderId="17" xfId="0" applyFont="1" applyFill="1" applyBorder="1"/>
    <xf numFmtId="1" fontId="0" fillId="7" borderId="10" xfId="0" applyNumberFormat="1" applyFill="1" applyBorder="1" applyAlignment="1">
      <alignment horizontal="center" vertical="center"/>
    </xf>
    <xf numFmtId="1" fontId="19" fillId="7" borderId="72" xfId="0" applyNumberFormat="1" applyFont="1" applyFill="1" applyBorder="1" applyAlignment="1">
      <alignment horizontal="center" vertical="center"/>
    </xf>
    <xf numFmtId="1" fontId="7" fillId="8" borderId="10" xfId="0" applyNumberFormat="1" applyFont="1" applyFill="1" applyBorder="1" applyAlignment="1">
      <alignment vertical="center"/>
    </xf>
    <xf numFmtId="2" fontId="20" fillId="0" borderId="68" xfId="0" applyNumberFormat="1" applyFont="1" applyBorder="1" applyAlignment="1">
      <alignment horizontal="center" vertical="center"/>
    </xf>
    <xf numFmtId="167" fontId="4" fillId="7" borderId="1" xfId="0" applyNumberFormat="1" applyFont="1" applyFill="1" applyBorder="1" applyAlignment="1">
      <alignment horizontal="center" vertical="center"/>
    </xf>
    <xf numFmtId="178" fontId="46" fillId="8" borderId="0" xfId="0" applyNumberFormat="1" applyFont="1" applyFill="1" applyAlignment="1">
      <alignment horizontal="center" vertical="center"/>
    </xf>
    <xf numFmtId="167" fontId="19" fillId="7" borderId="37" xfId="0" applyNumberFormat="1" applyFont="1" applyFill="1" applyBorder="1" applyAlignment="1">
      <alignment horizontal="center" vertical="center"/>
    </xf>
    <xf numFmtId="167" fontId="19" fillId="7" borderId="65" xfId="0" applyNumberFormat="1" applyFont="1" applyFill="1" applyBorder="1" applyAlignment="1">
      <alignment horizontal="center" vertical="center"/>
    </xf>
    <xf numFmtId="0" fontId="19" fillId="8" borderId="29" xfId="0" applyFont="1" applyFill="1" applyBorder="1" applyAlignment="1">
      <alignment vertical="center"/>
    </xf>
    <xf numFmtId="0" fontId="20" fillId="0" borderId="6" xfId="0" applyFont="1" applyBorder="1" applyAlignment="1">
      <alignment horizontal="center" vertical="center"/>
    </xf>
    <xf numFmtId="1" fontId="21" fillId="8" borderId="10" xfId="0" applyNumberFormat="1" applyFont="1" applyFill="1" applyBorder="1" applyAlignment="1">
      <alignment horizontal="center" vertical="center"/>
    </xf>
    <xf numFmtId="1" fontId="21" fillId="7" borderId="10" xfId="0" applyNumberFormat="1" applyFont="1" applyFill="1" applyBorder="1" applyAlignment="1">
      <alignment horizontal="center" vertical="center"/>
    </xf>
    <xf numFmtId="0" fontId="33" fillId="8" borderId="31" xfId="0" applyFont="1" applyFill="1" applyBorder="1" applyAlignment="1">
      <alignment vertical="center"/>
    </xf>
    <xf numFmtId="0" fontId="33" fillId="8" borderId="34" xfId="0" applyFont="1" applyFill="1" applyBorder="1" applyAlignment="1">
      <alignment vertical="center"/>
    </xf>
    <xf numFmtId="0" fontId="0" fillId="0" borderId="0" xfId="0"/>
    <xf numFmtId="0" fontId="0" fillId="0" borderId="0" xfId="0"/>
    <xf numFmtId="1" fontId="21" fillId="8" borderId="10" xfId="0" applyNumberFormat="1" applyFont="1" applyFill="1" applyBorder="1" applyAlignment="1">
      <alignment horizontal="center" vertical="center"/>
    </xf>
    <xf numFmtId="1" fontId="21" fillId="0" borderId="10" xfId="0" applyNumberFormat="1" applyFont="1" applyBorder="1" applyAlignment="1">
      <alignment horizontal="center" vertical="center"/>
    </xf>
    <xf numFmtId="0" fontId="0" fillId="0" borderId="0" xfId="0"/>
    <xf numFmtId="171" fontId="46" fillId="8" borderId="10" xfId="22" applyNumberFormat="1" applyFont="1" applyFill="1" applyBorder="1" applyAlignment="1">
      <alignment horizontal="center" vertical="center"/>
    </xf>
    <xf numFmtId="1" fontId="21" fillId="8" borderId="10" xfId="0" applyNumberFormat="1" applyFont="1" applyFill="1" applyBorder="1" applyAlignment="1">
      <alignment horizontal="center" vertical="center"/>
    </xf>
    <xf numFmtId="0" fontId="37" fillId="0" borderId="10" xfId="0" applyFont="1" applyBorder="1" applyAlignment="1">
      <alignment horizontal="center"/>
    </xf>
    <xf numFmtId="0" fontId="24" fillId="43" borderId="10" xfId="0" applyFont="1" applyFill="1" applyBorder="1" applyAlignment="1">
      <alignment horizontal="center"/>
    </xf>
    <xf numFmtId="0" fontId="0" fillId="0" borderId="0" xfId="0"/>
    <xf numFmtId="1" fontId="7" fillId="8" borderId="10" xfId="0" applyNumberFormat="1" applyFont="1" applyFill="1" applyBorder="1" applyAlignment="1">
      <alignment horizontal="center" vertical="center"/>
    </xf>
    <xf numFmtId="1" fontId="7" fillId="7" borderId="10" xfId="0" applyNumberFormat="1" applyFont="1" applyFill="1" applyBorder="1" applyAlignment="1">
      <alignment horizontal="center" vertical="center"/>
    </xf>
    <xf numFmtId="0" fontId="22" fillId="0" borderId="29" xfId="0" applyFont="1" applyBorder="1" applyAlignment="1">
      <alignment horizontal="center" vertical="center"/>
    </xf>
    <xf numFmtId="1" fontId="21" fillId="8" borderId="59" xfId="0" applyNumberFormat="1" applyFont="1" applyFill="1" applyBorder="1" applyAlignment="1">
      <alignment horizontal="center" vertical="center"/>
    </xf>
    <xf numFmtId="0" fontId="4" fillId="8" borderId="17" xfId="0" applyFont="1" applyFill="1" applyBorder="1" applyAlignment="1">
      <alignment vertical="center"/>
    </xf>
    <xf numFmtId="1" fontId="20" fillId="8" borderId="29" xfId="0" applyNumberFormat="1" applyFont="1" applyFill="1" applyBorder="1" applyAlignment="1">
      <alignment horizontal="center" vertical="center"/>
    </xf>
    <xf numFmtId="0" fontId="5" fillId="8" borderId="10" xfId="0" applyFont="1" applyFill="1" applyBorder="1" applyAlignment="1">
      <alignment horizontal="center"/>
    </xf>
    <xf numFmtId="0" fontId="8" fillId="0" borderId="10" xfId="0" applyFont="1" applyBorder="1" applyAlignment="1">
      <alignment horizontal="right" vertical="center"/>
    </xf>
    <xf numFmtId="0" fontId="5" fillId="5" borderId="10" xfId="0" applyFont="1" applyFill="1" applyBorder="1" applyAlignment="1">
      <alignment vertical="center"/>
    </xf>
    <xf numFmtId="1" fontId="7" fillId="5" borderId="10" xfId="0" applyNumberFormat="1" applyFont="1" applyFill="1" applyBorder="1" applyAlignment="1">
      <alignment vertical="center"/>
    </xf>
    <xf numFmtId="1" fontId="78" fillId="5" borderId="10" xfId="0" applyNumberFormat="1" applyFont="1" applyFill="1" applyBorder="1" applyAlignment="1">
      <alignment vertical="center"/>
    </xf>
    <xf numFmtId="1" fontId="78" fillId="5" borderId="10" xfId="0" applyNumberFormat="1" applyFont="1" applyFill="1" applyBorder="1" applyAlignment="1">
      <alignment horizontal="center" vertical="center"/>
    </xf>
    <xf numFmtId="0" fontId="7" fillId="5" borderId="10" xfId="0" applyFont="1" applyFill="1" applyBorder="1" applyAlignment="1">
      <alignment vertical="center"/>
    </xf>
    <xf numFmtId="1" fontId="91" fillId="0" borderId="10" xfId="0" applyNumberFormat="1" applyFont="1" applyBorder="1" applyAlignment="1">
      <alignment vertical="center"/>
    </xf>
    <xf numFmtId="1" fontId="91" fillId="7" borderId="10" xfId="0" applyNumberFormat="1" applyFont="1" applyFill="1" applyBorder="1" applyAlignment="1">
      <alignment vertical="center"/>
    </xf>
    <xf numFmtId="1" fontId="91" fillId="5" borderId="10" xfId="0" applyNumberFormat="1" applyFont="1" applyFill="1" applyBorder="1" applyAlignment="1">
      <alignment vertical="center"/>
    </xf>
    <xf numFmtId="0" fontId="4" fillId="7" borderId="10" xfId="0" applyFont="1" applyFill="1" applyBorder="1" applyAlignment="1">
      <alignment horizontal="center" vertical="center"/>
    </xf>
    <xf numFmtId="0" fontId="4" fillId="5" borderId="10" xfId="0" applyFont="1" applyFill="1" applyBorder="1" applyAlignment="1">
      <alignment horizontal="center" vertical="center"/>
    </xf>
    <xf numFmtId="1" fontId="7" fillId="47" borderId="10" xfId="0" applyNumberFormat="1" applyFont="1" applyFill="1" applyBorder="1" applyAlignment="1">
      <alignment horizontal="center" vertical="center"/>
    </xf>
    <xf numFmtId="0" fontId="5" fillId="8" borderId="10" xfId="0" applyFont="1" applyFill="1" applyBorder="1" applyAlignment="1">
      <alignment horizontal="center" vertical="center"/>
    </xf>
    <xf numFmtId="0" fontId="4" fillId="8" borderId="10" xfId="0" applyFont="1" applyFill="1" applyBorder="1"/>
    <xf numFmtId="1" fontId="7" fillId="51" borderId="10" xfId="0" applyNumberFormat="1" applyFont="1" applyFill="1" applyBorder="1" applyAlignment="1">
      <alignment horizontal="center" vertical="center"/>
    </xf>
    <xf numFmtId="0" fontId="8" fillId="8" borderId="10" xfId="0" applyFont="1" applyFill="1" applyBorder="1" applyAlignment="1">
      <alignment horizontal="right" vertical="center"/>
    </xf>
    <xf numFmtId="167" fontId="4" fillId="8" borderId="10" xfId="0" applyNumberFormat="1" applyFont="1" applyFill="1" applyBorder="1" applyAlignment="1">
      <alignment horizontal="center" vertical="center"/>
    </xf>
    <xf numFmtId="167" fontId="4" fillId="7" borderId="10" xfId="0" applyNumberFormat="1" applyFont="1" applyFill="1" applyBorder="1" applyAlignment="1">
      <alignment horizontal="center" vertical="center"/>
    </xf>
    <xf numFmtId="167" fontId="4" fillId="5" borderId="10" xfId="0" applyNumberFormat="1" applyFont="1" applyFill="1" applyBorder="1" applyAlignment="1">
      <alignment horizontal="center" vertical="center"/>
    </xf>
    <xf numFmtId="0" fontId="5" fillId="8" borderId="10" xfId="0" applyFont="1" applyFill="1" applyBorder="1"/>
    <xf numFmtId="167" fontId="4" fillId="0" borderId="10" xfId="0" applyNumberFormat="1" applyFont="1" applyBorder="1" applyAlignment="1">
      <alignment horizontal="center" vertical="center"/>
    </xf>
    <xf numFmtId="0" fontId="41" fillId="8" borderId="10" xfId="0" applyFont="1" applyFill="1" applyBorder="1" applyAlignment="1">
      <alignment horizontal="left" vertical="center" wrapText="1"/>
    </xf>
    <xf numFmtId="164" fontId="8" fillId="8" borderId="10" xfId="0" applyNumberFormat="1" applyFont="1" applyFill="1" applyBorder="1" applyAlignment="1">
      <alignment horizontal="left" vertical="center"/>
    </xf>
    <xf numFmtId="164" fontId="8" fillId="8" borderId="10" xfId="0" quotePrefix="1" applyNumberFormat="1" applyFont="1" applyFill="1" applyBorder="1" applyAlignment="1">
      <alignment horizontal="left" vertical="center"/>
    </xf>
    <xf numFmtId="164" fontId="145" fillId="0" borderId="10" xfId="0" quotePrefix="1" applyNumberFormat="1" applyFont="1" applyBorder="1" applyAlignment="1">
      <alignment horizontal="right" vertical="center"/>
    </xf>
    <xf numFmtId="164" fontId="8" fillId="0" borderId="10" xfId="0" quotePrefix="1" applyNumberFormat="1" applyFont="1" applyBorder="1" applyAlignment="1">
      <alignment horizontal="left" vertical="center"/>
    </xf>
    <xf numFmtId="0" fontId="146" fillId="8" borderId="10" xfId="0" applyFont="1" applyFill="1" applyBorder="1" applyAlignment="1">
      <alignment horizontal="left"/>
    </xf>
    <xf numFmtId="1" fontId="78" fillId="8" borderId="10" xfId="0" applyNumberFormat="1" applyFont="1" applyFill="1" applyBorder="1"/>
    <xf numFmtId="1" fontId="78" fillId="7" borderId="10" xfId="0" applyNumberFormat="1" applyFont="1" applyFill="1" applyBorder="1"/>
    <xf numFmtId="1" fontId="78" fillId="5" borderId="10" xfId="0" applyNumberFormat="1" applyFont="1" applyFill="1" applyBorder="1"/>
    <xf numFmtId="0" fontId="8" fillId="8" borderId="10" xfId="0" applyFont="1" applyFill="1" applyBorder="1" applyAlignment="1">
      <alignment horizontal="left" vertical="center"/>
    </xf>
    <xf numFmtId="164" fontId="145" fillId="0" borderId="10" xfId="0" quotePrefix="1" applyNumberFormat="1" applyFont="1" applyBorder="1" applyAlignment="1">
      <alignment horizontal="left" vertical="center"/>
    </xf>
    <xf numFmtId="0" fontId="91" fillId="0" borderId="10" xfId="0" applyFont="1" applyBorder="1" applyAlignment="1">
      <alignment vertical="center"/>
    </xf>
    <xf numFmtId="0" fontId="91" fillId="7" borderId="10" xfId="0" applyFont="1" applyFill="1" applyBorder="1" applyAlignment="1">
      <alignment vertical="center"/>
    </xf>
    <xf numFmtId="0" fontId="91" fillId="5" borderId="10" xfId="0" applyFont="1" applyFill="1" applyBorder="1" applyAlignment="1">
      <alignment vertical="center"/>
    </xf>
    <xf numFmtId="1" fontId="4" fillId="8" borderId="10" xfId="0" applyNumberFormat="1" applyFont="1" applyFill="1" applyBorder="1" applyAlignment="1">
      <alignment horizontal="center"/>
    </xf>
    <xf numFmtId="1" fontId="4" fillId="7" borderId="10" xfId="0" applyNumberFormat="1" applyFont="1" applyFill="1" applyBorder="1" applyAlignment="1">
      <alignment horizontal="center"/>
    </xf>
    <xf numFmtId="1" fontId="4" fillId="5" borderId="10" xfId="0" applyNumberFormat="1" applyFont="1" applyFill="1" applyBorder="1" applyAlignment="1">
      <alignment horizontal="center"/>
    </xf>
    <xf numFmtId="0" fontId="145" fillId="0" borderId="10" xfId="0" applyFont="1" applyBorder="1" applyAlignment="1">
      <alignment horizontal="left" vertical="center"/>
    </xf>
    <xf numFmtId="1" fontId="4" fillId="8" borderId="10" xfId="0" applyNumberFormat="1" applyFont="1" applyFill="1" applyBorder="1" applyAlignment="1">
      <alignment vertical="center"/>
    </xf>
    <xf numFmtId="1" fontId="4" fillId="7" borderId="10" xfId="0" applyNumberFormat="1" applyFont="1" applyFill="1" applyBorder="1" applyAlignment="1">
      <alignment vertical="center"/>
    </xf>
    <xf numFmtId="1" fontId="4" fillId="5" borderId="10" xfId="0" applyNumberFormat="1" applyFont="1" applyFill="1" applyBorder="1" applyAlignment="1">
      <alignment vertical="center"/>
    </xf>
    <xf numFmtId="0" fontId="146" fillId="8" borderId="10" xfId="0" applyFont="1" applyFill="1" applyBorder="1"/>
    <xf numFmtId="1" fontId="46" fillId="5" borderId="10" xfId="0" applyNumberFormat="1" applyFont="1" applyFill="1" applyBorder="1"/>
    <xf numFmtId="0" fontId="111" fillId="8" borderId="10" xfId="0" applyFont="1" applyFill="1" applyBorder="1"/>
    <xf numFmtId="0" fontId="166" fillId="0" borderId="10" xfId="0" applyFont="1" applyBorder="1" applyAlignment="1">
      <alignment horizontal="center"/>
    </xf>
    <xf numFmtId="1" fontId="166" fillId="0" borderId="10" xfId="0" applyNumberFormat="1" applyFont="1" applyBorder="1" applyAlignment="1">
      <alignment horizontal="center"/>
    </xf>
    <xf numFmtId="0" fontId="166" fillId="0" borderId="10" xfId="0" applyFont="1" applyBorder="1" applyAlignment="1">
      <alignment horizontal="center" vertical="center"/>
    </xf>
    <xf numFmtId="0" fontId="8" fillId="0" borderId="10" xfId="0" applyFont="1" applyFill="1" applyBorder="1" applyAlignment="1">
      <alignment horizontal="left" vertical="center"/>
    </xf>
    <xf numFmtId="0" fontId="13" fillId="0" borderId="10" xfId="0" applyFont="1" applyBorder="1" applyAlignment="1">
      <alignment horizontal="left"/>
    </xf>
    <xf numFmtId="0" fontId="13" fillId="0" borderId="10" xfId="0" applyFont="1" applyBorder="1" applyAlignment="1">
      <alignment horizontal="left" vertical="center"/>
    </xf>
    <xf numFmtId="1" fontId="81" fillId="4" borderId="6" xfId="186" applyNumberFormat="1" applyFont="1" applyFill="1" applyBorder="1" applyAlignment="1">
      <alignment horizontal="center" vertical="center"/>
    </xf>
    <xf numFmtId="1" fontId="80" fillId="4" borderId="17" xfId="186" applyNumberFormat="1" applyFont="1" applyFill="1" applyBorder="1" applyAlignment="1">
      <alignment horizontal="center" vertical="center"/>
    </xf>
    <xf numFmtId="1" fontId="80" fillId="4" borderId="10" xfId="186" applyNumberFormat="1" applyFont="1" applyFill="1" applyBorder="1" applyAlignment="1">
      <alignment horizontal="center" vertical="center"/>
    </xf>
    <xf numFmtId="1" fontId="0" fillId="5" borderId="0" xfId="0" applyNumberFormat="1" applyFill="1"/>
    <xf numFmtId="0" fontId="0" fillId="5" borderId="46" xfId="0" applyFill="1" applyBorder="1" applyAlignment="1">
      <alignment horizontal="center" vertical="center"/>
    </xf>
    <xf numFmtId="1" fontId="0" fillId="7" borderId="0" xfId="0" applyNumberFormat="1" applyFill="1"/>
    <xf numFmtId="1" fontId="52" fillId="7" borderId="41" xfId="0" applyNumberFormat="1" applyFont="1" applyFill="1" applyBorder="1" applyAlignment="1">
      <alignment horizontal="center" vertical="center"/>
    </xf>
    <xf numFmtId="1" fontId="52" fillId="7" borderId="10" xfId="0" applyNumberFormat="1" applyFont="1" applyFill="1" applyBorder="1" applyAlignment="1">
      <alignment horizontal="center" vertical="center"/>
    </xf>
    <xf numFmtId="9" fontId="52" fillId="7" borderId="10" xfId="22" applyFont="1" applyFill="1" applyBorder="1" applyAlignment="1">
      <alignment horizontal="center" vertical="center"/>
    </xf>
    <xf numFmtId="1" fontId="18" fillId="7" borderId="23" xfId="0" applyNumberFormat="1" applyFont="1" applyFill="1" applyBorder="1" applyAlignment="1">
      <alignment horizontal="center" vertical="center"/>
    </xf>
    <xf numFmtId="0" fontId="0" fillId="7" borderId="46" xfId="0" applyFill="1" applyBorder="1" applyAlignment="1">
      <alignment horizontal="center" vertical="center"/>
    </xf>
    <xf numFmtId="1" fontId="52" fillId="7" borderId="46" xfId="0" applyNumberFormat="1" applyFont="1" applyFill="1" applyBorder="1" applyAlignment="1">
      <alignment horizontal="center" vertical="center"/>
    </xf>
    <xf numFmtId="9" fontId="52" fillId="7" borderId="23" xfId="22" applyFont="1" applyFill="1" applyBorder="1" applyAlignment="1">
      <alignment horizontal="center" vertical="center"/>
    </xf>
    <xf numFmtId="0" fontId="52" fillId="7" borderId="41" xfId="0" applyFont="1" applyFill="1" applyBorder="1" applyAlignment="1">
      <alignment horizontal="center" vertical="center"/>
    </xf>
    <xf numFmtId="1" fontId="52" fillId="7" borderId="30" xfId="0" applyNumberFormat="1" applyFont="1" applyFill="1" applyBorder="1" applyAlignment="1">
      <alignment horizontal="center" vertical="center"/>
    </xf>
    <xf numFmtId="1" fontId="18" fillId="7" borderId="46" xfId="0" applyNumberFormat="1" applyFont="1" applyFill="1" applyBorder="1" applyAlignment="1">
      <alignment horizontal="center" vertical="center"/>
    </xf>
    <xf numFmtId="167" fontId="21" fillId="0" borderId="3" xfId="0" applyNumberFormat="1" applyFont="1" applyBorder="1" applyAlignment="1">
      <alignment horizontal="center" vertical="center"/>
    </xf>
    <xf numFmtId="167" fontId="21" fillId="0" borderId="36" xfId="0" applyNumberFormat="1" applyFont="1" applyBorder="1" applyAlignment="1">
      <alignment horizontal="center" vertical="center"/>
    </xf>
    <xf numFmtId="167" fontId="19" fillId="0" borderId="4" xfId="0" applyNumberFormat="1" applyFont="1" applyBorder="1" applyAlignment="1">
      <alignment horizontal="center" vertical="center"/>
    </xf>
    <xf numFmtId="0" fontId="0" fillId="0" borderId="0" xfId="0"/>
    <xf numFmtId="0" fontId="167" fillId="0" borderId="63" xfId="0" applyFont="1" applyBorder="1" applyAlignment="1">
      <alignment horizontal="center" vertical="center"/>
    </xf>
    <xf numFmtId="0" fontId="167" fillId="0" borderId="41" xfId="0" applyFont="1" applyBorder="1" applyAlignment="1">
      <alignment horizontal="center" vertical="center"/>
    </xf>
    <xf numFmtId="0" fontId="167" fillId="0" borderId="31" xfId="0" applyFont="1" applyBorder="1" applyAlignment="1">
      <alignment horizontal="center" vertical="center"/>
    </xf>
    <xf numFmtId="0" fontId="167" fillId="0" borderId="10" xfId="0" applyFont="1" applyBorder="1" applyAlignment="1">
      <alignment horizontal="center" vertical="center"/>
    </xf>
    <xf numFmtId="1" fontId="156" fillId="0" borderId="10" xfId="0" applyNumberFormat="1" applyFont="1" applyBorder="1" applyAlignment="1">
      <alignment horizontal="center" vertical="center"/>
    </xf>
    <xf numFmtId="1" fontId="156" fillId="0" borderId="17" xfId="0" applyNumberFormat="1" applyFont="1" applyBorder="1" applyAlignment="1">
      <alignment horizontal="center" vertical="center"/>
    </xf>
    <xf numFmtId="0" fontId="167" fillId="0" borderId="62" xfId="0" applyFont="1" applyBorder="1" applyAlignment="1">
      <alignment horizontal="left" vertical="center"/>
    </xf>
    <xf numFmtId="0" fontId="156" fillId="0" borderId="45" xfId="0" applyFont="1" applyBorder="1" applyAlignment="1">
      <alignment horizontal="center" vertical="center"/>
    </xf>
    <xf numFmtId="0" fontId="156" fillId="0" borderId="72" xfId="0" applyFont="1" applyBorder="1" applyAlignment="1">
      <alignment horizontal="center" vertical="center"/>
    </xf>
    <xf numFmtId="0" fontId="167" fillId="0" borderId="63" xfId="0" applyFont="1" applyBorder="1" applyAlignment="1">
      <alignment horizontal="left" vertical="center"/>
    </xf>
    <xf numFmtId="0" fontId="156" fillId="0" borderId="41" xfId="0" applyFont="1" applyBorder="1" applyAlignment="1">
      <alignment horizontal="center" vertical="center"/>
    </xf>
    <xf numFmtId="0" fontId="156" fillId="0" borderId="42" xfId="0" applyFont="1" applyBorder="1" applyAlignment="1">
      <alignment horizontal="center" vertical="center"/>
    </xf>
    <xf numFmtId="0" fontId="167" fillId="0" borderId="31" xfId="0" applyFont="1" applyBorder="1" applyAlignment="1">
      <alignment horizontal="right" vertical="center"/>
    </xf>
    <xf numFmtId="2" fontId="156" fillId="0" borderId="10" xfId="0" applyNumberFormat="1" applyFont="1" applyBorder="1" applyAlignment="1">
      <alignment horizontal="center" vertical="center"/>
    </xf>
    <xf numFmtId="2" fontId="156" fillId="0" borderId="17" xfId="0" applyNumberFormat="1" applyFont="1" applyBorder="1" applyAlignment="1">
      <alignment horizontal="center" vertical="center"/>
    </xf>
    <xf numFmtId="0" fontId="167" fillId="0" borderId="32" xfId="0" applyFont="1" applyBorder="1" applyAlignment="1">
      <alignment horizontal="right" vertical="center"/>
    </xf>
    <xf numFmtId="2" fontId="156" fillId="0" borderId="23" xfId="0" applyNumberFormat="1" applyFont="1" applyBorder="1" applyAlignment="1">
      <alignment horizontal="center" vertical="center"/>
    </xf>
    <xf numFmtId="2" fontId="156" fillId="0" borderId="33" xfId="0" applyNumberFormat="1" applyFont="1" applyBorder="1" applyAlignment="1">
      <alignment horizontal="center" vertical="center"/>
    </xf>
    <xf numFmtId="0" fontId="0" fillId="0" borderId="0" xfId="0"/>
    <xf numFmtId="1" fontId="7" fillId="7" borderId="53" xfId="0" applyNumberFormat="1" applyFont="1" applyFill="1" applyBorder="1" applyAlignment="1">
      <alignment horizontal="center" vertical="center"/>
    </xf>
    <xf numFmtId="177" fontId="0" fillId="0" borderId="0" xfId="412" applyNumberFormat="1" applyFont="1"/>
    <xf numFmtId="1" fontId="21" fillId="7" borderId="10" xfId="0" applyNumberFormat="1" applyFont="1" applyFill="1" applyBorder="1" applyAlignment="1">
      <alignment horizontal="center" vertical="center"/>
    </xf>
    <xf numFmtId="0" fontId="0" fillId="0" borderId="0" xfId="0"/>
    <xf numFmtId="1" fontId="7" fillId="7" borderId="10" xfId="0" applyNumberFormat="1" applyFont="1" applyFill="1" applyBorder="1" applyAlignment="1">
      <alignment horizontal="center" vertical="center"/>
    </xf>
    <xf numFmtId="1" fontId="4" fillId="7" borderId="10" xfId="0" applyNumberFormat="1" applyFont="1" applyFill="1" applyBorder="1" applyAlignment="1">
      <alignment horizontal="center" vertical="center"/>
    </xf>
    <xf numFmtId="0" fontId="4" fillId="7" borderId="10" xfId="0" applyFont="1" applyFill="1" applyBorder="1" applyAlignment="1">
      <alignment horizontal="center" vertical="center"/>
    </xf>
    <xf numFmtId="1" fontId="4" fillId="0" borderId="10" xfId="0" applyNumberFormat="1" applyFont="1" applyBorder="1" applyAlignment="1">
      <alignment horizontal="center" vertical="center"/>
    </xf>
    <xf numFmtId="1" fontId="7" fillId="8" borderId="10" xfId="0" applyNumberFormat="1" applyFont="1" applyFill="1" applyBorder="1" applyAlignment="1">
      <alignment horizontal="center"/>
    </xf>
    <xf numFmtId="1" fontId="7" fillId="8" borderId="10" xfId="0" applyNumberFormat="1" applyFont="1" applyFill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1" fillId="7" borderId="10" xfId="0" applyNumberFormat="1" applyFont="1" applyFill="1" applyBorder="1" applyAlignment="1">
      <alignment horizontal="center" vertical="center"/>
    </xf>
    <xf numFmtId="1" fontId="21" fillId="5" borderId="10" xfId="0" applyNumberFormat="1" applyFont="1" applyFill="1" applyBorder="1" applyAlignment="1">
      <alignment horizontal="center" vertical="center"/>
    </xf>
    <xf numFmtId="1" fontId="21" fillId="8" borderId="10" xfId="0" applyNumberFormat="1" applyFont="1" applyFill="1" applyBorder="1" applyAlignment="1">
      <alignment horizontal="center" vertical="center"/>
    </xf>
    <xf numFmtId="1" fontId="21" fillId="0" borderId="10" xfId="0" applyNumberFormat="1" applyFont="1" applyBorder="1" applyAlignment="1">
      <alignment horizontal="center" vertical="center"/>
    </xf>
    <xf numFmtId="1" fontId="22" fillId="8" borderId="10" xfId="0" applyNumberFormat="1" applyFont="1" applyFill="1" applyBorder="1" applyAlignment="1">
      <alignment horizontal="center" vertical="center"/>
    </xf>
    <xf numFmtId="0" fontId="0" fillId="0" borderId="0" xfId="0"/>
    <xf numFmtId="1" fontId="4" fillId="0" borderId="10" xfId="0" applyNumberFormat="1" applyFont="1" applyBorder="1" applyAlignment="1">
      <alignment horizontal="center" vertical="center"/>
    </xf>
    <xf numFmtId="1" fontId="4" fillId="7" borderId="10" xfId="0" applyNumberFormat="1" applyFont="1" applyFill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0" fontId="21" fillId="7" borderId="62" xfId="0" applyFont="1" applyFill="1" applyBorder="1" applyAlignment="1">
      <alignment horizontal="center" vertical="center"/>
    </xf>
    <xf numFmtId="1" fontId="21" fillId="8" borderId="34" xfId="0" applyNumberFormat="1" applyFont="1" applyFill="1" applyBorder="1" applyAlignment="1">
      <alignment horizontal="center" vertical="center"/>
    </xf>
    <xf numFmtId="0" fontId="21" fillId="7" borderId="8" xfId="0" applyFont="1" applyFill="1" applyBorder="1" applyAlignment="1">
      <alignment horizontal="center" vertical="center"/>
    </xf>
    <xf numFmtId="0" fontId="27" fillId="7" borderId="25" xfId="0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0" fontId="27" fillId="0" borderId="25" xfId="0" applyFont="1" applyBorder="1" applyAlignment="1">
      <alignment horizontal="center" vertical="center"/>
    </xf>
    <xf numFmtId="2" fontId="21" fillId="5" borderId="10" xfId="0" applyNumberFormat="1" applyFont="1" applyFill="1" applyBorder="1" applyAlignment="1">
      <alignment horizontal="center" vertical="center"/>
    </xf>
    <xf numFmtId="2" fontId="21" fillId="7" borderId="10" xfId="0" applyNumberFormat="1" applyFont="1" applyFill="1" applyBorder="1" applyAlignment="1">
      <alignment horizontal="center" vertical="center"/>
    </xf>
    <xf numFmtId="0" fontId="37" fillId="0" borderId="10" xfId="0" applyFont="1" applyBorder="1" applyAlignment="1">
      <alignment horizontal="center"/>
    </xf>
    <xf numFmtId="1" fontId="8" fillId="8" borderId="0" xfId="0" applyNumberFormat="1" applyFont="1" applyFill="1" applyBorder="1" applyAlignment="1">
      <alignment horizontal="center" vertical="center"/>
    </xf>
    <xf numFmtId="0" fontId="19" fillId="0" borderId="13" xfId="0" applyFont="1" applyBorder="1" applyAlignment="1">
      <alignment horizontal="center" vertical="center"/>
    </xf>
    <xf numFmtId="0" fontId="22" fillId="8" borderId="32" xfId="0" applyFont="1" applyFill="1" applyBorder="1" applyAlignment="1">
      <alignment horizontal="left" vertical="center"/>
    </xf>
    <xf numFmtId="1" fontId="22" fillId="8" borderId="32" xfId="0" applyNumberFormat="1" applyFont="1" applyFill="1" applyBorder="1" applyAlignment="1">
      <alignment horizontal="center" vertical="center"/>
    </xf>
    <xf numFmtId="0" fontId="33" fillId="8" borderId="35" xfId="0" applyFont="1" applyFill="1" applyBorder="1" applyAlignment="1">
      <alignment vertical="center"/>
    </xf>
    <xf numFmtId="0" fontId="21" fillId="0" borderId="31" xfId="0" applyFont="1" applyBorder="1" applyAlignment="1">
      <alignment horizontal="left" vertical="center" indent="1"/>
    </xf>
    <xf numFmtId="0" fontId="21" fillId="0" borderId="32" xfId="0" applyFont="1" applyBorder="1" applyAlignment="1">
      <alignment horizontal="left" vertical="center" indent="1"/>
    </xf>
    <xf numFmtId="0" fontId="21" fillId="0" borderId="63" xfId="0" applyFont="1" applyBorder="1" applyAlignment="1">
      <alignment horizontal="left" vertical="center" indent="1"/>
    </xf>
    <xf numFmtId="0" fontId="21" fillId="0" borderId="47" xfId="0" applyFont="1" applyBorder="1" applyAlignment="1">
      <alignment horizontal="left" vertical="center" indent="1"/>
    </xf>
    <xf numFmtId="0" fontId="21" fillId="0" borderId="62" xfId="0" applyFont="1" applyBorder="1" applyAlignment="1">
      <alignment horizontal="left" vertical="center" indent="1"/>
    </xf>
    <xf numFmtId="0" fontId="19" fillId="0" borderId="1" xfId="0" applyFont="1" applyBorder="1" applyAlignment="1">
      <alignment horizontal="left" vertical="center" indent="1"/>
    </xf>
    <xf numFmtId="0" fontId="21" fillId="0" borderId="34" xfId="0" applyFont="1" applyBorder="1" applyAlignment="1">
      <alignment horizontal="left" vertical="center" wrapText="1" indent="1"/>
    </xf>
    <xf numFmtId="0" fontId="21" fillId="8" borderId="31" xfId="0" applyFont="1" applyFill="1" applyBorder="1" applyAlignment="1">
      <alignment horizontal="left" vertical="center" indent="1"/>
    </xf>
    <xf numFmtId="0" fontId="19" fillId="8" borderId="0" xfId="0" applyFont="1" applyFill="1" applyBorder="1" applyAlignment="1">
      <alignment horizontal="center" vertical="center"/>
    </xf>
    <xf numFmtId="0" fontId="21" fillId="8" borderId="32" xfId="0" applyFont="1" applyFill="1" applyBorder="1" applyAlignment="1">
      <alignment horizontal="center" vertical="center"/>
    </xf>
    <xf numFmtId="0" fontId="21" fillId="0" borderId="34" xfId="0" applyFont="1" applyBorder="1" applyAlignment="1">
      <alignment horizontal="left" vertical="center" indent="1"/>
    </xf>
    <xf numFmtId="0" fontId="21" fillId="0" borderId="10" xfId="0" applyFont="1" applyBorder="1" applyAlignment="1">
      <alignment horizontal="left" vertical="center" indent="1"/>
    </xf>
    <xf numFmtId="0" fontId="21" fillId="0" borderId="9" xfId="0" applyFont="1" applyBorder="1" applyAlignment="1">
      <alignment horizontal="left" vertical="center" indent="1"/>
    </xf>
    <xf numFmtId="0" fontId="21" fillId="0" borderId="74" xfId="0" applyFont="1" applyBorder="1" applyAlignment="1">
      <alignment horizontal="left" vertical="center" wrapText="1" indent="1"/>
    </xf>
    <xf numFmtId="0" fontId="22" fillId="0" borderId="63" xfId="0" applyFont="1" applyBorder="1" applyAlignment="1">
      <alignment horizontal="left" vertical="center" wrapText="1" indent="1"/>
    </xf>
    <xf numFmtId="0" fontId="22" fillId="0" borderId="31" xfId="0" applyFont="1" applyBorder="1" applyAlignment="1">
      <alignment horizontal="left" vertical="center" indent="1"/>
    </xf>
    <xf numFmtId="0" fontId="22" fillId="0" borderId="32" xfId="0" applyFont="1" applyBorder="1" applyAlignment="1">
      <alignment horizontal="left" vertical="center" indent="1"/>
    </xf>
    <xf numFmtId="0" fontId="22" fillId="0" borderId="74" xfId="0" applyFont="1" applyBorder="1" applyAlignment="1">
      <alignment horizontal="left" vertical="center" indent="1"/>
    </xf>
    <xf numFmtId="168" fontId="21" fillId="0" borderId="34" xfId="0" applyNumberFormat="1" applyFont="1" applyBorder="1" applyAlignment="1">
      <alignment horizontal="left" indent="1"/>
    </xf>
    <xf numFmtId="168" fontId="21" fillId="0" borderId="31" xfId="0" applyNumberFormat="1" applyFont="1" applyBorder="1" applyAlignment="1">
      <alignment horizontal="left" indent="1"/>
    </xf>
    <xf numFmtId="168" fontId="21" fillId="0" borderId="31" xfId="0" applyNumberFormat="1" applyFont="1" applyBorder="1" applyAlignment="1">
      <alignment horizontal="left" vertical="center" indent="1"/>
    </xf>
    <xf numFmtId="168" fontId="21" fillId="8" borderId="31" xfId="0" applyNumberFormat="1" applyFont="1" applyFill="1" applyBorder="1" applyAlignment="1">
      <alignment horizontal="left" indent="1"/>
    </xf>
    <xf numFmtId="168" fontId="21" fillId="0" borderId="10" xfId="0" applyNumberFormat="1" applyFont="1" applyBorder="1" applyAlignment="1">
      <alignment horizontal="left" vertical="center" indent="1"/>
    </xf>
    <xf numFmtId="0" fontId="49" fillId="0" borderId="10" xfId="0" applyFont="1" applyBorder="1" applyAlignment="1">
      <alignment horizontal="left" indent="1"/>
    </xf>
    <xf numFmtId="0" fontId="7" fillId="0" borderId="10" xfId="0" applyFont="1" applyBorder="1" applyAlignment="1">
      <alignment horizontal="center" vertical="center" wrapText="1"/>
    </xf>
    <xf numFmtId="0" fontId="8" fillId="8" borderId="45" xfId="0" applyFont="1" applyFill="1" applyBorder="1" applyAlignment="1">
      <alignment vertical="center"/>
    </xf>
    <xf numFmtId="169" fontId="0" fillId="7" borderId="0" xfId="0" applyNumberFormat="1" applyFill="1" applyAlignment="1">
      <alignment horizontal="center" vertical="center"/>
    </xf>
    <xf numFmtId="169" fontId="21" fillId="7" borderId="79" xfId="0" applyNumberFormat="1" applyFont="1" applyFill="1" applyBorder="1" applyAlignment="1">
      <alignment horizontal="center" vertical="center"/>
    </xf>
    <xf numFmtId="1" fontId="21" fillId="7" borderId="10" xfId="0" applyNumberFormat="1" applyFont="1" applyFill="1" applyBorder="1" applyAlignment="1">
      <alignment horizontal="center" vertical="center"/>
    </xf>
    <xf numFmtId="1" fontId="21" fillId="8" borderId="10" xfId="0" applyNumberFormat="1" applyFont="1" applyFill="1" applyBorder="1" applyAlignment="1">
      <alignment horizontal="center" vertical="center"/>
    </xf>
    <xf numFmtId="1" fontId="21" fillId="0" borderId="10" xfId="0" applyNumberFormat="1" applyFont="1" applyBorder="1" applyAlignment="1">
      <alignment horizontal="center" vertical="center"/>
    </xf>
    <xf numFmtId="1" fontId="7" fillId="8" borderId="10" xfId="0" applyNumberFormat="1" applyFont="1" applyFill="1" applyBorder="1" applyAlignment="1">
      <alignment horizontal="center" vertical="center"/>
    </xf>
    <xf numFmtId="0" fontId="0" fillId="0" borderId="0" xfId="0"/>
    <xf numFmtId="1" fontId="20" fillId="7" borderId="10" xfId="0" applyNumberFormat="1" applyFont="1" applyFill="1" applyBorder="1" applyAlignment="1">
      <alignment horizontal="center" vertical="center"/>
    </xf>
    <xf numFmtId="0" fontId="22" fillId="4" borderId="31" xfId="0" applyFont="1" applyFill="1" applyBorder="1" applyAlignment="1">
      <alignment horizontal="left" vertical="center"/>
    </xf>
    <xf numFmtId="0" fontId="19" fillId="0" borderId="10" xfId="0" applyFont="1" applyBorder="1" applyAlignment="1">
      <alignment horizontal="left" vertical="center" indent="1"/>
    </xf>
    <xf numFmtId="0" fontId="19" fillId="0" borderId="62" xfId="0" applyFont="1" applyBorder="1" applyAlignment="1">
      <alignment horizontal="left" vertical="center" indent="1"/>
    </xf>
    <xf numFmtId="0" fontId="21" fillId="0" borderId="10" xfId="0" applyFont="1" applyBorder="1" applyAlignment="1">
      <alignment horizontal="left" vertical="center" indent="2"/>
    </xf>
    <xf numFmtId="0" fontId="21" fillId="0" borderId="10" xfId="0" applyFont="1" applyBorder="1" applyAlignment="1">
      <alignment horizontal="right" vertical="center" indent="2"/>
    </xf>
    <xf numFmtId="1" fontId="21" fillId="0" borderId="10" xfId="0" applyNumberFormat="1" applyFont="1" applyFill="1" applyBorder="1" applyAlignment="1">
      <alignment horizontal="center" vertical="center"/>
    </xf>
    <xf numFmtId="1" fontId="21" fillId="7" borderId="10" xfId="0" applyNumberFormat="1" applyFont="1" applyFill="1" applyBorder="1" applyAlignment="1">
      <alignment horizontal="center" vertical="center"/>
    </xf>
    <xf numFmtId="1" fontId="21" fillId="5" borderId="10" xfId="0" applyNumberFormat="1" applyFont="1" applyFill="1" applyBorder="1" applyAlignment="1">
      <alignment horizontal="center" vertical="center"/>
    </xf>
    <xf numFmtId="1" fontId="21" fillId="8" borderId="10" xfId="0" applyNumberFormat="1" applyFont="1" applyFill="1" applyBorder="1" applyAlignment="1">
      <alignment horizontal="center" vertical="center"/>
    </xf>
    <xf numFmtId="1" fontId="21" fillId="0" borderId="10" xfId="0" applyNumberFormat="1" applyFont="1" applyBorder="1" applyAlignment="1">
      <alignment horizontal="center" vertical="center"/>
    </xf>
    <xf numFmtId="0" fontId="0" fillId="0" borderId="0" xfId="0"/>
    <xf numFmtId="1" fontId="20" fillId="5" borderId="10" xfId="0" applyNumberFormat="1" applyFont="1" applyFill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1" fontId="7" fillId="8" borderId="10" xfId="0" applyNumberFormat="1" applyFont="1" applyFill="1" applyBorder="1" applyAlignment="1">
      <alignment horizontal="center" vertical="center"/>
    </xf>
    <xf numFmtId="1" fontId="7" fillId="7" borderId="10" xfId="0" applyNumberFormat="1" applyFont="1" applyFill="1" applyBorder="1" applyAlignment="1">
      <alignment horizontal="center" vertical="center"/>
    </xf>
    <xf numFmtId="0" fontId="0" fillId="0" borderId="0" xfId="0" applyFill="1"/>
    <xf numFmtId="0" fontId="121" fillId="0" borderId="0" xfId="0" applyFont="1" applyFill="1" applyAlignment="1">
      <alignment horizontal="center" vertical="center"/>
    </xf>
    <xf numFmtId="0" fontId="19" fillId="0" borderId="33" xfId="0" applyFont="1" applyFill="1" applyBorder="1" applyAlignment="1">
      <alignment horizontal="center" vertical="center"/>
    </xf>
    <xf numFmtId="0" fontId="110" fillId="0" borderId="53" xfId="0" applyFont="1" applyFill="1" applyBorder="1" applyAlignment="1">
      <alignment vertical="center"/>
    </xf>
    <xf numFmtId="0" fontId="20" fillId="0" borderId="17" xfId="0" applyFont="1" applyFill="1" applyBorder="1" applyAlignment="1">
      <alignment horizontal="center" vertical="center"/>
    </xf>
    <xf numFmtId="1" fontId="27" fillId="0" borderId="11" xfId="0" applyNumberFormat="1" applyFont="1" applyFill="1" applyBorder="1" applyAlignment="1">
      <alignment horizontal="center" vertical="center"/>
    </xf>
    <xf numFmtId="0" fontId="12" fillId="0" borderId="0" xfId="0" applyFont="1" applyFill="1" applyAlignment="1">
      <alignment vertical="center"/>
    </xf>
    <xf numFmtId="0" fontId="12" fillId="0" borderId="0" xfId="0" applyFont="1" applyFill="1"/>
    <xf numFmtId="0" fontId="12" fillId="0" borderId="17" xfId="0" applyFont="1" applyFill="1" applyBorder="1" applyAlignment="1">
      <alignment horizontal="center" vertical="center"/>
    </xf>
    <xf numFmtId="2" fontId="12" fillId="0" borderId="17" xfId="0" applyNumberFormat="1" applyFont="1" applyFill="1" applyBorder="1" applyAlignment="1">
      <alignment horizontal="center" vertical="center"/>
    </xf>
    <xf numFmtId="1" fontId="12" fillId="0" borderId="17" xfId="0" applyNumberFormat="1" applyFont="1" applyFill="1" applyBorder="1" applyAlignment="1">
      <alignment horizontal="center" vertical="center"/>
    </xf>
    <xf numFmtId="9" fontId="22" fillId="0" borderId="30" xfId="22" applyFont="1" applyFill="1" applyBorder="1" applyAlignment="1">
      <alignment horizontal="center" vertical="center"/>
    </xf>
    <xf numFmtId="0" fontId="0" fillId="0" borderId="0" xfId="0"/>
    <xf numFmtId="0" fontId="37" fillId="0" borderId="10" xfId="0" applyFont="1" applyBorder="1" applyAlignment="1">
      <alignment horizontal="center"/>
    </xf>
    <xf numFmtId="0" fontId="0" fillId="0" borderId="0" xfId="0"/>
    <xf numFmtId="0" fontId="46" fillId="0" borderId="0" xfId="0" applyFont="1" applyFill="1"/>
    <xf numFmtId="0" fontId="45" fillId="0" borderId="0" xfId="0" applyFont="1" applyFill="1" applyAlignment="1">
      <alignment horizontal="center" vertical="center"/>
    </xf>
    <xf numFmtId="0" fontId="22" fillId="0" borderId="28" xfId="0" applyFont="1" applyFill="1" applyBorder="1" applyAlignment="1">
      <alignment horizontal="center" vertical="center"/>
    </xf>
    <xf numFmtId="1" fontId="19" fillId="0" borderId="26" xfId="0" applyNumberFormat="1" applyFont="1" applyFill="1" applyBorder="1" applyAlignment="1">
      <alignment horizontal="center" vertical="center"/>
    </xf>
    <xf numFmtId="0" fontId="19" fillId="0" borderId="7" xfId="0" applyFont="1" applyFill="1" applyBorder="1" applyAlignment="1">
      <alignment vertical="center"/>
    </xf>
    <xf numFmtId="167" fontId="21" fillId="0" borderId="10" xfId="0" applyNumberFormat="1" applyFont="1" applyFill="1" applyBorder="1" applyAlignment="1">
      <alignment horizontal="center" vertical="center"/>
    </xf>
    <xf numFmtId="2" fontId="21" fillId="0" borderId="10" xfId="0" applyNumberFormat="1" applyFont="1" applyFill="1" applyBorder="1" applyAlignment="1">
      <alignment horizontal="center" vertical="center"/>
    </xf>
    <xf numFmtId="1" fontId="19" fillId="0" borderId="10" xfId="0" applyNumberFormat="1" applyFont="1" applyFill="1" applyBorder="1" applyAlignment="1">
      <alignment horizontal="center" vertical="center"/>
    </xf>
    <xf numFmtId="167" fontId="19" fillId="0" borderId="10" xfId="0" applyNumberFormat="1" applyFont="1" applyFill="1" applyBorder="1" applyAlignment="1">
      <alignment horizontal="center" vertical="center"/>
    </xf>
    <xf numFmtId="9" fontId="22" fillId="0" borderId="10" xfId="22" applyFont="1" applyFill="1" applyBorder="1" applyAlignment="1">
      <alignment horizontal="center" vertical="center"/>
    </xf>
    <xf numFmtId="0" fontId="4" fillId="0" borderId="0" xfId="0" applyFont="1" applyFill="1" applyAlignment="1">
      <alignment vertical="center"/>
    </xf>
    <xf numFmtId="0" fontId="21" fillId="0" borderId="10" xfId="0" applyFont="1" applyFill="1" applyBorder="1" applyAlignment="1">
      <alignment horizontal="center" vertical="center"/>
    </xf>
    <xf numFmtId="169" fontId="21" fillId="0" borderId="10" xfId="0" applyNumberFormat="1" applyFont="1" applyFill="1" applyBorder="1" applyAlignment="1">
      <alignment horizontal="center" vertical="center"/>
    </xf>
    <xf numFmtId="0" fontId="46" fillId="0" borderId="26" xfId="0" applyFont="1" applyFill="1" applyBorder="1"/>
    <xf numFmtId="1" fontId="46" fillId="0" borderId="41" xfId="0" applyNumberFormat="1" applyFont="1" applyFill="1" applyBorder="1" applyAlignment="1">
      <alignment horizontal="center" vertical="center"/>
    </xf>
    <xf numFmtId="1" fontId="46" fillId="0" borderId="10" xfId="0" applyNumberFormat="1" applyFont="1" applyFill="1" applyBorder="1" applyAlignment="1">
      <alignment horizontal="center" vertical="center"/>
    </xf>
    <xf numFmtId="9" fontId="46" fillId="0" borderId="10" xfId="22" applyFont="1" applyFill="1" applyBorder="1" applyAlignment="1">
      <alignment horizontal="center" vertical="center"/>
    </xf>
    <xf numFmtId="1" fontId="46" fillId="0" borderId="10" xfId="22" applyNumberFormat="1" applyFont="1" applyFill="1" applyBorder="1" applyAlignment="1">
      <alignment horizontal="center" vertical="center"/>
    </xf>
    <xf numFmtId="1" fontId="46" fillId="0" borderId="23" xfId="0" applyNumberFormat="1" applyFont="1" applyFill="1" applyBorder="1" applyAlignment="1">
      <alignment horizontal="center" vertical="center"/>
    </xf>
    <xf numFmtId="1" fontId="46" fillId="0" borderId="5" xfId="0" applyNumberFormat="1" applyFont="1" applyFill="1" applyBorder="1" applyAlignment="1">
      <alignment horizontal="center" vertical="center"/>
    </xf>
    <xf numFmtId="1" fontId="46" fillId="0" borderId="0" xfId="0" applyNumberFormat="1" applyFont="1" applyFill="1"/>
    <xf numFmtId="1" fontId="19" fillId="0" borderId="71" xfId="0" applyNumberFormat="1" applyFont="1" applyFill="1" applyBorder="1" applyAlignment="1">
      <alignment horizontal="center" vertical="center"/>
    </xf>
    <xf numFmtId="1" fontId="33" fillId="0" borderId="10" xfId="0" applyNumberFormat="1" applyFont="1" applyFill="1" applyBorder="1" applyAlignment="1">
      <alignment vertical="center"/>
    </xf>
    <xf numFmtId="0" fontId="4" fillId="0" borderId="41" xfId="0" applyFont="1" applyFill="1" applyBorder="1" applyAlignment="1">
      <alignment horizontal="center" vertical="center"/>
    </xf>
    <xf numFmtId="0" fontId="46" fillId="0" borderId="0" xfId="0" applyFont="1" applyFill="1" applyAlignment="1">
      <alignment horizontal="center" vertical="center"/>
    </xf>
    <xf numFmtId="1" fontId="19" fillId="0" borderId="53" xfId="0" applyNumberFormat="1" applyFont="1" applyFill="1" applyBorder="1" applyAlignment="1">
      <alignment horizontal="center" vertical="center"/>
    </xf>
    <xf numFmtId="2" fontId="46" fillId="0" borderId="10" xfId="0" applyNumberFormat="1" applyFont="1" applyFill="1" applyBorder="1" applyAlignment="1">
      <alignment horizontal="center" vertical="center"/>
    </xf>
    <xf numFmtId="0" fontId="7" fillId="0" borderId="42" xfId="0" applyFont="1" applyFill="1" applyBorder="1" applyAlignment="1">
      <alignment horizontal="left" vertical="center" wrapText="1"/>
    </xf>
    <xf numFmtId="0" fontId="7" fillId="0" borderId="17" xfId="0" quotePrefix="1" applyFont="1" applyFill="1" applyBorder="1" applyAlignment="1">
      <alignment horizontal="left" vertical="center" wrapText="1"/>
    </xf>
    <xf numFmtId="1" fontId="36" fillId="0" borderId="0" xfId="0" applyNumberFormat="1" applyFont="1" applyFill="1" applyAlignment="1">
      <alignment horizontal="center" vertical="center"/>
    </xf>
    <xf numFmtId="0" fontId="36" fillId="0" borderId="0" xfId="0" applyFont="1" applyFill="1" applyAlignment="1">
      <alignment horizontal="center" vertical="center"/>
    </xf>
    <xf numFmtId="0" fontId="27" fillId="0" borderId="10" xfId="0" applyFont="1" applyFill="1" applyBorder="1" applyAlignment="1">
      <alignment horizontal="center" vertical="center"/>
    </xf>
    <xf numFmtId="0" fontId="47" fillId="0" borderId="10" xfId="0" applyFont="1" applyFill="1" applyBorder="1" applyAlignment="1">
      <alignment vertical="center"/>
    </xf>
    <xf numFmtId="1" fontId="12" fillId="0" borderId="10" xfId="0" applyNumberFormat="1" applyFont="1" applyFill="1" applyBorder="1" applyAlignment="1">
      <alignment horizontal="center" vertical="center"/>
    </xf>
    <xf numFmtId="167" fontId="12" fillId="0" borderId="10" xfId="0" applyNumberFormat="1" applyFont="1" applyFill="1" applyBorder="1" applyAlignment="1">
      <alignment horizontal="center" vertical="center"/>
    </xf>
    <xf numFmtId="1" fontId="15" fillId="0" borderId="10" xfId="0" applyNumberFormat="1" applyFont="1" applyFill="1" applyBorder="1" applyAlignment="1">
      <alignment horizontal="center" vertical="center"/>
    </xf>
    <xf numFmtId="0" fontId="47" fillId="0" borderId="10" xfId="0" applyFont="1" applyFill="1" applyBorder="1" applyAlignment="1">
      <alignment horizontal="center" vertical="center"/>
    </xf>
    <xf numFmtId="0" fontId="12" fillId="0" borderId="10" xfId="0" applyFont="1" applyFill="1" applyBorder="1" applyAlignment="1">
      <alignment horizontal="center" vertical="center"/>
    </xf>
    <xf numFmtId="2" fontId="12" fillId="0" borderId="10" xfId="0" applyNumberFormat="1" applyFont="1" applyFill="1" applyBorder="1" applyAlignment="1">
      <alignment horizontal="center" vertical="center"/>
    </xf>
    <xf numFmtId="170" fontId="12" fillId="0" borderId="10" xfId="0" applyNumberFormat="1" applyFont="1" applyFill="1" applyBorder="1" applyAlignment="1">
      <alignment horizontal="center" vertical="center"/>
    </xf>
    <xf numFmtId="9" fontId="5" fillId="0" borderId="10" xfId="22" applyFont="1" applyFill="1" applyBorder="1" applyAlignment="1">
      <alignment vertical="center"/>
    </xf>
    <xf numFmtId="0" fontId="57" fillId="0" borderId="0" xfId="0" applyFont="1" applyFill="1"/>
    <xf numFmtId="1" fontId="133" fillId="0" borderId="37" xfId="0" applyNumberFormat="1" applyFont="1" applyFill="1" applyBorder="1" applyAlignment="1">
      <alignment horizontal="center" vertical="center"/>
    </xf>
    <xf numFmtId="167" fontId="133" fillId="0" borderId="37" xfId="0" applyNumberFormat="1" applyFont="1" applyFill="1" applyBorder="1" applyAlignment="1">
      <alignment horizontal="center" vertical="center"/>
    </xf>
    <xf numFmtId="2" fontId="133" fillId="0" borderId="37" xfId="0" applyNumberFormat="1" applyFont="1" applyFill="1" applyBorder="1" applyAlignment="1">
      <alignment horizontal="center" vertical="center"/>
    </xf>
    <xf numFmtId="1" fontId="21" fillId="0" borderId="17" xfId="0" applyNumberFormat="1" applyFont="1" applyFill="1" applyBorder="1" applyAlignment="1">
      <alignment horizontal="center" vertical="center"/>
    </xf>
    <xf numFmtId="1" fontId="19" fillId="0" borderId="17" xfId="0" applyNumberFormat="1" applyFont="1" applyFill="1" applyBorder="1" applyAlignment="1">
      <alignment horizontal="center" vertical="center"/>
    </xf>
    <xf numFmtId="1" fontId="21" fillId="0" borderId="72" xfId="0" applyNumberFormat="1" applyFont="1" applyFill="1" applyBorder="1" applyAlignment="1">
      <alignment horizontal="center" vertical="center"/>
    </xf>
    <xf numFmtId="1" fontId="21" fillId="0" borderId="23" xfId="0" applyNumberFormat="1" applyFont="1" applyFill="1" applyBorder="1" applyAlignment="1">
      <alignment horizontal="center" vertical="center"/>
    </xf>
    <xf numFmtId="167" fontId="21" fillId="0" borderId="17" xfId="0" applyNumberFormat="1" applyFont="1" applyFill="1" applyBorder="1" applyAlignment="1">
      <alignment horizontal="center" vertical="center"/>
    </xf>
    <xf numFmtId="1" fontId="21" fillId="0" borderId="33" xfId="0" applyNumberFormat="1" applyFont="1" applyFill="1" applyBorder="1" applyAlignment="1">
      <alignment horizontal="center" vertical="center"/>
    </xf>
    <xf numFmtId="2" fontId="21" fillId="0" borderId="17" xfId="0" applyNumberFormat="1" applyFont="1" applyFill="1" applyBorder="1" applyAlignment="1">
      <alignment horizontal="center" vertical="center"/>
    </xf>
    <xf numFmtId="167" fontId="22" fillId="0" borderId="41" xfId="0" applyNumberFormat="1" applyFont="1" applyFill="1" applyBorder="1" applyAlignment="1">
      <alignment horizontal="center" vertical="center"/>
    </xf>
    <xf numFmtId="2" fontId="22" fillId="0" borderId="10" xfId="0" applyNumberFormat="1" applyFont="1" applyFill="1" applyBorder="1" applyAlignment="1">
      <alignment horizontal="center" vertical="center"/>
    </xf>
    <xf numFmtId="2" fontId="22" fillId="0" borderId="23" xfId="0" applyNumberFormat="1" applyFont="1" applyFill="1" applyBorder="1" applyAlignment="1">
      <alignment horizontal="center" vertical="center"/>
    </xf>
    <xf numFmtId="167" fontId="21" fillId="0" borderId="31" xfId="0" applyNumberFormat="1" applyFont="1" applyFill="1" applyBorder="1" applyAlignment="1">
      <alignment horizontal="center" vertical="center"/>
    </xf>
    <xf numFmtId="169" fontId="21" fillId="0" borderId="17" xfId="0" applyNumberFormat="1" applyFont="1" applyFill="1" applyBorder="1" applyAlignment="1">
      <alignment horizontal="center" vertical="center"/>
    </xf>
    <xf numFmtId="2" fontId="49" fillId="0" borderId="10" xfId="0" applyNumberFormat="1" applyFont="1" applyFill="1" applyBorder="1" applyAlignment="1">
      <alignment horizontal="center" vertical="center"/>
    </xf>
    <xf numFmtId="0" fontId="46" fillId="0" borderId="17" xfId="0" applyFont="1" applyFill="1" applyBorder="1" applyAlignment="1">
      <alignment horizontal="center" vertical="center"/>
    </xf>
    <xf numFmtId="1" fontId="4" fillId="0" borderId="17" xfId="0" applyNumberFormat="1" applyFont="1" applyFill="1" applyBorder="1" applyAlignment="1">
      <alignment horizontal="center" vertical="center"/>
    </xf>
    <xf numFmtId="1" fontId="91" fillId="0" borderId="17" xfId="0" applyNumberFormat="1" applyFont="1" applyFill="1" applyBorder="1" applyAlignment="1">
      <alignment horizontal="center" vertical="center"/>
    </xf>
    <xf numFmtId="1" fontId="4" fillId="0" borderId="33" xfId="0" applyNumberFormat="1" applyFont="1" applyFill="1" applyBorder="1" applyAlignment="1">
      <alignment horizontal="center" vertical="center"/>
    </xf>
    <xf numFmtId="1" fontId="46" fillId="0" borderId="0" xfId="0" applyNumberFormat="1" applyFont="1" applyFill="1" applyAlignment="1">
      <alignment horizontal="center" vertical="center"/>
    </xf>
    <xf numFmtId="0" fontId="35" fillId="0" borderId="0" xfId="0" applyFont="1" applyFill="1" applyAlignment="1">
      <alignment horizontal="center" vertical="center"/>
    </xf>
    <xf numFmtId="0" fontId="22" fillId="0" borderId="26" xfId="0" applyFont="1" applyFill="1" applyBorder="1" applyAlignment="1">
      <alignment horizontal="center" vertical="center"/>
    </xf>
    <xf numFmtId="167" fontId="21" fillId="0" borderId="53" xfId="0" applyNumberFormat="1" applyFont="1" applyFill="1" applyBorder="1" applyAlignment="1">
      <alignment horizontal="center" vertical="center"/>
    </xf>
    <xf numFmtId="167" fontId="21" fillId="0" borderId="71" xfId="0" applyNumberFormat="1" applyFont="1" applyFill="1" applyBorder="1" applyAlignment="1">
      <alignment horizontal="center" vertical="center"/>
    </xf>
    <xf numFmtId="167" fontId="22" fillId="0" borderId="13" xfId="0" applyNumberFormat="1" applyFont="1" applyFill="1" applyBorder="1" applyAlignment="1">
      <alignment horizontal="center" vertical="center"/>
    </xf>
    <xf numFmtId="0" fontId="19" fillId="0" borderId="61" xfId="0" applyFont="1" applyFill="1" applyBorder="1" applyAlignment="1">
      <alignment vertical="center"/>
    </xf>
    <xf numFmtId="2" fontId="21" fillId="0" borderId="53" xfId="0" applyNumberFormat="1" applyFont="1" applyFill="1" applyBorder="1" applyAlignment="1">
      <alignment horizontal="center" vertical="center"/>
    </xf>
    <xf numFmtId="2" fontId="21" fillId="0" borderId="33" xfId="0" applyNumberFormat="1" applyFont="1" applyFill="1" applyBorder="1" applyAlignment="1">
      <alignment horizontal="center" vertical="center"/>
    </xf>
    <xf numFmtId="1" fontId="21" fillId="0" borderId="53" xfId="0" applyNumberFormat="1" applyFont="1" applyFill="1" applyBorder="1" applyAlignment="1">
      <alignment horizontal="center" vertical="center"/>
    </xf>
    <xf numFmtId="1" fontId="22" fillId="0" borderId="85" xfId="0" applyNumberFormat="1" applyFont="1" applyFill="1" applyBorder="1" applyAlignment="1">
      <alignment horizontal="center" vertical="center"/>
    </xf>
    <xf numFmtId="1" fontId="21" fillId="0" borderId="42" xfId="0" applyNumberFormat="1" applyFont="1" applyFill="1" applyBorder="1" applyAlignment="1">
      <alignment horizontal="center" vertical="center"/>
    </xf>
    <xf numFmtId="167" fontId="21" fillId="0" borderId="42" xfId="0" applyNumberFormat="1" applyFont="1" applyFill="1" applyBorder="1" applyAlignment="1">
      <alignment horizontal="center" vertical="center"/>
    </xf>
    <xf numFmtId="167" fontId="21" fillId="0" borderId="72" xfId="0" applyNumberFormat="1" applyFont="1" applyFill="1" applyBorder="1" applyAlignment="1">
      <alignment horizontal="center" vertical="center"/>
    </xf>
    <xf numFmtId="167" fontId="19" fillId="0" borderId="11" xfId="0" applyNumberFormat="1" applyFont="1" applyFill="1" applyBorder="1" applyAlignment="1">
      <alignment horizontal="center" vertical="center"/>
    </xf>
    <xf numFmtId="1" fontId="21" fillId="0" borderId="19" xfId="0" applyNumberFormat="1" applyFont="1" applyFill="1" applyBorder="1" applyAlignment="1">
      <alignment horizontal="center" vertical="center"/>
    </xf>
    <xf numFmtId="1" fontId="21" fillId="0" borderId="58" xfId="0" applyNumberFormat="1" applyFont="1" applyFill="1" applyBorder="1" applyAlignment="1">
      <alignment horizontal="center" vertical="center"/>
    </xf>
    <xf numFmtId="1" fontId="19" fillId="0" borderId="11" xfId="0" applyNumberFormat="1" applyFont="1" applyFill="1" applyBorder="1" applyAlignment="1">
      <alignment horizontal="center" vertical="center"/>
    </xf>
    <xf numFmtId="1" fontId="21" fillId="0" borderId="50" xfId="0" applyNumberFormat="1" applyFont="1" applyFill="1" applyBorder="1" applyAlignment="1">
      <alignment horizontal="center" vertical="center"/>
    </xf>
    <xf numFmtId="1" fontId="21" fillId="0" borderId="54" xfId="0" applyNumberFormat="1" applyFont="1" applyFill="1" applyBorder="1" applyAlignment="1">
      <alignment horizontal="center" vertical="center"/>
    </xf>
    <xf numFmtId="1" fontId="19" fillId="0" borderId="85" xfId="0" applyNumberFormat="1" applyFont="1" applyFill="1" applyBorder="1" applyAlignment="1">
      <alignment horizontal="center" vertical="center"/>
    </xf>
    <xf numFmtId="167" fontId="21" fillId="0" borderId="19" xfId="0" applyNumberFormat="1" applyFont="1" applyFill="1" applyBorder="1" applyAlignment="1">
      <alignment horizontal="center" vertical="center"/>
    </xf>
    <xf numFmtId="0" fontId="5" fillId="0" borderId="50" xfId="0" applyFont="1" applyFill="1" applyBorder="1" applyAlignment="1">
      <alignment vertical="center"/>
    </xf>
    <xf numFmtId="167" fontId="19" fillId="0" borderId="17" xfId="0" applyNumberFormat="1" applyFont="1" applyFill="1" applyBorder="1" applyAlignment="1">
      <alignment horizontal="center" vertical="center"/>
    </xf>
    <xf numFmtId="0" fontId="5" fillId="0" borderId="54" xfId="0" applyFont="1" applyFill="1" applyBorder="1" applyAlignment="1">
      <alignment vertical="center"/>
    </xf>
    <xf numFmtId="1" fontId="21" fillId="0" borderId="45" xfId="0" applyNumberFormat="1" applyFont="1" applyFill="1" applyBorder="1" applyAlignment="1">
      <alignment horizontal="center" vertical="center"/>
    </xf>
    <xf numFmtId="1" fontId="19" fillId="0" borderId="13" xfId="0" applyNumberFormat="1" applyFont="1" applyFill="1" applyBorder="1" applyAlignment="1">
      <alignment horizontal="center" vertical="center"/>
    </xf>
    <xf numFmtId="1" fontId="21" fillId="0" borderId="30" xfId="0" applyNumberFormat="1" applyFont="1" applyFill="1" applyBorder="1" applyAlignment="1">
      <alignment horizontal="center" vertical="center"/>
    </xf>
    <xf numFmtId="1" fontId="19" fillId="0" borderId="21" xfId="0" applyNumberFormat="1" applyFont="1" applyFill="1" applyBorder="1" applyAlignment="1">
      <alignment horizontal="center" vertical="center"/>
    </xf>
    <xf numFmtId="1" fontId="19" fillId="0" borderId="16" xfId="0" applyNumberFormat="1" applyFont="1" applyFill="1" applyBorder="1" applyAlignment="1">
      <alignment horizontal="center" vertical="center"/>
    </xf>
    <xf numFmtId="1" fontId="21" fillId="0" borderId="22" xfId="0" applyNumberFormat="1" applyFont="1" applyFill="1" applyBorder="1" applyAlignment="1">
      <alignment horizontal="center" vertical="center"/>
    </xf>
    <xf numFmtId="1" fontId="21" fillId="0" borderId="12" xfId="0" applyNumberFormat="1" applyFont="1" applyFill="1" applyBorder="1" applyAlignment="1">
      <alignment horizontal="center" vertical="center"/>
    </xf>
    <xf numFmtId="167" fontId="21" fillId="0" borderId="50" xfId="0" applyNumberFormat="1" applyFont="1" applyFill="1" applyBorder="1" applyAlignment="1">
      <alignment horizontal="center" vertical="center"/>
    </xf>
    <xf numFmtId="167" fontId="22" fillId="0" borderId="19" xfId="0" applyNumberFormat="1" applyFont="1" applyFill="1" applyBorder="1" applyAlignment="1">
      <alignment horizontal="center" vertical="center"/>
    </xf>
    <xf numFmtId="167" fontId="5" fillId="0" borderId="19" xfId="0" applyNumberFormat="1" applyFont="1" applyFill="1" applyBorder="1" applyAlignment="1">
      <alignment vertical="center"/>
    </xf>
    <xf numFmtId="0" fontId="30" fillId="0" borderId="19" xfId="0" applyFont="1" applyFill="1" applyBorder="1" applyAlignment="1">
      <alignment vertical="center"/>
    </xf>
    <xf numFmtId="167" fontId="22" fillId="0" borderId="58" xfId="0" applyNumberFormat="1" applyFont="1" applyFill="1" applyBorder="1" applyAlignment="1">
      <alignment horizontal="center" vertical="center"/>
    </xf>
    <xf numFmtId="167" fontId="30" fillId="0" borderId="19" xfId="0" applyNumberFormat="1" applyFont="1" applyFill="1" applyBorder="1" applyAlignment="1">
      <alignment vertical="center"/>
    </xf>
    <xf numFmtId="169" fontId="21" fillId="0" borderId="33" xfId="0" applyNumberFormat="1" applyFont="1" applyFill="1" applyBorder="1" applyAlignment="1">
      <alignment horizontal="center" vertical="center"/>
    </xf>
    <xf numFmtId="2" fontId="21" fillId="0" borderId="42" xfId="0" applyNumberFormat="1" applyFont="1" applyFill="1" applyBorder="1" applyAlignment="1">
      <alignment horizontal="center" vertical="center"/>
    </xf>
    <xf numFmtId="2" fontId="21" fillId="0" borderId="17" xfId="0" applyNumberFormat="1" applyFont="1" applyFill="1" applyBorder="1" applyAlignment="1">
      <alignment horizontal="center"/>
    </xf>
    <xf numFmtId="167" fontId="4" fillId="0" borderId="11" xfId="0" applyNumberFormat="1" applyFont="1" applyFill="1" applyBorder="1" applyAlignment="1">
      <alignment horizontal="center" vertical="center"/>
    </xf>
    <xf numFmtId="0" fontId="21" fillId="0" borderId="0" xfId="0" applyFont="1" applyFill="1"/>
    <xf numFmtId="1" fontId="22" fillId="0" borderId="10" xfId="0" applyNumberFormat="1" applyFont="1" applyBorder="1" applyAlignment="1">
      <alignment horizontal="center" vertical="center"/>
    </xf>
    <xf numFmtId="0" fontId="0" fillId="0" borderId="0" xfId="0"/>
    <xf numFmtId="1" fontId="82" fillId="8" borderId="0" xfId="186" applyNumberFormat="1" applyFont="1" applyFill="1" applyAlignment="1">
      <alignment horizontal="center" vertical="center"/>
    </xf>
    <xf numFmtId="1" fontId="21" fillId="45" borderId="10" xfId="0" applyNumberFormat="1" applyFont="1" applyFill="1" applyBorder="1" applyAlignment="1">
      <alignment horizontal="center" vertical="center"/>
    </xf>
    <xf numFmtId="1" fontId="21" fillId="45" borderId="41" xfId="0" applyNumberFormat="1" applyFont="1" applyFill="1" applyBorder="1" applyAlignment="1">
      <alignment horizontal="center" vertical="center"/>
    </xf>
    <xf numFmtId="0" fontId="46" fillId="45" borderId="10" xfId="0" applyFont="1" applyFill="1" applyBorder="1"/>
    <xf numFmtId="167" fontId="22" fillId="45" borderId="10" xfId="0" applyNumberFormat="1" applyFont="1" applyFill="1" applyBorder="1" applyAlignment="1">
      <alignment horizontal="center" vertical="center"/>
    </xf>
    <xf numFmtId="167" fontId="21" fillId="45" borderId="45" xfId="0" applyNumberFormat="1" applyFont="1" applyFill="1" applyBorder="1" applyAlignment="1">
      <alignment horizontal="center" vertical="center"/>
    </xf>
    <xf numFmtId="167" fontId="21" fillId="45" borderId="23" xfId="0" applyNumberFormat="1" applyFont="1" applyFill="1" applyBorder="1" applyAlignment="1">
      <alignment horizontal="center" vertical="center"/>
    </xf>
    <xf numFmtId="1" fontId="21" fillId="8" borderId="10" xfId="0" applyNumberFormat="1" applyFont="1" applyFill="1" applyBorder="1" applyAlignment="1">
      <alignment horizontal="center" vertical="center"/>
    </xf>
    <xf numFmtId="0" fontId="0" fillId="0" borderId="0" xfId="0"/>
    <xf numFmtId="0" fontId="37" fillId="0" borderId="10" xfId="0" applyFont="1" applyBorder="1" applyAlignment="1">
      <alignment horizontal="center"/>
    </xf>
    <xf numFmtId="0" fontId="24" fillId="43" borderId="10" xfId="0" applyFont="1" applyFill="1" applyBorder="1" applyAlignment="1">
      <alignment horizontal="center"/>
    </xf>
    <xf numFmtId="0" fontId="22" fillId="5" borderId="1" xfId="0" applyFont="1" applyFill="1" applyBorder="1" applyAlignment="1">
      <alignment horizontal="center" vertical="center"/>
    </xf>
    <xf numFmtId="0" fontId="22" fillId="7" borderId="1" xfId="0" applyFont="1" applyFill="1" applyBorder="1" applyAlignment="1">
      <alignment horizontal="center" vertical="center"/>
    </xf>
    <xf numFmtId="0" fontId="22" fillId="0" borderId="4" xfId="0" applyFont="1" applyBorder="1" applyAlignment="1">
      <alignment horizontal="center" vertical="center"/>
    </xf>
    <xf numFmtId="1" fontId="19" fillId="0" borderId="15" xfId="0" applyNumberFormat="1" applyFont="1" applyBorder="1" applyAlignment="1">
      <alignment horizontal="center" vertical="center"/>
    </xf>
    <xf numFmtId="167" fontId="11" fillId="47" borderId="0" xfId="0" applyNumberFormat="1" applyFont="1" applyFill="1"/>
    <xf numFmtId="0" fontId="22" fillId="8" borderId="31" xfId="0" applyFont="1" applyFill="1" applyBorder="1" applyAlignment="1">
      <alignment horizontal="left" vertical="center" indent="1"/>
    </xf>
    <xf numFmtId="0" fontId="22" fillId="0" borderId="34" xfId="0" applyFont="1" applyBorder="1" applyAlignment="1">
      <alignment horizontal="left" vertical="center" indent="1"/>
    </xf>
    <xf numFmtId="1" fontId="15" fillId="7" borderId="3" xfId="0" applyNumberFormat="1" applyFont="1" applyFill="1" applyBorder="1" applyAlignment="1">
      <alignment horizontal="center" vertical="center"/>
    </xf>
    <xf numFmtId="167" fontId="0" fillId="0" borderId="3" xfId="0" applyNumberFormat="1" applyBorder="1" applyAlignment="1">
      <alignment horizontal="center" vertical="center"/>
    </xf>
    <xf numFmtId="167" fontId="0" fillId="0" borderId="29" xfId="0" applyNumberFormat="1" applyBorder="1" applyAlignment="1">
      <alignment horizontal="center" vertical="center"/>
    </xf>
    <xf numFmtId="2" fontId="0" fillId="0" borderId="29" xfId="0" applyNumberFormat="1" applyBorder="1" applyAlignment="1">
      <alignment horizontal="center" vertical="center"/>
    </xf>
    <xf numFmtId="167" fontId="0" fillId="0" borderId="59" xfId="0" applyNumberFormat="1" applyBorder="1" applyAlignment="1">
      <alignment horizontal="center" vertical="center"/>
    </xf>
    <xf numFmtId="2" fontId="0" fillId="7" borderId="12" xfId="0" applyNumberFormat="1" applyFill="1" applyBorder="1" applyAlignment="1">
      <alignment horizontal="center" vertical="center"/>
    </xf>
    <xf numFmtId="0" fontId="0" fillId="0" borderId="0" xfId="0" applyBorder="1"/>
    <xf numFmtId="0" fontId="0" fillId="0" borderId="54" xfId="0" applyBorder="1"/>
    <xf numFmtId="0" fontId="21" fillId="0" borderId="52" xfId="0" applyFont="1" applyBorder="1" applyAlignment="1">
      <alignment horizontal="left" indent="1"/>
    </xf>
    <xf numFmtId="0" fontId="21" fillId="0" borderId="70" xfId="0" applyFont="1" applyBorder="1" applyAlignment="1">
      <alignment horizontal="left" indent="1"/>
    </xf>
    <xf numFmtId="0" fontId="21" fillId="0" borderId="44" xfId="0" applyFont="1" applyBorder="1" applyAlignment="1">
      <alignment horizontal="left" indent="1"/>
    </xf>
    <xf numFmtId="0" fontId="21" fillId="0" borderId="51" xfId="0" applyFont="1" applyBorder="1" applyAlignment="1">
      <alignment horizontal="left" indent="1"/>
    </xf>
    <xf numFmtId="1" fontId="21" fillId="5" borderId="9" xfId="0" applyNumberFormat="1" applyFont="1" applyFill="1" applyBorder="1" applyAlignment="1">
      <alignment horizontal="center" vertical="center"/>
    </xf>
    <xf numFmtId="1" fontId="21" fillId="0" borderId="26" xfId="0" applyNumberFormat="1" applyFont="1" applyBorder="1" applyAlignment="1">
      <alignment horizontal="center" vertical="center"/>
    </xf>
    <xf numFmtId="0" fontId="22" fillId="0" borderId="20" xfId="0" applyFont="1" applyBorder="1" applyAlignment="1">
      <alignment horizontal="center" vertical="center"/>
    </xf>
    <xf numFmtId="1" fontId="21" fillId="7" borderId="62" xfId="0" applyNumberFormat="1" applyFont="1" applyFill="1" applyBorder="1" applyAlignment="1">
      <alignment horizontal="center" vertical="center"/>
    </xf>
    <xf numFmtId="1" fontId="21" fillId="5" borderId="62" xfId="0" applyNumberFormat="1" applyFont="1" applyFill="1" applyBorder="1" applyAlignment="1">
      <alignment horizontal="center" vertical="center"/>
    </xf>
    <xf numFmtId="0" fontId="19" fillId="8" borderId="52" xfId="0" applyFont="1" applyFill="1" applyBorder="1" applyAlignment="1">
      <alignment horizontal="left" indent="1"/>
    </xf>
    <xf numFmtId="167" fontId="19" fillId="0" borderId="41" xfId="0" applyNumberFormat="1" applyFont="1" applyBorder="1" applyAlignment="1">
      <alignment horizontal="center" vertical="center"/>
    </xf>
    <xf numFmtId="167" fontId="19" fillId="7" borderId="41" xfId="0" applyNumberFormat="1" applyFont="1" applyFill="1" applyBorder="1" applyAlignment="1">
      <alignment horizontal="center" vertical="center"/>
    </xf>
    <xf numFmtId="167" fontId="19" fillId="5" borderId="41" xfId="0" applyNumberFormat="1" applyFont="1" applyFill="1" applyBorder="1" applyAlignment="1">
      <alignment horizontal="center" vertical="center"/>
    </xf>
    <xf numFmtId="0" fontId="21" fillId="0" borderId="31" xfId="0" applyFont="1" applyBorder="1" applyAlignment="1">
      <alignment horizontal="left" indent="1"/>
    </xf>
    <xf numFmtId="167" fontId="19" fillId="0" borderId="55" xfId="0" applyNumberFormat="1" applyFont="1" applyBorder="1" applyAlignment="1">
      <alignment horizontal="center" vertical="center"/>
    </xf>
    <xf numFmtId="167" fontId="19" fillId="7" borderId="55" xfId="0" applyNumberFormat="1" applyFont="1" applyFill="1" applyBorder="1" applyAlignment="1">
      <alignment horizontal="center" vertical="center"/>
    </xf>
    <xf numFmtId="0" fontId="21" fillId="0" borderId="63" xfId="0" applyFont="1" applyBorder="1" applyAlignment="1">
      <alignment horizontal="left" indent="1"/>
    </xf>
    <xf numFmtId="0" fontId="21" fillId="0" borderId="62" xfId="0" applyFont="1" applyBorder="1" applyAlignment="1">
      <alignment horizontal="left" indent="1"/>
    </xf>
    <xf numFmtId="0" fontId="19" fillId="0" borderId="1" xfId="0" applyFont="1" applyBorder="1"/>
    <xf numFmtId="0" fontId="22" fillId="8" borderId="40" xfId="0" applyFont="1" applyFill="1" applyBorder="1"/>
    <xf numFmtId="0" fontId="22" fillId="8" borderId="45" xfId="0" applyFont="1" applyFill="1" applyBorder="1" applyAlignment="1">
      <alignment vertical="center"/>
    </xf>
    <xf numFmtId="0" fontId="22" fillId="0" borderId="45" xfId="0" applyFont="1" applyFill="1" applyBorder="1" applyAlignment="1">
      <alignment vertical="center"/>
    </xf>
    <xf numFmtId="0" fontId="22" fillId="8" borderId="0" xfId="0" applyFont="1" applyFill="1" applyBorder="1" applyAlignment="1">
      <alignment vertical="center"/>
    </xf>
    <xf numFmtId="0" fontId="22" fillId="8" borderId="35" xfId="0" applyFont="1" applyFill="1" applyBorder="1" applyAlignment="1">
      <alignment vertical="center"/>
    </xf>
    <xf numFmtId="9" fontId="22" fillId="8" borderId="54" xfId="22" applyFont="1" applyFill="1" applyBorder="1" applyAlignment="1">
      <alignment vertical="center"/>
    </xf>
    <xf numFmtId="9" fontId="22" fillId="0" borderId="54" xfId="22" applyFont="1" applyFill="1" applyBorder="1" applyAlignment="1">
      <alignment vertical="center"/>
    </xf>
    <xf numFmtId="0" fontId="20" fillId="0" borderId="14" xfId="0" applyFont="1" applyBorder="1" applyAlignment="1">
      <alignment horizontal="center" vertical="center"/>
    </xf>
    <xf numFmtId="2" fontId="20" fillId="0" borderId="14" xfId="0" applyNumberFormat="1" applyFont="1" applyBorder="1" applyAlignment="1">
      <alignment horizontal="center" vertical="center"/>
    </xf>
    <xf numFmtId="2" fontId="20" fillId="0" borderId="15" xfId="0" applyNumberFormat="1" applyFont="1" applyBorder="1" applyAlignment="1">
      <alignment horizontal="center" vertical="center"/>
    </xf>
    <xf numFmtId="0" fontId="20" fillId="0" borderId="41" xfId="0" applyFont="1" applyBorder="1" applyAlignment="1">
      <alignment horizontal="center" vertical="center"/>
    </xf>
    <xf numFmtId="2" fontId="20" fillId="0" borderId="41" xfId="0" applyNumberFormat="1" applyFont="1" applyBorder="1" applyAlignment="1">
      <alignment horizontal="center" vertical="center"/>
    </xf>
    <xf numFmtId="2" fontId="20" fillId="7" borderId="41" xfId="0" applyNumberFormat="1" applyFont="1" applyFill="1" applyBorder="1" applyAlignment="1">
      <alignment horizontal="center" vertical="center"/>
    </xf>
    <xf numFmtId="2" fontId="20" fillId="5" borderId="41" xfId="0" applyNumberFormat="1" applyFont="1" applyFill="1" applyBorder="1" applyAlignment="1">
      <alignment horizontal="center" vertical="center"/>
    </xf>
    <xf numFmtId="2" fontId="20" fillId="0" borderId="66" xfId="0" applyNumberFormat="1" applyFont="1" applyBorder="1" applyAlignment="1">
      <alignment horizontal="center" vertical="center"/>
    </xf>
    <xf numFmtId="2" fontId="20" fillId="7" borderId="42" xfId="0" applyNumberFormat="1" applyFont="1" applyFill="1" applyBorder="1" applyAlignment="1">
      <alignment horizontal="center" vertical="center"/>
    </xf>
    <xf numFmtId="2" fontId="20" fillId="7" borderId="23" xfId="0" applyNumberFormat="1" applyFont="1" applyFill="1" applyBorder="1" applyAlignment="1">
      <alignment horizontal="center" vertical="center"/>
    </xf>
    <xf numFmtId="2" fontId="20" fillId="5" borderId="23" xfId="0" applyNumberFormat="1" applyFont="1" applyFill="1" applyBorder="1" applyAlignment="1">
      <alignment horizontal="center" vertical="center"/>
    </xf>
    <xf numFmtId="2" fontId="20" fillId="7" borderId="33" xfId="0" applyNumberFormat="1" applyFont="1" applyFill="1" applyBorder="1" applyAlignment="1">
      <alignment horizontal="center" vertical="center"/>
    </xf>
    <xf numFmtId="0" fontId="19" fillId="0" borderId="50" xfId="0" applyFont="1" applyFill="1" applyBorder="1" applyAlignment="1">
      <alignment vertical="center"/>
    </xf>
    <xf numFmtId="2" fontId="20" fillId="7" borderId="14" xfId="0" applyNumberFormat="1" applyFont="1" applyFill="1" applyBorder="1" applyAlignment="1">
      <alignment horizontal="center" vertical="center"/>
    </xf>
    <xf numFmtId="2" fontId="20" fillId="5" borderId="14" xfId="0" applyNumberFormat="1" applyFont="1" applyFill="1" applyBorder="1" applyAlignment="1">
      <alignment horizontal="center" vertical="center"/>
    </xf>
    <xf numFmtId="2" fontId="20" fillId="7" borderId="73" xfId="0" applyNumberFormat="1" applyFont="1" applyFill="1" applyBorder="1" applyAlignment="1">
      <alignment horizontal="center" vertical="center"/>
    </xf>
    <xf numFmtId="2" fontId="19" fillId="0" borderId="41" xfId="0" applyNumberFormat="1" applyFont="1" applyBorder="1" applyAlignment="1">
      <alignment horizontal="center" vertical="center"/>
    </xf>
    <xf numFmtId="2" fontId="19" fillId="0" borderId="23" xfId="0" applyNumberFormat="1" applyFont="1" applyBorder="1" applyAlignment="1">
      <alignment horizontal="center" vertical="center"/>
    </xf>
    <xf numFmtId="2" fontId="19" fillId="0" borderId="14" xfId="0" applyNumberFormat="1" applyFont="1" applyBorder="1" applyAlignment="1">
      <alignment horizontal="center" vertical="center"/>
    </xf>
    <xf numFmtId="1" fontId="21" fillId="8" borderId="55" xfId="0" applyNumberFormat="1" applyFont="1" applyFill="1" applyBorder="1" applyAlignment="1">
      <alignment horizontal="center" vertical="center"/>
    </xf>
    <xf numFmtId="1" fontId="21" fillId="8" borderId="1" xfId="0" applyNumberFormat="1" applyFont="1" applyFill="1" applyBorder="1" applyAlignment="1">
      <alignment horizontal="center" vertical="center"/>
    </xf>
    <xf numFmtId="1" fontId="21" fillId="8" borderId="21" xfId="0" applyNumberFormat="1" applyFont="1" applyFill="1" applyBorder="1" applyAlignment="1">
      <alignment horizontal="center" vertical="center"/>
    </xf>
    <xf numFmtId="1" fontId="21" fillId="7" borderId="1" xfId="0" applyNumberFormat="1" applyFont="1" applyFill="1" applyBorder="1" applyAlignment="1">
      <alignment horizontal="center" vertical="center"/>
    </xf>
    <xf numFmtId="1" fontId="21" fillId="7" borderId="11" xfId="0" applyNumberFormat="1" applyFont="1" applyFill="1" applyBorder="1" applyAlignment="1">
      <alignment horizontal="center" vertical="center"/>
    </xf>
    <xf numFmtId="1" fontId="21" fillId="5" borderId="1" xfId="0" applyNumberFormat="1" applyFont="1" applyFill="1" applyBorder="1" applyAlignment="1">
      <alignment horizontal="center" vertical="center"/>
    </xf>
    <xf numFmtId="1" fontId="21" fillId="5" borderId="21" xfId="0" applyNumberFormat="1" applyFont="1" applyFill="1" applyBorder="1" applyAlignment="1">
      <alignment horizontal="center" vertical="center"/>
    </xf>
    <xf numFmtId="1" fontId="21" fillId="0" borderId="21" xfId="0" applyNumberFormat="1" applyFont="1" applyFill="1" applyBorder="1" applyAlignment="1">
      <alignment horizontal="center" vertical="center"/>
    </xf>
    <xf numFmtId="0" fontId="21" fillId="0" borderId="47" xfId="0" applyFont="1" applyBorder="1" applyAlignment="1">
      <alignment horizontal="right" indent="1"/>
    </xf>
    <xf numFmtId="0" fontId="21" fillId="0" borderId="70" xfId="0" applyFont="1" applyBorder="1" applyAlignment="1">
      <alignment horizontal="right" indent="1"/>
    </xf>
    <xf numFmtId="0" fontId="19" fillId="0" borderId="25" xfId="0" applyFont="1" applyBorder="1" applyAlignment="1">
      <alignment horizontal="right" indent="1"/>
    </xf>
    <xf numFmtId="0" fontId="21" fillId="0" borderId="52" xfId="0" applyFont="1" applyBorder="1" applyAlignment="1">
      <alignment horizontal="right" indent="1"/>
    </xf>
    <xf numFmtId="0" fontId="19" fillId="0" borderId="2" xfId="0" applyFont="1" applyBorder="1" applyAlignment="1">
      <alignment horizontal="right" indent="1"/>
    </xf>
    <xf numFmtId="0" fontId="21" fillId="0" borderId="63" xfId="0" applyFont="1" applyBorder="1" applyAlignment="1">
      <alignment horizontal="right" vertical="center" indent="1"/>
    </xf>
    <xf numFmtId="0" fontId="21" fillId="0" borderId="32" xfId="0" applyFont="1" applyBorder="1" applyAlignment="1">
      <alignment horizontal="right" vertical="center" indent="1"/>
    </xf>
    <xf numFmtId="0" fontId="21" fillId="0" borderId="9" xfId="0" applyFont="1" applyBorder="1" applyAlignment="1">
      <alignment horizontal="right" vertical="center" indent="1"/>
    </xf>
    <xf numFmtId="0" fontId="22" fillId="0" borderId="25" xfId="0" applyFont="1" applyBorder="1" applyAlignment="1">
      <alignment horizontal="left" indent="1"/>
    </xf>
    <xf numFmtId="0" fontId="21" fillId="0" borderId="63" xfId="0" applyFont="1" applyBorder="1" applyAlignment="1">
      <alignment horizontal="left" indent="2"/>
    </xf>
    <xf numFmtId="0" fontId="21" fillId="0" borderId="31" xfId="0" applyFont="1" applyBorder="1" applyAlignment="1">
      <alignment horizontal="left" indent="2"/>
    </xf>
    <xf numFmtId="0" fontId="19" fillId="8" borderId="74" xfId="0" applyFont="1" applyFill="1" applyBorder="1" applyAlignment="1">
      <alignment horizontal="left" indent="1"/>
    </xf>
    <xf numFmtId="0" fontId="5" fillId="8" borderId="52" xfId="0" applyFont="1" applyFill="1" applyBorder="1" applyAlignment="1">
      <alignment horizontal="left" vertical="center" indent="1"/>
    </xf>
    <xf numFmtId="0" fontId="19" fillId="8" borderId="25" xfId="0" applyFont="1" applyFill="1" applyBorder="1" applyAlignment="1">
      <alignment horizontal="right" vertical="center" indent="2"/>
    </xf>
    <xf numFmtId="0" fontId="19" fillId="8" borderId="13" xfId="0" applyFont="1" applyFill="1" applyBorder="1" applyAlignment="1">
      <alignment horizontal="left" indent="1"/>
    </xf>
    <xf numFmtId="0" fontId="5" fillId="8" borderId="35" xfId="0" applyFont="1" applyFill="1" applyBorder="1" applyAlignment="1">
      <alignment horizontal="left" vertical="center" indent="1"/>
    </xf>
    <xf numFmtId="0" fontId="5" fillId="8" borderId="40" xfId="0" applyFont="1" applyFill="1" applyBorder="1" applyAlignment="1">
      <alignment vertical="center"/>
    </xf>
    <xf numFmtId="0" fontId="5" fillId="8" borderId="0" xfId="0" applyFont="1" applyFill="1" applyBorder="1" applyAlignment="1">
      <alignment vertical="center"/>
    </xf>
    <xf numFmtId="167" fontId="19" fillId="7" borderId="17" xfId="0" applyNumberFormat="1" applyFont="1" applyFill="1" applyBorder="1" applyAlignment="1">
      <alignment horizontal="center" vertical="center"/>
    </xf>
    <xf numFmtId="167" fontId="21" fillId="0" borderId="49" xfId="0" applyNumberFormat="1" applyFont="1" applyBorder="1" applyAlignment="1">
      <alignment horizontal="center" vertical="center"/>
    </xf>
    <xf numFmtId="167" fontId="21" fillId="0" borderId="32" xfId="0" applyNumberFormat="1" applyFont="1" applyBorder="1" applyAlignment="1">
      <alignment horizontal="center" vertical="center"/>
    </xf>
    <xf numFmtId="167" fontId="21" fillId="0" borderId="33" xfId="0" applyNumberFormat="1" applyFont="1" applyBorder="1" applyAlignment="1">
      <alignment horizontal="center" vertical="center"/>
    </xf>
    <xf numFmtId="167" fontId="21" fillId="5" borderId="32" xfId="0" applyNumberFormat="1" applyFont="1" applyFill="1" applyBorder="1" applyAlignment="1">
      <alignment horizontal="center" vertical="center"/>
    </xf>
    <xf numFmtId="167" fontId="21" fillId="0" borderId="33" xfId="0" applyNumberFormat="1" applyFont="1" applyFill="1" applyBorder="1" applyAlignment="1">
      <alignment horizontal="center" vertical="center"/>
    </xf>
    <xf numFmtId="1" fontId="21" fillId="8" borderId="8" xfId="0" applyNumberFormat="1" applyFont="1" applyFill="1" applyBorder="1" applyAlignment="1">
      <alignment horizontal="center" vertical="center"/>
    </xf>
    <xf numFmtId="0" fontId="5" fillId="8" borderId="22" xfId="0" applyFont="1" applyFill="1" applyBorder="1" applyAlignment="1">
      <alignment horizontal="center"/>
    </xf>
    <xf numFmtId="167" fontId="0" fillId="0" borderId="39" xfId="0" applyNumberFormat="1" applyBorder="1"/>
    <xf numFmtId="167" fontId="0" fillId="0" borderId="56" xfId="0" applyNumberFormat="1" applyBorder="1"/>
    <xf numFmtId="0" fontId="5" fillId="8" borderId="44" xfId="0" applyFont="1" applyFill="1" applyBorder="1" applyAlignment="1">
      <alignment horizontal="left" vertical="center" indent="1"/>
    </xf>
    <xf numFmtId="0" fontId="21" fillId="0" borderId="47" xfId="0" applyFont="1" applyBorder="1" applyAlignment="1">
      <alignment horizontal="right" vertical="center" indent="1"/>
    </xf>
    <xf numFmtId="0" fontId="21" fillId="0" borderId="70" xfId="0" applyFont="1" applyBorder="1" applyAlignment="1">
      <alignment horizontal="right" vertical="center" indent="1"/>
    </xf>
    <xf numFmtId="0" fontId="21" fillId="0" borderId="47" xfId="0" applyFont="1" applyBorder="1" applyAlignment="1">
      <alignment horizontal="right" vertical="center" indent="2"/>
    </xf>
    <xf numFmtId="0" fontId="21" fillId="0" borderId="70" xfId="0" applyFont="1" applyBorder="1" applyAlignment="1">
      <alignment horizontal="right" vertical="center" indent="2"/>
    </xf>
    <xf numFmtId="0" fontId="21" fillId="0" borderId="31" xfId="0" applyFont="1" applyBorder="1" applyAlignment="1">
      <alignment horizontal="right" vertical="center" indent="1"/>
    </xf>
    <xf numFmtId="0" fontId="21" fillId="0" borderId="31" xfId="0" applyFont="1" applyBorder="1" applyAlignment="1">
      <alignment horizontal="right" vertical="center" indent="2"/>
    </xf>
    <xf numFmtId="0" fontId="21" fillId="0" borderId="62" xfId="0" applyFont="1" applyBorder="1" applyAlignment="1">
      <alignment horizontal="right" vertical="center" indent="2"/>
    </xf>
    <xf numFmtId="0" fontId="19" fillId="0" borderId="10" xfId="0" applyFont="1" applyBorder="1" applyAlignment="1">
      <alignment horizontal="right" vertical="center" indent="2"/>
    </xf>
    <xf numFmtId="0" fontId="19" fillId="0" borderId="25" xfId="0" applyFont="1" applyBorder="1" applyAlignment="1">
      <alignment horizontal="right" vertical="center" indent="2"/>
    </xf>
    <xf numFmtId="0" fontId="4" fillId="8" borderId="44" xfId="0" applyFont="1" applyFill="1" applyBorder="1" applyAlignment="1">
      <alignment horizontal="left" vertical="center" indent="1"/>
    </xf>
    <xf numFmtId="0" fontId="21" fillId="0" borderId="52" xfId="0" applyFont="1" applyBorder="1" applyAlignment="1">
      <alignment horizontal="right" vertical="center" indent="1"/>
    </xf>
    <xf numFmtId="0" fontId="21" fillId="0" borderId="35" xfId="0" applyFont="1" applyBorder="1" applyAlignment="1">
      <alignment horizontal="right" vertical="center" indent="1"/>
    </xf>
    <xf numFmtId="0" fontId="21" fillId="0" borderId="52" xfId="0" applyFont="1" applyBorder="1" applyAlignment="1">
      <alignment horizontal="right" vertical="center" indent="2"/>
    </xf>
    <xf numFmtId="0" fontId="19" fillId="0" borderId="57" xfId="0" applyFont="1" applyBorder="1" applyAlignment="1">
      <alignment horizontal="right" vertical="center" indent="2"/>
    </xf>
    <xf numFmtId="0" fontId="21" fillId="0" borderId="35" xfId="0" applyFont="1" applyBorder="1" applyAlignment="1">
      <alignment horizontal="right" vertical="center" indent="2"/>
    </xf>
    <xf numFmtId="0" fontId="19" fillId="0" borderId="2" xfId="0" applyFont="1" applyBorder="1" applyAlignment="1">
      <alignment horizontal="right" vertical="center" indent="2"/>
    </xf>
    <xf numFmtId="0" fontId="22" fillId="0" borderId="47" xfId="0" applyFont="1" applyBorder="1" applyAlignment="1">
      <alignment horizontal="right" vertical="center" indent="1"/>
    </xf>
    <xf numFmtId="168" fontId="21" fillId="0" borderId="47" xfId="0" applyNumberFormat="1" applyFont="1" applyBorder="1" applyAlignment="1">
      <alignment horizontal="right" vertical="center" indent="1"/>
    </xf>
    <xf numFmtId="168" fontId="21" fillId="0" borderId="47" xfId="0" quotePrefix="1" applyNumberFormat="1" applyFont="1" applyBorder="1" applyAlignment="1">
      <alignment horizontal="right" vertical="center" indent="1"/>
    </xf>
    <xf numFmtId="167" fontId="22" fillId="0" borderId="29" xfId="0" applyNumberFormat="1" applyFont="1" applyBorder="1" applyAlignment="1">
      <alignment horizontal="center" vertical="center"/>
    </xf>
    <xf numFmtId="169" fontId="21" fillId="8" borderId="59" xfId="0" applyNumberFormat="1" applyFont="1" applyFill="1" applyBorder="1" applyAlignment="1">
      <alignment horizontal="center" vertical="center"/>
    </xf>
    <xf numFmtId="0" fontId="4" fillId="8" borderId="2" xfId="0" applyFont="1" applyFill="1" applyBorder="1" applyAlignment="1">
      <alignment vertical="center"/>
    </xf>
    <xf numFmtId="0" fontId="5" fillId="8" borderId="22" xfId="0" applyFont="1" applyFill="1" applyBorder="1" applyAlignment="1">
      <alignment horizontal="center" vertical="center"/>
    </xf>
    <xf numFmtId="0" fontId="4" fillId="8" borderId="2" xfId="0" applyFont="1" applyFill="1" applyBorder="1" applyAlignment="1">
      <alignment horizontal="left" vertical="center" indent="1"/>
    </xf>
    <xf numFmtId="169" fontId="21" fillId="7" borderId="27" xfId="0" applyNumberFormat="1" applyFont="1" applyFill="1" applyBorder="1" applyAlignment="1">
      <alignment horizontal="center" vertical="center"/>
    </xf>
    <xf numFmtId="167" fontId="21" fillId="8" borderId="8" xfId="0" applyNumberFormat="1" applyFont="1" applyFill="1" applyBorder="1" applyAlignment="1">
      <alignment horizontal="center" vertical="center"/>
    </xf>
    <xf numFmtId="167" fontId="0" fillId="0" borderId="0" xfId="0" applyNumberFormat="1" applyBorder="1"/>
    <xf numFmtId="167" fontId="0" fillId="0" borderId="54" xfId="0" applyNumberFormat="1" applyBorder="1"/>
    <xf numFmtId="167" fontId="21" fillId="7" borderId="12" xfId="0" applyNumberFormat="1" applyFont="1" applyFill="1" applyBorder="1" applyAlignment="1">
      <alignment horizontal="center" vertical="center"/>
    </xf>
    <xf numFmtId="169" fontId="21" fillId="7" borderId="20" xfId="0" applyNumberFormat="1" applyFont="1" applyFill="1" applyBorder="1" applyAlignment="1">
      <alignment horizontal="center" vertical="center"/>
    </xf>
    <xf numFmtId="2" fontId="21" fillId="7" borderId="17" xfId="0" applyNumberFormat="1" applyFont="1" applyFill="1" applyBorder="1" applyAlignment="1">
      <alignment horizontal="center"/>
    </xf>
    <xf numFmtId="2" fontId="21" fillId="7" borderId="23" xfId="0" applyNumberFormat="1" applyFont="1" applyFill="1" applyBorder="1" applyAlignment="1">
      <alignment horizontal="center"/>
    </xf>
    <xf numFmtId="2" fontId="21" fillId="7" borderId="33" xfId="0" applyNumberFormat="1" applyFont="1" applyFill="1" applyBorder="1" applyAlignment="1">
      <alignment horizontal="center"/>
    </xf>
    <xf numFmtId="0" fontId="19" fillId="8" borderId="18" xfId="0" applyFont="1" applyFill="1" applyBorder="1" applyAlignment="1">
      <alignment vertical="center"/>
    </xf>
    <xf numFmtId="0" fontId="21" fillId="0" borderId="25" xfId="0" applyFont="1" applyBorder="1" applyAlignment="1">
      <alignment horizontal="left" vertical="center" indent="1"/>
    </xf>
    <xf numFmtId="0" fontId="22" fillId="0" borderId="70" xfId="0" applyFont="1" applyBorder="1" applyAlignment="1">
      <alignment horizontal="right" vertical="center" indent="2"/>
    </xf>
    <xf numFmtId="0" fontId="21" fillId="0" borderId="25" xfId="0" applyFont="1" applyBorder="1" applyAlignment="1">
      <alignment horizontal="right" vertical="center" indent="2"/>
    </xf>
    <xf numFmtId="2" fontId="21" fillId="0" borderId="3" xfId="0" applyNumberFormat="1" applyFont="1" applyBorder="1" applyAlignment="1">
      <alignment horizontal="center" vertical="center"/>
    </xf>
    <xf numFmtId="2" fontId="21" fillId="0" borderId="29" xfId="0" applyNumberFormat="1" applyFont="1" applyBorder="1" applyAlignment="1">
      <alignment horizontal="center"/>
    </xf>
    <xf numFmtId="2" fontId="21" fillId="0" borderId="59" xfId="0" applyNumberFormat="1" applyFont="1" applyBorder="1" applyAlignment="1">
      <alignment horizontal="center" vertical="center"/>
    </xf>
    <xf numFmtId="0" fontId="19" fillId="0" borderId="60" xfId="0" applyFont="1" applyBorder="1" applyAlignment="1">
      <alignment horizontal="center"/>
    </xf>
    <xf numFmtId="1" fontId="19" fillId="0" borderId="43" xfId="0" applyNumberFormat="1" applyFont="1" applyBorder="1" applyAlignment="1">
      <alignment horizontal="center" vertical="center"/>
    </xf>
    <xf numFmtId="1" fontId="19" fillId="5" borderId="43" xfId="0" applyNumberFormat="1" applyFont="1" applyFill="1" applyBorder="1" applyAlignment="1">
      <alignment horizontal="center" vertical="center"/>
    </xf>
    <xf numFmtId="1" fontId="0" fillId="0" borderId="39" xfId="0" applyNumberFormat="1" applyBorder="1"/>
    <xf numFmtId="1" fontId="0" fillId="0" borderId="56" xfId="0" applyNumberFormat="1" applyBorder="1"/>
    <xf numFmtId="167" fontId="0" fillId="0" borderId="35" xfId="0" applyNumberFormat="1" applyBorder="1"/>
    <xf numFmtId="167" fontId="5" fillId="8" borderId="7" xfId="0" applyNumberFormat="1" applyFont="1" applyFill="1" applyBorder="1" applyAlignment="1">
      <alignment vertical="center"/>
    </xf>
    <xf numFmtId="167" fontId="5" fillId="8" borderId="52" xfId="0" applyNumberFormat="1" applyFont="1" applyFill="1" applyBorder="1" applyAlignment="1">
      <alignment vertical="center"/>
    </xf>
    <xf numFmtId="167" fontId="5" fillId="8" borderId="50" xfId="0" applyNumberFormat="1" applyFont="1" applyFill="1" applyBorder="1" applyAlignment="1">
      <alignment vertical="center"/>
    </xf>
    <xf numFmtId="167" fontId="5" fillId="0" borderId="50" xfId="0" applyNumberFormat="1" applyFont="1" applyFill="1" applyBorder="1" applyAlignment="1">
      <alignment vertical="center"/>
    </xf>
    <xf numFmtId="0" fontId="21" fillId="0" borderId="44" xfId="0" applyFont="1" applyBorder="1" applyAlignment="1">
      <alignment horizontal="right" vertical="center" indent="2"/>
    </xf>
    <xf numFmtId="167" fontId="21" fillId="0" borderId="24" xfId="0" applyNumberFormat="1" applyFont="1" applyBorder="1" applyAlignment="1">
      <alignment horizontal="center" vertical="center"/>
    </xf>
    <xf numFmtId="167" fontId="21" fillId="0" borderId="61" xfId="0" applyNumberFormat="1" applyFont="1" applyBorder="1" applyAlignment="1">
      <alignment horizontal="center" vertical="center"/>
    </xf>
    <xf numFmtId="167" fontId="21" fillId="7" borderId="61" xfId="0" applyNumberFormat="1" applyFont="1" applyFill="1" applyBorder="1" applyAlignment="1">
      <alignment horizontal="center" vertical="center"/>
    </xf>
    <xf numFmtId="167" fontId="21" fillId="5" borderId="61" xfId="0" applyNumberFormat="1" applyFont="1" applyFill="1" applyBorder="1" applyAlignment="1">
      <alignment horizontal="center" vertical="center"/>
    </xf>
    <xf numFmtId="167" fontId="21" fillId="0" borderId="61" xfId="0" applyNumberFormat="1" applyFont="1" applyFill="1" applyBorder="1" applyAlignment="1">
      <alignment horizontal="center" vertical="center"/>
    </xf>
    <xf numFmtId="168" fontId="21" fillId="0" borderId="47" xfId="0" applyNumberFormat="1" applyFont="1" applyBorder="1" applyAlignment="1">
      <alignment horizontal="left" vertical="center" indent="1"/>
    </xf>
    <xf numFmtId="168" fontId="21" fillId="0" borderId="51" xfId="0" applyNumberFormat="1" applyFont="1" applyBorder="1" applyAlignment="1">
      <alignment horizontal="left" vertical="center" indent="1"/>
    </xf>
    <xf numFmtId="0" fontId="30" fillId="8" borderId="47" xfId="0" applyFont="1" applyFill="1" applyBorder="1" applyAlignment="1">
      <alignment horizontal="left" indent="1"/>
    </xf>
    <xf numFmtId="0" fontId="4" fillId="8" borderId="47" xfId="0" applyFont="1" applyFill="1" applyBorder="1" applyAlignment="1">
      <alignment horizontal="left" vertical="center" indent="1"/>
    </xf>
    <xf numFmtId="0" fontId="4" fillId="8" borderId="47" xfId="0" applyFont="1" applyFill="1" applyBorder="1" applyAlignment="1">
      <alignment horizontal="left" indent="1"/>
    </xf>
    <xf numFmtId="0" fontId="19" fillId="8" borderId="44" xfId="0" applyFont="1" applyFill="1" applyBorder="1" applyAlignment="1">
      <alignment horizontal="left" vertical="center" indent="1"/>
    </xf>
    <xf numFmtId="0" fontId="4" fillId="8" borderId="52" xfId="0" applyFont="1" applyFill="1" applyBorder="1" applyAlignment="1">
      <alignment horizontal="left" indent="1"/>
    </xf>
    <xf numFmtId="0" fontId="5" fillId="8" borderId="47" xfId="0" applyFont="1" applyFill="1" applyBorder="1" applyAlignment="1">
      <alignment horizontal="left" vertical="center" indent="1"/>
    </xf>
    <xf numFmtId="0" fontId="46" fillId="0" borderId="25" xfId="0" applyFont="1" applyBorder="1" applyAlignment="1">
      <alignment horizontal="left" indent="1"/>
    </xf>
    <xf numFmtId="0" fontId="4" fillId="0" borderId="25" xfId="0" applyFont="1" applyBorder="1" applyAlignment="1">
      <alignment horizontal="right" vertical="center" indent="1"/>
    </xf>
    <xf numFmtId="0" fontId="4" fillId="0" borderId="57" xfId="0" applyFont="1" applyBorder="1" applyAlignment="1">
      <alignment horizontal="right" vertical="center" indent="1"/>
    </xf>
    <xf numFmtId="0" fontId="5" fillId="8" borderId="43" xfId="0" applyFont="1" applyFill="1" applyBorder="1" applyAlignment="1">
      <alignment vertical="center"/>
    </xf>
    <xf numFmtId="0" fontId="21" fillId="0" borderId="44" xfId="0" applyFont="1" applyBorder="1" applyAlignment="1">
      <alignment horizontal="right" vertical="center" indent="1"/>
    </xf>
    <xf numFmtId="0" fontId="8" fillId="8" borderId="2" xfId="0" applyFont="1" applyFill="1" applyBorder="1" applyAlignment="1">
      <alignment horizontal="left" vertical="center" indent="2"/>
    </xf>
    <xf numFmtId="1" fontId="21" fillId="45" borderId="45" xfId="0" applyNumberFormat="1" applyFont="1" applyFill="1" applyBorder="1" applyAlignment="1">
      <alignment horizontal="center" vertical="center"/>
    </xf>
    <xf numFmtId="1" fontId="21" fillId="45" borderId="30" xfId="0" applyNumberFormat="1" applyFont="1" applyFill="1" applyBorder="1" applyAlignment="1">
      <alignment horizontal="center" vertical="center"/>
    </xf>
    <xf numFmtId="1" fontId="21" fillId="45" borderId="10" xfId="0" applyNumberFormat="1" applyFont="1" applyFill="1" applyBorder="1" applyAlignment="1">
      <alignment horizontal="center" vertical="center"/>
    </xf>
    <xf numFmtId="1" fontId="21" fillId="8" borderId="10" xfId="0" applyNumberFormat="1" applyFont="1" applyFill="1" applyBorder="1" applyAlignment="1">
      <alignment horizontal="center" vertical="center"/>
    </xf>
    <xf numFmtId="1" fontId="21" fillId="0" borderId="10" xfId="0" applyNumberFormat="1" applyFont="1" applyBorder="1" applyAlignment="1">
      <alignment horizontal="center" vertical="center"/>
    </xf>
    <xf numFmtId="1" fontId="22" fillId="8" borderId="10" xfId="0" applyNumberFormat="1" applyFont="1" applyFill="1" applyBorder="1" applyAlignment="1">
      <alignment horizontal="center" vertical="center"/>
    </xf>
    <xf numFmtId="1" fontId="21" fillId="8" borderId="6" xfId="0" applyNumberFormat="1" applyFont="1" applyFill="1" applyBorder="1" applyAlignment="1">
      <alignment horizontal="center" vertical="center"/>
    </xf>
    <xf numFmtId="0" fontId="24" fillId="8" borderId="55" xfId="0" applyFont="1" applyFill="1" applyBorder="1" applyAlignment="1">
      <alignment horizontal="center" vertical="center"/>
    </xf>
    <xf numFmtId="1" fontId="21" fillId="7" borderId="10" xfId="0" applyNumberFormat="1" applyFont="1" applyFill="1" applyBorder="1" applyAlignment="1">
      <alignment horizontal="center" vertical="center"/>
    </xf>
    <xf numFmtId="1" fontId="21" fillId="5" borderId="10" xfId="0" applyNumberFormat="1" applyFont="1" applyFill="1" applyBorder="1" applyAlignment="1">
      <alignment horizontal="center" vertical="center"/>
    </xf>
    <xf numFmtId="0" fontId="22" fillId="5" borderId="1" xfId="0" applyFont="1" applyFill="1" applyBorder="1" applyAlignment="1">
      <alignment horizontal="center" vertical="center"/>
    </xf>
    <xf numFmtId="0" fontId="22" fillId="7" borderId="1" xfId="0" applyFont="1" applyFill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1" fontId="21" fillId="5" borderId="31" xfId="0" applyNumberFormat="1" applyFont="1" applyFill="1" applyBorder="1" applyAlignment="1">
      <alignment horizontal="center" vertical="center"/>
    </xf>
    <xf numFmtId="2" fontId="21" fillId="8" borderId="17" xfId="0" applyNumberFormat="1" applyFont="1" applyFill="1" applyBorder="1" applyAlignment="1">
      <alignment horizontal="center" vertical="center"/>
    </xf>
    <xf numFmtId="1" fontId="21" fillId="52" borderId="36" xfId="0" applyNumberFormat="1" applyFont="1" applyFill="1" applyBorder="1" applyAlignment="1">
      <alignment horizontal="center" vertical="center"/>
    </xf>
    <xf numFmtId="1" fontId="21" fillId="52" borderId="17" xfId="0" applyNumberFormat="1" applyFont="1" applyFill="1" applyBorder="1" applyAlignment="1">
      <alignment horizontal="center" vertical="center"/>
    </xf>
    <xf numFmtId="167" fontId="22" fillId="52" borderId="5" xfId="0" applyNumberFormat="1" applyFont="1" applyFill="1" applyBorder="1" applyAlignment="1">
      <alignment horizontal="center" vertical="center"/>
    </xf>
    <xf numFmtId="1" fontId="21" fillId="52" borderId="42" xfId="0" applyNumberFormat="1" applyFont="1" applyFill="1" applyBorder="1" applyAlignment="1">
      <alignment horizontal="center" vertical="center"/>
    </xf>
    <xf numFmtId="1" fontId="21" fillId="52" borderId="53" xfId="0" applyNumberFormat="1" applyFont="1" applyFill="1" applyBorder="1" applyAlignment="1">
      <alignment horizontal="center" vertical="center"/>
    </xf>
    <xf numFmtId="1" fontId="19" fillId="52" borderId="11" xfId="0" applyNumberFormat="1" applyFont="1" applyFill="1" applyBorder="1" applyAlignment="1">
      <alignment horizontal="center" vertical="center"/>
    </xf>
    <xf numFmtId="167" fontId="19" fillId="52" borderId="11" xfId="0" applyNumberFormat="1" applyFont="1" applyFill="1" applyBorder="1" applyAlignment="1">
      <alignment horizontal="center" vertical="center"/>
    </xf>
    <xf numFmtId="1" fontId="21" fillId="52" borderId="8" xfId="0" applyNumberFormat="1" applyFont="1" applyFill="1" applyBorder="1" applyAlignment="1">
      <alignment horizontal="center" vertical="center"/>
    </xf>
    <xf numFmtId="167" fontId="22" fillId="52" borderId="13" xfId="0" applyNumberFormat="1" applyFont="1" applyFill="1" applyBorder="1" applyAlignment="1">
      <alignment horizontal="center" vertical="center"/>
    </xf>
    <xf numFmtId="1" fontId="22" fillId="0" borderId="69" xfId="0" applyNumberFormat="1" applyFont="1" applyBorder="1" applyAlignment="1">
      <alignment vertical="center"/>
    </xf>
    <xf numFmtId="1" fontId="22" fillId="8" borderId="69" xfId="0" applyNumberFormat="1" applyFont="1" applyFill="1" applyBorder="1" applyAlignment="1">
      <alignment vertical="center"/>
    </xf>
    <xf numFmtId="1" fontId="22" fillId="7" borderId="69" xfId="0" applyNumberFormat="1" applyFont="1" applyFill="1" applyBorder="1" applyAlignment="1">
      <alignment vertical="center"/>
    </xf>
    <xf numFmtId="1" fontId="21" fillId="45" borderId="15" xfId="0" applyNumberFormat="1" applyFont="1" applyFill="1" applyBorder="1" applyAlignment="1">
      <alignment vertical="center"/>
    </xf>
    <xf numFmtId="1" fontId="21" fillId="5" borderId="6" xfId="0" applyNumberFormat="1" applyFont="1" applyFill="1" applyBorder="1" applyAlignment="1">
      <alignment horizontal="center" vertical="center"/>
    </xf>
    <xf numFmtId="167" fontId="19" fillId="7" borderId="67" xfId="0" applyNumberFormat="1" applyFont="1" applyFill="1" applyBorder="1" applyAlignment="1">
      <alignment horizontal="center" vertical="center"/>
    </xf>
    <xf numFmtId="167" fontId="22" fillId="0" borderId="4" xfId="0" applyNumberFormat="1" applyFont="1" applyBorder="1" applyAlignment="1">
      <alignment horizontal="center" vertical="center"/>
    </xf>
    <xf numFmtId="1" fontId="22" fillId="0" borderId="16" xfId="0" applyNumberFormat="1" applyFont="1" applyBorder="1" applyAlignment="1">
      <alignment vertical="center"/>
    </xf>
    <xf numFmtId="0" fontId="4" fillId="8" borderId="56" xfId="0" applyFont="1" applyFill="1" applyBorder="1" applyAlignment="1">
      <alignment horizontal="center" vertical="center"/>
    </xf>
    <xf numFmtId="1" fontId="21" fillId="7" borderId="66" xfId="0" applyNumberFormat="1" applyFont="1" applyFill="1" applyBorder="1" applyAlignment="1">
      <alignment horizontal="center" vertical="center"/>
    </xf>
    <xf numFmtId="1" fontId="21" fillId="5" borderId="24" xfId="0" applyNumberFormat="1" applyFont="1" applyFill="1" applyBorder="1" applyAlignment="1">
      <alignment horizontal="center" vertical="center"/>
    </xf>
    <xf numFmtId="167" fontId="22" fillId="52" borderId="11" xfId="0" applyNumberFormat="1" applyFont="1" applyFill="1" applyBorder="1" applyAlignment="1">
      <alignment horizontal="center" vertical="center"/>
    </xf>
    <xf numFmtId="1" fontId="22" fillId="5" borderId="69" xfId="0" applyNumberFormat="1" applyFont="1" applyFill="1" applyBorder="1" applyAlignment="1">
      <alignment vertical="center"/>
    </xf>
    <xf numFmtId="0" fontId="19" fillId="0" borderId="1" xfId="0" applyFont="1" applyBorder="1" applyAlignment="1">
      <alignment horizontal="left" vertical="center" wrapText="1" indent="1"/>
    </xf>
    <xf numFmtId="0" fontId="21" fillId="0" borderId="31" xfId="0" applyFont="1" applyBorder="1" applyAlignment="1">
      <alignment horizontal="left" vertical="center" wrapText="1" indent="1"/>
    </xf>
    <xf numFmtId="0" fontId="21" fillId="0" borderId="31" xfId="0" applyFont="1" applyBorder="1" applyAlignment="1">
      <alignment horizontal="left" vertical="center" wrapText="1" indent="2"/>
    </xf>
    <xf numFmtId="0" fontId="21" fillId="0" borderId="62" xfId="0" applyFont="1" applyBorder="1" applyAlignment="1">
      <alignment horizontal="left" vertical="center" wrapText="1" indent="2"/>
    </xf>
    <xf numFmtId="0" fontId="19" fillId="0" borderId="1" xfId="0" applyFont="1" applyBorder="1" applyAlignment="1">
      <alignment horizontal="left" vertical="center" wrapText="1" indent="2"/>
    </xf>
    <xf numFmtId="0" fontId="21" fillId="0" borderId="62" xfId="0" applyFont="1" applyBorder="1" applyAlignment="1">
      <alignment horizontal="right" vertical="center" wrapText="1" indent="2"/>
    </xf>
    <xf numFmtId="0" fontId="19" fillId="0" borderId="1" xfId="0" applyFont="1" applyBorder="1" applyAlignment="1">
      <alignment horizontal="right" vertical="center" wrapText="1" indent="2"/>
    </xf>
    <xf numFmtId="0" fontId="19" fillId="8" borderId="1" xfId="0" applyFont="1" applyFill="1" applyBorder="1" applyAlignment="1">
      <alignment horizontal="left" vertical="center" wrapText="1" indent="1"/>
    </xf>
    <xf numFmtId="0" fontId="4" fillId="8" borderId="2" xfId="0" applyFont="1" applyFill="1" applyBorder="1" applyAlignment="1">
      <alignment horizontal="left" vertical="center" wrapText="1" indent="1"/>
    </xf>
    <xf numFmtId="0" fontId="21" fillId="0" borderId="44" xfId="0" applyFont="1" applyBorder="1" applyAlignment="1">
      <alignment horizontal="left" vertical="center" wrapText="1" indent="2"/>
    </xf>
    <xf numFmtId="0" fontId="4" fillId="8" borderId="63" xfId="0" applyFont="1" applyFill="1" applyBorder="1" applyAlignment="1">
      <alignment horizontal="left" vertical="center" wrapText="1" indent="1"/>
    </xf>
    <xf numFmtId="1" fontId="22" fillId="0" borderId="34" xfId="0" applyNumberFormat="1" applyFont="1" applyBorder="1" applyAlignment="1">
      <alignment horizontal="center" vertical="center"/>
    </xf>
    <xf numFmtId="1" fontId="22" fillId="47" borderId="34" xfId="0" applyNumberFormat="1" applyFont="1" applyFill="1" applyBorder="1" applyAlignment="1">
      <alignment horizontal="center" vertical="center"/>
    </xf>
    <xf numFmtId="1" fontId="22" fillId="8" borderId="34" xfId="0" applyNumberFormat="1" applyFont="1" applyFill="1" applyBorder="1" applyAlignment="1">
      <alignment horizontal="center" vertical="center"/>
    </xf>
    <xf numFmtId="167" fontId="19" fillId="0" borderId="21" xfId="0" applyNumberFormat="1" applyFont="1" applyBorder="1" applyAlignment="1">
      <alignment horizontal="center" vertical="center"/>
    </xf>
    <xf numFmtId="1" fontId="22" fillId="0" borderId="55" xfId="0" applyNumberFormat="1" applyFont="1" applyBorder="1" applyAlignment="1">
      <alignment vertical="center"/>
    </xf>
    <xf numFmtId="167" fontId="19" fillId="5" borderId="55" xfId="0" applyNumberFormat="1" applyFont="1" applyFill="1" applyBorder="1" applyAlignment="1">
      <alignment horizontal="center" vertical="center"/>
    </xf>
    <xf numFmtId="167" fontId="19" fillId="7" borderId="21" xfId="0" applyNumberFormat="1" applyFont="1" applyFill="1" applyBorder="1" applyAlignment="1">
      <alignment horizontal="center" vertical="center"/>
    </xf>
    <xf numFmtId="1" fontId="22" fillId="8" borderId="55" xfId="0" applyNumberFormat="1" applyFont="1" applyFill="1" applyBorder="1" applyAlignment="1">
      <alignment vertical="center"/>
    </xf>
    <xf numFmtId="1" fontId="21" fillId="45" borderId="55" xfId="0" applyNumberFormat="1" applyFont="1" applyFill="1" applyBorder="1" applyAlignment="1">
      <alignment vertical="center"/>
    </xf>
    <xf numFmtId="167" fontId="19" fillId="52" borderId="21" xfId="0" applyNumberFormat="1" applyFont="1" applyFill="1" applyBorder="1" applyAlignment="1">
      <alignment horizontal="center" vertical="center"/>
    </xf>
    <xf numFmtId="167" fontId="19" fillId="52" borderId="55" xfId="0" applyNumberFormat="1" applyFont="1" applyFill="1" applyBorder="1" applyAlignment="1">
      <alignment horizontal="center" vertical="center"/>
    </xf>
    <xf numFmtId="167" fontId="22" fillId="0" borderId="67" xfId="0" applyNumberFormat="1" applyFont="1" applyBorder="1" applyAlignment="1">
      <alignment horizontal="center" vertical="center"/>
    </xf>
    <xf numFmtId="1" fontId="22" fillId="5" borderId="57" xfId="0" applyNumberFormat="1" applyFont="1" applyFill="1" applyBorder="1" applyAlignment="1">
      <alignment vertical="center"/>
    </xf>
    <xf numFmtId="1" fontId="22" fillId="7" borderId="26" xfId="0" applyNumberFormat="1" applyFont="1" applyFill="1" applyBorder="1" applyAlignment="1">
      <alignment vertical="center"/>
    </xf>
    <xf numFmtId="1" fontId="19" fillId="7" borderId="21" xfId="0" applyNumberFormat="1" applyFont="1" applyFill="1" applyBorder="1" applyAlignment="1">
      <alignment horizontal="center" vertical="center"/>
    </xf>
    <xf numFmtId="1" fontId="4" fillId="8" borderId="87" xfId="0" applyNumberFormat="1" applyFont="1" applyFill="1" applyBorder="1" applyAlignment="1">
      <alignment horizontal="center" vertical="center"/>
    </xf>
    <xf numFmtId="1" fontId="19" fillId="52" borderId="21" xfId="0" applyNumberFormat="1" applyFont="1" applyFill="1" applyBorder="1" applyAlignment="1">
      <alignment horizontal="center" vertical="center"/>
    </xf>
    <xf numFmtId="0" fontId="4" fillId="8" borderId="0" xfId="0" applyFont="1" applyFill="1" applyBorder="1" applyAlignment="1">
      <alignment vertical="center"/>
    </xf>
    <xf numFmtId="1" fontId="21" fillId="52" borderId="34" xfId="0" applyNumberFormat="1" applyFont="1" applyFill="1" applyBorder="1" applyAlignment="1">
      <alignment horizontal="center" vertical="center"/>
    </xf>
    <xf numFmtId="0" fontId="21" fillId="0" borderId="63" xfId="0" applyFont="1" applyBorder="1" applyAlignment="1">
      <alignment horizontal="right" vertical="center" wrapText="1" indent="2"/>
    </xf>
    <xf numFmtId="1" fontId="21" fillId="52" borderId="3" xfId="0" applyNumberFormat="1" applyFont="1" applyFill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15" fillId="0" borderId="6" xfId="0" applyFont="1" applyBorder="1" applyAlignment="1">
      <alignment horizontal="center" vertical="center"/>
    </xf>
    <xf numFmtId="0" fontId="24" fillId="0" borderId="6" xfId="0" applyFont="1" applyBorder="1" applyAlignment="1">
      <alignment horizontal="center" vertical="center"/>
    </xf>
    <xf numFmtId="0" fontId="12" fillId="0" borderId="49" xfId="0" applyFont="1" applyBorder="1" applyAlignment="1">
      <alignment horizontal="center" vertical="center"/>
    </xf>
    <xf numFmtId="1" fontId="19" fillId="8" borderId="29" xfId="0" applyNumberFormat="1" applyFont="1" applyFill="1" applyBorder="1" applyAlignment="1">
      <alignment horizontal="center" vertical="center"/>
    </xf>
    <xf numFmtId="1" fontId="22" fillId="8" borderId="29" xfId="0" applyNumberFormat="1" applyFont="1" applyFill="1" applyBorder="1" applyAlignment="1">
      <alignment horizontal="center" vertical="center"/>
    </xf>
    <xf numFmtId="1" fontId="21" fillId="8" borderId="12" xfId="0" applyNumberFormat="1" applyFont="1" applyFill="1" applyBorder="1" applyAlignment="1">
      <alignment horizontal="center" vertical="center"/>
    </xf>
    <xf numFmtId="0" fontId="21" fillId="8" borderId="12" xfId="0" applyFont="1" applyFill="1" applyBorder="1" applyAlignment="1">
      <alignment horizontal="center" vertical="center"/>
    </xf>
    <xf numFmtId="1" fontId="22" fillId="8" borderId="20" xfId="0" applyNumberFormat="1" applyFont="1" applyFill="1" applyBorder="1" applyAlignment="1">
      <alignment horizontal="center" vertical="center"/>
    </xf>
    <xf numFmtId="0" fontId="22" fillId="7" borderId="72" xfId="0" applyFont="1" applyFill="1" applyBorder="1" applyAlignment="1">
      <alignment horizontal="center" vertical="center"/>
    </xf>
    <xf numFmtId="0" fontId="24" fillId="8" borderId="24" xfId="0" applyFont="1" applyFill="1" applyBorder="1" applyAlignment="1">
      <alignment vertical="center"/>
    </xf>
    <xf numFmtId="0" fontId="15" fillId="8" borderId="49" xfId="0" applyFont="1" applyFill="1" applyBorder="1" applyAlignment="1">
      <alignment horizontal="center" vertical="center"/>
    </xf>
    <xf numFmtId="0" fontId="12" fillId="0" borderId="55" xfId="0" applyFont="1" applyBorder="1" applyAlignment="1">
      <alignment horizontal="center" vertical="center"/>
    </xf>
    <xf numFmtId="1" fontId="22" fillId="8" borderId="13" xfId="0" applyNumberFormat="1" applyFont="1" applyFill="1" applyBorder="1" applyAlignment="1">
      <alignment horizontal="center" vertical="center"/>
    </xf>
    <xf numFmtId="0" fontId="31" fillId="8" borderId="55" xfId="0" applyFont="1" applyFill="1" applyBorder="1" applyAlignment="1">
      <alignment horizontal="center" vertical="center"/>
    </xf>
    <xf numFmtId="0" fontId="27" fillId="0" borderId="49" xfId="0" applyFont="1" applyBorder="1" applyAlignment="1">
      <alignment horizontal="center" vertical="center"/>
    </xf>
    <xf numFmtId="0" fontId="27" fillId="8" borderId="49" xfId="0" applyFont="1" applyFill="1" applyBorder="1" applyAlignment="1">
      <alignment horizontal="center" vertical="center"/>
    </xf>
    <xf numFmtId="1" fontId="22" fillId="7" borderId="33" xfId="0" applyNumberFormat="1" applyFont="1" applyFill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1" fontId="22" fillId="8" borderId="18" xfId="0" applyNumberFormat="1" applyFont="1" applyFill="1" applyBorder="1" applyAlignment="1">
      <alignment horizontal="center" vertical="center"/>
    </xf>
    <xf numFmtId="0" fontId="21" fillId="0" borderId="18" xfId="0" applyFont="1" applyBorder="1" applyAlignment="1">
      <alignment horizontal="left" vertical="center" indent="2"/>
    </xf>
    <xf numFmtId="0" fontId="21" fillId="0" borderId="12" xfId="0" applyFont="1" applyBorder="1" applyAlignment="1">
      <alignment horizontal="left" vertical="center" indent="2"/>
    </xf>
    <xf numFmtId="0" fontId="4" fillId="8" borderId="18" xfId="0" applyFont="1" applyFill="1" applyBorder="1" applyAlignment="1">
      <alignment horizontal="left" vertical="center" indent="1"/>
    </xf>
    <xf numFmtId="0" fontId="22" fillId="8" borderId="20" xfId="0" applyFont="1" applyFill="1" applyBorder="1" applyAlignment="1">
      <alignment horizontal="left" vertical="center" indent="2"/>
    </xf>
    <xf numFmtId="0" fontId="4" fillId="8" borderId="13" xfId="0" applyFont="1" applyFill="1" applyBorder="1" applyAlignment="1">
      <alignment horizontal="left" vertical="center" indent="1"/>
    </xf>
    <xf numFmtId="0" fontId="22" fillId="0" borderId="20" xfId="0" applyFont="1" applyBorder="1" applyAlignment="1">
      <alignment horizontal="left" vertical="center" indent="1"/>
    </xf>
    <xf numFmtId="0" fontId="22" fillId="0" borderId="12" xfId="0" applyFont="1" applyBorder="1" applyAlignment="1">
      <alignment horizontal="left" vertical="center" indent="1"/>
    </xf>
    <xf numFmtId="0" fontId="4" fillId="0" borderId="12" xfId="0" applyFont="1" applyBorder="1" applyAlignment="1">
      <alignment horizontal="left" vertical="center" indent="1"/>
    </xf>
    <xf numFmtId="0" fontId="14" fillId="8" borderId="22" xfId="0" applyFont="1" applyFill="1" applyBorder="1" applyAlignment="1">
      <alignment horizontal="left" vertical="center" indent="1"/>
    </xf>
    <xf numFmtId="0" fontId="26" fillId="0" borderId="12" xfId="0" applyFont="1" applyBorder="1" applyAlignment="1">
      <alignment horizontal="left" vertical="center" indent="2"/>
    </xf>
    <xf numFmtId="0" fontId="24" fillId="8" borderId="18" xfId="0" applyFont="1" applyFill="1" applyBorder="1" applyAlignment="1">
      <alignment horizontal="left" vertical="center" indent="1"/>
    </xf>
    <xf numFmtId="0" fontId="21" fillId="0" borderId="12" xfId="0" applyFont="1" applyBorder="1" applyAlignment="1">
      <alignment horizontal="right" vertical="center" indent="1"/>
    </xf>
    <xf numFmtId="0" fontId="19" fillId="0" borderId="12" xfId="0" applyFont="1" applyBorder="1" applyAlignment="1">
      <alignment horizontal="right" vertical="center" indent="1"/>
    </xf>
    <xf numFmtId="0" fontId="19" fillId="8" borderId="20" xfId="0" applyFont="1" applyFill="1" applyBorder="1" applyAlignment="1">
      <alignment horizontal="right" vertical="center" indent="1"/>
    </xf>
    <xf numFmtId="0" fontId="19" fillId="8" borderId="18" xfId="0" applyFont="1" applyFill="1" applyBorder="1" applyAlignment="1">
      <alignment horizontal="left" vertical="center" indent="1"/>
    </xf>
    <xf numFmtId="0" fontId="21" fillId="0" borderId="12" xfId="0" applyFont="1" applyBorder="1" applyAlignment="1">
      <alignment horizontal="right" vertical="center" indent="2"/>
    </xf>
    <xf numFmtId="0" fontId="19" fillId="0" borderId="13" xfId="0" applyFont="1" applyBorder="1" applyAlignment="1">
      <alignment horizontal="left" vertical="center" indent="1"/>
    </xf>
    <xf numFmtId="0" fontId="15" fillId="0" borderId="13" xfId="0" applyFont="1" applyBorder="1" applyAlignment="1">
      <alignment horizontal="left" vertical="center" indent="1"/>
    </xf>
    <xf numFmtId="0" fontId="31" fillId="8" borderId="13" xfId="0" applyFont="1" applyFill="1" applyBorder="1" applyAlignment="1">
      <alignment horizontal="left" vertical="center" indent="1"/>
    </xf>
    <xf numFmtId="0" fontId="21" fillId="0" borderId="12" xfId="0" applyFont="1" applyBorder="1" applyAlignment="1">
      <alignment horizontal="right" vertical="center" wrapText="1" indent="1"/>
    </xf>
    <xf numFmtId="0" fontId="19" fillId="0" borderId="20" xfId="0" applyFont="1" applyBorder="1" applyAlignment="1">
      <alignment horizontal="right" vertical="center" indent="1"/>
    </xf>
    <xf numFmtId="0" fontId="22" fillId="0" borderId="13" xfId="0" applyFont="1" applyBorder="1" applyAlignment="1">
      <alignment horizontal="left" vertical="center" wrapText="1" indent="1"/>
    </xf>
    <xf numFmtId="0" fontId="22" fillId="0" borderId="13" xfId="0" applyFont="1" applyBorder="1" applyAlignment="1">
      <alignment horizontal="left" vertical="center" indent="1"/>
    </xf>
    <xf numFmtId="0" fontId="22" fillId="0" borderId="62" xfId="0" applyFont="1" applyBorder="1" applyAlignment="1">
      <alignment horizontal="center" vertical="center"/>
    </xf>
    <xf numFmtId="0" fontId="22" fillId="0" borderId="72" xfId="0" applyFont="1" applyBorder="1" applyAlignment="1">
      <alignment horizontal="center" vertical="center"/>
    </xf>
    <xf numFmtId="1" fontId="21" fillId="0" borderId="11" xfId="0" applyNumberFormat="1" applyFont="1" applyBorder="1" applyAlignment="1">
      <alignment horizontal="center" vertical="center"/>
    </xf>
    <xf numFmtId="0" fontId="21" fillId="0" borderId="11" xfId="0" applyFont="1" applyBorder="1" applyAlignment="1">
      <alignment horizontal="center" vertical="center"/>
    </xf>
    <xf numFmtId="1" fontId="21" fillId="8" borderId="11" xfId="0" applyNumberFormat="1" applyFont="1" applyFill="1" applyBorder="1" applyAlignment="1">
      <alignment horizontal="center" vertical="center"/>
    </xf>
    <xf numFmtId="1" fontId="22" fillId="8" borderId="33" xfId="0" applyNumberFormat="1" applyFont="1" applyFill="1" applyBorder="1" applyAlignment="1">
      <alignment horizontal="center" vertical="center"/>
    </xf>
    <xf numFmtId="1" fontId="21" fillId="0" borderId="31" xfId="0" applyNumberFormat="1" applyFont="1" applyBorder="1" applyAlignment="1">
      <alignment horizontal="center" vertical="center"/>
    </xf>
    <xf numFmtId="0" fontId="22" fillId="7" borderId="62" xfId="0" applyFont="1" applyFill="1" applyBorder="1" applyAlignment="1">
      <alignment horizontal="center" vertical="center"/>
    </xf>
    <xf numFmtId="1" fontId="22" fillId="7" borderId="32" xfId="0" applyNumberFormat="1" applyFont="1" applyFill="1" applyBorder="1" applyAlignment="1">
      <alignment horizontal="center" vertical="center"/>
    </xf>
    <xf numFmtId="1" fontId="21" fillId="7" borderId="31" xfId="0" applyNumberFormat="1" applyFont="1" applyFill="1" applyBorder="1" applyAlignment="1">
      <alignment horizontal="center" vertical="center"/>
    </xf>
    <xf numFmtId="1" fontId="4" fillId="7" borderId="31" xfId="0" applyNumberFormat="1" applyFont="1" applyFill="1" applyBorder="1" applyAlignment="1">
      <alignment horizontal="center" vertical="center"/>
    </xf>
    <xf numFmtId="0" fontId="22" fillId="8" borderId="62" xfId="0" applyFont="1" applyFill="1" applyBorder="1" applyAlignment="1">
      <alignment horizontal="center" vertical="center"/>
    </xf>
    <xf numFmtId="0" fontId="22" fillId="8" borderId="72" xfId="0" applyFont="1" applyFill="1" applyBorder="1" applyAlignment="1">
      <alignment horizontal="center" vertical="center"/>
    </xf>
    <xf numFmtId="0" fontId="22" fillId="5" borderId="62" xfId="0" applyFont="1" applyFill="1" applyBorder="1" applyAlignment="1">
      <alignment horizontal="center" vertical="center"/>
    </xf>
    <xf numFmtId="0" fontId="22" fillId="5" borderId="72" xfId="0" applyFont="1" applyFill="1" applyBorder="1" applyAlignment="1">
      <alignment horizontal="center" vertical="center"/>
    </xf>
    <xf numFmtId="1" fontId="19" fillId="5" borderId="31" xfId="0" applyNumberFormat="1" applyFont="1" applyFill="1" applyBorder="1" applyAlignment="1">
      <alignment horizontal="center" vertical="center"/>
    </xf>
    <xf numFmtId="1" fontId="19" fillId="5" borderId="17" xfId="0" applyNumberFormat="1" applyFont="1" applyFill="1" applyBorder="1" applyAlignment="1">
      <alignment horizontal="center" vertical="center"/>
    </xf>
    <xf numFmtId="1" fontId="21" fillId="5" borderId="11" xfId="0" applyNumberFormat="1" applyFont="1" applyFill="1" applyBorder="1" applyAlignment="1">
      <alignment horizontal="center" vertical="center"/>
    </xf>
    <xf numFmtId="1" fontId="22" fillId="5" borderId="32" xfId="0" applyNumberFormat="1" applyFont="1" applyFill="1" applyBorder="1" applyAlignment="1">
      <alignment horizontal="center" vertical="center"/>
    </xf>
    <xf numFmtId="1" fontId="22" fillId="5" borderId="33" xfId="0" applyNumberFormat="1" applyFont="1" applyFill="1" applyBorder="1" applyAlignment="1">
      <alignment horizontal="center" vertical="center"/>
    </xf>
    <xf numFmtId="1" fontId="4" fillId="5" borderId="17" xfId="0" applyNumberFormat="1" applyFont="1" applyFill="1" applyBorder="1" applyAlignment="1">
      <alignment horizontal="center" vertical="center"/>
    </xf>
    <xf numFmtId="1" fontId="19" fillId="7" borderId="31" xfId="0" applyNumberFormat="1" applyFont="1" applyFill="1" applyBorder="1" applyAlignment="1">
      <alignment horizontal="center" vertical="center"/>
    </xf>
    <xf numFmtId="0" fontId="22" fillId="45" borderId="17" xfId="0" applyFont="1" applyFill="1" applyBorder="1" applyAlignment="1">
      <alignment horizontal="center" vertical="center"/>
    </xf>
    <xf numFmtId="167" fontId="19" fillId="45" borderId="17" xfId="0" applyNumberFormat="1" applyFont="1" applyFill="1" applyBorder="1" applyAlignment="1">
      <alignment horizontal="center" vertical="center"/>
    </xf>
    <xf numFmtId="1" fontId="20" fillId="45" borderId="17" xfId="0" applyNumberFormat="1" applyFont="1" applyFill="1" applyBorder="1" applyAlignment="1">
      <alignment horizontal="center" vertical="center"/>
    </xf>
    <xf numFmtId="1" fontId="19" fillId="45" borderId="17" xfId="0" applyNumberFormat="1" applyFont="1" applyFill="1" applyBorder="1" applyAlignment="1">
      <alignment horizontal="center" vertical="center"/>
    </xf>
    <xf numFmtId="1" fontId="0" fillId="0" borderId="0" xfId="0" applyNumberFormat="1" applyBorder="1"/>
    <xf numFmtId="1" fontId="0" fillId="0" borderId="54" xfId="0" applyNumberFormat="1" applyBorder="1"/>
    <xf numFmtId="169" fontId="0" fillId="0" borderId="0" xfId="0" applyNumberFormat="1" applyBorder="1"/>
    <xf numFmtId="169" fontId="0" fillId="0" borderId="54" xfId="0" applyNumberFormat="1" applyBorder="1"/>
    <xf numFmtId="1" fontId="4" fillId="45" borderId="17" xfId="0" applyNumberFormat="1" applyFont="1" applyFill="1" applyBorder="1" applyAlignment="1">
      <alignment horizontal="center" vertical="center"/>
    </xf>
    <xf numFmtId="1" fontId="22" fillId="45" borderId="17" xfId="0" applyNumberFormat="1" applyFont="1" applyFill="1" applyBorder="1" applyAlignment="1">
      <alignment horizontal="center" vertical="center"/>
    </xf>
    <xf numFmtId="1" fontId="0" fillId="0" borderId="35" xfId="0" applyNumberFormat="1" applyBorder="1"/>
    <xf numFmtId="167" fontId="22" fillId="8" borderId="12" xfId="0" applyNumberFormat="1" applyFont="1" applyFill="1" applyBorder="1" applyAlignment="1">
      <alignment horizontal="center" vertical="center"/>
    </xf>
    <xf numFmtId="0" fontId="20" fillId="0" borderId="17" xfId="0" applyFont="1" applyBorder="1" applyAlignment="1">
      <alignment horizontal="center" vertical="center"/>
    </xf>
    <xf numFmtId="0" fontId="19" fillId="8" borderId="33" xfId="0" applyFont="1" applyFill="1" applyBorder="1" applyAlignment="1">
      <alignment horizontal="center" vertical="center"/>
    </xf>
    <xf numFmtId="0" fontId="8" fillId="8" borderId="10" xfId="0" applyFont="1" applyFill="1" applyBorder="1" applyAlignment="1">
      <alignment vertical="center" wrapText="1"/>
    </xf>
    <xf numFmtId="1" fontId="22" fillId="0" borderId="29" xfId="0" applyNumberFormat="1" applyFont="1" applyBorder="1" applyAlignment="1">
      <alignment vertical="center"/>
    </xf>
    <xf numFmtId="1" fontId="19" fillId="0" borderId="34" xfId="0" applyNumberFormat="1" applyFont="1" applyBorder="1" applyAlignment="1">
      <alignment horizontal="center" vertical="center"/>
    </xf>
    <xf numFmtId="1" fontId="21" fillId="0" borderId="31" xfId="0" applyNumberFormat="1" applyFont="1" applyBorder="1" applyAlignment="1">
      <alignment vertical="center"/>
    </xf>
    <xf numFmtId="1" fontId="22" fillId="0" borderId="31" xfId="0" applyNumberFormat="1" applyFont="1" applyBorder="1" applyAlignment="1">
      <alignment vertical="center"/>
    </xf>
    <xf numFmtId="9" fontId="22" fillId="8" borderId="31" xfId="22" applyFont="1" applyFill="1" applyBorder="1" applyAlignment="1">
      <alignment horizontal="center" vertical="center"/>
    </xf>
    <xf numFmtId="9" fontId="22" fillId="8" borderId="17" xfId="22" applyFont="1" applyFill="1" applyBorder="1" applyAlignment="1">
      <alignment horizontal="center" vertical="center"/>
    </xf>
    <xf numFmtId="0" fontId="21" fillId="0" borderId="31" xfId="0" applyFont="1" applyBorder="1" applyAlignment="1">
      <alignment horizontal="center" vertical="center"/>
    </xf>
    <xf numFmtId="2" fontId="21" fillId="8" borderId="32" xfId="0" applyNumberFormat="1" applyFont="1" applyFill="1" applyBorder="1" applyAlignment="1">
      <alignment horizontal="center" vertical="center"/>
    </xf>
    <xf numFmtId="2" fontId="21" fillId="8" borderId="33" xfId="0" applyNumberFormat="1" applyFont="1" applyFill="1" applyBorder="1" applyAlignment="1">
      <alignment horizontal="center" vertical="center"/>
    </xf>
    <xf numFmtId="1" fontId="21" fillId="7" borderId="29" xfId="0" applyNumberFormat="1" applyFont="1" applyFill="1" applyBorder="1" applyAlignment="1">
      <alignment vertical="center"/>
    </xf>
    <xf numFmtId="1" fontId="22" fillId="7" borderId="29" xfId="0" applyNumberFormat="1" applyFont="1" applyFill="1" applyBorder="1" applyAlignment="1">
      <alignment vertical="center"/>
    </xf>
    <xf numFmtId="1" fontId="19" fillId="7" borderId="29" xfId="0" applyNumberFormat="1" applyFont="1" applyFill="1" applyBorder="1" applyAlignment="1">
      <alignment horizontal="center" vertical="center"/>
    </xf>
    <xf numFmtId="167" fontId="19" fillId="7" borderId="29" xfId="0" applyNumberFormat="1" applyFont="1" applyFill="1" applyBorder="1" applyAlignment="1">
      <alignment horizontal="center" vertical="center"/>
    </xf>
    <xf numFmtId="9" fontId="22" fillId="7" borderId="29" xfId="22" applyFont="1" applyFill="1" applyBorder="1" applyAlignment="1">
      <alignment horizontal="center" vertical="center"/>
    </xf>
    <xf numFmtId="1" fontId="19" fillId="7" borderId="48" xfId="0" applyNumberFormat="1" applyFont="1" applyFill="1" applyBorder="1" applyAlignment="1">
      <alignment horizontal="center" vertical="center"/>
    </xf>
    <xf numFmtId="1" fontId="19" fillId="7" borderId="37" xfId="0" applyNumberFormat="1" applyFont="1" applyFill="1" applyBorder="1" applyAlignment="1">
      <alignment horizontal="center" vertical="center"/>
    </xf>
    <xf numFmtId="1" fontId="22" fillId="7" borderId="37" xfId="0" applyNumberFormat="1" applyFont="1" applyFill="1" applyBorder="1" applyAlignment="1">
      <alignment horizontal="center" vertical="center"/>
    </xf>
    <xf numFmtId="9" fontId="22" fillId="7" borderId="37" xfId="22" applyFont="1" applyFill="1" applyBorder="1" applyAlignment="1">
      <alignment horizontal="center" vertical="center"/>
    </xf>
    <xf numFmtId="0" fontId="21" fillId="7" borderId="52" xfId="0" applyFont="1" applyFill="1" applyBorder="1" applyAlignment="1">
      <alignment horizontal="center" vertical="center"/>
    </xf>
    <xf numFmtId="167" fontId="21" fillId="7" borderId="6" xfId="0" applyNumberFormat="1" applyFont="1" applyFill="1" applyBorder="1" applyAlignment="1">
      <alignment horizontal="center" vertical="center"/>
    </xf>
    <xf numFmtId="1" fontId="19" fillId="5" borderId="34" xfId="0" applyNumberFormat="1" applyFont="1" applyFill="1" applyBorder="1" applyAlignment="1">
      <alignment horizontal="center" vertical="center"/>
    </xf>
    <xf numFmtId="1" fontId="19" fillId="5" borderId="50" xfId="0" applyNumberFormat="1" applyFont="1" applyFill="1" applyBorder="1" applyAlignment="1">
      <alignment horizontal="center" vertical="center"/>
    </xf>
    <xf numFmtId="1" fontId="21" fillId="5" borderId="31" xfId="0" applyNumberFormat="1" applyFont="1" applyFill="1" applyBorder="1" applyAlignment="1">
      <alignment vertical="center"/>
    </xf>
    <xf numFmtId="1" fontId="22" fillId="5" borderId="31" xfId="0" applyNumberFormat="1" applyFont="1" applyFill="1" applyBorder="1" applyAlignment="1">
      <alignment vertical="center"/>
    </xf>
    <xf numFmtId="1" fontId="22" fillId="5" borderId="31" xfId="0" applyNumberFormat="1" applyFont="1" applyFill="1" applyBorder="1" applyAlignment="1">
      <alignment horizontal="center" vertical="center"/>
    </xf>
    <xf numFmtId="1" fontId="22" fillId="5" borderId="17" xfId="0" applyNumberFormat="1" applyFont="1" applyFill="1" applyBorder="1" applyAlignment="1">
      <alignment horizontal="center" vertical="center"/>
    </xf>
    <xf numFmtId="9" fontId="22" fillId="5" borderId="31" xfId="22" applyFont="1" applyFill="1" applyBorder="1" applyAlignment="1">
      <alignment horizontal="center" vertical="center"/>
    </xf>
    <xf numFmtId="9" fontId="22" fillId="5" borderId="17" xfId="22" applyFont="1" applyFill="1" applyBorder="1" applyAlignment="1">
      <alignment horizontal="center" vertical="center"/>
    </xf>
    <xf numFmtId="169" fontId="21" fillId="5" borderId="12" xfId="0" applyNumberFormat="1" applyFont="1" applyFill="1" applyBorder="1" applyAlignment="1">
      <alignment horizontal="center" vertical="center"/>
    </xf>
    <xf numFmtId="2" fontId="21" fillId="5" borderId="12" xfId="0" applyNumberFormat="1" applyFont="1" applyFill="1" applyBorder="1" applyAlignment="1">
      <alignment horizontal="center" vertical="center"/>
    </xf>
    <xf numFmtId="167" fontId="21" fillId="5" borderId="20" xfId="0" applyNumberFormat="1" applyFont="1" applyFill="1" applyBorder="1" applyAlignment="1">
      <alignment horizontal="center" vertical="center"/>
    </xf>
    <xf numFmtId="1" fontId="19" fillId="7" borderId="34" xfId="0" applyNumberFormat="1" applyFont="1" applyFill="1" applyBorder="1" applyAlignment="1">
      <alignment horizontal="center" vertical="center"/>
    </xf>
    <xf numFmtId="1" fontId="21" fillId="7" borderId="31" xfId="0" applyNumberFormat="1" applyFont="1" applyFill="1" applyBorder="1" applyAlignment="1">
      <alignment vertical="center"/>
    </xf>
    <xf numFmtId="1" fontId="22" fillId="7" borderId="31" xfId="0" applyNumberFormat="1" applyFont="1" applyFill="1" applyBorder="1" applyAlignment="1">
      <alignment vertical="center"/>
    </xf>
    <xf numFmtId="1" fontId="22" fillId="7" borderId="31" xfId="0" applyNumberFormat="1" applyFont="1" applyFill="1" applyBorder="1" applyAlignment="1">
      <alignment horizontal="center" vertical="center"/>
    </xf>
    <xf numFmtId="1" fontId="22" fillId="7" borderId="17" xfId="0" applyNumberFormat="1" applyFont="1" applyFill="1" applyBorder="1" applyAlignment="1">
      <alignment horizontal="center" vertical="center"/>
    </xf>
    <xf numFmtId="9" fontId="22" fillId="7" borderId="31" xfId="22" applyFont="1" applyFill="1" applyBorder="1" applyAlignment="1">
      <alignment horizontal="center" vertical="center"/>
    </xf>
    <xf numFmtId="9" fontId="22" fillId="7" borderId="17" xfId="22" applyFont="1" applyFill="1" applyBorder="1" applyAlignment="1">
      <alignment horizontal="center" vertical="center"/>
    </xf>
    <xf numFmtId="1" fontId="21" fillId="7" borderId="22" xfId="0" applyNumberFormat="1" applyFont="1" applyFill="1" applyBorder="1" applyAlignment="1">
      <alignment horizontal="center" vertical="center"/>
    </xf>
    <xf numFmtId="169" fontId="21" fillId="7" borderId="12" xfId="0" applyNumberFormat="1" applyFont="1" applyFill="1" applyBorder="1" applyAlignment="1">
      <alignment horizontal="center" vertical="center"/>
    </xf>
    <xf numFmtId="2" fontId="21" fillId="7" borderId="12" xfId="0" applyNumberFormat="1" applyFont="1" applyFill="1" applyBorder="1" applyAlignment="1">
      <alignment horizontal="center" vertical="center"/>
    </xf>
    <xf numFmtId="167" fontId="21" fillId="7" borderId="32" xfId="0" applyNumberFormat="1" applyFont="1" applyFill="1" applyBorder="1" applyAlignment="1">
      <alignment horizontal="center" vertical="center"/>
    </xf>
    <xf numFmtId="167" fontId="21" fillId="7" borderId="20" xfId="0" applyNumberFormat="1" applyFont="1" applyFill="1" applyBorder="1" applyAlignment="1">
      <alignment horizontal="center" vertical="center"/>
    </xf>
    <xf numFmtId="1" fontId="22" fillId="0" borderId="17" xfId="0" applyNumberFormat="1" applyFont="1" applyFill="1" applyBorder="1" applyAlignment="1">
      <alignment horizontal="center" vertical="center"/>
    </xf>
    <xf numFmtId="9" fontId="22" fillId="0" borderId="17" xfId="22" applyFont="1" applyFill="1" applyBorder="1" applyAlignment="1">
      <alignment horizontal="center" vertical="center"/>
    </xf>
    <xf numFmtId="0" fontId="21" fillId="0" borderId="17" xfId="0" applyFont="1" applyFill="1" applyBorder="1" applyAlignment="1">
      <alignment horizontal="center" vertical="center"/>
    </xf>
    <xf numFmtId="0" fontId="4" fillId="8" borderId="56" xfId="0" applyFont="1" applyFill="1" applyBorder="1" applyAlignment="1">
      <alignment vertical="center"/>
    </xf>
    <xf numFmtId="0" fontId="4" fillId="0" borderId="56" xfId="0" applyFont="1" applyFill="1" applyBorder="1" applyAlignment="1">
      <alignment vertical="center"/>
    </xf>
    <xf numFmtId="0" fontId="21" fillId="0" borderId="41" xfId="0" applyFont="1" applyBorder="1" applyAlignment="1">
      <alignment vertical="center"/>
    </xf>
    <xf numFmtId="0" fontId="21" fillId="0" borderId="63" xfId="0" applyFont="1" applyBorder="1" applyAlignment="1">
      <alignment horizontal="center" vertical="center"/>
    </xf>
    <xf numFmtId="0" fontId="21" fillId="0" borderId="61" xfId="0" applyFont="1" applyBorder="1" applyAlignment="1">
      <alignment horizontal="center" vertical="center"/>
    </xf>
    <xf numFmtId="0" fontId="21" fillId="7" borderId="63" xfId="0" applyFont="1" applyFill="1" applyBorder="1" applyAlignment="1">
      <alignment horizontal="center" vertical="center"/>
    </xf>
    <xf numFmtId="0" fontId="21" fillId="7" borderId="18" xfId="0" applyFont="1" applyFill="1" applyBorder="1" applyAlignment="1">
      <alignment horizontal="center" vertical="center"/>
    </xf>
    <xf numFmtId="0" fontId="21" fillId="0" borderId="61" xfId="0" applyFont="1" applyFill="1" applyBorder="1" applyAlignment="1">
      <alignment horizontal="center" vertical="center"/>
    </xf>
    <xf numFmtId="167" fontId="21" fillId="7" borderId="51" xfId="0" applyNumberFormat="1" applyFont="1" applyFill="1" applyBorder="1" applyAlignment="1">
      <alignment horizontal="center" vertical="center"/>
    </xf>
    <xf numFmtId="0" fontId="19" fillId="0" borderId="48" xfId="0" applyFont="1" applyBorder="1" applyAlignment="1">
      <alignment vertical="center"/>
    </xf>
    <xf numFmtId="172" fontId="21" fillId="0" borderId="37" xfId="0" quotePrefix="1" applyNumberFormat="1" applyFont="1" applyBorder="1" applyAlignment="1">
      <alignment horizontal="center" vertical="center"/>
    </xf>
    <xf numFmtId="172" fontId="21" fillId="0" borderId="65" xfId="0" quotePrefix="1" applyNumberFormat="1" applyFont="1" applyBorder="1" applyAlignment="1">
      <alignment horizontal="center" vertical="center"/>
    </xf>
    <xf numFmtId="172" fontId="38" fillId="0" borderId="37" xfId="0" quotePrefix="1" applyNumberFormat="1" applyFont="1" applyBorder="1" applyAlignment="1">
      <alignment horizontal="center" vertical="center"/>
    </xf>
    <xf numFmtId="164" fontId="19" fillId="8" borderId="48" xfId="0" applyNumberFormat="1" applyFont="1" applyFill="1" applyBorder="1" applyAlignment="1">
      <alignment horizontal="right" vertical="center"/>
    </xf>
    <xf numFmtId="164" fontId="19" fillId="8" borderId="57" xfId="0" applyNumberFormat="1" applyFont="1" applyFill="1" applyBorder="1" applyAlignment="1">
      <alignment horizontal="right" vertical="center"/>
    </xf>
    <xf numFmtId="164" fontId="19" fillId="8" borderId="25" xfId="0" applyNumberFormat="1" applyFont="1" applyFill="1" applyBorder="1" applyAlignment="1">
      <alignment horizontal="right" vertical="center"/>
    </xf>
    <xf numFmtId="0" fontId="21" fillId="0" borderId="66" xfId="0" applyFont="1" applyBorder="1" applyAlignment="1">
      <alignment vertical="center"/>
    </xf>
    <xf numFmtId="0" fontId="21" fillId="0" borderId="37" xfId="0" applyFont="1" applyBorder="1" applyAlignment="1">
      <alignment vertical="center"/>
    </xf>
    <xf numFmtId="0" fontId="21" fillId="0" borderId="68" xfId="0" applyFont="1" applyBorder="1" applyAlignment="1">
      <alignment vertical="center"/>
    </xf>
    <xf numFmtId="0" fontId="19" fillId="0" borderId="22" xfId="0" applyFont="1" applyBorder="1" applyAlignment="1">
      <alignment horizontal="center" vertical="center"/>
    </xf>
    <xf numFmtId="0" fontId="38" fillId="0" borderId="12" xfId="0" applyFont="1" applyBorder="1" applyAlignment="1">
      <alignment horizontal="center" vertical="center"/>
    </xf>
    <xf numFmtId="0" fontId="19" fillId="8" borderId="13" xfId="0" applyFont="1" applyFill="1" applyBorder="1" applyAlignment="1">
      <alignment horizontal="center" vertical="center"/>
    </xf>
    <xf numFmtId="164" fontId="19" fillId="8" borderId="13" xfId="0" applyNumberFormat="1" applyFont="1" applyFill="1" applyBorder="1" applyAlignment="1">
      <alignment horizontal="center" vertical="center"/>
    </xf>
    <xf numFmtId="0" fontId="19" fillId="8" borderId="40" xfId="0" applyFont="1" applyFill="1" applyBorder="1" applyAlignment="1">
      <alignment horizontal="center" vertical="center"/>
    </xf>
    <xf numFmtId="0" fontId="22" fillId="8" borderId="18" xfId="0" applyFont="1" applyFill="1" applyBorder="1" applyAlignment="1">
      <alignment horizontal="center" vertical="center"/>
    </xf>
    <xf numFmtId="0" fontId="22" fillId="8" borderId="20" xfId="0" applyFont="1" applyFill="1" applyBorder="1" applyAlignment="1">
      <alignment horizontal="center" vertical="center"/>
    </xf>
    <xf numFmtId="0" fontId="4" fillId="8" borderId="43" xfId="0" applyFont="1" applyFill="1" applyBorder="1" applyAlignment="1">
      <alignment vertical="center"/>
    </xf>
    <xf numFmtId="0" fontId="21" fillId="7" borderId="61" xfId="0" applyFont="1" applyFill="1" applyBorder="1" applyAlignment="1">
      <alignment horizontal="center" vertical="center"/>
    </xf>
    <xf numFmtId="2" fontId="21" fillId="7" borderId="19" xfId="0" applyNumberFormat="1" applyFont="1" applyFill="1" applyBorder="1" applyAlignment="1">
      <alignment horizontal="center" vertical="center"/>
    </xf>
    <xf numFmtId="167" fontId="21" fillId="7" borderId="27" xfId="0" applyNumberFormat="1" applyFont="1" applyFill="1" applyBorder="1" applyAlignment="1">
      <alignment horizontal="center" vertical="center"/>
    </xf>
    <xf numFmtId="0" fontId="21" fillId="7" borderId="12" xfId="0" applyFont="1" applyFill="1" applyBorder="1" applyAlignment="1">
      <alignment horizontal="center" vertical="center"/>
    </xf>
    <xf numFmtId="167" fontId="46" fillId="0" borderId="29" xfId="0" applyNumberFormat="1" applyFont="1" applyBorder="1"/>
    <xf numFmtId="0" fontId="46" fillId="0" borderId="31" xfId="0" applyFont="1" applyBorder="1" applyAlignment="1">
      <alignment wrapText="1"/>
    </xf>
    <xf numFmtId="0" fontId="46" fillId="0" borderId="66" xfId="0" applyFont="1" applyBorder="1"/>
    <xf numFmtId="0" fontId="46" fillId="7" borderId="23" xfId="0" applyFont="1" applyFill="1" applyBorder="1"/>
    <xf numFmtId="0" fontId="46" fillId="5" borderId="23" xfId="0" applyFont="1" applyFill="1" applyBorder="1"/>
    <xf numFmtId="167" fontId="46" fillId="0" borderId="5" xfId="0" applyNumberFormat="1" applyFont="1" applyBorder="1"/>
    <xf numFmtId="167" fontId="46" fillId="5" borderId="5" xfId="0" applyNumberFormat="1" applyFont="1" applyFill="1" applyBorder="1"/>
    <xf numFmtId="9" fontId="22" fillId="5" borderId="30" xfId="22" applyNumberFormat="1" applyFont="1" applyFill="1" applyBorder="1" applyAlignment="1">
      <alignment horizontal="center" vertical="center"/>
    </xf>
    <xf numFmtId="9" fontId="22" fillId="0" borderId="30" xfId="22" applyNumberFormat="1" applyFont="1" applyFill="1" applyBorder="1" applyAlignment="1">
      <alignment horizontal="center" vertical="center"/>
    </xf>
    <xf numFmtId="0" fontId="78" fillId="0" borderId="37" xfId="0" applyFont="1" applyBorder="1" applyAlignment="1">
      <alignment horizontal="center" vertical="center"/>
    </xf>
    <xf numFmtId="0" fontId="111" fillId="0" borderId="65" xfId="0" applyFont="1" applyBorder="1" applyAlignment="1">
      <alignment horizontal="center" vertical="center"/>
    </xf>
    <xf numFmtId="0" fontId="78" fillId="0" borderId="66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7" fillId="0" borderId="60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" fontId="7" fillId="8" borderId="17" xfId="0" applyNumberFormat="1" applyFont="1" applyFill="1" applyBorder="1" applyAlignment="1">
      <alignment horizontal="center" vertical="center"/>
    </xf>
    <xf numFmtId="2" fontId="7" fillId="8" borderId="17" xfId="0" applyNumberFormat="1" applyFont="1" applyFill="1" applyBorder="1" applyAlignment="1">
      <alignment horizontal="center" vertical="center"/>
    </xf>
    <xf numFmtId="2" fontId="7" fillId="0" borderId="31" xfId="0" applyNumberFormat="1" applyFont="1" applyBorder="1" applyAlignment="1">
      <alignment horizontal="center" vertical="center"/>
    </xf>
    <xf numFmtId="167" fontId="7" fillId="8" borderId="31" xfId="0" applyNumberFormat="1" applyFont="1" applyFill="1" applyBorder="1" applyAlignment="1">
      <alignment horizontal="center" vertical="center"/>
    </xf>
    <xf numFmtId="169" fontId="7" fillId="8" borderId="31" xfId="0" applyNumberFormat="1" applyFont="1" applyFill="1" applyBorder="1" applyAlignment="1">
      <alignment horizontal="center" vertical="center"/>
    </xf>
    <xf numFmtId="1" fontId="8" fillId="8" borderId="31" xfId="0" applyNumberFormat="1" applyFont="1" applyFill="1" applyBorder="1" applyAlignment="1">
      <alignment horizontal="center" vertical="center"/>
    </xf>
    <xf numFmtId="1" fontId="8" fillId="8" borderId="62" xfId="0" applyNumberFormat="1" applyFont="1" applyFill="1" applyBorder="1" applyAlignment="1">
      <alignment horizontal="center" vertical="center"/>
    </xf>
    <xf numFmtId="1" fontId="8" fillId="8" borderId="72" xfId="0" applyNumberFormat="1" applyFont="1" applyFill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7" fillId="7" borderId="24" xfId="0" applyFont="1" applyFill="1" applyBorder="1" applyAlignment="1">
      <alignment horizontal="center" vertical="center" wrapText="1"/>
    </xf>
    <xf numFmtId="0" fontId="7" fillId="7" borderId="6" xfId="0" quotePrefix="1" applyFont="1" applyFill="1" applyBorder="1" applyAlignment="1">
      <alignment horizontal="center" vertical="center"/>
    </xf>
    <xf numFmtId="167" fontId="7" fillId="7" borderId="29" xfId="0" applyNumberFormat="1" applyFont="1" applyFill="1" applyBorder="1" applyAlignment="1">
      <alignment horizontal="center" vertical="center"/>
    </xf>
    <xf numFmtId="167" fontId="7" fillId="7" borderId="8" xfId="0" applyNumberFormat="1" applyFont="1" applyFill="1" applyBorder="1" applyAlignment="1">
      <alignment horizontal="center" vertical="center"/>
    </xf>
    <xf numFmtId="2" fontId="7" fillId="7" borderId="29" xfId="0" applyNumberFormat="1" applyFont="1" applyFill="1" applyBorder="1" applyAlignment="1">
      <alignment horizontal="center" vertical="center"/>
    </xf>
    <xf numFmtId="169" fontId="7" fillId="7" borderId="29" xfId="0" applyNumberFormat="1" applyFont="1" applyFill="1" applyBorder="1" applyAlignment="1">
      <alignment horizontal="center" vertical="center"/>
    </xf>
    <xf numFmtId="0" fontId="4" fillId="7" borderId="26" xfId="0" applyFont="1" applyFill="1" applyBorder="1" applyAlignment="1">
      <alignment horizontal="center" vertical="center"/>
    </xf>
    <xf numFmtId="0" fontId="7" fillId="7" borderId="66" xfId="0" applyFont="1" applyFill="1" applyBorder="1" applyAlignment="1">
      <alignment horizontal="left" vertical="center" wrapText="1"/>
    </xf>
    <xf numFmtId="0" fontId="7" fillId="7" borderId="37" xfId="0" quotePrefix="1" applyFont="1" applyFill="1" applyBorder="1" applyAlignment="1">
      <alignment horizontal="left" vertical="center" wrapText="1"/>
    </xf>
    <xf numFmtId="1" fontId="4" fillId="7" borderId="67" xfId="0" applyNumberFormat="1" applyFont="1" applyFill="1" applyBorder="1" applyAlignment="1">
      <alignment horizontal="center" vertical="center"/>
    </xf>
    <xf numFmtId="1" fontId="4" fillId="7" borderId="86" xfId="0" applyNumberFormat="1" applyFont="1" applyFill="1" applyBorder="1" applyAlignment="1">
      <alignment horizontal="center" vertical="center"/>
    </xf>
    <xf numFmtId="2" fontId="7" fillId="7" borderId="37" xfId="0" applyNumberFormat="1" applyFont="1" applyFill="1" applyBorder="1" applyAlignment="1">
      <alignment horizontal="center" vertical="center"/>
    </xf>
    <xf numFmtId="0" fontId="7" fillId="5" borderId="18" xfId="0" applyFont="1" applyFill="1" applyBorder="1" applyAlignment="1">
      <alignment horizontal="left" vertical="center" wrapText="1"/>
    </xf>
    <xf numFmtId="0" fontId="7" fillId="5" borderId="12" xfId="0" applyFont="1" applyFill="1" applyBorder="1" applyAlignment="1">
      <alignment horizontal="left" vertical="center" wrapText="1"/>
    </xf>
    <xf numFmtId="167" fontId="7" fillId="5" borderId="17" xfId="0" applyNumberFormat="1" applyFont="1" applyFill="1" applyBorder="1" applyAlignment="1">
      <alignment horizontal="center" vertical="center"/>
    </xf>
    <xf numFmtId="2" fontId="7" fillId="5" borderId="17" xfId="0" applyNumberFormat="1" applyFont="1" applyFill="1" applyBorder="1" applyAlignment="1">
      <alignment horizontal="center" vertical="center"/>
    </xf>
    <xf numFmtId="167" fontId="7" fillId="5" borderId="31" xfId="0" applyNumberFormat="1" applyFont="1" applyFill="1" applyBorder="1" applyAlignment="1">
      <alignment horizontal="center" vertical="center"/>
    </xf>
    <xf numFmtId="167" fontId="7" fillId="7" borderId="31" xfId="0" applyNumberFormat="1" applyFont="1" applyFill="1" applyBorder="1" applyAlignment="1">
      <alignment horizontal="center" vertical="center"/>
    </xf>
    <xf numFmtId="2" fontId="7" fillId="7" borderId="17" xfId="0" applyNumberFormat="1" applyFont="1" applyFill="1" applyBorder="1" applyAlignment="1">
      <alignment horizontal="center" vertical="center"/>
    </xf>
    <xf numFmtId="0" fontId="12" fillId="0" borderId="47" xfId="0" applyFont="1" applyBorder="1" applyAlignment="1">
      <alignment horizontal="left" indent="1"/>
    </xf>
    <xf numFmtId="0" fontId="12" fillId="0" borderId="70" xfId="0" applyFont="1" applyBorder="1" applyAlignment="1">
      <alignment horizontal="left" indent="1"/>
    </xf>
    <xf numFmtId="0" fontId="12" fillId="0" borderId="57" xfId="0" applyFont="1" applyBorder="1" applyAlignment="1">
      <alignment horizontal="left" indent="1"/>
    </xf>
    <xf numFmtId="0" fontId="27" fillId="0" borderId="25" xfId="0" applyFont="1" applyBorder="1" applyAlignment="1">
      <alignment horizontal="left" indent="1"/>
    </xf>
    <xf numFmtId="0" fontId="20" fillId="0" borderId="31" xfId="0" applyFont="1" applyBorder="1" applyAlignment="1">
      <alignment horizontal="left" vertical="center" indent="1"/>
    </xf>
    <xf numFmtId="1" fontId="21" fillId="7" borderId="10" xfId="0" applyNumberFormat="1" applyFont="1" applyFill="1" applyBorder="1" applyAlignment="1">
      <alignment horizontal="center" vertical="center"/>
    </xf>
    <xf numFmtId="1" fontId="7" fillId="7" borderId="10" xfId="0" applyNumberFormat="1" applyFont="1" applyFill="1" applyBorder="1" applyAlignment="1">
      <alignment horizontal="center" vertical="center"/>
    </xf>
    <xf numFmtId="2" fontId="156" fillId="8" borderId="10" xfId="0" applyNumberFormat="1" applyFont="1" applyFill="1" applyBorder="1" applyAlignment="1">
      <alignment horizontal="center" vertical="center"/>
    </xf>
    <xf numFmtId="1" fontId="21" fillId="8" borderId="29" xfId="0" applyNumberFormat="1" applyFont="1" applyFill="1" applyBorder="1" applyAlignment="1">
      <alignment horizontal="center" vertical="center"/>
    </xf>
    <xf numFmtId="1" fontId="21" fillId="5" borderId="10" xfId="0" applyNumberFormat="1" applyFont="1" applyFill="1" applyBorder="1" applyAlignment="1">
      <alignment horizontal="center" vertical="center"/>
    </xf>
    <xf numFmtId="1" fontId="21" fillId="7" borderId="10" xfId="0" applyNumberFormat="1" applyFont="1" applyFill="1" applyBorder="1" applyAlignment="1">
      <alignment horizontal="center" vertical="center"/>
    </xf>
    <xf numFmtId="1" fontId="21" fillId="8" borderId="10" xfId="0" applyNumberFormat="1" applyFont="1" applyFill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7" fillId="5" borderId="10" xfId="0" applyFont="1" applyFill="1" applyBorder="1" applyAlignment="1">
      <alignment horizontal="center" vertical="center"/>
    </xf>
    <xf numFmtId="0" fontId="7" fillId="7" borderId="10" xfId="0" applyFont="1" applyFill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5" borderId="10" xfId="0" applyFont="1" applyFill="1" applyBorder="1" applyAlignment="1">
      <alignment horizontal="center" vertical="center"/>
    </xf>
    <xf numFmtId="0" fontId="0" fillId="0" borderId="0" xfId="0"/>
    <xf numFmtId="0" fontId="4" fillId="7" borderId="10" xfId="0" applyFont="1" applyFill="1" applyBorder="1" applyAlignment="1">
      <alignment horizontal="center" vertical="center"/>
    </xf>
    <xf numFmtId="0" fontId="22" fillId="0" borderId="10" xfId="0" applyFont="1" applyBorder="1" applyAlignment="1">
      <alignment horizontal="center" vertical="center"/>
    </xf>
    <xf numFmtId="0" fontId="22" fillId="5" borderId="10" xfId="0" applyFont="1" applyFill="1" applyBorder="1" applyAlignment="1">
      <alignment horizontal="center" vertical="center"/>
    </xf>
    <xf numFmtId="0" fontId="22" fillId="7" borderId="10" xfId="0" applyFont="1" applyFill="1" applyBorder="1" applyAlignment="1">
      <alignment horizontal="center" vertical="center"/>
    </xf>
    <xf numFmtId="2" fontId="19" fillId="7" borderId="10" xfId="0" applyNumberFormat="1" applyFont="1" applyFill="1" applyBorder="1" applyAlignment="1">
      <alignment horizontal="center" vertical="center"/>
    </xf>
    <xf numFmtId="1" fontId="4" fillId="7" borderId="10" xfId="0" applyNumberFormat="1" applyFont="1" applyFill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7" fillId="7" borderId="10" xfId="0" applyFont="1" applyFill="1" applyBorder="1" applyAlignment="1">
      <alignment horizontal="center" vertical="center"/>
    </xf>
    <xf numFmtId="1" fontId="7" fillId="8" borderId="10" xfId="0" applyNumberFormat="1" applyFont="1" applyFill="1" applyBorder="1" applyAlignment="1">
      <alignment horizontal="center" vertical="center"/>
    </xf>
    <xf numFmtId="0" fontId="4" fillId="7" borderId="10" xfId="0" applyFont="1" applyFill="1" applyBorder="1" applyAlignment="1">
      <alignment horizontal="center" vertical="center"/>
    </xf>
    <xf numFmtId="0" fontId="7" fillId="5" borderId="10" xfId="0" applyFont="1" applyFill="1" applyBorder="1" applyAlignment="1">
      <alignment horizontal="center" vertical="center"/>
    </xf>
    <xf numFmtId="0" fontId="19" fillId="8" borderId="29" xfId="0" applyFont="1" applyFill="1" applyBorder="1" applyAlignment="1">
      <alignment horizontal="center" vertical="center"/>
    </xf>
    <xf numFmtId="0" fontId="22" fillId="0" borderId="10" xfId="0" applyFont="1" applyFill="1" applyBorder="1" applyAlignment="1">
      <alignment horizontal="center" vertical="center"/>
    </xf>
    <xf numFmtId="0" fontId="19" fillId="7" borderId="10" xfId="0" applyFont="1" applyFill="1" applyBorder="1" applyAlignment="1">
      <alignment horizontal="center" vertical="center"/>
    </xf>
    <xf numFmtId="0" fontId="4" fillId="0" borderId="31" xfId="0" applyFont="1" applyBorder="1" applyAlignment="1">
      <alignment horizontal="left" vertical="center"/>
    </xf>
    <xf numFmtId="0" fontId="0" fillId="0" borderId="0" xfId="0" applyAlignment="1"/>
    <xf numFmtId="0" fontId="0" fillId="0" borderId="37" xfId="0" applyBorder="1"/>
    <xf numFmtId="0" fontId="4" fillId="0" borderId="10" xfId="0" applyFont="1" applyBorder="1" applyAlignment="1">
      <alignment horizontal="left"/>
    </xf>
    <xf numFmtId="0" fontId="16" fillId="0" borderId="10" xfId="0" applyFont="1" applyBorder="1" applyAlignment="1">
      <alignment horizontal="left" vertical="center"/>
    </xf>
    <xf numFmtId="0" fontId="4" fillId="8" borderId="10" xfId="0" applyFont="1" applyFill="1" applyBorder="1" applyAlignment="1">
      <alignment horizontal="left" vertical="center"/>
    </xf>
    <xf numFmtId="0" fontId="4" fillId="8" borderId="10" xfId="0" applyFont="1" applyFill="1" applyBorder="1" applyAlignment="1">
      <alignment horizontal="left"/>
    </xf>
    <xf numFmtId="0" fontId="7" fillId="8" borderId="10" xfId="0" applyFont="1" applyFill="1" applyBorder="1" applyAlignment="1">
      <alignment horizontal="left"/>
    </xf>
    <xf numFmtId="0" fontId="23" fillId="8" borderId="10" xfId="0" applyFont="1" applyFill="1" applyBorder="1" applyAlignment="1">
      <alignment horizontal="center" vertical="center" wrapText="1"/>
    </xf>
    <xf numFmtId="0" fontId="7" fillId="0" borderId="37" xfId="0" applyFont="1" applyBorder="1" applyAlignment="1">
      <alignment horizontal="left" vertical="center"/>
    </xf>
    <xf numFmtId="0" fontId="16" fillId="0" borderId="37" xfId="0" applyFont="1" applyBorder="1" applyAlignment="1">
      <alignment horizontal="left" vertical="center"/>
    </xf>
    <xf numFmtId="0" fontId="4" fillId="8" borderId="37" xfId="0" applyFont="1" applyFill="1" applyBorder="1" applyAlignment="1">
      <alignment horizontal="left" vertical="center"/>
    </xf>
    <xf numFmtId="0" fontId="7" fillId="8" borderId="37" xfId="0" applyFont="1" applyFill="1" applyBorder="1"/>
    <xf numFmtId="0" fontId="4" fillId="8" borderId="37" xfId="0" applyFont="1" applyFill="1" applyBorder="1" applyAlignment="1">
      <alignment horizontal="left"/>
    </xf>
    <xf numFmtId="0" fontId="37" fillId="8" borderId="37" xfId="0" applyFont="1" applyFill="1" applyBorder="1"/>
    <xf numFmtId="0" fontId="7" fillId="8" borderId="37" xfId="0" applyFont="1" applyFill="1" applyBorder="1" applyAlignment="1">
      <alignment horizontal="left" vertical="center"/>
    </xf>
    <xf numFmtId="0" fontId="7" fillId="8" borderId="37" xfId="0" applyFont="1" applyFill="1" applyBorder="1" applyAlignment="1">
      <alignment horizontal="left"/>
    </xf>
    <xf numFmtId="0" fontId="4" fillId="0" borderId="37" xfId="0" applyFont="1" applyBorder="1" applyAlignment="1">
      <alignment horizontal="left"/>
    </xf>
    <xf numFmtId="0" fontId="16" fillId="0" borderId="10" xfId="0" applyFont="1" applyBorder="1" applyAlignment="1">
      <alignment horizontal="center" vertical="center"/>
    </xf>
    <xf numFmtId="0" fontId="0" fillId="0" borderId="10" xfId="0" applyFont="1" applyBorder="1" applyAlignment="1">
      <alignment horizontal="center" vertical="center"/>
    </xf>
    <xf numFmtId="0" fontId="0" fillId="0" borderId="10" xfId="0" applyFont="1" applyBorder="1"/>
    <xf numFmtId="0" fontId="7" fillId="4" borderId="10" xfId="0" applyFont="1" applyFill="1" applyBorder="1" applyAlignment="1">
      <alignment horizontal="left" vertical="center"/>
    </xf>
    <xf numFmtId="0" fontId="0" fillId="4" borderId="10" xfId="0" applyFill="1" applyBorder="1"/>
    <xf numFmtId="0" fontId="4" fillId="0" borderId="37" xfId="0" applyFont="1" applyBorder="1" applyAlignment="1">
      <alignment horizontal="left" vertical="center"/>
    </xf>
    <xf numFmtId="0" fontId="4" fillId="0" borderId="10" xfId="0" applyFont="1" applyFill="1" applyBorder="1" applyAlignment="1">
      <alignment horizontal="center" vertical="center"/>
    </xf>
    <xf numFmtId="0" fontId="169" fillId="7" borderId="10" xfId="0" applyFont="1" applyFill="1" applyBorder="1" applyAlignment="1">
      <alignment horizontal="center" vertical="center"/>
    </xf>
    <xf numFmtId="0" fontId="169" fillId="5" borderId="10" xfId="0" applyFont="1" applyFill="1" applyBorder="1" applyAlignment="1">
      <alignment horizontal="center" vertical="center"/>
    </xf>
    <xf numFmtId="0" fontId="16" fillId="7" borderId="10" xfId="0" applyFont="1" applyFill="1" applyBorder="1" applyAlignment="1">
      <alignment horizontal="center" vertical="center"/>
    </xf>
    <xf numFmtId="0" fontId="56" fillId="8" borderId="10" xfId="0" applyFont="1" applyFill="1" applyBorder="1"/>
    <xf numFmtId="1" fontId="4" fillId="7" borderId="10" xfId="0" applyNumberFormat="1" applyFont="1" applyFill="1" applyBorder="1" applyAlignment="1">
      <alignment horizontal="center" vertical="center"/>
    </xf>
    <xf numFmtId="1" fontId="21" fillId="7" borderId="31" xfId="0" applyNumberFormat="1" applyFont="1" applyFill="1" applyBorder="1" applyAlignment="1">
      <alignment horizontal="center" vertical="center"/>
    </xf>
    <xf numFmtId="1" fontId="21" fillId="7" borderId="10" xfId="0" applyNumberFormat="1" applyFont="1" applyFill="1" applyBorder="1" applyAlignment="1">
      <alignment horizontal="center" vertical="center"/>
    </xf>
    <xf numFmtId="1" fontId="21" fillId="7" borderId="30" xfId="0" applyNumberFormat="1" applyFont="1" applyFill="1" applyBorder="1" applyAlignment="1">
      <alignment horizontal="center" vertical="center"/>
    </xf>
    <xf numFmtId="1" fontId="4" fillId="7" borderId="10" xfId="0" applyNumberFormat="1" applyFont="1" applyFill="1" applyBorder="1" applyAlignment="1">
      <alignment horizontal="center" vertical="center"/>
    </xf>
    <xf numFmtId="0" fontId="0" fillId="0" borderId="0" xfId="0"/>
    <xf numFmtId="2" fontId="21" fillId="7" borderId="10" xfId="0" applyNumberFormat="1" applyFont="1" applyFill="1" applyBorder="1" applyAlignment="1">
      <alignment horizontal="center" vertical="center"/>
    </xf>
    <xf numFmtId="1" fontId="4" fillId="7" borderId="29" xfId="0" applyNumberFormat="1" applyFont="1" applyFill="1" applyBorder="1" applyAlignment="1">
      <alignment horizontal="center" vertical="center"/>
    </xf>
    <xf numFmtId="1" fontId="4" fillId="5" borderId="30" xfId="0" applyNumberFormat="1" applyFont="1" applyFill="1" applyBorder="1" applyAlignment="1">
      <alignment horizontal="center" vertical="center"/>
    </xf>
    <xf numFmtId="167" fontId="4" fillId="5" borderId="30" xfId="0" applyNumberFormat="1" applyFont="1" applyFill="1" applyBorder="1" applyAlignment="1">
      <alignment horizontal="center" vertical="center"/>
    </xf>
    <xf numFmtId="167" fontId="4" fillId="6" borderId="30" xfId="0" applyNumberFormat="1" applyFont="1" applyFill="1" applyBorder="1" applyAlignment="1">
      <alignment horizontal="center" vertical="center"/>
    </xf>
    <xf numFmtId="0" fontId="7" fillId="0" borderId="45" xfId="0" applyFont="1" applyBorder="1" applyAlignment="1">
      <alignment horizontal="center" vertical="center" wrapText="1"/>
    </xf>
    <xf numFmtId="0" fontId="7" fillId="8" borderId="70" xfId="0" quotePrefix="1" applyFont="1" applyFill="1" applyBorder="1" applyAlignment="1">
      <alignment horizontal="center" vertical="center"/>
    </xf>
    <xf numFmtId="0" fontId="7" fillId="8" borderId="72" xfId="0" quotePrefix="1" applyFont="1" applyFill="1" applyBorder="1" applyAlignment="1">
      <alignment horizontal="left" vertical="center" wrapText="1"/>
    </xf>
    <xf numFmtId="0" fontId="7" fillId="7" borderId="75" xfId="0" quotePrefix="1" applyFont="1" applyFill="1" applyBorder="1" applyAlignment="1">
      <alignment horizontal="center" vertical="center"/>
    </xf>
    <xf numFmtId="0" fontId="7" fillId="7" borderId="65" xfId="0" quotePrefix="1" applyFont="1" applyFill="1" applyBorder="1" applyAlignment="1">
      <alignment horizontal="left" vertical="center" wrapText="1"/>
    </xf>
    <xf numFmtId="0" fontId="7" fillId="5" borderId="62" xfId="0" applyFont="1" applyFill="1" applyBorder="1" applyAlignment="1">
      <alignment horizontal="center" vertical="center" wrapText="1"/>
    </xf>
    <xf numFmtId="0" fontId="7" fillId="5" borderId="60" xfId="0" applyFont="1" applyFill="1" applyBorder="1" applyAlignment="1">
      <alignment horizontal="left" vertical="center" wrapText="1"/>
    </xf>
    <xf numFmtId="0" fontId="7" fillId="7" borderId="70" xfId="0" quotePrefix="1" applyFont="1" applyFill="1" applyBorder="1" applyAlignment="1">
      <alignment horizontal="center" vertical="center"/>
    </xf>
    <xf numFmtId="0" fontId="7" fillId="7" borderId="72" xfId="0" quotePrefix="1" applyFont="1" applyFill="1" applyBorder="1" applyAlignment="1">
      <alignment horizontal="left" vertical="center" wrapText="1"/>
    </xf>
    <xf numFmtId="0" fontId="7" fillId="0" borderId="72" xfId="0" quotePrefix="1" applyFont="1" applyFill="1" applyBorder="1" applyAlignment="1">
      <alignment horizontal="left" vertical="center" wrapText="1"/>
    </xf>
    <xf numFmtId="1" fontId="21" fillId="8" borderId="10" xfId="0" applyNumberFormat="1" applyFont="1" applyFill="1" applyBorder="1" applyAlignment="1">
      <alignment horizontal="center" vertical="center"/>
    </xf>
    <xf numFmtId="1" fontId="4" fillId="0" borderId="10" xfId="0" applyNumberFormat="1" applyFont="1" applyBorder="1" applyAlignment="1">
      <alignment horizontal="center" vertical="center"/>
    </xf>
    <xf numFmtId="0" fontId="0" fillId="0" borderId="0" xfId="0"/>
    <xf numFmtId="167" fontId="28" fillId="7" borderId="41" xfId="0" applyNumberFormat="1" applyFont="1" applyFill="1" applyBorder="1" applyAlignment="1">
      <alignment horizontal="center" vertical="center"/>
    </xf>
    <xf numFmtId="167" fontId="28" fillId="7" borderId="80" xfId="0" applyNumberFormat="1" applyFont="1" applyFill="1" applyBorder="1" applyAlignment="1">
      <alignment horizontal="center" vertical="center"/>
    </xf>
    <xf numFmtId="1" fontId="21" fillId="54" borderId="42" xfId="0" applyNumberFormat="1" applyFont="1" applyFill="1" applyBorder="1" applyAlignment="1">
      <alignment horizontal="center" vertical="center"/>
    </xf>
    <xf numFmtId="1" fontId="22" fillId="54" borderId="11" xfId="0" applyNumberFormat="1" applyFont="1" applyFill="1" applyBorder="1" applyAlignment="1">
      <alignment horizontal="center" vertical="center"/>
    </xf>
    <xf numFmtId="1" fontId="21" fillId="54" borderId="53" xfId="0" applyNumberFormat="1" applyFont="1" applyFill="1" applyBorder="1" applyAlignment="1">
      <alignment horizontal="center" vertical="center"/>
    </xf>
    <xf numFmtId="1" fontId="21" fillId="8" borderId="10" xfId="0" applyNumberFormat="1" applyFont="1" applyFill="1" applyBorder="1" applyAlignment="1">
      <alignment horizontal="center" vertical="center"/>
    </xf>
    <xf numFmtId="0" fontId="0" fillId="0" borderId="0" xfId="0"/>
    <xf numFmtId="1" fontId="21" fillId="8" borderId="10" xfId="0" applyNumberFormat="1" applyFont="1" applyFill="1" applyBorder="1" applyAlignment="1">
      <alignment horizontal="center" vertical="center"/>
    </xf>
    <xf numFmtId="1" fontId="21" fillId="7" borderId="31" xfId="0" applyNumberFormat="1" applyFont="1" applyFill="1" applyBorder="1" applyAlignment="1">
      <alignment horizontal="center" vertical="center"/>
    </xf>
    <xf numFmtId="1" fontId="21" fillId="5" borderId="31" xfId="0" applyNumberFormat="1" applyFont="1" applyFill="1" applyBorder="1" applyAlignment="1">
      <alignment horizontal="center" vertical="center"/>
    </xf>
    <xf numFmtId="0" fontId="22" fillId="0" borderId="66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1" fontId="7" fillId="8" borderId="10" xfId="0" applyNumberFormat="1" applyFont="1" applyFill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0" fillId="0" borderId="0" xfId="0"/>
    <xf numFmtId="0" fontId="4" fillId="5" borderId="10" xfId="0" applyFont="1" applyFill="1" applyBorder="1" applyAlignment="1">
      <alignment horizontal="center" vertical="center"/>
    </xf>
    <xf numFmtId="0" fontId="7" fillId="5" borderId="10" xfId="0" applyFont="1" applyFill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/>
    </xf>
    <xf numFmtId="1" fontId="21" fillId="7" borderId="74" xfId="0" applyNumberFormat="1" applyFont="1" applyFill="1" applyBorder="1" applyAlignment="1">
      <alignment horizontal="center" vertical="center"/>
    </xf>
    <xf numFmtId="0" fontId="21" fillId="7" borderId="38" xfId="0" applyFont="1" applyFill="1" applyBorder="1" applyAlignment="1">
      <alignment horizontal="center" vertical="center"/>
    </xf>
    <xf numFmtId="0" fontId="21" fillId="5" borderId="38" xfId="0" applyFont="1" applyFill="1" applyBorder="1" applyAlignment="1">
      <alignment horizontal="center" vertical="center"/>
    </xf>
    <xf numFmtId="2" fontId="21" fillId="8" borderId="17" xfId="0" applyNumberFormat="1" applyFont="1" applyFill="1" applyBorder="1" applyAlignment="1">
      <alignment horizontal="center" vertical="center"/>
    </xf>
    <xf numFmtId="2" fontId="21" fillId="7" borderId="10" xfId="0" applyNumberFormat="1" applyFont="1" applyFill="1" applyBorder="1" applyAlignment="1">
      <alignment horizontal="center" vertical="center"/>
    </xf>
    <xf numFmtId="2" fontId="21" fillId="5" borderId="10" xfId="0" applyNumberFormat="1" applyFont="1" applyFill="1" applyBorder="1" applyAlignment="1">
      <alignment horizontal="center" vertical="center"/>
    </xf>
    <xf numFmtId="168" fontId="21" fillId="0" borderId="31" xfId="0" applyNumberFormat="1" applyFont="1" applyBorder="1" applyAlignment="1">
      <alignment horizontal="right" vertical="center" indent="1"/>
    </xf>
    <xf numFmtId="0" fontId="33" fillId="8" borderId="0" xfId="0" applyFont="1" applyFill="1" applyBorder="1" applyAlignment="1">
      <alignment horizontal="center" vertical="center"/>
    </xf>
    <xf numFmtId="0" fontId="33" fillId="8" borderId="30" xfId="0" applyFont="1" applyFill="1" applyBorder="1" applyAlignment="1">
      <alignment horizontal="center" vertical="center"/>
    </xf>
    <xf numFmtId="0" fontId="33" fillId="8" borderId="74" xfId="0" applyFont="1" applyFill="1" applyBorder="1" applyAlignment="1">
      <alignment horizontal="center" vertical="center"/>
    </xf>
    <xf numFmtId="0" fontId="33" fillId="0" borderId="71" xfId="0" applyFont="1" applyFill="1" applyBorder="1" applyAlignment="1">
      <alignment horizontal="center" vertical="center"/>
    </xf>
    <xf numFmtId="0" fontId="33" fillId="8" borderId="38" xfId="0" applyFont="1" applyFill="1" applyBorder="1" applyAlignment="1">
      <alignment horizontal="center" vertical="center"/>
    </xf>
    <xf numFmtId="0" fontId="33" fillId="8" borderId="71" xfId="0" applyFont="1" applyFill="1" applyBorder="1" applyAlignment="1">
      <alignment horizontal="center" vertical="center"/>
    </xf>
    <xf numFmtId="0" fontId="21" fillId="0" borderId="51" xfId="0" applyFont="1" applyBorder="1" applyAlignment="1">
      <alignment horizontal="left" vertical="center" indent="1"/>
    </xf>
    <xf numFmtId="1" fontId="21" fillId="5" borderId="59" xfId="0" applyNumberFormat="1" applyFont="1" applyFill="1" applyBorder="1" applyAlignment="1">
      <alignment horizontal="center" vertical="center"/>
    </xf>
    <xf numFmtId="1" fontId="21" fillId="8" borderId="46" xfId="0" quotePrefix="1" applyNumberFormat="1" applyFont="1" applyFill="1" applyBorder="1" applyAlignment="1">
      <alignment horizontal="center" vertical="center"/>
    </xf>
    <xf numFmtId="0" fontId="21" fillId="8" borderId="63" xfId="0" applyFont="1" applyFill="1" applyBorder="1" applyAlignment="1">
      <alignment horizontal="left" vertical="center" indent="1"/>
    </xf>
    <xf numFmtId="0" fontId="21" fillId="0" borderId="41" xfId="0" quotePrefix="1" applyFont="1" applyBorder="1" applyAlignment="1">
      <alignment horizontal="center" vertical="center"/>
    </xf>
    <xf numFmtId="2" fontId="21" fillId="8" borderId="41" xfId="0" applyNumberFormat="1" applyFont="1" applyFill="1" applyBorder="1" applyAlignment="1">
      <alignment horizontal="center" vertical="center"/>
    </xf>
    <xf numFmtId="2" fontId="21" fillId="7" borderId="41" xfId="0" applyNumberFormat="1" applyFont="1" applyFill="1" applyBorder="1" applyAlignment="1">
      <alignment horizontal="center" vertical="center"/>
    </xf>
    <xf numFmtId="2" fontId="21" fillId="5" borderId="41" xfId="0" applyNumberFormat="1" applyFont="1" applyFill="1" applyBorder="1" applyAlignment="1">
      <alignment horizontal="center" vertical="center"/>
    </xf>
    <xf numFmtId="0" fontId="21" fillId="8" borderId="63" xfId="0" quotePrefix="1" applyFont="1" applyFill="1" applyBorder="1" applyAlignment="1">
      <alignment horizontal="center" vertical="center"/>
    </xf>
    <xf numFmtId="2" fontId="21" fillId="8" borderId="42" xfId="0" applyNumberFormat="1" applyFont="1" applyFill="1" applyBorder="1" applyAlignment="1">
      <alignment horizontal="center" vertical="center"/>
    </xf>
    <xf numFmtId="2" fontId="21" fillId="6" borderId="42" xfId="0" applyNumberFormat="1" applyFont="1" applyFill="1" applyBorder="1" applyAlignment="1">
      <alignment horizontal="center" vertical="center"/>
    </xf>
    <xf numFmtId="0" fontId="21" fillId="0" borderId="23" xfId="0" quotePrefix="1" applyFont="1" applyBorder="1" applyAlignment="1">
      <alignment horizontal="center" vertical="center"/>
    </xf>
    <xf numFmtId="2" fontId="21" fillId="8" borderId="23" xfId="0" applyNumberFormat="1" applyFont="1" applyFill="1" applyBorder="1" applyAlignment="1">
      <alignment horizontal="center" vertical="center"/>
    </xf>
    <xf numFmtId="0" fontId="21" fillId="7" borderId="69" xfId="0" applyFont="1" applyFill="1" applyBorder="1" applyAlignment="1">
      <alignment horizontal="center" vertical="center"/>
    </xf>
    <xf numFmtId="2" fontId="21" fillId="7" borderId="23" xfId="0" applyNumberFormat="1" applyFont="1" applyFill="1" applyBorder="1" applyAlignment="1">
      <alignment horizontal="center" vertical="center"/>
    </xf>
    <xf numFmtId="0" fontId="21" fillId="5" borderId="69" xfId="0" applyFont="1" applyFill="1" applyBorder="1" applyAlignment="1">
      <alignment horizontal="center" vertical="center"/>
    </xf>
    <xf numFmtId="2" fontId="21" fillId="5" borderId="23" xfId="0" applyNumberFormat="1" applyFont="1" applyFill="1" applyBorder="1" applyAlignment="1">
      <alignment horizontal="center" vertical="center"/>
    </xf>
    <xf numFmtId="0" fontId="21" fillId="8" borderId="32" xfId="0" quotePrefix="1" applyFont="1" applyFill="1" applyBorder="1" applyAlignment="1">
      <alignment horizontal="center" vertical="center"/>
    </xf>
    <xf numFmtId="0" fontId="21" fillId="6" borderId="69" xfId="0" applyFont="1" applyFill="1" applyBorder="1" applyAlignment="1">
      <alignment horizontal="center" vertical="center"/>
    </xf>
    <xf numFmtId="2" fontId="21" fillId="0" borderId="41" xfId="0" applyNumberFormat="1" applyFont="1" applyFill="1" applyBorder="1" applyAlignment="1">
      <alignment horizontal="center" vertical="center"/>
    </xf>
    <xf numFmtId="167" fontId="21" fillId="8" borderId="63" xfId="0" applyNumberFormat="1" applyFont="1" applyFill="1" applyBorder="1" applyAlignment="1">
      <alignment horizontal="center" vertical="center"/>
    </xf>
    <xf numFmtId="167" fontId="21" fillId="8" borderId="42" xfId="0" applyNumberFormat="1" applyFont="1" applyFill="1" applyBorder="1" applyAlignment="1">
      <alignment horizontal="center" vertical="center"/>
    </xf>
    <xf numFmtId="167" fontId="21" fillId="5" borderId="25" xfId="0" applyNumberFormat="1" applyFont="1" applyFill="1" applyBorder="1" applyAlignment="1">
      <alignment horizontal="center" vertical="center"/>
    </xf>
    <xf numFmtId="167" fontId="21" fillId="5" borderId="11" xfId="0" applyNumberFormat="1" applyFont="1" applyFill="1" applyBorder="1" applyAlignment="1">
      <alignment horizontal="center" vertical="center"/>
    </xf>
    <xf numFmtId="167" fontId="21" fillId="6" borderId="25" xfId="0" applyNumberFormat="1" applyFont="1" applyFill="1" applyBorder="1" applyAlignment="1">
      <alignment horizontal="center" vertical="center"/>
    </xf>
    <xf numFmtId="167" fontId="21" fillId="6" borderId="11" xfId="0" applyNumberFormat="1" applyFont="1" applyFill="1" applyBorder="1" applyAlignment="1">
      <alignment horizontal="center" vertical="center"/>
    </xf>
    <xf numFmtId="167" fontId="21" fillId="7" borderId="69" xfId="0" applyNumberFormat="1" applyFont="1" applyFill="1" applyBorder="1" applyAlignment="1">
      <alignment horizontal="center" vertical="center"/>
    </xf>
    <xf numFmtId="2" fontId="21" fillId="0" borderId="23" xfId="0" applyNumberFormat="1" applyFont="1" applyFill="1" applyBorder="1" applyAlignment="1">
      <alignment horizontal="center" vertical="center"/>
    </xf>
    <xf numFmtId="167" fontId="21" fillId="8" borderId="33" xfId="0" applyNumberFormat="1" applyFont="1" applyFill="1" applyBorder="1" applyAlignment="1">
      <alignment horizontal="center" vertical="center"/>
    </xf>
    <xf numFmtId="167" fontId="21" fillId="5" borderId="26" xfId="0" applyNumberFormat="1" applyFont="1" applyFill="1" applyBorder="1" applyAlignment="1">
      <alignment horizontal="center" vertical="center"/>
    </xf>
    <xf numFmtId="167" fontId="21" fillId="6" borderId="26" xfId="0" applyNumberFormat="1" applyFont="1" applyFill="1" applyBorder="1" applyAlignment="1">
      <alignment horizontal="center" vertical="center"/>
    </xf>
    <xf numFmtId="0" fontId="19" fillId="8" borderId="46" xfId="0" applyFont="1" applyFill="1" applyBorder="1" applyAlignment="1">
      <alignment horizontal="center" vertical="center"/>
    </xf>
    <xf numFmtId="0" fontId="19" fillId="8" borderId="74" xfId="0" applyFont="1" applyFill="1" applyBorder="1" applyAlignment="1">
      <alignment horizontal="center" vertical="center"/>
    </xf>
    <xf numFmtId="0" fontId="19" fillId="0" borderId="71" xfId="0" applyFont="1" applyFill="1" applyBorder="1" applyAlignment="1">
      <alignment horizontal="center" vertical="center"/>
    </xf>
    <xf numFmtId="0" fontId="22" fillId="0" borderId="63" xfId="0" applyFont="1" applyBorder="1" applyAlignment="1">
      <alignment horizontal="left" vertical="center" indent="1"/>
    </xf>
    <xf numFmtId="169" fontId="22" fillId="0" borderId="41" xfId="0" applyNumberFormat="1" applyFont="1" applyBorder="1" applyAlignment="1">
      <alignment horizontal="center" vertical="center"/>
    </xf>
    <xf numFmtId="169" fontId="22" fillId="8" borderId="41" xfId="0" applyNumberFormat="1" applyFont="1" applyFill="1" applyBorder="1" applyAlignment="1">
      <alignment horizontal="center" vertical="center"/>
    </xf>
    <xf numFmtId="169" fontId="22" fillId="7" borderId="41" xfId="0" applyNumberFormat="1" applyFont="1" applyFill="1" applyBorder="1" applyAlignment="1">
      <alignment horizontal="center" vertical="center"/>
    </xf>
    <xf numFmtId="169" fontId="22" fillId="5" borderId="41" xfId="0" applyNumberFormat="1" applyFont="1" applyFill="1" applyBorder="1" applyAlignment="1">
      <alignment horizontal="center" vertical="center"/>
    </xf>
    <xf numFmtId="169" fontId="22" fillId="8" borderId="63" xfId="0" applyNumberFormat="1" applyFont="1" applyFill="1" applyBorder="1" applyAlignment="1">
      <alignment horizontal="center" vertical="center"/>
    </xf>
    <xf numFmtId="169" fontId="22" fillId="0" borderId="42" xfId="0" applyNumberFormat="1" applyFont="1" applyFill="1" applyBorder="1" applyAlignment="1">
      <alignment horizontal="center" vertical="center"/>
    </xf>
    <xf numFmtId="169" fontId="22" fillId="8" borderId="42" xfId="0" applyNumberFormat="1" applyFont="1" applyFill="1" applyBorder="1" applyAlignment="1">
      <alignment horizontal="center" vertical="center"/>
    </xf>
    <xf numFmtId="169" fontId="22" fillId="5" borderId="63" xfId="0" applyNumberFormat="1" applyFont="1" applyFill="1" applyBorder="1" applyAlignment="1">
      <alignment horizontal="center" vertical="center"/>
    </xf>
    <xf numFmtId="169" fontId="22" fillId="6" borderId="63" xfId="0" applyNumberFormat="1" applyFont="1" applyFill="1" applyBorder="1" applyAlignment="1">
      <alignment horizontal="center" vertical="center"/>
    </xf>
    <xf numFmtId="169" fontId="22" fillId="6" borderId="61" xfId="0" applyNumberFormat="1" applyFont="1" applyFill="1" applyBorder="1" applyAlignment="1">
      <alignment horizontal="center" vertical="center"/>
    </xf>
    <xf numFmtId="2" fontId="21" fillId="6" borderId="51" xfId="0" applyNumberFormat="1" applyFont="1" applyFill="1" applyBorder="1" applyAlignment="1">
      <alignment horizontal="center" vertical="center"/>
    </xf>
    <xf numFmtId="2" fontId="22" fillId="8" borderId="46" xfId="0" applyNumberFormat="1" applyFont="1" applyFill="1" applyBorder="1" applyAlignment="1">
      <alignment horizontal="center" vertical="center"/>
    </xf>
    <xf numFmtId="2" fontId="22" fillId="0" borderId="53" xfId="0" applyNumberFormat="1" applyFont="1" applyFill="1" applyBorder="1" applyAlignment="1">
      <alignment horizontal="center" vertical="center"/>
    </xf>
    <xf numFmtId="2" fontId="22" fillId="8" borderId="53" xfId="0" applyNumberFormat="1" applyFont="1" applyFill="1" applyBorder="1" applyAlignment="1">
      <alignment horizontal="center" vertical="center"/>
    </xf>
    <xf numFmtId="1" fontId="22" fillId="5" borderId="9" xfId="0" quotePrefix="1" applyNumberFormat="1" applyFont="1" applyFill="1" applyBorder="1" applyAlignment="1">
      <alignment horizontal="center" vertical="center"/>
    </xf>
    <xf numFmtId="1" fontId="22" fillId="6" borderId="57" xfId="0" quotePrefix="1" applyNumberFormat="1" applyFont="1" applyFill="1" applyBorder="1" applyAlignment="1">
      <alignment horizontal="center" vertical="center"/>
    </xf>
    <xf numFmtId="2" fontId="22" fillId="6" borderId="30" xfId="0" applyNumberFormat="1" applyFont="1" applyFill="1" applyBorder="1" applyAlignment="1">
      <alignment horizontal="center" vertical="center"/>
    </xf>
    <xf numFmtId="2" fontId="49" fillId="6" borderId="10" xfId="0" applyNumberFormat="1" applyFont="1" applyFill="1" applyBorder="1" applyAlignment="1">
      <alignment horizontal="center" vertical="center"/>
    </xf>
    <xf numFmtId="0" fontId="0" fillId="0" borderId="0" xfId="0"/>
    <xf numFmtId="2" fontId="20" fillId="0" borderId="56" xfId="0" applyNumberFormat="1" applyFont="1" applyBorder="1" applyAlignment="1">
      <alignment horizontal="center" vertical="center"/>
    </xf>
    <xf numFmtId="2" fontId="19" fillId="8" borderId="50" xfId="0" applyNumberFormat="1" applyFont="1" applyFill="1" applyBorder="1" applyAlignment="1">
      <alignment vertical="center"/>
    </xf>
    <xf numFmtId="2" fontId="46" fillId="0" borderId="0" xfId="0" applyNumberFormat="1" applyFont="1"/>
    <xf numFmtId="1" fontId="21" fillId="5" borderId="10" xfId="0" applyNumberFormat="1" applyFont="1" applyFill="1" applyBorder="1" applyAlignment="1">
      <alignment horizontal="center" vertical="center"/>
    </xf>
    <xf numFmtId="1" fontId="21" fillId="7" borderId="10" xfId="0" applyNumberFormat="1" applyFont="1" applyFill="1" applyBorder="1" applyAlignment="1">
      <alignment horizontal="center" vertical="center"/>
    </xf>
    <xf numFmtId="1" fontId="21" fillId="8" borderId="10" xfId="0" applyNumberFormat="1" applyFont="1" applyFill="1" applyBorder="1" applyAlignment="1">
      <alignment horizontal="center" vertical="center"/>
    </xf>
    <xf numFmtId="1" fontId="7" fillId="8" borderId="10" xfId="0" applyNumberFormat="1" applyFont="1" applyFill="1" applyBorder="1" applyAlignment="1">
      <alignment horizontal="center" vertical="center"/>
    </xf>
    <xf numFmtId="0" fontId="22" fillId="5" borderId="10" xfId="0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0" fontId="0" fillId="0" borderId="0" xfId="0"/>
    <xf numFmtId="2" fontId="20" fillId="0" borderId="2" xfId="0" applyNumberFormat="1" applyFont="1" applyBorder="1" applyAlignment="1">
      <alignment horizontal="center" vertical="center"/>
    </xf>
    <xf numFmtId="0" fontId="20" fillId="8" borderId="10" xfId="0" applyFont="1" applyFill="1" applyBorder="1" applyAlignment="1">
      <alignment vertical="center"/>
    </xf>
    <xf numFmtId="0" fontId="0" fillId="0" borderId="0" xfId="0" applyFont="1"/>
    <xf numFmtId="0" fontId="0" fillId="8" borderId="0" xfId="0" applyFont="1" applyFill="1"/>
    <xf numFmtId="1" fontId="21" fillId="7" borderId="10" xfId="0" applyNumberFormat="1" applyFont="1" applyFill="1" applyBorder="1" applyAlignment="1">
      <alignment horizontal="center" vertical="center"/>
    </xf>
    <xf numFmtId="1" fontId="21" fillId="8" borderId="10" xfId="0" applyNumberFormat="1" applyFont="1" applyFill="1" applyBorder="1" applyAlignment="1">
      <alignment horizontal="center" vertical="center"/>
    </xf>
    <xf numFmtId="1" fontId="4" fillId="0" borderId="10" xfId="0" applyNumberFormat="1" applyFont="1" applyBorder="1" applyAlignment="1">
      <alignment horizontal="center" vertical="center"/>
    </xf>
    <xf numFmtId="1" fontId="4" fillId="5" borderId="10" xfId="0" applyNumberFormat="1" applyFont="1" applyFill="1" applyBorder="1" applyAlignment="1">
      <alignment horizontal="center" vertical="center"/>
    </xf>
    <xf numFmtId="1" fontId="7" fillId="8" borderId="10" xfId="0" applyNumberFormat="1" applyFont="1" applyFill="1" applyBorder="1" applyAlignment="1">
      <alignment horizontal="center"/>
    </xf>
    <xf numFmtId="1" fontId="7" fillId="8" borderId="10" xfId="0" applyNumberFormat="1" applyFont="1" applyFill="1" applyBorder="1" applyAlignment="1">
      <alignment horizontal="center" vertical="center"/>
    </xf>
    <xf numFmtId="1" fontId="7" fillId="5" borderId="10" xfId="0" applyNumberFormat="1" applyFont="1" applyFill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5" borderId="10" xfId="0" applyFont="1" applyFill="1" applyBorder="1" applyAlignment="1">
      <alignment horizontal="center" vertical="center"/>
    </xf>
    <xf numFmtId="0" fontId="0" fillId="0" borderId="0" xfId="0"/>
    <xf numFmtId="1" fontId="20" fillId="7" borderId="10" xfId="0" applyNumberFormat="1" applyFont="1" applyFill="1" applyBorder="1" applyAlignment="1">
      <alignment horizontal="center" vertical="center"/>
    </xf>
    <xf numFmtId="2" fontId="21" fillId="6" borderId="10" xfId="0" applyNumberFormat="1" applyFont="1" applyFill="1" applyBorder="1" applyAlignment="1">
      <alignment horizontal="center" vertical="center"/>
    </xf>
    <xf numFmtId="2" fontId="21" fillId="5" borderId="10" xfId="0" applyNumberFormat="1" applyFont="1" applyFill="1" applyBorder="1" applyAlignment="1">
      <alignment horizontal="center" vertical="center"/>
    </xf>
    <xf numFmtId="1" fontId="21" fillId="5" borderId="10" xfId="0" applyNumberFormat="1" applyFont="1" applyFill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1" fontId="21" fillId="5" borderId="31" xfId="0" applyNumberFormat="1" applyFont="1" applyFill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1" fontId="7" fillId="8" borderId="10" xfId="0" applyNumberFormat="1" applyFont="1" applyFill="1" applyBorder="1" applyAlignment="1">
      <alignment horizontal="center" vertical="center"/>
    </xf>
    <xf numFmtId="1" fontId="7" fillId="7" borderId="10" xfId="0" applyNumberFormat="1" applyFont="1" applyFill="1" applyBorder="1" applyAlignment="1">
      <alignment horizontal="center" vertical="center"/>
    </xf>
    <xf numFmtId="1" fontId="21" fillId="8" borderId="62" xfId="0" applyNumberFormat="1" applyFont="1" applyFill="1" applyBorder="1" applyAlignment="1">
      <alignment horizontal="center" vertical="center"/>
    </xf>
    <xf numFmtId="1" fontId="21" fillId="8" borderId="34" xfId="0" applyNumberFormat="1" applyFont="1" applyFill="1" applyBorder="1" applyAlignment="1">
      <alignment horizontal="center" vertical="center"/>
    </xf>
    <xf numFmtId="167" fontId="4" fillId="5" borderId="9" xfId="0" applyNumberFormat="1" applyFont="1" applyFill="1" applyBorder="1" applyAlignment="1">
      <alignment horizontal="center" vertical="center"/>
    </xf>
    <xf numFmtId="0" fontId="21" fillId="5" borderId="8" xfId="0" applyFont="1" applyFill="1" applyBorder="1" applyAlignment="1">
      <alignment horizontal="center" vertical="center"/>
    </xf>
    <xf numFmtId="0" fontId="118" fillId="55" borderId="63" xfId="0" applyFont="1" applyFill="1" applyBorder="1" applyAlignment="1">
      <alignment horizontal="left" vertical="center"/>
    </xf>
    <xf numFmtId="0" fontId="80" fillId="0" borderId="0" xfId="186" applyFont="1" applyBorder="1" applyAlignment="1">
      <alignment horizontal="left" vertical="center"/>
    </xf>
    <xf numFmtId="1" fontId="81" fillId="7" borderId="38" xfId="186" applyNumberFormat="1" applyFont="1" applyFill="1" applyBorder="1" applyAlignment="1">
      <alignment horizontal="center" vertical="center"/>
    </xf>
    <xf numFmtId="1" fontId="81" fillId="5" borderId="0" xfId="186" applyNumberFormat="1" applyFont="1" applyFill="1" applyBorder="1" applyAlignment="1">
      <alignment horizontal="center" vertical="center"/>
    </xf>
    <xf numFmtId="1" fontId="80" fillId="7" borderId="0" xfId="186" applyNumberFormat="1" applyFont="1" applyFill="1" applyBorder="1" applyAlignment="1">
      <alignment horizontal="center" vertical="center"/>
    </xf>
    <xf numFmtId="1" fontId="80" fillId="7" borderId="38" xfId="186" applyNumberFormat="1" applyFont="1" applyFill="1" applyBorder="1" applyAlignment="1">
      <alignment horizontal="center" vertical="center"/>
    </xf>
    <xf numFmtId="1" fontId="21" fillId="5" borderId="10" xfId="0" applyNumberFormat="1" applyFont="1" applyFill="1" applyBorder="1" applyAlignment="1">
      <alignment horizontal="center" vertical="center"/>
    </xf>
    <xf numFmtId="1" fontId="21" fillId="6" borderId="10" xfId="0" applyNumberFormat="1" applyFont="1" applyFill="1" applyBorder="1" applyAlignment="1">
      <alignment horizontal="center" vertical="center"/>
    </xf>
    <xf numFmtId="0" fontId="0" fillId="0" borderId="0" xfId="0"/>
    <xf numFmtId="0" fontId="15" fillId="0" borderId="10" xfId="0" applyFont="1" applyBorder="1" applyAlignment="1">
      <alignment horizontal="left" vertical="center"/>
    </xf>
    <xf numFmtId="0" fontId="37" fillId="0" borderId="10" xfId="0" applyFont="1" applyBorder="1" applyAlignment="1">
      <alignment horizontal="center"/>
    </xf>
    <xf numFmtId="0" fontId="27" fillId="0" borderId="25" xfId="0" applyFont="1" applyBorder="1" applyAlignment="1">
      <alignment horizontal="center" vertical="center"/>
    </xf>
    <xf numFmtId="0" fontId="15" fillId="8" borderId="68" xfId="0" applyFont="1" applyFill="1" applyBorder="1" applyAlignment="1">
      <alignment horizontal="center" vertical="center"/>
    </xf>
    <xf numFmtId="1" fontId="28" fillId="0" borderId="66" xfId="0" applyNumberFormat="1" applyFont="1" applyBorder="1" applyAlignment="1">
      <alignment horizontal="center" vertical="center"/>
    </xf>
    <xf numFmtId="1" fontId="28" fillId="0" borderId="37" xfId="0" applyNumberFormat="1" applyFont="1" applyBorder="1" applyAlignment="1">
      <alignment horizontal="center" vertical="center"/>
    </xf>
    <xf numFmtId="1" fontId="28" fillId="0" borderId="68" xfId="0" applyNumberFormat="1" applyFont="1" applyBorder="1" applyAlignment="1">
      <alignment horizontal="center" vertical="center"/>
    </xf>
    <xf numFmtId="1" fontId="28" fillId="0" borderId="65" xfId="0" applyNumberFormat="1" applyFont="1" applyBorder="1" applyAlignment="1">
      <alignment horizontal="center" vertical="center"/>
    </xf>
    <xf numFmtId="1" fontId="28" fillId="0" borderId="48" xfId="0" applyNumberFormat="1" applyFont="1" applyBorder="1" applyAlignment="1">
      <alignment horizontal="center" vertical="center"/>
    </xf>
    <xf numFmtId="2" fontId="28" fillId="0" borderId="37" xfId="0" applyNumberFormat="1" applyFont="1" applyBorder="1" applyAlignment="1">
      <alignment horizontal="center" vertical="center"/>
    </xf>
    <xf numFmtId="1" fontId="15" fillId="0" borderId="37" xfId="0" applyNumberFormat="1" applyFont="1" applyBorder="1" applyAlignment="1">
      <alignment horizontal="center" vertical="center"/>
    </xf>
    <xf numFmtId="1" fontId="15" fillId="0" borderId="29" xfId="0" applyNumberFormat="1" applyFont="1" applyBorder="1" applyAlignment="1">
      <alignment horizontal="center" vertical="center"/>
    </xf>
    <xf numFmtId="167" fontId="15" fillId="0" borderId="29" xfId="0" applyNumberFormat="1" applyFont="1" applyBorder="1" applyAlignment="1">
      <alignment horizontal="center" vertical="center"/>
    </xf>
    <xf numFmtId="1" fontId="28" fillId="0" borderId="29" xfId="0" applyNumberFormat="1" applyFont="1" applyBorder="1" applyAlignment="1">
      <alignment horizontal="center" vertical="center"/>
    </xf>
    <xf numFmtId="0" fontId="15" fillId="5" borderId="31" xfId="0" applyFont="1" applyFill="1" applyBorder="1" applyAlignment="1">
      <alignment horizontal="center" vertical="center"/>
    </xf>
    <xf numFmtId="0" fontId="15" fillId="5" borderId="17" xfId="0" applyFont="1" applyFill="1" applyBorder="1" applyAlignment="1">
      <alignment horizontal="center" vertical="center"/>
    </xf>
    <xf numFmtId="1" fontId="28" fillId="5" borderId="31" xfId="0" applyNumberFormat="1" applyFont="1" applyFill="1" applyBorder="1" applyAlignment="1">
      <alignment horizontal="center" vertical="center"/>
    </xf>
    <xf numFmtId="1" fontId="28" fillId="5" borderId="17" xfId="0" applyNumberFormat="1" applyFont="1" applyFill="1" applyBorder="1" applyAlignment="1">
      <alignment horizontal="center" vertical="center"/>
    </xf>
    <xf numFmtId="1" fontId="15" fillId="5" borderId="17" xfId="0" applyNumberFormat="1" applyFont="1" applyFill="1" applyBorder="1" applyAlignment="1">
      <alignment horizontal="center" vertical="center"/>
    </xf>
    <xf numFmtId="1" fontId="28" fillId="5" borderId="32" xfId="0" applyNumberFormat="1" applyFont="1" applyFill="1" applyBorder="1" applyAlignment="1">
      <alignment horizontal="center" vertical="center"/>
    </xf>
    <xf numFmtId="1" fontId="28" fillId="5" borderId="33" xfId="0" applyNumberFormat="1" applyFont="1" applyFill="1" applyBorder="1" applyAlignment="1">
      <alignment horizontal="center" vertical="center"/>
    </xf>
    <xf numFmtId="1" fontId="28" fillId="0" borderId="23" xfId="0" applyNumberFormat="1" applyFont="1" applyBorder="1" applyAlignment="1">
      <alignment horizontal="left" vertical="center"/>
    </xf>
    <xf numFmtId="1" fontId="28" fillId="0" borderId="23" xfId="0" applyNumberFormat="1" applyFont="1" applyBorder="1" applyAlignment="1">
      <alignment horizontal="center" vertical="center"/>
    </xf>
    <xf numFmtId="167" fontId="28" fillId="7" borderId="23" xfId="0" applyNumberFormat="1" applyFont="1" applyFill="1" applyBorder="1" applyAlignment="1">
      <alignment horizontal="center" vertical="center"/>
    </xf>
    <xf numFmtId="1" fontId="28" fillId="7" borderId="23" xfId="0" applyNumberFormat="1" applyFont="1" applyFill="1" applyBorder="1" applyAlignment="1">
      <alignment horizontal="center" vertical="center"/>
    </xf>
    <xf numFmtId="1" fontId="28" fillId="8" borderId="23" xfId="0" applyNumberFormat="1" applyFont="1" applyFill="1" applyBorder="1" applyAlignment="1">
      <alignment horizontal="center" vertical="center"/>
    </xf>
    <xf numFmtId="1" fontId="15" fillId="8" borderId="23" xfId="0" applyNumberFormat="1" applyFont="1" applyFill="1" applyBorder="1" applyAlignment="1">
      <alignment horizontal="center" vertical="center"/>
    </xf>
    <xf numFmtId="1" fontId="28" fillId="8" borderId="75" xfId="0" applyNumberFormat="1" applyFont="1" applyFill="1" applyBorder="1" applyAlignment="1">
      <alignment horizontal="center" vertical="center"/>
    </xf>
    <xf numFmtId="1" fontId="7" fillId="7" borderId="10" xfId="0" applyNumberFormat="1" applyFont="1" applyFill="1" applyBorder="1" applyAlignment="1">
      <alignment horizontal="center" vertical="center"/>
    </xf>
    <xf numFmtId="0" fontId="4" fillId="7" borderId="10" xfId="0" applyFont="1" applyFill="1" applyBorder="1" applyAlignment="1">
      <alignment horizontal="center" vertical="center"/>
    </xf>
    <xf numFmtId="0" fontId="0" fillId="0" borderId="0" xfId="0"/>
    <xf numFmtId="0" fontId="4" fillId="5" borderId="10" xfId="0" applyFont="1" applyFill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/>
    </xf>
    <xf numFmtId="0" fontId="37" fillId="0" borderId="10" xfId="0" applyFont="1" applyBorder="1" applyAlignment="1">
      <alignment horizontal="center"/>
    </xf>
    <xf numFmtId="0" fontId="24" fillId="43" borderId="10" xfId="0" applyFont="1" applyFill="1" applyBorder="1" applyAlignment="1">
      <alignment horizontal="center"/>
    </xf>
    <xf numFmtId="1" fontId="7" fillId="7" borderId="10" xfId="0" applyNumberFormat="1" applyFont="1" applyFill="1" applyBorder="1" applyAlignment="1">
      <alignment horizontal="center" vertical="center"/>
    </xf>
    <xf numFmtId="0" fontId="0" fillId="0" borderId="0" xfId="0"/>
    <xf numFmtId="0" fontId="24" fillId="0" borderId="0" xfId="0" applyFont="1" applyAlignment="1">
      <alignment vertical="center"/>
    </xf>
    <xf numFmtId="0" fontId="24" fillId="0" borderId="26" xfId="0" applyFont="1" applyBorder="1" applyAlignment="1">
      <alignment vertical="center"/>
    </xf>
    <xf numFmtId="0" fontId="24" fillId="0" borderId="4" xfId="0" applyFont="1" applyBorder="1" applyAlignment="1">
      <alignment horizontal="center" vertical="center"/>
    </xf>
    <xf numFmtId="0" fontId="24" fillId="0" borderId="69" xfId="0" applyFont="1" applyBorder="1" applyAlignment="1">
      <alignment horizontal="center" vertical="center"/>
    </xf>
    <xf numFmtId="0" fontId="24" fillId="0" borderId="26" xfId="0" applyFont="1" applyBorder="1" applyAlignment="1">
      <alignment horizontal="center" vertical="center"/>
    </xf>
    <xf numFmtId="0" fontId="24" fillId="7" borderId="1" xfId="0" applyFont="1" applyFill="1" applyBorder="1" applyAlignment="1">
      <alignment horizontal="center" vertical="center"/>
    </xf>
    <xf numFmtId="0" fontId="24" fillId="7" borderId="28" xfId="0" applyFont="1" applyFill="1" applyBorder="1" applyAlignment="1">
      <alignment horizontal="center" vertical="center"/>
    </xf>
    <xf numFmtId="0" fontId="24" fillId="0" borderId="1" xfId="0" applyFont="1" applyBorder="1" applyAlignment="1">
      <alignment horizontal="center" vertical="center"/>
    </xf>
    <xf numFmtId="0" fontId="24" fillId="0" borderId="28" xfId="0" applyFont="1" applyBorder="1" applyAlignment="1">
      <alignment horizontal="center" vertical="center"/>
    </xf>
    <xf numFmtId="0" fontId="24" fillId="5" borderId="4" xfId="0" applyFont="1" applyFill="1" applyBorder="1" applyAlignment="1">
      <alignment horizontal="center" vertical="center"/>
    </xf>
    <xf numFmtId="0" fontId="24" fillId="5" borderId="28" xfId="0" applyFont="1" applyFill="1" applyBorder="1" applyAlignment="1">
      <alignment horizontal="center" vertical="center"/>
    </xf>
    <xf numFmtId="0" fontId="24" fillId="5" borderId="1" xfId="0" applyFont="1" applyFill="1" applyBorder="1" applyAlignment="1">
      <alignment horizontal="center" vertical="center"/>
    </xf>
    <xf numFmtId="0" fontId="24" fillId="6" borderId="1" xfId="0" applyFont="1" applyFill="1" applyBorder="1" applyAlignment="1">
      <alignment horizontal="center" vertical="center"/>
    </xf>
    <xf numFmtId="0" fontId="24" fillId="6" borderId="28" xfId="0" applyFont="1" applyFill="1" applyBorder="1" applyAlignment="1">
      <alignment horizontal="center" vertical="center"/>
    </xf>
    <xf numFmtId="0" fontId="37" fillId="0" borderId="63" xfId="0" applyFont="1" applyBorder="1"/>
    <xf numFmtId="0" fontId="37" fillId="0" borderId="42" xfId="0" applyFont="1" applyBorder="1" applyAlignment="1">
      <alignment horizontal="center" vertical="center"/>
    </xf>
    <xf numFmtId="1" fontId="37" fillId="8" borderId="3" xfId="0" applyNumberFormat="1" applyFont="1" applyFill="1" applyBorder="1" applyAlignment="1">
      <alignment horizontal="center" vertical="center"/>
    </xf>
    <xf numFmtId="1" fontId="37" fillId="8" borderId="41" xfId="0" applyNumberFormat="1" applyFont="1" applyFill="1" applyBorder="1" applyAlignment="1">
      <alignment horizontal="center" vertical="center"/>
    </xf>
    <xf numFmtId="1" fontId="37" fillId="0" borderId="3" xfId="0" applyNumberFormat="1" applyFont="1" applyBorder="1" applyAlignment="1">
      <alignment horizontal="center" vertical="center"/>
    </xf>
    <xf numFmtId="1" fontId="37" fillId="7" borderId="63" xfId="0" applyNumberFormat="1" applyFont="1" applyFill="1" applyBorder="1" applyAlignment="1">
      <alignment horizontal="center" vertical="center"/>
    </xf>
    <xf numFmtId="1" fontId="37" fillId="7" borderId="42" xfId="0" applyNumberFormat="1" applyFont="1" applyFill="1" applyBorder="1" applyAlignment="1">
      <alignment horizontal="center" vertical="center"/>
    </xf>
    <xf numFmtId="1" fontId="37" fillId="5" borderId="63" xfId="0" applyNumberFormat="1" applyFont="1" applyFill="1" applyBorder="1" applyAlignment="1">
      <alignment horizontal="center" vertical="center"/>
    </xf>
    <xf numFmtId="1" fontId="37" fillId="5" borderId="42" xfId="0" applyNumberFormat="1" applyFont="1" applyFill="1" applyBorder="1" applyAlignment="1">
      <alignment horizontal="center" vertical="center"/>
    </xf>
    <xf numFmtId="1" fontId="37" fillId="6" borderId="63" xfId="0" applyNumberFormat="1" applyFont="1" applyFill="1" applyBorder="1" applyAlignment="1">
      <alignment horizontal="center" vertical="center"/>
    </xf>
    <xf numFmtId="1" fontId="37" fillId="6" borderId="42" xfId="0" applyNumberFormat="1" applyFont="1" applyFill="1" applyBorder="1" applyAlignment="1">
      <alignment horizontal="center" vertical="center"/>
    </xf>
    <xf numFmtId="0" fontId="37" fillId="0" borderId="31" xfId="0" applyFont="1" applyBorder="1"/>
    <xf numFmtId="0" fontId="37" fillId="0" borderId="17" xfId="0" applyFont="1" applyBorder="1" applyAlignment="1">
      <alignment horizontal="center" vertical="center"/>
    </xf>
    <xf numFmtId="1" fontId="37" fillId="8" borderId="29" xfId="0" applyNumberFormat="1" applyFont="1" applyFill="1" applyBorder="1" applyAlignment="1">
      <alignment horizontal="center" vertical="center"/>
    </xf>
    <xf numFmtId="1" fontId="37" fillId="8" borderId="10" xfId="0" applyNumberFormat="1" applyFont="1" applyFill="1" applyBorder="1" applyAlignment="1">
      <alignment horizontal="center" vertical="center"/>
    </xf>
    <xf numFmtId="1" fontId="37" fillId="0" borderId="29" xfId="0" applyNumberFormat="1" applyFont="1" applyBorder="1" applyAlignment="1">
      <alignment horizontal="center" vertical="center"/>
    </xf>
    <xf numFmtId="1" fontId="37" fillId="7" borderId="34" xfId="0" applyNumberFormat="1" applyFont="1" applyFill="1" applyBorder="1" applyAlignment="1">
      <alignment horizontal="center" vertical="center"/>
    </xf>
    <xf numFmtId="1" fontId="37" fillId="7" borderId="17" xfId="0" applyNumberFormat="1" applyFont="1" applyFill="1" applyBorder="1" applyAlignment="1">
      <alignment horizontal="center" vertical="center"/>
    </xf>
    <xf numFmtId="1" fontId="37" fillId="5" borderId="34" xfId="0" applyNumberFormat="1" applyFont="1" applyFill="1" applyBorder="1" applyAlignment="1">
      <alignment horizontal="center" vertical="center"/>
    </xf>
    <xf numFmtId="1" fontId="37" fillId="5" borderId="17" xfId="0" applyNumberFormat="1" applyFont="1" applyFill="1" applyBorder="1" applyAlignment="1">
      <alignment horizontal="center" vertical="center"/>
    </xf>
    <xf numFmtId="1" fontId="37" fillId="6" borderId="31" xfId="0" applyNumberFormat="1" applyFont="1" applyFill="1" applyBorder="1" applyAlignment="1">
      <alignment horizontal="center" vertical="center"/>
    </xf>
    <xf numFmtId="1" fontId="37" fillId="6" borderId="17" xfId="0" applyNumberFormat="1" applyFont="1" applyFill="1" applyBorder="1" applyAlignment="1">
      <alignment horizontal="center" vertical="center"/>
    </xf>
    <xf numFmtId="0" fontId="37" fillId="0" borderId="32" xfId="0" applyFont="1" applyBorder="1"/>
    <xf numFmtId="0" fontId="37" fillId="0" borderId="33" xfId="0" applyFont="1" applyBorder="1" applyAlignment="1">
      <alignment horizontal="center" vertical="center"/>
    </xf>
    <xf numFmtId="1" fontId="37" fillId="8" borderId="59" xfId="0" applyNumberFormat="1" applyFont="1" applyFill="1" applyBorder="1" applyAlignment="1">
      <alignment horizontal="center" vertical="center"/>
    </xf>
    <xf numFmtId="1" fontId="37" fillId="8" borderId="23" xfId="0" applyNumberFormat="1" applyFont="1" applyFill="1" applyBorder="1" applyAlignment="1">
      <alignment horizontal="center" vertical="center"/>
    </xf>
    <xf numFmtId="1" fontId="37" fillId="0" borderId="23" xfId="0" applyNumberFormat="1" applyFont="1" applyBorder="1" applyAlignment="1">
      <alignment horizontal="center" vertical="center"/>
    </xf>
    <xf numFmtId="1" fontId="37" fillId="7" borderId="9" xfId="0" applyNumberFormat="1" applyFont="1" applyFill="1" applyBorder="1" applyAlignment="1">
      <alignment horizontal="center" vertical="center"/>
    </xf>
    <xf numFmtId="1" fontId="37" fillId="7" borderId="73" xfId="0" applyNumberFormat="1" applyFont="1" applyFill="1" applyBorder="1" applyAlignment="1">
      <alignment horizontal="center" vertical="center"/>
    </xf>
    <xf numFmtId="1" fontId="37" fillId="5" borderId="9" xfId="0" applyNumberFormat="1" applyFont="1" applyFill="1" applyBorder="1" applyAlignment="1">
      <alignment horizontal="center" vertical="center"/>
    </xf>
    <xf numFmtId="1" fontId="37" fillId="5" borderId="73" xfId="0" applyNumberFormat="1" applyFont="1" applyFill="1" applyBorder="1" applyAlignment="1">
      <alignment horizontal="center" vertical="center"/>
    </xf>
    <xf numFmtId="1" fontId="37" fillId="6" borderId="32" xfId="0" applyNumberFormat="1" applyFont="1" applyFill="1" applyBorder="1" applyAlignment="1">
      <alignment horizontal="center" vertical="center"/>
    </xf>
    <xf numFmtId="1" fontId="37" fillId="6" borderId="33" xfId="0" applyNumberFormat="1" applyFont="1" applyFill="1" applyBorder="1" applyAlignment="1">
      <alignment horizontal="center" vertical="center"/>
    </xf>
    <xf numFmtId="167" fontId="169" fillId="0" borderId="0" xfId="0" applyNumberFormat="1" applyFont="1" applyAlignment="1">
      <alignment horizontal="center" vertical="center"/>
    </xf>
    <xf numFmtId="0" fontId="37" fillId="0" borderId="0" xfId="0" applyFont="1" applyAlignment="1">
      <alignment horizontal="right" vertical="center"/>
    </xf>
    <xf numFmtId="2" fontId="37" fillId="0" borderId="0" xfId="0" applyNumberFormat="1" applyFont="1" applyAlignment="1">
      <alignment horizontal="right" vertical="center"/>
    </xf>
    <xf numFmtId="1" fontId="37" fillId="5" borderId="37" xfId="0" applyNumberFormat="1" applyFont="1" applyFill="1" applyBorder="1" applyAlignment="1">
      <alignment horizontal="center"/>
    </xf>
    <xf numFmtId="1" fontId="24" fillId="43" borderId="37" xfId="0" applyNumberFormat="1" applyFont="1" applyFill="1" applyBorder="1" applyAlignment="1">
      <alignment horizontal="center"/>
    </xf>
    <xf numFmtId="1" fontId="24" fillId="5" borderId="37" xfId="0" applyNumberFormat="1" applyFont="1" applyFill="1" applyBorder="1" applyAlignment="1">
      <alignment horizontal="center"/>
    </xf>
    <xf numFmtId="9" fontId="24" fillId="5" borderId="37" xfId="22" applyFont="1" applyFill="1" applyBorder="1" applyAlignment="1">
      <alignment horizontal="center"/>
    </xf>
    <xf numFmtId="1" fontId="11" fillId="5" borderId="37" xfId="0" applyNumberFormat="1" applyFont="1" applyFill="1" applyBorder="1" applyAlignment="1">
      <alignment horizontal="center" vertical="center"/>
    </xf>
    <xf numFmtId="0" fontId="0" fillId="7" borderId="10" xfId="0" applyFill="1" applyBorder="1" applyAlignment="1">
      <alignment horizontal="center" vertical="center"/>
    </xf>
    <xf numFmtId="2" fontId="19" fillId="6" borderId="10" xfId="0" applyNumberFormat="1" applyFont="1" applyFill="1" applyBorder="1" applyAlignment="1">
      <alignment horizontal="center" vertical="center"/>
    </xf>
    <xf numFmtId="0" fontId="170" fillId="0" borderId="0" xfId="0" applyFont="1"/>
    <xf numFmtId="0" fontId="5" fillId="0" borderId="0" xfId="0" applyFont="1"/>
    <xf numFmtId="0" fontId="7" fillId="0" borderId="0" xfId="0" applyFont="1"/>
    <xf numFmtId="0" fontId="78" fillId="8" borderId="0" xfId="0" applyFont="1" applyFill="1"/>
    <xf numFmtId="0" fontId="78" fillId="0" borderId="0" xfId="0" applyFont="1"/>
    <xf numFmtId="0" fontId="11" fillId="8" borderId="0" xfId="0" applyFont="1" applyFill="1"/>
    <xf numFmtId="0" fontId="4" fillId="0" borderId="0" xfId="0" applyFont="1"/>
    <xf numFmtId="0" fontId="4" fillId="0" borderId="0" xfId="0" applyFont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7" borderId="17" xfId="0" applyFont="1" applyFill="1" applyBorder="1" applyAlignment="1">
      <alignment horizontal="center" vertical="center"/>
    </xf>
    <xf numFmtId="0" fontId="4" fillId="6" borderId="10" xfId="0" applyFont="1" applyFill="1" applyBorder="1" applyAlignment="1">
      <alignment horizontal="center" vertical="center"/>
    </xf>
    <xf numFmtId="0" fontId="170" fillId="8" borderId="0" xfId="0" applyFont="1" applyFill="1"/>
    <xf numFmtId="0" fontId="4" fillId="0" borderId="31" xfId="0" applyFont="1" applyBorder="1" applyAlignment="1">
      <alignment horizontal="right"/>
    </xf>
    <xf numFmtId="2" fontId="7" fillId="5" borderId="29" xfId="0" applyNumberFormat="1" applyFont="1" applyFill="1" applyBorder="1" applyAlignment="1">
      <alignment horizontal="center" vertical="center"/>
    </xf>
    <xf numFmtId="0" fontId="4" fillId="8" borderId="31" xfId="0" applyFont="1" applyFill="1" applyBorder="1" applyAlignment="1">
      <alignment horizontal="right"/>
    </xf>
    <xf numFmtId="167" fontId="7" fillId="5" borderId="29" xfId="0" applyNumberFormat="1" applyFont="1" applyFill="1" applyBorder="1" applyAlignment="1">
      <alignment horizontal="center" vertical="center"/>
    </xf>
    <xf numFmtId="1" fontId="7" fillId="8" borderId="31" xfId="0" applyNumberFormat="1" applyFont="1" applyFill="1" applyBorder="1"/>
    <xf numFmtId="1" fontId="7" fillId="8" borderId="17" xfId="0" applyNumberFormat="1" applyFont="1" applyFill="1" applyBorder="1"/>
    <xf numFmtId="1" fontId="7" fillId="8" borderId="29" xfId="0" applyNumberFormat="1" applyFont="1" applyFill="1" applyBorder="1"/>
    <xf numFmtId="1" fontId="7" fillId="8" borderId="10" xfId="0" applyNumberFormat="1" applyFont="1" applyFill="1" applyBorder="1"/>
    <xf numFmtId="0" fontId="4" fillId="8" borderId="9" xfId="0" applyFont="1" applyFill="1" applyBorder="1" applyAlignment="1">
      <alignment horizontal="right"/>
    </xf>
    <xf numFmtId="0" fontId="4" fillId="8" borderId="15" xfId="0" applyFont="1" applyFill="1" applyBorder="1" applyAlignment="1">
      <alignment horizontal="center" vertical="center"/>
    </xf>
    <xf numFmtId="167" fontId="7" fillId="8" borderId="32" xfId="0" applyNumberFormat="1" applyFont="1" applyFill="1" applyBorder="1" applyAlignment="1">
      <alignment horizontal="center" vertical="center"/>
    </xf>
    <xf numFmtId="167" fontId="7" fillId="8" borderId="33" xfId="0" applyNumberFormat="1" applyFont="1" applyFill="1" applyBorder="1" applyAlignment="1">
      <alignment horizontal="center" vertical="center"/>
    </xf>
    <xf numFmtId="167" fontId="7" fillId="7" borderId="69" xfId="0" applyNumberFormat="1" applyFont="1" applyFill="1" applyBorder="1" applyAlignment="1">
      <alignment horizontal="center" vertical="center"/>
    </xf>
    <xf numFmtId="167" fontId="7" fillId="7" borderId="28" xfId="0" applyNumberFormat="1" applyFont="1" applyFill="1" applyBorder="1" applyAlignment="1">
      <alignment horizontal="center" vertical="center"/>
    </xf>
    <xf numFmtId="167" fontId="7" fillId="5" borderId="69" xfId="0" applyNumberFormat="1" applyFont="1" applyFill="1" applyBorder="1" applyAlignment="1">
      <alignment horizontal="center" vertical="center"/>
    </xf>
    <xf numFmtId="167" fontId="7" fillId="5" borderId="28" xfId="0" applyNumberFormat="1" applyFont="1" applyFill="1" applyBorder="1" applyAlignment="1">
      <alignment horizontal="center" vertical="center"/>
    </xf>
    <xf numFmtId="167" fontId="7" fillId="54" borderId="10" xfId="0" applyNumberFormat="1" applyFont="1" applyFill="1" applyBorder="1" applyAlignment="1">
      <alignment horizontal="center" vertical="center"/>
    </xf>
    <xf numFmtId="2" fontId="7" fillId="54" borderId="10" xfId="0" applyNumberFormat="1" applyFont="1" applyFill="1" applyBorder="1" applyAlignment="1">
      <alignment horizontal="center" vertical="center"/>
    </xf>
    <xf numFmtId="167" fontId="7" fillId="54" borderId="69" xfId="0" applyNumberFormat="1" applyFont="1" applyFill="1" applyBorder="1" applyAlignment="1">
      <alignment horizontal="center" vertical="center"/>
    </xf>
    <xf numFmtId="0" fontId="0" fillId="0" borderId="0" xfId="0"/>
    <xf numFmtId="0" fontId="4" fillId="54" borderId="10" xfId="0" applyFont="1" applyFill="1" applyBorder="1" applyAlignment="1">
      <alignment horizontal="center" vertical="center"/>
    </xf>
    <xf numFmtId="0" fontId="5" fillId="54" borderId="10" xfId="0" applyFont="1" applyFill="1" applyBorder="1" applyAlignment="1">
      <alignment vertical="center"/>
    </xf>
    <xf numFmtId="1" fontId="7" fillId="54" borderId="10" xfId="0" applyNumberFormat="1" applyFont="1" applyFill="1" applyBorder="1" applyAlignment="1">
      <alignment horizontal="center" vertical="center"/>
    </xf>
    <xf numFmtId="1" fontId="4" fillId="54" borderId="10" xfId="0" applyNumberFormat="1" applyFont="1" applyFill="1" applyBorder="1" applyAlignment="1">
      <alignment horizontal="center" vertical="center"/>
    </xf>
    <xf numFmtId="0" fontId="0" fillId="54" borderId="10" xfId="0" applyFill="1" applyBorder="1"/>
    <xf numFmtId="167" fontId="4" fillId="54" borderId="10" xfId="0" applyNumberFormat="1" applyFont="1" applyFill="1" applyBorder="1" applyAlignment="1">
      <alignment horizontal="center" vertical="center"/>
    </xf>
    <xf numFmtId="1" fontId="7" fillId="54" borderId="10" xfId="0" applyNumberFormat="1" applyFont="1" applyFill="1" applyBorder="1" applyAlignment="1">
      <alignment vertical="center"/>
    </xf>
    <xf numFmtId="1" fontId="91" fillId="54" borderId="10" xfId="0" applyNumberFormat="1" applyFont="1" applyFill="1" applyBorder="1" applyAlignment="1">
      <alignment vertical="center"/>
    </xf>
    <xf numFmtId="0" fontId="78" fillId="54" borderId="10" xfId="0" applyFont="1" applyFill="1" applyBorder="1"/>
    <xf numFmtId="1" fontId="78" fillId="54" borderId="10" xfId="0" applyNumberFormat="1" applyFont="1" applyFill="1" applyBorder="1"/>
    <xf numFmtId="1" fontId="78" fillId="54" borderId="10" xfId="0" applyNumberFormat="1" applyFont="1" applyFill="1" applyBorder="1" applyAlignment="1">
      <alignment vertical="center"/>
    </xf>
    <xf numFmtId="1" fontId="78" fillId="54" borderId="10" xfId="0" applyNumberFormat="1" applyFont="1" applyFill="1" applyBorder="1" applyAlignment="1">
      <alignment horizontal="center" vertical="center"/>
    </xf>
    <xf numFmtId="0" fontId="91" fillId="54" borderId="10" xfId="0" applyFont="1" applyFill="1" applyBorder="1" applyAlignment="1">
      <alignment vertical="center"/>
    </xf>
    <xf numFmtId="1" fontId="4" fillId="54" borderId="10" xfId="0" applyNumberFormat="1" applyFont="1" applyFill="1" applyBorder="1" applyAlignment="1">
      <alignment horizontal="center"/>
    </xf>
    <xf numFmtId="1" fontId="4" fillId="54" borderId="10" xfId="0" applyNumberFormat="1" applyFont="1" applyFill="1" applyBorder="1" applyAlignment="1">
      <alignment vertical="center"/>
    </xf>
    <xf numFmtId="0" fontId="7" fillId="54" borderId="10" xfId="0" applyFont="1" applyFill="1" applyBorder="1" applyAlignment="1">
      <alignment vertical="center"/>
    </xf>
    <xf numFmtId="1" fontId="4" fillId="54" borderId="10" xfId="0" applyNumberFormat="1" applyFont="1" applyFill="1" applyBorder="1" applyAlignment="1">
      <alignment horizontal="center" vertical="center"/>
    </xf>
    <xf numFmtId="1" fontId="7" fillId="54" borderId="10" xfId="0" applyNumberFormat="1" applyFont="1" applyFill="1" applyBorder="1" applyAlignment="1">
      <alignment horizontal="center" vertical="center"/>
    </xf>
    <xf numFmtId="1" fontId="4" fillId="5" borderId="10" xfId="0" applyNumberFormat="1" applyFont="1" applyFill="1" applyBorder="1" applyAlignment="1">
      <alignment horizontal="center" vertical="center"/>
    </xf>
    <xf numFmtId="1" fontId="7" fillId="8" borderId="10" xfId="0" applyNumberFormat="1" applyFont="1" applyFill="1" applyBorder="1" applyAlignment="1">
      <alignment horizontal="center" vertical="center"/>
    </xf>
    <xf numFmtId="1" fontId="7" fillId="5" borderId="10" xfId="0" applyNumberFormat="1" applyFont="1" applyFill="1" applyBorder="1" applyAlignment="1">
      <alignment horizontal="center" vertical="center"/>
    </xf>
    <xf numFmtId="0" fontId="22" fillId="0" borderId="26" xfId="0" applyFont="1" applyBorder="1" applyAlignment="1">
      <alignment horizontal="center" vertical="center"/>
    </xf>
    <xf numFmtId="0" fontId="4" fillId="6" borderId="10" xfId="0" applyFont="1" applyFill="1" applyBorder="1" applyAlignment="1">
      <alignment horizontal="center" vertical="center"/>
    </xf>
    <xf numFmtId="1" fontId="21" fillId="6" borderId="30" xfId="0" applyNumberFormat="1" applyFont="1" applyFill="1" applyBorder="1" applyAlignment="1">
      <alignment horizontal="center" vertical="center"/>
    </xf>
    <xf numFmtId="1" fontId="21" fillId="5" borderId="45" xfId="0" applyNumberFormat="1" applyFont="1" applyFill="1" applyBorder="1" applyAlignment="1">
      <alignment horizontal="center" vertical="center"/>
    </xf>
    <xf numFmtId="1" fontId="21" fillId="5" borderId="30" xfId="0" applyNumberFormat="1" applyFont="1" applyFill="1" applyBorder="1" applyAlignment="1">
      <alignment horizontal="center" vertical="center"/>
    </xf>
    <xf numFmtId="1" fontId="21" fillId="7" borderId="45" xfId="0" applyNumberFormat="1" applyFont="1" applyFill="1" applyBorder="1" applyAlignment="1">
      <alignment horizontal="center" vertical="center"/>
    </xf>
    <xf numFmtId="1" fontId="21" fillId="7" borderId="30" xfId="0" applyNumberFormat="1" applyFont="1" applyFill="1" applyBorder="1" applyAlignment="1">
      <alignment horizontal="center" vertical="center"/>
    </xf>
    <xf numFmtId="1" fontId="21" fillId="8" borderId="10" xfId="0" applyNumberFormat="1" applyFont="1" applyFill="1" applyBorder="1" applyAlignment="1">
      <alignment horizontal="center" vertical="center"/>
    </xf>
    <xf numFmtId="1" fontId="21" fillId="7" borderId="10" xfId="0" applyNumberFormat="1" applyFont="1" applyFill="1" applyBorder="1" applyAlignment="1">
      <alignment horizontal="center" vertical="center"/>
    </xf>
    <xf numFmtId="1" fontId="21" fillId="5" borderId="10" xfId="0" applyNumberFormat="1" applyFont="1" applyFill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1" fontId="21" fillId="6" borderId="10" xfId="0" applyNumberFormat="1" applyFont="1" applyFill="1" applyBorder="1" applyAlignment="1">
      <alignment horizontal="center" vertical="center"/>
    </xf>
    <xf numFmtId="0" fontId="22" fillId="5" borderId="1" xfId="0" applyFont="1" applyFill="1" applyBorder="1" applyAlignment="1">
      <alignment horizontal="center" vertical="center"/>
    </xf>
    <xf numFmtId="1" fontId="22" fillId="7" borderId="74" xfId="0" applyNumberFormat="1" applyFont="1" applyFill="1" applyBorder="1" applyAlignment="1">
      <alignment horizontal="center" vertical="center"/>
    </xf>
    <xf numFmtId="0" fontId="22" fillId="6" borderId="1" xfId="0" applyFont="1" applyFill="1" applyBorder="1" applyAlignment="1">
      <alignment horizontal="center" vertical="center"/>
    </xf>
    <xf numFmtId="1" fontId="22" fillId="6" borderId="74" xfId="0" applyNumberFormat="1" applyFont="1" applyFill="1" applyBorder="1" applyAlignment="1">
      <alignment horizontal="center" vertical="center"/>
    </xf>
    <xf numFmtId="0" fontId="22" fillId="0" borderId="23" xfId="0" applyFont="1" applyBorder="1" applyAlignment="1">
      <alignment horizontal="center" vertical="center"/>
    </xf>
    <xf numFmtId="0" fontId="22" fillId="0" borderId="66" xfId="0" applyFont="1" applyBorder="1" applyAlignment="1">
      <alignment horizontal="center" vertical="center"/>
    </xf>
    <xf numFmtId="0" fontId="22" fillId="0" borderId="68" xfId="0" applyFont="1" applyBorder="1" applyAlignment="1">
      <alignment horizontal="center" vertical="center"/>
    </xf>
    <xf numFmtId="0" fontId="22" fillId="7" borderId="4" xfId="0" applyFont="1" applyFill="1" applyBorder="1" applyAlignment="1">
      <alignment horizontal="center" vertical="center"/>
    </xf>
    <xf numFmtId="0" fontId="0" fillId="0" borderId="0" xfId="0"/>
    <xf numFmtId="1" fontId="7" fillId="5" borderId="10" xfId="0" applyNumberFormat="1" applyFont="1" applyFill="1" applyBorder="1" applyAlignment="1">
      <alignment horizontal="center" vertical="center"/>
    </xf>
    <xf numFmtId="1" fontId="4" fillId="5" borderId="10" xfId="0" applyNumberFormat="1" applyFont="1" applyFill="1" applyBorder="1" applyAlignment="1">
      <alignment horizontal="center" vertical="center"/>
    </xf>
    <xf numFmtId="0" fontId="7" fillId="5" borderId="10" xfId="0" applyFont="1" applyFill="1" applyBorder="1" applyAlignment="1">
      <alignment horizontal="center" vertical="center"/>
    </xf>
    <xf numFmtId="1" fontId="21" fillId="7" borderId="9" xfId="0" applyNumberFormat="1" applyFont="1" applyFill="1" applyBorder="1" applyAlignment="1">
      <alignment horizontal="center" vertical="center"/>
    </xf>
    <xf numFmtId="0" fontId="22" fillId="0" borderId="26" xfId="0" applyFont="1" applyBorder="1" applyAlignment="1">
      <alignment horizontal="center" vertical="center"/>
    </xf>
    <xf numFmtId="1" fontId="21" fillId="6" borderId="9" xfId="0" applyNumberFormat="1" applyFont="1" applyFill="1" applyBorder="1" applyAlignment="1">
      <alignment horizontal="center" vertical="center"/>
    </xf>
    <xf numFmtId="1" fontId="21" fillId="8" borderId="62" xfId="0" applyNumberFormat="1" applyFont="1" applyFill="1" applyBorder="1" applyAlignment="1">
      <alignment horizontal="center" vertical="center"/>
    </xf>
    <xf numFmtId="1" fontId="21" fillId="8" borderId="34" xfId="0" applyNumberFormat="1" applyFont="1" applyFill="1" applyBorder="1" applyAlignment="1">
      <alignment horizontal="center" vertical="center"/>
    </xf>
    <xf numFmtId="0" fontId="22" fillId="5" borderId="10" xfId="0" applyFont="1" applyFill="1" applyBorder="1" applyAlignment="1">
      <alignment horizontal="center" vertical="center"/>
    </xf>
    <xf numFmtId="1" fontId="21" fillId="8" borderId="74" xfId="0" quotePrefix="1" applyNumberFormat="1" applyFont="1" applyFill="1" applyBorder="1" applyAlignment="1">
      <alignment horizontal="center" vertical="center"/>
    </xf>
    <xf numFmtId="1" fontId="21" fillId="5" borderId="36" xfId="0" applyNumberFormat="1" applyFont="1" applyFill="1" applyBorder="1" applyAlignment="1">
      <alignment horizontal="center" vertical="center"/>
    </xf>
    <xf numFmtId="0" fontId="19" fillId="0" borderId="23" xfId="0" applyFont="1" applyBorder="1" applyAlignment="1">
      <alignment horizontal="center" vertical="center"/>
    </xf>
    <xf numFmtId="0" fontId="22" fillId="7" borderId="10" xfId="0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2" fontId="7" fillId="5" borderId="10" xfId="0" applyNumberFormat="1" applyFont="1" applyFill="1" applyBorder="1" applyAlignment="1">
      <alignment horizontal="center" vertical="center"/>
    </xf>
    <xf numFmtId="0" fontId="0" fillId="6" borderId="10" xfId="0" applyFill="1" applyBorder="1" applyAlignment="1">
      <alignment horizontal="center" vertical="center"/>
    </xf>
    <xf numFmtId="0" fontId="169" fillId="6" borderId="10" xfId="0" applyFont="1" applyFill="1" applyBorder="1" applyAlignment="1">
      <alignment horizontal="center" vertical="center"/>
    </xf>
    <xf numFmtId="0" fontId="19" fillId="5" borderId="4" xfId="0" applyFont="1" applyFill="1" applyBorder="1" applyAlignment="1">
      <alignment horizontal="center" vertical="center"/>
    </xf>
    <xf numFmtId="0" fontId="19" fillId="5" borderId="28" xfId="0" applyFont="1" applyFill="1" applyBorder="1" applyAlignment="1">
      <alignment horizontal="center" vertical="center"/>
    </xf>
    <xf numFmtId="1" fontId="122" fillId="5" borderId="10" xfId="0" applyNumberFormat="1" applyFont="1" applyFill="1" applyBorder="1" applyAlignment="1">
      <alignment horizontal="center" vertical="center"/>
    </xf>
    <xf numFmtId="1" fontId="23" fillId="0" borderId="10" xfId="0" applyNumberFormat="1" applyFont="1" applyBorder="1" applyAlignment="1">
      <alignment horizontal="center" vertical="center"/>
    </xf>
    <xf numFmtId="1" fontId="21" fillId="5" borderId="31" xfId="0" applyNumberFormat="1" applyFont="1" applyFill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1" fontId="21" fillId="8" borderId="29" xfId="0" applyNumberFormat="1" applyFont="1" applyFill="1" applyBorder="1" applyAlignment="1">
      <alignment horizontal="center" vertical="center"/>
    </xf>
    <xf numFmtId="1" fontId="21" fillId="5" borderId="10" xfId="0" applyNumberFormat="1" applyFont="1" applyFill="1" applyBorder="1" applyAlignment="1">
      <alignment horizontal="center" vertical="center"/>
    </xf>
    <xf numFmtId="1" fontId="21" fillId="7" borderId="10" xfId="0" applyNumberFormat="1" applyFont="1" applyFill="1" applyBorder="1" applyAlignment="1">
      <alignment horizontal="center" vertical="center"/>
    </xf>
    <xf numFmtId="1" fontId="21" fillId="8" borderId="10" xfId="0" applyNumberFormat="1" applyFont="1" applyFill="1" applyBorder="1" applyAlignment="1">
      <alignment horizontal="center" vertical="center"/>
    </xf>
    <xf numFmtId="1" fontId="21" fillId="7" borderId="45" xfId="0" applyNumberFormat="1" applyFont="1" applyFill="1" applyBorder="1" applyAlignment="1">
      <alignment horizontal="center" vertical="center"/>
    </xf>
    <xf numFmtId="1" fontId="21" fillId="7" borderId="30" xfId="0" applyNumberFormat="1" applyFont="1" applyFill="1" applyBorder="1" applyAlignment="1">
      <alignment horizontal="center" vertical="center"/>
    </xf>
    <xf numFmtId="1" fontId="21" fillId="6" borderId="45" xfId="0" applyNumberFormat="1" applyFont="1" applyFill="1" applyBorder="1" applyAlignment="1">
      <alignment horizontal="center" vertical="center"/>
    </xf>
    <xf numFmtId="1" fontId="21" fillId="6" borderId="30" xfId="0" applyNumberFormat="1" applyFont="1" applyFill="1" applyBorder="1" applyAlignment="1">
      <alignment horizontal="center" vertical="center"/>
    </xf>
    <xf numFmtId="1" fontId="21" fillId="6" borderId="10" xfId="0" applyNumberFormat="1" applyFont="1" applyFill="1" applyBorder="1" applyAlignment="1">
      <alignment horizontal="center" vertical="center"/>
    </xf>
    <xf numFmtId="1" fontId="21" fillId="5" borderId="45" xfId="0" applyNumberFormat="1" applyFont="1" applyFill="1" applyBorder="1" applyAlignment="1">
      <alignment horizontal="center" vertical="center"/>
    </xf>
    <xf numFmtId="1" fontId="21" fillId="5" borderId="30" xfId="0" applyNumberFormat="1" applyFont="1" applyFill="1" applyBorder="1" applyAlignment="1">
      <alignment horizontal="center" vertical="center"/>
    </xf>
    <xf numFmtId="0" fontId="22" fillId="0" borderId="31" xfId="0" applyFont="1" applyBorder="1" applyAlignment="1">
      <alignment horizontal="left" vertical="center" indent="1"/>
    </xf>
    <xf numFmtId="167" fontId="4" fillId="5" borderId="76" xfId="0" applyNumberFormat="1" applyFont="1" applyFill="1" applyBorder="1" applyAlignment="1">
      <alignment horizontal="center" vertical="center"/>
    </xf>
    <xf numFmtId="0" fontId="22" fillId="0" borderId="37" xfId="0" applyFont="1" applyBorder="1" applyAlignment="1">
      <alignment horizontal="center" vertical="center"/>
    </xf>
    <xf numFmtId="0" fontId="56" fillId="5" borderId="0" xfId="0" applyFont="1" applyFill="1"/>
    <xf numFmtId="0" fontId="20" fillId="5" borderId="10" xfId="0" applyFont="1" applyFill="1" applyBorder="1" applyAlignment="1">
      <alignment horizontal="center" vertical="center"/>
    </xf>
    <xf numFmtId="0" fontId="16" fillId="5" borderId="10" xfId="0" applyFont="1" applyFill="1" applyBorder="1" applyAlignment="1">
      <alignment horizontal="center" vertical="center"/>
    </xf>
    <xf numFmtId="0" fontId="4" fillId="56" borderId="10" xfId="0" applyFont="1" applyFill="1" applyBorder="1" applyAlignment="1">
      <alignment horizontal="center" vertical="center"/>
    </xf>
    <xf numFmtId="0" fontId="7" fillId="56" borderId="10" xfId="0" applyFont="1" applyFill="1" applyBorder="1" applyAlignment="1">
      <alignment horizontal="center" vertical="center"/>
    </xf>
    <xf numFmtId="0" fontId="16" fillId="56" borderId="10" xfId="0" applyFont="1" applyFill="1" applyBorder="1" applyAlignment="1">
      <alignment horizontal="center" vertical="center"/>
    </xf>
    <xf numFmtId="0" fontId="4" fillId="56" borderId="10" xfId="0" applyFont="1" applyFill="1" applyBorder="1" applyAlignment="1">
      <alignment horizontal="left"/>
    </xf>
    <xf numFmtId="0" fontId="7" fillId="56" borderId="10" xfId="0" applyFont="1" applyFill="1" applyBorder="1" applyAlignment="1">
      <alignment horizontal="left" vertical="center"/>
    </xf>
    <xf numFmtId="1" fontId="7" fillId="56" borderId="10" xfId="0" applyNumberFormat="1" applyFont="1" applyFill="1" applyBorder="1" applyAlignment="1">
      <alignment horizontal="center" vertical="center"/>
    </xf>
    <xf numFmtId="0" fontId="7" fillId="56" borderId="10" xfId="0" applyFont="1" applyFill="1" applyBorder="1" applyAlignment="1">
      <alignment horizontal="left"/>
    </xf>
    <xf numFmtId="1" fontId="4" fillId="56" borderId="10" xfId="0" applyNumberFormat="1" applyFont="1" applyFill="1" applyBorder="1" applyAlignment="1">
      <alignment horizontal="center" vertical="center"/>
    </xf>
    <xf numFmtId="167" fontId="15" fillId="7" borderId="3" xfId="0" applyNumberFormat="1" applyFont="1" applyFill="1" applyBorder="1" applyAlignment="1">
      <alignment horizontal="center" vertical="center"/>
    </xf>
    <xf numFmtId="1" fontId="15" fillId="7" borderId="42" xfId="0" applyNumberFormat="1" applyFont="1" applyFill="1" applyBorder="1" applyAlignment="1">
      <alignment horizontal="center" vertical="center"/>
    </xf>
    <xf numFmtId="1" fontId="15" fillId="5" borderId="31" xfId="0" applyNumberFormat="1" applyFont="1" applyFill="1" applyBorder="1" applyAlignment="1">
      <alignment horizontal="center" vertical="center"/>
    </xf>
    <xf numFmtId="1" fontId="15" fillId="0" borderId="59" xfId="0" applyNumberFormat="1" applyFont="1" applyBorder="1" applyAlignment="1">
      <alignment horizontal="center" vertical="center"/>
    </xf>
    <xf numFmtId="167" fontId="15" fillId="0" borderId="4" xfId="0" applyNumberFormat="1" applyFont="1" applyBorder="1" applyAlignment="1">
      <alignment horizontal="center" vertical="center"/>
    </xf>
    <xf numFmtId="1" fontId="15" fillId="0" borderId="11" xfId="0" applyNumberFormat="1" applyFont="1" applyBorder="1" applyAlignment="1">
      <alignment horizontal="center" vertical="center"/>
    </xf>
    <xf numFmtId="1" fontId="15" fillId="0" borderId="67" xfId="0" applyNumberFormat="1" applyFont="1" applyBorder="1" applyAlignment="1">
      <alignment horizontal="center" vertical="center"/>
    </xf>
    <xf numFmtId="167" fontId="15" fillId="8" borderId="4" xfId="0" applyNumberFormat="1" applyFont="1" applyFill="1" applyBorder="1" applyAlignment="1">
      <alignment horizontal="center" vertical="center"/>
    </xf>
    <xf numFmtId="1" fontId="15" fillId="8" borderId="11" xfId="0" applyNumberFormat="1" applyFont="1" applyFill="1" applyBorder="1" applyAlignment="1">
      <alignment horizontal="center" vertical="center"/>
    </xf>
    <xf numFmtId="167" fontId="15" fillId="0" borderId="38" xfId="0" applyNumberFormat="1" applyFont="1" applyBorder="1" applyAlignment="1">
      <alignment horizontal="center" vertical="center"/>
    </xf>
    <xf numFmtId="1" fontId="15" fillId="0" borderId="71" xfId="0" applyNumberFormat="1" applyFont="1" applyBorder="1" applyAlignment="1">
      <alignment horizontal="center" vertical="center"/>
    </xf>
    <xf numFmtId="1" fontId="15" fillId="0" borderId="64" xfId="0" applyNumberFormat="1" applyFont="1" applyBorder="1" applyAlignment="1">
      <alignment horizontal="center" vertical="center"/>
    </xf>
    <xf numFmtId="167" fontId="15" fillId="8" borderId="38" xfId="0" applyNumberFormat="1" applyFont="1" applyFill="1" applyBorder="1" applyAlignment="1">
      <alignment horizontal="center" vertical="center"/>
    </xf>
    <xf numFmtId="1" fontId="15" fillId="8" borderId="71" xfId="0" applyNumberFormat="1" applyFont="1" applyFill="1" applyBorder="1" applyAlignment="1">
      <alignment horizontal="center" vertical="center"/>
    </xf>
    <xf numFmtId="1" fontId="15" fillId="0" borderId="85" xfId="0" applyNumberFormat="1" applyFont="1" applyBorder="1" applyAlignment="1">
      <alignment horizontal="center" vertical="center"/>
    </xf>
    <xf numFmtId="167" fontId="15" fillId="0" borderId="87" xfId="0" applyNumberFormat="1" applyFont="1" applyBorder="1" applyAlignment="1">
      <alignment horizontal="center" vertical="center"/>
    </xf>
    <xf numFmtId="167" fontId="15" fillId="7" borderId="87" xfId="0" applyNumberFormat="1" applyFont="1" applyFill="1" applyBorder="1" applyAlignment="1">
      <alignment horizontal="center" vertical="center"/>
    </xf>
    <xf numFmtId="1" fontId="15" fillId="7" borderId="85" xfId="0" applyNumberFormat="1" applyFont="1" applyFill="1" applyBorder="1" applyAlignment="1">
      <alignment horizontal="center" vertical="center"/>
    </xf>
    <xf numFmtId="1" fontId="15" fillId="0" borderId="86" xfId="0" applyNumberFormat="1" applyFont="1" applyBorder="1" applyAlignment="1">
      <alignment horizontal="center" vertical="center"/>
    </xf>
    <xf numFmtId="1" fontId="15" fillId="7" borderId="87" xfId="0" applyNumberFormat="1" applyFont="1" applyFill="1" applyBorder="1" applyAlignment="1">
      <alignment horizontal="center" vertical="center"/>
    </xf>
    <xf numFmtId="167" fontId="15" fillId="8" borderId="87" xfId="0" applyNumberFormat="1" applyFont="1" applyFill="1" applyBorder="1" applyAlignment="1">
      <alignment horizontal="center" vertical="center"/>
    </xf>
    <xf numFmtId="1" fontId="15" fillId="8" borderId="85" xfId="0" applyNumberFormat="1" applyFont="1" applyFill="1" applyBorder="1" applyAlignment="1">
      <alignment horizontal="center" vertical="center"/>
    </xf>
    <xf numFmtId="167" fontId="15" fillId="8" borderId="10" xfId="0" applyNumberFormat="1" applyFont="1" applyFill="1" applyBorder="1" applyAlignment="1">
      <alignment horizontal="center" vertical="center"/>
    </xf>
    <xf numFmtId="1" fontId="28" fillId="8" borderId="66" xfId="0" applyNumberFormat="1" applyFont="1" applyFill="1" applyBorder="1" applyAlignment="1">
      <alignment horizontal="center" vertical="center"/>
    </xf>
    <xf numFmtId="1" fontId="28" fillId="8" borderId="37" xfId="0" applyNumberFormat="1" applyFont="1" applyFill="1" applyBorder="1" applyAlignment="1">
      <alignment horizontal="center" vertical="center"/>
    </xf>
    <xf numFmtId="1" fontId="28" fillId="8" borderId="48" xfId="0" applyNumberFormat="1" applyFont="1" applyFill="1" applyBorder="1" applyAlignment="1">
      <alignment horizontal="center" vertical="center"/>
    </xf>
    <xf numFmtId="1" fontId="15" fillId="8" borderId="67" xfId="0" applyNumberFormat="1" applyFont="1" applyFill="1" applyBorder="1" applyAlignment="1">
      <alignment horizontal="center" vertical="center"/>
    </xf>
    <xf numFmtId="1" fontId="15" fillId="8" borderId="64" xfId="0" applyNumberFormat="1" applyFont="1" applyFill="1" applyBorder="1" applyAlignment="1">
      <alignment horizontal="center" vertical="center"/>
    </xf>
    <xf numFmtId="1" fontId="28" fillId="8" borderId="68" xfId="0" applyNumberFormat="1" applyFont="1" applyFill="1" applyBorder="1" applyAlignment="1">
      <alignment horizontal="center" vertical="center"/>
    </xf>
    <xf numFmtId="1" fontId="15" fillId="8" borderId="86" xfId="0" applyNumberFormat="1" applyFont="1" applyFill="1" applyBorder="1" applyAlignment="1">
      <alignment horizontal="center" vertical="center"/>
    </xf>
    <xf numFmtId="1" fontId="15" fillId="8" borderId="37" xfId="0" applyNumberFormat="1" applyFont="1" applyFill="1" applyBorder="1" applyAlignment="1">
      <alignment horizontal="center" vertical="center"/>
    </xf>
    <xf numFmtId="1" fontId="15" fillId="0" borderId="37" xfId="0" applyNumberFormat="1" applyFont="1" applyFill="1" applyBorder="1" applyAlignment="1">
      <alignment horizontal="center" vertical="center"/>
    </xf>
    <xf numFmtId="1" fontId="24" fillId="0" borderId="37" xfId="0" applyNumberFormat="1" applyFont="1" applyBorder="1" applyAlignment="1">
      <alignment horizontal="center" vertical="center"/>
    </xf>
    <xf numFmtId="9" fontId="46" fillId="6" borderId="17" xfId="22" applyFont="1" applyFill="1" applyBorder="1" applyAlignment="1">
      <alignment horizontal="center" vertical="center"/>
    </xf>
    <xf numFmtId="1" fontId="46" fillId="6" borderId="17" xfId="22" applyNumberFormat="1" applyFont="1" applyFill="1" applyBorder="1" applyAlignment="1">
      <alignment horizontal="center" vertical="center"/>
    </xf>
    <xf numFmtId="1" fontId="19" fillId="5" borderId="23" xfId="0" applyNumberFormat="1" applyFont="1" applyFill="1" applyBorder="1" applyAlignment="1">
      <alignment horizontal="center" vertical="center"/>
    </xf>
    <xf numFmtId="1" fontId="22" fillId="8" borderId="10" xfId="0" quotePrefix="1" applyNumberFormat="1" applyFont="1" applyFill="1" applyBorder="1" applyAlignment="1">
      <alignment horizontal="center" vertical="center"/>
    </xf>
    <xf numFmtId="0" fontId="22" fillId="0" borderId="10" xfId="0" quotePrefix="1" applyFont="1" applyBorder="1" applyAlignment="1">
      <alignment horizontal="center" vertical="center"/>
    </xf>
    <xf numFmtId="1" fontId="22" fillId="7" borderId="63" xfId="0" quotePrefix="1" applyNumberFormat="1" applyFont="1" applyFill="1" applyBorder="1" applyAlignment="1">
      <alignment horizontal="center" vertical="center"/>
    </xf>
    <xf numFmtId="1" fontId="22" fillId="7" borderId="42" xfId="0" applyNumberFormat="1" applyFont="1" applyFill="1" applyBorder="1" applyAlignment="1">
      <alignment horizontal="center" vertical="center"/>
    </xf>
    <xf numFmtId="1" fontId="22" fillId="5" borderId="63" xfId="0" quotePrefix="1" applyNumberFormat="1" applyFont="1" applyFill="1" applyBorder="1" applyAlignment="1">
      <alignment horizontal="center" vertical="center"/>
    </xf>
    <xf numFmtId="0" fontId="22" fillId="8" borderId="31" xfId="0" quotePrefix="1" applyFont="1" applyFill="1" applyBorder="1" applyAlignment="1">
      <alignment horizontal="center" vertical="center"/>
    </xf>
    <xf numFmtId="1" fontId="22" fillId="6" borderId="63" xfId="0" quotePrefix="1" applyNumberFormat="1" applyFont="1" applyFill="1" applyBorder="1" applyAlignment="1">
      <alignment horizontal="center" vertical="center"/>
    </xf>
    <xf numFmtId="1" fontId="22" fillId="5" borderId="34" xfId="0" applyNumberFormat="1" applyFont="1" applyFill="1" applyBorder="1" applyAlignment="1">
      <alignment horizontal="center" vertical="center"/>
    </xf>
    <xf numFmtId="1" fontId="22" fillId="8" borderId="75" xfId="0" applyNumberFormat="1" applyFont="1" applyFill="1" applyBorder="1" applyAlignment="1">
      <alignment horizontal="center" vertical="center"/>
    </xf>
    <xf numFmtId="1" fontId="22" fillId="5" borderId="8" xfId="0" applyNumberFormat="1" applyFont="1" applyFill="1" applyBorder="1" applyAlignment="1">
      <alignment horizontal="center" vertical="center"/>
    </xf>
    <xf numFmtId="1" fontId="22" fillId="6" borderId="42" xfId="0" applyNumberFormat="1" applyFont="1" applyFill="1" applyBorder="1" applyAlignment="1">
      <alignment horizontal="center" vertical="center"/>
    </xf>
    <xf numFmtId="0" fontId="22" fillId="0" borderId="48" xfId="0" applyFont="1" applyBorder="1" applyAlignment="1">
      <alignment horizontal="center" vertical="center"/>
    </xf>
    <xf numFmtId="0" fontId="22" fillId="8" borderId="10" xfId="0" quotePrefix="1" applyFont="1" applyFill="1" applyBorder="1" applyAlignment="1">
      <alignment horizontal="center" vertical="center"/>
    </xf>
    <xf numFmtId="1" fontId="22" fillId="7" borderId="74" xfId="0" quotePrefix="1" applyNumberFormat="1" applyFont="1" applyFill="1" applyBorder="1" applyAlignment="1">
      <alignment horizontal="center" vertical="center"/>
    </xf>
    <xf numFmtId="1" fontId="22" fillId="5" borderId="34" xfId="0" quotePrefix="1" applyNumberFormat="1" applyFont="1" applyFill="1" applyBorder="1" applyAlignment="1">
      <alignment horizontal="center" vertical="center"/>
    </xf>
    <xf numFmtId="1" fontId="22" fillId="6" borderId="74" xfId="0" quotePrefix="1" applyNumberFormat="1" applyFont="1" applyFill="1" applyBorder="1" applyAlignment="1">
      <alignment horizontal="center" vertical="center"/>
    </xf>
    <xf numFmtId="1" fontId="22" fillId="0" borderId="41" xfId="0" quotePrefix="1" applyNumberFormat="1" applyFont="1" applyBorder="1" applyAlignment="1">
      <alignment horizontal="center" vertical="center"/>
    </xf>
    <xf numFmtId="0" fontId="22" fillId="0" borderId="41" xfId="0" quotePrefix="1" applyFont="1" applyBorder="1" applyAlignment="1">
      <alignment horizontal="center" vertical="center"/>
    </xf>
    <xf numFmtId="1" fontId="22" fillId="8" borderId="41" xfId="0" applyNumberFormat="1" applyFont="1" applyFill="1" applyBorder="1" applyAlignment="1">
      <alignment horizontal="center" vertical="center"/>
    </xf>
    <xf numFmtId="0" fontId="22" fillId="8" borderId="63" xfId="0" quotePrefix="1" applyFont="1" applyFill="1" applyBorder="1" applyAlignment="1">
      <alignment horizontal="center" vertical="center"/>
    </xf>
    <xf numFmtId="1" fontId="22" fillId="8" borderId="42" xfId="0" applyNumberFormat="1" applyFont="1" applyFill="1" applyBorder="1" applyAlignment="1">
      <alignment horizontal="center" vertical="center"/>
    </xf>
    <xf numFmtId="1" fontId="21" fillId="6" borderId="72" xfId="0" applyNumberFormat="1" applyFont="1" applyFill="1" applyBorder="1" applyAlignment="1">
      <alignment horizontal="center" vertical="center"/>
    </xf>
    <xf numFmtId="1" fontId="19" fillId="0" borderId="5" xfId="0" applyNumberFormat="1" applyFont="1" applyBorder="1" applyAlignment="1">
      <alignment horizontal="center" vertical="center"/>
    </xf>
    <xf numFmtId="0" fontId="33" fillId="8" borderId="2" xfId="0" applyFont="1" applyFill="1" applyBorder="1" applyAlignment="1">
      <alignment vertical="center"/>
    </xf>
    <xf numFmtId="0" fontId="19" fillId="8" borderId="39" xfId="0" applyFont="1" applyFill="1" applyBorder="1" applyAlignment="1">
      <alignment horizontal="center" vertical="center"/>
    </xf>
    <xf numFmtId="0" fontId="19" fillId="8" borderId="71" xfId="0" applyFont="1" applyFill="1" applyBorder="1" applyAlignment="1">
      <alignment horizontal="center" vertical="center"/>
    </xf>
    <xf numFmtId="0" fontId="21" fillId="7" borderId="41" xfId="0" applyFont="1" applyFill="1" applyBorder="1" applyAlignment="1">
      <alignment horizontal="center" vertical="center"/>
    </xf>
    <xf numFmtId="1" fontId="21" fillId="0" borderId="41" xfId="0" applyNumberFormat="1" applyFont="1" applyFill="1" applyBorder="1" applyAlignment="1">
      <alignment horizontal="center" vertical="center"/>
    </xf>
    <xf numFmtId="1" fontId="22" fillId="7" borderId="23" xfId="0" applyNumberFormat="1" applyFont="1" applyFill="1" applyBorder="1" applyAlignment="1">
      <alignment horizontal="center" vertical="center"/>
    </xf>
    <xf numFmtId="1" fontId="22" fillId="5" borderId="23" xfId="0" applyNumberFormat="1" applyFont="1" applyFill="1" applyBorder="1" applyAlignment="1">
      <alignment horizontal="center" vertical="center"/>
    </xf>
    <xf numFmtId="1" fontId="22" fillId="6" borderId="23" xfId="0" applyNumberFormat="1" applyFont="1" applyFill="1" applyBorder="1" applyAlignment="1">
      <alignment horizontal="center" vertical="center"/>
    </xf>
    <xf numFmtId="1" fontId="22" fillId="6" borderId="33" xfId="0" applyNumberFormat="1" applyFont="1" applyFill="1" applyBorder="1" applyAlignment="1">
      <alignment horizontal="center" vertical="center"/>
    </xf>
    <xf numFmtId="168" fontId="21" fillId="0" borderId="62" xfId="0" applyNumberFormat="1" applyFont="1" applyBorder="1" applyAlignment="1">
      <alignment horizontal="right" vertical="center" indent="1"/>
    </xf>
    <xf numFmtId="1" fontId="21" fillId="6" borderId="36" xfId="0" applyNumberFormat="1" applyFont="1" applyFill="1" applyBorder="1" applyAlignment="1">
      <alignment horizontal="center" vertical="center"/>
    </xf>
    <xf numFmtId="1" fontId="21" fillId="6" borderId="71" xfId="0" applyNumberFormat="1" applyFont="1" applyFill="1" applyBorder="1" applyAlignment="1">
      <alignment horizontal="center" vertical="center"/>
    </xf>
    <xf numFmtId="1" fontId="21" fillId="8" borderId="46" xfId="0" applyNumberFormat="1" applyFont="1" applyFill="1" applyBorder="1" applyAlignment="1">
      <alignment horizontal="center" vertical="center"/>
    </xf>
    <xf numFmtId="0" fontId="21" fillId="7" borderId="38" xfId="0" quotePrefix="1" applyFont="1" applyFill="1" applyBorder="1" applyAlignment="1">
      <alignment horizontal="center" vertical="center"/>
    </xf>
    <xf numFmtId="1" fontId="21" fillId="5" borderId="38" xfId="0" applyNumberFormat="1" applyFont="1" applyFill="1" applyBorder="1" applyAlignment="1">
      <alignment horizontal="center" vertical="center"/>
    </xf>
    <xf numFmtId="1" fontId="21" fillId="0" borderId="71" xfId="0" applyNumberFormat="1" applyFont="1" applyFill="1" applyBorder="1" applyAlignment="1">
      <alignment horizontal="center" vertical="center"/>
    </xf>
    <xf numFmtId="1" fontId="21" fillId="8" borderId="71" xfId="0" applyNumberFormat="1" applyFont="1" applyFill="1" applyBorder="1" applyAlignment="1">
      <alignment horizontal="center" vertical="center"/>
    </xf>
    <xf numFmtId="1" fontId="21" fillId="6" borderId="38" xfId="0" applyNumberFormat="1" applyFont="1" applyFill="1" applyBorder="1" applyAlignment="1">
      <alignment horizontal="center" vertical="center"/>
    </xf>
    <xf numFmtId="0" fontId="21" fillId="6" borderId="10" xfId="0" applyFont="1" applyFill="1" applyBorder="1" applyAlignment="1">
      <alignment horizontal="center" vertical="center"/>
    </xf>
    <xf numFmtId="0" fontId="21" fillId="0" borderId="31" xfId="0" applyFont="1" applyBorder="1" applyAlignment="1">
      <alignment horizontal="right" vertical="center" wrapText="1" indent="1"/>
    </xf>
    <xf numFmtId="0" fontId="19" fillId="0" borderId="32" xfId="0" applyFont="1" applyBorder="1" applyAlignment="1">
      <alignment horizontal="right" vertical="center"/>
    </xf>
    <xf numFmtId="1" fontId="19" fillId="0" borderId="23" xfId="0" applyNumberFormat="1" applyFont="1" applyBorder="1" applyAlignment="1">
      <alignment horizontal="center" vertical="center"/>
    </xf>
    <xf numFmtId="1" fontId="19" fillId="8" borderId="23" xfId="0" applyNumberFormat="1" applyFont="1" applyFill="1" applyBorder="1" applyAlignment="1">
      <alignment horizontal="center" vertical="center"/>
    </xf>
    <xf numFmtId="1" fontId="19" fillId="0" borderId="23" xfId="0" applyNumberFormat="1" applyFont="1" applyFill="1" applyBorder="1" applyAlignment="1">
      <alignment horizontal="center" vertical="center"/>
    </xf>
    <xf numFmtId="1" fontId="19" fillId="6" borderId="23" xfId="0" applyNumberFormat="1" applyFont="1" applyFill="1" applyBorder="1" applyAlignment="1">
      <alignment horizontal="center" vertical="center"/>
    </xf>
    <xf numFmtId="1" fontId="19" fillId="6" borderId="33" xfId="0" applyNumberFormat="1" applyFont="1" applyFill="1" applyBorder="1" applyAlignment="1">
      <alignment horizontal="center" vertical="center"/>
    </xf>
    <xf numFmtId="0" fontId="22" fillId="8" borderId="76" xfId="0" applyFont="1" applyFill="1" applyBorder="1" applyAlignment="1">
      <alignment horizontal="left" vertical="center" indent="1"/>
    </xf>
    <xf numFmtId="0" fontId="22" fillId="8" borderId="80" xfId="0" applyFont="1" applyFill="1" applyBorder="1" applyAlignment="1">
      <alignment horizontal="center" vertical="center"/>
    </xf>
    <xf numFmtId="0" fontId="22" fillId="0" borderId="80" xfId="0" applyFont="1" applyFill="1" applyBorder="1" applyAlignment="1">
      <alignment horizontal="center" vertical="center"/>
    </xf>
    <xf numFmtId="1" fontId="22" fillId="8" borderId="85" xfId="0" applyNumberFormat="1" applyFont="1" applyFill="1" applyBorder="1" applyAlignment="1">
      <alignment horizontal="center" vertical="center"/>
    </xf>
    <xf numFmtId="1" fontId="19" fillId="6" borderId="8" xfId="0" applyNumberFormat="1" applyFont="1" applyFill="1" applyBorder="1" applyAlignment="1">
      <alignment horizontal="center" vertical="center"/>
    </xf>
    <xf numFmtId="0" fontId="0" fillId="0" borderId="0" xfId="0"/>
    <xf numFmtId="167" fontId="22" fillId="6" borderId="17" xfId="0" applyNumberFormat="1" applyFont="1" applyFill="1" applyBorder="1" applyAlignment="1">
      <alignment horizontal="center" vertical="center"/>
    </xf>
    <xf numFmtId="167" fontId="21" fillId="6" borderId="12" xfId="0" applyNumberFormat="1" applyFont="1" applyFill="1" applyBorder="1" applyAlignment="1">
      <alignment horizontal="center" vertical="center"/>
    </xf>
    <xf numFmtId="169" fontId="21" fillId="6" borderId="20" xfId="0" applyNumberFormat="1" applyFont="1" applyFill="1" applyBorder="1" applyAlignment="1">
      <alignment horizontal="center" vertical="center"/>
    </xf>
    <xf numFmtId="2" fontId="21" fillId="6" borderId="17" xfId="0" applyNumberFormat="1" applyFont="1" applyFill="1" applyBorder="1" applyAlignment="1">
      <alignment horizontal="center"/>
    </xf>
    <xf numFmtId="167" fontId="21" fillId="6" borderId="41" xfId="0" applyNumberFormat="1" applyFont="1" applyFill="1" applyBorder="1" applyAlignment="1">
      <alignment horizontal="center" vertical="center"/>
    </xf>
    <xf numFmtId="167" fontId="4" fillId="6" borderId="11" xfId="0" applyNumberFormat="1" applyFont="1" applyFill="1" applyBorder="1" applyAlignment="1">
      <alignment horizontal="center" vertical="center"/>
    </xf>
    <xf numFmtId="1" fontId="19" fillId="6" borderId="63" xfId="0" quotePrefix="1" applyNumberFormat="1" applyFont="1" applyFill="1" applyBorder="1" applyAlignment="1">
      <alignment horizontal="center" vertical="center"/>
    </xf>
    <xf numFmtId="1" fontId="4" fillId="6" borderId="63" xfId="0" applyNumberFormat="1" applyFont="1" applyFill="1" applyBorder="1" applyAlignment="1">
      <alignment horizontal="center" vertical="center"/>
    </xf>
    <xf numFmtId="169" fontId="21" fillId="6" borderId="79" xfId="0" applyNumberFormat="1" applyFont="1" applyFill="1" applyBorder="1" applyAlignment="1">
      <alignment horizontal="center" vertical="center"/>
    </xf>
    <xf numFmtId="1" fontId="4" fillId="5" borderId="51" xfId="0" applyNumberFormat="1" applyFont="1" applyFill="1" applyBorder="1" applyAlignment="1">
      <alignment horizontal="center" vertical="center"/>
    </xf>
    <xf numFmtId="1" fontId="4" fillId="6" borderId="51" xfId="0" applyNumberFormat="1" applyFont="1" applyFill="1" applyBorder="1" applyAlignment="1">
      <alignment horizontal="center" vertical="center"/>
    </xf>
    <xf numFmtId="1" fontId="19" fillId="6" borderId="34" xfId="0" applyNumberFormat="1" applyFont="1" applyFill="1" applyBorder="1" applyAlignment="1">
      <alignment horizontal="center" vertical="center"/>
    </xf>
    <xf numFmtId="1" fontId="19" fillId="6" borderId="99" xfId="0" applyNumberFormat="1" applyFont="1" applyFill="1" applyBorder="1" applyAlignment="1">
      <alignment horizontal="center" vertical="center"/>
    </xf>
    <xf numFmtId="0" fontId="30" fillId="0" borderId="39" xfId="0" applyFont="1" applyBorder="1" applyAlignment="1">
      <alignment vertical="center"/>
    </xf>
    <xf numFmtId="2" fontId="21" fillId="8" borderId="52" xfId="0" applyNumberFormat="1" applyFont="1" applyFill="1" applyBorder="1" applyAlignment="1">
      <alignment horizontal="center" vertical="center"/>
    </xf>
    <xf numFmtId="2" fontId="21" fillId="8" borderId="37" xfId="0" applyNumberFormat="1" applyFont="1" applyFill="1" applyBorder="1" applyAlignment="1">
      <alignment horizontal="center" vertical="center"/>
    </xf>
    <xf numFmtId="2" fontId="21" fillId="8" borderId="50" xfId="0" applyNumberFormat="1" applyFont="1" applyFill="1" applyBorder="1" applyAlignment="1">
      <alignment horizontal="center" vertical="center"/>
    </xf>
    <xf numFmtId="2" fontId="21" fillId="8" borderId="8" xfId="0" applyNumberFormat="1" applyFont="1" applyFill="1" applyBorder="1" applyAlignment="1">
      <alignment horizontal="center" vertical="center"/>
    </xf>
    <xf numFmtId="167" fontId="4" fillId="0" borderId="67" xfId="0" applyNumberFormat="1" applyFont="1" applyBorder="1" applyAlignment="1">
      <alignment horizontal="center" vertical="center"/>
    </xf>
    <xf numFmtId="167" fontId="4" fillId="8" borderId="4" xfId="0" applyNumberFormat="1" applyFont="1" applyFill="1" applyBorder="1" applyAlignment="1">
      <alignment horizontal="center" vertical="center"/>
    </xf>
    <xf numFmtId="0" fontId="30" fillId="8" borderId="7" xfId="0" applyFont="1" applyFill="1" applyBorder="1" applyAlignment="1">
      <alignment vertical="center"/>
    </xf>
    <xf numFmtId="167" fontId="4" fillId="5" borderId="85" xfId="0" applyNumberFormat="1" applyFont="1" applyFill="1" applyBorder="1" applyAlignment="1">
      <alignment horizontal="center" vertical="center"/>
    </xf>
    <xf numFmtId="2" fontId="21" fillId="5" borderId="17" xfId="0" applyNumberFormat="1" applyFont="1" applyFill="1" applyBorder="1" applyAlignment="1">
      <alignment horizontal="center" vertical="center"/>
    </xf>
    <xf numFmtId="167" fontId="4" fillId="6" borderId="4" xfId="0" applyNumberFormat="1" applyFont="1" applyFill="1" applyBorder="1" applyAlignment="1">
      <alignment horizontal="center" vertical="center"/>
    </xf>
    <xf numFmtId="2" fontId="21" fillId="6" borderId="50" xfId="0" applyNumberFormat="1" applyFont="1" applyFill="1" applyBorder="1" applyAlignment="1">
      <alignment horizontal="center" vertical="center"/>
    </xf>
    <xf numFmtId="2" fontId="21" fillId="6" borderId="8" xfId="0" applyNumberFormat="1" applyFont="1" applyFill="1" applyBorder="1" applyAlignment="1">
      <alignment horizontal="center" vertical="center"/>
    </xf>
    <xf numFmtId="2" fontId="21" fillId="6" borderId="29" xfId="0" applyNumberFormat="1" applyFont="1" applyFill="1" applyBorder="1" applyAlignment="1">
      <alignment horizontal="center" vertical="center"/>
    </xf>
    <xf numFmtId="169" fontId="21" fillId="6" borderId="29" xfId="0" applyNumberFormat="1" applyFont="1" applyFill="1" applyBorder="1" applyAlignment="1">
      <alignment horizontal="center" vertical="center"/>
    </xf>
    <xf numFmtId="0" fontId="33" fillId="0" borderId="134" xfId="0" applyFont="1" applyBorder="1" applyAlignment="1">
      <alignment vertical="center"/>
    </xf>
    <xf numFmtId="0" fontId="33" fillId="8" borderId="75" xfId="0" applyFont="1" applyFill="1" applyBorder="1" applyAlignment="1">
      <alignment vertical="center"/>
    </xf>
    <xf numFmtId="0" fontId="21" fillId="7" borderId="108" xfId="0" applyFont="1" applyFill="1" applyBorder="1" applyAlignment="1">
      <alignment horizontal="center" vertical="center"/>
    </xf>
    <xf numFmtId="1" fontId="21" fillId="7" borderId="108" xfId="0" applyNumberFormat="1" applyFont="1" applyFill="1" applyBorder="1" applyAlignment="1">
      <alignment horizontal="center" vertical="center"/>
    </xf>
    <xf numFmtId="1" fontId="21" fillId="0" borderId="66" xfId="0" applyNumberFormat="1" applyFont="1" applyBorder="1" applyAlignment="1">
      <alignment horizontal="center" vertical="center"/>
    </xf>
    <xf numFmtId="0" fontId="21" fillId="8" borderId="23" xfId="0" applyFont="1" applyFill="1" applyBorder="1" applyAlignment="1">
      <alignment horizontal="center" vertical="center"/>
    </xf>
    <xf numFmtId="1" fontId="21" fillId="5" borderId="68" xfId="0" applyNumberFormat="1" applyFont="1" applyFill="1" applyBorder="1" applyAlignment="1">
      <alignment horizontal="center" vertical="center"/>
    </xf>
    <xf numFmtId="0" fontId="19" fillId="0" borderId="74" xfId="0" applyFont="1" applyBorder="1" applyAlignment="1">
      <alignment vertical="center"/>
    </xf>
    <xf numFmtId="0" fontId="19" fillId="0" borderId="54" xfId="0" applyFont="1" applyBorder="1" applyAlignment="1">
      <alignment horizontal="center" vertical="center"/>
    </xf>
    <xf numFmtId="1" fontId="19" fillId="7" borderId="46" xfId="0" applyNumberFormat="1" applyFont="1" applyFill="1" applyBorder="1" applyAlignment="1">
      <alignment horizontal="center" vertical="center"/>
    </xf>
    <xf numFmtId="1" fontId="19" fillId="5" borderId="64" xfId="0" applyNumberFormat="1" applyFont="1" applyFill="1" applyBorder="1" applyAlignment="1">
      <alignment horizontal="center" vertical="center"/>
    </xf>
    <xf numFmtId="1" fontId="19" fillId="8" borderId="46" xfId="0" applyNumberFormat="1" applyFont="1" applyFill="1" applyBorder="1" applyAlignment="1">
      <alignment horizontal="center" vertical="center"/>
    </xf>
    <xf numFmtId="1" fontId="19" fillId="6" borderId="74" xfId="0" applyNumberFormat="1" applyFont="1" applyFill="1" applyBorder="1" applyAlignment="1">
      <alignment horizontal="center" vertical="center"/>
    </xf>
    <xf numFmtId="1" fontId="19" fillId="6" borderId="133" xfId="0" applyNumberFormat="1" applyFont="1" applyFill="1" applyBorder="1" applyAlignment="1">
      <alignment horizontal="center" vertical="center"/>
    </xf>
    <xf numFmtId="167" fontId="21" fillId="5" borderId="1" xfId="0" applyNumberFormat="1" applyFont="1" applyFill="1" applyBorder="1" applyAlignment="1">
      <alignment horizontal="center" vertical="center"/>
    </xf>
    <xf numFmtId="2" fontId="21" fillId="6" borderId="72" xfId="0" applyNumberFormat="1" applyFont="1" applyFill="1" applyBorder="1" applyAlignment="1">
      <alignment horizontal="center" vertical="center"/>
    </xf>
    <xf numFmtId="2" fontId="19" fillId="6" borderId="11" xfId="0" applyNumberFormat="1" applyFont="1" applyFill="1" applyBorder="1" applyAlignment="1">
      <alignment horizontal="center" vertical="center"/>
    </xf>
    <xf numFmtId="0" fontId="22" fillId="0" borderId="34" xfId="0" applyFont="1" applyBorder="1" applyAlignment="1">
      <alignment vertical="center"/>
    </xf>
    <xf numFmtId="0" fontId="22" fillId="0" borderId="1" xfId="0" applyFont="1" applyBorder="1" applyAlignment="1">
      <alignment vertical="center"/>
    </xf>
    <xf numFmtId="167" fontId="21" fillId="0" borderId="11" xfId="0" applyNumberFormat="1" applyFont="1" applyBorder="1" applyAlignment="1">
      <alignment horizontal="center" vertical="center"/>
    </xf>
    <xf numFmtId="167" fontId="21" fillId="7" borderId="4" xfId="0" applyNumberFormat="1" applyFont="1" applyFill="1" applyBorder="1" applyAlignment="1">
      <alignment horizontal="center" vertical="center"/>
    </xf>
    <xf numFmtId="1" fontId="21" fillId="7" borderId="102" xfId="0" applyNumberFormat="1" applyFont="1" applyFill="1" applyBorder="1" applyAlignment="1">
      <alignment horizontal="center" vertical="center"/>
    </xf>
    <xf numFmtId="0" fontId="21" fillId="6" borderId="1" xfId="0" applyFont="1" applyFill="1" applyBorder="1" applyAlignment="1">
      <alignment horizontal="center" vertical="center"/>
    </xf>
    <xf numFmtId="1" fontId="21" fillId="6" borderId="11" xfId="0" applyNumberFormat="1" applyFont="1" applyFill="1" applyBorder="1" applyAlignment="1">
      <alignment horizontal="center" vertical="center"/>
    </xf>
    <xf numFmtId="1" fontId="21" fillId="54" borderId="17" xfId="0" applyNumberFormat="1" applyFont="1" applyFill="1" applyBorder="1" applyAlignment="1">
      <alignment horizontal="center" vertical="center"/>
    </xf>
    <xf numFmtId="0" fontId="21" fillId="0" borderId="62" xfId="0" applyFont="1" applyBorder="1" applyAlignment="1">
      <alignment horizontal="left" indent="2"/>
    </xf>
    <xf numFmtId="167" fontId="19" fillId="0" borderId="45" xfId="0" applyNumberFormat="1" applyFont="1" applyBorder="1" applyAlignment="1">
      <alignment horizontal="center" vertical="center"/>
    </xf>
    <xf numFmtId="167" fontId="19" fillId="7" borderId="45" xfId="0" applyNumberFormat="1" applyFont="1" applyFill="1" applyBorder="1" applyAlignment="1">
      <alignment horizontal="center" vertical="center"/>
    </xf>
    <xf numFmtId="167" fontId="19" fillId="5" borderId="45" xfId="0" applyNumberFormat="1" applyFont="1" applyFill="1" applyBorder="1" applyAlignment="1">
      <alignment horizontal="center" vertical="center"/>
    </xf>
    <xf numFmtId="1" fontId="21" fillId="54" borderId="72" xfId="0" applyNumberFormat="1" applyFont="1" applyFill="1" applyBorder="1" applyAlignment="1">
      <alignment horizontal="center" vertical="center"/>
    </xf>
    <xf numFmtId="0" fontId="21" fillId="0" borderId="34" xfId="0" applyFont="1" applyBorder="1" applyAlignment="1">
      <alignment horizontal="left" indent="2"/>
    </xf>
    <xf numFmtId="167" fontId="19" fillId="0" borderId="30" xfId="0" applyNumberFormat="1" applyFont="1" applyBorder="1" applyAlignment="1">
      <alignment horizontal="center" vertical="center"/>
    </xf>
    <xf numFmtId="167" fontId="19" fillId="7" borderId="30" xfId="0" applyNumberFormat="1" applyFont="1" applyFill="1" applyBorder="1" applyAlignment="1">
      <alignment horizontal="center" vertical="center"/>
    </xf>
    <xf numFmtId="167" fontId="19" fillId="5" borderId="30" xfId="0" applyNumberFormat="1" applyFont="1" applyFill="1" applyBorder="1" applyAlignment="1">
      <alignment horizontal="center" vertical="center"/>
    </xf>
    <xf numFmtId="0" fontId="22" fillId="0" borderId="1" xfId="0" applyFont="1" applyBorder="1" applyAlignment="1">
      <alignment horizontal="left" indent="1"/>
    </xf>
    <xf numFmtId="0" fontId="22" fillId="0" borderId="5" xfId="0" applyFont="1" applyBorder="1" applyAlignment="1">
      <alignment horizontal="center" vertical="center"/>
    </xf>
    <xf numFmtId="1" fontId="22" fillId="0" borderId="5" xfId="0" applyNumberFormat="1" applyFont="1" applyBorder="1" applyAlignment="1">
      <alignment horizontal="center" vertical="center"/>
    </xf>
    <xf numFmtId="1" fontId="22" fillId="5" borderId="5" xfId="0" applyNumberFormat="1" applyFont="1" applyFill="1" applyBorder="1" applyAlignment="1">
      <alignment horizontal="center" vertical="center"/>
    </xf>
    <xf numFmtId="1" fontId="22" fillId="7" borderId="5" xfId="0" applyNumberFormat="1" applyFont="1" applyFill="1" applyBorder="1" applyAlignment="1">
      <alignment horizontal="center" vertical="center"/>
    </xf>
    <xf numFmtId="2" fontId="20" fillId="0" borderId="25" xfId="0" applyNumberFormat="1" applyFont="1" applyBorder="1" applyAlignment="1">
      <alignment horizontal="center" vertical="center"/>
    </xf>
    <xf numFmtId="2" fontId="20" fillId="5" borderId="5" xfId="0" applyNumberFormat="1" applyFont="1" applyFill="1" applyBorder="1" applyAlignment="1">
      <alignment horizontal="center" vertical="center"/>
    </xf>
    <xf numFmtId="0" fontId="20" fillId="8" borderId="24" xfId="0" applyFont="1" applyFill="1" applyBorder="1" applyAlignment="1">
      <alignment vertical="center"/>
    </xf>
    <xf numFmtId="1" fontId="21" fillId="6" borderId="25" xfId="0" applyNumberFormat="1" applyFont="1" applyFill="1" applyBorder="1" applyAlignment="1">
      <alignment horizontal="center" vertical="center"/>
    </xf>
    <xf numFmtId="0" fontId="21" fillId="8" borderId="55" xfId="0" applyFont="1" applyFill="1" applyBorder="1" applyAlignment="1">
      <alignment vertical="center"/>
    </xf>
    <xf numFmtId="1" fontId="21" fillId="6" borderId="1" xfId="0" applyNumberFormat="1" applyFont="1" applyFill="1" applyBorder="1" applyAlignment="1">
      <alignment horizontal="center" vertical="center"/>
    </xf>
    <xf numFmtId="167" fontId="20" fillId="6" borderId="1" xfId="0" applyNumberFormat="1" applyFont="1" applyFill="1" applyBorder="1" applyAlignment="1">
      <alignment horizontal="center" vertical="center"/>
    </xf>
    <xf numFmtId="167" fontId="0" fillId="0" borderId="0" xfId="0" applyNumberFormat="1" applyFont="1"/>
    <xf numFmtId="167" fontId="20" fillId="6" borderId="41" xfId="0" applyNumberFormat="1" applyFont="1" applyFill="1" applyBorder="1" applyAlignment="1">
      <alignment horizontal="center" vertical="center"/>
    </xf>
    <xf numFmtId="167" fontId="20" fillId="6" borderId="45" xfId="0" applyNumberFormat="1" applyFont="1" applyFill="1" applyBorder="1" applyAlignment="1">
      <alignment horizontal="center" vertical="center"/>
    </xf>
    <xf numFmtId="167" fontId="20" fillId="6" borderId="5" xfId="0" applyNumberFormat="1" applyFont="1" applyFill="1" applyBorder="1" applyAlignment="1">
      <alignment horizontal="center" vertical="center"/>
    </xf>
    <xf numFmtId="167" fontId="20" fillId="6" borderId="30" xfId="0" applyNumberFormat="1" applyFont="1" applyFill="1" applyBorder="1" applyAlignment="1">
      <alignment horizontal="center" vertical="center"/>
    </xf>
    <xf numFmtId="1" fontId="20" fillId="6" borderId="5" xfId="0" applyNumberFormat="1" applyFont="1" applyFill="1" applyBorder="1" applyAlignment="1">
      <alignment horizontal="center" vertical="center"/>
    </xf>
    <xf numFmtId="0" fontId="171" fillId="8" borderId="7" xfId="0" applyFont="1" applyFill="1" applyBorder="1" applyAlignment="1">
      <alignment vertical="center"/>
    </xf>
    <xf numFmtId="1" fontId="20" fillId="6" borderId="1" xfId="0" applyNumberFormat="1" applyFont="1" applyFill="1" applyBorder="1" applyAlignment="1">
      <alignment horizontal="center" vertical="center"/>
    </xf>
    <xf numFmtId="1" fontId="20" fillId="6" borderId="4" xfId="0" applyNumberFormat="1" applyFont="1" applyFill="1" applyBorder="1" applyAlignment="1">
      <alignment horizontal="center" vertical="center"/>
    </xf>
    <xf numFmtId="1" fontId="20" fillId="6" borderId="11" xfId="0" applyNumberFormat="1" applyFont="1" applyFill="1" applyBorder="1" applyAlignment="1">
      <alignment horizontal="center" vertical="center"/>
    </xf>
    <xf numFmtId="167" fontId="171" fillId="8" borderId="7" xfId="0" applyNumberFormat="1" applyFont="1" applyFill="1" applyBorder="1" applyAlignment="1">
      <alignment horizontal="center" vertical="center"/>
    </xf>
    <xf numFmtId="167" fontId="171" fillId="8" borderId="6" xfId="0" applyNumberFormat="1" applyFont="1" applyFill="1" applyBorder="1" applyAlignment="1">
      <alignment horizontal="center" vertical="center"/>
    </xf>
    <xf numFmtId="0" fontId="172" fillId="8" borderId="6" xfId="0" applyFont="1" applyFill="1" applyBorder="1" applyAlignment="1">
      <alignment vertical="center"/>
    </xf>
    <xf numFmtId="167" fontId="0" fillId="0" borderId="39" xfId="0" applyNumberFormat="1" applyFont="1" applyBorder="1"/>
    <xf numFmtId="167" fontId="171" fillId="8" borderId="47" xfId="0" applyNumberFormat="1" applyFont="1" applyFill="1" applyBorder="1" applyAlignment="1">
      <alignment horizontal="center" vertical="center"/>
    </xf>
    <xf numFmtId="167" fontId="172" fillId="8" borderId="6" xfId="0" applyNumberFormat="1" applyFont="1" applyFill="1" applyBorder="1" applyAlignment="1">
      <alignment horizontal="center" vertical="center"/>
    </xf>
    <xf numFmtId="167" fontId="7" fillId="6" borderId="80" xfId="0" applyNumberFormat="1" applyFont="1" applyFill="1" applyBorder="1" applyAlignment="1">
      <alignment horizontal="center" vertical="center"/>
    </xf>
    <xf numFmtId="167" fontId="7" fillId="6" borderId="5" xfId="0" applyNumberFormat="1" applyFont="1" applyFill="1" applyBorder="1" applyAlignment="1">
      <alignment horizontal="center" vertical="center"/>
    </xf>
    <xf numFmtId="167" fontId="20" fillId="5" borderId="41" xfId="0" applyNumberFormat="1" applyFont="1" applyFill="1" applyBorder="1" applyAlignment="1">
      <alignment horizontal="center" vertical="center"/>
    </xf>
    <xf numFmtId="167" fontId="20" fillId="6" borderId="42" xfId="0" applyNumberFormat="1" applyFont="1" applyFill="1" applyBorder="1" applyAlignment="1">
      <alignment horizontal="center" vertical="center"/>
    </xf>
    <xf numFmtId="167" fontId="20" fillId="8" borderId="10" xfId="0" applyNumberFormat="1" applyFont="1" applyFill="1" applyBorder="1" applyAlignment="1">
      <alignment horizontal="center" vertical="center"/>
    </xf>
    <xf numFmtId="167" fontId="20" fillId="0" borderId="10" xfId="0" applyNumberFormat="1" applyFont="1" applyBorder="1" applyAlignment="1">
      <alignment horizontal="center" vertical="center"/>
    </xf>
    <xf numFmtId="167" fontId="20" fillId="0" borderId="10" xfId="0" applyNumberFormat="1" applyFont="1" applyFill="1" applyBorder="1" applyAlignment="1">
      <alignment horizontal="center" vertical="center"/>
    </xf>
    <xf numFmtId="0" fontId="20" fillId="0" borderId="63" xfId="0" applyFont="1" applyBorder="1" applyAlignment="1">
      <alignment horizontal="right" vertical="center" indent="1"/>
    </xf>
    <xf numFmtId="167" fontId="20" fillId="8" borderId="41" xfId="0" applyNumberFormat="1" applyFont="1" applyFill="1" applyBorder="1" applyAlignment="1">
      <alignment horizontal="center" vertical="center"/>
    </xf>
    <xf numFmtId="167" fontId="20" fillId="0" borderId="41" xfId="0" applyNumberFormat="1" applyFont="1" applyBorder="1" applyAlignment="1">
      <alignment horizontal="center" vertical="center"/>
    </xf>
    <xf numFmtId="167" fontId="20" fillId="7" borderId="41" xfId="0" applyNumberFormat="1" applyFont="1" applyFill="1" applyBorder="1" applyAlignment="1">
      <alignment horizontal="center" vertical="center"/>
    </xf>
    <xf numFmtId="167" fontId="20" fillId="0" borderId="41" xfId="0" applyNumberFormat="1" applyFont="1" applyFill="1" applyBorder="1" applyAlignment="1">
      <alignment horizontal="center" vertical="center"/>
    </xf>
    <xf numFmtId="0" fontId="20" fillId="0" borderId="31" xfId="0" applyFont="1" applyBorder="1" applyAlignment="1">
      <alignment horizontal="right" vertical="center" indent="1"/>
    </xf>
    <xf numFmtId="0" fontId="19" fillId="8" borderId="31" xfId="0" applyFont="1" applyFill="1" applyBorder="1" applyAlignment="1">
      <alignment horizontal="right" vertical="center" indent="1"/>
    </xf>
    <xf numFmtId="0" fontId="20" fillId="8" borderId="31" xfId="0" applyFont="1" applyFill="1" applyBorder="1" applyAlignment="1">
      <alignment horizontal="right" vertical="center" indent="2"/>
    </xf>
    <xf numFmtId="0" fontId="19" fillId="8" borderId="31" xfId="0" applyFont="1" applyFill="1" applyBorder="1" applyAlignment="1">
      <alignment horizontal="right" vertical="center" indent="2"/>
    </xf>
    <xf numFmtId="0" fontId="19" fillId="8" borderId="31" xfId="0" applyFont="1" applyFill="1" applyBorder="1" applyAlignment="1">
      <alignment horizontal="right" indent="1"/>
    </xf>
    <xf numFmtId="0" fontId="21" fillId="0" borderId="31" xfId="0" applyFont="1" applyBorder="1" applyAlignment="1">
      <alignment horizontal="right" indent="1"/>
    </xf>
    <xf numFmtId="0" fontId="21" fillId="0" borderId="32" xfId="0" applyFont="1" applyBorder="1" applyAlignment="1">
      <alignment horizontal="right" indent="1"/>
    </xf>
    <xf numFmtId="167" fontId="21" fillId="0" borderId="23" xfId="0" applyNumberFormat="1" applyFont="1" applyFill="1" applyBorder="1" applyAlignment="1">
      <alignment horizontal="center" vertical="center"/>
    </xf>
    <xf numFmtId="0" fontId="21" fillId="0" borderId="34" xfId="0" applyFont="1" applyBorder="1" applyAlignment="1">
      <alignment horizontal="right" vertical="center" indent="2"/>
    </xf>
    <xf numFmtId="0" fontId="19" fillId="8" borderId="13" xfId="0" applyFont="1" applyFill="1" applyBorder="1" applyAlignment="1">
      <alignment horizontal="right" vertical="center" indent="2"/>
    </xf>
    <xf numFmtId="0" fontId="21" fillId="0" borderId="22" xfId="0" applyFont="1" applyBorder="1" applyAlignment="1">
      <alignment horizontal="center"/>
    </xf>
    <xf numFmtId="0" fontId="21" fillId="0" borderId="60" xfId="0" applyFont="1" applyBorder="1" applyAlignment="1">
      <alignment horizontal="center"/>
    </xf>
    <xf numFmtId="1" fontId="19" fillId="8" borderId="5" xfId="0" applyNumberFormat="1" applyFont="1" applyFill="1" applyBorder="1" applyAlignment="1">
      <alignment horizontal="center" vertical="center"/>
    </xf>
    <xf numFmtId="1" fontId="0" fillId="0" borderId="45" xfId="0" applyNumberFormat="1" applyBorder="1" applyAlignment="1">
      <alignment horizontal="center" vertical="center"/>
    </xf>
    <xf numFmtId="1" fontId="0" fillId="0" borderId="30" xfId="0" applyNumberFormat="1" applyBorder="1" applyAlignment="1">
      <alignment horizontal="center" vertical="center"/>
    </xf>
    <xf numFmtId="0" fontId="19" fillId="8" borderId="35" xfId="0" applyFont="1" applyFill="1" applyBorder="1" applyAlignment="1">
      <alignment horizontal="left" indent="1"/>
    </xf>
    <xf numFmtId="0" fontId="19" fillId="8" borderId="0" xfId="0" applyFont="1" applyFill="1" applyBorder="1" applyAlignment="1">
      <alignment vertical="center"/>
    </xf>
    <xf numFmtId="0" fontId="19" fillId="8" borderId="54" xfId="0" applyFont="1" applyFill="1" applyBorder="1" applyAlignment="1">
      <alignment vertical="center"/>
    </xf>
    <xf numFmtId="0" fontId="19" fillId="0" borderId="54" xfId="0" applyFont="1" applyFill="1" applyBorder="1" applyAlignment="1">
      <alignment vertical="center"/>
    </xf>
    <xf numFmtId="0" fontId="19" fillId="8" borderId="62" xfId="0" applyFont="1" applyFill="1" applyBorder="1" applyAlignment="1">
      <alignment vertical="center"/>
    </xf>
    <xf numFmtId="0" fontId="19" fillId="8" borderId="58" xfId="0" applyFont="1" applyFill="1" applyBorder="1" applyAlignment="1">
      <alignment vertical="center"/>
    </xf>
    <xf numFmtId="0" fontId="19" fillId="8" borderId="75" xfId="0" applyFont="1" applyFill="1" applyBorder="1" applyAlignment="1">
      <alignment vertical="center"/>
    </xf>
    <xf numFmtId="0" fontId="20" fillId="8" borderId="75" xfId="0" applyFont="1" applyFill="1" applyBorder="1" applyAlignment="1">
      <alignment vertical="center"/>
    </xf>
    <xf numFmtId="0" fontId="21" fillId="0" borderId="63" xfId="0" applyFont="1" applyBorder="1" applyAlignment="1">
      <alignment horizontal="right" indent="1"/>
    </xf>
    <xf numFmtId="0" fontId="21" fillId="0" borderId="62" xfId="0" applyFont="1" applyBorder="1" applyAlignment="1">
      <alignment horizontal="right" indent="1"/>
    </xf>
    <xf numFmtId="0" fontId="19" fillId="0" borderId="1" xfId="0" applyFont="1" applyBorder="1" applyAlignment="1">
      <alignment horizontal="right" indent="1"/>
    </xf>
    <xf numFmtId="1" fontId="19" fillId="0" borderId="5" xfId="0" applyNumberFormat="1" applyFont="1" applyFill="1" applyBorder="1" applyAlignment="1">
      <alignment horizontal="center" vertical="center"/>
    </xf>
    <xf numFmtId="2" fontId="19" fillId="5" borderId="39" xfId="0" applyNumberFormat="1" applyFont="1" applyFill="1" applyBorder="1" applyAlignment="1">
      <alignment horizontal="center" vertical="center"/>
    </xf>
    <xf numFmtId="2" fontId="19" fillId="5" borderId="55" xfId="0" applyNumberFormat="1" applyFont="1" applyFill="1" applyBorder="1" applyAlignment="1">
      <alignment horizontal="center" vertical="center"/>
    </xf>
    <xf numFmtId="2" fontId="19" fillId="6" borderId="56" xfId="0" applyNumberFormat="1" applyFont="1" applyFill="1" applyBorder="1" applyAlignment="1">
      <alignment horizontal="center" vertical="center"/>
    </xf>
    <xf numFmtId="2" fontId="19" fillId="6" borderId="21" xfId="0" applyNumberFormat="1" applyFont="1" applyFill="1" applyBorder="1" applyAlignment="1">
      <alignment horizontal="center" vertical="center"/>
    </xf>
    <xf numFmtId="2" fontId="20" fillId="6" borderId="39" xfId="0" applyNumberFormat="1" applyFont="1" applyFill="1" applyBorder="1" applyAlignment="1">
      <alignment horizontal="center" vertical="center"/>
    </xf>
    <xf numFmtId="2" fontId="20" fillId="6" borderId="55" xfId="0" applyNumberFormat="1" applyFont="1" applyFill="1" applyBorder="1" applyAlignment="1">
      <alignment horizontal="center" vertical="center"/>
    </xf>
    <xf numFmtId="0" fontId="0" fillId="47" borderId="10" xfId="0" applyFill="1" applyBorder="1" applyAlignment="1">
      <alignment horizontal="center" vertical="center"/>
    </xf>
    <xf numFmtId="0" fontId="46" fillId="47" borderId="10" xfId="0" applyFont="1" applyFill="1" applyBorder="1" applyAlignment="1">
      <alignment horizontal="center" vertical="center"/>
    </xf>
    <xf numFmtId="0" fontId="0" fillId="47" borderId="10" xfId="0" applyFill="1" applyBorder="1" applyAlignment="1">
      <alignment horizontal="right" indent="1"/>
    </xf>
    <xf numFmtId="1" fontId="78" fillId="0" borderId="45" xfId="0" applyNumberFormat="1" applyFont="1" applyBorder="1" applyAlignment="1">
      <alignment horizontal="center"/>
    </xf>
    <xf numFmtId="1" fontId="78" fillId="7" borderId="45" xfId="0" applyNumberFormat="1" applyFont="1" applyFill="1" applyBorder="1" applyAlignment="1">
      <alignment horizontal="center"/>
    </xf>
    <xf numFmtId="1" fontId="78" fillId="7" borderId="72" xfId="0" applyNumberFormat="1" applyFont="1" applyFill="1" applyBorder="1" applyAlignment="1">
      <alignment horizontal="center"/>
    </xf>
    <xf numFmtId="1" fontId="78" fillId="5" borderId="72" xfId="0" applyNumberFormat="1" applyFont="1" applyFill="1" applyBorder="1" applyAlignment="1">
      <alignment horizontal="center"/>
    </xf>
    <xf numFmtId="1" fontId="91" fillId="0" borderId="1" xfId="0" applyNumberFormat="1" applyFont="1" applyBorder="1" applyAlignment="1">
      <alignment horizontal="center"/>
    </xf>
    <xf numFmtId="1" fontId="91" fillId="0" borderId="5" xfId="0" applyNumberFormat="1" applyFont="1" applyBorder="1" applyAlignment="1">
      <alignment horizontal="center"/>
    </xf>
    <xf numFmtId="1" fontId="91" fillId="7" borderId="5" xfId="0" applyNumberFormat="1" applyFont="1" applyFill="1" applyBorder="1" applyAlignment="1">
      <alignment horizontal="center"/>
    </xf>
    <xf numFmtId="1" fontId="91" fillId="7" borderId="11" xfId="0" applyNumberFormat="1" applyFont="1" applyFill="1" applyBorder="1" applyAlignment="1">
      <alignment horizontal="center"/>
    </xf>
    <xf numFmtId="1" fontId="91" fillId="5" borderId="11" xfId="0" applyNumberFormat="1" applyFont="1" applyFill="1" applyBorder="1" applyAlignment="1">
      <alignment horizontal="center"/>
    </xf>
    <xf numFmtId="1" fontId="91" fillId="6" borderId="11" xfId="0" applyNumberFormat="1" applyFont="1" applyFill="1" applyBorder="1" applyAlignment="1">
      <alignment horizontal="center"/>
    </xf>
    <xf numFmtId="0" fontId="4" fillId="0" borderId="0" xfId="0" applyFont="1" applyBorder="1" applyAlignment="1">
      <alignment horizontal="center" vertical="center"/>
    </xf>
    <xf numFmtId="1" fontId="7" fillId="8" borderId="37" xfId="0" applyNumberFormat="1" applyFont="1" applyFill="1" applyBorder="1" applyAlignment="1">
      <alignment horizontal="center" vertical="center"/>
    </xf>
    <xf numFmtId="0" fontId="78" fillId="0" borderId="37" xfId="0" applyFont="1" applyBorder="1"/>
    <xf numFmtId="1" fontId="78" fillId="0" borderId="37" xfId="0" applyNumberFormat="1" applyFont="1" applyBorder="1" applyAlignment="1">
      <alignment horizontal="center"/>
    </xf>
    <xf numFmtId="167" fontId="78" fillId="0" borderId="37" xfId="0" applyNumberFormat="1" applyFont="1" applyBorder="1" applyAlignment="1">
      <alignment horizontal="center"/>
    </xf>
    <xf numFmtId="1" fontId="78" fillId="0" borderId="65" xfId="0" applyNumberFormat="1" applyFont="1" applyBorder="1" applyAlignment="1">
      <alignment horizontal="center"/>
    </xf>
    <xf numFmtId="1" fontId="91" fillId="0" borderId="67" xfId="0" applyNumberFormat="1" applyFont="1" applyBorder="1" applyAlignment="1">
      <alignment horizontal="center"/>
    </xf>
    <xf numFmtId="0" fontId="78" fillId="0" borderId="29" xfId="0" applyFont="1" applyBorder="1"/>
    <xf numFmtId="1" fontId="78" fillId="0" borderId="29" xfId="0" applyNumberFormat="1" applyFont="1" applyBorder="1" applyAlignment="1">
      <alignment horizontal="center"/>
    </xf>
    <xf numFmtId="167" fontId="78" fillId="0" borderId="29" xfId="0" applyNumberFormat="1" applyFont="1" applyBorder="1" applyAlignment="1">
      <alignment horizontal="center"/>
    </xf>
    <xf numFmtId="1" fontId="78" fillId="8" borderId="29" xfId="0" applyNumberFormat="1" applyFont="1" applyFill="1" applyBorder="1" applyAlignment="1">
      <alignment horizontal="center"/>
    </xf>
    <xf numFmtId="1" fontId="78" fillId="0" borderId="36" xfId="0" applyNumberFormat="1" applyFont="1" applyBorder="1" applyAlignment="1">
      <alignment horizontal="center"/>
    </xf>
    <xf numFmtId="1" fontId="91" fillId="0" borderId="4" xfId="0" applyNumberFormat="1" applyFont="1" applyBorder="1" applyAlignment="1">
      <alignment horizontal="center"/>
    </xf>
    <xf numFmtId="0" fontId="4" fillId="5" borderId="76" xfId="0" applyFont="1" applyFill="1" applyBorder="1" applyAlignment="1">
      <alignment horizontal="center" vertical="center"/>
    </xf>
    <xf numFmtId="0" fontId="4" fillId="5" borderId="54" xfId="0" applyFont="1" applyFill="1" applyBorder="1" applyAlignment="1">
      <alignment horizontal="center" vertical="center"/>
    </xf>
    <xf numFmtId="0" fontId="78" fillId="5" borderId="31" xfId="0" applyFont="1" applyFill="1" applyBorder="1"/>
    <xf numFmtId="1" fontId="78" fillId="5" borderId="31" xfId="0" applyNumberFormat="1" applyFont="1" applyFill="1" applyBorder="1" applyAlignment="1">
      <alignment horizontal="center"/>
    </xf>
    <xf numFmtId="167" fontId="78" fillId="5" borderId="31" xfId="0" applyNumberFormat="1" applyFont="1" applyFill="1" applyBorder="1" applyAlignment="1">
      <alignment horizontal="center"/>
    </xf>
    <xf numFmtId="1" fontId="78" fillId="5" borderId="62" xfId="0" applyNumberFormat="1" applyFont="1" applyFill="1" applyBorder="1" applyAlignment="1">
      <alignment horizontal="center"/>
    </xf>
    <xf numFmtId="1" fontId="91" fillId="5" borderId="1" xfId="0" applyNumberFormat="1" applyFont="1" applyFill="1" applyBorder="1" applyAlignment="1">
      <alignment horizontal="center"/>
    </xf>
    <xf numFmtId="0" fontId="78" fillId="8" borderId="37" xfId="0" applyFont="1" applyFill="1" applyBorder="1"/>
    <xf numFmtId="0" fontId="4" fillId="6" borderId="76" xfId="0" applyFont="1" applyFill="1" applyBorder="1" applyAlignment="1">
      <alignment horizontal="center" vertical="center"/>
    </xf>
    <xf numFmtId="0" fontId="4" fillId="6" borderId="54" xfId="0" applyFont="1" applyFill="1" applyBorder="1" applyAlignment="1">
      <alignment horizontal="center" vertical="center"/>
    </xf>
    <xf numFmtId="1" fontId="7" fillId="6" borderId="17" xfId="0" applyNumberFormat="1" applyFont="1" applyFill="1" applyBorder="1" applyAlignment="1">
      <alignment horizontal="center" vertical="center"/>
    </xf>
    <xf numFmtId="1" fontId="78" fillId="6" borderId="31" xfId="0" applyNumberFormat="1" applyFont="1" applyFill="1" applyBorder="1" applyAlignment="1">
      <alignment horizontal="center"/>
    </xf>
    <xf numFmtId="1" fontId="78" fillId="6" borderId="17" xfId="0" applyNumberFormat="1" applyFont="1" applyFill="1" applyBorder="1" applyAlignment="1">
      <alignment horizontal="center"/>
    </xf>
    <xf numFmtId="167" fontId="78" fillId="6" borderId="31" xfId="0" applyNumberFormat="1" applyFont="1" applyFill="1" applyBorder="1" applyAlignment="1">
      <alignment horizontal="center"/>
    </xf>
    <xf numFmtId="167" fontId="78" fillId="6" borderId="17" xfId="0" applyNumberFormat="1" applyFont="1" applyFill="1" applyBorder="1" applyAlignment="1">
      <alignment horizontal="center"/>
    </xf>
    <xf numFmtId="1" fontId="78" fillId="6" borderId="62" xfId="0" applyNumberFormat="1" applyFont="1" applyFill="1" applyBorder="1" applyAlignment="1">
      <alignment horizontal="center"/>
    </xf>
    <xf numFmtId="1" fontId="78" fillId="6" borderId="72" xfId="0" applyNumberFormat="1" applyFont="1" applyFill="1" applyBorder="1" applyAlignment="1">
      <alignment horizontal="center"/>
    </xf>
    <xf numFmtId="1" fontId="91" fillId="6" borderId="1" xfId="0" applyNumberFormat="1" applyFont="1" applyFill="1" applyBorder="1" applyAlignment="1">
      <alignment horizontal="center"/>
    </xf>
    <xf numFmtId="0" fontId="78" fillId="6" borderId="31" xfId="0" applyFont="1" applyFill="1" applyBorder="1"/>
    <xf numFmtId="0" fontId="78" fillId="6" borderId="17" xfId="0" applyFont="1" applyFill="1" applyBorder="1"/>
    <xf numFmtId="0" fontId="115" fillId="0" borderId="0" xfId="0" applyFont="1" applyAlignment="1">
      <alignment wrapText="1"/>
    </xf>
    <xf numFmtId="1" fontId="19" fillId="45" borderId="55" xfId="0" applyNumberFormat="1" applyFont="1" applyFill="1" applyBorder="1" applyAlignment="1">
      <alignment horizontal="center" vertical="center"/>
    </xf>
    <xf numFmtId="167" fontId="0" fillId="5" borderId="18" xfId="0" applyNumberFormat="1" applyFill="1" applyBorder="1" applyAlignment="1">
      <alignment horizontal="center" vertical="center"/>
    </xf>
    <xf numFmtId="167" fontId="0" fillId="8" borderId="12" xfId="0" applyNumberFormat="1" applyFill="1" applyBorder="1" applyAlignment="1">
      <alignment horizontal="center" vertical="center"/>
    </xf>
    <xf numFmtId="167" fontId="0" fillId="5" borderId="12" xfId="0" applyNumberFormat="1" applyFill="1" applyBorder="1" applyAlignment="1">
      <alignment horizontal="center" vertical="center"/>
    </xf>
    <xf numFmtId="167" fontId="0" fillId="5" borderId="20" xfId="0" applyNumberFormat="1" applyFill="1" applyBorder="1" applyAlignment="1">
      <alignment horizontal="center" vertical="center"/>
    </xf>
    <xf numFmtId="2" fontId="0" fillId="6" borderId="63" xfId="0" applyNumberFormat="1" applyFill="1" applyBorder="1" applyAlignment="1">
      <alignment horizontal="center" vertical="center"/>
    </xf>
    <xf numFmtId="2" fontId="0" fillId="6" borderId="18" xfId="0" applyNumberFormat="1" applyFill="1" applyBorder="1" applyAlignment="1">
      <alignment horizontal="center" vertical="center"/>
    </xf>
    <xf numFmtId="1" fontId="0" fillId="6" borderId="12" xfId="0" applyNumberFormat="1" applyFill="1" applyBorder="1" applyAlignment="1">
      <alignment horizontal="center" vertical="center"/>
    </xf>
    <xf numFmtId="167" fontId="0" fillId="6" borderId="12" xfId="0" applyNumberFormat="1" applyFill="1" applyBorder="1" applyAlignment="1">
      <alignment horizontal="center" vertical="center"/>
    </xf>
    <xf numFmtId="167" fontId="0" fillId="6" borderId="32" xfId="0" applyNumberFormat="1" applyFill="1" applyBorder="1" applyAlignment="1">
      <alignment horizontal="center" vertical="center"/>
    </xf>
    <xf numFmtId="167" fontId="0" fillId="6" borderId="20" xfId="0" applyNumberFormat="1" applyFill="1" applyBorder="1" applyAlignment="1">
      <alignment horizontal="center" vertical="center"/>
    </xf>
    <xf numFmtId="167" fontId="0" fillId="6" borderId="63" xfId="0" applyNumberFormat="1" applyFill="1" applyBorder="1" applyAlignment="1">
      <alignment horizontal="center" vertical="center"/>
    </xf>
    <xf numFmtId="167" fontId="0" fillId="6" borderId="18" xfId="0" applyNumberFormat="1" applyFill="1" applyBorder="1" applyAlignment="1">
      <alignment horizontal="center" vertical="center"/>
    </xf>
    <xf numFmtId="1" fontId="0" fillId="6" borderId="63" xfId="0" applyNumberFormat="1" applyFill="1" applyBorder="1" applyAlignment="1">
      <alignment horizontal="center" vertical="center"/>
    </xf>
    <xf numFmtId="1" fontId="0" fillId="6" borderId="18" xfId="0" applyNumberFormat="1" applyFill="1" applyBorder="1" applyAlignment="1">
      <alignment horizontal="center" vertical="center"/>
    </xf>
    <xf numFmtId="169" fontId="0" fillId="6" borderId="12" xfId="0" applyNumberFormat="1" applyFill="1" applyBorder="1" applyAlignment="1">
      <alignment horizontal="center" vertical="center"/>
    </xf>
    <xf numFmtId="2" fontId="0" fillId="6" borderId="12" xfId="0" applyNumberFormat="1" applyFill="1" applyBorder="1" applyAlignment="1">
      <alignment horizontal="center" vertical="center"/>
    </xf>
    <xf numFmtId="1" fontId="0" fillId="6" borderId="20" xfId="0" applyNumberFormat="1" applyFill="1" applyBorder="1" applyAlignment="1">
      <alignment horizontal="center" vertical="center"/>
    </xf>
    <xf numFmtId="1" fontId="0" fillId="6" borderId="1" xfId="0" applyNumberFormat="1" applyFill="1" applyBorder="1" applyAlignment="1">
      <alignment horizontal="center" vertical="center"/>
    </xf>
    <xf numFmtId="1" fontId="0" fillId="6" borderId="13" xfId="0" applyNumberFormat="1" applyFill="1" applyBorder="1" applyAlignment="1">
      <alignment horizontal="center" vertical="center"/>
    </xf>
    <xf numFmtId="167" fontId="0" fillId="8" borderId="3" xfId="0" applyNumberFormat="1" applyFill="1" applyBorder="1" applyAlignment="1">
      <alignment horizontal="center" vertical="center"/>
    </xf>
    <xf numFmtId="1" fontId="0" fillId="6" borderId="9" xfId="0" applyNumberFormat="1" applyFill="1" applyBorder="1" applyAlignment="1">
      <alignment horizontal="center" vertical="center"/>
    </xf>
    <xf numFmtId="2" fontId="0" fillId="6" borderId="32" xfId="0" applyNumberFormat="1" applyFill="1" applyBorder="1" applyAlignment="1">
      <alignment horizontal="center" vertical="center"/>
    </xf>
    <xf numFmtId="2" fontId="0" fillId="6" borderId="20" xfId="0" applyNumberFormat="1" applyFill="1" applyBorder="1" applyAlignment="1">
      <alignment horizontal="center" vertical="center"/>
    </xf>
    <xf numFmtId="168" fontId="22" fillId="0" borderId="31" xfId="0" applyNumberFormat="1" applyFont="1" applyBorder="1" applyAlignment="1">
      <alignment horizontal="left" indent="1"/>
    </xf>
    <xf numFmtId="1" fontId="19" fillId="6" borderId="13" xfId="0" applyNumberFormat="1" applyFont="1" applyFill="1" applyBorder="1" applyAlignment="1">
      <alignment horizontal="center" vertical="center"/>
    </xf>
    <xf numFmtId="1" fontId="19" fillId="6" borderId="21" xfId="0" applyNumberFormat="1" applyFont="1" applyFill="1" applyBorder="1" applyAlignment="1">
      <alignment horizontal="center" vertical="center"/>
    </xf>
    <xf numFmtId="1" fontId="20" fillId="6" borderId="13" xfId="0" applyNumberFormat="1" applyFont="1" applyFill="1" applyBorder="1" applyAlignment="1">
      <alignment horizontal="center" vertical="center"/>
    </xf>
    <xf numFmtId="1" fontId="4" fillId="0" borderId="31" xfId="0" applyNumberFormat="1" applyFont="1" applyBorder="1" applyAlignment="1">
      <alignment horizontal="center" vertical="center"/>
    </xf>
    <xf numFmtId="1" fontId="4" fillId="5" borderId="45" xfId="0" applyNumberFormat="1" applyFont="1" applyFill="1" applyBorder="1" applyAlignment="1">
      <alignment horizontal="center" vertical="center"/>
    </xf>
    <xf numFmtId="1" fontId="4" fillId="6" borderId="45" xfId="0" applyNumberFormat="1" applyFont="1" applyFill="1" applyBorder="1" applyAlignment="1">
      <alignment horizontal="center" vertical="center"/>
    </xf>
    <xf numFmtId="2" fontId="19" fillId="5" borderId="10" xfId="0" applyNumberFormat="1" applyFont="1" applyFill="1" applyBorder="1" applyAlignment="1">
      <alignment horizontal="center" vertical="center"/>
    </xf>
    <xf numFmtId="2" fontId="19" fillId="44" borderId="10" xfId="0" applyNumberFormat="1" applyFont="1" applyFill="1" applyBorder="1" applyAlignment="1">
      <alignment horizontal="center" vertical="center"/>
    </xf>
    <xf numFmtId="0" fontId="20" fillId="0" borderId="0" xfId="0" applyFont="1"/>
    <xf numFmtId="0" fontId="20" fillId="0" borderId="0" xfId="0" applyFont="1" applyAlignment="1">
      <alignment horizontal="center"/>
    </xf>
    <xf numFmtId="0" fontId="20" fillId="0" borderId="0" xfId="0" applyFont="1" applyAlignment="1">
      <alignment horizontal="center" vertical="center"/>
    </xf>
    <xf numFmtId="0" fontId="20" fillId="8" borderId="0" xfId="0" applyFont="1" applyFill="1" applyAlignment="1">
      <alignment horizontal="center" vertical="center"/>
    </xf>
    <xf numFmtId="0" fontId="20" fillId="0" borderId="0" xfId="0" applyFont="1" applyFill="1" applyAlignment="1">
      <alignment horizontal="center" vertical="center"/>
    </xf>
    <xf numFmtId="0" fontId="7" fillId="5" borderId="34" xfId="0" applyFont="1" applyFill="1" applyBorder="1" applyAlignment="1">
      <alignment horizontal="center" vertical="center" wrapText="1"/>
    </xf>
    <xf numFmtId="0" fontId="7" fillId="5" borderId="34" xfId="0" applyFont="1" applyFill="1" applyBorder="1" applyAlignment="1">
      <alignment horizontal="left" vertical="center" wrapText="1"/>
    </xf>
    <xf numFmtId="0" fontId="7" fillId="5" borderId="13" xfId="0" applyFont="1" applyFill="1" applyBorder="1" applyAlignment="1">
      <alignment horizontal="left" vertical="center" wrapText="1"/>
    </xf>
    <xf numFmtId="0" fontId="7" fillId="8" borderId="31" xfId="0" applyFont="1" applyFill="1" applyBorder="1" applyAlignment="1">
      <alignment horizontal="right" vertical="center" indent="1"/>
    </xf>
    <xf numFmtId="1" fontId="4" fillId="54" borderId="10" xfId="0" applyNumberFormat="1" applyFont="1" applyFill="1" applyBorder="1" applyAlignment="1">
      <alignment horizontal="center" vertical="center"/>
    </xf>
    <xf numFmtId="1" fontId="4" fillId="5" borderId="10" xfId="0" applyNumberFormat="1" applyFont="1" applyFill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1" fontId="7" fillId="8" borderId="10" xfId="0" applyNumberFormat="1" applyFont="1" applyFill="1" applyBorder="1" applyAlignment="1">
      <alignment horizontal="center" vertical="center"/>
    </xf>
    <xf numFmtId="1" fontId="7" fillId="5" borderId="10" xfId="0" applyNumberFormat="1" applyFont="1" applyFill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1" fontId="7" fillId="7" borderId="10" xfId="0" applyNumberFormat="1" applyFont="1" applyFill="1" applyBorder="1" applyAlignment="1">
      <alignment horizontal="center" vertical="center"/>
    </xf>
    <xf numFmtId="1" fontId="4" fillId="7" borderId="10" xfId="0" applyNumberFormat="1" applyFont="1" applyFill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/>
    </xf>
    <xf numFmtId="0" fontId="0" fillId="0" borderId="45" xfId="0" applyBorder="1"/>
    <xf numFmtId="0" fontId="0" fillId="54" borderId="45" xfId="0" applyFill="1" applyBorder="1"/>
    <xf numFmtId="0" fontId="146" fillId="8" borderId="30" xfId="0" applyFont="1" applyFill="1" applyBorder="1"/>
    <xf numFmtId="0" fontId="78" fillId="8" borderId="30" xfId="0" applyFont="1" applyFill="1" applyBorder="1"/>
    <xf numFmtId="0" fontId="46" fillId="8" borderId="30" xfId="0" applyFont="1" applyFill="1" applyBorder="1"/>
    <xf numFmtId="0" fontId="46" fillId="5" borderId="30" xfId="0" applyFont="1" applyFill="1" applyBorder="1"/>
    <xf numFmtId="0" fontId="8" fillId="8" borderId="63" xfId="0" applyFont="1" applyFill="1" applyBorder="1" applyAlignment="1">
      <alignment horizontal="left" vertical="center"/>
    </xf>
    <xf numFmtId="0" fontId="0" fillId="54" borderId="41" xfId="0" applyFill="1" applyBorder="1"/>
    <xf numFmtId="0" fontId="0" fillId="54" borderId="42" xfId="0" applyFill="1" applyBorder="1"/>
    <xf numFmtId="0" fontId="0" fillId="54" borderId="17" xfId="0" applyFill="1" applyBorder="1"/>
    <xf numFmtId="0" fontId="8" fillId="0" borderId="31" xfId="0" applyFont="1" applyBorder="1" applyAlignment="1">
      <alignment horizontal="left" vertical="center"/>
    </xf>
    <xf numFmtId="1" fontId="7" fillId="54" borderId="17" xfId="0" applyNumberFormat="1" applyFont="1" applyFill="1" applyBorder="1" applyAlignment="1">
      <alignment horizontal="center" vertical="center"/>
    </xf>
    <xf numFmtId="164" fontId="145" fillId="8" borderId="31" xfId="0" quotePrefix="1" applyNumberFormat="1" applyFont="1" applyFill="1" applyBorder="1" applyAlignment="1">
      <alignment horizontal="right" vertical="center"/>
    </xf>
    <xf numFmtId="0" fontId="41" fillId="8" borderId="31" xfId="0" applyFont="1" applyFill="1" applyBorder="1" applyAlignment="1">
      <alignment horizontal="left" vertical="center"/>
    </xf>
    <xf numFmtId="0" fontId="41" fillId="8" borderId="31" xfId="0" applyFont="1" applyFill="1" applyBorder="1" applyAlignment="1">
      <alignment vertical="center"/>
    </xf>
    <xf numFmtId="0" fontId="145" fillId="0" borderId="31" xfId="0" applyFont="1" applyBorder="1" applyAlignment="1">
      <alignment horizontal="right" vertical="center"/>
    </xf>
    <xf numFmtId="0" fontId="8" fillId="8" borderId="31" xfId="0" applyFont="1" applyFill="1" applyBorder="1" applyAlignment="1">
      <alignment horizontal="right" vertical="center"/>
    </xf>
    <xf numFmtId="1" fontId="4" fillId="54" borderId="17" xfId="0" applyNumberFormat="1" applyFont="1" applyFill="1" applyBorder="1" applyAlignment="1">
      <alignment horizontal="center" vertical="center"/>
    </xf>
    <xf numFmtId="0" fontId="5" fillId="54" borderId="17" xfId="0" applyFont="1" applyFill="1" applyBorder="1" applyAlignment="1">
      <alignment vertical="center"/>
    </xf>
    <xf numFmtId="0" fontId="145" fillId="8" borderId="31" xfId="0" applyFont="1" applyFill="1" applyBorder="1" applyAlignment="1">
      <alignment horizontal="right" vertical="center"/>
    </xf>
    <xf numFmtId="0" fontId="8" fillId="8" borderId="32" xfId="0" applyFont="1" applyFill="1" applyBorder="1" applyAlignment="1">
      <alignment horizontal="left" vertical="center"/>
    </xf>
    <xf numFmtId="0" fontId="4" fillId="8" borderId="23" xfId="0" applyFont="1" applyFill="1" applyBorder="1" applyAlignment="1">
      <alignment horizontal="center" vertical="center"/>
    </xf>
    <xf numFmtId="1" fontId="4" fillId="8" borderId="23" xfId="0" applyNumberFormat="1" applyFont="1" applyFill="1" applyBorder="1" applyAlignment="1">
      <alignment horizontal="center" vertical="center"/>
    </xf>
    <xf numFmtId="1" fontId="4" fillId="7" borderId="23" xfId="0" applyNumberFormat="1" applyFont="1" applyFill="1" applyBorder="1" applyAlignment="1">
      <alignment horizontal="center" vertical="center"/>
    </xf>
    <xf numFmtId="1" fontId="4" fillId="5" borderId="23" xfId="0" applyNumberFormat="1" applyFont="1" applyFill="1" applyBorder="1" applyAlignment="1">
      <alignment horizontal="center" vertical="center"/>
    </xf>
    <xf numFmtId="1" fontId="4" fillId="54" borderId="23" xfId="0" applyNumberFormat="1" applyFont="1" applyFill="1" applyBorder="1" applyAlignment="1">
      <alignment horizontal="center" vertical="center"/>
    </xf>
    <xf numFmtId="1" fontId="4" fillId="54" borderId="33" xfId="0" applyNumberFormat="1" applyFont="1" applyFill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1" fontId="21" fillId="7" borderId="31" xfId="0" applyNumberFormat="1" applyFont="1" applyFill="1" applyBorder="1" applyAlignment="1">
      <alignment horizontal="center" vertical="center"/>
    </xf>
    <xf numFmtId="1" fontId="21" fillId="6" borderId="10" xfId="0" applyNumberFormat="1" applyFont="1" applyFill="1" applyBorder="1" applyAlignment="1">
      <alignment horizontal="center" vertical="center"/>
    </xf>
    <xf numFmtId="1" fontId="21" fillId="8" borderId="29" xfId="0" applyNumberFormat="1" applyFont="1" applyFill="1" applyBorder="1" applyAlignment="1">
      <alignment horizontal="center" vertical="center"/>
    </xf>
    <xf numFmtId="1" fontId="21" fillId="0" borderId="31" xfId="0" applyNumberFormat="1" applyFont="1" applyBorder="1" applyAlignment="1">
      <alignment horizontal="center" vertical="center"/>
    </xf>
    <xf numFmtId="1" fontId="21" fillId="5" borderId="31" xfId="0" applyNumberFormat="1" applyFont="1" applyFill="1" applyBorder="1" applyAlignment="1">
      <alignment horizontal="center" vertical="center"/>
    </xf>
    <xf numFmtId="0" fontId="0" fillId="0" borderId="0" xfId="0"/>
    <xf numFmtId="167" fontId="21" fillId="0" borderId="74" xfId="0" applyNumberFormat="1" applyFont="1" applyBorder="1" applyAlignment="1">
      <alignment horizontal="center" vertical="center"/>
    </xf>
    <xf numFmtId="167" fontId="21" fillId="7" borderId="46" xfId="0" applyNumberFormat="1" applyFont="1" applyFill="1" applyBorder="1" applyAlignment="1">
      <alignment horizontal="center" vertical="center"/>
    </xf>
    <xf numFmtId="1" fontId="21" fillId="5" borderId="34" xfId="0" applyNumberFormat="1" applyFont="1" applyFill="1" applyBorder="1" applyAlignment="1">
      <alignment horizontal="center" vertical="center"/>
    </xf>
    <xf numFmtId="167" fontId="21" fillId="7" borderId="74" xfId="0" applyNumberFormat="1" applyFont="1" applyFill="1" applyBorder="1" applyAlignment="1">
      <alignment horizontal="center" vertical="center"/>
    </xf>
    <xf numFmtId="167" fontId="21" fillId="5" borderId="74" xfId="0" applyNumberFormat="1" applyFont="1" applyFill="1" applyBorder="1" applyAlignment="1">
      <alignment horizontal="center" vertical="center"/>
    </xf>
    <xf numFmtId="1" fontId="21" fillId="8" borderId="6" xfId="0" applyNumberFormat="1" applyFont="1" applyFill="1" applyBorder="1" applyAlignment="1">
      <alignment horizontal="center" vertical="center"/>
    </xf>
    <xf numFmtId="1" fontId="0" fillId="0" borderId="39" xfId="0" applyNumberFormat="1" applyFont="1" applyBorder="1"/>
    <xf numFmtId="167" fontId="0" fillId="0" borderId="0" xfId="0" applyNumberFormat="1" applyFont="1" applyBorder="1"/>
    <xf numFmtId="169" fontId="21" fillId="6" borderId="27" xfId="0" applyNumberFormat="1" applyFont="1" applyFill="1" applyBorder="1" applyAlignment="1">
      <alignment horizontal="center" vertical="center"/>
    </xf>
    <xf numFmtId="2" fontId="19" fillId="5" borderId="41" xfId="0" applyNumberFormat="1" applyFont="1" applyFill="1" applyBorder="1" applyAlignment="1">
      <alignment horizontal="center" vertical="center"/>
    </xf>
    <xf numFmtId="2" fontId="19" fillId="5" borderId="23" xfId="0" applyNumberFormat="1" applyFont="1" applyFill="1" applyBorder="1" applyAlignment="1">
      <alignment horizontal="center" vertical="center"/>
    </xf>
    <xf numFmtId="2" fontId="19" fillId="5" borderId="14" xfId="0" applyNumberFormat="1" applyFont="1" applyFill="1" applyBorder="1" applyAlignment="1">
      <alignment horizontal="center" vertical="center"/>
    </xf>
    <xf numFmtId="0" fontId="0" fillId="0" borderId="0" xfId="0"/>
    <xf numFmtId="1" fontId="21" fillId="5" borderId="10" xfId="0" applyNumberFormat="1" applyFont="1" applyFill="1" applyBorder="1" applyAlignment="1">
      <alignment horizontal="center" vertical="center"/>
    </xf>
    <xf numFmtId="1" fontId="7" fillId="8" borderId="10" xfId="0" applyNumberFormat="1" applyFont="1" applyFill="1" applyBorder="1" applyAlignment="1">
      <alignment horizontal="center" vertical="center"/>
    </xf>
    <xf numFmtId="9" fontId="85" fillId="6" borderId="10" xfId="22" applyNumberFormat="1" applyFont="1" applyFill="1" applyBorder="1" applyAlignment="1">
      <alignment horizontal="center" vertical="center"/>
    </xf>
    <xf numFmtId="1" fontId="85" fillId="6" borderId="10" xfId="0" applyNumberFormat="1" applyFont="1" applyFill="1" applyBorder="1" applyAlignment="1">
      <alignment horizontal="center" vertical="center"/>
    </xf>
    <xf numFmtId="1" fontId="7" fillId="8" borderId="10" xfId="0" applyNumberFormat="1" applyFont="1" applyFill="1" applyBorder="1" applyAlignment="1">
      <alignment horizontal="center" vertical="center"/>
    </xf>
    <xf numFmtId="1" fontId="21" fillId="6" borderId="10" xfId="0" applyNumberFormat="1" applyFont="1" applyFill="1" applyBorder="1" applyAlignment="1">
      <alignment horizontal="center" vertical="center"/>
    </xf>
    <xf numFmtId="1" fontId="7" fillId="54" borderId="10" xfId="0" applyNumberFormat="1" applyFont="1" applyFill="1" applyBorder="1" applyAlignment="1">
      <alignment horizontal="center" vertical="center"/>
    </xf>
    <xf numFmtId="1" fontId="4" fillId="5" borderId="10" xfId="0" applyNumberFormat="1" applyFont="1" applyFill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1" fontId="7" fillId="8" borderId="10" xfId="0" applyNumberFormat="1" applyFont="1" applyFill="1" applyBorder="1" applyAlignment="1">
      <alignment horizontal="center" vertical="center"/>
    </xf>
    <xf numFmtId="1" fontId="7" fillId="5" borderId="10" xfId="0" applyNumberFormat="1" applyFont="1" applyFill="1" applyBorder="1" applyAlignment="1">
      <alignment horizontal="center" vertical="center"/>
    </xf>
    <xf numFmtId="1" fontId="7" fillId="7" borderId="10" xfId="0" applyNumberFormat="1" applyFont="1" applyFill="1" applyBorder="1" applyAlignment="1">
      <alignment horizontal="center" vertical="center"/>
    </xf>
    <xf numFmtId="0" fontId="0" fillId="0" borderId="0" xfId="0"/>
    <xf numFmtId="1" fontId="20" fillId="7" borderId="10" xfId="0" applyNumberFormat="1" applyFont="1" applyFill="1" applyBorder="1" applyAlignment="1">
      <alignment horizontal="center" vertical="center"/>
    </xf>
    <xf numFmtId="0" fontId="20" fillId="8" borderId="31" xfId="0" applyFont="1" applyFill="1" applyBorder="1" applyAlignment="1">
      <alignment horizontal="left" vertical="center" wrapText="1" indent="1"/>
    </xf>
    <xf numFmtId="1" fontId="8" fillId="5" borderId="10" xfId="0" applyNumberFormat="1" applyFont="1" applyFill="1" applyBorder="1" applyAlignment="1">
      <alignment horizontal="center" vertical="center"/>
    </xf>
    <xf numFmtId="0" fontId="46" fillId="53" borderId="0" xfId="0" applyFont="1" applyFill="1"/>
    <xf numFmtId="0" fontId="0" fillId="53" borderId="0" xfId="0" applyFill="1"/>
    <xf numFmtId="1" fontId="8" fillId="8" borderId="10" xfId="0" applyNumberFormat="1" applyFont="1" applyFill="1" applyBorder="1" applyAlignment="1">
      <alignment horizontal="center" vertical="center"/>
    </xf>
    <xf numFmtId="0" fontId="171" fillId="0" borderId="10" xfId="0" applyFont="1" applyBorder="1" applyAlignment="1">
      <alignment vertical="center"/>
    </xf>
    <xf numFmtId="0" fontId="171" fillId="7" borderId="10" xfId="0" applyFont="1" applyFill="1" applyBorder="1" applyAlignment="1">
      <alignment vertical="center"/>
    </xf>
    <xf numFmtId="0" fontId="171" fillId="5" borderId="10" xfId="0" applyFont="1" applyFill="1" applyBorder="1" applyAlignment="1">
      <alignment vertical="center"/>
    </xf>
    <xf numFmtId="0" fontId="171" fillId="54" borderId="10" xfId="0" applyFont="1" applyFill="1" applyBorder="1" applyAlignment="1">
      <alignment vertical="center"/>
    </xf>
    <xf numFmtId="0" fontId="41" fillId="7" borderId="10" xfId="0" applyFont="1" applyFill="1" applyBorder="1" applyAlignment="1">
      <alignment vertical="center"/>
    </xf>
    <xf numFmtId="1" fontId="8" fillId="7" borderId="10" xfId="0" applyNumberFormat="1" applyFont="1" applyFill="1" applyBorder="1" applyAlignment="1">
      <alignment horizontal="center" vertical="center"/>
    </xf>
    <xf numFmtId="0" fontId="41" fillId="5" borderId="10" xfId="0" applyFont="1" applyFill="1" applyBorder="1" applyAlignment="1">
      <alignment vertical="center"/>
    </xf>
    <xf numFmtId="0" fontId="41" fillId="54" borderId="10" xfId="0" applyFont="1" applyFill="1" applyBorder="1" applyAlignment="1">
      <alignment vertical="center"/>
    </xf>
    <xf numFmtId="1" fontId="8" fillId="54" borderId="17" xfId="0" applyNumberFormat="1" applyFont="1" applyFill="1" applyBorder="1" applyAlignment="1">
      <alignment horizontal="center" vertical="center"/>
    </xf>
    <xf numFmtId="1" fontId="15" fillId="0" borderId="36" xfId="0" applyNumberFormat="1" applyFont="1" applyBorder="1" applyAlignment="1">
      <alignment horizontal="center" vertical="center"/>
    </xf>
    <xf numFmtId="1" fontId="15" fillId="8" borderId="31" xfId="0" applyNumberFormat="1" applyFont="1" applyFill="1" applyBorder="1" applyAlignment="1">
      <alignment horizontal="center" vertical="center"/>
    </xf>
    <xf numFmtId="170" fontId="21" fillId="6" borderId="10" xfId="0" applyNumberFormat="1" applyFont="1" applyFill="1" applyBorder="1" applyAlignment="1">
      <alignment horizontal="center" vertical="center"/>
    </xf>
    <xf numFmtId="1" fontId="21" fillId="7" borderId="31" xfId="0" applyNumberFormat="1" applyFont="1" applyFill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0" fontId="22" fillId="0" borderId="4" xfId="0" applyFont="1" applyBorder="1" applyAlignment="1">
      <alignment horizontal="center" vertical="center"/>
    </xf>
    <xf numFmtId="0" fontId="22" fillId="7" borderId="4" xfId="0" applyFont="1" applyFill="1" applyBorder="1" applyAlignment="1">
      <alignment horizontal="center" vertical="center"/>
    </xf>
    <xf numFmtId="0" fontId="0" fillId="0" borderId="0" xfId="0"/>
    <xf numFmtId="0" fontId="22" fillId="7" borderId="4" xfId="0" applyFont="1" applyFill="1" applyBorder="1" applyAlignment="1">
      <alignment horizontal="center" vertical="center"/>
    </xf>
    <xf numFmtId="1" fontId="4" fillId="0" borderId="10" xfId="0" applyNumberFormat="1" applyFont="1" applyBorder="1" applyAlignment="1">
      <alignment horizontal="center" vertical="center"/>
    </xf>
    <xf numFmtId="1" fontId="7" fillId="8" borderId="10" xfId="0" applyNumberFormat="1" applyFont="1" applyFill="1" applyBorder="1" applyAlignment="1">
      <alignment horizontal="center"/>
    </xf>
    <xf numFmtId="1" fontId="7" fillId="8" borderId="10" xfId="0" applyNumberFormat="1" applyFont="1" applyFill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1" fontId="7" fillId="7" borderId="10" xfId="0" applyNumberFormat="1" applyFont="1" applyFill="1" applyBorder="1" applyAlignment="1">
      <alignment horizontal="center" vertical="center"/>
    </xf>
    <xf numFmtId="1" fontId="4" fillId="7" borderId="10" xfId="0" applyNumberFormat="1" applyFont="1" applyFill="1" applyBorder="1" applyAlignment="1">
      <alignment horizontal="center" vertical="center"/>
    </xf>
    <xf numFmtId="0" fontId="0" fillId="0" borderId="0" xfId="0"/>
    <xf numFmtId="0" fontId="4" fillId="7" borderId="10" xfId="0" applyFont="1" applyFill="1" applyBorder="1" applyAlignment="1">
      <alignment horizontal="center" vertical="center"/>
    </xf>
    <xf numFmtId="1" fontId="21" fillId="7" borderId="31" xfId="0" applyNumberFormat="1" applyFont="1" applyFill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1" fontId="21" fillId="0" borderId="31" xfId="0" applyNumberFormat="1" applyFont="1" applyBorder="1" applyAlignment="1">
      <alignment horizontal="center" vertical="center"/>
    </xf>
    <xf numFmtId="0" fontId="22" fillId="7" borderId="1" xfId="0" applyFont="1" applyFill="1" applyBorder="1" applyAlignment="1">
      <alignment horizontal="center" vertical="center"/>
    </xf>
    <xf numFmtId="1" fontId="22" fillId="0" borderId="76" xfId="0" applyNumberFormat="1" applyFont="1" applyBorder="1" applyAlignment="1">
      <alignment horizontal="center" vertical="center"/>
    </xf>
    <xf numFmtId="1" fontId="4" fillId="7" borderId="10" xfId="0" applyNumberFormat="1" applyFont="1" applyFill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7" borderId="10" xfId="0" applyFont="1" applyFill="1" applyBorder="1" applyAlignment="1">
      <alignment horizontal="center" vertical="center"/>
    </xf>
    <xf numFmtId="0" fontId="0" fillId="0" borderId="0" xfId="0"/>
    <xf numFmtId="0" fontId="4" fillId="8" borderId="10" xfId="0" applyFont="1" applyFill="1" applyBorder="1" applyAlignment="1">
      <alignment horizontal="center" vertical="center"/>
    </xf>
    <xf numFmtId="167" fontId="21" fillId="0" borderId="74" xfId="0" applyNumberFormat="1" applyFont="1" applyBorder="1" applyAlignment="1">
      <alignment horizontal="center" vertical="center"/>
    </xf>
    <xf numFmtId="1" fontId="21" fillId="8" borderId="34" xfId="0" applyNumberFormat="1" applyFont="1" applyFill="1" applyBorder="1" applyAlignment="1">
      <alignment horizontal="center" vertical="center"/>
    </xf>
    <xf numFmtId="1" fontId="21" fillId="8" borderId="62" xfId="0" applyNumberFormat="1" applyFont="1" applyFill="1" applyBorder="1" applyAlignment="1">
      <alignment horizontal="center" vertical="center"/>
    </xf>
    <xf numFmtId="167" fontId="21" fillId="7" borderId="46" xfId="0" applyNumberFormat="1" applyFont="1" applyFill="1" applyBorder="1" applyAlignment="1">
      <alignment horizontal="center" vertical="center"/>
    </xf>
    <xf numFmtId="0" fontId="27" fillId="0" borderId="10" xfId="0" applyFont="1" applyBorder="1" applyAlignment="1">
      <alignment horizontal="center" vertical="center"/>
    </xf>
    <xf numFmtId="0" fontId="27" fillId="7" borderId="10" xfId="0" applyFont="1" applyFill="1" applyBorder="1" applyAlignment="1">
      <alignment horizontal="center" vertical="center"/>
    </xf>
    <xf numFmtId="1" fontId="21" fillId="7" borderId="62" xfId="0" applyNumberFormat="1" applyFont="1" applyFill="1" applyBorder="1" applyAlignment="1">
      <alignment horizontal="center" vertical="center"/>
    </xf>
    <xf numFmtId="1" fontId="21" fillId="7" borderId="31" xfId="0" applyNumberFormat="1" applyFont="1" applyFill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1" fontId="22" fillId="7" borderId="74" xfId="0" applyNumberFormat="1" applyFont="1" applyFill="1" applyBorder="1" applyAlignment="1">
      <alignment horizontal="center" vertical="center"/>
    </xf>
    <xf numFmtId="1" fontId="4" fillId="7" borderId="10" xfId="0" applyNumberFormat="1" applyFont="1" applyFill="1" applyBorder="1" applyAlignment="1">
      <alignment horizontal="center" vertical="center"/>
    </xf>
    <xf numFmtId="1" fontId="7" fillId="8" borderId="10" xfId="0" applyNumberFormat="1" applyFont="1" applyFill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0" fillId="0" borderId="0" xfId="0"/>
    <xf numFmtId="0" fontId="4" fillId="8" borderId="10" xfId="0" applyFont="1" applyFill="1" applyBorder="1" applyAlignment="1">
      <alignment horizontal="center" vertical="center"/>
    </xf>
    <xf numFmtId="1" fontId="21" fillId="8" borderId="7" xfId="0" applyNumberFormat="1" applyFont="1" applyFill="1" applyBorder="1" applyAlignment="1">
      <alignment horizontal="center" vertical="center"/>
    </xf>
    <xf numFmtId="1" fontId="21" fillId="7" borderId="74" xfId="0" applyNumberFormat="1" applyFont="1" applyFill="1" applyBorder="1" applyAlignment="1">
      <alignment horizontal="center" vertical="center"/>
    </xf>
    <xf numFmtId="1" fontId="21" fillId="7" borderId="9" xfId="0" applyNumberFormat="1" applyFont="1" applyFill="1" applyBorder="1" applyAlignment="1">
      <alignment horizontal="center" vertical="center"/>
    </xf>
    <xf numFmtId="1" fontId="21" fillId="8" borderId="34" xfId="0" applyNumberFormat="1" applyFont="1" applyFill="1" applyBorder="1" applyAlignment="1">
      <alignment horizontal="center" vertical="center"/>
    </xf>
    <xf numFmtId="1" fontId="21" fillId="8" borderId="62" xfId="0" applyNumberFormat="1" applyFont="1" applyFill="1" applyBorder="1" applyAlignment="1">
      <alignment horizontal="center" vertical="center"/>
    </xf>
    <xf numFmtId="1" fontId="21" fillId="8" borderId="74" xfId="0" quotePrefix="1" applyNumberFormat="1" applyFont="1" applyFill="1" applyBorder="1" applyAlignment="1">
      <alignment horizontal="center" vertical="center"/>
    </xf>
    <xf numFmtId="0" fontId="22" fillId="7" borderId="10" xfId="0" applyFont="1" applyFill="1" applyBorder="1" applyAlignment="1">
      <alignment horizontal="center" vertical="center"/>
    </xf>
    <xf numFmtId="0" fontId="4" fillId="6" borderId="10" xfId="0" applyFont="1" applyFill="1" applyBorder="1" applyAlignment="1">
      <alignment horizontal="center" vertical="center"/>
    </xf>
    <xf numFmtId="1" fontId="21" fillId="5" borderId="10" xfId="0" applyNumberFormat="1" applyFont="1" applyFill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1" fontId="21" fillId="0" borderId="31" xfId="0" applyNumberFormat="1" applyFont="1" applyBorder="1" applyAlignment="1">
      <alignment horizontal="center" vertical="center"/>
    </xf>
    <xf numFmtId="0" fontId="22" fillId="7" borderId="1" xfId="0" applyFont="1" applyFill="1" applyBorder="1" applyAlignment="1">
      <alignment horizontal="center" vertical="center"/>
    </xf>
    <xf numFmtId="0" fontId="22" fillId="7" borderId="4" xfId="0" applyFont="1" applyFill="1" applyBorder="1" applyAlignment="1">
      <alignment horizontal="center" vertical="center"/>
    </xf>
    <xf numFmtId="0" fontId="0" fillId="0" borderId="0" xfId="0"/>
    <xf numFmtId="0" fontId="37" fillId="0" borderId="10" xfId="0" applyFont="1" applyBorder="1" applyAlignment="1">
      <alignment horizontal="center"/>
    </xf>
    <xf numFmtId="1" fontId="20" fillId="5" borderId="10" xfId="0" applyNumberFormat="1" applyFont="1" applyFill="1" applyBorder="1" applyAlignment="1">
      <alignment horizontal="center" vertical="center"/>
    </xf>
    <xf numFmtId="0" fontId="0" fillId="0" borderId="0" xfId="0"/>
    <xf numFmtId="0" fontId="46" fillId="0" borderId="0" xfId="0" applyFont="1" applyAlignment="1">
      <alignment horizontal="center"/>
    </xf>
    <xf numFmtId="0" fontId="22" fillId="7" borderId="10" xfId="0" applyFont="1" applyFill="1" applyBorder="1" applyAlignment="1">
      <alignment horizontal="center" vertical="center"/>
    </xf>
    <xf numFmtId="1" fontId="7" fillId="7" borderId="10" xfId="0" applyNumberFormat="1" applyFont="1" applyFill="1" applyBorder="1" applyAlignment="1">
      <alignment horizontal="center" vertical="center"/>
    </xf>
    <xf numFmtId="1" fontId="7" fillId="54" borderId="10" xfId="0" applyNumberFormat="1" applyFont="1" applyFill="1" applyBorder="1" applyAlignment="1">
      <alignment horizontal="center" vertical="center"/>
    </xf>
    <xf numFmtId="1" fontId="7" fillId="5" borderId="10" xfId="0" applyNumberFormat="1" applyFont="1" applyFill="1" applyBorder="1" applyAlignment="1">
      <alignment horizontal="center" vertical="center"/>
    </xf>
    <xf numFmtId="0" fontId="0" fillId="0" borderId="0" xfId="0"/>
    <xf numFmtId="0" fontId="7" fillId="0" borderId="10" xfId="0" applyFont="1" applyBorder="1" applyAlignment="1">
      <alignment horizontal="center" vertical="center"/>
    </xf>
    <xf numFmtId="1" fontId="7" fillId="8" borderId="10" xfId="0" applyNumberFormat="1" applyFont="1" applyFill="1" applyBorder="1" applyAlignment="1">
      <alignment horizontal="center" vertical="center"/>
    </xf>
    <xf numFmtId="1" fontId="7" fillId="7" borderId="10" xfId="0" applyNumberFormat="1" applyFont="1" applyFill="1" applyBorder="1" applyAlignment="1">
      <alignment horizontal="center" vertical="center"/>
    </xf>
    <xf numFmtId="0" fontId="0" fillId="0" borderId="0" xfId="0"/>
    <xf numFmtId="1" fontId="7" fillId="5" borderId="10" xfId="0" applyNumberFormat="1" applyFont="1" applyFill="1" applyBorder="1" applyAlignment="1">
      <alignment horizontal="center" vertical="center"/>
    </xf>
    <xf numFmtId="1" fontId="4" fillId="5" borderId="10" xfId="0" applyNumberFormat="1" applyFont="1" applyFill="1" applyBorder="1" applyAlignment="1">
      <alignment horizontal="center" vertical="center"/>
    </xf>
    <xf numFmtId="1" fontId="7" fillId="54" borderId="10" xfId="0" applyNumberFormat="1" applyFont="1" applyFill="1" applyBorder="1" applyAlignment="1">
      <alignment horizontal="center" vertical="center"/>
    </xf>
    <xf numFmtId="0" fontId="0" fillId="0" borderId="0" xfId="0"/>
    <xf numFmtId="1" fontId="20" fillId="5" borderId="10" xfId="0" applyNumberFormat="1" applyFont="1" applyFill="1" applyBorder="1" applyAlignment="1">
      <alignment horizontal="center" vertical="center"/>
    </xf>
    <xf numFmtId="0" fontId="0" fillId="0" borderId="0" xfId="0"/>
    <xf numFmtId="1" fontId="4" fillId="0" borderId="10" xfId="0" applyNumberFormat="1" applyFont="1" applyBorder="1" applyAlignment="1">
      <alignment horizontal="center" vertical="center"/>
    </xf>
    <xf numFmtId="1" fontId="4" fillId="7" borderId="10" xfId="0" applyNumberFormat="1" applyFont="1" applyFill="1" applyBorder="1" applyAlignment="1">
      <alignment horizontal="center" vertical="center"/>
    </xf>
    <xf numFmtId="0" fontId="22" fillId="0" borderId="10" xfId="0" applyFont="1" applyBorder="1" applyAlignment="1">
      <alignment horizontal="center" vertical="center"/>
    </xf>
    <xf numFmtId="0" fontId="22" fillId="7" borderId="10" xfId="0" applyFont="1" applyFill="1" applyBorder="1" applyAlignment="1">
      <alignment horizontal="center" vertical="center"/>
    </xf>
    <xf numFmtId="0" fontId="56" fillId="8" borderId="45" xfId="0" applyFont="1" applyFill="1" applyBorder="1"/>
    <xf numFmtId="0" fontId="175" fillId="0" borderId="10" xfId="0" applyFont="1" applyBorder="1"/>
    <xf numFmtId="169" fontId="12" fillId="7" borderId="10" xfId="0" applyNumberFormat="1" applyFont="1" applyFill="1" applyBorder="1" applyAlignment="1">
      <alignment horizontal="center" vertical="center"/>
    </xf>
    <xf numFmtId="1" fontId="21" fillId="7" borderId="31" xfId="0" applyNumberFormat="1" applyFont="1" applyFill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1" fontId="7" fillId="8" borderId="10" xfId="0" applyNumberFormat="1" applyFont="1" applyFill="1" applyBorder="1" applyAlignment="1">
      <alignment horizontal="center" vertical="center"/>
    </xf>
    <xf numFmtId="1" fontId="7" fillId="7" borderId="10" xfId="0" applyNumberFormat="1" applyFont="1" applyFill="1" applyBorder="1" applyAlignment="1">
      <alignment horizontal="center" vertical="center"/>
    </xf>
    <xf numFmtId="1" fontId="7" fillId="54" borderId="10" xfId="0" applyNumberFormat="1" applyFont="1" applyFill="1" applyBorder="1" applyAlignment="1">
      <alignment horizontal="center" vertical="center"/>
    </xf>
    <xf numFmtId="1" fontId="7" fillId="5" borderId="10" xfId="0" applyNumberFormat="1" applyFont="1" applyFill="1" applyBorder="1" applyAlignment="1">
      <alignment horizontal="center" vertical="center"/>
    </xf>
    <xf numFmtId="0" fontId="0" fillId="0" borderId="0" xfId="0"/>
    <xf numFmtId="1" fontId="21" fillId="8" borderId="34" xfId="0" applyNumberFormat="1" applyFont="1" applyFill="1" applyBorder="1" applyAlignment="1">
      <alignment horizontal="center" vertical="center"/>
    </xf>
    <xf numFmtId="1" fontId="21" fillId="8" borderId="62" xfId="0" applyNumberFormat="1" applyFont="1" applyFill="1" applyBorder="1" applyAlignment="1">
      <alignment horizontal="center" vertical="center"/>
    </xf>
    <xf numFmtId="167" fontId="4" fillId="7" borderId="9" xfId="0" applyNumberFormat="1" applyFont="1" applyFill="1" applyBorder="1" applyAlignment="1">
      <alignment horizontal="center" vertical="center"/>
    </xf>
    <xf numFmtId="1" fontId="4" fillId="7" borderId="76" xfId="0" applyNumberFormat="1" applyFont="1" applyFill="1" applyBorder="1" applyAlignment="1">
      <alignment horizontal="center" vertical="center"/>
    </xf>
    <xf numFmtId="0" fontId="22" fillId="50" borderId="4" xfId="0" applyFont="1" applyFill="1" applyBorder="1" applyAlignment="1">
      <alignment horizontal="center" vertical="center"/>
    </xf>
    <xf numFmtId="0" fontId="21" fillId="7" borderId="62" xfId="0" applyFont="1" applyFill="1" applyBorder="1" applyAlignment="1">
      <alignment horizontal="center" vertical="center"/>
    </xf>
    <xf numFmtId="1" fontId="7" fillId="8" borderId="10" xfId="0" applyNumberFormat="1" applyFont="1" applyFill="1" applyBorder="1" applyAlignment="1">
      <alignment horizontal="center"/>
    </xf>
    <xf numFmtId="1" fontId="7" fillId="7" borderId="10" xfId="0" applyNumberFormat="1" applyFont="1" applyFill="1" applyBorder="1" applyAlignment="1">
      <alignment horizontal="center" vertical="center"/>
    </xf>
    <xf numFmtId="0" fontId="4" fillId="7" borderId="10" xfId="0" applyFont="1" applyFill="1" applyBorder="1" applyAlignment="1">
      <alignment horizontal="center" vertical="center"/>
    </xf>
    <xf numFmtId="0" fontId="0" fillId="0" borderId="0" xfId="0"/>
    <xf numFmtId="0" fontId="4" fillId="8" borderId="10" xfId="0" applyFont="1" applyFill="1" applyBorder="1" applyAlignment="1">
      <alignment horizontal="center" vertical="center"/>
    </xf>
    <xf numFmtId="0" fontId="24" fillId="43" borderId="10" xfId="0" applyFont="1" applyFill="1" applyBorder="1" applyAlignment="1">
      <alignment horizontal="center"/>
    </xf>
    <xf numFmtId="0" fontId="19" fillId="8" borderId="33" xfId="0" applyFont="1" applyFill="1" applyBorder="1" applyAlignment="1">
      <alignment horizontal="center" vertical="center"/>
    </xf>
    <xf numFmtId="2" fontId="7" fillId="8" borderId="17" xfId="0" applyNumberFormat="1" applyFont="1" applyFill="1" applyBorder="1" applyAlignment="1">
      <alignment horizontal="center" vertical="center"/>
    </xf>
    <xf numFmtId="2" fontId="7" fillId="7" borderId="10" xfId="0" applyNumberFormat="1" applyFont="1" applyFill="1" applyBorder="1" applyAlignment="1">
      <alignment horizontal="center" vertical="center"/>
    </xf>
    <xf numFmtId="0" fontId="24" fillId="7" borderId="1" xfId="0" applyFont="1" applyFill="1" applyBorder="1" applyAlignment="1">
      <alignment horizontal="center" vertical="center"/>
    </xf>
    <xf numFmtId="0" fontId="24" fillId="0" borderId="4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/>
    </xf>
    <xf numFmtId="0" fontId="7" fillId="7" borderId="10" xfId="0" applyFont="1" applyFill="1" applyBorder="1" applyAlignment="1">
      <alignment horizontal="center"/>
    </xf>
    <xf numFmtId="1" fontId="7" fillId="0" borderId="10" xfId="0" applyNumberFormat="1" applyFont="1" applyBorder="1" applyAlignment="1">
      <alignment horizontal="center"/>
    </xf>
    <xf numFmtId="0" fontId="7" fillId="5" borderId="10" xfId="0" applyFont="1" applyFill="1" applyBorder="1" applyAlignment="1">
      <alignment horizontal="center"/>
    </xf>
    <xf numFmtId="1" fontId="20" fillId="8" borderId="29" xfId="186" applyNumberFormat="1" applyFont="1" applyFill="1" applyBorder="1" applyAlignment="1">
      <alignment horizontal="center" vertical="center"/>
    </xf>
    <xf numFmtId="1" fontId="47" fillId="8" borderId="10" xfId="0" applyNumberFormat="1" applyFont="1" applyFill="1" applyBorder="1" applyAlignment="1">
      <alignment vertical="center"/>
    </xf>
    <xf numFmtId="1" fontId="21" fillId="5" borderId="10" xfId="0" applyNumberFormat="1" applyFont="1" applyFill="1" applyBorder="1" applyAlignment="1">
      <alignment horizontal="center" vertical="center"/>
    </xf>
    <xf numFmtId="1" fontId="21" fillId="6" borderId="10" xfId="0" applyNumberFormat="1" applyFont="1" applyFill="1" applyBorder="1" applyAlignment="1">
      <alignment horizontal="center" vertical="center"/>
    </xf>
    <xf numFmtId="0" fontId="0" fillId="0" borderId="0" xfId="0"/>
    <xf numFmtId="1" fontId="21" fillId="7" borderId="31" xfId="0" applyNumberFormat="1" applyFont="1" applyFill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0" fontId="22" fillId="0" borderId="4" xfId="0" applyFont="1" applyBorder="1" applyAlignment="1">
      <alignment horizontal="center" vertical="center"/>
    </xf>
    <xf numFmtId="0" fontId="22" fillId="7" borderId="4" xfId="0" applyFont="1" applyFill="1" applyBorder="1" applyAlignment="1">
      <alignment horizontal="center" vertical="center"/>
    </xf>
    <xf numFmtId="0" fontId="0" fillId="0" borderId="0" xfId="0"/>
    <xf numFmtId="0" fontId="22" fillId="7" borderId="4" xfId="0" applyFont="1" applyFill="1" applyBorder="1" applyAlignment="1">
      <alignment horizontal="center" vertical="center"/>
    </xf>
    <xf numFmtId="1" fontId="4" fillId="7" borderId="10" xfId="0" applyNumberFormat="1" applyFont="1" applyFill="1" applyBorder="1" applyAlignment="1">
      <alignment horizontal="center" vertical="center"/>
    </xf>
    <xf numFmtId="1" fontId="7" fillId="8" borderId="10" xfId="0" applyNumberFormat="1" applyFont="1" applyFill="1" applyBorder="1" applyAlignment="1">
      <alignment horizontal="center" vertical="center"/>
    </xf>
    <xf numFmtId="1" fontId="7" fillId="7" borderId="10" xfId="0" applyNumberFormat="1" applyFont="1" applyFill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7" borderId="10" xfId="0" applyFont="1" applyFill="1" applyBorder="1" applyAlignment="1">
      <alignment horizontal="center" vertical="center"/>
    </xf>
    <xf numFmtId="0" fontId="0" fillId="0" borderId="0" xfId="0"/>
    <xf numFmtId="0" fontId="4" fillId="8" borderId="10" xfId="0" applyFont="1" applyFill="1" applyBorder="1" applyAlignment="1">
      <alignment horizontal="center" vertical="center"/>
    </xf>
    <xf numFmtId="1" fontId="21" fillId="0" borderId="31" xfId="0" applyNumberFormat="1" applyFont="1" applyBorder="1" applyAlignment="1">
      <alignment horizontal="center" vertical="center"/>
    </xf>
    <xf numFmtId="1" fontId="21" fillId="7" borderId="31" xfId="0" applyNumberFormat="1" applyFont="1" applyFill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0" fontId="22" fillId="7" borderId="1" xfId="0" applyFont="1" applyFill="1" applyBorder="1" applyAlignment="1">
      <alignment horizontal="center" vertical="center"/>
    </xf>
    <xf numFmtId="1" fontId="22" fillId="0" borderId="76" xfId="0" applyNumberFormat="1" applyFont="1" applyBorder="1" applyAlignment="1">
      <alignment horizontal="center" vertical="center"/>
    </xf>
    <xf numFmtId="0" fontId="0" fillId="0" borderId="0" xfId="0"/>
    <xf numFmtId="1" fontId="21" fillId="8" borderId="34" xfId="0" applyNumberFormat="1" applyFont="1" applyFill="1" applyBorder="1" applyAlignment="1">
      <alignment horizontal="center" vertical="center"/>
    </xf>
    <xf numFmtId="1" fontId="21" fillId="8" borderId="62" xfId="0" applyNumberFormat="1" applyFont="1" applyFill="1" applyBorder="1" applyAlignment="1">
      <alignment horizontal="center" vertical="center"/>
    </xf>
    <xf numFmtId="167" fontId="21" fillId="0" borderId="74" xfId="0" applyNumberFormat="1" applyFont="1" applyBorder="1" applyAlignment="1">
      <alignment horizontal="center" vertical="center"/>
    </xf>
    <xf numFmtId="167" fontId="21" fillId="7" borderId="46" xfId="0" applyNumberFormat="1" applyFont="1" applyFill="1" applyBorder="1" applyAlignment="1">
      <alignment horizontal="center" vertical="center"/>
    </xf>
    <xf numFmtId="1" fontId="21" fillId="7" borderId="62" xfId="0" applyNumberFormat="1" applyFont="1" applyFill="1" applyBorder="1" applyAlignment="1">
      <alignment horizontal="center" vertical="center"/>
    </xf>
    <xf numFmtId="1" fontId="21" fillId="0" borderId="31" xfId="0" applyNumberFormat="1" applyFont="1" applyBorder="1" applyAlignment="1">
      <alignment horizontal="center" vertical="center"/>
    </xf>
    <xf numFmtId="1" fontId="21" fillId="7" borderId="31" xfId="0" applyNumberFormat="1" applyFont="1" applyFill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1" fontId="22" fillId="7" borderId="74" xfId="0" applyNumberFormat="1" applyFont="1" applyFill="1" applyBorder="1" applyAlignment="1">
      <alignment horizontal="center" vertical="center"/>
    </xf>
    <xf numFmtId="0" fontId="22" fillId="7" borderId="1" xfId="0" applyFont="1" applyFill="1" applyBorder="1" applyAlignment="1">
      <alignment horizontal="center" vertical="center"/>
    </xf>
    <xf numFmtId="0" fontId="22" fillId="7" borderId="4" xfId="0" applyFont="1" applyFill="1" applyBorder="1" applyAlignment="1">
      <alignment horizontal="center" vertical="center"/>
    </xf>
    <xf numFmtId="1" fontId="4" fillId="7" borderId="10" xfId="0" applyNumberFormat="1" applyFont="1" applyFill="1" applyBorder="1" applyAlignment="1">
      <alignment horizontal="center" vertical="center"/>
    </xf>
    <xf numFmtId="0" fontId="0" fillId="0" borderId="0" xfId="0"/>
    <xf numFmtId="1" fontId="21" fillId="7" borderId="74" xfId="0" applyNumberFormat="1" applyFont="1" applyFill="1" applyBorder="1" applyAlignment="1">
      <alignment horizontal="center" vertical="center"/>
    </xf>
    <xf numFmtId="1" fontId="21" fillId="7" borderId="9" xfId="0" applyNumberFormat="1" applyFont="1" applyFill="1" applyBorder="1" applyAlignment="1">
      <alignment horizontal="center" vertical="center"/>
    </xf>
    <xf numFmtId="1" fontId="21" fillId="8" borderId="34" xfId="0" applyNumberFormat="1" applyFont="1" applyFill="1" applyBorder="1" applyAlignment="1">
      <alignment horizontal="center" vertical="center"/>
    </xf>
    <xf numFmtId="1" fontId="21" fillId="8" borderId="62" xfId="0" applyNumberFormat="1" applyFont="1" applyFill="1" applyBorder="1" applyAlignment="1">
      <alignment horizontal="center" vertical="center"/>
    </xf>
    <xf numFmtId="1" fontId="21" fillId="8" borderId="7" xfId="0" applyNumberFormat="1" applyFont="1" applyFill="1" applyBorder="1" applyAlignment="1">
      <alignment horizontal="center" vertical="center"/>
    </xf>
    <xf numFmtId="0" fontId="27" fillId="0" borderId="10" xfId="0" applyFont="1" applyBorder="1" applyAlignment="1">
      <alignment horizontal="center" vertical="center"/>
    </xf>
    <xf numFmtId="0" fontId="27" fillId="7" borderId="10" xfId="0" applyFont="1" applyFill="1" applyBorder="1" applyAlignment="1">
      <alignment horizontal="center" vertical="center"/>
    </xf>
    <xf numFmtId="1" fontId="21" fillId="8" borderId="74" xfId="0" quotePrefix="1" applyNumberFormat="1" applyFont="1" applyFill="1" applyBorder="1" applyAlignment="1">
      <alignment horizontal="center" vertical="center"/>
    </xf>
    <xf numFmtId="0" fontId="22" fillId="7" borderId="10" xfId="0" applyFont="1" applyFill="1" applyBorder="1" applyAlignment="1">
      <alignment horizontal="center" vertical="center"/>
    </xf>
    <xf numFmtId="1" fontId="21" fillId="7" borderId="31" xfId="0" applyNumberFormat="1" applyFont="1" applyFill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1" fontId="4" fillId="0" borderId="10" xfId="0" applyNumberFormat="1" applyFont="1" applyBorder="1" applyAlignment="1">
      <alignment horizontal="center" vertical="center"/>
    </xf>
    <xf numFmtId="1" fontId="4" fillId="7" borderId="10" xfId="0" applyNumberFormat="1" applyFont="1" applyFill="1" applyBorder="1" applyAlignment="1">
      <alignment horizontal="center" vertical="center"/>
    </xf>
    <xf numFmtId="0" fontId="0" fillId="0" borderId="0" xfId="0"/>
    <xf numFmtId="1" fontId="21" fillId="8" borderId="34" xfId="0" applyNumberFormat="1" applyFont="1" applyFill="1" applyBorder="1" applyAlignment="1">
      <alignment horizontal="center" vertical="center"/>
    </xf>
    <xf numFmtId="1" fontId="21" fillId="8" borderId="62" xfId="0" applyNumberFormat="1" applyFont="1" applyFill="1" applyBorder="1" applyAlignment="1">
      <alignment horizontal="center" vertical="center"/>
    </xf>
    <xf numFmtId="0" fontId="22" fillId="0" borderId="10" xfId="0" applyFont="1" applyBorder="1" applyAlignment="1">
      <alignment horizontal="center" vertical="center"/>
    </xf>
    <xf numFmtId="167" fontId="4" fillId="7" borderId="9" xfId="0" applyNumberFormat="1" applyFont="1" applyFill="1" applyBorder="1" applyAlignment="1">
      <alignment horizontal="center" vertical="center"/>
    </xf>
    <xf numFmtId="1" fontId="4" fillId="7" borderId="76" xfId="0" applyNumberFormat="1" applyFont="1" applyFill="1" applyBorder="1" applyAlignment="1">
      <alignment horizontal="center" vertical="center"/>
    </xf>
    <xf numFmtId="0" fontId="46" fillId="0" borderId="0" xfId="0" applyFont="1" applyAlignment="1">
      <alignment horizontal="center"/>
    </xf>
    <xf numFmtId="0" fontId="37" fillId="0" borderId="10" xfId="0" applyFont="1" applyBorder="1" applyAlignment="1">
      <alignment horizontal="center"/>
    </xf>
    <xf numFmtId="0" fontId="21" fillId="7" borderId="62" xfId="0" applyFont="1" applyFill="1" applyBorder="1" applyAlignment="1">
      <alignment horizontal="center" vertical="center"/>
    </xf>
    <xf numFmtId="0" fontId="22" fillId="50" borderId="4" xfId="0" applyFont="1" applyFill="1" applyBorder="1" applyAlignment="1">
      <alignment horizontal="center" vertical="center"/>
    </xf>
    <xf numFmtId="0" fontId="22" fillId="7" borderId="10" xfId="0" applyFont="1" applyFill="1" applyBorder="1" applyAlignment="1">
      <alignment horizontal="center" vertical="center"/>
    </xf>
    <xf numFmtId="1" fontId="21" fillId="5" borderId="10" xfId="0" applyNumberFormat="1" applyFont="1" applyFill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1" fontId="7" fillId="8" borderId="10" xfId="0" applyNumberFormat="1" applyFont="1" applyFill="1" applyBorder="1" applyAlignment="1">
      <alignment horizontal="center" vertical="center"/>
    </xf>
    <xf numFmtId="1" fontId="7" fillId="7" borderId="10" xfId="0" applyNumberFormat="1" applyFont="1" applyFill="1" applyBorder="1" applyAlignment="1">
      <alignment horizontal="center" vertical="center"/>
    </xf>
    <xf numFmtId="0" fontId="0" fillId="0" borderId="0" xfId="0"/>
    <xf numFmtId="1" fontId="7" fillId="5" borderId="10" xfId="0" applyNumberFormat="1" applyFont="1" applyFill="1" applyBorder="1" applyAlignment="1">
      <alignment horizontal="center" vertical="center"/>
    </xf>
    <xf numFmtId="1" fontId="4" fillId="5" borderId="10" xfId="0" applyNumberFormat="1" applyFont="1" applyFill="1" applyBorder="1" applyAlignment="1">
      <alignment horizontal="center" vertical="center"/>
    </xf>
    <xf numFmtId="1" fontId="7" fillId="54" borderId="10" xfId="0" applyNumberFormat="1" applyFont="1" applyFill="1" applyBorder="1" applyAlignment="1">
      <alignment horizontal="center" vertical="center"/>
    </xf>
    <xf numFmtId="0" fontId="24" fillId="43" borderId="10" xfId="0" applyFont="1" applyFill="1" applyBorder="1" applyAlignment="1">
      <alignment horizontal="center"/>
    </xf>
    <xf numFmtId="1" fontId="7" fillId="8" borderId="10" xfId="0" applyNumberFormat="1" applyFont="1" applyFill="1" applyBorder="1" applyAlignment="1">
      <alignment horizontal="center" vertical="center"/>
    </xf>
    <xf numFmtId="0" fontId="0" fillId="0" borderId="0" xfId="0"/>
    <xf numFmtId="1" fontId="7" fillId="8" borderId="10" xfId="0" applyNumberFormat="1" applyFont="1" applyFill="1" applyBorder="1" applyAlignment="1">
      <alignment horizontal="center" vertical="center"/>
    </xf>
    <xf numFmtId="0" fontId="0" fillId="0" borderId="0" xfId="0"/>
    <xf numFmtId="0" fontId="19" fillId="8" borderId="33" xfId="0" applyFont="1" applyFill="1" applyBorder="1" applyAlignment="1">
      <alignment horizontal="center" vertical="center"/>
    </xf>
    <xf numFmtId="1" fontId="7" fillId="7" borderId="10" xfId="0" applyNumberFormat="1" applyFont="1" applyFill="1" applyBorder="1" applyAlignment="1">
      <alignment horizontal="center" vertical="center"/>
    </xf>
    <xf numFmtId="0" fontId="4" fillId="7" borderId="10" xfId="0" applyFont="1" applyFill="1" applyBorder="1" applyAlignment="1">
      <alignment horizontal="center" vertical="center"/>
    </xf>
    <xf numFmtId="0" fontId="0" fillId="0" borderId="0" xfId="0"/>
    <xf numFmtId="0" fontId="4" fillId="8" borderId="10" xfId="0" applyFont="1" applyFill="1" applyBorder="1" applyAlignment="1">
      <alignment horizontal="center" vertical="center"/>
    </xf>
    <xf numFmtId="2" fontId="7" fillId="8" borderId="17" xfId="0" applyNumberFormat="1" applyFont="1" applyFill="1" applyBorder="1" applyAlignment="1">
      <alignment horizontal="center" vertical="center"/>
    </xf>
    <xf numFmtId="2" fontId="7" fillId="7" borderId="10" xfId="0" applyNumberFormat="1" applyFont="1" applyFill="1" applyBorder="1" applyAlignment="1">
      <alignment horizontal="center" vertical="center"/>
    </xf>
    <xf numFmtId="1" fontId="21" fillId="5" borderId="10" xfId="0" applyNumberFormat="1" applyFont="1" applyFill="1" applyBorder="1" applyAlignment="1">
      <alignment horizontal="center" vertical="center"/>
    </xf>
    <xf numFmtId="0" fontId="0" fillId="0" borderId="0" xfId="0"/>
    <xf numFmtId="0" fontId="24" fillId="7" borderId="1" xfId="0" applyFont="1" applyFill="1" applyBorder="1" applyAlignment="1">
      <alignment horizontal="center" vertical="center"/>
    </xf>
    <xf numFmtId="0" fontId="24" fillId="0" borderId="4" xfId="0" applyFont="1" applyBorder="1" applyAlignment="1">
      <alignment horizontal="center" vertical="center"/>
    </xf>
    <xf numFmtId="2" fontId="20" fillId="8" borderId="14" xfId="0" applyNumberFormat="1" applyFont="1" applyFill="1" applyBorder="1" applyAlignment="1">
      <alignment horizontal="center" vertical="center"/>
    </xf>
    <xf numFmtId="0" fontId="0" fillId="0" borderId="0" xfId="0"/>
    <xf numFmtId="9" fontId="24" fillId="7" borderId="10" xfId="22" applyNumberFormat="1" applyFont="1" applyFill="1" applyBorder="1" applyAlignment="1">
      <alignment horizontal="center"/>
    </xf>
    <xf numFmtId="1" fontId="21" fillId="6" borderId="10" xfId="0" applyNumberFormat="1" applyFont="1" applyFill="1" applyBorder="1" applyAlignment="1">
      <alignment horizontal="center" vertical="center"/>
    </xf>
    <xf numFmtId="0" fontId="0" fillId="0" borderId="0" xfId="0"/>
    <xf numFmtId="0" fontId="4" fillId="8" borderId="10" xfId="0" applyFont="1" applyFill="1" applyBorder="1" applyAlignment="1">
      <alignment horizontal="center" vertical="center"/>
    </xf>
    <xf numFmtId="0" fontId="21" fillId="6" borderId="10" xfId="0" applyFont="1" applyFill="1" applyBorder="1" applyAlignment="1">
      <alignment horizontal="center" vertical="center"/>
    </xf>
    <xf numFmtId="0" fontId="176" fillId="8" borderId="63" xfId="0" applyFont="1" applyFill="1" applyBorder="1" applyAlignment="1">
      <alignment horizontal="center" vertical="center"/>
    </xf>
    <xf numFmtId="0" fontId="7" fillId="8" borderId="10" xfId="0" applyFont="1" applyFill="1" applyBorder="1" applyAlignment="1">
      <alignment horizontal="right" vertical="center"/>
    </xf>
    <xf numFmtId="0" fontId="118" fillId="8" borderId="76" xfId="0" applyFont="1" applyFill="1" applyBorder="1" applyAlignment="1">
      <alignment horizontal="left" vertical="center"/>
    </xf>
    <xf numFmtId="0" fontId="4" fillId="8" borderId="80" xfId="0" applyFont="1" applyFill="1" applyBorder="1" applyAlignment="1">
      <alignment horizontal="center" vertical="center"/>
    </xf>
    <xf numFmtId="1" fontId="7" fillId="8" borderId="85" xfId="0" applyNumberFormat="1" applyFont="1" applyFill="1" applyBorder="1" applyAlignment="1">
      <alignment horizontal="center" vertical="center"/>
    </xf>
    <xf numFmtId="1" fontId="8" fillId="8" borderId="85" xfId="0" applyNumberFormat="1" applyFont="1" applyFill="1" applyBorder="1" applyAlignment="1">
      <alignment horizontal="center" vertical="center"/>
    </xf>
    <xf numFmtId="1" fontId="19" fillId="8" borderId="85" xfId="0" applyNumberFormat="1" applyFont="1" applyFill="1" applyBorder="1" applyAlignment="1">
      <alignment horizontal="center" vertical="center"/>
    </xf>
    <xf numFmtId="0" fontId="126" fillId="8" borderId="63" xfId="0" applyFont="1" applyFill="1" applyBorder="1" applyAlignment="1">
      <alignment horizontal="left" vertical="center"/>
    </xf>
    <xf numFmtId="0" fontId="19" fillId="8" borderId="41" xfId="0" applyFont="1" applyFill="1" applyBorder="1" applyAlignment="1">
      <alignment horizontal="center" vertical="center"/>
    </xf>
    <xf numFmtId="0" fontId="0" fillId="50" borderId="41" xfId="0" applyFill="1" applyBorder="1"/>
    <xf numFmtId="0" fontId="56" fillId="0" borderId="41" xfId="0" applyFont="1" applyBorder="1"/>
    <xf numFmtId="1" fontId="19" fillId="48" borderId="41" xfId="0" applyNumberFormat="1" applyFont="1" applyFill="1" applyBorder="1" applyAlignment="1">
      <alignment horizontal="center" vertical="center"/>
    </xf>
    <xf numFmtId="0" fontId="0" fillId="0" borderId="42" xfId="0" applyBorder="1"/>
    <xf numFmtId="1" fontId="19" fillId="48" borderId="17" xfId="0" applyNumberFormat="1" applyFont="1" applyFill="1" applyBorder="1" applyAlignment="1">
      <alignment horizontal="center" vertical="center"/>
    </xf>
    <xf numFmtId="1" fontId="4" fillId="50" borderId="23" xfId="0" applyNumberFormat="1" applyFont="1" applyFill="1" applyBorder="1" applyAlignment="1">
      <alignment horizontal="center" vertical="center"/>
    </xf>
    <xf numFmtId="1" fontId="20" fillId="7" borderId="23" xfId="0" applyNumberFormat="1" applyFont="1" applyFill="1" applyBorder="1" applyAlignment="1">
      <alignment horizontal="center" vertical="center"/>
    </xf>
    <xf numFmtId="0" fontId="177" fillId="8" borderId="31" xfId="0" applyFont="1" applyFill="1" applyBorder="1" applyAlignment="1">
      <alignment horizontal="center" vertical="center"/>
    </xf>
    <xf numFmtId="1" fontId="21" fillId="48" borderId="10" xfId="0" applyNumberFormat="1" applyFont="1" applyFill="1" applyBorder="1" applyAlignment="1">
      <alignment horizontal="center" vertical="center"/>
    </xf>
    <xf numFmtId="1" fontId="142" fillId="48" borderId="10" xfId="0" applyNumberFormat="1" applyFont="1" applyFill="1" applyBorder="1" applyAlignment="1">
      <alignment horizontal="center" vertical="center"/>
    </xf>
    <xf numFmtId="0" fontId="7" fillId="8" borderId="29" xfId="0" applyFont="1" applyFill="1" applyBorder="1" applyAlignment="1">
      <alignment horizontal="right" vertical="center"/>
    </xf>
    <xf numFmtId="1" fontId="20" fillId="48" borderId="72" xfId="0" applyNumberFormat="1" applyFont="1" applyFill="1" applyBorder="1" applyAlignment="1">
      <alignment horizontal="center" vertical="center"/>
    </xf>
    <xf numFmtId="1" fontId="178" fillId="8" borderId="10" xfId="0" applyNumberFormat="1" applyFont="1" applyFill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1" fontId="21" fillId="5" borderId="31" xfId="0" applyNumberFormat="1" applyFont="1" applyFill="1" applyBorder="1" applyAlignment="1">
      <alignment horizontal="center" vertical="center"/>
    </xf>
    <xf numFmtId="0" fontId="22" fillId="5" borderId="1" xfId="0" applyFont="1" applyFill="1" applyBorder="1" applyAlignment="1">
      <alignment horizontal="center" vertical="center"/>
    </xf>
    <xf numFmtId="0" fontId="22" fillId="0" borderId="4" xfId="0" applyFont="1" applyBorder="1" applyAlignment="1">
      <alignment horizontal="center" vertical="center"/>
    </xf>
    <xf numFmtId="0" fontId="22" fillId="7" borderId="4" xfId="0" applyFont="1" applyFill="1" applyBorder="1" applyAlignment="1">
      <alignment horizontal="center" vertical="center"/>
    </xf>
    <xf numFmtId="0" fontId="0" fillId="0" borderId="0" xfId="0"/>
    <xf numFmtId="1" fontId="21" fillId="5" borderId="34" xfId="0" applyNumberFormat="1" applyFont="1" applyFill="1" applyBorder="1" applyAlignment="1">
      <alignment horizontal="center" vertical="center"/>
    </xf>
    <xf numFmtId="0" fontId="22" fillId="0" borderId="4" xfId="0" applyFont="1" applyBorder="1" applyAlignment="1">
      <alignment horizontal="center" vertical="center"/>
    </xf>
    <xf numFmtId="0" fontId="22" fillId="5" borderId="1" xfId="0" applyFont="1" applyFill="1" applyBorder="1" applyAlignment="1">
      <alignment horizontal="center" vertical="center"/>
    </xf>
    <xf numFmtId="0" fontId="22" fillId="7" borderId="4" xfId="0" applyFont="1" applyFill="1" applyBorder="1" applyAlignment="1">
      <alignment horizontal="center" vertical="center"/>
    </xf>
    <xf numFmtId="1" fontId="4" fillId="0" borderId="10" xfId="0" applyNumberFormat="1" applyFont="1" applyBorder="1" applyAlignment="1">
      <alignment horizontal="center" vertical="center"/>
    </xf>
    <xf numFmtId="1" fontId="4" fillId="7" borderId="10" xfId="0" applyNumberFormat="1" applyFont="1" applyFill="1" applyBorder="1" applyAlignment="1">
      <alignment horizontal="center" vertical="center"/>
    </xf>
    <xf numFmtId="1" fontId="7" fillId="8" borderId="10" xfId="0" applyNumberFormat="1" applyFont="1" applyFill="1" applyBorder="1" applyAlignment="1">
      <alignment horizontal="center"/>
    </xf>
    <xf numFmtId="0" fontId="7" fillId="0" borderId="10" xfId="0" applyFont="1" applyBorder="1" applyAlignment="1">
      <alignment horizontal="center" vertical="center"/>
    </xf>
    <xf numFmtId="1" fontId="7" fillId="8" borderId="10" xfId="0" applyNumberFormat="1" applyFont="1" applyFill="1" applyBorder="1" applyAlignment="1">
      <alignment horizontal="center" vertical="center"/>
    </xf>
    <xf numFmtId="1" fontId="7" fillId="7" borderId="10" xfId="0" applyNumberFormat="1" applyFont="1" applyFill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7" borderId="10" xfId="0" applyFont="1" applyFill="1" applyBorder="1" applyAlignment="1">
      <alignment horizontal="center" vertical="center"/>
    </xf>
    <xf numFmtId="0" fontId="0" fillId="0" borderId="0" xfId="0"/>
    <xf numFmtId="0" fontId="4" fillId="5" borderId="10" xfId="0" applyFont="1" applyFill="1" applyBorder="1" applyAlignment="1">
      <alignment horizontal="center" vertical="center"/>
    </xf>
    <xf numFmtId="1" fontId="7" fillId="5" borderId="10" xfId="0" applyNumberFormat="1" applyFont="1" applyFill="1" applyBorder="1" applyAlignment="1">
      <alignment horizontal="center" vertical="center"/>
    </xf>
    <xf numFmtId="1" fontId="4" fillId="5" borderId="10" xfId="0" applyNumberFormat="1" applyFont="1" applyFill="1" applyBorder="1" applyAlignment="1">
      <alignment horizontal="center" vertical="center"/>
    </xf>
    <xf numFmtId="0" fontId="7" fillId="5" borderId="10" xfId="0" applyFont="1" applyFill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/>
    </xf>
    <xf numFmtId="1" fontId="21" fillId="8" borderId="7" xfId="0" applyNumberFormat="1" applyFont="1" applyFill="1" applyBorder="1" applyAlignment="1">
      <alignment horizontal="center" vertical="center"/>
    </xf>
    <xf numFmtId="0" fontId="22" fillId="0" borderId="26" xfId="0" applyFont="1" applyBorder="1" applyAlignment="1">
      <alignment horizontal="center" vertical="center"/>
    </xf>
    <xf numFmtId="1" fontId="21" fillId="7" borderId="31" xfId="0" applyNumberFormat="1" applyFont="1" applyFill="1" applyBorder="1" applyAlignment="1">
      <alignment horizontal="center" vertical="center"/>
    </xf>
    <xf numFmtId="1" fontId="21" fillId="8" borderId="29" xfId="0" applyNumberFormat="1" applyFont="1" applyFill="1" applyBorder="1" applyAlignment="1">
      <alignment horizontal="center" vertical="center"/>
    </xf>
    <xf numFmtId="1" fontId="21" fillId="5" borderId="10" xfId="0" applyNumberFormat="1" applyFont="1" applyFill="1" applyBorder="1" applyAlignment="1">
      <alignment horizontal="center" vertical="center"/>
    </xf>
    <xf numFmtId="1" fontId="21" fillId="0" borderId="31" xfId="0" applyNumberFormat="1" applyFont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1" fontId="21" fillId="5" borderId="31" xfId="0" applyNumberFormat="1" applyFont="1" applyFill="1" applyBorder="1" applyAlignment="1">
      <alignment horizontal="center" vertical="center"/>
    </xf>
    <xf numFmtId="0" fontId="22" fillId="7" borderId="1" xfId="0" applyFont="1" applyFill="1" applyBorder="1" applyAlignment="1">
      <alignment horizontal="center" vertical="center"/>
    </xf>
    <xf numFmtId="0" fontId="22" fillId="5" borderId="1" xfId="0" applyFont="1" applyFill="1" applyBorder="1" applyAlignment="1">
      <alignment horizontal="center" vertical="center"/>
    </xf>
    <xf numFmtId="1" fontId="22" fillId="0" borderId="85" xfId="0" applyNumberFormat="1" applyFont="1" applyBorder="1" applyAlignment="1">
      <alignment horizontal="center" vertical="center"/>
    </xf>
    <xf numFmtId="1" fontId="22" fillId="0" borderId="76" xfId="0" applyNumberFormat="1" applyFont="1" applyBorder="1" applyAlignment="1">
      <alignment horizontal="center" vertical="center"/>
    </xf>
    <xf numFmtId="0" fontId="22" fillId="0" borderId="4" xfId="0" applyFont="1" applyBorder="1" applyAlignment="1">
      <alignment horizontal="center" vertical="center"/>
    </xf>
    <xf numFmtId="0" fontId="0" fillId="0" borderId="0" xfId="0"/>
    <xf numFmtId="167" fontId="21" fillId="0" borderId="74" xfId="0" applyNumberFormat="1" applyFont="1" applyBorder="1" applyAlignment="1">
      <alignment horizontal="center" vertical="center"/>
    </xf>
    <xf numFmtId="1" fontId="21" fillId="8" borderId="34" xfId="0" applyNumberFormat="1" applyFont="1" applyFill="1" applyBorder="1" applyAlignment="1">
      <alignment horizontal="center" vertical="center"/>
    </xf>
    <xf numFmtId="1" fontId="21" fillId="8" borderId="62" xfId="0" applyNumberFormat="1" applyFont="1" applyFill="1" applyBorder="1" applyAlignment="1">
      <alignment horizontal="center" vertical="center"/>
    </xf>
    <xf numFmtId="167" fontId="21" fillId="7" borderId="46" xfId="0" applyNumberFormat="1" applyFont="1" applyFill="1" applyBorder="1" applyAlignment="1">
      <alignment horizontal="center" vertical="center"/>
    </xf>
    <xf numFmtId="0" fontId="22" fillId="0" borderId="26" xfId="0" applyFont="1" applyBorder="1" applyAlignment="1">
      <alignment horizontal="center" vertical="center"/>
    </xf>
    <xf numFmtId="1" fontId="21" fillId="5" borderId="34" xfId="0" applyNumberFormat="1" applyFont="1" applyFill="1" applyBorder="1" applyAlignment="1">
      <alignment horizontal="center" vertical="center"/>
    </xf>
    <xf numFmtId="0" fontId="27" fillId="0" borderId="10" xfId="0" applyFont="1" applyBorder="1" applyAlignment="1">
      <alignment horizontal="center" vertical="center"/>
    </xf>
    <xf numFmtId="0" fontId="27" fillId="7" borderId="10" xfId="0" applyFont="1" applyFill="1" applyBorder="1" applyAlignment="1">
      <alignment horizontal="center" vertical="center"/>
    </xf>
    <xf numFmtId="0" fontId="27" fillId="5" borderId="10" xfId="0" applyFont="1" applyFill="1" applyBorder="1" applyAlignment="1">
      <alignment horizontal="center" vertical="center"/>
    </xf>
    <xf numFmtId="1" fontId="21" fillId="0" borderId="31" xfId="0" applyNumberFormat="1" applyFont="1" applyBorder="1" applyAlignment="1">
      <alignment horizontal="center" vertical="center"/>
    </xf>
    <xf numFmtId="1" fontId="21" fillId="7" borderId="31" xfId="0" applyNumberFormat="1" applyFont="1" applyFill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1" fontId="21" fillId="5" borderId="10" xfId="0" applyNumberFormat="1" applyFont="1" applyFill="1" applyBorder="1" applyAlignment="1">
      <alignment horizontal="center" vertical="center"/>
    </xf>
    <xf numFmtId="1" fontId="21" fillId="5" borderId="31" xfId="0" applyNumberFormat="1" applyFont="1" applyFill="1" applyBorder="1" applyAlignment="1">
      <alignment horizontal="center" vertical="center"/>
    </xf>
    <xf numFmtId="0" fontId="22" fillId="7" borderId="1" xfId="0" applyFont="1" applyFill="1" applyBorder="1" applyAlignment="1">
      <alignment horizontal="center" vertical="center"/>
    </xf>
    <xf numFmtId="1" fontId="22" fillId="7" borderId="74" xfId="0" applyNumberFormat="1" applyFont="1" applyFill="1" applyBorder="1" applyAlignment="1">
      <alignment horizontal="center" vertical="center"/>
    </xf>
    <xf numFmtId="0" fontId="22" fillId="5" borderId="4" xfId="0" applyFont="1" applyFill="1" applyBorder="1" applyAlignment="1">
      <alignment horizontal="center" vertical="center"/>
    </xf>
    <xf numFmtId="0" fontId="22" fillId="5" borderId="1" xfId="0" applyFont="1" applyFill="1" applyBorder="1" applyAlignment="1">
      <alignment horizontal="center" vertical="center"/>
    </xf>
    <xf numFmtId="0" fontId="22" fillId="7" borderId="4" xfId="0" applyFont="1" applyFill="1" applyBorder="1" applyAlignment="1">
      <alignment horizontal="center" vertical="center"/>
    </xf>
    <xf numFmtId="1" fontId="4" fillId="7" borderId="10" xfId="0" applyNumberFormat="1" applyFont="1" applyFill="1" applyBorder="1" applyAlignment="1">
      <alignment horizontal="center" vertical="center"/>
    </xf>
    <xf numFmtId="1" fontId="4" fillId="5" borderId="10" xfId="0" applyNumberFormat="1" applyFont="1" applyFill="1" applyBorder="1" applyAlignment="1">
      <alignment horizontal="center" vertical="center"/>
    </xf>
    <xf numFmtId="0" fontId="0" fillId="0" borderId="0" xfId="0"/>
    <xf numFmtId="1" fontId="21" fillId="8" borderId="34" xfId="0" applyNumberFormat="1" applyFont="1" applyFill="1" applyBorder="1" applyAlignment="1">
      <alignment horizontal="center" vertical="center"/>
    </xf>
    <xf numFmtId="1" fontId="21" fillId="8" borderId="62" xfId="0" applyNumberFormat="1" applyFont="1" applyFill="1" applyBorder="1" applyAlignment="1">
      <alignment horizontal="center" vertical="center"/>
    </xf>
    <xf numFmtId="1" fontId="21" fillId="5" borderId="34" xfId="0" applyNumberFormat="1" applyFont="1" applyFill="1" applyBorder="1" applyAlignment="1">
      <alignment horizontal="center" vertical="center"/>
    </xf>
    <xf numFmtId="1" fontId="21" fillId="8" borderId="7" xfId="0" applyNumberFormat="1" applyFont="1" applyFill="1" applyBorder="1" applyAlignment="1">
      <alignment horizontal="center" vertical="center"/>
    </xf>
    <xf numFmtId="1" fontId="21" fillId="8" borderId="74" xfId="0" quotePrefix="1" applyNumberFormat="1" applyFont="1" applyFill="1" applyBorder="1" applyAlignment="1">
      <alignment horizontal="center" vertical="center"/>
    </xf>
    <xf numFmtId="0" fontId="22" fillId="7" borderId="10" xfId="0" applyFont="1" applyFill="1" applyBorder="1" applyAlignment="1">
      <alignment horizontal="center" vertical="center"/>
    </xf>
    <xf numFmtId="1" fontId="21" fillId="5" borderId="10" xfId="0" applyNumberFormat="1" applyFont="1" applyFill="1" applyBorder="1" applyAlignment="1">
      <alignment horizontal="center" vertical="center"/>
    </xf>
    <xf numFmtId="1" fontId="4" fillId="0" borderId="10" xfId="0" applyNumberFormat="1" applyFont="1" applyBorder="1" applyAlignment="1">
      <alignment horizontal="center" vertical="center"/>
    </xf>
    <xf numFmtId="1" fontId="4" fillId="7" borderId="10" xfId="0" applyNumberFormat="1" applyFont="1" applyFill="1" applyBorder="1" applyAlignment="1">
      <alignment horizontal="center" vertical="center"/>
    </xf>
    <xf numFmtId="1" fontId="4" fillId="5" borderId="10" xfId="0" applyNumberFormat="1" applyFont="1" applyFill="1" applyBorder="1" applyAlignment="1">
      <alignment horizontal="center" vertical="center"/>
    </xf>
    <xf numFmtId="0" fontId="0" fillId="0" borderId="0" xfId="0"/>
    <xf numFmtId="0" fontId="22" fillId="0" borderId="10" xfId="0" applyFont="1" applyBorder="1" applyAlignment="1">
      <alignment horizontal="center" vertical="center"/>
    </xf>
    <xf numFmtId="0" fontId="46" fillId="0" borderId="0" xfId="0" applyFont="1" applyAlignment="1">
      <alignment horizontal="center"/>
    </xf>
    <xf numFmtId="0" fontId="37" fillId="0" borderId="10" xfId="0" applyFont="1" applyBorder="1" applyAlignment="1">
      <alignment horizontal="center"/>
    </xf>
    <xf numFmtId="0" fontId="22" fillId="5" borderId="10" xfId="0" applyFont="1" applyFill="1" applyBorder="1" applyAlignment="1">
      <alignment horizontal="center" vertical="center"/>
    </xf>
    <xf numFmtId="0" fontId="22" fillId="7" borderId="10" xfId="0" applyFont="1" applyFill="1" applyBorder="1" applyAlignment="1">
      <alignment horizontal="center" vertical="center"/>
    </xf>
    <xf numFmtId="2" fontId="179" fillId="0" borderId="10" xfId="0" applyNumberFormat="1" applyFont="1" applyBorder="1" applyAlignment="1">
      <alignment horizontal="center"/>
    </xf>
    <xf numFmtId="0" fontId="4" fillId="7" borderId="10" xfId="0" applyFont="1" applyFill="1" applyBorder="1" applyAlignment="1">
      <alignment horizontal="center" vertical="center"/>
    </xf>
    <xf numFmtId="1" fontId="7" fillId="7" borderId="10" xfId="0" applyNumberFormat="1" applyFont="1" applyFill="1" applyBorder="1" applyAlignment="1">
      <alignment horizontal="center" vertical="center"/>
    </xf>
    <xf numFmtId="0" fontId="4" fillId="5" borderId="10" xfId="0" applyFont="1" applyFill="1" applyBorder="1" applyAlignment="1">
      <alignment horizontal="center" vertical="center"/>
    </xf>
    <xf numFmtId="0" fontId="0" fillId="0" borderId="0" xfId="0"/>
    <xf numFmtId="0" fontId="4" fillId="8" borderId="10" xfId="0" applyFont="1" applyFill="1" applyBorder="1" applyAlignment="1">
      <alignment horizontal="center" vertical="center"/>
    </xf>
    <xf numFmtId="0" fontId="19" fillId="8" borderId="32" xfId="0" applyFont="1" applyFill="1" applyBorder="1" applyAlignment="1">
      <alignment horizontal="left" vertical="center"/>
    </xf>
    <xf numFmtId="0" fontId="19" fillId="8" borderId="33" xfId="0" applyFont="1" applyFill="1" applyBorder="1" applyAlignment="1">
      <alignment horizontal="center" vertical="center"/>
    </xf>
    <xf numFmtId="2" fontId="7" fillId="8" borderId="17" xfId="0" applyNumberFormat="1" applyFont="1" applyFill="1" applyBorder="1" applyAlignment="1">
      <alignment horizontal="center" vertical="center"/>
    </xf>
    <xf numFmtId="2" fontId="7" fillId="7" borderId="10" xfId="0" applyNumberFormat="1" applyFont="1" applyFill="1" applyBorder="1" applyAlignment="1">
      <alignment horizontal="center" vertical="center"/>
    </xf>
    <xf numFmtId="1" fontId="7" fillId="8" borderId="10" xfId="0" applyNumberFormat="1" applyFont="1" applyFill="1" applyBorder="1" applyAlignment="1">
      <alignment horizontal="center" vertical="center"/>
    </xf>
    <xf numFmtId="1" fontId="7" fillId="7" borderId="10" xfId="0" applyNumberFormat="1" applyFont="1" applyFill="1" applyBorder="1" applyAlignment="1">
      <alignment horizontal="center" vertical="center"/>
    </xf>
    <xf numFmtId="1" fontId="7" fillId="54" borderId="10" xfId="0" applyNumberFormat="1" applyFont="1" applyFill="1" applyBorder="1" applyAlignment="1">
      <alignment horizontal="center" vertical="center"/>
    </xf>
    <xf numFmtId="1" fontId="7" fillId="5" borderId="10" xfId="0" applyNumberFormat="1" applyFont="1" applyFill="1" applyBorder="1" applyAlignment="1">
      <alignment horizontal="center" vertical="center"/>
    </xf>
    <xf numFmtId="0" fontId="0" fillId="0" borderId="0" xfId="0"/>
    <xf numFmtId="1" fontId="21" fillId="7" borderId="31" xfId="0" applyNumberFormat="1" applyFont="1" applyFill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1" fontId="21" fillId="8" borderId="34" xfId="0" applyNumberFormat="1" applyFont="1" applyFill="1" applyBorder="1" applyAlignment="1">
      <alignment horizontal="center" vertical="center"/>
    </xf>
    <xf numFmtId="1" fontId="21" fillId="8" borderId="62" xfId="0" applyNumberFormat="1" applyFont="1" applyFill="1" applyBorder="1" applyAlignment="1">
      <alignment horizontal="center" vertical="center"/>
    </xf>
    <xf numFmtId="1" fontId="4" fillId="7" borderId="76" xfId="0" applyNumberFormat="1" applyFont="1" applyFill="1" applyBorder="1" applyAlignment="1">
      <alignment horizontal="center" vertical="center"/>
    </xf>
    <xf numFmtId="167" fontId="4" fillId="7" borderId="9" xfId="0" applyNumberFormat="1" applyFont="1" applyFill="1" applyBorder="1" applyAlignment="1">
      <alignment horizontal="center" vertical="center"/>
    </xf>
    <xf numFmtId="0" fontId="21" fillId="7" borderId="62" xfId="0" applyFont="1" applyFill="1" applyBorder="1" applyAlignment="1">
      <alignment horizontal="center" vertical="center"/>
    </xf>
    <xf numFmtId="0" fontId="22" fillId="50" borderId="4" xfId="0" applyFont="1" applyFill="1" applyBorder="1" applyAlignment="1">
      <alignment horizontal="center" vertical="center"/>
    </xf>
    <xf numFmtId="2" fontId="7" fillId="8" borderId="17" xfId="0" applyNumberFormat="1" applyFont="1" applyFill="1" applyBorder="1" applyAlignment="1">
      <alignment horizontal="center" vertical="center"/>
    </xf>
    <xf numFmtId="1" fontId="21" fillId="5" borderId="10" xfId="0" applyNumberFormat="1" applyFont="1" applyFill="1" applyBorder="1" applyAlignment="1">
      <alignment horizontal="center" vertical="center"/>
    </xf>
    <xf numFmtId="1" fontId="21" fillId="5" borderId="31" xfId="0" applyNumberFormat="1" applyFont="1" applyFill="1" applyBorder="1" applyAlignment="1">
      <alignment horizontal="center" vertical="center"/>
    </xf>
    <xf numFmtId="0" fontId="22" fillId="5" borderId="4" xfId="0" applyFont="1" applyFill="1" applyBorder="1" applyAlignment="1">
      <alignment horizontal="center" vertical="center"/>
    </xf>
    <xf numFmtId="0" fontId="0" fillId="0" borderId="0" xfId="0"/>
    <xf numFmtId="167" fontId="4" fillId="5" borderId="76" xfId="0" applyNumberFormat="1" applyFont="1" applyFill="1" applyBorder="1" applyAlignment="1">
      <alignment horizontal="center" vertical="center"/>
    </xf>
    <xf numFmtId="167" fontId="4" fillId="5" borderId="9" xfId="0" applyNumberFormat="1" applyFont="1" applyFill="1" applyBorder="1" applyAlignment="1">
      <alignment horizontal="center" vertical="center"/>
    </xf>
    <xf numFmtId="1" fontId="4" fillId="5" borderId="63" xfId="0" applyNumberFormat="1" applyFont="1" applyFill="1" applyBorder="1" applyAlignment="1">
      <alignment horizontal="center" vertical="center"/>
    </xf>
    <xf numFmtId="1" fontId="4" fillId="5" borderId="51" xfId="0" applyNumberFormat="1" applyFont="1" applyFill="1" applyBorder="1" applyAlignment="1">
      <alignment horizontal="center" vertical="center"/>
    </xf>
    <xf numFmtId="1" fontId="21" fillId="7" borderId="31" xfId="0" applyNumberFormat="1" applyFont="1" applyFill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0" fillId="0" borderId="0" xfId="0"/>
    <xf numFmtId="0" fontId="24" fillId="43" borderId="10" xfId="0" applyFont="1" applyFill="1" applyBorder="1" applyAlignment="1">
      <alignment horizontal="center"/>
    </xf>
    <xf numFmtId="0" fontId="24" fillId="0" borderId="4" xfId="0" applyFont="1" applyBorder="1" applyAlignment="1">
      <alignment horizontal="center" vertical="center"/>
    </xf>
    <xf numFmtId="0" fontId="24" fillId="7" borderId="1" xfId="0" applyFont="1" applyFill="1" applyBorder="1" applyAlignment="1">
      <alignment horizontal="center" vertical="center"/>
    </xf>
    <xf numFmtId="0" fontId="24" fillId="5" borderId="1" xfId="0" applyFont="1" applyFill="1" applyBorder="1" applyAlignment="1">
      <alignment horizontal="center" vertical="center"/>
    </xf>
    <xf numFmtId="0" fontId="0" fillId="0" borderId="0" xfId="0"/>
    <xf numFmtId="0" fontId="159" fillId="0" borderId="10" xfId="376" applyFont="1" applyFill="1" applyBorder="1" applyAlignment="1">
      <alignment horizontal="center" vertical="center"/>
    </xf>
    <xf numFmtId="0" fontId="160" fillId="0" borderId="10" xfId="376" applyFont="1" applyFill="1" applyBorder="1" applyAlignment="1">
      <alignment horizontal="center" vertical="center"/>
    </xf>
    <xf numFmtId="0" fontId="159" fillId="0" borderId="10" xfId="376" applyFont="1" applyFill="1" applyBorder="1" applyAlignment="1">
      <alignment wrapText="1"/>
    </xf>
    <xf numFmtId="0" fontId="159" fillId="0" borderId="10" xfId="376" applyFont="1" applyFill="1" applyBorder="1"/>
    <xf numFmtId="0" fontId="160" fillId="0" borderId="10" xfId="376" applyFont="1" applyFill="1" applyBorder="1"/>
    <xf numFmtId="9" fontId="0" fillId="0" borderId="0" xfId="22" applyFont="1"/>
    <xf numFmtId="9" fontId="0" fillId="0" borderId="0" xfId="22" applyNumberFormat="1" applyFont="1"/>
    <xf numFmtId="0" fontId="0" fillId="0" borderId="0" xfId="0"/>
    <xf numFmtId="1" fontId="21" fillId="7" borderId="31" xfId="0" applyNumberFormat="1" applyFont="1" applyFill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0" fontId="22" fillId="0" borderId="4" xfId="0" applyFont="1" applyBorder="1" applyAlignment="1">
      <alignment horizontal="center" vertical="center"/>
    </xf>
    <xf numFmtId="0" fontId="22" fillId="7" borderId="4" xfId="0" applyFont="1" applyFill="1" applyBorder="1" applyAlignment="1">
      <alignment horizontal="center" vertical="center"/>
    </xf>
    <xf numFmtId="0" fontId="0" fillId="0" borderId="0" xfId="0"/>
    <xf numFmtId="0" fontId="22" fillId="7" borderId="4" xfId="0" applyFont="1" applyFill="1" applyBorder="1" applyAlignment="1">
      <alignment horizontal="center" vertical="center"/>
    </xf>
    <xf numFmtId="1" fontId="4" fillId="7" borderId="10" xfId="0" applyNumberFormat="1" applyFont="1" applyFill="1" applyBorder="1" applyAlignment="1">
      <alignment horizontal="center" vertical="center"/>
    </xf>
    <xf numFmtId="0" fontId="4" fillId="7" borderId="10" xfId="0" applyFont="1" applyFill="1" applyBorder="1" applyAlignment="1">
      <alignment horizontal="center" vertical="center"/>
    </xf>
    <xf numFmtId="1" fontId="7" fillId="7" borderId="10" xfId="0" applyNumberFormat="1" applyFont="1" applyFill="1" applyBorder="1" applyAlignment="1">
      <alignment horizontal="center" vertical="center"/>
    </xf>
    <xf numFmtId="1" fontId="4" fillId="0" borderId="10" xfId="0" applyNumberFormat="1" applyFont="1" applyBorder="1" applyAlignment="1">
      <alignment horizontal="center" vertical="center"/>
    </xf>
    <xf numFmtId="1" fontId="7" fillId="8" borderId="10" xfId="0" applyNumberFormat="1" applyFont="1" applyFill="1" applyBorder="1" applyAlignment="1">
      <alignment horizontal="center"/>
    </xf>
    <xf numFmtId="1" fontId="7" fillId="8" borderId="10" xfId="0" applyNumberFormat="1" applyFont="1" applyFill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0" fillId="0" borderId="0" xfId="0"/>
    <xf numFmtId="1" fontId="4" fillId="7" borderId="10" xfId="0" applyNumberFormat="1" applyFont="1" applyFill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7" borderId="10" xfId="0" applyFont="1" applyFill="1" applyBorder="1" applyAlignment="1">
      <alignment horizontal="center" vertical="center"/>
    </xf>
    <xf numFmtId="0" fontId="0" fillId="0" borderId="0" xfId="0"/>
    <xf numFmtId="0" fontId="4" fillId="8" borderId="10" xfId="0" applyFont="1" applyFill="1" applyBorder="1" applyAlignment="1">
      <alignment horizontal="center" vertical="center"/>
    </xf>
    <xf numFmtId="1" fontId="21" fillId="0" borderId="31" xfId="0" applyNumberFormat="1" applyFont="1" applyBorder="1" applyAlignment="1">
      <alignment horizontal="center" vertical="center"/>
    </xf>
    <xf numFmtId="1" fontId="21" fillId="7" borderId="31" xfId="0" applyNumberFormat="1" applyFont="1" applyFill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1" fontId="21" fillId="8" borderId="29" xfId="0" applyNumberFormat="1" applyFont="1" applyFill="1" applyBorder="1" applyAlignment="1">
      <alignment horizontal="center" vertical="center"/>
    </xf>
    <xf numFmtId="0" fontId="22" fillId="7" borderId="1" xfId="0" applyFont="1" applyFill="1" applyBorder="1" applyAlignment="1">
      <alignment horizontal="center" vertical="center"/>
    </xf>
    <xf numFmtId="1" fontId="22" fillId="0" borderId="85" xfId="0" applyNumberFormat="1" applyFont="1" applyBorder="1" applyAlignment="1">
      <alignment horizontal="center" vertical="center"/>
    </xf>
    <xf numFmtId="1" fontId="22" fillId="0" borderId="76" xfId="0" applyNumberFormat="1" applyFont="1" applyBorder="1" applyAlignment="1">
      <alignment horizontal="center" vertical="center"/>
    </xf>
    <xf numFmtId="0" fontId="0" fillId="0" borderId="0" xfId="0"/>
    <xf numFmtId="1" fontId="21" fillId="8" borderId="34" xfId="0" applyNumberFormat="1" applyFont="1" applyFill="1" applyBorder="1" applyAlignment="1">
      <alignment horizontal="center" vertical="center"/>
    </xf>
    <xf numFmtId="1" fontId="21" fillId="8" borderId="62" xfId="0" applyNumberFormat="1" applyFont="1" applyFill="1" applyBorder="1" applyAlignment="1">
      <alignment horizontal="center" vertical="center"/>
    </xf>
    <xf numFmtId="167" fontId="21" fillId="0" borderId="74" xfId="0" applyNumberFormat="1" applyFont="1" applyBorder="1" applyAlignment="1">
      <alignment horizontal="center" vertical="center"/>
    </xf>
    <xf numFmtId="167" fontId="21" fillId="7" borderId="46" xfId="0" applyNumberFormat="1" applyFont="1" applyFill="1" applyBorder="1" applyAlignment="1">
      <alignment horizontal="center" vertical="center"/>
    </xf>
    <xf numFmtId="0" fontId="27" fillId="0" borderId="10" xfId="0" applyFont="1" applyBorder="1" applyAlignment="1">
      <alignment horizontal="center" vertical="center"/>
    </xf>
    <xf numFmtId="0" fontId="27" fillId="7" borderId="10" xfId="0" applyFont="1" applyFill="1" applyBorder="1" applyAlignment="1">
      <alignment horizontal="center" vertical="center"/>
    </xf>
    <xf numFmtId="1" fontId="21" fillId="7" borderId="62" xfId="0" applyNumberFormat="1" applyFont="1" applyFill="1" applyBorder="1" applyAlignment="1">
      <alignment horizontal="center" vertical="center"/>
    </xf>
    <xf numFmtId="1" fontId="21" fillId="7" borderId="31" xfId="0" applyNumberFormat="1" applyFont="1" applyFill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1" fontId="22" fillId="7" borderId="74" xfId="0" applyNumberFormat="1" applyFont="1" applyFill="1" applyBorder="1" applyAlignment="1">
      <alignment horizontal="center" vertical="center"/>
    </xf>
    <xf numFmtId="1" fontId="4" fillId="7" borderId="10" xfId="0" applyNumberFormat="1" applyFont="1" applyFill="1" applyBorder="1" applyAlignment="1">
      <alignment horizontal="center" vertical="center"/>
    </xf>
    <xf numFmtId="0" fontId="0" fillId="0" borderId="0" xfId="0"/>
    <xf numFmtId="1" fontId="21" fillId="7" borderId="74" xfId="0" applyNumberFormat="1" applyFont="1" applyFill="1" applyBorder="1" applyAlignment="1">
      <alignment horizontal="center" vertical="center"/>
    </xf>
    <xf numFmtId="1" fontId="21" fillId="7" borderId="9" xfId="0" applyNumberFormat="1" applyFont="1" applyFill="1" applyBorder="1" applyAlignment="1">
      <alignment horizontal="center" vertical="center"/>
    </xf>
    <xf numFmtId="1" fontId="21" fillId="8" borderId="62" xfId="0" applyNumberFormat="1" applyFont="1" applyFill="1" applyBorder="1" applyAlignment="1">
      <alignment horizontal="center" vertical="center"/>
    </xf>
    <xf numFmtId="1" fontId="21" fillId="8" borderId="34" xfId="0" applyNumberFormat="1" applyFont="1" applyFill="1" applyBorder="1" applyAlignment="1">
      <alignment horizontal="center" vertical="center"/>
    </xf>
    <xf numFmtId="1" fontId="21" fillId="8" borderId="7" xfId="0" applyNumberFormat="1" applyFont="1" applyFill="1" applyBorder="1" applyAlignment="1">
      <alignment horizontal="center" vertical="center"/>
    </xf>
    <xf numFmtId="1" fontId="21" fillId="8" borderId="74" xfId="0" quotePrefix="1" applyNumberFormat="1" applyFont="1" applyFill="1" applyBorder="1" applyAlignment="1">
      <alignment horizontal="center" vertical="center"/>
    </xf>
    <xf numFmtId="0" fontId="22" fillId="7" borderId="10" xfId="0" applyFont="1" applyFill="1" applyBorder="1" applyAlignment="1">
      <alignment horizontal="center" vertical="center"/>
    </xf>
    <xf numFmtId="0" fontId="46" fillId="0" borderId="0" xfId="0" applyFont="1" applyAlignment="1">
      <alignment horizontal="center"/>
    </xf>
    <xf numFmtId="0" fontId="22" fillId="7" borderId="10" xfId="0" applyFont="1" applyFill="1" applyBorder="1" applyAlignment="1">
      <alignment horizontal="center" vertical="center"/>
    </xf>
    <xf numFmtId="1" fontId="21" fillId="0" borderId="31" xfId="0" applyNumberFormat="1" applyFont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0" fontId="22" fillId="7" borderId="1" xfId="0" applyFont="1" applyFill="1" applyBorder="1" applyAlignment="1">
      <alignment horizontal="center" vertical="center"/>
    </xf>
    <xf numFmtId="0" fontId="22" fillId="7" borderId="4" xfId="0" applyFont="1" applyFill="1" applyBorder="1" applyAlignment="1">
      <alignment horizontal="center" vertical="center"/>
    </xf>
    <xf numFmtId="0" fontId="0" fillId="0" borderId="0" xfId="0"/>
    <xf numFmtId="1" fontId="7" fillId="7" borderId="10" xfId="0" applyNumberFormat="1" applyFont="1" applyFill="1" applyBorder="1" applyAlignment="1">
      <alignment horizontal="center" vertical="center"/>
    </xf>
    <xf numFmtId="0" fontId="4" fillId="7" borderId="10" xfId="0" applyFont="1" applyFill="1" applyBorder="1" applyAlignment="1">
      <alignment horizontal="center" vertical="center"/>
    </xf>
    <xf numFmtId="0" fontId="0" fillId="0" borderId="0" xfId="0"/>
    <xf numFmtId="0" fontId="4" fillId="8" borderId="10" xfId="0" applyFont="1" applyFill="1" applyBorder="1" applyAlignment="1">
      <alignment horizontal="center" vertical="center"/>
    </xf>
    <xf numFmtId="0" fontId="37" fillId="0" borderId="10" xfId="0" applyFont="1" applyBorder="1" applyAlignment="1">
      <alignment horizontal="center"/>
    </xf>
    <xf numFmtId="2" fontId="7" fillId="8" borderId="17" xfId="0" applyNumberFormat="1" applyFont="1" applyFill="1" applyBorder="1" applyAlignment="1">
      <alignment horizontal="center" vertical="center"/>
    </xf>
    <xf numFmtId="2" fontId="7" fillId="7" borderId="10" xfId="0" applyNumberFormat="1" applyFont="1" applyFill="1" applyBorder="1" applyAlignment="1">
      <alignment horizontal="center" vertical="center"/>
    </xf>
    <xf numFmtId="1" fontId="21" fillId="7" borderId="31" xfId="0" applyNumberFormat="1" applyFont="1" applyFill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0" fontId="7" fillId="0" borderId="46" xfId="0" applyFont="1" applyBorder="1" applyAlignment="1">
      <alignment vertical="center"/>
    </xf>
    <xf numFmtId="0" fontId="7" fillId="0" borderId="30" xfId="0" applyFont="1" applyBorder="1" applyAlignment="1">
      <alignment vertical="center"/>
    </xf>
    <xf numFmtId="0" fontId="7" fillId="7" borderId="46" xfId="0" applyFont="1" applyFill="1" applyBorder="1" applyAlignment="1">
      <alignment vertical="center"/>
    </xf>
    <xf numFmtId="0" fontId="7" fillId="7" borderId="30" xfId="0" applyFont="1" applyFill="1" applyBorder="1" applyAlignment="1">
      <alignment vertical="center"/>
    </xf>
    <xf numFmtId="1" fontId="4" fillId="0" borderId="10" xfId="0" applyNumberFormat="1" applyFont="1" applyBorder="1" applyAlignment="1">
      <alignment horizontal="center" vertical="center"/>
    </xf>
    <xf numFmtId="1" fontId="4" fillId="7" borderId="10" xfId="0" applyNumberFormat="1" applyFont="1" applyFill="1" applyBorder="1" applyAlignment="1">
      <alignment horizontal="center" vertical="center"/>
    </xf>
    <xf numFmtId="1" fontId="7" fillId="8" borderId="10" xfId="0" applyNumberFormat="1" applyFont="1" applyFill="1" applyBorder="1" applyAlignment="1">
      <alignment horizontal="center"/>
    </xf>
    <xf numFmtId="1" fontId="7" fillId="8" borderId="10" xfId="0" applyNumberFormat="1" applyFont="1" applyFill="1" applyBorder="1" applyAlignment="1">
      <alignment horizontal="center" vertical="center"/>
    </xf>
    <xf numFmtId="1" fontId="7" fillId="7" borderId="10" xfId="0" applyNumberFormat="1" applyFont="1" applyFill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7" borderId="10" xfId="0" applyFont="1" applyFill="1" applyBorder="1" applyAlignment="1">
      <alignment horizontal="center" vertical="center"/>
    </xf>
    <xf numFmtId="0" fontId="0" fillId="0" borderId="0" xfId="0"/>
    <xf numFmtId="1" fontId="21" fillId="8" borderId="62" xfId="0" applyNumberFormat="1" applyFont="1" applyFill="1" applyBorder="1" applyAlignment="1">
      <alignment horizontal="center" vertical="center"/>
    </xf>
    <xf numFmtId="1" fontId="21" fillId="8" borderId="34" xfId="0" applyNumberFormat="1" applyFont="1" applyFill="1" applyBorder="1" applyAlignment="1">
      <alignment horizontal="center" vertical="center"/>
    </xf>
    <xf numFmtId="0" fontId="22" fillId="0" borderId="10" xfId="0" applyFont="1" applyBorder="1" applyAlignment="1">
      <alignment horizontal="center" vertical="center"/>
    </xf>
    <xf numFmtId="167" fontId="4" fillId="7" borderId="9" xfId="0" applyNumberFormat="1" applyFont="1" applyFill="1" applyBorder="1" applyAlignment="1">
      <alignment horizontal="center" vertical="center"/>
    </xf>
    <xf numFmtId="1" fontId="4" fillId="7" borderId="76" xfId="0" applyNumberFormat="1" applyFont="1" applyFill="1" applyBorder="1" applyAlignment="1">
      <alignment horizontal="center" vertical="center"/>
    </xf>
    <xf numFmtId="0" fontId="21" fillId="7" borderId="62" xfId="0" applyFont="1" applyFill="1" applyBorder="1" applyAlignment="1">
      <alignment horizontal="center" vertical="center"/>
    </xf>
    <xf numFmtId="0" fontId="22" fillId="50" borderId="4" xfId="0" applyFont="1" applyFill="1" applyBorder="1" applyAlignment="1">
      <alignment horizontal="center" vertical="center"/>
    </xf>
    <xf numFmtId="0" fontId="22" fillId="7" borderId="10" xfId="0" applyFont="1" applyFill="1" applyBorder="1" applyAlignment="1">
      <alignment horizontal="center" vertical="center"/>
    </xf>
    <xf numFmtId="0" fontId="19" fillId="8" borderId="33" xfId="0" applyFont="1" applyFill="1" applyBorder="1" applyAlignment="1">
      <alignment horizontal="center" vertical="center"/>
    </xf>
    <xf numFmtId="0" fontId="24" fillId="7" borderId="1" xfId="0" applyFont="1" applyFill="1" applyBorder="1" applyAlignment="1">
      <alignment horizontal="center" vertical="center"/>
    </xf>
    <xf numFmtId="0" fontId="24" fillId="0" borderId="4" xfId="0" applyFont="1" applyBorder="1" applyAlignment="1">
      <alignment horizontal="center" vertical="center"/>
    </xf>
    <xf numFmtId="0" fontId="0" fillId="0" borderId="0" xfId="0"/>
    <xf numFmtId="0" fontId="24" fillId="43" borderId="10" xfId="0" applyFont="1" applyFill="1" applyBorder="1" applyAlignment="1">
      <alignment horizontal="center"/>
    </xf>
    <xf numFmtId="1" fontId="21" fillId="45" borderId="3" xfId="0" applyNumberFormat="1" applyFont="1" applyFill="1" applyBorder="1" applyAlignment="1">
      <alignment horizontal="center" vertical="center"/>
    </xf>
    <xf numFmtId="1" fontId="22" fillId="45" borderId="29" xfId="0" applyNumberFormat="1" applyFont="1" applyFill="1" applyBorder="1" applyAlignment="1">
      <alignment horizontal="center" vertical="center"/>
    </xf>
    <xf numFmtId="0" fontId="46" fillId="45" borderId="29" xfId="0" applyFont="1" applyFill="1" applyBorder="1"/>
    <xf numFmtId="167" fontId="21" fillId="45" borderId="29" xfId="0" applyNumberFormat="1" applyFont="1" applyFill="1" applyBorder="1" applyAlignment="1">
      <alignment horizontal="center" vertical="center"/>
    </xf>
    <xf numFmtId="167" fontId="22" fillId="45" borderId="29" xfId="0" applyNumberFormat="1" applyFont="1" applyFill="1" applyBorder="1" applyAlignment="1">
      <alignment horizontal="center" vertical="center"/>
    </xf>
    <xf numFmtId="167" fontId="21" fillId="45" borderId="36" xfId="0" applyNumberFormat="1" applyFont="1" applyFill="1" applyBorder="1" applyAlignment="1">
      <alignment horizontal="center" vertical="center"/>
    </xf>
    <xf numFmtId="167" fontId="21" fillId="45" borderId="59" xfId="0" applyNumberFormat="1" applyFont="1" applyFill="1" applyBorder="1" applyAlignment="1">
      <alignment horizontal="center" vertical="center"/>
    </xf>
    <xf numFmtId="1" fontId="7" fillId="8" borderId="10" xfId="0" applyNumberFormat="1" applyFont="1" applyFill="1" applyBorder="1" applyAlignment="1">
      <alignment horizontal="center" vertical="center"/>
    </xf>
    <xf numFmtId="1" fontId="21" fillId="8" borderId="29" xfId="0" applyNumberFormat="1" applyFont="1" applyFill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0" fillId="0" borderId="0" xfId="0"/>
    <xf numFmtId="0" fontId="4" fillId="8" borderId="10" xfId="0" applyFont="1" applyFill="1" applyBorder="1" applyAlignment="1">
      <alignment horizontal="center" vertical="center"/>
    </xf>
    <xf numFmtId="1" fontId="7" fillId="7" borderId="10" xfId="0" applyNumberFormat="1" applyFont="1" applyFill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1" fontId="7" fillId="8" borderId="10" xfId="0" applyNumberFormat="1" applyFont="1" applyFill="1" applyBorder="1" applyAlignment="1">
      <alignment horizontal="center" vertical="center"/>
    </xf>
    <xf numFmtId="1" fontId="7" fillId="5" borderId="10" xfId="0" applyNumberFormat="1" applyFont="1" applyFill="1" applyBorder="1" applyAlignment="1">
      <alignment horizontal="center" vertical="center"/>
    </xf>
    <xf numFmtId="0" fontId="0" fillId="0" borderId="0" xfId="0"/>
    <xf numFmtId="1" fontId="7" fillId="54" borderId="10" xfId="0" applyNumberFormat="1" applyFont="1" applyFill="1" applyBorder="1" applyAlignment="1">
      <alignment horizontal="center" vertical="center"/>
    </xf>
    <xf numFmtId="0" fontId="21" fillId="0" borderId="32" xfId="0" applyFont="1" applyBorder="1" applyAlignment="1">
      <alignment horizontal="right" vertical="center"/>
    </xf>
    <xf numFmtId="0" fontId="0" fillId="0" borderId="26" xfId="0" applyBorder="1"/>
    <xf numFmtId="0" fontId="7" fillId="8" borderId="30" xfId="0" applyFont="1" applyFill="1" applyBorder="1" applyAlignment="1">
      <alignment horizontal="left" vertical="center"/>
    </xf>
    <xf numFmtId="1" fontId="7" fillId="0" borderId="30" xfId="0" applyNumberFormat="1" applyFont="1" applyBorder="1" applyAlignment="1">
      <alignment vertical="center"/>
    </xf>
    <xf numFmtId="1" fontId="7" fillId="0" borderId="30" xfId="0" applyNumberFormat="1" applyFont="1" applyBorder="1" applyAlignment="1">
      <alignment horizontal="center" vertical="center"/>
    </xf>
    <xf numFmtId="1" fontId="7" fillId="7" borderId="30" xfId="0" applyNumberFormat="1" applyFont="1" applyFill="1" applyBorder="1" applyAlignment="1">
      <alignment vertical="center"/>
    </xf>
    <xf numFmtId="1" fontId="7" fillId="5" borderId="30" xfId="0" applyNumberFormat="1" applyFont="1" applyFill="1" applyBorder="1" applyAlignment="1">
      <alignment vertical="center"/>
    </xf>
    <xf numFmtId="1" fontId="7" fillId="54" borderId="30" xfId="0" applyNumberFormat="1" applyFont="1" applyFill="1" applyBorder="1" applyAlignment="1">
      <alignment vertical="center"/>
    </xf>
    <xf numFmtId="1" fontId="7" fillId="54" borderId="30" xfId="0" applyNumberFormat="1" applyFont="1" applyFill="1" applyBorder="1" applyAlignment="1">
      <alignment horizontal="center" vertical="center"/>
    </xf>
    <xf numFmtId="0" fontId="145" fillId="0" borderId="63" xfId="0" quotePrefix="1" applyFont="1" applyBorder="1" applyAlignment="1">
      <alignment horizontal="left" vertical="center" wrapText="1"/>
    </xf>
    <xf numFmtId="0" fontId="7" fillId="0" borderId="41" xfId="0" applyFont="1" applyBorder="1" applyAlignment="1">
      <alignment horizontal="left" vertical="center"/>
    </xf>
    <xf numFmtId="1" fontId="7" fillId="0" borderId="41" xfId="0" applyNumberFormat="1" applyFont="1" applyBorder="1" applyAlignment="1">
      <alignment vertical="center"/>
    </xf>
    <xf numFmtId="1" fontId="7" fillId="0" borderId="41" xfId="0" applyNumberFormat="1" applyFont="1" applyBorder="1" applyAlignment="1">
      <alignment horizontal="center" vertical="center"/>
    </xf>
    <xf numFmtId="1" fontId="7" fillId="7" borderId="41" xfId="0" applyNumberFormat="1" applyFont="1" applyFill="1" applyBorder="1" applyAlignment="1">
      <alignment vertical="center"/>
    </xf>
    <xf numFmtId="1" fontId="7" fillId="7" borderId="41" xfId="0" applyNumberFormat="1" applyFont="1" applyFill="1" applyBorder="1" applyAlignment="1">
      <alignment horizontal="center" vertical="center"/>
    </xf>
    <xf numFmtId="1" fontId="7" fillId="5" borderId="41" xfId="0" applyNumberFormat="1" applyFont="1" applyFill="1" applyBorder="1" applyAlignment="1">
      <alignment vertical="center"/>
    </xf>
    <xf numFmtId="1" fontId="7" fillId="5" borderId="41" xfId="0" applyNumberFormat="1" applyFont="1" applyFill="1" applyBorder="1" applyAlignment="1">
      <alignment horizontal="center" vertical="center"/>
    </xf>
    <xf numFmtId="1" fontId="7" fillId="54" borderId="41" xfId="0" applyNumberFormat="1" applyFont="1" applyFill="1" applyBorder="1" applyAlignment="1">
      <alignment vertical="center"/>
    </xf>
    <xf numFmtId="1" fontId="7" fillId="54" borderId="41" xfId="0" applyNumberFormat="1" applyFont="1" applyFill="1" applyBorder="1" applyAlignment="1">
      <alignment horizontal="center" vertical="center"/>
    </xf>
    <xf numFmtId="0" fontId="145" fillId="0" borderId="31" xfId="0" quotePrefix="1" applyFont="1" applyBorder="1" applyAlignment="1">
      <alignment horizontal="left" vertical="center" wrapText="1"/>
    </xf>
    <xf numFmtId="0" fontId="145" fillId="0" borderId="32" xfId="0" quotePrefix="1" applyFont="1" applyBorder="1" applyAlignment="1">
      <alignment horizontal="left" vertical="center" wrapText="1"/>
    </xf>
    <xf numFmtId="0" fontId="7" fillId="0" borderId="23" xfId="0" applyFont="1" applyBorder="1" applyAlignment="1">
      <alignment horizontal="left" vertical="center"/>
    </xf>
    <xf numFmtId="1" fontId="7" fillId="0" borderId="23" xfId="0" applyNumberFormat="1" applyFont="1" applyBorder="1" applyAlignment="1">
      <alignment vertical="center"/>
    </xf>
    <xf numFmtId="1" fontId="7" fillId="0" borderId="23" xfId="0" applyNumberFormat="1" applyFont="1" applyBorder="1" applyAlignment="1">
      <alignment horizontal="center" vertical="center"/>
    </xf>
    <xf numFmtId="1" fontId="7" fillId="7" borderId="23" xfId="0" applyNumberFormat="1" applyFont="1" applyFill="1" applyBorder="1" applyAlignment="1">
      <alignment vertical="center"/>
    </xf>
    <xf numFmtId="1" fontId="7" fillId="7" borderId="23" xfId="0" applyNumberFormat="1" applyFont="1" applyFill="1" applyBorder="1" applyAlignment="1">
      <alignment horizontal="center" vertical="center"/>
    </xf>
    <xf numFmtId="1" fontId="7" fillId="5" borderId="23" xfId="0" applyNumberFormat="1" applyFont="1" applyFill="1" applyBorder="1" applyAlignment="1">
      <alignment vertical="center"/>
    </xf>
    <xf numFmtId="1" fontId="7" fillId="5" borderId="23" xfId="0" applyNumberFormat="1" applyFont="1" applyFill="1" applyBorder="1" applyAlignment="1">
      <alignment horizontal="center" vertical="center"/>
    </xf>
    <xf numFmtId="1" fontId="7" fillId="54" borderId="23" xfId="0" applyNumberFormat="1" applyFont="1" applyFill="1" applyBorder="1" applyAlignment="1">
      <alignment vertical="center"/>
    </xf>
    <xf numFmtId="1" fontId="7" fillId="54" borderId="23" xfId="0" applyNumberFormat="1" applyFont="1" applyFill="1" applyBorder="1" applyAlignment="1">
      <alignment horizontal="center" vertical="center"/>
    </xf>
    <xf numFmtId="1" fontId="7" fillId="7" borderId="33" xfId="0" applyNumberFormat="1" applyFont="1" applyFill="1" applyBorder="1" applyAlignment="1">
      <alignment horizontal="center" vertical="center"/>
    </xf>
    <xf numFmtId="0" fontId="41" fillId="8" borderId="45" xfId="0" applyFont="1" applyFill="1" applyBorder="1" applyAlignment="1">
      <alignment horizontal="left" vertical="center" wrapText="1"/>
    </xf>
    <xf numFmtId="0" fontId="5" fillId="8" borderId="45" xfId="0" applyFont="1" applyFill="1" applyBorder="1" applyAlignment="1">
      <alignment vertical="center"/>
    </xf>
    <xf numFmtId="0" fontId="5" fillId="8" borderId="41" xfId="0" applyFont="1" applyFill="1" applyBorder="1" applyAlignment="1">
      <alignment vertical="center"/>
    </xf>
    <xf numFmtId="0" fontId="5" fillId="7" borderId="41" xfId="0" applyFont="1" applyFill="1" applyBorder="1" applyAlignment="1">
      <alignment vertical="center"/>
    </xf>
    <xf numFmtId="0" fontId="5" fillId="5" borderId="41" xfId="0" applyFont="1" applyFill="1" applyBorder="1" applyAlignment="1">
      <alignment vertical="center"/>
    </xf>
    <xf numFmtId="0" fontId="5" fillId="54" borderId="41" xfId="0" applyFont="1" applyFill="1" applyBorder="1" applyAlignment="1">
      <alignment vertical="center"/>
    </xf>
    <xf numFmtId="0" fontId="7" fillId="7" borderId="10" xfId="0" applyFont="1" applyFill="1" applyBorder="1" applyAlignment="1">
      <alignment horizontal="center" vertical="center"/>
    </xf>
    <xf numFmtId="1" fontId="7" fillId="7" borderId="10" xfId="0" applyNumberFormat="1" applyFont="1" applyFill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7" fillId="5" borderId="10" xfId="0" applyFont="1" applyFill="1" applyBorder="1" applyAlignment="1">
      <alignment horizontal="center" vertical="center"/>
    </xf>
    <xf numFmtId="1" fontId="7" fillId="8" borderId="10" xfId="0" applyNumberFormat="1" applyFont="1" applyFill="1" applyBorder="1" applyAlignment="1">
      <alignment horizontal="center" vertical="center"/>
    </xf>
    <xf numFmtId="1" fontId="7" fillId="5" borderId="10" xfId="0" applyNumberFormat="1" applyFont="1" applyFill="1" applyBorder="1" applyAlignment="1">
      <alignment horizontal="center" vertical="center"/>
    </xf>
    <xf numFmtId="0" fontId="7" fillId="54" borderId="10" xfId="0" applyFont="1" applyFill="1" applyBorder="1" applyAlignment="1">
      <alignment horizontal="center" vertical="center"/>
    </xf>
    <xf numFmtId="1" fontId="7" fillId="54" borderId="10" xfId="0" applyNumberFormat="1" applyFont="1" applyFill="1" applyBorder="1" applyAlignment="1">
      <alignment horizontal="center" vertical="center"/>
    </xf>
    <xf numFmtId="1" fontId="7" fillId="7" borderId="30" xfId="0" applyNumberFormat="1" applyFont="1" applyFill="1" applyBorder="1" applyAlignment="1">
      <alignment horizontal="center" vertical="center"/>
    </xf>
    <xf numFmtId="164" fontId="145" fillId="8" borderId="30" xfId="0" quotePrefix="1" applyNumberFormat="1" applyFont="1" applyFill="1" applyBorder="1" applyAlignment="1">
      <alignment horizontal="left" vertical="center" wrapText="1"/>
    </xf>
    <xf numFmtId="0" fontId="145" fillId="8" borderId="63" xfId="0" quotePrefix="1" applyFont="1" applyFill="1" applyBorder="1" applyAlignment="1">
      <alignment horizontal="left" vertical="center" wrapText="1"/>
    </xf>
    <xf numFmtId="0" fontId="7" fillId="8" borderId="41" xfId="0" applyFont="1" applyFill="1" applyBorder="1" applyAlignment="1">
      <alignment horizontal="left" vertical="center"/>
    </xf>
    <xf numFmtId="0" fontId="145" fillId="8" borderId="31" xfId="0" quotePrefix="1" applyFont="1" applyFill="1" applyBorder="1" applyAlignment="1">
      <alignment horizontal="left" vertical="center" wrapText="1"/>
    </xf>
    <xf numFmtId="0" fontId="145" fillId="8" borderId="32" xfId="0" quotePrefix="1" applyFont="1" applyFill="1" applyBorder="1" applyAlignment="1">
      <alignment horizontal="left" vertical="center" wrapText="1"/>
    </xf>
    <xf numFmtId="0" fontId="7" fillId="8" borderId="23" xfId="0" applyFont="1" applyFill="1" applyBorder="1" applyAlignment="1">
      <alignment horizontal="left" vertical="center"/>
    </xf>
    <xf numFmtId="164" fontId="145" fillId="8" borderId="63" xfId="0" quotePrefix="1" applyNumberFormat="1" applyFont="1" applyFill="1" applyBorder="1" applyAlignment="1">
      <alignment horizontal="left" vertical="center" wrapText="1"/>
    </xf>
    <xf numFmtId="164" fontId="145" fillId="8" borderId="31" xfId="0" quotePrefix="1" applyNumberFormat="1" applyFont="1" applyFill="1" applyBorder="1" applyAlignment="1">
      <alignment horizontal="left" vertical="center" wrapText="1"/>
    </xf>
    <xf numFmtId="164" fontId="145" fillId="8" borderId="32" xfId="0" quotePrefix="1" applyNumberFormat="1" applyFont="1" applyFill="1" applyBorder="1" applyAlignment="1">
      <alignment horizontal="left" vertical="center" wrapText="1"/>
    </xf>
    <xf numFmtId="0" fontId="7" fillId="0" borderId="23" xfId="0" applyFont="1" applyBorder="1" applyAlignment="1">
      <alignment horizontal="center" vertical="center"/>
    </xf>
    <xf numFmtId="0" fontId="7" fillId="7" borderId="23" xfId="0" applyFont="1" applyFill="1" applyBorder="1" applyAlignment="1">
      <alignment horizontal="center" vertical="center"/>
    </xf>
    <xf numFmtId="0" fontId="7" fillId="5" borderId="23" xfId="0" applyFont="1" applyFill="1" applyBorder="1" applyAlignment="1">
      <alignment horizontal="center" vertical="center"/>
    </xf>
    <xf numFmtId="0" fontId="7" fillId="54" borderId="23" xfId="0" applyFont="1" applyFill="1" applyBorder="1" applyAlignment="1">
      <alignment horizontal="center" vertical="center"/>
    </xf>
    <xf numFmtId="0" fontId="0" fillId="0" borderId="0" xfId="0"/>
    <xf numFmtId="167" fontId="22" fillId="7" borderId="41" xfId="0" applyNumberFormat="1" applyFont="1" applyFill="1" applyBorder="1" applyAlignment="1">
      <alignment horizontal="center" vertical="center"/>
    </xf>
    <xf numFmtId="0" fontId="12" fillId="0" borderId="0" xfId="0" applyFont="1" applyAlignment="1">
      <alignment wrapText="1"/>
    </xf>
    <xf numFmtId="1" fontId="99" fillId="0" borderId="135" xfId="786" applyNumberFormat="1" applyFont="1" applyFill="1" applyBorder="1" applyAlignment="1">
      <alignment horizontal="center" vertical="center"/>
    </xf>
    <xf numFmtId="1" fontId="119" fillId="0" borderId="135" xfId="0" applyNumberFormat="1" applyFont="1" applyFill="1" applyBorder="1" applyAlignment="1">
      <alignment horizontal="center" vertical="center" wrapText="1"/>
    </xf>
    <xf numFmtId="0" fontId="119" fillId="0" borderId="135" xfId="0" applyFont="1" applyFill="1" applyBorder="1" applyAlignment="1">
      <alignment horizontal="center" vertical="center" wrapText="1"/>
    </xf>
    <xf numFmtId="0" fontId="12" fillId="0" borderId="135" xfId="0" applyFont="1" applyBorder="1"/>
    <xf numFmtId="1" fontId="38" fillId="0" borderId="29" xfId="0" applyNumberFormat="1" applyFont="1" applyBorder="1" applyAlignment="1">
      <alignment horizontal="center" vertical="center"/>
    </xf>
    <xf numFmtId="2" fontId="38" fillId="0" borderId="29" xfId="0" applyNumberFormat="1" applyFont="1" applyBorder="1" applyAlignment="1">
      <alignment horizontal="center" vertical="center"/>
    </xf>
    <xf numFmtId="0" fontId="57" fillId="0" borderId="2" xfId="0" applyFont="1" applyBorder="1"/>
    <xf numFmtId="0" fontId="0" fillId="0" borderId="35" xfId="0" applyBorder="1"/>
    <xf numFmtId="0" fontId="12" fillId="0" borderId="135" xfId="0" applyFont="1" applyBorder="1" applyAlignment="1">
      <alignment horizontal="right"/>
    </xf>
    <xf numFmtId="0" fontId="12" fillId="0" borderId="17" xfId="0" applyFont="1" applyBorder="1" applyAlignment="1">
      <alignment horizontal="center" vertical="center"/>
    </xf>
    <xf numFmtId="0" fontId="12" fillId="0" borderId="72" xfId="0" applyFont="1" applyBorder="1" applyAlignment="1">
      <alignment horizontal="center" vertical="center"/>
    </xf>
    <xf numFmtId="0" fontId="12" fillId="0" borderId="0" xfId="0" applyFont="1" applyBorder="1"/>
    <xf numFmtId="0" fontId="12" fillId="0" borderId="54" xfId="0" applyFont="1" applyBorder="1"/>
    <xf numFmtId="0" fontId="12" fillId="0" borderId="31" xfId="0" applyFont="1" applyBorder="1"/>
    <xf numFmtId="0" fontId="12" fillId="0" borderId="17" xfId="0" applyFont="1" applyBorder="1"/>
    <xf numFmtId="0" fontId="12" fillId="0" borderId="32" xfId="0" applyFont="1" applyBorder="1"/>
    <xf numFmtId="0" fontId="12" fillId="0" borderId="23" xfId="0" applyFont="1" applyBorder="1"/>
    <xf numFmtId="0" fontId="12" fillId="0" borderId="33" xfId="0" applyFont="1" applyBorder="1"/>
    <xf numFmtId="0" fontId="28" fillId="0" borderId="45" xfId="0" applyFont="1" applyBorder="1" applyAlignment="1">
      <alignment horizontal="left" vertical="center"/>
    </xf>
    <xf numFmtId="167" fontId="15" fillId="0" borderId="45" xfId="0" applyNumberFormat="1" applyFont="1" applyBorder="1" applyAlignment="1">
      <alignment horizontal="center" vertical="center"/>
    </xf>
    <xf numFmtId="1" fontId="15" fillId="0" borderId="45" xfId="0" applyNumberFormat="1" applyFont="1" applyBorder="1" applyAlignment="1">
      <alignment horizontal="center" vertical="center"/>
    </xf>
    <xf numFmtId="167" fontId="15" fillId="7" borderId="45" xfId="0" applyNumberFormat="1" applyFont="1" applyFill="1" applyBorder="1" applyAlignment="1">
      <alignment horizontal="center" vertical="center"/>
    </xf>
    <xf numFmtId="1" fontId="15" fillId="7" borderId="45" xfId="0" applyNumberFormat="1" applyFont="1" applyFill="1" applyBorder="1" applyAlignment="1">
      <alignment horizontal="center" vertical="center"/>
    </xf>
    <xf numFmtId="1" fontId="15" fillId="0" borderId="65" xfId="0" applyNumberFormat="1" applyFont="1" applyBorder="1" applyAlignment="1">
      <alignment horizontal="center" vertical="center"/>
    </xf>
    <xf numFmtId="1" fontId="15" fillId="5" borderId="62" xfId="0" applyNumberFormat="1" applyFont="1" applyFill="1" applyBorder="1" applyAlignment="1">
      <alignment horizontal="center" vertical="center"/>
    </xf>
    <xf numFmtId="1" fontId="15" fillId="5" borderId="72" xfId="0" applyNumberFormat="1" applyFont="1" applyFill="1" applyBorder="1" applyAlignment="1">
      <alignment horizontal="center" vertical="center"/>
    </xf>
    <xf numFmtId="167" fontId="15" fillId="0" borderId="36" xfId="0" applyNumberFormat="1" applyFont="1" applyBorder="1" applyAlignment="1">
      <alignment horizontal="center" vertical="center"/>
    </xf>
    <xf numFmtId="167" fontId="15" fillId="8" borderId="45" xfId="0" applyNumberFormat="1" applyFont="1" applyFill="1" applyBorder="1" applyAlignment="1">
      <alignment horizontal="center" vertical="center"/>
    </xf>
    <xf numFmtId="1" fontId="15" fillId="8" borderId="45" xfId="0" applyNumberFormat="1" applyFont="1" applyFill="1" applyBorder="1" applyAlignment="1">
      <alignment horizontal="center" vertical="center"/>
    </xf>
    <xf numFmtId="1" fontId="15" fillId="8" borderId="65" xfId="0" applyNumberFormat="1" applyFont="1" applyFill="1" applyBorder="1" applyAlignment="1">
      <alignment horizontal="center" vertical="center"/>
    </xf>
    <xf numFmtId="0" fontId="28" fillId="0" borderId="30" xfId="0" applyFont="1" applyBorder="1" applyAlignment="1">
      <alignment horizontal="left" vertical="center"/>
    </xf>
    <xf numFmtId="167" fontId="15" fillId="0" borderId="30" xfId="0" applyNumberFormat="1" applyFont="1" applyBorder="1" applyAlignment="1">
      <alignment horizontal="center" vertical="center"/>
    </xf>
    <xf numFmtId="1" fontId="15" fillId="0" borderId="30" xfId="0" applyNumberFormat="1" applyFont="1" applyBorder="1" applyAlignment="1">
      <alignment horizontal="center" vertical="center"/>
    </xf>
    <xf numFmtId="167" fontId="15" fillId="7" borderId="30" xfId="0" applyNumberFormat="1" applyFont="1" applyFill="1" applyBorder="1" applyAlignment="1">
      <alignment horizontal="center" vertical="center"/>
    </xf>
    <xf numFmtId="1" fontId="15" fillId="7" borderId="30" xfId="0" applyNumberFormat="1" applyFont="1" applyFill="1" applyBorder="1" applyAlignment="1">
      <alignment horizontal="center" vertical="center"/>
    </xf>
    <xf numFmtId="1" fontId="15" fillId="0" borderId="48" xfId="0" applyNumberFormat="1" applyFont="1" applyBorder="1" applyAlignment="1">
      <alignment horizontal="center" vertical="center"/>
    </xf>
    <xf numFmtId="1" fontId="15" fillId="5" borderId="34" xfId="0" applyNumberFormat="1" applyFont="1" applyFill="1" applyBorder="1" applyAlignment="1">
      <alignment horizontal="center" vertical="center"/>
    </xf>
    <xf numFmtId="1" fontId="15" fillId="5" borderId="53" xfId="0" applyNumberFormat="1" applyFont="1" applyFill="1" applyBorder="1" applyAlignment="1">
      <alignment horizontal="center" vertical="center"/>
    </xf>
    <xf numFmtId="167" fontId="15" fillId="0" borderId="8" xfId="0" applyNumberFormat="1" applyFont="1" applyBorder="1" applyAlignment="1">
      <alignment horizontal="center" vertical="center"/>
    </xf>
    <xf numFmtId="1" fontId="15" fillId="7" borderId="8" xfId="0" applyNumberFormat="1" applyFont="1" applyFill="1" applyBorder="1" applyAlignment="1">
      <alignment horizontal="center" vertical="center"/>
    </xf>
    <xf numFmtId="167" fontId="15" fillId="8" borderId="30" xfId="0" applyNumberFormat="1" applyFont="1" applyFill="1" applyBorder="1" applyAlignment="1">
      <alignment horizontal="center" vertical="center"/>
    </xf>
    <xf numFmtId="1" fontId="15" fillId="8" borderId="30" xfId="0" applyNumberFormat="1" applyFont="1" applyFill="1" applyBorder="1" applyAlignment="1">
      <alignment horizontal="center" vertical="center"/>
    </xf>
    <xf numFmtId="1" fontId="15" fillId="0" borderId="48" xfId="0" applyNumberFormat="1" applyFont="1" applyFill="1" applyBorder="1" applyAlignment="1">
      <alignment horizontal="center" vertical="center"/>
    </xf>
    <xf numFmtId="0" fontId="28" fillId="0" borderId="63" xfId="0" applyFont="1" applyBorder="1" applyAlignment="1">
      <alignment horizontal="left" vertical="center"/>
    </xf>
    <xf numFmtId="167" fontId="28" fillId="0" borderId="41" xfId="0" applyNumberFormat="1" applyFont="1" applyBorder="1" applyAlignment="1">
      <alignment horizontal="center" vertical="center"/>
    </xf>
    <xf numFmtId="1" fontId="15" fillId="0" borderId="41" xfId="0" applyNumberFormat="1" applyFont="1" applyBorder="1" applyAlignment="1">
      <alignment horizontal="center" vertical="center"/>
    </xf>
    <xf numFmtId="1" fontId="15" fillId="7" borderId="41" xfId="0" applyNumberFormat="1" applyFont="1" applyFill="1" applyBorder="1" applyAlignment="1">
      <alignment horizontal="center" vertical="center"/>
    </xf>
    <xf numFmtId="1" fontId="15" fillId="0" borderId="66" xfId="0" applyNumberFormat="1" applyFont="1" applyBorder="1" applyAlignment="1">
      <alignment horizontal="center" vertical="center"/>
    </xf>
    <xf numFmtId="1" fontId="28" fillId="5" borderId="63" xfId="0" applyNumberFormat="1" applyFont="1" applyFill="1" applyBorder="1" applyAlignment="1">
      <alignment horizontal="center" vertical="center"/>
    </xf>
    <xf numFmtId="1" fontId="15" fillId="5" borderId="42" xfId="0" applyNumberFormat="1" applyFont="1" applyFill="1" applyBorder="1" applyAlignment="1">
      <alignment horizontal="center" vertical="center"/>
    </xf>
    <xf numFmtId="167" fontId="28" fillId="8" borderId="41" xfId="0" applyNumberFormat="1" applyFont="1" applyFill="1" applyBorder="1" applyAlignment="1">
      <alignment horizontal="center" vertical="center"/>
    </xf>
    <xf numFmtId="0" fontId="28" fillId="0" borderId="31" xfId="0" applyFont="1" applyBorder="1" applyAlignment="1">
      <alignment horizontal="right" vertical="center"/>
    </xf>
    <xf numFmtId="167" fontId="28" fillId="0" borderId="135" xfId="0" applyNumberFormat="1" applyFont="1" applyBorder="1" applyAlignment="1">
      <alignment horizontal="center" vertical="center"/>
    </xf>
    <xf numFmtId="1" fontId="28" fillId="0" borderId="135" xfId="0" applyNumberFormat="1" applyFont="1" applyBorder="1" applyAlignment="1">
      <alignment horizontal="center" vertical="center"/>
    </xf>
    <xf numFmtId="167" fontId="28" fillId="7" borderId="135" xfId="0" applyNumberFormat="1" applyFont="1" applyFill="1" applyBorder="1" applyAlignment="1">
      <alignment horizontal="center" vertical="center"/>
    </xf>
    <xf numFmtId="1" fontId="28" fillId="7" borderId="135" xfId="0" applyNumberFormat="1" applyFont="1" applyFill="1" applyBorder="1" applyAlignment="1">
      <alignment horizontal="center" vertical="center"/>
    </xf>
    <xf numFmtId="167" fontId="28" fillId="8" borderId="135" xfId="0" applyNumberFormat="1" applyFont="1" applyFill="1" applyBorder="1" applyAlignment="1">
      <alignment horizontal="center" vertical="center"/>
    </xf>
    <xf numFmtId="1" fontId="28" fillId="8" borderId="135" xfId="0" applyNumberFormat="1" applyFont="1" applyFill="1" applyBorder="1" applyAlignment="1">
      <alignment horizontal="center" vertical="center"/>
    </xf>
    <xf numFmtId="1" fontId="28" fillId="7" borderId="17" xfId="0" applyNumberFormat="1" applyFont="1" applyFill="1" applyBorder="1" applyAlignment="1">
      <alignment horizontal="center" vertical="center"/>
    </xf>
    <xf numFmtId="0" fontId="28" fillId="0" borderId="32" xfId="0" applyFont="1" applyBorder="1" applyAlignment="1">
      <alignment horizontal="right" vertical="center"/>
    </xf>
    <xf numFmtId="167" fontId="28" fillId="0" borderId="23" xfId="0" applyNumberFormat="1" applyFont="1" applyBorder="1" applyAlignment="1">
      <alignment horizontal="center" vertical="center"/>
    </xf>
    <xf numFmtId="1" fontId="28" fillId="7" borderId="4" xfId="0" applyNumberFormat="1" applyFont="1" applyFill="1" applyBorder="1" applyAlignment="1">
      <alignment horizontal="center" vertical="center"/>
    </xf>
    <xf numFmtId="167" fontId="28" fillId="8" borderId="23" xfId="0" applyNumberFormat="1" applyFont="1" applyFill="1" applyBorder="1" applyAlignment="1">
      <alignment horizontal="center" vertical="center"/>
    </xf>
    <xf numFmtId="1" fontId="28" fillId="7" borderId="33" xfId="0" applyNumberFormat="1" applyFont="1" applyFill="1" applyBorder="1" applyAlignment="1">
      <alignment horizontal="center" vertical="center"/>
    </xf>
    <xf numFmtId="2" fontId="78" fillId="0" borderId="10" xfId="0" applyNumberFormat="1" applyFont="1" applyBorder="1" applyAlignment="1">
      <alignment horizontal="center"/>
    </xf>
    <xf numFmtId="0" fontId="0" fillId="0" borderId="0" xfId="0"/>
    <xf numFmtId="0" fontId="0" fillId="0" borderId="0" xfId="0"/>
    <xf numFmtId="1" fontId="21" fillId="7" borderId="31" xfId="0" applyNumberFormat="1" applyFont="1" applyFill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0" fontId="22" fillId="0" borderId="4" xfId="0" applyFont="1" applyBorder="1" applyAlignment="1">
      <alignment horizontal="center" vertical="center"/>
    </xf>
    <xf numFmtId="0" fontId="22" fillId="7" borderId="4" xfId="0" applyFont="1" applyFill="1" applyBorder="1" applyAlignment="1">
      <alignment horizontal="center" vertical="center"/>
    </xf>
    <xf numFmtId="0" fontId="0" fillId="0" borderId="0" xfId="0"/>
    <xf numFmtId="1" fontId="4" fillId="8" borderId="10" xfId="0" applyNumberFormat="1" applyFont="1" applyFill="1" applyBorder="1"/>
    <xf numFmtId="1" fontId="21" fillId="8" borderId="29" xfId="0" applyNumberFormat="1" applyFont="1" applyFill="1" applyBorder="1" applyAlignment="1">
      <alignment horizontal="center" vertical="center"/>
    </xf>
    <xf numFmtId="0" fontId="22" fillId="7" borderId="4" xfId="0" applyFont="1" applyFill="1" applyBorder="1" applyAlignment="1">
      <alignment horizontal="center" vertical="center"/>
    </xf>
    <xf numFmtId="1" fontId="7" fillId="7" borderId="30" xfId="0" applyNumberFormat="1" applyFont="1" applyFill="1" applyBorder="1" applyAlignment="1">
      <alignment horizontal="center" vertical="center"/>
    </xf>
    <xf numFmtId="1" fontId="4" fillId="0" borderId="10" xfId="0" applyNumberFormat="1" applyFont="1" applyBorder="1" applyAlignment="1">
      <alignment horizontal="center" vertical="center"/>
    </xf>
    <xf numFmtId="1" fontId="4" fillId="7" borderId="10" xfId="0" applyNumberFormat="1" applyFont="1" applyFill="1" applyBorder="1" applyAlignment="1">
      <alignment horizontal="center" vertical="center"/>
    </xf>
    <xf numFmtId="1" fontId="7" fillId="8" borderId="10" xfId="0" applyNumberFormat="1" applyFont="1" applyFill="1" applyBorder="1" applyAlignment="1">
      <alignment horizontal="center"/>
    </xf>
    <xf numFmtId="0" fontId="7" fillId="0" borderId="10" xfId="0" applyFont="1" applyBorder="1" applyAlignment="1">
      <alignment horizontal="center" vertical="center"/>
    </xf>
    <xf numFmtId="0" fontId="7" fillId="7" borderId="10" xfId="0" applyFont="1" applyFill="1" applyBorder="1" applyAlignment="1">
      <alignment horizontal="center" vertical="center"/>
    </xf>
    <xf numFmtId="1" fontId="7" fillId="8" borderId="10" xfId="0" applyNumberFormat="1" applyFont="1" applyFill="1" applyBorder="1" applyAlignment="1">
      <alignment horizontal="center" vertical="center"/>
    </xf>
    <xf numFmtId="1" fontId="7" fillId="7" borderId="10" xfId="0" applyNumberFormat="1" applyFont="1" applyFill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7" borderId="10" xfId="0" applyFont="1" applyFill="1" applyBorder="1" applyAlignment="1">
      <alignment horizontal="center" vertical="center"/>
    </xf>
    <xf numFmtId="0" fontId="0" fillId="0" borderId="0" xfId="0"/>
    <xf numFmtId="0" fontId="7" fillId="0" borderId="46" xfId="0" applyFont="1" applyBorder="1" applyAlignment="1">
      <alignment vertical="center"/>
    </xf>
    <xf numFmtId="0" fontId="7" fillId="0" borderId="30" xfId="0" applyFont="1" applyBorder="1" applyAlignment="1">
      <alignment vertical="center"/>
    </xf>
    <xf numFmtId="1" fontId="4" fillId="7" borderId="10" xfId="0" applyNumberFormat="1" applyFont="1" applyFill="1" applyBorder="1" applyAlignment="1">
      <alignment horizontal="center" vertical="center"/>
    </xf>
    <xf numFmtId="0" fontId="4" fillId="7" borderId="10" xfId="0" applyFont="1" applyFill="1" applyBorder="1" applyAlignment="1">
      <alignment horizontal="center" vertical="center"/>
    </xf>
    <xf numFmtId="1" fontId="7" fillId="8" borderId="10" xfId="0" applyNumberFormat="1" applyFont="1" applyFill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0" fillId="0" borderId="0" xfId="0"/>
    <xf numFmtId="0" fontId="4" fillId="8" borderId="10" xfId="0" applyFont="1" applyFill="1" applyBorder="1" applyAlignment="1">
      <alignment horizontal="center" vertical="center"/>
    </xf>
    <xf numFmtId="1" fontId="21" fillId="0" borderId="31" xfId="0" applyNumberFormat="1" applyFont="1" applyBorder="1" applyAlignment="1">
      <alignment horizontal="center" vertical="center"/>
    </xf>
    <xf numFmtId="1" fontId="21" fillId="7" borderId="31" xfId="0" applyNumberFormat="1" applyFont="1" applyFill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1" fontId="21" fillId="8" borderId="29" xfId="0" applyNumberFormat="1" applyFont="1" applyFill="1" applyBorder="1" applyAlignment="1">
      <alignment horizontal="center" vertical="center"/>
    </xf>
    <xf numFmtId="0" fontId="22" fillId="7" borderId="1" xfId="0" applyFont="1" applyFill="1" applyBorder="1" applyAlignment="1">
      <alignment horizontal="center" vertical="center"/>
    </xf>
    <xf numFmtId="1" fontId="22" fillId="7" borderId="74" xfId="0" applyNumberFormat="1" applyFont="1" applyFill="1" applyBorder="1" applyAlignment="1">
      <alignment horizontal="center" vertical="center"/>
    </xf>
    <xf numFmtId="1" fontId="22" fillId="0" borderId="85" xfId="0" applyNumberFormat="1" applyFont="1" applyBorder="1" applyAlignment="1">
      <alignment horizontal="center" vertical="center"/>
    </xf>
    <xf numFmtId="1" fontId="22" fillId="0" borderId="76" xfId="0" applyNumberFormat="1" applyFont="1" applyBorder="1" applyAlignment="1">
      <alignment horizontal="center" vertical="center"/>
    </xf>
    <xf numFmtId="1" fontId="4" fillId="7" borderId="10" xfId="0" applyNumberFormat="1" applyFont="1" applyFill="1" applyBorder="1" applyAlignment="1">
      <alignment horizontal="center" vertical="center"/>
    </xf>
    <xf numFmtId="0" fontId="0" fillId="0" borderId="0" xfId="0"/>
    <xf numFmtId="1" fontId="21" fillId="7" borderId="74" xfId="0" applyNumberFormat="1" applyFont="1" applyFill="1" applyBorder="1" applyAlignment="1">
      <alignment horizontal="center" vertical="center"/>
    </xf>
    <xf numFmtId="1" fontId="21" fillId="8" borderId="62" xfId="0" applyNumberFormat="1" applyFont="1" applyFill="1" applyBorder="1" applyAlignment="1">
      <alignment horizontal="center" vertical="center"/>
    </xf>
    <xf numFmtId="1" fontId="21" fillId="8" borderId="34" xfId="0" applyNumberFormat="1" applyFont="1" applyFill="1" applyBorder="1" applyAlignment="1">
      <alignment horizontal="center" vertical="center"/>
    </xf>
    <xf numFmtId="1" fontId="21" fillId="7" borderId="9" xfId="0" applyNumberFormat="1" applyFont="1" applyFill="1" applyBorder="1" applyAlignment="1">
      <alignment horizontal="center" vertical="center"/>
    </xf>
    <xf numFmtId="167" fontId="21" fillId="0" borderId="74" xfId="0" applyNumberFormat="1" applyFont="1" applyBorder="1" applyAlignment="1">
      <alignment horizontal="center" vertical="center"/>
    </xf>
    <xf numFmtId="167" fontId="21" fillId="7" borderId="46" xfId="0" applyNumberFormat="1" applyFont="1" applyFill="1" applyBorder="1" applyAlignment="1">
      <alignment horizontal="center" vertical="center"/>
    </xf>
    <xf numFmtId="1" fontId="21" fillId="8" borderId="7" xfId="0" applyNumberFormat="1" applyFont="1" applyFill="1" applyBorder="1" applyAlignment="1">
      <alignment horizontal="center" vertical="center"/>
    </xf>
    <xf numFmtId="0" fontId="27" fillId="0" borderId="10" xfId="0" applyFont="1" applyBorder="1" applyAlignment="1">
      <alignment horizontal="center" vertical="center"/>
    </xf>
    <xf numFmtId="0" fontId="27" fillId="7" borderId="10" xfId="0" applyFont="1" applyFill="1" applyBorder="1" applyAlignment="1">
      <alignment horizontal="center" vertical="center"/>
    </xf>
    <xf numFmtId="1" fontId="21" fillId="7" borderId="62" xfId="0" applyNumberFormat="1" applyFont="1" applyFill="1" applyBorder="1" applyAlignment="1">
      <alignment horizontal="center" vertical="center"/>
    </xf>
    <xf numFmtId="1" fontId="21" fillId="8" borderId="74" xfId="0" quotePrefix="1" applyNumberFormat="1" applyFont="1" applyFill="1" applyBorder="1" applyAlignment="1">
      <alignment horizontal="center" vertical="center"/>
    </xf>
    <xf numFmtId="0" fontId="22" fillId="7" borderId="10" xfId="0" applyFont="1" applyFill="1" applyBorder="1" applyAlignment="1">
      <alignment horizontal="center" vertical="center"/>
    </xf>
    <xf numFmtId="0" fontId="0" fillId="0" borderId="0" xfId="0"/>
    <xf numFmtId="1" fontId="21" fillId="0" borderId="31" xfId="0" applyNumberFormat="1" applyFont="1" applyBorder="1" applyAlignment="1">
      <alignment horizontal="center" vertical="center"/>
    </xf>
    <xf numFmtId="1" fontId="21" fillId="7" borderId="31" xfId="0" applyNumberFormat="1" applyFont="1" applyFill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0" fontId="22" fillId="7" borderId="1" xfId="0" applyFont="1" applyFill="1" applyBorder="1" applyAlignment="1">
      <alignment horizontal="center" vertical="center"/>
    </xf>
    <xf numFmtId="0" fontId="22" fillId="7" borderId="4" xfId="0" applyFont="1" applyFill="1" applyBorder="1" applyAlignment="1">
      <alignment horizontal="center" vertical="center"/>
    </xf>
    <xf numFmtId="0" fontId="0" fillId="0" borderId="0" xfId="0"/>
    <xf numFmtId="1" fontId="21" fillId="8" borderId="62" xfId="0" applyNumberFormat="1" applyFont="1" applyFill="1" applyBorder="1" applyAlignment="1">
      <alignment horizontal="center" vertical="center"/>
    </xf>
    <xf numFmtId="1" fontId="21" fillId="8" borderId="34" xfId="0" applyNumberFormat="1" applyFont="1" applyFill="1" applyBorder="1" applyAlignment="1">
      <alignment horizontal="center" vertical="center"/>
    </xf>
    <xf numFmtId="1" fontId="4" fillId="7" borderId="76" xfId="0" applyNumberFormat="1" applyFont="1" applyFill="1" applyBorder="1" applyAlignment="1">
      <alignment horizontal="center" vertical="center"/>
    </xf>
    <xf numFmtId="167" fontId="4" fillId="7" borderId="9" xfId="0" applyNumberFormat="1" applyFont="1" applyFill="1" applyBorder="1" applyAlignment="1">
      <alignment horizontal="center" vertical="center"/>
    </xf>
    <xf numFmtId="0" fontId="46" fillId="0" borderId="0" xfId="0" applyFont="1" applyAlignment="1">
      <alignment horizontal="center"/>
    </xf>
    <xf numFmtId="0" fontId="37" fillId="0" borderId="10" xfId="0" applyFont="1" applyBorder="1" applyAlignment="1">
      <alignment horizontal="center"/>
    </xf>
    <xf numFmtId="0" fontId="21" fillId="7" borderId="62" xfId="0" applyFont="1" applyFill="1" applyBorder="1" applyAlignment="1">
      <alignment horizontal="center" vertical="center"/>
    </xf>
    <xf numFmtId="0" fontId="22" fillId="50" borderId="4" xfId="0" applyFont="1" applyFill="1" applyBorder="1" applyAlignment="1">
      <alignment horizontal="center" vertical="center"/>
    </xf>
    <xf numFmtId="0" fontId="22" fillId="7" borderId="10" xfId="0" applyFont="1" applyFill="1" applyBorder="1" applyAlignment="1">
      <alignment horizontal="center" vertical="center"/>
    </xf>
    <xf numFmtId="1" fontId="4" fillId="0" borderId="10" xfId="0" applyNumberFormat="1" applyFont="1" applyBorder="1" applyAlignment="1">
      <alignment horizontal="center" vertical="center"/>
    </xf>
    <xf numFmtId="1" fontId="4" fillId="7" borderId="10" xfId="0" applyNumberFormat="1" applyFont="1" applyFill="1" applyBorder="1" applyAlignment="1">
      <alignment horizontal="center" vertical="center"/>
    </xf>
    <xf numFmtId="0" fontId="22" fillId="0" borderId="10" xfId="0" applyFont="1" applyBorder="1" applyAlignment="1">
      <alignment horizontal="center" vertical="center"/>
    </xf>
    <xf numFmtId="0" fontId="22" fillId="7" borderId="10" xfId="0" applyFont="1" applyFill="1" applyBorder="1" applyAlignment="1">
      <alignment horizontal="center" vertical="center"/>
    </xf>
    <xf numFmtId="0" fontId="4" fillId="7" borderId="10" xfId="0" applyFont="1" applyFill="1" applyBorder="1" applyAlignment="1">
      <alignment horizontal="center" vertical="center"/>
    </xf>
    <xf numFmtId="1" fontId="7" fillId="7" borderId="10" xfId="0" applyNumberFormat="1" applyFont="1" applyFill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/>
    </xf>
    <xf numFmtId="0" fontId="19" fillId="8" borderId="33" xfId="0" applyFont="1" applyFill="1" applyBorder="1" applyAlignment="1">
      <alignment horizontal="center" vertical="center"/>
    </xf>
    <xf numFmtId="2" fontId="7" fillId="8" borderId="17" xfId="0" applyNumberFormat="1" applyFont="1" applyFill="1" applyBorder="1" applyAlignment="1">
      <alignment horizontal="center" vertical="center"/>
    </xf>
    <xf numFmtId="2" fontId="7" fillId="7" borderId="10" xfId="0" applyNumberFormat="1" applyFont="1" applyFill="1" applyBorder="1" applyAlignment="1">
      <alignment horizontal="center" vertical="center"/>
    </xf>
    <xf numFmtId="0" fontId="24" fillId="7" borderId="1" xfId="0" applyFont="1" applyFill="1" applyBorder="1" applyAlignment="1">
      <alignment horizontal="center" vertical="center"/>
    </xf>
    <xf numFmtId="0" fontId="24" fillId="0" borderId="4" xfId="0" applyFont="1" applyBorder="1" applyAlignment="1">
      <alignment horizontal="center" vertical="center"/>
    </xf>
    <xf numFmtId="0" fontId="0" fillId="0" borderId="0" xfId="0"/>
    <xf numFmtId="0" fontId="4" fillId="7" borderId="10" xfId="0" applyFont="1" applyFill="1" applyBorder="1" applyAlignment="1">
      <alignment horizontal="center" vertical="center"/>
    </xf>
    <xf numFmtId="0" fontId="7" fillId="5" borderId="10" xfId="0" applyFont="1" applyFill="1" applyBorder="1" applyAlignment="1">
      <alignment horizontal="center" vertical="center"/>
    </xf>
    <xf numFmtId="0" fontId="0" fillId="0" borderId="0" xfId="0"/>
    <xf numFmtId="0" fontId="4" fillId="8" borderId="10" xfId="0" applyFont="1" applyFill="1" applyBorder="1" applyAlignment="1">
      <alignment horizontal="center" vertical="center"/>
    </xf>
    <xf numFmtId="1" fontId="21" fillId="0" borderId="135" xfId="0" applyNumberFormat="1" applyFont="1" applyBorder="1" applyAlignment="1">
      <alignment horizontal="center" vertical="center"/>
    </xf>
    <xf numFmtId="1" fontId="21" fillId="7" borderId="135" xfId="0" applyNumberFormat="1" applyFont="1" applyFill="1" applyBorder="1" applyAlignment="1">
      <alignment vertical="center"/>
    </xf>
    <xf numFmtId="1" fontId="21" fillId="7" borderId="135" xfId="0" applyNumberFormat="1" applyFont="1" applyFill="1" applyBorder="1" applyAlignment="1">
      <alignment horizontal="center" vertical="center"/>
    </xf>
    <xf numFmtId="1" fontId="21" fillId="5" borderId="135" xfId="0" applyNumberFormat="1" applyFont="1" applyFill="1" applyBorder="1" applyAlignment="1">
      <alignment vertical="center"/>
    </xf>
    <xf numFmtId="1" fontId="21" fillId="5" borderId="135" xfId="0" applyNumberFormat="1" applyFont="1" applyFill="1" applyBorder="1" applyAlignment="1">
      <alignment horizontal="center" vertical="center"/>
    </xf>
    <xf numFmtId="1" fontId="21" fillId="8" borderId="135" xfId="0" applyNumberFormat="1" applyFont="1" applyFill="1" applyBorder="1" applyAlignment="1">
      <alignment vertical="center"/>
    </xf>
    <xf numFmtId="1" fontId="21" fillId="0" borderId="135" xfId="0" applyNumberFormat="1" applyFont="1" applyFill="1" applyBorder="1" applyAlignment="1">
      <alignment horizontal="center" vertical="center"/>
    </xf>
    <xf numFmtId="1" fontId="20" fillId="5" borderId="135" xfId="0" applyNumberFormat="1" applyFont="1" applyFill="1" applyBorder="1" applyAlignment="1">
      <alignment horizontal="center" vertical="center"/>
    </xf>
    <xf numFmtId="1" fontId="21" fillId="8" borderId="135" xfId="0" applyNumberFormat="1" applyFont="1" applyFill="1" applyBorder="1" applyAlignment="1">
      <alignment horizontal="center" vertical="center"/>
    </xf>
    <xf numFmtId="1" fontId="21" fillId="44" borderId="135" xfId="0" applyNumberFormat="1" applyFont="1" applyFill="1" applyBorder="1" applyAlignment="1">
      <alignment vertical="center"/>
    </xf>
    <xf numFmtId="1" fontId="21" fillId="44" borderId="135" xfId="0" applyNumberFormat="1" applyFont="1" applyFill="1" applyBorder="1" applyAlignment="1">
      <alignment horizontal="center" vertical="center"/>
    </xf>
    <xf numFmtId="0" fontId="0" fillId="0" borderId="0" xfId="0"/>
    <xf numFmtId="0" fontId="7" fillId="0" borderId="135" xfId="0" applyFont="1" applyBorder="1" applyAlignment="1">
      <alignment horizontal="left" vertical="center"/>
    </xf>
    <xf numFmtId="0" fontId="7" fillId="0" borderId="135" xfId="0" applyFont="1" applyBorder="1" applyAlignment="1">
      <alignment horizontal="center" vertical="center"/>
    </xf>
    <xf numFmtId="0" fontId="7" fillId="7" borderId="135" xfId="0" applyFont="1" applyFill="1" applyBorder="1" applyAlignment="1">
      <alignment horizontal="center" vertical="center"/>
    </xf>
    <xf numFmtId="0" fontId="7" fillId="5" borderId="135" xfId="0" applyFont="1" applyFill="1" applyBorder="1" applyAlignment="1">
      <alignment horizontal="center" vertical="center"/>
    </xf>
    <xf numFmtId="0" fontId="0" fillId="0" borderId="135" xfId="0" applyFont="1" applyBorder="1" applyAlignment="1">
      <alignment horizontal="center" vertical="center"/>
    </xf>
    <xf numFmtId="0" fontId="7" fillId="8" borderId="135" xfId="0" applyFont="1" applyFill="1" applyBorder="1" applyAlignment="1">
      <alignment horizontal="center" vertical="center"/>
    </xf>
    <xf numFmtId="0" fontId="4" fillId="7" borderId="135" xfId="0" applyFont="1" applyFill="1" applyBorder="1" applyAlignment="1">
      <alignment horizontal="center" vertical="center"/>
    </xf>
    <xf numFmtId="0" fontId="7" fillId="56" borderId="135" xfId="0" applyFont="1" applyFill="1" applyBorder="1" applyAlignment="1">
      <alignment horizontal="center" vertical="center"/>
    </xf>
    <xf numFmtId="0" fontId="7" fillId="6" borderId="135" xfId="0" applyFont="1" applyFill="1" applyBorder="1" applyAlignment="1">
      <alignment horizontal="center" vertical="center"/>
    </xf>
    <xf numFmtId="1" fontId="81" fillId="8" borderId="135" xfId="186" applyNumberFormat="1" applyFont="1" applyFill="1" applyBorder="1" applyAlignment="1">
      <alignment horizontal="center" vertical="center"/>
    </xf>
    <xf numFmtId="1" fontId="81" fillId="0" borderId="135" xfId="186" applyNumberFormat="1" applyFont="1" applyBorder="1" applyAlignment="1">
      <alignment horizontal="center" vertical="center"/>
    </xf>
    <xf numFmtId="0" fontId="0" fillId="0" borderId="135" xfId="0" applyBorder="1" applyAlignment="1">
      <alignment horizontal="center" vertical="center"/>
    </xf>
    <xf numFmtId="0" fontId="14" fillId="0" borderId="38" xfId="0" applyFont="1" applyBorder="1"/>
    <xf numFmtId="0" fontId="19" fillId="0" borderId="71" xfId="0" applyFont="1" applyBorder="1" applyAlignment="1">
      <alignment horizontal="center" vertical="center"/>
    </xf>
    <xf numFmtId="0" fontId="19" fillId="0" borderId="135" xfId="0" applyFont="1" applyBorder="1" applyAlignment="1">
      <alignment horizontal="right" vertical="center"/>
    </xf>
    <xf numFmtId="0" fontId="0" fillId="5" borderId="135" xfId="0" applyFill="1" applyBorder="1" applyAlignment="1">
      <alignment horizontal="center"/>
    </xf>
    <xf numFmtId="1" fontId="7" fillId="7" borderId="10" xfId="0" applyNumberFormat="1" applyFont="1" applyFill="1" applyBorder="1" applyAlignment="1">
      <alignment horizontal="center" vertical="center"/>
    </xf>
    <xf numFmtId="0" fontId="7" fillId="0" borderId="46" xfId="0" applyFont="1" applyBorder="1" applyAlignment="1">
      <alignment vertical="center"/>
    </xf>
    <xf numFmtId="0" fontId="0" fillId="0" borderId="0" xfId="0"/>
    <xf numFmtId="0" fontId="21" fillId="0" borderId="135" xfId="0" applyFont="1" applyBorder="1" applyAlignment="1">
      <alignment horizontal="center" vertical="center"/>
    </xf>
    <xf numFmtId="1" fontId="20" fillId="0" borderId="135" xfId="0" applyNumberFormat="1" applyFont="1" applyBorder="1" applyAlignment="1">
      <alignment horizontal="center" vertical="center"/>
    </xf>
    <xf numFmtId="1" fontId="21" fillId="50" borderId="135" xfId="0" applyNumberFormat="1" applyFont="1" applyFill="1" applyBorder="1" applyAlignment="1">
      <alignment horizontal="center" vertical="center"/>
    </xf>
    <xf numFmtId="1" fontId="19" fillId="0" borderId="135" xfId="0" applyNumberFormat="1" applyFont="1" applyBorder="1" applyAlignment="1">
      <alignment horizontal="center" vertical="center"/>
    </xf>
    <xf numFmtId="1" fontId="122" fillId="5" borderId="135" xfId="0" applyNumberFormat="1" applyFont="1" applyFill="1" applyBorder="1" applyAlignment="1">
      <alignment horizontal="center" vertical="center"/>
    </xf>
    <xf numFmtId="1" fontId="21" fillId="6" borderId="135" xfId="0" applyNumberFormat="1" applyFont="1" applyFill="1" applyBorder="1" applyAlignment="1">
      <alignment horizontal="center" vertical="center"/>
    </xf>
    <xf numFmtId="1" fontId="20" fillId="50" borderId="135" xfId="0" applyNumberFormat="1" applyFont="1" applyFill="1" applyBorder="1" applyAlignment="1">
      <alignment horizontal="center" vertical="center"/>
    </xf>
    <xf numFmtId="1" fontId="20" fillId="7" borderId="135" xfId="0" applyNumberFormat="1" applyFont="1" applyFill="1" applyBorder="1" applyAlignment="1">
      <alignment horizontal="center" vertical="center"/>
    </xf>
    <xf numFmtId="1" fontId="121" fillId="5" borderId="135" xfId="0" applyNumberFormat="1" applyFont="1" applyFill="1" applyBorder="1" applyAlignment="1">
      <alignment horizontal="center" vertical="center"/>
    </xf>
    <xf numFmtId="1" fontId="20" fillId="8" borderId="135" xfId="0" applyNumberFormat="1" applyFont="1" applyFill="1" applyBorder="1" applyAlignment="1">
      <alignment horizontal="center" vertical="center"/>
    </xf>
    <xf numFmtId="1" fontId="19" fillId="5" borderId="135" xfId="0" applyNumberFormat="1" applyFont="1" applyFill="1" applyBorder="1" applyAlignment="1">
      <alignment horizontal="center" vertical="center"/>
    </xf>
    <xf numFmtId="0" fontId="19" fillId="8" borderId="62" xfId="0" applyFont="1" applyFill="1" applyBorder="1" applyAlignment="1">
      <alignment horizontal="left" vertical="center"/>
    </xf>
    <xf numFmtId="0" fontId="4" fillId="8" borderId="45" xfId="0" applyFont="1" applyFill="1" applyBorder="1" applyAlignment="1">
      <alignment horizontal="center" vertical="center"/>
    </xf>
    <xf numFmtId="1" fontId="4" fillId="8" borderId="45" xfId="0" applyNumberFormat="1" applyFont="1" applyFill="1" applyBorder="1" applyAlignment="1">
      <alignment horizontal="center" vertical="center"/>
    </xf>
    <xf numFmtId="1" fontId="4" fillId="50" borderId="45" xfId="0" applyNumberFormat="1" applyFont="1" applyFill="1" applyBorder="1" applyAlignment="1">
      <alignment horizontal="center" vertical="center"/>
    </xf>
    <xf numFmtId="164" fontId="145" fillId="8" borderId="135" xfId="0" quotePrefix="1" applyNumberFormat="1" applyFont="1" applyFill="1" applyBorder="1" applyAlignment="1">
      <alignment horizontal="left" vertical="center"/>
    </xf>
    <xf numFmtId="1" fontId="7" fillId="0" borderId="135" xfId="0" applyNumberFormat="1" applyFont="1" applyBorder="1" applyAlignment="1">
      <alignment horizontal="center" vertical="center"/>
    </xf>
    <xf numFmtId="1" fontId="7" fillId="7" borderId="135" xfId="0" applyNumberFormat="1" applyFont="1" applyFill="1" applyBorder="1" applyAlignment="1">
      <alignment horizontal="center" vertical="center"/>
    </xf>
    <xf numFmtId="1" fontId="7" fillId="5" borderId="135" xfId="0" applyNumberFormat="1" applyFont="1" applyFill="1" applyBorder="1" applyAlignment="1">
      <alignment horizontal="center" vertical="center"/>
    </xf>
    <xf numFmtId="1" fontId="7" fillId="54" borderId="135" xfId="0" applyNumberFormat="1" applyFont="1" applyFill="1" applyBorder="1" applyAlignment="1">
      <alignment horizontal="center" vertical="center"/>
    </xf>
    <xf numFmtId="1" fontId="7" fillId="8" borderId="135" xfId="0" applyNumberFormat="1" applyFont="1" applyFill="1" applyBorder="1" applyAlignment="1">
      <alignment horizontal="center" vertical="center"/>
    </xf>
    <xf numFmtId="1" fontId="4" fillId="5" borderId="135" xfId="0" applyNumberFormat="1" applyFont="1" applyFill="1" applyBorder="1" applyAlignment="1">
      <alignment horizontal="center" vertical="center"/>
    </xf>
    <xf numFmtId="0" fontId="24" fillId="43" borderId="10" xfId="0" applyFont="1" applyFill="1" applyBorder="1" applyAlignment="1">
      <alignment horizontal="center"/>
    </xf>
    <xf numFmtId="0" fontId="159" fillId="7" borderId="10" xfId="376" applyFont="1" applyFill="1" applyBorder="1" applyAlignment="1">
      <alignment wrapText="1"/>
    </xf>
    <xf numFmtId="0" fontId="159" fillId="7" borderId="10" xfId="376" applyFont="1" applyFill="1" applyBorder="1"/>
    <xf numFmtId="2" fontId="160" fillId="7" borderId="10" xfId="376" applyNumberFormat="1" applyFont="1" applyFill="1" applyBorder="1" applyAlignment="1">
      <alignment horizontal="center" vertical="center"/>
    </xf>
    <xf numFmtId="0" fontId="159" fillId="9" borderId="10" xfId="376" applyFont="1" applyFill="1" applyBorder="1" applyAlignment="1">
      <alignment wrapText="1"/>
    </xf>
    <xf numFmtId="0" fontId="159" fillId="9" borderId="10" xfId="376" applyFont="1" applyFill="1" applyBorder="1"/>
    <xf numFmtId="2" fontId="160" fillId="9" borderId="10" xfId="376" applyNumberFormat="1" applyFont="1" applyFill="1" applyBorder="1" applyAlignment="1">
      <alignment horizontal="center" vertical="center"/>
    </xf>
    <xf numFmtId="0" fontId="159" fillId="6" borderId="10" xfId="376" applyFont="1" applyFill="1" applyBorder="1" applyAlignment="1">
      <alignment wrapText="1"/>
    </xf>
    <xf numFmtId="0" fontId="159" fillId="6" borderId="10" xfId="376" applyFont="1" applyFill="1" applyBorder="1"/>
    <xf numFmtId="2" fontId="160" fillId="6" borderId="10" xfId="376" applyNumberFormat="1" applyFont="1" applyFill="1" applyBorder="1" applyAlignment="1">
      <alignment horizontal="center" vertical="center"/>
    </xf>
    <xf numFmtId="0" fontId="159" fillId="6" borderId="135" xfId="376" applyFont="1" applyFill="1" applyBorder="1" applyAlignment="1">
      <alignment wrapText="1"/>
    </xf>
    <xf numFmtId="0" fontId="159" fillId="6" borderId="135" xfId="376" applyFont="1" applyFill="1" applyBorder="1"/>
    <xf numFmtId="2" fontId="160" fillId="6" borderId="135" xfId="376" applyNumberFormat="1" applyFont="1" applyFill="1" applyBorder="1" applyAlignment="1">
      <alignment horizontal="center" vertical="center"/>
    </xf>
    <xf numFmtId="1" fontId="21" fillId="7" borderId="31" xfId="0" applyNumberFormat="1" applyFont="1" applyFill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1" fontId="21" fillId="8" borderId="29" xfId="0" applyNumberFormat="1" applyFont="1" applyFill="1" applyBorder="1" applyAlignment="1">
      <alignment horizontal="center" vertical="center"/>
    </xf>
    <xf numFmtId="1" fontId="21" fillId="5" borderId="10" xfId="0" applyNumberFormat="1" applyFont="1" applyFill="1" applyBorder="1" applyAlignment="1">
      <alignment horizontal="center" vertical="center"/>
    </xf>
    <xf numFmtId="1" fontId="21" fillId="5" borderId="31" xfId="0" applyNumberFormat="1" applyFont="1" applyFill="1" applyBorder="1" applyAlignment="1">
      <alignment horizontal="center" vertical="center"/>
    </xf>
    <xf numFmtId="1" fontId="21" fillId="6" borderId="10" xfId="0" applyNumberFormat="1" applyFont="1" applyFill="1" applyBorder="1" applyAlignment="1">
      <alignment horizontal="center" vertical="center"/>
    </xf>
    <xf numFmtId="1" fontId="22" fillId="8" borderId="12" xfId="0" applyNumberFormat="1" applyFont="1" applyFill="1" applyBorder="1" applyAlignment="1">
      <alignment horizontal="center" vertical="center"/>
    </xf>
    <xf numFmtId="1" fontId="4" fillId="7" borderId="45" xfId="0" applyNumberFormat="1" applyFont="1" applyFill="1" applyBorder="1" applyAlignment="1">
      <alignment horizontal="center" vertical="center"/>
    </xf>
    <xf numFmtId="1" fontId="4" fillId="7" borderId="30" xfId="0" applyNumberFormat="1" applyFont="1" applyFill="1" applyBorder="1" applyAlignment="1">
      <alignment horizontal="center" vertical="center"/>
    </xf>
    <xf numFmtId="1" fontId="7" fillId="8" borderId="45" xfId="0" applyNumberFormat="1" applyFont="1" applyFill="1" applyBorder="1" applyAlignment="1">
      <alignment horizontal="center" vertical="center"/>
    </xf>
    <xf numFmtId="1" fontId="7" fillId="8" borderId="30" xfId="0" applyNumberFormat="1" applyFont="1" applyFill="1" applyBorder="1" applyAlignment="1">
      <alignment horizontal="center" vertical="center"/>
    </xf>
    <xf numFmtId="1" fontId="7" fillId="7" borderId="45" xfId="0" applyNumberFormat="1" applyFont="1" applyFill="1" applyBorder="1" applyAlignment="1">
      <alignment horizontal="center" vertical="center"/>
    </xf>
    <xf numFmtId="1" fontId="7" fillId="7" borderId="30" xfId="0" applyNumberFormat="1" applyFont="1" applyFill="1" applyBorder="1" applyAlignment="1">
      <alignment horizontal="center" vertical="center"/>
    </xf>
    <xf numFmtId="1" fontId="4" fillId="7" borderId="10" xfId="0" applyNumberFormat="1" applyFont="1" applyFill="1" applyBorder="1" applyAlignment="1">
      <alignment horizontal="center" vertical="center"/>
    </xf>
    <xf numFmtId="1" fontId="7" fillId="8" borderId="10" xfId="0" applyNumberFormat="1" applyFont="1" applyFill="1" applyBorder="1" applyAlignment="1">
      <alignment horizontal="center" vertical="center"/>
    </xf>
    <xf numFmtId="1" fontId="7" fillId="7" borderId="10" xfId="0" applyNumberFormat="1" applyFont="1" applyFill="1" applyBorder="1" applyAlignment="1">
      <alignment horizontal="center" vertical="center"/>
    </xf>
    <xf numFmtId="1" fontId="4" fillId="5" borderId="10" xfId="0" applyNumberFormat="1" applyFont="1" applyFill="1" applyBorder="1" applyAlignment="1">
      <alignment horizontal="center" vertical="center"/>
    </xf>
    <xf numFmtId="1" fontId="7" fillId="5" borderId="10" xfId="0" applyNumberFormat="1" applyFont="1" applyFill="1" applyBorder="1" applyAlignment="1">
      <alignment horizontal="center" vertical="center"/>
    </xf>
    <xf numFmtId="0" fontId="0" fillId="0" borderId="0" xfId="0"/>
    <xf numFmtId="0" fontId="4" fillId="8" borderId="10" xfId="0" applyFont="1" applyFill="1" applyBorder="1" applyAlignment="1">
      <alignment horizontal="center" vertical="center"/>
    </xf>
    <xf numFmtId="1" fontId="21" fillId="0" borderId="0" xfId="0" applyNumberFormat="1" applyFont="1" applyAlignment="1">
      <alignment horizontal="center" vertical="center"/>
    </xf>
    <xf numFmtId="0" fontId="22" fillId="0" borderId="10" xfId="0" applyFont="1" applyBorder="1" applyAlignment="1">
      <alignment horizontal="center" vertical="center"/>
    </xf>
    <xf numFmtId="1" fontId="4" fillId="8" borderId="62" xfId="0" applyNumberFormat="1" applyFont="1" applyFill="1" applyBorder="1" applyAlignment="1">
      <alignment horizontal="center" vertical="center"/>
    </xf>
    <xf numFmtId="1" fontId="4" fillId="5" borderId="31" xfId="0" applyNumberFormat="1" applyFont="1" applyFill="1" applyBorder="1" applyAlignment="1">
      <alignment horizontal="center" vertical="center"/>
    </xf>
    <xf numFmtId="1" fontId="7" fillId="7" borderId="8" xfId="0" applyNumberFormat="1" applyFont="1" applyFill="1" applyBorder="1" applyAlignment="1">
      <alignment horizontal="center" vertical="center"/>
    </xf>
    <xf numFmtId="0" fontId="4" fillId="7" borderId="4" xfId="0" applyFont="1" applyFill="1" applyBorder="1" applyAlignment="1">
      <alignment horizontal="center" vertical="center"/>
    </xf>
    <xf numFmtId="1" fontId="4" fillId="7" borderId="36" xfId="0" applyNumberFormat="1" applyFont="1" applyFill="1" applyBorder="1" applyAlignment="1">
      <alignment horizontal="center" vertical="center"/>
    </xf>
    <xf numFmtId="0" fontId="22" fillId="5" borderId="10" xfId="0" applyFont="1" applyFill="1" applyBorder="1" applyAlignment="1">
      <alignment horizontal="center" vertical="center"/>
    </xf>
    <xf numFmtId="0" fontId="22" fillId="6" borderId="10" xfId="0" applyFont="1" applyFill="1" applyBorder="1" applyAlignment="1">
      <alignment horizontal="center" vertical="center"/>
    </xf>
    <xf numFmtId="2" fontId="7" fillId="7" borderId="10" xfId="0" applyNumberFormat="1" applyFont="1" applyFill="1" applyBorder="1" applyAlignment="1">
      <alignment horizontal="center" vertical="center"/>
    </xf>
    <xf numFmtId="0" fontId="4" fillId="0" borderId="63" xfId="0" applyFont="1" applyBorder="1" applyAlignment="1">
      <alignment horizontal="left" vertical="center"/>
    </xf>
    <xf numFmtId="0" fontId="4" fillId="0" borderId="31" xfId="0" applyFont="1" applyBorder="1" applyAlignment="1">
      <alignment horizontal="left" vertical="center"/>
    </xf>
    <xf numFmtId="2" fontId="7" fillId="6" borderId="10" xfId="0" applyNumberFormat="1" applyFont="1" applyFill="1" applyBorder="1" applyAlignment="1">
      <alignment horizontal="center" vertical="center"/>
    </xf>
    <xf numFmtId="0" fontId="150" fillId="0" borderId="10" xfId="0" applyFont="1" applyBorder="1" applyAlignment="1">
      <alignment horizontal="center" vertical="center"/>
    </xf>
    <xf numFmtId="1" fontId="12" fillId="0" borderId="0" xfId="0" applyNumberFormat="1" applyFont="1" applyBorder="1"/>
    <xf numFmtId="169" fontId="12" fillId="0" borderId="0" xfId="0" applyNumberFormat="1" applyFont="1" applyBorder="1"/>
    <xf numFmtId="0" fontId="22" fillId="8" borderId="18" xfId="0" applyFont="1" applyFill="1" applyBorder="1" applyAlignment="1">
      <alignment vertical="center"/>
    </xf>
    <xf numFmtId="0" fontId="22" fillId="8" borderId="42" xfId="0" applyFont="1" applyFill="1" applyBorder="1" applyAlignment="1">
      <alignment vertical="center"/>
    </xf>
    <xf numFmtId="167" fontId="25" fillId="0" borderId="12" xfId="0" applyNumberFormat="1" applyFont="1" applyBorder="1" applyAlignment="1">
      <alignment horizontal="center" vertical="center"/>
    </xf>
    <xf numFmtId="1" fontId="25" fillId="0" borderId="31" xfId="0" applyNumberFormat="1" applyFont="1" applyBorder="1" applyAlignment="1">
      <alignment horizontal="center" vertical="center"/>
    </xf>
    <xf numFmtId="1" fontId="25" fillId="0" borderId="17" xfId="0" applyNumberFormat="1" applyFont="1" applyBorder="1" applyAlignment="1">
      <alignment horizontal="center" vertical="center"/>
    </xf>
    <xf numFmtId="1" fontId="25" fillId="53" borderId="31" xfId="0" applyNumberFormat="1" applyFont="1" applyFill="1" applyBorder="1" applyAlignment="1">
      <alignment horizontal="center" vertical="center"/>
    </xf>
    <xf numFmtId="1" fontId="25" fillId="53" borderId="17" xfId="0" applyNumberFormat="1" applyFont="1" applyFill="1" applyBorder="1" applyAlignment="1">
      <alignment horizontal="center" vertical="center"/>
    </xf>
    <xf numFmtId="167" fontId="25" fillId="0" borderId="31" xfId="0" applyNumberFormat="1" applyFont="1" applyBorder="1" applyAlignment="1">
      <alignment horizontal="center" vertical="center"/>
    </xf>
    <xf numFmtId="1" fontId="22" fillId="0" borderId="19" xfId="0" applyNumberFormat="1" applyFont="1" applyBorder="1" applyAlignment="1">
      <alignment horizontal="center" vertical="center"/>
    </xf>
    <xf numFmtId="167" fontId="22" fillId="8" borderId="29" xfId="0" applyNumberFormat="1" applyFont="1" applyFill="1" applyBorder="1" applyAlignment="1">
      <alignment horizontal="center" vertical="center"/>
    </xf>
    <xf numFmtId="167" fontId="25" fillId="53" borderId="31" xfId="0" applyNumberFormat="1" applyFont="1" applyFill="1" applyBorder="1" applyAlignment="1">
      <alignment horizontal="center" vertical="center"/>
    </xf>
    <xf numFmtId="167" fontId="25" fillId="53" borderId="17" xfId="0" applyNumberFormat="1" applyFont="1" applyFill="1" applyBorder="1" applyAlignment="1">
      <alignment horizontal="center" vertical="center"/>
    </xf>
    <xf numFmtId="1" fontId="25" fillId="0" borderId="20" xfId="0" applyNumberFormat="1" applyFont="1" applyBorder="1" applyAlignment="1">
      <alignment horizontal="center" vertical="center"/>
    </xf>
    <xf numFmtId="1" fontId="25" fillId="0" borderId="32" xfId="0" applyNumberFormat="1" applyFont="1" applyBorder="1" applyAlignment="1">
      <alignment horizontal="center" vertical="center"/>
    </xf>
    <xf numFmtId="1" fontId="25" fillId="0" borderId="33" xfId="0" applyNumberFormat="1" applyFont="1" applyBorder="1" applyAlignment="1">
      <alignment horizontal="center" vertical="center"/>
    </xf>
    <xf numFmtId="1" fontId="25" fillId="53" borderId="32" xfId="0" applyNumberFormat="1" applyFont="1" applyFill="1" applyBorder="1" applyAlignment="1">
      <alignment horizontal="center" vertical="center"/>
    </xf>
    <xf numFmtId="1" fontId="25" fillId="53" borderId="33" xfId="0" applyNumberFormat="1" applyFont="1" applyFill="1" applyBorder="1" applyAlignment="1">
      <alignment horizontal="center" vertical="center"/>
    </xf>
    <xf numFmtId="1" fontId="22" fillId="53" borderId="32" xfId="0" applyNumberFormat="1" applyFont="1" applyFill="1" applyBorder="1" applyAlignment="1">
      <alignment horizontal="center" vertical="center"/>
    </xf>
    <xf numFmtId="1" fontId="22" fillId="53" borderId="33" xfId="0" applyNumberFormat="1" applyFont="1" applyFill="1" applyBorder="1" applyAlignment="1">
      <alignment horizontal="center" vertical="center"/>
    </xf>
    <xf numFmtId="1" fontId="22" fillId="8" borderId="1" xfId="0" applyNumberFormat="1" applyFont="1" applyFill="1" applyBorder="1" applyAlignment="1">
      <alignment horizontal="center" vertical="center"/>
    </xf>
    <xf numFmtId="167" fontId="22" fillId="8" borderId="1" xfId="0" applyNumberFormat="1" applyFont="1" applyFill="1" applyBorder="1" applyAlignment="1">
      <alignment horizontal="center" vertical="center"/>
    </xf>
    <xf numFmtId="167" fontId="22" fillId="8" borderId="11" xfId="0" applyNumberFormat="1" applyFont="1" applyFill="1" applyBorder="1" applyAlignment="1">
      <alignment horizontal="center" vertical="center"/>
    </xf>
    <xf numFmtId="1" fontId="22" fillId="0" borderId="20" xfId="0" applyNumberFormat="1" applyFont="1" applyBorder="1" applyAlignment="1">
      <alignment horizontal="center" vertical="center"/>
    </xf>
    <xf numFmtId="1" fontId="22" fillId="0" borderId="33" xfId="0" applyNumberFormat="1" applyFont="1" applyBorder="1" applyAlignment="1">
      <alignment horizontal="center" vertical="center"/>
    </xf>
    <xf numFmtId="1" fontId="22" fillId="0" borderId="13" xfId="0" applyNumberFormat="1" applyFont="1" applyBorder="1" applyAlignment="1">
      <alignment horizontal="center" vertical="center"/>
    </xf>
    <xf numFmtId="169" fontId="45" fillId="0" borderId="0" xfId="0" applyNumberFormat="1" applyFont="1" applyAlignment="1">
      <alignment horizontal="center" vertical="center"/>
    </xf>
    <xf numFmtId="2" fontId="45" fillId="0" borderId="0" xfId="0" applyNumberFormat="1" applyFont="1" applyAlignment="1">
      <alignment horizontal="center" vertical="center"/>
    </xf>
    <xf numFmtId="169" fontId="45" fillId="8" borderId="0" xfId="0" applyNumberFormat="1" applyFont="1" applyFill="1" applyAlignment="1">
      <alignment horizontal="center" vertical="center"/>
    </xf>
    <xf numFmtId="1" fontId="21" fillId="8" borderId="0" xfId="0" applyNumberFormat="1" applyFont="1" applyFill="1" applyAlignment="1">
      <alignment horizontal="center" vertical="center"/>
    </xf>
    <xf numFmtId="0" fontId="180" fillId="0" borderId="135" xfId="0" applyFont="1" applyBorder="1" applyAlignment="1">
      <alignment horizontal="center" vertical="center"/>
    </xf>
    <xf numFmtId="0" fontId="164" fillId="0" borderId="135" xfId="0" quotePrefix="1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8" borderId="0" xfId="0" applyFont="1" applyFill="1" applyAlignment="1">
      <alignment horizontal="center" vertical="center"/>
    </xf>
    <xf numFmtId="0" fontId="78" fillId="8" borderId="0" xfId="0" applyFont="1" applyFill="1" applyAlignment="1">
      <alignment horizontal="center" vertical="center"/>
    </xf>
    <xf numFmtId="0" fontId="78" fillId="0" borderId="0" xfId="0" applyFont="1" applyAlignment="1">
      <alignment horizontal="center" vertical="center"/>
    </xf>
    <xf numFmtId="0" fontId="181" fillId="8" borderId="0" xfId="0" applyFont="1" applyFill="1"/>
    <xf numFmtId="0" fontId="4" fillId="0" borderId="32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4" fillId="7" borderId="59" xfId="0" applyFont="1" applyFill="1" applyBorder="1" applyAlignment="1">
      <alignment horizontal="center" vertical="center"/>
    </xf>
    <xf numFmtId="0" fontId="4" fillId="7" borderId="23" xfId="0" applyFont="1" applyFill="1" applyBorder="1" applyAlignment="1">
      <alignment horizontal="center" vertical="center"/>
    </xf>
    <xf numFmtId="0" fontId="4" fillId="5" borderId="23" xfId="0" applyFont="1" applyFill="1" applyBorder="1" applyAlignment="1">
      <alignment horizontal="center" vertical="center"/>
    </xf>
    <xf numFmtId="0" fontId="4" fillId="6" borderId="23" xfId="0" applyFont="1" applyFill="1" applyBorder="1" applyAlignment="1">
      <alignment horizontal="center" vertical="center"/>
    </xf>
    <xf numFmtId="0" fontId="4" fillId="5" borderId="32" xfId="0" applyFont="1" applyFill="1" applyBorder="1" applyAlignment="1">
      <alignment horizontal="center" vertical="center"/>
    </xf>
    <xf numFmtId="0" fontId="4" fillId="5" borderId="33" xfId="0" applyFont="1" applyFill="1" applyBorder="1" applyAlignment="1">
      <alignment horizontal="center" vertical="center"/>
    </xf>
    <xf numFmtId="0" fontId="4" fillId="45" borderId="1" xfId="0" applyFont="1" applyFill="1" applyBorder="1" applyAlignment="1">
      <alignment horizontal="center" vertical="center"/>
    </xf>
    <xf numFmtId="0" fontId="4" fillId="45" borderId="28" xfId="0" applyFont="1" applyFill="1" applyBorder="1" applyAlignment="1">
      <alignment horizontal="center" vertical="center"/>
    </xf>
    <xf numFmtId="0" fontId="4" fillId="45" borderId="4" xfId="0" applyFont="1" applyFill="1" applyBorder="1" applyAlignment="1">
      <alignment horizontal="center" vertical="center"/>
    </xf>
    <xf numFmtId="167" fontId="7" fillId="8" borderId="34" xfId="0" applyNumberFormat="1" applyFont="1" applyFill="1" applyBorder="1" applyAlignment="1">
      <alignment horizontal="center" vertical="center"/>
    </xf>
    <xf numFmtId="167" fontId="7" fillId="0" borderId="30" xfId="0" applyNumberFormat="1" applyFont="1" applyBorder="1" applyAlignment="1">
      <alignment horizontal="center" vertical="center"/>
    </xf>
    <xf numFmtId="167" fontId="7" fillId="7" borderId="30" xfId="0" applyNumberFormat="1" applyFont="1" applyFill="1" applyBorder="1" applyAlignment="1">
      <alignment horizontal="center" vertical="center"/>
    </xf>
    <xf numFmtId="167" fontId="7" fillId="8" borderId="30" xfId="0" applyNumberFormat="1" applyFont="1" applyFill="1" applyBorder="1" applyAlignment="1">
      <alignment horizontal="center" vertical="center"/>
    </xf>
    <xf numFmtId="167" fontId="7" fillId="45" borderId="34" xfId="0" applyNumberFormat="1" applyFont="1" applyFill="1" applyBorder="1" applyAlignment="1">
      <alignment horizontal="center" vertical="center"/>
    </xf>
    <xf numFmtId="167" fontId="7" fillId="45" borderId="50" xfId="0" applyNumberFormat="1" applyFont="1" applyFill="1" applyBorder="1" applyAlignment="1">
      <alignment horizontal="center" vertical="center"/>
    </xf>
    <xf numFmtId="167" fontId="7" fillId="0" borderId="10" xfId="0" applyNumberFormat="1" applyFont="1" applyBorder="1" applyAlignment="1">
      <alignment horizontal="center" vertical="center"/>
    </xf>
    <xf numFmtId="167" fontId="7" fillId="7" borderId="10" xfId="0" applyNumberFormat="1" applyFont="1" applyFill="1" applyBorder="1" applyAlignment="1">
      <alignment horizontal="center" vertical="center"/>
    </xf>
    <xf numFmtId="167" fontId="7" fillId="8" borderId="10" xfId="0" applyNumberFormat="1" applyFont="1" applyFill="1" applyBorder="1" applyAlignment="1">
      <alignment horizontal="center" vertical="center"/>
    </xf>
    <xf numFmtId="1" fontId="7" fillId="45" borderId="31" xfId="0" applyNumberFormat="1" applyFont="1" applyFill="1" applyBorder="1" applyAlignment="1">
      <alignment horizontal="center" vertical="center"/>
    </xf>
    <xf numFmtId="167" fontId="7" fillId="45" borderId="53" xfId="0" applyNumberFormat="1" applyFont="1" applyFill="1" applyBorder="1" applyAlignment="1">
      <alignment horizontal="center" vertical="center"/>
    </xf>
    <xf numFmtId="167" fontId="7" fillId="8" borderId="62" xfId="0" applyNumberFormat="1" applyFont="1" applyFill="1" applyBorder="1" applyAlignment="1">
      <alignment horizontal="center" vertical="center"/>
    </xf>
    <xf numFmtId="167" fontId="7" fillId="0" borderId="45" xfId="0" applyNumberFormat="1" applyFont="1" applyBorder="1" applyAlignment="1">
      <alignment horizontal="center" vertical="center"/>
    </xf>
    <xf numFmtId="167" fontId="7" fillId="7" borderId="36" xfId="0" applyNumberFormat="1" applyFont="1" applyFill="1" applyBorder="1" applyAlignment="1">
      <alignment horizontal="center" vertical="center"/>
    </xf>
    <xf numFmtId="167" fontId="7" fillId="7" borderId="45" xfId="0" applyNumberFormat="1" applyFont="1" applyFill="1" applyBorder="1" applyAlignment="1">
      <alignment horizontal="center" vertical="center"/>
    </xf>
    <xf numFmtId="167" fontId="7" fillId="5" borderId="45" xfId="0" applyNumberFormat="1" applyFont="1" applyFill="1" applyBorder="1" applyAlignment="1">
      <alignment horizontal="center" vertical="center"/>
    </xf>
    <xf numFmtId="167" fontId="7" fillId="8" borderId="45" xfId="0" applyNumberFormat="1" applyFont="1" applyFill="1" applyBorder="1" applyAlignment="1">
      <alignment horizontal="center" vertical="center"/>
    </xf>
    <xf numFmtId="1" fontId="7" fillId="6" borderId="45" xfId="0" applyNumberFormat="1" applyFont="1" applyFill="1" applyBorder="1" applyAlignment="1">
      <alignment horizontal="center" vertical="center"/>
    </xf>
    <xf numFmtId="167" fontId="7" fillId="6" borderId="45" xfId="0" applyNumberFormat="1" applyFont="1" applyFill="1" applyBorder="1" applyAlignment="1">
      <alignment horizontal="center" vertical="center"/>
    </xf>
    <xf numFmtId="1" fontId="7" fillId="45" borderId="62" xfId="0" applyNumberFormat="1" applyFont="1" applyFill="1" applyBorder="1" applyAlignment="1">
      <alignment horizontal="center" vertical="center"/>
    </xf>
    <xf numFmtId="167" fontId="7" fillId="45" borderId="72" xfId="0" applyNumberFormat="1" applyFont="1" applyFill="1" applyBorder="1" applyAlignment="1">
      <alignment horizontal="center" vertical="center"/>
    </xf>
    <xf numFmtId="167" fontId="4" fillId="0" borderId="5" xfId="0" applyNumberFormat="1" applyFont="1" applyBorder="1" applyAlignment="1">
      <alignment horizontal="center" vertical="center"/>
    </xf>
    <xf numFmtId="167" fontId="4" fillId="7" borderId="4" xfId="0" applyNumberFormat="1" applyFont="1" applyFill="1" applyBorder="1" applyAlignment="1">
      <alignment horizontal="center" vertical="center"/>
    </xf>
    <xf numFmtId="167" fontId="4" fillId="8" borderId="5" xfId="0" applyNumberFormat="1" applyFont="1" applyFill="1" applyBorder="1" applyAlignment="1">
      <alignment horizontal="center" vertical="center"/>
    </xf>
    <xf numFmtId="1" fontId="4" fillId="45" borderId="1" xfId="0" applyNumberFormat="1" applyFont="1" applyFill="1" applyBorder="1" applyAlignment="1">
      <alignment horizontal="center" vertical="center"/>
    </xf>
    <xf numFmtId="167" fontId="4" fillId="45" borderId="21" xfId="0" applyNumberFormat="1" applyFont="1" applyFill="1" applyBorder="1" applyAlignment="1">
      <alignment horizontal="center" vertical="center"/>
    </xf>
    <xf numFmtId="1" fontId="7" fillId="0" borderId="34" xfId="0" applyNumberFormat="1" applyFont="1" applyBorder="1" applyAlignment="1">
      <alignment horizontal="center" vertical="center"/>
    </xf>
    <xf numFmtId="1" fontId="7" fillId="45" borderId="34" xfId="0" applyNumberFormat="1" applyFont="1" applyFill="1" applyBorder="1" applyAlignment="1">
      <alignment horizontal="center" vertical="center"/>
    </xf>
    <xf numFmtId="1" fontId="7" fillId="45" borderId="53" xfId="0" applyNumberFormat="1" applyFont="1" applyFill="1" applyBorder="1" applyAlignment="1">
      <alignment horizontal="center" vertical="center"/>
    </xf>
    <xf numFmtId="1" fontId="7" fillId="0" borderId="62" xfId="0" applyNumberFormat="1" applyFont="1" applyBorder="1" applyAlignment="1">
      <alignment horizontal="center" vertical="center"/>
    </xf>
    <xf numFmtId="1" fontId="7" fillId="7" borderId="36" xfId="0" applyNumberFormat="1" applyFont="1" applyFill="1" applyBorder="1" applyAlignment="1">
      <alignment horizontal="center" vertical="center"/>
    </xf>
    <xf numFmtId="1" fontId="7" fillId="5" borderId="45" xfId="0" applyNumberFormat="1" applyFont="1" applyFill="1" applyBorder="1" applyAlignment="1">
      <alignment horizontal="center" vertical="center"/>
    </xf>
    <xf numFmtId="1" fontId="7" fillId="45" borderId="74" xfId="0" applyNumberFormat="1" applyFont="1" applyFill="1" applyBorder="1" applyAlignment="1">
      <alignment horizontal="center" vertical="center"/>
    </xf>
    <xf numFmtId="1" fontId="7" fillId="45" borderId="71" xfId="0" applyNumberFormat="1" applyFont="1" applyFill="1" applyBorder="1" applyAlignment="1">
      <alignment horizontal="center" vertical="center"/>
    </xf>
    <xf numFmtId="1" fontId="4" fillId="0" borderId="63" xfId="0" applyNumberFormat="1" applyFont="1" applyBorder="1" applyAlignment="1">
      <alignment horizontal="center" vertical="center"/>
    </xf>
    <xf numFmtId="1" fontId="4" fillId="0" borderId="41" xfId="0" applyNumberFormat="1" applyFont="1" applyBorder="1" applyAlignment="1">
      <alignment horizontal="center" vertical="center"/>
    </xf>
    <xf numFmtId="1" fontId="4" fillId="7" borderId="3" xfId="0" applyNumberFormat="1" applyFont="1" applyFill="1" applyBorder="1" applyAlignment="1">
      <alignment horizontal="center" vertical="center"/>
    </xf>
    <xf numFmtId="1" fontId="4" fillId="7" borderId="41" xfId="0" applyNumberFormat="1" applyFont="1" applyFill="1" applyBorder="1" applyAlignment="1">
      <alignment horizontal="center" vertical="center"/>
    </xf>
    <xf numFmtId="1" fontId="4" fillId="8" borderId="41" xfId="0" applyNumberFormat="1" applyFont="1" applyFill="1" applyBorder="1" applyAlignment="1">
      <alignment horizontal="center" vertical="center"/>
    </xf>
    <xf numFmtId="1" fontId="4" fillId="7" borderId="25" xfId="0" applyNumberFormat="1" applyFont="1" applyFill="1" applyBorder="1" applyAlignment="1">
      <alignment horizontal="center" vertical="center"/>
    </xf>
    <xf numFmtId="1" fontId="4" fillId="45" borderId="11" xfId="0" applyNumberFormat="1" applyFont="1" applyFill="1" applyBorder="1" applyAlignment="1">
      <alignment horizontal="center" vertical="center"/>
    </xf>
    <xf numFmtId="169" fontId="4" fillId="0" borderId="32" xfId="0" applyNumberFormat="1" applyFont="1" applyBorder="1" applyAlignment="1">
      <alignment horizontal="center" vertical="center"/>
    </xf>
    <xf numFmtId="169" fontId="4" fillId="0" borderId="23" xfId="0" applyNumberFormat="1" applyFont="1" applyBorder="1" applyAlignment="1">
      <alignment horizontal="center" vertical="center"/>
    </xf>
    <xf numFmtId="169" fontId="4" fillId="7" borderId="59" xfId="0" applyNumberFormat="1" applyFont="1" applyFill="1" applyBorder="1" applyAlignment="1">
      <alignment horizontal="center" vertical="center"/>
    </xf>
    <xf numFmtId="169" fontId="4" fillId="7" borderId="23" xfId="0" applyNumberFormat="1" applyFont="1" applyFill="1" applyBorder="1" applyAlignment="1">
      <alignment horizontal="center" vertical="center"/>
    </xf>
    <xf numFmtId="169" fontId="4" fillId="5" borderId="23" xfId="0" applyNumberFormat="1" applyFont="1" applyFill="1" applyBorder="1" applyAlignment="1">
      <alignment horizontal="center" vertical="center"/>
    </xf>
    <xf numFmtId="169" fontId="4" fillId="8" borderId="23" xfId="0" applyNumberFormat="1" applyFont="1" applyFill="1" applyBorder="1" applyAlignment="1">
      <alignment horizontal="center" vertical="center"/>
    </xf>
    <xf numFmtId="169" fontId="4" fillId="6" borderId="23" xfId="0" applyNumberFormat="1" applyFont="1" applyFill="1" applyBorder="1" applyAlignment="1">
      <alignment horizontal="center" vertical="center"/>
    </xf>
    <xf numFmtId="169" fontId="7" fillId="45" borderId="32" xfId="0" applyNumberFormat="1" applyFont="1" applyFill="1" applyBorder="1" applyAlignment="1">
      <alignment horizontal="center" vertical="center"/>
    </xf>
    <xf numFmtId="169" fontId="4" fillId="45" borderId="11" xfId="0" applyNumberFormat="1" applyFont="1" applyFill="1" applyBorder="1" applyAlignment="1">
      <alignment horizontal="center" vertical="center"/>
    </xf>
    <xf numFmtId="1" fontId="4" fillId="7" borderId="8" xfId="0" applyNumberFormat="1" applyFont="1" applyFill="1" applyBorder="1" applyAlignment="1">
      <alignment horizontal="center" vertical="center"/>
    </xf>
    <xf numFmtId="1" fontId="4" fillId="6" borderId="30" xfId="0" applyNumberFormat="1" applyFont="1" applyFill="1" applyBorder="1" applyAlignment="1">
      <alignment horizontal="center" vertical="center"/>
    </xf>
    <xf numFmtId="1" fontId="7" fillId="45" borderId="19" xfId="0" applyNumberFormat="1" applyFont="1" applyFill="1" applyBorder="1" applyAlignment="1">
      <alignment horizontal="center" vertical="center"/>
    </xf>
    <xf numFmtId="1" fontId="7" fillId="0" borderId="45" xfId="0" applyNumberFormat="1" applyFont="1" applyBorder="1" applyAlignment="1">
      <alignment horizontal="center" vertical="center"/>
    </xf>
    <xf numFmtId="1" fontId="7" fillId="45" borderId="58" xfId="0" applyNumberFormat="1" applyFont="1" applyFill="1" applyBorder="1" applyAlignment="1">
      <alignment horizontal="center" vertical="center"/>
    </xf>
    <xf numFmtId="1" fontId="4" fillId="45" borderId="21" xfId="0" applyNumberFormat="1" applyFont="1" applyFill="1" applyBorder="1" applyAlignment="1">
      <alignment horizontal="center" vertical="center"/>
    </xf>
    <xf numFmtId="1" fontId="4" fillId="45" borderId="76" xfId="0" applyNumberFormat="1" applyFont="1" applyFill="1" applyBorder="1" applyAlignment="1">
      <alignment horizontal="center" vertical="center"/>
    </xf>
    <xf numFmtId="1" fontId="4" fillId="45" borderId="56" xfId="0" applyNumberFormat="1" applyFont="1" applyFill="1" applyBorder="1" applyAlignment="1">
      <alignment horizontal="center" vertical="center"/>
    </xf>
    <xf numFmtId="2" fontId="7" fillId="8" borderId="10" xfId="0" applyNumberFormat="1" applyFont="1" applyFill="1" applyBorder="1" applyAlignment="1">
      <alignment horizontal="center" vertical="center"/>
    </xf>
    <xf numFmtId="167" fontId="7" fillId="45" borderId="31" xfId="0" applyNumberFormat="1" applyFont="1" applyFill="1" applyBorder="1" applyAlignment="1">
      <alignment horizontal="center" vertical="center"/>
    </xf>
    <xf numFmtId="167" fontId="7" fillId="45" borderId="10" xfId="0" applyNumberFormat="1" applyFont="1" applyFill="1" applyBorder="1" applyAlignment="1">
      <alignment horizontal="center" vertical="center"/>
    </xf>
    <xf numFmtId="169" fontId="7" fillId="8" borderId="10" xfId="0" applyNumberFormat="1" applyFont="1" applyFill="1" applyBorder="1" applyAlignment="1">
      <alignment horizontal="center" vertical="center"/>
    </xf>
    <xf numFmtId="169" fontId="7" fillId="7" borderId="10" xfId="0" applyNumberFormat="1" applyFont="1" applyFill="1" applyBorder="1" applyAlignment="1">
      <alignment horizontal="center" vertical="center"/>
    </xf>
    <xf numFmtId="169" fontId="7" fillId="0" borderId="10" xfId="0" applyNumberFormat="1" applyFont="1" applyBorder="1" applyAlignment="1">
      <alignment horizontal="center" vertical="center"/>
    </xf>
    <xf numFmtId="169" fontId="7" fillId="45" borderId="31" xfId="0" applyNumberFormat="1" applyFont="1" applyFill="1" applyBorder="1" applyAlignment="1">
      <alignment horizontal="center" vertical="center"/>
    </xf>
    <xf numFmtId="2" fontId="7" fillId="45" borderId="10" xfId="0" applyNumberFormat="1" applyFont="1" applyFill="1" applyBorder="1" applyAlignment="1">
      <alignment horizontal="center" vertical="center"/>
    </xf>
    <xf numFmtId="169" fontId="7" fillId="45" borderId="10" xfId="0" applyNumberFormat="1" applyFont="1" applyFill="1" applyBorder="1" applyAlignment="1">
      <alignment horizontal="center" vertical="center"/>
    </xf>
    <xf numFmtId="1" fontId="7" fillId="45" borderId="10" xfId="0" applyNumberFormat="1" applyFont="1" applyFill="1" applyBorder="1" applyAlignment="1">
      <alignment horizontal="center" vertical="center"/>
    </xf>
    <xf numFmtId="2" fontId="7" fillId="0" borderId="10" xfId="0" applyNumberFormat="1" applyFont="1" applyBorder="1" applyAlignment="1">
      <alignment horizontal="center" vertical="center"/>
    </xf>
    <xf numFmtId="2" fontId="7" fillId="45" borderId="31" xfId="0" applyNumberFormat="1" applyFont="1" applyFill="1" applyBorder="1" applyAlignment="1">
      <alignment horizontal="center" vertical="center"/>
    </xf>
    <xf numFmtId="169" fontId="7" fillId="0" borderId="31" xfId="0" applyNumberFormat="1" applyFont="1" applyBorder="1" applyAlignment="1">
      <alignment horizontal="center" vertical="center"/>
    </xf>
    <xf numFmtId="170" fontId="7" fillId="45" borderId="10" xfId="0" applyNumberFormat="1" applyFont="1" applyFill="1" applyBorder="1" applyAlignment="1">
      <alignment horizontal="center" vertical="center"/>
    </xf>
    <xf numFmtId="167" fontId="4" fillId="0" borderId="31" xfId="0" applyNumberFormat="1" applyFont="1" applyBorder="1" applyAlignment="1">
      <alignment horizontal="center" vertical="center"/>
    </xf>
    <xf numFmtId="167" fontId="4" fillId="0" borderId="17" xfId="0" applyNumberFormat="1" applyFont="1" applyBorder="1" applyAlignment="1">
      <alignment horizontal="center" vertical="center"/>
    </xf>
    <xf numFmtId="167" fontId="4" fillId="7" borderId="17" xfId="0" applyNumberFormat="1" applyFont="1" applyFill="1" applyBorder="1" applyAlignment="1">
      <alignment horizontal="center" vertical="center"/>
    </xf>
    <xf numFmtId="167" fontId="4" fillId="5" borderId="17" xfId="0" applyNumberFormat="1" applyFont="1" applyFill="1" applyBorder="1" applyAlignment="1">
      <alignment horizontal="center" vertical="center"/>
    </xf>
    <xf numFmtId="167" fontId="4" fillId="6" borderId="10" xfId="0" applyNumberFormat="1" applyFont="1" applyFill="1" applyBorder="1" applyAlignment="1">
      <alignment horizontal="center" vertical="center"/>
    </xf>
    <xf numFmtId="167" fontId="4" fillId="45" borderId="10" xfId="0" applyNumberFormat="1" applyFont="1" applyFill="1" applyBorder="1" applyAlignment="1">
      <alignment horizontal="center" vertical="center"/>
    </xf>
    <xf numFmtId="167" fontId="7" fillId="45" borderId="17" xfId="0" applyNumberFormat="1" applyFont="1" applyFill="1" applyBorder="1" applyAlignment="1">
      <alignment horizontal="center" vertical="center"/>
    </xf>
    <xf numFmtId="1" fontId="7" fillId="5" borderId="42" xfId="0" applyNumberFormat="1" applyFont="1" applyFill="1" applyBorder="1" applyAlignment="1">
      <alignment horizontal="center" vertical="center"/>
    </xf>
    <xf numFmtId="1" fontId="7" fillId="6" borderId="41" xfId="0" applyNumberFormat="1" applyFont="1" applyFill="1" applyBorder="1" applyAlignment="1">
      <alignment horizontal="center" vertical="center"/>
    </xf>
    <xf numFmtId="1" fontId="7" fillId="45" borderId="41" xfId="0" applyNumberFormat="1" applyFont="1" applyFill="1" applyBorder="1" applyAlignment="1">
      <alignment horizontal="center" vertical="center"/>
    </xf>
    <xf numFmtId="1" fontId="7" fillId="45" borderId="42" xfId="0" applyNumberFormat="1" applyFont="1" applyFill="1" applyBorder="1" applyAlignment="1">
      <alignment horizontal="center" vertical="center"/>
    </xf>
    <xf numFmtId="1" fontId="7" fillId="45" borderId="17" xfId="0" applyNumberFormat="1" applyFont="1" applyFill="1" applyBorder="1" applyAlignment="1">
      <alignment horizontal="center" vertical="center"/>
    </xf>
    <xf numFmtId="167" fontId="7" fillId="0" borderId="31" xfId="0" applyNumberFormat="1" applyFont="1" applyBorder="1" applyAlignment="1">
      <alignment horizontal="center" vertical="center"/>
    </xf>
    <xf numFmtId="167" fontId="4" fillId="45" borderId="17" xfId="0" applyNumberFormat="1" applyFont="1" applyFill="1" applyBorder="1" applyAlignment="1">
      <alignment horizontal="center" vertical="center"/>
    </xf>
    <xf numFmtId="167" fontId="7" fillId="45" borderId="45" xfId="0" applyNumberFormat="1" applyFont="1" applyFill="1" applyBorder="1" applyAlignment="1">
      <alignment horizontal="center" vertical="center"/>
    </xf>
    <xf numFmtId="167" fontId="4" fillId="8" borderId="33" xfId="0" applyNumberFormat="1" applyFont="1" applyFill="1" applyBorder="1" applyAlignment="1">
      <alignment horizontal="center" vertical="center"/>
    </xf>
    <xf numFmtId="167" fontId="4" fillId="7" borderId="32" xfId="0" applyNumberFormat="1" applyFont="1" applyFill="1" applyBorder="1" applyAlignment="1">
      <alignment horizontal="center" vertical="center"/>
    </xf>
    <xf numFmtId="167" fontId="4" fillId="7" borderId="33" xfId="0" applyNumberFormat="1" applyFont="1" applyFill="1" applyBorder="1" applyAlignment="1">
      <alignment horizontal="center" vertical="center"/>
    </xf>
    <xf numFmtId="167" fontId="4" fillId="5" borderId="33" xfId="0" applyNumberFormat="1" applyFont="1" applyFill="1" applyBorder="1" applyAlignment="1">
      <alignment horizontal="center" vertical="center"/>
    </xf>
    <xf numFmtId="167" fontId="7" fillId="5" borderId="23" xfId="0" applyNumberFormat="1" applyFont="1" applyFill="1" applyBorder="1" applyAlignment="1">
      <alignment horizontal="center" vertical="center"/>
    </xf>
    <xf numFmtId="167" fontId="7" fillId="6" borderId="23" xfId="0" applyNumberFormat="1" applyFont="1" applyFill="1" applyBorder="1" applyAlignment="1">
      <alignment horizontal="center" vertical="center"/>
    </xf>
    <xf numFmtId="167" fontId="7" fillId="45" borderId="23" xfId="0" applyNumberFormat="1" applyFont="1" applyFill="1" applyBorder="1" applyAlignment="1">
      <alignment horizontal="center" vertical="center"/>
    </xf>
    <xf numFmtId="167" fontId="7" fillId="45" borderId="33" xfId="0" applyNumberFormat="1" applyFont="1" applyFill="1" applyBorder="1" applyAlignment="1">
      <alignment horizontal="center" vertical="center"/>
    </xf>
    <xf numFmtId="0" fontId="7" fillId="0" borderId="62" xfId="0" applyFont="1" applyBorder="1" applyAlignment="1">
      <alignment horizontal="left" vertical="center"/>
    </xf>
    <xf numFmtId="1" fontId="78" fillId="8" borderId="135" xfId="0" applyNumberFormat="1" applyFont="1" applyFill="1" applyBorder="1" applyAlignment="1">
      <alignment horizontal="center" vertical="center"/>
    </xf>
    <xf numFmtId="1" fontId="78" fillId="7" borderId="135" xfId="0" applyNumberFormat="1" applyFont="1" applyFill="1" applyBorder="1" applyAlignment="1">
      <alignment horizontal="center" vertical="center"/>
    </xf>
    <xf numFmtId="1" fontId="78" fillId="8" borderId="23" xfId="0" applyNumberFormat="1" applyFont="1" applyFill="1" applyBorder="1" applyAlignment="1">
      <alignment horizontal="center" vertical="center"/>
    </xf>
    <xf numFmtId="1" fontId="78" fillId="7" borderId="23" xfId="0" applyNumberFormat="1" applyFont="1" applyFill="1" applyBorder="1" applyAlignment="1">
      <alignment horizontal="center" vertical="center"/>
    </xf>
    <xf numFmtId="1" fontId="78" fillId="8" borderId="30" xfId="0" applyNumberFormat="1" applyFont="1" applyFill="1" applyBorder="1" applyAlignment="1">
      <alignment horizontal="center" vertical="center"/>
    </xf>
    <xf numFmtId="1" fontId="78" fillId="7" borderId="30" xfId="0" applyNumberFormat="1" applyFont="1" applyFill="1" applyBorder="1" applyAlignment="1">
      <alignment horizontal="center" vertical="center"/>
    </xf>
    <xf numFmtId="1" fontId="7" fillId="6" borderId="135" xfId="0" applyNumberFormat="1" applyFont="1" applyFill="1" applyBorder="1" applyAlignment="1">
      <alignment horizontal="center" vertical="center"/>
    </xf>
    <xf numFmtId="1" fontId="7" fillId="45" borderId="135" xfId="0" applyNumberFormat="1" applyFont="1" applyFill="1" applyBorder="1" applyAlignment="1">
      <alignment horizontal="center" vertical="center"/>
    </xf>
    <xf numFmtId="0" fontId="7" fillId="0" borderId="30" xfId="0" applyFont="1" applyBorder="1" applyAlignment="1">
      <alignment horizontal="left" vertical="center"/>
    </xf>
    <xf numFmtId="0" fontId="7" fillId="0" borderId="45" xfId="0" applyFont="1" applyBorder="1" applyAlignment="1">
      <alignment horizontal="left" vertical="center"/>
    </xf>
    <xf numFmtId="0" fontId="4" fillId="0" borderId="5" xfId="0" applyFont="1" applyBorder="1" applyAlignment="1">
      <alignment horizontal="left" vertical="center"/>
    </xf>
    <xf numFmtId="0" fontId="4" fillId="0" borderId="41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8" borderId="45" xfId="0" applyFont="1" applyFill="1" applyBorder="1" applyAlignment="1">
      <alignment horizontal="left" vertical="center"/>
    </xf>
    <xf numFmtId="0" fontId="7" fillId="8" borderId="135" xfId="0" applyFont="1" applyFill="1" applyBorder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11" fillId="8" borderId="41" xfId="0" applyFont="1" applyFill="1" applyBorder="1" applyAlignment="1">
      <alignment horizontal="left" vertical="center"/>
    </xf>
    <xf numFmtId="0" fontId="78" fillId="8" borderId="23" xfId="0" applyFont="1" applyFill="1" applyBorder="1" applyAlignment="1">
      <alignment horizontal="left" vertical="center"/>
    </xf>
    <xf numFmtId="0" fontId="78" fillId="8" borderId="0" xfId="0" applyFont="1" applyFill="1" applyBorder="1" applyAlignment="1">
      <alignment horizontal="left" vertical="center"/>
    </xf>
    <xf numFmtId="0" fontId="78" fillId="0" borderId="41" xfId="0" applyFont="1" applyBorder="1" applyAlignment="1">
      <alignment horizontal="left" vertical="center"/>
    </xf>
    <xf numFmtId="0" fontId="78" fillId="0" borderId="10" xfId="0" applyFont="1" applyBorder="1" applyAlignment="1">
      <alignment horizontal="left" vertical="center"/>
    </xf>
    <xf numFmtId="0" fontId="91" fillId="0" borderId="10" xfId="0" applyFont="1" applyBorder="1" applyAlignment="1">
      <alignment horizontal="left" vertical="center"/>
    </xf>
    <xf numFmtId="0" fontId="78" fillId="8" borderId="10" xfId="0" applyFont="1" applyFill="1" applyBorder="1" applyAlignment="1">
      <alignment horizontal="left" vertical="center"/>
    </xf>
    <xf numFmtId="0" fontId="91" fillId="0" borderId="23" xfId="0" applyFont="1" applyBorder="1" applyAlignment="1">
      <alignment horizontal="left" vertical="center"/>
    </xf>
    <xf numFmtId="0" fontId="46" fillId="8" borderId="0" xfId="0" applyFont="1" applyFill="1" applyAlignment="1">
      <alignment horizontal="left" vertical="center"/>
    </xf>
    <xf numFmtId="0" fontId="46" fillId="0" borderId="0" xfId="0" applyFont="1" applyAlignment="1">
      <alignment horizontal="left" vertical="center"/>
    </xf>
    <xf numFmtId="0" fontId="4" fillId="8" borderId="29" xfId="0" applyFont="1" applyFill="1" applyBorder="1" applyAlignment="1">
      <alignment horizontal="center" vertical="center"/>
    </xf>
    <xf numFmtId="0" fontId="4" fillId="8" borderId="6" xfId="0" applyFont="1" applyFill="1" applyBorder="1" applyAlignment="1">
      <alignment horizontal="center" vertical="center"/>
    </xf>
    <xf numFmtId="0" fontId="4" fillId="8" borderId="47" xfId="0" applyFont="1" applyFill="1" applyBorder="1" applyAlignment="1">
      <alignment horizontal="center" vertical="center"/>
    </xf>
    <xf numFmtId="0" fontId="11" fillId="8" borderId="41" xfId="0" applyFont="1" applyFill="1" applyBorder="1" applyAlignment="1">
      <alignment horizontal="center" vertical="center"/>
    </xf>
    <xf numFmtId="0" fontId="78" fillId="8" borderId="23" xfId="0" applyFont="1" applyFill="1" applyBorder="1" applyAlignment="1">
      <alignment horizontal="center" vertical="center"/>
    </xf>
    <xf numFmtId="0" fontId="78" fillId="8" borderId="0" xfId="0" applyFont="1" applyFill="1" applyBorder="1" applyAlignment="1">
      <alignment horizontal="center" vertical="center"/>
    </xf>
    <xf numFmtId="0" fontId="78" fillId="8" borderId="10" xfId="0" applyFont="1" applyFill="1" applyBorder="1" applyAlignment="1">
      <alignment horizontal="center" vertical="center"/>
    </xf>
    <xf numFmtId="0" fontId="11" fillId="8" borderId="66" xfId="0" applyFont="1" applyFill="1" applyBorder="1" applyAlignment="1">
      <alignment horizontal="center" vertical="center"/>
    </xf>
    <xf numFmtId="0" fontId="11" fillId="8" borderId="63" xfId="0" applyFont="1" applyFill="1" applyBorder="1" applyAlignment="1">
      <alignment horizontal="center" vertical="center"/>
    </xf>
    <xf numFmtId="0" fontId="11" fillId="8" borderId="3" xfId="0" applyFont="1" applyFill="1" applyBorder="1" applyAlignment="1">
      <alignment horizontal="center" vertical="center"/>
    </xf>
    <xf numFmtId="0" fontId="78" fillId="8" borderId="30" xfId="0" applyFont="1" applyFill="1" applyBorder="1" applyAlignment="1">
      <alignment horizontal="center" vertical="center"/>
    </xf>
    <xf numFmtId="0" fontId="78" fillId="8" borderId="53" xfId="0" applyFont="1" applyFill="1" applyBorder="1" applyAlignment="1">
      <alignment horizontal="center" vertical="center"/>
    </xf>
    <xf numFmtId="0" fontId="78" fillId="8" borderId="135" xfId="0" applyFont="1" applyFill="1" applyBorder="1" applyAlignment="1">
      <alignment horizontal="center" vertical="center"/>
    </xf>
    <xf numFmtId="0" fontId="78" fillId="8" borderId="17" xfId="0" applyFont="1" applyFill="1" applyBorder="1" applyAlignment="1">
      <alignment horizontal="center" vertical="center"/>
    </xf>
    <xf numFmtId="0" fontId="78" fillId="8" borderId="33" xfId="0" applyFont="1" applyFill="1" applyBorder="1" applyAlignment="1">
      <alignment horizontal="center" vertical="center"/>
    </xf>
    <xf numFmtId="0" fontId="78" fillId="8" borderId="54" xfId="0" applyFont="1" applyFill="1" applyBorder="1" applyAlignment="1">
      <alignment horizontal="center" vertical="center"/>
    </xf>
    <xf numFmtId="0" fontId="78" fillId="8" borderId="31" xfId="0" applyFont="1" applyFill="1" applyBorder="1" applyAlignment="1">
      <alignment horizontal="center" vertical="center"/>
    </xf>
    <xf numFmtId="0" fontId="78" fillId="7" borderId="31" xfId="0" applyFont="1" applyFill="1" applyBorder="1" applyAlignment="1">
      <alignment horizontal="center" vertical="center"/>
    </xf>
    <xf numFmtId="0" fontId="78" fillId="7" borderId="17" xfId="0" applyFont="1" applyFill="1" applyBorder="1" applyAlignment="1">
      <alignment horizontal="center" vertical="center"/>
    </xf>
    <xf numFmtId="0" fontId="78" fillId="5" borderId="31" xfId="0" applyFont="1" applyFill="1" applyBorder="1" applyAlignment="1">
      <alignment horizontal="center" vertical="center"/>
    </xf>
    <xf numFmtId="0" fontId="78" fillId="5" borderId="17" xfId="0" applyFont="1" applyFill="1" applyBorder="1" applyAlignment="1">
      <alignment horizontal="center" vertical="center"/>
    </xf>
    <xf numFmtId="0" fontId="78" fillId="45" borderId="10" xfId="0" applyFont="1" applyFill="1" applyBorder="1" applyAlignment="1">
      <alignment horizontal="center" vertical="center"/>
    </xf>
    <xf numFmtId="0" fontId="78" fillId="45" borderId="17" xfId="0" applyFont="1" applyFill="1" applyBorder="1" applyAlignment="1">
      <alignment horizontal="center" vertical="center"/>
    </xf>
    <xf numFmtId="0" fontId="4" fillId="0" borderId="32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34" xfId="0" applyFont="1" applyBorder="1" applyAlignment="1">
      <alignment horizontal="left" vertical="center"/>
    </xf>
    <xf numFmtId="0" fontId="7" fillId="0" borderId="34" xfId="0" applyFont="1" applyBorder="1" applyAlignment="1">
      <alignment horizontal="left" vertical="center"/>
    </xf>
    <xf numFmtId="0" fontId="4" fillId="8" borderId="62" xfId="0" applyFont="1" applyFill="1" applyBorder="1" applyAlignment="1">
      <alignment horizontal="left" vertical="center"/>
    </xf>
    <xf numFmtId="0" fontId="85" fillId="8" borderId="63" xfId="0" applyFont="1" applyFill="1" applyBorder="1" applyAlignment="1">
      <alignment horizontal="left" vertical="center"/>
    </xf>
    <xf numFmtId="0" fontId="78" fillId="8" borderId="35" xfId="0" applyFont="1" applyFill="1" applyBorder="1" applyAlignment="1">
      <alignment horizontal="left" vertical="center"/>
    </xf>
    <xf numFmtId="0" fontId="78" fillId="0" borderId="63" xfId="0" applyFont="1" applyBorder="1" applyAlignment="1">
      <alignment horizontal="left" vertical="center"/>
    </xf>
    <xf numFmtId="0" fontId="78" fillId="0" borderId="31" xfId="0" applyFont="1" applyBorder="1" applyAlignment="1">
      <alignment horizontal="left" vertical="center"/>
    </xf>
    <xf numFmtId="0" fontId="91" fillId="0" borderId="31" xfId="0" applyFont="1" applyBorder="1" applyAlignment="1">
      <alignment horizontal="left" vertical="center"/>
    </xf>
    <xf numFmtId="0" fontId="91" fillId="8" borderId="31" xfId="0" applyFont="1" applyFill="1" applyBorder="1" applyAlignment="1">
      <alignment horizontal="left" vertical="center"/>
    </xf>
    <xf numFmtId="0" fontId="91" fillId="0" borderId="32" xfId="0" applyFont="1" applyBorder="1" applyAlignment="1">
      <alignment horizontal="left" vertical="center"/>
    </xf>
    <xf numFmtId="1" fontId="18" fillId="7" borderId="10" xfId="0" applyNumberFormat="1" applyFont="1" applyFill="1" applyBorder="1" applyAlignment="1">
      <alignment horizontal="center" vertical="center"/>
    </xf>
    <xf numFmtId="0" fontId="18" fillId="0" borderId="42" xfId="0" applyFont="1" applyBorder="1"/>
    <xf numFmtId="0" fontId="18" fillId="0" borderId="54" xfId="0" applyFont="1" applyBorder="1"/>
    <xf numFmtId="2" fontId="156" fillId="8" borderId="17" xfId="0" applyNumberFormat="1" applyFont="1" applyFill="1" applyBorder="1" applyAlignment="1">
      <alignment horizontal="center" vertical="center"/>
    </xf>
    <xf numFmtId="0" fontId="56" fillId="8" borderId="0" xfId="376" applyFill="1"/>
    <xf numFmtId="0" fontId="56" fillId="8" borderId="0" xfId="376" applyFill="1" applyAlignment="1">
      <alignment horizontal="center" vertical="center"/>
    </xf>
    <xf numFmtId="1" fontId="7" fillId="7" borderId="10" xfId="0" applyNumberFormat="1" applyFont="1" applyFill="1" applyBorder="1" applyAlignment="1">
      <alignment horizontal="center" vertical="center"/>
    </xf>
    <xf numFmtId="1" fontId="7" fillId="5" borderId="10" xfId="0" applyNumberFormat="1" applyFont="1" applyFill="1" applyBorder="1" applyAlignment="1">
      <alignment horizontal="center" vertical="center"/>
    </xf>
    <xf numFmtId="0" fontId="0" fillId="0" borderId="0" xfId="0"/>
    <xf numFmtId="1" fontId="7" fillId="54" borderId="10" xfId="0" applyNumberFormat="1" applyFont="1" applyFill="1" applyBorder="1" applyAlignment="1">
      <alignment horizontal="center" vertical="center"/>
    </xf>
    <xf numFmtId="1" fontId="21" fillId="7" borderId="31" xfId="0" applyNumberFormat="1" applyFont="1" applyFill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1" fontId="21" fillId="5" borderId="10" xfId="0" applyNumberFormat="1" applyFont="1" applyFill="1" applyBorder="1" applyAlignment="1">
      <alignment horizontal="center" vertical="center"/>
    </xf>
    <xf numFmtId="1" fontId="21" fillId="5" borderId="31" xfId="0" applyNumberFormat="1" applyFont="1" applyFill="1" applyBorder="1" applyAlignment="1">
      <alignment horizontal="center" vertical="center"/>
    </xf>
    <xf numFmtId="1" fontId="21" fillId="6" borderId="10" xfId="0" applyNumberFormat="1" applyFont="1" applyFill="1" applyBorder="1" applyAlignment="1">
      <alignment horizontal="center" vertical="center"/>
    </xf>
    <xf numFmtId="0" fontId="22" fillId="5" borderId="1" xfId="0" applyFont="1" applyFill="1" applyBorder="1" applyAlignment="1">
      <alignment horizontal="center" vertical="center"/>
    </xf>
    <xf numFmtId="0" fontId="22" fillId="0" borderId="4" xfId="0" applyFont="1" applyBorder="1" applyAlignment="1">
      <alignment horizontal="center" vertical="center"/>
    </xf>
    <xf numFmtId="0" fontId="22" fillId="6" borderId="4" xfId="0" applyFont="1" applyFill="1" applyBorder="1" applyAlignment="1">
      <alignment horizontal="center" vertical="center"/>
    </xf>
    <xf numFmtId="0" fontId="22" fillId="7" borderId="4" xfId="0" applyFont="1" applyFill="1" applyBorder="1" applyAlignment="1">
      <alignment horizontal="center" vertical="center"/>
    </xf>
    <xf numFmtId="0" fontId="0" fillId="0" borderId="0" xfId="0"/>
    <xf numFmtId="1" fontId="21" fillId="0" borderId="0" xfId="0" applyNumberFormat="1" applyFont="1" applyAlignment="1">
      <alignment horizontal="center" vertical="center"/>
    </xf>
    <xf numFmtId="1" fontId="21" fillId="5" borderId="34" xfId="0" applyNumberFormat="1" applyFont="1" applyFill="1" applyBorder="1" applyAlignment="1">
      <alignment horizontal="center" vertical="center"/>
    </xf>
    <xf numFmtId="0" fontId="22" fillId="5" borderId="10" xfId="0" applyFont="1" applyFill="1" applyBorder="1" applyAlignment="1">
      <alignment horizontal="center" vertical="center"/>
    </xf>
    <xf numFmtId="0" fontId="22" fillId="6" borderId="10" xfId="0" applyFont="1" applyFill="1" applyBorder="1" applyAlignment="1">
      <alignment horizontal="center" vertical="center"/>
    </xf>
    <xf numFmtId="1" fontId="7" fillId="8" borderId="10" xfId="0" applyNumberFormat="1" applyFont="1" applyFill="1" applyBorder="1" applyAlignment="1">
      <alignment horizontal="center" vertical="center"/>
    </xf>
    <xf numFmtId="1" fontId="7" fillId="8" borderId="45" xfId="0" applyNumberFormat="1" applyFont="1" applyFill="1" applyBorder="1" applyAlignment="1">
      <alignment horizontal="center" vertical="center"/>
    </xf>
    <xf numFmtId="1" fontId="7" fillId="8" borderId="30" xfId="0" applyNumberFormat="1" applyFont="1" applyFill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/>
    </xf>
    <xf numFmtId="1" fontId="21" fillId="5" borderId="10" xfId="0" applyNumberFormat="1" applyFont="1" applyFill="1" applyBorder="1" applyAlignment="1">
      <alignment horizontal="center" vertical="center"/>
    </xf>
    <xf numFmtId="1" fontId="21" fillId="7" borderId="31" xfId="0" applyNumberFormat="1" applyFont="1" applyFill="1" applyBorder="1" applyAlignment="1">
      <alignment horizontal="center" vertical="center"/>
    </xf>
    <xf numFmtId="1" fontId="21" fillId="6" borderId="10" xfId="0" applyNumberFormat="1" applyFont="1" applyFill="1" applyBorder="1" applyAlignment="1">
      <alignment horizontal="center" vertical="center"/>
    </xf>
    <xf numFmtId="1" fontId="21" fillId="6" borderId="30" xfId="0" applyNumberFormat="1" applyFont="1" applyFill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0" fontId="22" fillId="5" borderId="1" xfId="0" applyFont="1" applyFill="1" applyBorder="1" applyAlignment="1">
      <alignment horizontal="center" vertical="center"/>
    </xf>
    <xf numFmtId="1" fontId="22" fillId="6" borderId="74" xfId="0" applyNumberFormat="1" applyFont="1" applyFill="1" applyBorder="1" applyAlignment="1">
      <alignment horizontal="center" vertical="center"/>
    </xf>
    <xf numFmtId="1" fontId="22" fillId="7" borderId="74" xfId="0" applyNumberFormat="1" applyFont="1" applyFill="1" applyBorder="1" applyAlignment="1">
      <alignment horizontal="center" vertical="center"/>
    </xf>
    <xf numFmtId="0" fontId="22" fillId="6" borderId="4" xfId="0" applyFont="1" applyFill="1" applyBorder="1" applyAlignment="1">
      <alignment horizontal="center" vertical="center"/>
    </xf>
    <xf numFmtId="1" fontId="4" fillId="7" borderId="10" xfId="0" applyNumberFormat="1" applyFont="1" applyFill="1" applyBorder="1" applyAlignment="1">
      <alignment horizontal="center" vertical="center"/>
    </xf>
    <xf numFmtId="1" fontId="4" fillId="5" borderId="10" xfId="0" applyNumberFormat="1" applyFont="1" applyFill="1" applyBorder="1" applyAlignment="1">
      <alignment horizontal="center" vertical="center"/>
    </xf>
    <xf numFmtId="0" fontId="0" fillId="0" borderId="0" xfId="0"/>
    <xf numFmtId="1" fontId="21" fillId="7" borderId="74" xfId="0" applyNumberFormat="1" applyFont="1" applyFill="1" applyBorder="1" applyAlignment="1">
      <alignment horizontal="center" vertical="center"/>
    </xf>
    <xf numFmtId="1" fontId="21" fillId="7" borderId="9" xfId="0" applyNumberFormat="1" applyFont="1" applyFill="1" applyBorder="1" applyAlignment="1">
      <alignment horizontal="center" vertical="center"/>
    </xf>
    <xf numFmtId="1" fontId="21" fillId="8" borderId="62" xfId="0" applyNumberFormat="1" applyFont="1" applyFill="1" applyBorder="1" applyAlignment="1">
      <alignment horizontal="center" vertical="center"/>
    </xf>
    <xf numFmtId="1" fontId="21" fillId="8" borderId="34" xfId="0" applyNumberFormat="1" applyFont="1" applyFill="1" applyBorder="1" applyAlignment="1">
      <alignment horizontal="center" vertical="center"/>
    </xf>
    <xf numFmtId="1" fontId="21" fillId="8" borderId="7" xfId="0" applyNumberFormat="1" applyFont="1" applyFill="1" applyBorder="1" applyAlignment="1">
      <alignment horizontal="center" vertical="center"/>
    </xf>
    <xf numFmtId="1" fontId="21" fillId="8" borderId="74" xfId="0" quotePrefix="1" applyNumberFormat="1" applyFont="1" applyFill="1" applyBorder="1" applyAlignment="1">
      <alignment horizontal="center" vertical="center"/>
    </xf>
    <xf numFmtId="0" fontId="22" fillId="7" borderId="10" xfId="0" applyFont="1" applyFill="1" applyBorder="1" applyAlignment="1">
      <alignment horizontal="center" vertical="center"/>
    </xf>
    <xf numFmtId="0" fontId="0" fillId="0" borderId="0" xfId="0"/>
    <xf numFmtId="0" fontId="27" fillId="0" borderId="10" xfId="0" applyFont="1" applyBorder="1" applyAlignment="1">
      <alignment horizontal="center" vertical="center"/>
    </xf>
    <xf numFmtId="0" fontId="27" fillId="7" borderId="10" xfId="0" applyFont="1" applyFill="1" applyBorder="1" applyAlignment="1">
      <alignment horizontal="center" vertical="center"/>
    </xf>
    <xf numFmtId="0" fontId="27" fillId="5" borderId="10" xfId="0" applyFont="1" applyFill="1" applyBorder="1" applyAlignment="1">
      <alignment horizontal="center" vertical="center"/>
    </xf>
    <xf numFmtId="0" fontId="27" fillId="6" borderId="10" xfId="0" applyFont="1" applyFill="1" applyBorder="1" applyAlignment="1">
      <alignment horizontal="center" vertical="center"/>
    </xf>
    <xf numFmtId="0" fontId="0" fillId="0" borderId="0" xfId="0"/>
    <xf numFmtId="1" fontId="21" fillId="0" borderId="31" xfId="0" applyNumberFormat="1" applyFont="1" applyBorder="1" applyAlignment="1">
      <alignment horizontal="center" vertical="center"/>
    </xf>
    <xf numFmtId="1" fontId="21" fillId="5" borderId="10" xfId="0" applyNumberFormat="1" applyFont="1" applyFill="1" applyBorder="1" applyAlignment="1">
      <alignment horizontal="center" vertical="center"/>
    </xf>
    <xf numFmtId="1" fontId="21" fillId="7" borderId="31" xfId="0" applyNumberFormat="1" applyFont="1" applyFill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1" fontId="21" fillId="5" borderId="31" xfId="0" applyNumberFormat="1" applyFont="1" applyFill="1" applyBorder="1" applyAlignment="1">
      <alignment horizontal="center" vertical="center"/>
    </xf>
    <xf numFmtId="1" fontId="21" fillId="8" borderId="29" xfId="0" applyNumberFormat="1" applyFont="1" applyFill="1" applyBorder="1" applyAlignment="1">
      <alignment horizontal="center" vertical="center"/>
    </xf>
    <xf numFmtId="0" fontId="22" fillId="7" borderId="1" xfId="0" applyFont="1" applyFill="1" applyBorder="1" applyAlignment="1">
      <alignment horizontal="center" vertical="center"/>
    </xf>
    <xf numFmtId="0" fontId="22" fillId="5" borderId="1" xfId="0" applyFont="1" applyFill="1" applyBorder="1" applyAlignment="1">
      <alignment horizontal="center" vertical="center"/>
    </xf>
    <xf numFmtId="1" fontId="22" fillId="0" borderId="85" xfId="0" applyNumberFormat="1" applyFont="1" applyBorder="1" applyAlignment="1">
      <alignment horizontal="center" vertical="center"/>
    </xf>
    <xf numFmtId="1" fontId="22" fillId="0" borderId="76" xfId="0" applyNumberFormat="1" applyFont="1" applyBorder="1" applyAlignment="1">
      <alignment horizontal="center" vertical="center"/>
    </xf>
    <xf numFmtId="1" fontId="4" fillId="7" borderId="10" xfId="0" applyNumberFormat="1" applyFont="1" applyFill="1" applyBorder="1" applyAlignment="1">
      <alignment horizontal="center" vertical="center"/>
    </xf>
    <xf numFmtId="1" fontId="7" fillId="7" borderId="10" xfId="0" applyNumberFormat="1" applyFont="1" applyFill="1" applyBorder="1" applyAlignment="1">
      <alignment horizontal="center" vertical="center"/>
    </xf>
    <xf numFmtId="1" fontId="4" fillId="5" borderId="10" xfId="0" applyNumberFormat="1" applyFont="1" applyFill="1" applyBorder="1" applyAlignment="1">
      <alignment horizontal="center" vertical="center"/>
    </xf>
    <xf numFmtId="1" fontId="7" fillId="5" borderId="10" xfId="0" applyNumberFormat="1" applyFont="1" applyFill="1" applyBorder="1" applyAlignment="1">
      <alignment horizontal="center" vertical="center"/>
    </xf>
    <xf numFmtId="0" fontId="0" fillId="0" borderId="0" xfId="0"/>
    <xf numFmtId="167" fontId="21" fillId="7" borderId="46" xfId="0" applyNumberFormat="1" applyFont="1" applyFill="1" applyBorder="1" applyAlignment="1">
      <alignment horizontal="center" vertical="center"/>
    </xf>
    <xf numFmtId="1" fontId="21" fillId="8" borderId="62" xfId="0" applyNumberFormat="1" applyFont="1" applyFill="1" applyBorder="1" applyAlignment="1">
      <alignment horizontal="center" vertical="center"/>
    </xf>
    <xf numFmtId="1" fontId="21" fillId="8" borderId="34" xfId="0" applyNumberFormat="1" applyFont="1" applyFill="1" applyBorder="1" applyAlignment="1">
      <alignment horizontal="center" vertical="center"/>
    </xf>
    <xf numFmtId="167" fontId="21" fillId="0" borderId="74" xfId="0" applyNumberFormat="1" applyFont="1" applyBorder="1" applyAlignment="1">
      <alignment horizontal="center" vertical="center"/>
    </xf>
    <xf numFmtId="1" fontId="21" fillId="5" borderId="34" xfId="0" applyNumberFormat="1" applyFont="1" applyFill="1" applyBorder="1" applyAlignment="1">
      <alignment horizontal="center" vertical="center"/>
    </xf>
    <xf numFmtId="1" fontId="21" fillId="7" borderId="62" xfId="0" applyNumberFormat="1" applyFont="1" applyFill="1" applyBorder="1" applyAlignment="1">
      <alignment horizontal="center" vertical="center"/>
    </xf>
    <xf numFmtId="0" fontId="0" fillId="0" borderId="0" xfId="0"/>
    <xf numFmtId="0" fontId="46" fillId="0" borderId="0" xfId="0" applyFont="1" applyAlignment="1">
      <alignment horizontal="center"/>
    </xf>
    <xf numFmtId="0" fontId="22" fillId="5" borderId="10" xfId="0" applyFont="1" applyFill="1" applyBorder="1" applyAlignment="1">
      <alignment horizontal="center" vertical="center"/>
    </xf>
    <xf numFmtId="0" fontId="22" fillId="7" borderId="10" xfId="0" applyFont="1" applyFill="1" applyBorder="1" applyAlignment="1">
      <alignment horizontal="center" vertical="center"/>
    </xf>
    <xf numFmtId="0" fontId="22" fillId="6" borderId="10" xfId="0" applyFont="1" applyFill="1" applyBorder="1" applyAlignment="1">
      <alignment horizontal="center" vertical="center"/>
    </xf>
    <xf numFmtId="167" fontId="20" fillId="6" borderId="85" xfId="0" applyNumberFormat="1" applyFont="1" applyFill="1" applyBorder="1" applyAlignment="1">
      <alignment horizontal="center" vertical="center"/>
    </xf>
    <xf numFmtId="169" fontId="4" fillId="6" borderId="41" xfId="0" applyNumberFormat="1" applyFont="1" applyFill="1" applyBorder="1" applyAlignment="1">
      <alignment horizontal="center" vertical="center"/>
    </xf>
    <xf numFmtId="169" fontId="4" fillId="7" borderId="1" xfId="0" applyNumberFormat="1" applyFont="1" applyFill="1" applyBorder="1" applyAlignment="1">
      <alignment horizontal="center" vertical="center"/>
    </xf>
    <xf numFmtId="169" fontId="4" fillId="7" borderId="25" xfId="0" applyNumberFormat="1" applyFont="1" applyFill="1" applyBorder="1" applyAlignment="1">
      <alignment horizontal="center" vertical="center"/>
    </xf>
    <xf numFmtId="167" fontId="7" fillId="5" borderId="41" xfId="0" applyNumberFormat="1" applyFont="1" applyFill="1" applyBorder="1" applyAlignment="1">
      <alignment horizontal="center" vertical="center"/>
    </xf>
    <xf numFmtId="167" fontId="7" fillId="6" borderId="41" xfId="0" applyNumberFormat="1" applyFont="1" applyFill="1" applyBorder="1" applyAlignment="1">
      <alignment horizontal="center" vertical="center"/>
    </xf>
    <xf numFmtId="167" fontId="7" fillId="7" borderId="41" xfId="0" applyNumberFormat="1" applyFont="1" applyFill="1" applyBorder="1" applyAlignment="1">
      <alignment horizontal="center" vertical="center"/>
    </xf>
    <xf numFmtId="1" fontId="21" fillId="7" borderId="31" xfId="0" applyNumberFormat="1" applyFont="1" applyFill="1" applyBorder="1" applyAlignment="1">
      <alignment horizontal="center" vertical="center"/>
    </xf>
    <xf numFmtId="0" fontId="46" fillId="0" borderId="135" xfId="0" applyFont="1" applyBorder="1"/>
    <xf numFmtId="2" fontId="103" fillId="7" borderId="17" xfId="0" applyNumberFormat="1" applyFont="1" applyFill="1" applyBorder="1" applyAlignment="1">
      <alignment horizontal="center" vertical="center"/>
    </xf>
    <xf numFmtId="1" fontId="4" fillId="7" borderId="30" xfId="0" applyNumberFormat="1" applyFont="1" applyFill="1" applyBorder="1" applyAlignment="1">
      <alignment horizontal="center" vertical="center"/>
    </xf>
    <xf numFmtId="1" fontId="7" fillId="7" borderId="10" xfId="0" applyNumberFormat="1" applyFont="1" applyFill="1" applyBorder="1" applyAlignment="1">
      <alignment horizontal="center" vertical="center"/>
    </xf>
    <xf numFmtId="1" fontId="7" fillId="5" borderId="10" xfId="0" applyNumberFormat="1" applyFont="1" applyFill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1" fontId="21" fillId="0" borderId="31" xfId="0" applyNumberFormat="1" applyFont="1" applyBorder="1" applyAlignment="1">
      <alignment horizontal="center" vertical="center"/>
    </xf>
    <xf numFmtId="1" fontId="21" fillId="5" borderId="31" xfId="0" applyNumberFormat="1" applyFont="1" applyFill="1" applyBorder="1" applyAlignment="1">
      <alignment horizontal="center" vertical="center"/>
    </xf>
    <xf numFmtId="1" fontId="21" fillId="6" borderId="10" xfId="0" applyNumberFormat="1" applyFont="1" applyFill="1" applyBorder="1" applyAlignment="1">
      <alignment horizontal="center" vertical="center"/>
    </xf>
    <xf numFmtId="1" fontId="21" fillId="5" borderId="10" xfId="0" applyNumberFormat="1" applyFont="1" applyFill="1" applyBorder="1" applyAlignment="1">
      <alignment horizontal="center" vertical="center"/>
    </xf>
    <xf numFmtId="0" fontId="22" fillId="7" borderId="1" xfId="0" applyFont="1" applyFill="1" applyBorder="1" applyAlignment="1">
      <alignment horizontal="center" vertical="center"/>
    </xf>
    <xf numFmtId="0" fontId="22" fillId="6" borderId="1" xfId="0" applyFont="1" applyFill="1" applyBorder="1" applyAlignment="1">
      <alignment horizontal="center" vertical="center"/>
    </xf>
    <xf numFmtId="0" fontId="22" fillId="5" borderId="4" xfId="0" applyFont="1" applyFill="1" applyBorder="1" applyAlignment="1">
      <alignment horizontal="center" vertical="center"/>
    </xf>
    <xf numFmtId="0" fontId="22" fillId="5" borderId="1" xfId="0" applyFont="1" applyFill="1" applyBorder="1" applyAlignment="1">
      <alignment horizontal="center" vertical="center"/>
    </xf>
    <xf numFmtId="0" fontId="4" fillId="8" borderId="41" xfId="0" applyFont="1" applyFill="1" applyBorder="1" applyAlignment="1">
      <alignment horizontal="center" vertical="center"/>
    </xf>
    <xf numFmtId="0" fontId="22" fillId="6" borderId="4" xfId="0" applyFont="1" applyFill="1" applyBorder="1" applyAlignment="1">
      <alignment horizontal="center" vertical="center"/>
    </xf>
    <xf numFmtId="0" fontId="22" fillId="7" borderId="4" xfId="0" applyFont="1" applyFill="1" applyBorder="1" applyAlignment="1">
      <alignment horizontal="center" vertical="center"/>
    </xf>
    <xf numFmtId="1" fontId="4" fillId="7" borderId="10" xfId="0" applyNumberFormat="1" applyFont="1" applyFill="1" applyBorder="1" applyAlignment="1">
      <alignment horizontal="center" vertical="center"/>
    </xf>
    <xf numFmtId="0" fontId="4" fillId="7" borderId="10" xfId="0" applyFont="1" applyFill="1" applyBorder="1" applyAlignment="1">
      <alignment horizontal="center" vertical="center"/>
    </xf>
    <xf numFmtId="1" fontId="7" fillId="7" borderId="10" xfId="0" applyNumberFormat="1" applyFont="1" applyFill="1" applyBorder="1" applyAlignment="1">
      <alignment horizontal="center" vertical="center"/>
    </xf>
    <xf numFmtId="1" fontId="7" fillId="5" borderId="10" xfId="0" applyNumberFormat="1" applyFont="1" applyFill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0" fillId="0" borderId="0" xfId="0"/>
    <xf numFmtId="0" fontId="4" fillId="8" borderId="10" xfId="0" applyFont="1" applyFill="1" applyBorder="1" applyAlignment="1">
      <alignment horizontal="center" vertical="center"/>
    </xf>
    <xf numFmtId="1" fontId="21" fillId="5" borderId="34" xfId="0" applyNumberFormat="1" applyFont="1" applyFill="1" applyBorder="1" applyAlignment="1">
      <alignment horizontal="center" vertical="center"/>
    </xf>
    <xf numFmtId="167" fontId="4" fillId="7" borderId="30" xfId="0" applyNumberFormat="1" applyFont="1" applyFill="1" applyBorder="1" applyAlignment="1">
      <alignment horizontal="center" vertical="center"/>
    </xf>
    <xf numFmtId="0" fontId="0" fillId="0" borderId="0" xfId="0"/>
    <xf numFmtId="0" fontId="37" fillId="0" borderId="10" xfId="0" applyFont="1" applyBorder="1" applyAlignment="1">
      <alignment horizontal="center"/>
    </xf>
    <xf numFmtId="0" fontId="20" fillId="8" borderId="135" xfId="0" applyFont="1" applyFill="1" applyBorder="1" applyAlignment="1">
      <alignment vertical="center"/>
    </xf>
    <xf numFmtId="1" fontId="4" fillId="7" borderId="10" xfId="0" applyNumberFormat="1" applyFont="1" applyFill="1" applyBorder="1" applyAlignment="1">
      <alignment horizontal="center" vertical="center"/>
    </xf>
    <xf numFmtId="0" fontId="7" fillId="7" borderId="10" xfId="0" applyFont="1" applyFill="1" applyBorder="1" applyAlignment="1">
      <alignment horizontal="center" vertical="center"/>
    </xf>
    <xf numFmtId="0" fontId="4" fillId="7" borderId="10" xfId="0" applyFont="1" applyFill="1" applyBorder="1" applyAlignment="1">
      <alignment horizontal="center" vertical="center"/>
    </xf>
    <xf numFmtId="1" fontId="7" fillId="7" borderId="10" xfId="0" applyNumberFormat="1" applyFont="1" applyFill="1" applyBorder="1" applyAlignment="1">
      <alignment horizontal="center" vertical="center"/>
    </xf>
    <xf numFmtId="1" fontId="4" fillId="0" borderId="10" xfId="0" applyNumberFormat="1" applyFont="1" applyBorder="1" applyAlignment="1">
      <alignment horizontal="center" vertical="center"/>
    </xf>
    <xf numFmtId="1" fontId="4" fillId="5" borderId="10" xfId="0" applyNumberFormat="1" applyFont="1" applyFill="1" applyBorder="1" applyAlignment="1">
      <alignment horizontal="center" vertical="center"/>
    </xf>
    <xf numFmtId="1" fontId="7" fillId="8" borderId="10" xfId="0" applyNumberFormat="1" applyFont="1" applyFill="1" applyBorder="1" applyAlignment="1">
      <alignment horizontal="center"/>
    </xf>
    <xf numFmtId="0" fontId="7" fillId="0" borderId="10" xfId="0" applyFont="1" applyBorder="1" applyAlignment="1">
      <alignment horizontal="center" vertical="center"/>
    </xf>
    <xf numFmtId="0" fontId="7" fillId="0" borderId="46" xfId="0" applyFont="1" applyBorder="1" applyAlignment="1">
      <alignment vertical="center"/>
    </xf>
    <xf numFmtId="0" fontId="7" fillId="0" borderId="30" xfId="0" applyFont="1" applyBorder="1" applyAlignment="1">
      <alignment vertical="center"/>
    </xf>
    <xf numFmtId="0" fontId="7" fillId="5" borderId="10" xfId="0" applyFont="1" applyFill="1" applyBorder="1" applyAlignment="1">
      <alignment horizontal="center" vertical="center"/>
    </xf>
    <xf numFmtId="1" fontId="7" fillId="8" borderId="10" xfId="0" applyNumberFormat="1" applyFont="1" applyFill="1" applyBorder="1" applyAlignment="1">
      <alignment horizontal="center" vertical="center"/>
    </xf>
    <xf numFmtId="1" fontId="7" fillId="5" borderId="10" xfId="0" applyNumberFormat="1" applyFont="1" applyFill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5" borderId="10" xfId="0" applyFont="1" applyFill="1" applyBorder="1" applyAlignment="1">
      <alignment horizontal="center" vertical="center"/>
    </xf>
    <xf numFmtId="0" fontId="0" fillId="0" borderId="0" xfId="0"/>
    <xf numFmtId="1" fontId="4" fillId="54" borderId="10" xfId="0" applyNumberFormat="1" applyFont="1" applyFill="1" applyBorder="1" applyAlignment="1">
      <alignment horizontal="center" vertical="center"/>
    </xf>
    <xf numFmtId="0" fontId="7" fillId="54" borderId="10" xfId="0" applyFont="1" applyFill="1" applyBorder="1" applyAlignment="1">
      <alignment horizontal="center" vertical="center"/>
    </xf>
    <xf numFmtId="0" fontId="4" fillId="54" borderId="10" xfId="0" applyFont="1" applyFill="1" applyBorder="1" applyAlignment="1">
      <alignment horizontal="center" vertical="center"/>
    </xf>
    <xf numFmtId="1" fontId="7" fillId="54" borderId="10" xfId="0" applyNumberFormat="1" applyFont="1" applyFill="1" applyBorder="1" applyAlignment="1">
      <alignment horizontal="center" vertical="center"/>
    </xf>
    <xf numFmtId="1" fontId="7" fillId="7" borderId="30" xfId="0" applyNumberFormat="1" applyFont="1" applyFill="1" applyBorder="1" applyAlignment="1">
      <alignment horizontal="center" vertical="center"/>
    </xf>
    <xf numFmtId="1" fontId="81" fillId="8" borderId="0" xfId="186" applyNumberFormat="1" applyFont="1" applyFill="1" applyBorder="1" applyAlignment="1">
      <alignment horizontal="center" vertical="center"/>
    </xf>
    <xf numFmtId="1" fontId="81" fillId="0" borderId="0" xfId="186" applyNumberFormat="1" applyFont="1" applyBorder="1" applyAlignment="1">
      <alignment horizontal="center" vertical="center"/>
    </xf>
    <xf numFmtId="1" fontId="81" fillId="0" borderId="48" xfId="186" applyNumberFormat="1" applyFont="1" applyBorder="1" applyAlignment="1">
      <alignment horizontal="center" vertical="center"/>
    </xf>
    <xf numFmtId="0" fontId="80" fillId="42" borderId="0" xfId="186" applyFont="1" applyFill="1" applyBorder="1" applyAlignment="1">
      <alignment horizontal="center" vertical="center"/>
    </xf>
    <xf numFmtId="1" fontId="80" fillId="5" borderId="37" xfId="186" applyNumberFormat="1" applyFont="1" applyFill="1" applyBorder="1" applyAlignment="1">
      <alignment horizontal="center" vertical="center"/>
    </xf>
    <xf numFmtId="1" fontId="80" fillId="4" borderId="37" xfId="186" applyNumberFormat="1" applyFont="1" applyFill="1" applyBorder="1" applyAlignment="1">
      <alignment horizontal="center" vertical="center"/>
    </xf>
    <xf numFmtId="1" fontId="80" fillId="5" borderId="48" xfId="186" applyNumberFormat="1" applyFont="1" applyFill="1" applyBorder="1" applyAlignment="1">
      <alignment horizontal="center" vertical="center"/>
    </xf>
    <xf numFmtId="1" fontId="80" fillId="8" borderId="65" xfId="186" applyNumberFormat="1" applyFont="1" applyFill="1" applyBorder="1" applyAlignment="1">
      <alignment horizontal="center" vertical="center"/>
    </xf>
    <xf numFmtId="1" fontId="37" fillId="5" borderId="135" xfId="0" applyNumberFormat="1" applyFont="1" applyFill="1" applyBorder="1" applyAlignment="1">
      <alignment horizontal="center"/>
    </xf>
    <xf numFmtId="1" fontId="4" fillId="6" borderId="135" xfId="0" applyNumberFormat="1" applyFont="1" applyFill="1" applyBorder="1" applyAlignment="1">
      <alignment horizontal="center" vertical="center"/>
    </xf>
    <xf numFmtId="0" fontId="5" fillId="6" borderId="10" xfId="0" applyFont="1" applyFill="1" applyBorder="1" applyAlignment="1">
      <alignment vertical="center"/>
    </xf>
    <xf numFmtId="1" fontId="8" fillId="6" borderId="10" xfId="0" applyNumberFormat="1" applyFont="1" applyFill="1" applyBorder="1" applyAlignment="1">
      <alignment horizontal="center" vertical="center"/>
    </xf>
    <xf numFmtId="1" fontId="4" fillId="6" borderId="23" xfId="0" applyNumberFormat="1" applyFont="1" applyFill="1" applyBorder="1" applyAlignment="1">
      <alignment horizontal="center" vertical="center"/>
    </xf>
    <xf numFmtId="0" fontId="37" fillId="0" borderId="135" xfId="0" applyFont="1" applyBorder="1"/>
    <xf numFmtId="1" fontId="37" fillId="8" borderId="135" xfId="0" applyNumberFormat="1" applyFont="1" applyFill="1" applyBorder="1" applyAlignment="1">
      <alignment horizontal="center"/>
    </xf>
    <xf numFmtId="1" fontId="37" fillId="7" borderId="135" xfId="0" applyNumberFormat="1" applyFont="1" applyFill="1" applyBorder="1" applyAlignment="1">
      <alignment horizontal="center"/>
    </xf>
    <xf numFmtId="1" fontId="0" fillId="0" borderId="135" xfId="0" applyNumberFormat="1" applyBorder="1" applyAlignment="1">
      <alignment horizontal="center" vertical="center"/>
    </xf>
    <xf numFmtId="1" fontId="179" fillId="0" borderId="10" xfId="0" applyNumberFormat="1" applyFont="1" applyBorder="1" applyAlignment="1">
      <alignment horizontal="center"/>
    </xf>
    <xf numFmtId="1" fontId="46" fillId="44" borderId="10" xfId="0" applyNumberFormat="1" applyFont="1" applyFill="1" applyBorder="1"/>
    <xf numFmtId="1" fontId="21" fillId="6" borderId="10" xfId="0" applyNumberFormat="1" applyFont="1" applyFill="1" applyBorder="1" applyAlignment="1">
      <alignment horizontal="center" vertical="center"/>
    </xf>
    <xf numFmtId="1" fontId="21" fillId="6" borderId="30" xfId="0" applyNumberFormat="1" applyFont="1" applyFill="1" applyBorder="1" applyAlignment="1">
      <alignment horizontal="center" vertical="center"/>
    </xf>
    <xf numFmtId="1" fontId="21" fillId="5" borderId="10" xfId="0" applyNumberFormat="1" applyFont="1" applyFill="1" applyBorder="1" applyAlignment="1">
      <alignment horizontal="center" vertical="center"/>
    </xf>
    <xf numFmtId="1" fontId="4" fillId="0" borderId="10" xfId="0" applyNumberFormat="1" applyFont="1" applyBorder="1" applyAlignment="1">
      <alignment horizontal="center" vertical="center"/>
    </xf>
    <xf numFmtId="1" fontId="4" fillId="7" borderId="10" xfId="0" applyNumberFormat="1" applyFont="1" applyFill="1" applyBorder="1" applyAlignment="1">
      <alignment horizontal="center" vertical="center"/>
    </xf>
    <xf numFmtId="1" fontId="4" fillId="5" borderId="10" xfId="0" applyNumberFormat="1" applyFont="1" applyFill="1" applyBorder="1" applyAlignment="1">
      <alignment horizontal="center" vertical="center"/>
    </xf>
    <xf numFmtId="0" fontId="0" fillId="0" borderId="0" xfId="0"/>
    <xf numFmtId="0" fontId="22" fillId="0" borderId="10" xfId="0" applyFont="1" applyBorder="1" applyAlignment="1">
      <alignment horizontal="center" vertical="center"/>
    </xf>
    <xf numFmtId="0" fontId="22" fillId="7" borderId="10" xfId="0" applyFont="1" applyFill="1" applyBorder="1" applyAlignment="1">
      <alignment horizontal="center" vertical="center"/>
    </xf>
    <xf numFmtId="0" fontId="22" fillId="5" borderId="10" xfId="0" applyFont="1" applyFill="1" applyBorder="1" applyAlignment="1">
      <alignment horizontal="center" vertical="center"/>
    </xf>
    <xf numFmtId="0" fontId="22" fillId="6" borderId="10" xfId="0" applyFont="1" applyFill="1" applyBorder="1" applyAlignment="1">
      <alignment horizontal="center" vertical="center"/>
    </xf>
    <xf numFmtId="1" fontId="21" fillId="6" borderId="10" xfId="0" applyNumberFormat="1" applyFont="1" applyFill="1" applyBorder="1" applyAlignment="1">
      <alignment horizontal="center" vertical="center"/>
    </xf>
    <xf numFmtId="2" fontId="7" fillId="7" borderId="10" xfId="0" applyNumberFormat="1" applyFont="1" applyFill="1" applyBorder="1" applyAlignment="1">
      <alignment horizontal="center" vertical="center"/>
    </xf>
    <xf numFmtId="2" fontId="7" fillId="6" borderId="10" xfId="0" applyNumberFormat="1" applyFont="1" applyFill="1" applyBorder="1" applyAlignment="1">
      <alignment horizontal="center" vertical="center"/>
    </xf>
    <xf numFmtId="1" fontId="21" fillId="8" borderId="29" xfId="0" applyNumberFormat="1" applyFont="1" applyFill="1" applyBorder="1" applyAlignment="1">
      <alignment horizontal="center" vertical="center"/>
    </xf>
    <xf numFmtId="0" fontId="22" fillId="5" borderId="1" xfId="0" applyFont="1" applyFill="1" applyBorder="1" applyAlignment="1">
      <alignment horizontal="center" vertical="center"/>
    </xf>
    <xf numFmtId="0" fontId="22" fillId="7" borderId="4" xfId="0" applyFont="1" applyFill="1" applyBorder="1" applyAlignment="1">
      <alignment horizontal="center" vertical="center"/>
    </xf>
    <xf numFmtId="0" fontId="19" fillId="5" borderId="4" xfId="0" applyFont="1" applyFill="1" applyBorder="1" applyAlignment="1">
      <alignment horizontal="center" vertical="center"/>
    </xf>
    <xf numFmtId="1" fontId="7" fillId="8" borderId="10" xfId="0" applyNumberFormat="1" applyFont="1" applyFill="1" applyBorder="1" applyAlignment="1">
      <alignment horizontal="center" vertical="center"/>
    </xf>
    <xf numFmtId="0" fontId="0" fillId="0" borderId="0" xfId="0"/>
    <xf numFmtId="1" fontId="45" fillId="0" borderId="10" xfId="0" applyNumberFormat="1" applyFont="1" applyBorder="1" applyAlignment="1">
      <alignment horizontal="center" vertical="center"/>
    </xf>
    <xf numFmtId="1" fontId="4" fillId="5" borderId="10" xfId="0" applyNumberFormat="1" applyFont="1" applyFill="1" applyBorder="1" applyAlignment="1">
      <alignment horizontal="center" vertical="center"/>
    </xf>
    <xf numFmtId="1" fontId="7" fillId="5" borderId="10" xfId="0" applyNumberFormat="1" applyFont="1" applyFill="1" applyBorder="1" applyAlignment="1">
      <alignment horizontal="center" vertical="center"/>
    </xf>
    <xf numFmtId="1" fontId="7" fillId="54" borderId="10" xfId="0" applyNumberFormat="1" applyFont="1" applyFill="1" applyBorder="1" applyAlignment="1">
      <alignment horizontal="center" vertical="center"/>
    </xf>
    <xf numFmtId="1" fontId="7" fillId="7" borderId="30" xfId="0" applyNumberFormat="1" applyFont="1" applyFill="1" applyBorder="1" applyAlignment="1">
      <alignment horizontal="center" vertical="center"/>
    </xf>
    <xf numFmtId="1" fontId="7" fillId="7" borderId="10" xfId="0" applyNumberFormat="1" applyFont="1" applyFill="1" applyBorder="1" applyAlignment="1">
      <alignment horizontal="center" vertical="center"/>
    </xf>
    <xf numFmtId="0" fontId="7" fillId="0" borderId="46" xfId="0" applyFont="1" applyBorder="1" applyAlignment="1">
      <alignment vertical="center"/>
    </xf>
    <xf numFmtId="0" fontId="7" fillId="0" borderId="135" xfId="0" applyFont="1" applyBorder="1" applyAlignment="1">
      <alignment horizontal="center" vertical="center"/>
    </xf>
    <xf numFmtId="0" fontId="0" fillId="0" borderId="0" xfId="0"/>
    <xf numFmtId="1" fontId="18" fillId="6" borderId="10" xfId="0" applyNumberFormat="1" applyFont="1" applyFill="1" applyBorder="1" applyAlignment="1">
      <alignment horizontal="center" vertical="center"/>
    </xf>
    <xf numFmtId="1" fontId="8" fillId="6" borderId="11" xfId="0" applyNumberFormat="1" applyFont="1" applyFill="1" applyBorder="1" applyAlignment="1">
      <alignment horizontal="center" vertical="center"/>
    </xf>
    <xf numFmtId="1" fontId="19" fillId="6" borderId="72" xfId="0" applyNumberFormat="1" applyFont="1" applyFill="1" applyBorder="1" applyAlignment="1">
      <alignment horizontal="center" vertical="center"/>
    </xf>
    <xf numFmtId="1" fontId="8" fillId="6" borderId="85" xfId="0" applyNumberFormat="1" applyFont="1" applyFill="1" applyBorder="1" applyAlignment="1">
      <alignment horizontal="center" vertical="center"/>
    </xf>
    <xf numFmtId="1" fontId="19" fillId="6" borderId="17" xfId="0" applyNumberFormat="1" applyFont="1" applyFill="1" applyBorder="1" applyAlignment="1">
      <alignment horizontal="center" vertical="center"/>
    </xf>
    <xf numFmtId="1" fontId="4" fillId="6" borderId="17" xfId="0" applyNumberFormat="1" applyFont="1" applyFill="1" applyBorder="1" applyAlignment="1">
      <alignment horizontal="center" vertical="center"/>
    </xf>
    <xf numFmtId="1" fontId="22" fillId="6" borderId="17" xfId="0" applyNumberFormat="1" applyFont="1" applyFill="1" applyBorder="1" applyAlignment="1">
      <alignment horizontal="center" vertical="center"/>
    </xf>
    <xf numFmtId="0" fontId="18" fillId="6" borderId="54" xfId="0" applyFont="1" applyFill="1" applyBorder="1"/>
    <xf numFmtId="0" fontId="21" fillId="0" borderId="135" xfId="0" applyFont="1" applyBorder="1" applyAlignment="1">
      <alignment horizontal="left" vertical="center" indent="1"/>
    </xf>
    <xf numFmtId="1" fontId="0" fillId="50" borderId="135" xfId="0" applyNumberFormat="1" applyFill="1" applyBorder="1" applyAlignment="1">
      <alignment horizontal="center" vertical="center"/>
    </xf>
    <xf numFmtId="1" fontId="21" fillId="6" borderId="10" xfId="0" applyNumberFormat="1" applyFont="1" applyFill="1" applyBorder="1" applyAlignment="1">
      <alignment horizontal="center" vertical="center"/>
    </xf>
    <xf numFmtId="1" fontId="21" fillId="6" borderId="45" xfId="0" applyNumberFormat="1" applyFont="1" applyFill="1" applyBorder="1" applyAlignment="1">
      <alignment horizontal="center" vertical="center"/>
    </xf>
    <xf numFmtId="1" fontId="21" fillId="5" borderId="10" xfId="0" applyNumberFormat="1" applyFont="1" applyFill="1" applyBorder="1" applyAlignment="1">
      <alignment horizontal="center" vertical="center"/>
    </xf>
    <xf numFmtId="1" fontId="21" fillId="7" borderId="31" xfId="0" applyNumberFormat="1" applyFont="1" applyFill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1" fontId="21" fillId="5" borderId="31" xfId="0" applyNumberFormat="1" applyFont="1" applyFill="1" applyBorder="1" applyAlignment="1">
      <alignment horizontal="center" vertical="center"/>
    </xf>
    <xf numFmtId="0" fontId="22" fillId="5" borderId="4" xfId="0" applyFont="1" applyFill="1" applyBorder="1" applyAlignment="1">
      <alignment horizontal="center" vertical="center"/>
    </xf>
    <xf numFmtId="0" fontId="22" fillId="6" borderId="4" xfId="0" applyFont="1" applyFill="1" applyBorder="1" applyAlignment="1">
      <alignment horizontal="center" vertical="center"/>
    </xf>
    <xf numFmtId="0" fontId="0" fillId="0" borderId="0" xfId="0"/>
    <xf numFmtId="1" fontId="21" fillId="8" borderId="62" xfId="0" applyNumberFormat="1" applyFont="1" applyFill="1" applyBorder="1" applyAlignment="1">
      <alignment horizontal="center" vertical="center"/>
    </xf>
    <xf numFmtId="1" fontId="21" fillId="8" borderId="34" xfId="0" applyNumberFormat="1" applyFont="1" applyFill="1" applyBorder="1" applyAlignment="1">
      <alignment horizontal="center" vertical="center"/>
    </xf>
    <xf numFmtId="1" fontId="4" fillId="7" borderId="76" xfId="0" applyNumberFormat="1" applyFont="1" applyFill="1" applyBorder="1" applyAlignment="1">
      <alignment horizontal="center" vertical="center"/>
    </xf>
    <xf numFmtId="167" fontId="4" fillId="7" borderId="9" xfId="0" applyNumberFormat="1" applyFont="1" applyFill="1" applyBorder="1" applyAlignment="1">
      <alignment horizontal="center" vertical="center"/>
    </xf>
    <xf numFmtId="167" fontId="4" fillId="5" borderId="76" xfId="0" applyNumberFormat="1" applyFont="1" applyFill="1" applyBorder="1" applyAlignment="1">
      <alignment horizontal="center" vertical="center"/>
    </xf>
    <xf numFmtId="167" fontId="4" fillId="5" borderId="9" xfId="0" applyNumberFormat="1" applyFont="1" applyFill="1" applyBorder="1" applyAlignment="1">
      <alignment horizontal="center" vertical="center"/>
    </xf>
    <xf numFmtId="1" fontId="4" fillId="5" borderId="63" xfId="0" applyNumberFormat="1" applyFont="1" applyFill="1" applyBorder="1" applyAlignment="1">
      <alignment horizontal="center" vertical="center"/>
    </xf>
    <xf numFmtId="0" fontId="21" fillId="7" borderId="62" xfId="0" applyFont="1" applyFill="1" applyBorder="1" applyAlignment="1">
      <alignment horizontal="center" vertical="center"/>
    </xf>
    <xf numFmtId="0" fontId="22" fillId="50" borderId="4" xfId="0" applyFont="1" applyFill="1" applyBorder="1" applyAlignment="1">
      <alignment horizontal="center" vertical="center"/>
    </xf>
    <xf numFmtId="164" fontId="145" fillId="8" borderId="34" xfId="0" quotePrefix="1" applyNumberFormat="1" applyFont="1" applyFill="1" applyBorder="1" applyAlignment="1">
      <alignment horizontal="left" vertical="center" wrapText="1"/>
    </xf>
    <xf numFmtId="0" fontId="145" fillId="0" borderId="34" xfId="0" quotePrefix="1" applyFont="1" applyBorder="1" applyAlignment="1">
      <alignment horizontal="left" vertical="center" wrapText="1"/>
    </xf>
    <xf numFmtId="1" fontId="7" fillId="0" borderId="135" xfId="0" applyNumberFormat="1" applyFont="1" applyBorder="1" applyAlignment="1">
      <alignment vertical="center"/>
    </xf>
    <xf numFmtId="1" fontId="7" fillId="7" borderId="135" xfId="0" applyNumberFormat="1" applyFont="1" applyFill="1" applyBorder="1" applyAlignment="1">
      <alignment vertical="center"/>
    </xf>
    <xf numFmtId="1" fontId="7" fillId="5" borderId="135" xfId="0" applyNumberFormat="1" applyFont="1" applyFill="1" applyBorder="1" applyAlignment="1">
      <alignment vertical="center"/>
    </xf>
    <xf numFmtId="1" fontId="7" fillId="54" borderId="135" xfId="0" applyNumberFormat="1" applyFont="1" applyFill="1" applyBorder="1" applyAlignment="1">
      <alignment vertical="center"/>
    </xf>
    <xf numFmtId="0" fontId="145" fillId="0" borderId="135" xfId="0" applyFont="1" applyBorder="1" applyAlignment="1">
      <alignment horizontal="left" vertical="center"/>
    </xf>
    <xf numFmtId="1" fontId="21" fillId="6" borderId="45" xfId="0" applyNumberFormat="1" applyFont="1" applyFill="1" applyBorder="1" applyAlignment="1">
      <alignment horizontal="center" vertical="center"/>
    </xf>
    <xf numFmtId="0" fontId="0" fillId="0" borderId="0" xfId="0"/>
    <xf numFmtId="0" fontId="19" fillId="8" borderId="33" xfId="0" applyFont="1" applyFill="1" applyBorder="1" applyAlignment="1">
      <alignment horizontal="center" vertical="center"/>
    </xf>
    <xf numFmtId="1" fontId="21" fillId="7" borderId="31" xfId="0" applyNumberFormat="1" applyFont="1" applyFill="1" applyBorder="1" applyAlignment="1">
      <alignment horizontal="center" vertical="center"/>
    </xf>
    <xf numFmtId="0" fontId="22" fillId="5" borderId="1" xfId="0" applyFont="1" applyFill="1" applyBorder="1" applyAlignment="1">
      <alignment horizontal="center" vertical="center"/>
    </xf>
    <xf numFmtId="0" fontId="22" fillId="6" borderId="4" xfId="0" applyFont="1" applyFill="1" applyBorder="1" applyAlignment="1">
      <alignment horizontal="center" vertical="center"/>
    </xf>
    <xf numFmtId="1" fontId="7" fillId="8" borderId="10" xfId="0" applyNumberFormat="1" applyFont="1" applyFill="1" applyBorder="1" applyAlignment="1">
      <alignment horizontal="center" vertical="center"/>
    </xf>
    <xf numFmtId="1" fontId="7" fillId="7" borderId="10" xfId="0" applyNumberFormat="1" applyFont="1" applyFill="1" applyBorder="1" applyAlignment="1">
      <alignment horizontal="center" vertical="center"/>
    </xf>
    <xf numFmtId="0" fontId="4" fillId="7" borderId="10" xfId="0" applyFont="1" applyFill="1" applyBorder="1" applyAlignment="1">
      <alignment horizontal="center" vertical="center"/>
    </xf>
    <xf numFmtId="1" fontId="7" fillId="54" borderId="10" xfId="0" applyNumberFormat="1" applyFont="1" applyFill="1" applyBorder="1" applyAlignment="1">
      <alignment horizontal="center" vertical="center"/>
    </xf>
    <xf numFmtId="0" fontId="7" fillId="5" borderId="10" xfId="0" applyFont="1" applyFill="1" applyBorder="1" applyAlignment="1">
      <alignment horizontal="center" vertical="center"/>
    </xf>
    <xf numFmtId="1" fontId="7" fillId="5" borderId="10" xfId="0" applyNumberFormat="1" applyFont="1" applyFill="1" applyBorder="1" applyAlignment="1">
      <alignment horizontal="center" vertical="center"/>
    </xf>
    <xf numFmtId="0" fontId="4" fillId="5" borderId="10" xfId="0" applyFont="1" applyFill="1" applyBorder="1" applyAlignment="1">
      <alignment horizontal="center" vertical="center"/>
    </xf>
    <xf numFmtId="0" fontId="0" fillId="0" borderId="0" xfId="0"/>
    <xf numFmtId="0" fontId="4" fillId="8" borderId="10" xfId="0" applyFont="1" applyFill="1" applyBorder="1" applyAlignment="1">
      <alignment horizontal="center" vertical="center"/>
    </xf>
    <xf numFmtId="0" fontId="24" fillId="43" borderId="10" xfId="0" applyFont="1" applyFill="1" applyBorder="1" applyAlignment="1">
      <alignment horizontal="center"/>
    </xf>
    <xf numFmtId="2" fontId="7" fillId="8" borderId="17" xfId="0" applyNumberFormat="1" applyFont="1" applyFill="1" applyBorder="1" applyAlignment="1">
      <alignment horizontal="center" vertical="center"/>
    </xf>
    <xf numFmtId="2" fontId="7" fillId="7" borderId="10" xfId="0" applyNumberFormat="1" applyFont="1" applyFill="1" applyBorder="1" applyAlignment="1">
      <alignment horizontal="center" vertical="center"/>
    </xf>
    <xf numFmtId="2" fontId="7" fillId="6" borderId="10" xfId="0" applyNumberFormat="1" applyFont="1" applyFill="1" applyBorder="1" applyAlignment="1">
      <alignment horizontal="center" vertical="center"/>
    </xf>
    <xf numFmtId="0" fontId="4" fillId="6" borderId="10" xfId="0" applyFont="1" applyFill="1" applyBorder="1" applyAlignment="1">
      <alignment horizontal="center" vertical="center"/>
    </xf>
    <xf numFmtId="0" fontId="24" fillId="7" borderId="1" xfId="0" applyFont="1" applyFill="1" applyBorder="1" applyAlignment="1">
      <alignment horizontal="center" vertical="center"/>
    </xf>
    <xf numFmtId="0" fontId="24" fillId="0" borderId="4" xfId="0" applyFont="1" applyBorder="1" applyAlignment="1">
      <alignment horizontal="center" vertical="center"/>
    </xf>
    <xf numFmtId="0" fontId="24" fillId="5" borderId="1" xfId="0" applyFont="1" applyFill="1" applyBorder="1" applyAlignment="1">
      <alignment horizontal="center" vertical="center"/>
    </xf>
    <xf numFmtId="0" fontId="24" fillId="6" borderId="1" xfId="0" applyFont="1" applyFill="1" applyBorder="1" applyAlignment="1">
      <alignment horizontal="center" vertical="center"/>
    </xf>
    <xf numFmtId="1" fontId="22" fillId="7" borderId="47" xfId="0" applyNumberFormat="1" applyFont="1" applyFill="1" applyBorder="1" applyAlignment="1">
      <alignment horizontal="center" vertical="center"/>
    </xf>
    <xf numFmtId="1" fontId="21" fillId="7" borderId="31" xfId="0" applyNumberFormat="1" applyFont="1" applyFill="1" applyBorder="1" applyAlignment="1">
      <alignment horizontal="center" vertical="center"/>
    </xf>
    <xf numFmtId="1" fontId="21" fillId="5" borderId="31" xfId="0" applyNumberFormat="1" applyFont="1" applyFill="1" applyBorder="1" applyAlignment="1">
      <alignment horizontal="center" vertical="center"/>
    </xf>
    <xf numFmtId="1" fontId="21" fillId="5" borderId="10" xfId="0" applyNumberFormat="1" applyFont="1" applyFill="1" applyBorder="1" applyAlignment="1">
      <alignment horizontal="center" vertical="center"/>
    </xf>
    <xf numFmtId="1" fontId="7" fillId="5" borderId="10" xfId="0" applyNumberFormat="1" applyFont="1" applyFill="1" applyBorder="1" applyAlignment="1">
      <alignment horizontal="center" vertical="center"/>
    </xf>
    <xf numFmtId="1" fontId="4" fillId="7" borderId="10" xfId="0" applyNumberFormat="1" applyFont="1" applyFill="1" applyBorder="1" applyAlignment="1">
      <alignment horizontal="center" vertical="center"/>
    </xf>
    <xf numFmtId="1" fontId="7" fillId="7" borderId="10" xfId="0" applyNumberFormat="1" applyFont="1" applyFill="1" applyBorder="1" applyAlignment="1">
      <alignment horizontal="center" vertical="center"/>
    </xf>
    <xf numFmtId="0" fontId="0" fillId="0" borderId="0" xfId="0"/>
    <xf numFmtId="0" fontId="4" fillId="8" borderId="10" xfId="0" applyFont="1" applyFill="1" applyBorder="1" applyAlignment="1">
      <alignment horizontal="center" vertical="center"/>
    </xf>
    <xf numFmtId="0" fontId="22" fillId="0" borderId="10" xfId="0" applyFont="1" applyBorder="1" applyAlignment="1">
      <alignment horizontal="center" vertical="center"/>
    </xf>
    <xf numFmtId="0" fontId="83" fillId="8" borderId="0" xfId="186" applyFont="1" applyFill="1" applyAlignment="1">
      <alignment horizontal="center" vertical="center"/>
    </xf>
    <xf numFmtId="0" fontId="22" fillId="5" borderId="10" xfId="0" applyFont="1" applyFill="1" applyBorder="1" applyAlignment="1">
      <alignment horizontal="center" vertical="center"/>
    </xf>
    <xf numFmtId="0" fontId="22" fillId="6" borderId="10" xfId="0" applyFont="1" applyFill="1" applyBorder="1" applyAlignment="1">
      <alignment horizontal="center" vertical="center"/>
    </xf>
    <xf numFmtId="0" fontId="24" fillId="6" borderId="10" xfId="0" applyFont="1" applyFill="1" applyBorder="1" applyAlignment="1">
      <alignment horizontal="center" vertical="center"/>
    </xf>
    <xf numFmtId="0" fontId="159" fillId="6" borderId="136" xfId="376" applyFont="1" applyFill="1" applyBorder="1" applyAlignment="1">
      <alignment wrapText="1"/>
    </xf>
    <xf numFmtId="0" fontId="159" fillId="6" borderId="136" xfId="376" applyFont="1" applyFill="1" applyBorder="1"/>
    <xf numFmtId="2" fontId="160" fillId="6" borderId="136" xfId="376" applyNumberFormat="1" applyFont="1" applyFill="1" applyBorder="1" applyAlignment="1">
      <alignment horizontal="center" vertical="center"/>
    </xf>
    <xf numFmtId="0" fontId="159" fillId="7" borderId="135" xfId="376" applyFont="1" applyFill="1" applyBorder="1" applyAlignment="1">
      <alignment wrapText="1"/>
    </xf>
    <xf numFmtId="0" fontId="159" fillId="7" borderId="135" xfId="376" applyFont="1" applyFill="1" applyBorder="1"/>
    <xf numFmtId="2" fontId="160" fillId="7" borderId="135" xfId="376" applyNumberFormat="1" applyFont="1" applyFill="1" applyBorder="1" applyAlignment="1">
      <alignment horizontal="center" vertical="center"/>
    </xf>
    <xf numFmtId="0" fontId="16" fillId="6" borderId="10" xfId="0" applyFont="1" applyFill="1" applyBorder="1" applyAlignment="1">
      <alignment horizontal="center" vertical="center"/>
    </xf>
    <xf numFmtId="1" fontId="7" fillId="6" borderId="10" xfId="0" applyNumberFormat="1" applyFont="1" applyFill="1" applyBorder="1"/>
    <xf numFmtId="1" fontId="0" fillId="5" borderId="12" xfId="0" applyNumberFormat="1" applyFill="1" applyBorder="1" applyAlignment="1">
      <alignment horizontal="center" vertical="center"/>
    </xf>
    <xf numFmtId="2" fontId="0" fillId="5" borderId="12" xfId="0" applyNumberFormat="1" applyFill="1" applyBorder="1" applyAlignment="1">
      <alignment horizontal="center" vertical="center"/>
    </xf>
    <xf numFmtId="169" fontId="0" fillId="5" borderId="12" xfId="0" applyNumberFormat="1" applyFill="1" applyBorder="1" applyAlignment="1">
      <alignment horizontal="center" vertical="center"/>
    </xf>
    <xf numFmtId="2" fontId="7" fillId="7" borderId="30" xfId="0" applyNumberFormat="1" applyFont="1" applyFill="1" applyBorder="1" applyAlignment="1">
      <alignment horizontal="center" vertical="center"/>
    </xf>
    <xf numFmtId="0" fontId="21" fillId="8" borderId="137" xfId="0" applyFont="1" applyFill="1" applyBorder="1" applyAlignment="1">
      <alignment horizontal="left" vertical="center"/>
    </xf>
    <xf numFmtId="0" fontId="20" fillId="0" borderId="137" xfId="0" applyFont="1" applyBorder="1" applyAlignment="1">
      <alignment horizontal="center" vertical="center"/>
    </xf>
    <xf numFmtId="0" fontId="19" fillId="8" borderId="136" xfId="0" applyFont="1" applyFill="1" applyBorder="1" applyAlignment="1">
      <alignment vertical="center"/>
    </xf>
    <xf numFmtId="1" fontId="21" fillId="0" borderId="136" xfId="0" applyNumberFormat="1" applyFont="1" applyBorder="1" applyAlignment="1">
      <alignment horizontal="center" vertical="center"/>
    </xf>
    <xf numFmtId="1" fontId="21" fillId="7" borderId="136" xfId="0" applyNumberFormat="1" applyFont="1" applyFill="1" applyBorder="1" applyAlignment="1">
      <alignment horizontal="center" vertical="center"/>
    </xf>
    <xf numFmtId="1" fontId="21" fillId="5" borderId="136" xfId="0" applyNumberFormat="1" applyFont="1" applyFill="1" applyBorder="1" applyAlignment="1">
      <alignment horizontal="center" vertical="center"/>
    </xf>
    <xf numFmtId="1" fontId="21" fillId="0" borderId="136" xfId="0" applyNumberFormat="1" applyFont="1" applyFill="1" applyBorder="1" applyAlignment="1">
      <alignment horizontal="center" vertical="center"/>
    </xf>
    <xf numFmtId="1" fontId="20" fillId="5" borderId="136" xfId="0" applyNumberFormat="1" applyFont="1" applyFill="1" applyBorder="1" applyAlignment="1">
      <alignment horizontal="center" vertical="center"/>
    </xf>
    <xf numFmtId="1" fontId="20" fillId="6" borderId="136" xfId="0" applyNumberFormat="1" applyFont="1" applyFill="1" applyBorder="1" applyAlignment="1">
      <alignment horizontal="center" vertical="center"/>
    </xf>
    <xf numFmtId="167" fontId="45" fillId="0" borderId="0" xfId="0" applyNumberFormat="1" applyFont="1" applyFill="1" applyAlignment="1">
      <alignment horizontal="center" vertical="center"/>
    </xf>
    <xf numFmtId="167" fontId="45" fillId="0" borderId="0" xfId="0" applyNumberFormat="1" applyFont="1" applyAlignment="1">
      <alignment horizontal="center" vertical="center"/>
    </xf>
    <xf numFmtId="167" fontId="4" fillId="8" borderId="48" xfId="0" applyNumberFormat="1" applyFont="1" applyFill="1" applyBorder="1" applyAlignment="1">
      <alignment horizontal="center" vertical="center"/>
    </xf>
    <xf numFmtId="1" fontId="4" fillId="8" borderId="37" xfId="0" applyNumberFormat="1" applyFont="1" applyFill="1" applyBorder="1" applyAlignment="1">
      <alignment horizontal="center" vertical="center"/>
    </xf>
    <xf numFmtId="1" fontId="4" fillId="8" borderId="65" xfId="0" applyNumberFormat="1" applyFont="1" applyFill="1" applyBorder="1" applyAlignment="1">
      <alignment horizontal="center" vertical="center"/>
    </xf>
    <xf numFmtId="1" fontId="4" fillId="0" borderId="67" xfId="0" applyNumberFormat="1" applyFont="1" applyBorder="1" applyAlignment="1">
      <alignment horizontal="center" vertical="center"/>
    </xf>
    <xf numFmtId="1" fontId="4" fillId="0" borderId="48" xfId="0" applyNumberFormat="1" applyFont="1" applyBorder="1" applyAlignment="1">
      <alignment horizontal="center" vertical="center"/>
    </xf>
    <xf numFmtId="1" fontId="4" fillId="0" borderId="37" xfId="0" applyNumberFormat="1" applyFont="1" applyBorder="1" applyAlignment="1">
      <alignment horizontal="center" vertical="center"/>
    </xf>
    <xf numFmtId="1" fontId="4" fillId="0" borderId="65" xfId="0" applyNumberFormat="1" applyFont="1" applyBorder="1" applyAlignment="1">
      <alignment horizontal="center" vertical="center"/>
    </xf>
    <xf numFmtId="1" fontId="4" fillId="0" borderId="66" xfId="0" applyNumberFormat="1" applyFont="1" applyBorder="1" applyAlignment="1">
      <alignment horizontal="center" vertical="center"/>
    </xf>
    <xf numFmtId="169" fontId="4" fillId="0" borderId="68" xfId="0" applyNumberFormat="1" applyFont="1" applyBorder="1" applyAlignment="1">
      <alignment horizontal="center" vertical="center"/>
    </xf>
    <xf numFmtId="167" fontId="4" fillId="8" borderId="37" xfId="0" applyNumberFormat="1" applyFont="1" applyFill="1" applyBorder="1" applyAlignment="1">
      <alignment horizontal="center" vertical="center"/>
    </xf>
    <xf numFmtId="2" fontId="4" fillId="8" borderId="37" xfId="0" applyNumberFormat="1" applyFont="1" applyFill="1" applyBorder="1" applyAlignment="1">
      <alignment horizontal="center" vertical="center"/>
    </xf>
    <xf numFmtId="2" fontId="4" fillId="0" borderId="37" xfId="0" applyNumberFormat="1" applyFont="1" applyBorder="1" applyAlignment="1">
      <alignment horizontal="center" vertical="center"/>
    </xf>
    <xf numFmtId="169" fontId="4" fillId="0" borderId="37" xfId="0" applyNumberFormat="1" applyFont="1" applyBorder="1" applyAlignment="1">
      <alignment horizontal="center" vertical="center"/>
    </xf>
    <xf numFmtId="1" fontId="4" fillId="8" borderId="135" xfId="0" applyNumberFormat="1" applyFont="1" applyFill="1" applyBorder="1" applyAlignment="1">
      <alignment horizontal="center" vertical="center"/>
    </xf>
    <xf numFmtId="0" fontId="7" fillId="8" borderId="30" xfId="0" applyFont="1" applyFill="1" applyBorder="1" applyAlignment="1">
      <alignment horizontal="center" vertical="center"/>
    </xf>
    <xf numFmtId="0" fontId="78" fillId="8" borderId="37" xfId="0" applyFont="1" applyFill="1" applyBorder="1" applyAlignment="1">
      <alignment horizontal="center" vertical="center"/>
    </xf>
    <xf numFmtId="167" fontId="7" fillId="0" borderId="37" xfId="0" applyNumberFormat="1" applyFont="1" applyBorder="1" applyAlignment="1">
      <alignment horizontal="center" vertical="center"/>
    </xf>
    <xf numFmtId="167" fontId="7" fillId="8" borderId="37" xfId="0" applyNumberFormat="1" applyFont="1" applyFill="1" applyBorder="1" applyAlignment="1">
      <alignment horizontal="center" vertical="center"/>
    </xf>
    <xf numFmtId="167" fontId="4" fillId="0" borderId="37" xfId="0" applyNumberFormat="1" applyFont="1" applyBorder="1" applyAlignment="1">
      <alignment horizontal="center" vertical="center"/>
    </xf>
    <xf numFmtId="167" fontId="7" fillId="0" borderId="65" xfId="0" applyNumberFormat="1" applyFont="1" applyBorder="1" applyAlignment="1">
      <alignment horizontal="center" vertical="center"/>
    </xf>
    <xf numFmtId="167" fontId="4" fillId="0" borderId="65" xfId="0" applyNumberFormat="1" applyFont="1" applyBorder="1" applyAlignment="1">
      <alignment horizontal="center" vertical="center"/>
    </xf>
    <xf numFmtId="167" fontId="4" fillId="8" borderId="68" xfId="0" applyNumberFormat="1" applyFont="1" applyFill="1" applyBorder="1" applyAlignment="1">
      <alignment horizontal="center" vertical="center"/>
    </xf>
    <xf numFmtId="0" fontId="18" fillId="0" borderId="30" xfId="0" applyFont="1" applyBorder="1"/>
    <xf numFmtId="0" fontId="18" fillId="0" borderId="30" xfId="0" applyFont="1" applyBorder="1" applyAlignment="1">
      <alignment horizontal="center" vertical="center"/>
    </xf>
    <xf numFmtId="0" fontId="18" fillId="0" borderId="63" xfId="0" applyFont="1" applyBorder="1" applyAlignment="1">
      <alignment horizontal="left" indent="1"/>
    </xf>
    <xf numFmtId="0" fontId="18" fillId="8" borderId="31" xfId="0" applyFont="1" applyFill="1" applyBorder="1" applyAlignment="1">
      <alignment horizontal="left" indent="1"/>
    </xf>
    <xf numFmtId="0" fontId="18" fillId="8" borderId="136" xfId="0" applyFont="1" applyFill="1" applyBorder="1" applyAlignment="1">
      <alignment horizontal="center" vertical="center"/>
    </xf>
    <xf numFmtId="0" fontId="18" fillId="8" borderId="137" xfId="0" applyFont="1" applyFill="1" applyBorder="1" applyAlignment="1">
      <alignment horizontal="center" vertical="center"/>
    </xf>
    <xf numFmtId="0" fontId="18" fillId="0" borderId="31" xfId="0" applyFont="1" applyBorder="1" applyAlignment="1">
      <alignment horizontal="right" indent="1"/>
    </xf>
    <xf numFmtId="0" fontId="18" fillId="0" borderId="136" xfId="0" applyFont="1" applyBorder="1" applyAlignment="1">
      <alignment horizontal="center" vertical="center"/>
    </xf>
    <xf numFmtId="167" fontId="18" fillId="0" borderId="136" xfId="0" applyNumberFormat="1" applyFont="1" applyBorder="1" applyAlignment="1">
      <alignment horizontal="center" vertical="center"/>
    </xf>
    <xf numFmtId="167" fontId="18" fillId="0" borderId="137" xfId="0" applyNumberFormat="1" applyFont="1" applyBorder="1" applyAlignment="1">
      <alignment horizontal="center" vertical="center"/>
    </xf>
    <xf numFmtId="0" fontId="18" fillId="0" borderId="31" xfId="0" applyFont="1" applyBorder="1" applyAlignment="1">
      <alignment horizontal="left" indent="1"/>
    </xf>
    <xf numFmtId="2" fontId="18" fillId="0" borderId="137" xfId="0" applyNumberFormat="1" applyFont="1" applyBorder="1" applyAlignment="1">
      <alignment horizontal="center" vertical="center"/>
    </xf>
    <xf numFmtId="0" fontId="18" fillId="0" borderId="31" xfId="0" applyFont="1" applyBorder="1"/>
    <xf numFmtId="0" fontId="18" fillId="48" borderId="31" xfId="0" applyFont="1" applyFill="1" applyBorder="1"/>
    <xf numFmtId="0" fontId="18" fillId="0" borderId="31" xfId="0" applyFont="1" applyBorder="1" applyAlignment="1">
      <alignment horizontal="right"/>
    </xf>
    <xf numFmtId="167" fontId="18" fillId="8" borderId="136" xfId="0" applyNumberFormat="1" applyFont="1" applyFill="1" applyBorder="1" applyAlignment="1">
      <alignment horizontal="center" vertical="center"/>
    </xf>
    <xf numFmtId="1" fontId="18" fillId="8" borderId="137" xfId="0" applyNumberFormat="1" applyFont="1" applyFill="1" applyBorder="1" applyAlignment="1">
      <alignment horizontal="center" vertical="center"/>
    </xf>
    <xf numFmtId="1" fontId="18" fillId="8" borderId="136" xfId="0" applyNumberFormat="1" applyFont="1" applyFill="1" applyBorder="1" applyAlignment="1">
      <alignment horizontal="center" vertical="center"/>
    </xf>
    <xf numFmtId="167" fontId="18" fillId="8" borderId="137" xfId="0" applyNumberFormat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right"/>
    </xf>
    <xf numFmtId="1" fontId="18" fillId="0" borderId="30" xfId="0" applyNumberFormat="1" applyFont="1" applyBorder="1" applyAlignment="1">
      <alignment horizontal="center" vertical="center"/>
    </xf>
    <xf numFmtId="1" fontId="18" fillId="0" borderId="48" xfId="0" applyNumberFormat="1" applyFont="1" applyBorder="1" applyAlignment="1">
      <alignment horizontal="center" vertical="center"/>
    </xf>
    <xf numFmtId="1" fontId="0" fillId="0" borderId="34" xfId="0" applyNumberFormat="1" applyBorder="1" applyAlignment="1">
      <alignment horizontal="center" vertical="center"/>
    </xf>
    <xf numFmtId="1" fontId="0" fillId="0" borderId="53" xfId="0" applyNumberFormat="1" applyBorder="1" applyAlignment="1">
      <alignment horizontal="center" vertical="center"/>
    </xf>
    <xf numFmtId="1" fontId="0" fillId="7" borderId="34" xfId="0" applyNumberFormat="1" applyFill="1" applyBorder="1" applyAlignment="1">
      <alignment horizontal="center" vertical="center"/>
    </xf>
    <xf numFmtId="1" fontId="0" fillId="7" borderId="53" xfId="0" applyNumberFormat="1" applyFill="1" applyBorder="1" applyAlignment="1">
      <alignment horizontal="center" vertical="center"/>
    </xf>
    <xf numFmtId="1" fontId="0" fillId="5" borderId="34" xfId="0" applyNumberFormat="1" applyFill="1" applyBorder="1" applyAlignment="1">
      <alignment horizontal="center" vertical="center"/>
    </xf>
    <xf numFmtId="1" fontId="0" fillId="5" borderId="53" xfId="0" applyNumberFormat="1" applyFill="1" applyBorder="1" applyAlignment="1">
      <alignment horizontal="center" vertical="center"/>
    </xf>
    <xf numFmtId="1" fontId="0" fillId="6" borderId="34" xfId="0" applyNumberFormat="1" applyFill="1" applyBorder="1" applyAlignment="1">
      <alignment horizontal="center" vertical="center"/>
    </xf>
    <xf numFmtId="1" fontId="0" fillId="6" borderId="22" xfId="0" applyNumberFormat="1" applyFill="1" applyBorder="1" applyAlignment="1">
      <alignment horizontal="center" vertical="center"/>
    </xf>
    <xf numFmtId="1" fontId="0" fillId="5" borderId="22" xfId="0" applyNumberFormat="1" applyFill="1" applyBorder="1" applyAlignment="1">
      <alignment horizontal="center" vertical="center"/>
    </xf>
    <xf numFmtId="0" fontId="18" fillId="0" borderId="63" xfId="0" applyFont="1" applyBorder="1"/>
    <xf numFmtId="2" fontId="0" fillId="5" borderId="18" xfId="0" applyNumberFormat="1" applyFill="1" applyBorder="1" applyAlignment="1">
      <alignment horizontal="center" vertical="center"/>
    </xf>
    <xf numFmtId="1" fontId="18" fillId="0" borderId="136" xfId="0" applyNumberFormat="1" applyFont="1" applyBorder="1" applyAlignment="1">
      <alignment horizontal="center" vertical="center"/>
    </xf>
    <xf numFmtId="0" fontId="18" fillId="0" borderId="62" xfId="0" applyFont="1" applyBorder="1"/>
    <xf numFmtId="0" fontId="18" fillId="0" borderId="32" xfId="0" applyFont="1" applyBorder="1"/>
    <xf numFmtId="0" fontId="177" fillId="8" borderId="31" xfId="0" applyFont="1" applyFill="1" applyBorder="1" applyAlignment="1">
      <alignment horizontal="left" vertical="center"/>
    </xf>
    <xf numFmtId="0" fontId="21" fillId="0" borderId="136" xfId="0" applyFont="1" applyBorder="1" applyAlignment="1">
      <alignment horizontal="center" vertical="center"/>
    </xf>
    <xf numFmtId="1" fontId="19" fillId="0" borderId="136" xfId="0" applyNumberFormat="1" applyFont="1" applyBorder="1" applyAlignment="1">
      <alignment horizontal="center" vertical="center"/>
    </xf>
    <xf numFmtId="1" fontId="4" fillId="8" borderId="136" xfId="0" applyNumberFormat="1" applyFont="1" applyFill="1" applyBorder="1" applyAlignment="1">
      <alignment horizontal="center" vertical="center"/>
    </xf>
    <xf numFmtId="1" fontId="20" fillId="7" borderId="136" xfId="0" applyNumberFormat="1" applyFont="1" applyFill="1" applyBorder="1" applyAlignment="1">
      <alignment horizontal="center" vertical="center"/>
    </xf>
    <xf numFmtId="1" fontId="19" fillId="6" borderId="136" xfId="0" applyNumberFormat="1" applyFont="1" applyFill="1" applyBorder="1" applyAlignment="1">
      <alignment horizontal="center" vertical="center"/>
    </xf>
    <xf numFmtId="1" fontId="19" fillId="7" borderId="136" xfId="0" applyNumberFormat="1" applyFont="1" applyFill="1" applyBorder="1" applyAlignment="1">
      <alignment horizontal="center" vertical="center"/>
    </xf>
    <xf numFmtId="0" fontId="8" fillId="0" borderId="2" xfId="0" applyFont="1" applyBorder="1" applyAlignment="1">
      <alignment horizontal="left" vertical="center"/>
    </xf>
    <xf numFmtId="0" fontId="8" fillId="0" borderId="38" xfId="0" applyFont="1" applyBorder="1" applyAlignment="1">
      <alignment horizontal="left" vertical="center"/>
    </xf>
    <xf numFmtId="1" fontId="8" fillId="8" borderId="64" xfId="0" applyNumberFormat="1" applyFont="1" applyFill="1" applyBorder="1" applyAlignment="1">
      <alignment horizontal="center" vertical="center"/>
    </xf>
    <xf numFmtId="1" fontId="8" fillId="6" borderId="0" xfId="0" applyNumberFormat="1" applyFont="1" applyFill="1" applyBorder="1" applyAlignment="1">
      <alignment horizontal="center" vertical="center"/>
    </xf>
    <xf numFmtId="0" fontId="20" fillId="8" borderId="87" xfId="0" applyFont="1" applyFill="1" applyBorder="1" applyAlignment="1">
      <alignment horizontal="center" vertical="center"/>
    </xf>
    <xf numFmtId="1" fontId="20" fillId="8" borderId="86" xfId="0" applyNumberFormat="1" applyFont="1" applyFill="1" applyBorder="1" applyAlignment="1">
      <alignment horizontal="center" vertical="center"/>
    </xf>
    <xf numFmtId="1" fontId="53" fillId="0" borderId="39" xfId="0" applyNumberFormat="1" applyFont="1" applyBorder="1"/>
    <xf numFmtId="0" fontId="53" fillId="0" borderId="39" xfId="0" applyFont="1" applyBorder="1"/>
    <xf numFmtId="0" fontId="182" fillId="0" borderId="39" xfId="0" applyFont="1" applyBorder="1"/>
    <xf numFmtId="1" fontId="53" fillId="6" borderId="39" xfId="0" applyNumberFormat="1" applyFont="1" applyFill="1" applyBorder="1"/>
    <xf numFmtId="1" fontId="46" fillId="0" borderId="56" xfId="0" applyNumberFormat="1" applyFont="1" applyBorder="1"/>
    <xf numFmtId="1" fontId="19" fillId="48" borderId="136" xfId="0" applyNumberFormat="1" applyFont="1" applyFill="1" applyBorder="1" applyAlignment="1">
      <alignment horizontal="center" vertical="center"/>
    </xf>
    <xf numFmtId="1" fontId="19" fillId="50" borderId="136" xfId="0" applyNumberFormat="1" applyFont="1" applyFill="1" applyBorder="1" applyAlignment="1">
      <alignment horizontal="center" vertical="center"/>
    </xf>
    <xf numFmtId="1" fontId="122" fillId="5" borderId="136" xfId="0" applyNumberFormat="1" applyFont="1" applyFill="1" applyBorder="1" applyAlignment="1">
      <alignment horizontal="center" vertical="center"/>
    </xf>
    <xf numFmtId="1" fontId="20" fillId="0" borderId="136" xfId="0" applyNumberFormat="1" applyFont="1" applyBorder="1" applyAlignment="1">
      <alignment horizontal="center" vertical="center"/>
    </xf>
    <xf numFmtId="1" fontId="20" fillId="50" borderId="136" xfId="0" applyNumberFormat="1" applyFont="1" applyFill="1" applyBorder="1" applyAlignment="1">
      <alignment horizontal="center" vertical="center"/>
    </xf>
    <xf numFmtId="1" fontId="121" fillId="5" borderId="136" xfId="0" applyNumberFormat="1" applyFont="1" applyFill="1" applyBorder="1" applyAlignment="1">
      <alignment horizontal="center" vertical="center"/>
    </xf>
    <xf numFmtId="1" fontId="21" fillId="48" borderId="136" xfId="0" applyNumberFormat="1" applyFont="1" applyFill="1" applyBorder="1" applyAlignment="1">
      <alignment horizontal="center" vertical="center"/>
    </xf>
    <xf numFmtId="1" fontId="121" fillId="48" borderId="136" xfId="0" applyNumberFormat="1" applyFont="1" applyFill="1" applyBorder="1" applyAlignment="1">
      <alignment horizontal="center" vertical="center"/>
    </xf>
    <xf numFmtId="1" fontId="22" fillId="6" borderId="136" xfId="0" applyNumberFormat="1" applyFont="1" applyFill="1" applyBorder="1" applyAlignment="1">
      <alignment horizontal="center" vertical="center"/>
    </xf>
    <xf numFmtId="1" fontId="22" fillId="48" borderId="136" xfId="0" applyNumberFormat="1" applyFont="1" applyFill="1" applyBorder="1" applyAlignment="1">
      <alignment horizontal="center" vertical="center"/>
    </xf>
    <xf numFmtId="1" fontId="22" fillId="48" borderId="17" xfId="0" applyNumberFormat="1" applyFont="1" applyFill="1" applyBorder="1" applyAlignment="1">
      <alignment horizontal="center" vertical="center"/>
    </xf>
    <xf numFmtId="1" fontId="21" fillId="57" borderId="10" xfId="0" applyNumberFormat="1" applyFont="1" applyFill="1" applyBorder="1" applyAlignment="1">
      <alignment horizontal="center" vertical="center"/>
    </xf>
    <xf numFmtId="1" fontId="7" fillId="4" borderId="10" xfId="0" applyNumberFormat="1" applyFont="1" applyFill="1" applyBorder="1" applyAlignment="1">
      <alignment horizontal="center" vertical="center"/>
    </xf>
    <xf numFmtId="0" fontId="7" fillId="8" borderId="31" xfId="0" applyFont="1" applyFill="1" applyBorder="1" applyAlignment="1">
      <alignment horizontal="right" vertical="center" wrapText="1" indent="1"/>
    </xf>
    <xf numFmtId="0" fontId="8" fillId="8" borderId="31" xfId="0" applyFont="1" applyFill="1" applyBorder="1" applyAlignment="1">
      <alignment horizontal="left" vertical="center" wrapText="1"/>
    </xf>
    <xf numFmtId="1" fontId="7" fillId="8" borderId="10" xfId="0" applyNumberFormat="1" applyFont="1" applyFill="1" applyBorder="1" applyAlignment="1">
      <alignment horizontal="left"/>
    </xf>
    <xf numFmtId="1" fontId="4" fillId="8" borderId="10" xfId="0" applyNumberFormat="1" applyFont="1" applyFill="1" applyBorder="1" applyAlignment="1">
      <alignment horizontal="left"/>
    </xf>
    <xf numFmtId="1" fontId="21" fillId="5" borderId="48" xfId="0" applyNumberFormat="1" applyFont="1" applyFill="1" applyBorder="1" applyAlignment="1">
      <alignment horizontal="center" vertical="center"/>
    </xf>
    <xf numFmtId="1" fontId="21" fillId="5" borderId="64" xfId="0" applyNumberFormat="1" applyFont="1" applyFill="1" applyBorder="1" applyAlignment="1">
      <alignment horizontal="center" vertical="center"/>
    </xf>
    <xf numFmtId="1" fontId="21" fillId="5" borderId="137" xfId="0" applyNumberFormat="1" applyFont="1" applyFill="1" applyBorder="1" applyAlignment="1">
      <alignment horizontal="center" vertical="center"/>
    </xf>
    <xf numFmtId="1" fontId="21" fillId="5" borderId="65" xfId="0" applyNumberFormat="1" applyFont="1" applyFill="1" applyBorder="1" applyAlignment="1">
      <alignment horizontal="center" vertical="center"/>
    </xf>
    <xf numFmtId="1" fontId="21" fillId="7" borderId="36" xfId="0" applyNumberFormat="1" applyFont="1" applyFill="1" applyBorder="1" applyAlignment="1">
      <alignment horizontal="center" vertical="center"/>
    </xf>
    <xf numFmtId="1" fontId="19" fillId="7" borderId="87" xfId="0" applyNumberFormat="1" applyFont="1" applyFill="1" applyBorder="1" applyAlignment="1">
      <alignment horizontal="center" vertical="center"/>
    </xf>
    <xf numFmtId="1" fontId="21" fillId="7" borderId="4" xfId="0" applyNumberFormat="1" applyFont="1" applyFill="1" applyBorder="1" applyAlignment="1">
      <alignment horizontal="center" vertical="center"/>
    </xf>
    <xf numFmtId="0" fontId="20" fillId="8" borderId="39" xfId="0" applyFont="1" applyFill="1" applyBorder="1" applyAlignment="1">
      <alignment vertical="center"/>
    </xf>
    <xf numFmtId="0" fontId="19" fillId="8" borderId="39" xfId="0" applyFont="1" applyFill="1" applyBorder="1" applyAlignment="1">
      <alignment vertical="center"/>
    </xf>
    <xf numFmtId="1" fontId="21" fillId="6" borderId="136" xfId="0" applyNumberFormat="1" applyFont="1" applyFill="1" applyBorder="1" applyAlignment="1">
      <alignment horizontal="center" vertical="center"/>
    </xf>
    <xf numFmtId="0" fontId="20" fillId="8" borderId="136" xfId="0" applyFont="1" applyFill="1" applyBorder="1" applyAlignment="1">
      <alignment vertical="center"/>
    </xf>
    <xf numFmtId="0" fontId="8" fillId="8" borderId="24" xfId="0" applyFont="1" applyFill="1" applyBorder="1" applyAlignment="1">
      <alignment vertical="center"/>
    </xf>
    <xf numFmtId="0" fontId="145" fillId="7" borderId="17" xfId="0" applyFont="1" applyFill="1" applyBorder="1" applyAlignment="1">
      <alignment horizontal="center" vertical="center"/>
    </xf>
    <xf numFmtId="0" fontId="145" fillId="0" borderId="62" xfId="0" applyFont="1" applyBorder="1" applyAlignment="1">
      <alignment horizontal="right" vertical="center"/>
    </xf>
    <xf numFmtId="0" fontId="145" fillId="0" borderId="65" xfId="0" applyFont="1" applyBorder="1" applyAlignment="1">
      <alignment horizontal="center" vertical="center"/>
    </xf>
    <xf numFmtId="0" fontId="8" fillId="0" borderId="1" xfId="0" applyFont="1" applyBorder="1" applyAlignment="1">
      <alignment horizontal="right" vertical="center"/>
    </xf>
    <xf numFmtId="0" fontId="8" fillId="0" borderId="67" xfId="0" applyFont="1" applyBorder="1" applyAlignment="1">
      <alignment horizontal="center" vertical="center"/>
    </xf>
    <xf numFmtId="0" fontId="145" fillId="0" borderId="63" xfId="0" applyFont="1" applyBorder="1" applyAlignment="1">
      <alignment horizontal="left" vertical="center" wrapText="1" indent="1"/>
    </xf>
    <xf numFmtId="0" fontId="145" fillId="0" borderId="66" xfId="0" applyFont="1" applyBorder="1" applyAlignment="1">
      <alignment horizontal="center" vertical="center"/>
    </xf>
    <xf numFmtId="0" fontId="145" fillId="0" borderId="63" xfId="0" quotePrefix="1" applyFont="1" applyBorder="1" applyAlignment="1">
      <alignment horizontal="center" vertical="center"/>
    </xf>
    <xf numFmtId="0" fontId="145" fillId="7" borderId="42" xfId="0" applyFont="1" applyFill="1" applyBorder="1" applyAlignment="1">
      <alignment horizontal="center" vertical="center"/>
    </xf>
    <xf numFmtId="0" fontId="145" fillId="0" borderId="31" xfId="0" applyFont="1" applyBorder="1" applyAlignment="1">
      <alignment horizontal="left" vertical="center" wrapText="1" indent="1"/>
    </xf>
    <xf numFmtId="0" fontId="145" fillId="0" borderId="31" xfId="0" applyFont="1" applyBorder="1" applyAlignment="1">
      <alignment horizontal="center" vertical="center"/>
    </xf>
    <xf numFmtId="0" fontId="145" fillId="8" borderId="31" xfId="0" applyFont="1" applyFill="1" applyBorder="1" applyAlignment="1">
      <alignment horizontal="center" vertical="center"/>
    </xf>
    <xf numFmtId="0" fontId="145" fillId="0" borderId="62" xfId="0" applyFont="1" applyBorder="1" applyAlignment="1">
      <alignment horizontal="left" vertical="center" wrapText="1" indent="1"/>
    </xf>
    <xf numFmtId="0" fontId="145" fillId="0" borderId="32" xfId="0" applyFont="1" applyBorder="1" applyAlignment="1">
      <alignment horizontal="center" vertical="center"/>
    </xf>
    <xf numFmtId="0" fontId="145" fillId="7" borderId="33" xfId="0" applyFont="1" applyFill="1" applyBorder="1" applyAlignment="1">
      <alignment horizontal="center" vertical="center"/>
    </xf>
    <xf numFmtId="0" fontId="145" fillId="0" borderId="34" xfId="0" applyFont="1" applyBorder="1" applyAlignment="1">
      <alignment horizontal="left" vertical="center" indent="1"/>
    </xf>
    <xf numFmtId="0" fontId="145" fillId="0" borderId="48" xfId="0" applyFont="1" applyBorder="1" applyAlignment="1">
      <alignment horizontal="center" vertical="center"/>
    </xf>
    <xf numFmtId="0" fontId="145" fillId="0" borderId="31" xfId="0" applyFont="1" applyBorder="1" applyAlignment="1">
      <alignment horizontal="left" vertical="center" indent="1"/>
    </xf>
    <xf numFmtId="0" fontId="145" fillId="0" borderId="32" xfId="0" applyFont="1" applyBorder="1" applyAlignment="1">
      <alignment horizontal="left" vertical="center" indent="1"/>
    </xf>
    <xf numFmtId="0" fontId="145" fillId="0" borderId="68" xfId="0" applyFont="1" applyBorder="1" applyAlignment="1">
      <alignment horizontal="center" vertical="center"/>
    </xf>
    <xf numFmtId="0" fontId="8" fillId="0" borderId="1" xfId="0" applyFont="1" applyBorder="1" applyAlignment="1">
      <alignment vertical="center"/>
    </xf>
    <xf numFmtId="0" fontId="8" fillId="0" borderId="55" xfId="0" applyFont="1" applyBorder="1" applyAlignment="1">
      <alignment horizontal="center" vertical="center"/>
    </xf>
    <xf numFmtId="0" fontId="8" fillId="0" borderId="74" xfId="0" applyFont="1" applyBorder="1" applyAlignment="1">
      <alignment vertical="center"/>
    </xf>
    <xf numFmtId="0" fontId="8" fillId="0" borderId="64" xfId="0" applyFont="1" applyBorder="1" applyAlignment="1">
      <alignment horizontal="center" vertical="center"/>
    </xf>
    <xf numFmtId="0" fontId="8" fillId="8" borderId="25" xfId="0" applyFont="1" applyFill="1" applyBorder="1" applyAlignment="1">
      <alignment vertical="center"/>
    </xf>
    <xf numFmtId="0" fontId="8" fillId="8" borderId="55" xfId="0" applyFont="1" applyFill="1" applyBorder="1" applyAlignment="1">
      <alignment vertical="center"/>
    </xf>
    <xf numFmtId="1" fontId="145" fillId="7" borderId="42" xfId="0" applyNumberFormat="1" applyFont="1" applyFill="1" applyBorder="1" applyAlignment="1">
      <alignment horizontal="center" vertical="center"/>
    </xf>
    <xf numFmtId="0" fontId="8" fillId="0" borderId="1" xfId="0" applyFont="1" applyBorder="1" applyAlignment="1">
      <alignment horizontal="left" vertical="center" wrapText="1"/>
    </xf>
    <xf numFmtId="0" fontId="145" fillId="0" borderId="34" xfId="0" applyFont="1" applyBorder="1" applyAlignment="1">
      <alignment horizontal="left" vertical="center" wrapText="1" indent="1"/>
    </xf>
    <xf numFmtId="0" fontId="8" fillId="0" borderId="34" xfId="0" applyFont="1" applyBorder="1" applyAlignment="1">
      <alignment horizontal="left" vertical="center" wrapText="1" indent="1"/>
    </xf>
    <xf numFmtId="0" fontId="8" fillId="0" borderId="48" xfId="0" applyFont="1" applyBorder="1" applyAlignment="1">
      <alignment horizontal="center" vertical="center"/>
    </xf>
    <xf numFmtId="0" fontId="8" fillId="0" borderId="62" xfId="0" applyFont="1" applyBorder="1" applyAlignment="1">
      <alignment horizontal="left" vertical="center" wrapText="1" indent="1"/>
    </xf>
    <xf numFmtId="0" fontId="8" fillId="0" borderId="65" xfId="0" applyFont="1" applyBorder="1" applyAlignment="1">
      <alignment horizontal="center" vertical="center"/>
    </xf>
    <xf numFmtId="0" fontId="8" fillId="0" borderId="76" xfId="0" applyFont="1" applyBorder="1" applyAlignment="1">
      <alignment horizontal="left" vertical="center" wrapText="1"/>
    </xf>
    <xf numFmtId="0" fontId="8" fillId="0" borderId="86" xfId="0" applyFont="1" applyBorder="1" applyAlignment="1">
      <alignment horizontal="center" vertical="center"/>
    </xf>
    <xf numFmtId="0" fontId="8" fillId="0" borderId="9" xfId="0" applyFont="1" applyBorder="1" applyAlignment="1">
      <alignment horizontal="left" vertical="center" wrapText="1"/>
    </xf>
    <xf numFmtId="0" fontId="8" fillId="0" borderId="15" xfId="0" applyFont="1" applyBorder="1" applyAlignment="1">
      <alignment horizontal="center" vertical="center"/>
    </xf>
    <xf numFmtId="0" fontId="8" fillId="0" borderId="31" xfId="0" applyFont="1" applyBorder="1" applyAlignment="1">
      <alignment horizontal="left" vertical="center" wrapText="1"/>
    </xf>
    <xf numFmtId="1" fontId="145" fillId="8" borderId="31" xfId="0" applyNumberFormat="1" applyFont="1" applyFill="1" applyBorder="1" applyAlignment="1">
      <alignment horizontal="center" vertical="center"/>
    </xf>
    <xf numFmtId="167" fontId="145" fillId="7" borderId="17" xfId="0" applyNumberFormat="1" applyFont="1" applyFill="1" applyBorder="1" applyAlignment="1">
      <alignment horizontal="center" vertical="center"/>
    </xf>
    <xf numFmtId="1" fontId="145" fillId="0" borderId="31" xfId="0" applyNumberFormat="1" applyFont="1" applyBorder="1" applyAlignment="1">
      <alignment horizontal="center" vertical="center"/>
    </xf>
    <xf numFmtId="0" fontId="41" fillId="8" borderId="47" xfId="0" applyFont="1" applyFill="1" applyBorder="1" applyAlignment="1">
      <alignment vertical="center"/>
    </xf>
    <xf numFmtId="0" fontId="41" fillId="8" borderId="6" xfId="0" applyFont="1" applyFill="1" applyBorder="1" applyAlignment="1">
      <alignment vertical="center"/>
    </xf>
    <xf numFmtId="1" fontId="145" fillId="7" borderId="17" xfId="0" applyNumberFormat="1" applyFont="1" applyFill="1" applyBorder="1" applyAlignment="1">
      <alignment horizontal="center" vertical="center"/>
    </xf>
    <xf numFmtId="0" fontId="145" fillId="0" borderId="31" xfId="0" applyFont="1" applyBorder="1" applyAlignment="1">
      <alignment horizontal="left" vertical="center"/>
    </xf>
    <xf numFmtId="1" fontId="8" fillId="0" borderId="31" xfId="0" applyNumberFormat="1" applyFont="1" applyBorder="1" applyAlignment="1">
      <alignment horizontal="center" vertical="center"/>
    </xf>
    <xf numFmtId="1" fontId="8" fillId="7" borderId="17" xfId="0" applyNumberFormat="1" applyFont="1" applyFill="1" applyBorder="1" applyAlignment="1">
      <alignment horizontal="center" vertical="center"/>
    </xf>
    <xf numFmtId="0" fontId="8" fillId="0" borderId="62" xfId="0" applyFont="1" applyBorder="1" applyAlignment="1">
      <alignment horizontal="left" vertical="center"/>
    </xf>
    <xf numFmtId="0" fontId="8" fillId="0" borderId="76" xfId="0" applyFont="1" applyBorder="1" applyAlignment="1">
      <alignment horizontal="left" vertical="center"/>
    </xf>
    <xf numFmtId="2" fontId="145" fillId="7" borderId="17" xfId="0" applyNumberFormat="1" applyFont="1" applyFill="1" applyBorder="1" applyAlignment="1">
      <alignment horizontal="center" vertical="center"/>
    </xf>
    <xf numFmtId="0" fontId="145" fillId="0" borderId="10" xfId="0" applyFont="1" applyBorder="1" applyAlignment="1">
      <alignment vertical="center"/>
    </xf>
    <xf numFmtId="2" fontId="145" fillId="0" borderId="31" xfId="0" applyNumberFormat="1" applyFont="1" applyBorder="1" applyAlignment="1">
      <alignment horizontal="center" vertical="center"/>
    </xf>
    <xf numFmtId="169" fontId="145" fillId="7" borderId="17" xfId="0" applyNumberFormat="1" applyFont="1" applyFill="1" applyBorder="1" applyAlignment="1">
      <alignment horizontal="center" vertical="center"/>
    </xf>
    <xf numFmtId="0" fontId="145" fillId="8" borderId="10" xfId="0" applyFont="1" applyFill="1" applyBorder="1" applyAlignment="1">
      <alignment vertical="center"/>
    </xf>
    <xf numFmtId="0" fontId="8" fillId="8" borderId="63" xfId="0" applyFont="1" applyFill="1" applyBorder="1" applyAlignment="1">
      <alignment vertical="center"/>
    </xf>
    <xf numFmtId="0" fontId="146" fillId="0" borderId="66" xfId="0" applyFont="1" applyBorder="1" applyAlignment="1">
      <alignment horizontal="center" vertical="center"/>
    </xf>
    <xf numFmtId="0" fontId="145" fillId="8" borderId="31" xfId="0" applyFont="1" applyFill="1" applyBorder="1" applyAlignment="1">
      <alignment horizontal="left" vertical="center" indent="1"/>
    </xf>
    <xf numFmtId="0" fontId="145" fillId="8" borderId="0" xfId="0" applyFont="1" applyFill="1" applyAlignment="1">
      <alignment vertical="center"/>
    </xf>
    <xf numFmtId="0" fontId="8" fillId="0" borderId="63" xfId="0" applyFont="1" applyBorder="1" applyAlignment="1">
      <alignment horizontal="right" vertical="center" indent="1"/>
    </xf>
    <xf numFmtId="0" fontId="8" fillId="0" borderId="66" xfId="0" applyFont="1" applyBorder="1" applyAlignment="1">
      <alignment horizontal="center" vertical="center"/>
    </xf>
    <xf numFmtId="0" fontId="8" fillId="0" borderId="31" xfId="0" applyFont="1" applyBorder="1" applyAlignment="1">
      <alignment horizontal="right" vertical="center" indent="1"/>
    </xf>
    <xf numFmtId="2" fontId="8" fillId="7" borderId="17" xfId="0" applyNumberFormat="1" applyFont="1" applyFill="1" applyBorder="1" applyAlignment="1">
      <alignment horizontal="center" vertical="center"/>
    </xf>
    <xf numFmtId="0" fontId="8" fillId="0" borderId="9" xfId="0" applyFont="1" applyBorder="1" applyAlignment="1">
      <alignment horizontal="right" vertical="center" indent="1"/>
    </xf>
    <xf numFmtId="0" fontId="8" fillId="0" borderId="31" xfId="0" applyFont="1" applyBorder="1" applyAlignment="1">
      <alignment horizontal="center" vertical="center"/>
    </xf>
    <xf numFmtId="0" fontId="145" fillId="0" borderId="137" xfId="0" applyFont="1" applyBorder="1" applyAlignment="1">
      <alignment horizontal="center" vertical="center"/>
    </xf>
    <xf numFmtId="0" fontId="8" fillId="8" borderId="137" xfId="0" applyFont="1" applyFill="1" applyBorder="1" applyAlignment="1">
      <alignment horizontal="center" vertical="center"/>
    </xf>
    <xf numFmtId="0" fontId="8" fillId="0" borderId="137" xfId="0" applyFont="1" applyBorder="1" applyAlignment="1">
      <alignment horizontal="center" vertical="center"/>
    </xf>
    <xf numFmtId="0" fontId="146" fillId="0" borderId="137" xfId="0" applyFont="1" applyBorder="1" applyAlignment="1">
      <alignment horizontal="center" vertical="center"/>
    </xf>
    <xf numFmtId="0" fontId="111" fillId="0" borderId="137" xfId="0" applyFont="1" applyBorder="1" applyAlignment="1">
      <alignment horizontal="center" vertical="center"/>
    </xf>
    <xf numFmtId="0" fontId="8" fillId="0" borderId="136" xfId="0" applyFont="1" applyBorder="1" applyAlignment="1">
      <alignment horizontal="center" vertical="center"/>
    </xf>
    <xf numFmtId="0" fontId="8" fillId="7" borderId="136" xfId="0" applyFont="1" applyFill="1" applyBorder="1" applyAlignment="1">
      <alignment horizontal="center" vertical="center"/>
    </xf>
    <xf numFmtId="0" fontId="8" fillId="8" borderId="136" xfId="0" applyFont="1" applyFill="1" applyBorder="1" applyAlignment="1">
      <alignment horizontal="center" vertical="center"/>
    </xf>
    <xf numFmtId="0" fontId="8" fillId="5" borderId="136" xfId="0" applyFont="1" applyFill="1" applyBorder="1" applyAlignment="1">
      <alignment horizontal="center" vertical="center"/>
    </xf>
    <xf numFmtId="0" fontId="8" fillId="0" borderId="136" xfId="0" applyFont="1" applyFill="1" applyBorder="1" applyAlignment="1">
      <alignment horizontal="center" vertical="center"/>
    </xf>
    <xf numFmtId="0" fontId="8" fillId="6" borderId="136" xfId="0" applyFont="1" applyFill="1" applyBorder="1" applyAlignment="1">
      <alignment horizontal="center" vertical="center"/>
    </xf>
    <xf numFmtId="1" fontId="8" fillId="8" borderId="136" xfId="0" applyNumberFormat="1" applyFont="1" applyFill="1" applyBorder="1" applyAlignment="1">
      <alignment horizontal="center" vertical="center"/>
    </xf>
    <xf numFmtId="1" fontId="8" fillId="0" borderId="136" xfId="0" applyNumberFormat="1" applyFont="1" applyFill="1" applyBorder="1" applyAlignment="1">
      <alignment horizontal="center" vertical="center"/>
    </xf>
    <xf numFmtId="0" fontId="145" fillId="8" borderId="136" xfId="0" applyFont="1" applyFill="1" applyBorder="1" applyAlignment="1">
      <alignment horizontal="center" vertical="center"/>
    </xf>
    <xf numFmtId="0" fontId="145" fillId="7" borderId="136" xfId="0" applyFont="1" applyFill="1" applyBorder="1" applyAlignment="1">
      <alignment horizontal="center" vertical="center"/>
    </xf>
    <xf numFmtId="0" fontId="145" fillId="5" borderId="136" xfId="0" applyFont="1" applyFill="1" applyBorder="1" applyAlignment="1">
      <alignment horizontal="center" vertical="center"/>
    </xf>
    <xf numFmtId="0" fontId="145" fillId="0" borderId="136" xfId="0" applyFont="1" applyFill="1" applyBorder="1" applyAlignment="1">
      <alignment horizontal="center" vertical="center"/>
    </xf>
    <xf numFmtId="0" fontId="145" fillId="6" borderId="136" xfId="0" applyFont="1" applyFill="1" applyBorder="1" applyAlignment="1">
      <alignment horizontal="center" vertical="center"/>
    </xf>
    <xf numFmtId="0" fontId="145" fillId="0" borderId="136" xfId="0" applyFont="1" applyBorder="1" applyAlignment="1">
      <alignment horizontal="center" vertical="center"/>
    </xf>
    <xf numFmtId="1" fontId="145" fillId="0" borderId="136" xfId="0" applyNumberFormat="1" applyFont="1" applyBorder="1" applyAlignment="1">
      <alignment horizontal="center" vertical="center"/>
    </xf>
    <xf numFmtId="1" fontId="145" fillId="7" borderId="136" xfId="0" applyNumberFormat="1" applyFont="1" applyFill="1" applyBorder="1" applyAlignment="1">
      <alignment horizontal="center" vertical="center"/>
    </xf>
    <xf numFmtId="1" fontId="145" fillId="5" borderId="136" xfId="0" applyNumberFormat="1" applyFont="1" applyFill="1" applyBorder="1" applyAlignment="1">
      <alignment horizontal="center" vertical="center"/>
    </xf>
    <xf numFmtId="1" fontId="145" fillId="8" borderId="136" xfId="0" applyNumberFormat="1" applyFont="1" applyFill="1" applyBorder="1" applyAlignment="1">
      <alignment horizontal="center" vertical="center"/>
    </xf>
    <xf numFmtId="1" fontId="145" fillId="0" borderId="136" xfId="0" applyNumberFormat="1" applyFont="1" applyFill="1" applyBorder="1" applyAlignment="1">
      <alignment horizontal="center" vertical="center"/>
    </xf>
    <xf numFmtId="1" fontId="145" fillId="6" borderId="136" xfId="0" applyNumberFormat="1" applyFont="1" applyFill="1" applyBorder="1" applyAlignment="1">
      <alignment horizontal="center" vertical="center"/>
    </xf>
    <xf numFmtId="1" fontId="8" fillId="0" borderId="136" xfId="0" applyNumberFormat="1" applyFont="1" applyBorder="1" applyAlignment="1">
      <alignment horizontal="center" vertical="center"/>
    </xf>
    <xf numFmtId="1" fontId="8" fillId="7" borderId="136" xfId="0" applyNumberFormat="1" applyFont="1" applyFill="1" applyBorder="1" applyAlignment="1">
      <alignment horizontal="center" vertical="center"/>
    </xf>
    <xf numFmtId="1" fontId="8" fillId="5" borderId="136" xfId="0" applyNumberFormat="1" applyFont="1" applyFill="1" applyBorder="1" applyAlignment="1">
      <alignment horizontal="center" vertical="center"/>
    </xf>
    <xf numFmtId="1" fontId="8" fillId="6" borderId="136" xfId="0" applyNumberFormat="1" applyFont="1" applyFill="1" applyBorder="1" applyAlignment="1">
      <alignment horizontal="center" vertical="center"/>
    </xf>
    <xf numFmtId="167" fontId="8" fillId="0" borderId="136" xfId="0" applyNumberFormat="1" applyFont="1" applyFill="1" applyBorder="1" applyAlignment="1">
      <alignment horizontal="center" vertical="center"/>
    </xf>
    <xf numFmtId="1" fontId="145" fillId="8" borderId="136" xfId="0" applyNumberFormat="1" applyFont="1" applyFill="1" applyBorder="1" applyAlignment="1">
      <alignment vertical="center"/>
    </xf>
    <xf numFmtId="0" fontId="145" fillId="8" borderId="136" xfId="0" applyFont="1" applyFill="1" applyBorder="1" applyAlignment="1">
      <alignment vertical="center"/>
    </xf>
    <xf numFmtId="1" fontId="145" fillId="0" borderId="136" xfId="0" applyNumberFormat="1" applyFont="1" applyBorder="1" applyAlignment="1">
      <alignment vertical="center"/>
    </xf>
    <xf numFmtId="167" fontId="145" fillId="8" borderId="136" xfId="0" applyNumberFormat="1" applyFont="1" applyFill="1" applyBorder="1" applyAlignment="1">
      <alignment horizontal="center" vertical="center"/>
    </xf>
    <xf numFmtId="167" fontId="145" fillId="7" borderId="136" xfId="0" applyNumberFormat="1" applyFont="1" applyFill="1" applyBorder="1" applyAlignment="1">
      <alignment horizontal="center" vertical="center"/>
    </xf>
    <xf numFmtId="167" fontId="145" fillId="5" borderId="136" xfId="0" applyNumberFormat="1" applyFont="1" applyFill="1" applyBorder="1" applyAlignment="1">
      <alignment horizontal="center" vertical="center"/>
    </xf>
    <xf numFmtId="167" fontId="145" fillId="0" borderId="136" xfId="0" applyNumberFormat="1" applyFont="1" applyFill="1" applyBorder="1" applyAlignment="1">
      <alignment horizontal="center" vertical="center"/>
    </xf>
    <xf numFmtId="167" fontId="145" fillId="6" borderId="136" xfId="0" applyNumberFormat="1" applyFont="1" applyFill="1" applyBorder="1" applyAlignment="1">
      <alignment horizontal="center" vertical="center"/>
    </xf>
    <xf numFmtId="2" fontId="145" fillId="8" borderId="136" xfId="0" applyNumberFormat="1" applyFont="1" applyFill="1" applyBorder="1" applyAlignment="1">
      <alignment horizontal="center" vertical="center"/>
    </xf>
    <xf numFmtId="2" fontId="145" fillId="0" borderId="136" xfId="0" applyNumberFormat="1" applyFont="1" applyFill="1" applyBorder="1" applyAlignment="1">
      <alignment horizontal="center" vertical="center"/>
    </xf>
    <xf numFmtId="0" fontId="41" fillId="8" borderId="136" xfId="0" applyFont="1" applyFill="1" applyBorder="1" applyAlignment="1">
      <alignment vertical="center"/>
    </xf>
    <xf numFmtId="0" fontId="41" fillId="0" borderId="136" xfId="0" applyFont="1" applyFill="1" applyBorder="1" applyAlignment="1">
      <alignment vertical="center"/>
    </xf>
    <xf numFmtId="1" fontId="8" fillId="54" borderId="136" xfId="0" applyNumberFormat="1" applyFont="1" applyFill="1" applyBorder="1" applyAlignment="1">
      <alignment horizontal="center" vertical="center"/>
    </xf>
    <xf numFmtId="167" fontId="145" fillId="0" borderId="136" xfId="0" applyNumberFormat="1" applyFont="1" applyBorder="1" applyAlignment="1">
      <alignment horizontal="center" vertical="center"/>
    </xf>
    <xf numFmtId="167" fontId="8" fillId="0" borderId="136" xfId="0" applyNumberFormat="1" applyFont="1" applyBorder="1" applyAlignment="1">
      <alignment horizontal="center" vertical="center"/>
    </xf>
    <xf numFmtId="167" fontId="8" fillId="7" borderId="136" xfId="0" applyNumberFormat="1" applyFont="1" applyFill="1" applyBorder="1" applyAlignment="1">
      <alignment horizontal="center" vertical="center"/>
    </xf>
    <xf numFmtId="167" fontId="8" fillId="5" borderId="136" xfId="0" applyNumberFormat="1" applyFont="1" applyFill="1" applyBorder="1" applyAlignment="1">
      <alignment horizontal="center" vertical="center"/>
    </xf>
    <xf numFmtId="167" fontId="8" fillId="6" borderId="136" xfId="0" applyNumberFormat="1" applyFont="1" applyFill="1" applyBorder="1" applyAlignment="1">
      <alignment horizontal="center" vertical="center"/>
    </xf>
    <xf numFmtId="2" fontId="145" fillId="0" borderId="136" xfId="0" applyNumberFormat="1" applyFont="1" applyBorder="1" applyAlignment="1">
      <alignment horizontal="center" vertical="center"/>
    </xf>
    <xf numFmtId="2" fontId="145" fillId="7" borderId="136" xfId="0" applyNumberFormat="1" applyFont="1" applyFill="1" applyBorder="1" applyAlignment="1">
      <alignment horizontal="center" vertical="center"/>
    </xf>
    <xf numFmtId="2" fontId="145" fillId="5" borderId="136" xfId="0" applyNumberFormat="1" applyFont="1" applyFill="1" applyBorder="1" applyAlignment="1">
      <alignment horizontal="center" vertical="center"/>
    </xf>
    <xf numFmtId="2" fontId="145" fillId="6" borderId="136" xfId="0" applyNumberFormat="1" applyFont="1" applyFill="1" applyBorder="1" applyAlignment="1">
      <alignment horizontal="center" vertical="center"/>
    </xf>
    <xf numFmtId="169" fontId="145" fillId="8" borderId="136" xfId="0" applyNumberFormat="1" applyFont="1" applyFill="1" applyBorder="1" applyAlignment="1">
      <alignment horizontal="center" vertical="center"/>
    </xf>
    <xf numFmtId="169" fontId="145" fillId="7" borderId="136" xfId="0" applyNumberFormat="1" applyFont="1" applyFill="1" applyBorder="1" applyAlignment="1">
      <alignment horizontal="center" vertical="center"/>
    </xf>
    <xf numFmtId="169" fontId="145" fillId="5" borderId="136" xfId="0" applyNumberFormat="1" applyFont="1" applyFill="1" applyBorder="1" applyAlignment="1">
      <alignment horizontal="center" vertical="center"/>
    </xf>
    <xf numFmtId="169" fontId="145" fillId="0" borderId="136" xfId="0" applyNumberFormat="1" applyFont="1" applyFill="1" applyBorder="1" applyAlignment="1">
      <alignment horizontal="center" vertical="center"/>
    </xf>
    <xf numFmtId="169" fontId="145" fillId="6" borderId="136" xfId="0" applyNumberFormat="1" applyFont="1" applyFill="1" applyBorder="1" applyAlignment="1">
      <alignment horizontal="center" vertical="center"/>
    </xf>
    <xf numFmtId="2" fontId="8" fillId="5" borderId="136" xfId="0" applyNumberFormat="1" applyFont="1" applyFill="1" applyBorder="1" applyAlignment="1">
      <alignment horizontal="center" vertical="center"/>
    </xf>
    <xf numFmtId="0" fontId="145" fillId="0" borderId="136" xfId="0" applyFont="1" applyBorder="1" applyAlignment="1">
      <alignment vertical="center"/>
    </xf>
    <xf numFmtId="0" fontId="145" fillId="7" borderId="136" xfId="0" applyFont="1" applyFill="1" applyBorder="1" applyAlignment="1">
      <alignment vertical="center"/>
    </xf>
    <xf numFmtId="0" fontId="145" fillId="5" borderId="136" xfId="0" applyFont="1" applyFill="1" applyBorder="1" applyAlignment="1">
      <alignment vertical="center"/>
    </xf>
    <xf numFmtId="0" fontId="145" fillId="6" borderId="136" xfId="0" applyFont="1" applyFill="1" applyBorder="1" applyAlignment="1">
      <alignment vertical="center"/>
    </xf>
    <xf numFmtId="0" fontId="145" fillId="0" borderId="136" xfId="0" applyFont="1" applyFill="1" applyBorder="1" applyAlignment="1">
      <alignment vertical="center"/>
    </xf>
    <xf numFmtId="2" fontId="8" fillId="8" borderId="136" xfId="0" applyNumberFormat="1" applyFont="1" applyFill="1" applyBorder="1" applyAlignment="1">
      <alignment horizontal="center" vertical="center"/>
    </xf>
    <xf numFmtId="2" fontId="8" fillId="7" borderId="136" xfId="0" applyNumberFormat="1" applyFont="1" applyFill="1" applyBorder="1" applyAlignment="1">
      <alignment horizontal="center" vertical="center"/>
    </xf>
    <xf numFmtId="2" fontId="8" fillId="0" borderId="136" xfId="0" applyNumberFormat="1" applyFont="1" applyFill="1" applyBorder="1" applyAlignment="1">
      <alignment horizontal="center" vertical="center"/>
    </xf>
    <xf numFmtId="2" fontId="8" fillId="6" borderId="136" xfId="0" applyNumberFormat="1" applyFont="1" applyFill="1" applyBorder="1" applyAlignment="1">
      <alignment horizontal="center" vertical="center"/>
    </xf>
    <xf numFmtId="0" fontId="8" fillId="7" borderId="17" xfId="0" applyFont="1" applyFill="1" applyBorder="1" applyAlignment="1">
      <alignment horizontal="center" vertical="center"/>
    </xf>
    <xf numFmtId="0" fontId="41" fillId="8" borderId="17" xfId="0" applyFont="1" applyFill="1" applyBorder="1" applyAlignment="1">
      <alignment vertical="center"/>
    </xf>
    <xf numFmtId="167" fontId="145" fillId="0" borderId="31" xfId="0" applyNumberFormat="1" applyFont="1" applyBorder="1" applyAlignment="1">
      <alignment horizontal="center" vertical="center"/>
    </xf>
    <xf numFmtId="167" fontId="8" fillId="0" borderId="31" xfId="0" applyNumberFormat="1" applyFont="1" applyBorder="1" applyAlignment="1">
      <alignment horizontal="center" vertical="center"/>
    </xf>
    <xf numFmtId="167" fontId="8" fillId="7" borderId="17" xfId="0" applyNumberFormat="1" applyFont="1" applyFill="1" applyBorder="1" applyAlignment="1">
      <alignment horizontal="center" vertical="center"/>
    </xf>
    <xf numFmtId="169" fontId="145" fillId="0" borderId="31" xfId="0" applyNumberFormat="1" applyFont="1" applyBorder="1" applyAlignment="1">
      <alignment horizontal="center" vertical="center"/>
    </xf>
    <xf numFmtId="169" fontId="146" fillId="0" borderId="31" xfId="0" applyNumberFormat="1" applyFont="1" applyBorder="1" applyAlignment="1">
      <alignment horizontal="center" vertical="center"/>
    </xf>
    <xf numFmtId="0" fontId="146" fillId="0" borderId="31" xfId="0" applyFont="1" applyBorder="1" applyAlignment="1">
      <alignment horizontal="center" vertical="center"/>
    </xf>
    <xf numFmtId="0" fontId="146" fillId="8" borderId="31" xfId="0" applyFont="1" applyFill="1" applyBorder="1" applyAlignment="1">
      <alignment horizontal="center" vertical="center"/>
    </xf>
    <xf numFmtId="0" fontId="111" fillId="8" borderId="31" xfId="0" applyFont="1" applyFill="1" applyBorder="1" applyAlignment="1">
      <alignment horizontal="center" vertical="center"/>
    </xf>
    <xf numFmtId="0" fontId="145" fillId="8" borderId="31" xfId="0" applyFont="1" applyFill="1" applyBorder="1" applyAlignment="1">
      <alignment vertical="center"/>
    </xf>
    <xf numFmtId="0" fontId="145" fillId="8" borderId="17" xfId="0" applyFont="1" applyFill="1" applyBorder="1" applyAlignment="1">
      <alignment vertical="center"/>
    </xf>
    <xf numFmtId="0" fontId="8" fillId="0" borderId="32" xfId="0" applyFont="1" applyBorder="1" applyAlignment="1">
      <alignment horizontal="center" vertical="center"/>
    </xf>
    <xf numFmtId="0" fontId="8" fillId="0" borderId="23" xfId="0" applyFont="1" applyBorder="1" applyAlignment="1">
      <alignment horizontal="center" vertical="center"/>
    </xf>
    <xf numFmtId="2" fontId="8" fillId="8" borderId="23" xfId="0" applyNumberFormat="1" applyFont="1" applyFill="1" applyBorder="1" applyAlignment="1">
      <alignment horizontal="center" vertical="center"/>
    </xf>
    <xf numFmtId="0" fontId="8" fillId="7" borderId="23" xfId="0" applyFont="1" applyFill="1" applyBorder="1" applyAlignment="1">
      <alignment horizontal="center" vertical="center"/>
    </xf>
    <xf numFmtId="2" fontId="8" fillId="7" borderId="23" xfId="0" applyNumberFormat="1" applyFont="1" applyFill="1" applyBorder="1" applyAlignment="1">
      <alignment horizontal="center" vertical="center"/>
    </xf>
    <xf numFmtId="0" fontId="8" fillId="5" borderId="23" xfId="0" applyFont="1" applyFill="1" applyBorder="1" applyAlignment="1">
      <alignment horizontal="center" vertical="center"/>
    </xf>
    <xf numFmtId="2" fontId="8" fillId="5" borderId="23" xfId="0" applyNumberFormat="1" applyFont="1" applyFill="1" applyBorder="1" applyAlignment="1">
      <alignment horizontal="center" vertical="center"/>
    </xf>
    <xf numFmtId="0" fontId="8" fillId="8" borderId="23" xfId="0" applyFont="1" applyFill="1" applyBorder="1" applyAlignment="1">
      <alignment horizontal="center" vertical="center"/>
    </xf>
    <xf numFmtId="2" fontId="8" fillId="0" borderId="23" xfId="0" applyNumberFormat="1" applyFont="1" applyFill="1" applyBorder="1" applyAlignment="1">
      <alignment horizontal="center" vertical="center"/>
    </xf>
    <xf numFmtId="0" fontId="8" fillId="6" borderId="23" xfId="0" applyFont="1" applyFill="1" applyBorder="1" applyAlignment="1">
      <alignment horizontal="center" vertical="center"/>
    </xf>
    <xf numFmtId="2" fontId="8" fillId="6" borderId="23" xfId="0" applyNumberFormat="1" applyFont="1" applyFill="1" applyBorder="1" applyAlignment="1">
      <alignment horizontal="center" vertical="center"/>
    </xf>
    <xf numFmtId="2" fontId="8" fillId="7" borderId="33" xfId="0" applyNumberFormat="1" applyFont="1" applyFill="1" applyBorder="1" applyAlignment="1">
      <alignment horizontal="center" vertical="center"/>
    </xf>
    <xf numFmtId="0" fontId="8" fillId="8" borderId="76" xfId="0" applyFont="1" applyFill="1" applyBorder="1" applyAlignment="1">
      <alignment horizontal="left" vertical="center"/>
    </xf>
    <xf numFmtId="0" fontId="8" fillId="8" borderId="86" xfId="0" applyFont="1" applyFill="1" applyBorder="1" applyAlignment="1">
      <alignment horizontal="center" vertical="center"/>
    </xf>
    <xf numFmtId="1" fontId="8" fillId="8" borderId="45" xfId="0" applyNumberFormat="1" applyFont="1" applyFill="1" applyBorder="1" applyAlignment="1">
      <alignment horizontal="center" vertical="center"/>
    </xf>
    <xf numFmtId="1" fontId="8" fillId="0" borderId="45" xfId="0" applyNumberFormat="1" applyFont="1" applyFill="1" applyBorder="1" applyAlignment="1">
      <alignment horizontal="center" vertical="center"/>
    </xf>
    <xf numFmtId="0" fontId="8" fillId="8" borderId="44" xfId="0" applyFont="1" applyFill="1" applyBorder="1" applyAlignment="1">
      <alignment vertical="center"/>
    </xf>
    <xf numFmtId="0" fontId="8" fillId="8" borderId="41" xfId="0" applyFont="1" applyFill="1" applyBorder="1" applyAlignment="1">
      <alignment vertical="center"/>
    </xf>
    <xf numFmtId="0" fontId="8" fillId="0" borderId="41" xfId="0" applyFont="1" applyFill="1" applyBorder="1" applyAlignment="1">
      <alignment vertical="center"/>
    </xf>
    <xf numFmtId="0" fontId="8" fillId="8" borderId="42" xfId="0" applyFont="1" applyFill="1" applyBorder="1" applyAlignment="1">
      <alignment vertical="center"/>
    </xf>
    <xf numFmtId="0" fontId="8" fillId="0" borderId="23" xfId="0" applyFont="1" applyFill="1" applyBorder="1" applyAlignment="1">
      <alignment horizontal="center" vertical="center"/>
    </xf>
    <xf numFmtId="0" fontId="8" fillId="7" borderId="33" xfId="0" applyFont="1" applyFill="1" applyBorder="1" applyAlignment="1">
      <alignment horizontal="center" vertical="center"/>
    </xf>
    <xf numFmtId="0" fontId="145" fillId="0" borderId="41" xfId="0" quotePrefix="1" applyFont="1" applyBorder="1" applyAlignment="1">
      <alignment horizontal="center" vertical="center"/>
    </xf>
    <xf numFmtId="0" fontId="145" fillId="8" borderId="41" xfId="0" applyFont="1" applyFill="1" applyBorder="1" applyAlignment="1">
      <alignment horizontal="center" vertical="center"/>
    </xf>
    <xf numFmtId="0" fontId="145" fillId="7" borderId="41" xfId="0" quotePrefix="1" applyFont="1" applyFill="1" applyBorder="1" applyAlignment="1">
      <alignment horizontal="center" vertical="center"/>
    </xf>
    <xf numFmtId="0" fontId="145" fillId="7" borderId="41" xfId="0" applyFont="1" applyFill="1" applyBorder="1" applyAlignment="1">
      <alignment horizontal="center" vertical="center"/>
    </xf>
    <xf numFmtId="0" fontId="145" fillId="5" borderId="41" xfId="0" quotePrefix="1" applyFont="1" applyFill="1" applyBorder="1" applyAlignment="1">
      <alignment horizontal="center" vertical="center"/>
    </xf>
    <xf numFmtId="0" fontId="145" fillId="5" borderId="41" xfId="0" applyFont="1" applyFill="1" applyBorder="1" applyAlignment="1">
      <alignment horizontal="center" vertical="center"/>
    </xf>
    <xf numFmtId="0" fontId="145" fillId="8" borderId="41" xfId="0" quotePrefix="1" applyFont="1" applyFill="1" applyBorder="1" applyAlignment="1">
      <alignment horizontal="center" vertical="center"/>
    </xf>
    <xf numFmtId="0" fontId="145" fillId="0" borderId="41" xfId="0" applyFont="1" applyFill="1" applyBorder="1" applyAlignment="1">
      <alignment horizontal="center" vertical="center"/>
    </xf>
    <xf numFmtId="0" fontId="145" fillId="6" borderId="41" xfId="0" quotePrefix="1" applyFont="1" applyFill="1" applyBorder="1" applyAlignment="1">
      <alignment horizontal="center" vertical="center"/>
    </xf>
    <xf numFmtId="0" fontId="145" fillId="6" borderId="41" xfId="0" applyFont="1" applyFill="1" applyBorder="1" applyAlignment="1">
      <alignment horizontal="center" vertical="center"/>
    </xf>
    <xf numFmtId="0" fontId="145" fillId="0" borderId="32" xfId="0" applyFont="1" applyBorder="1" applyAlignment="1">
      <alignment horizontal="left" vertical="center" wrapText="1" indent="1"/>
    </xf>
    <xf numFmtId="0" fontId="145" fillId="0" borderId="23" xfId="0" applyFont="1" applyBorder="1" applyAlignment="1">
      <alignment horizontal="center" vertical="center"/>
    </xf>
    <xf numFmtId="0" fontId="145" fillId="8" borderId="23" xfId="0" applyFont="1" applyFill="1" applyBorder="1" applyAlignment="1">
      <alignment horizontal="center" vertical="center"/>
    </xf>
    <xf numFmtId="0" fontId="145" fillId="7" borderId="23" xfId="0" applyFont="1" applyFill="1" applyBorder="1" applyAlignment="1">
      <alignment horizontal="center" vertical="center"/>
    </xf>
    <xf numFmtId="0" fontId="145" fillId="5" borderId="23" xfId="0" applyFont="1" applyFill="1" applyBorder="1" applyAlignment="1">
      <alignment horizontal="center" vertical="center"/>
    </xf>
    <xf numFmtId="0" fontId="145" fillId="0" borderId="23" xfId="0" applyFont="1" applyFill="1" applyBorder="1" applyAlignment="1">
      <alignment horizontal="center" vertical="center"/>
    </xf>
    <xf numFmtId="0" fontId="145" fillId="6" borderId="23" xfId="0" applyFont="1" applyFill="1" applyBorder="1" applyAlignment="1">
      <alignment horizontal="center" vertical="center"/>
    </xf>
    <xf numFmtId="0" fontId="8" fillId="0" borderId="63" xfId="0" applyFont="1" applyBorder="1" applyAlignment="1">
      <alignment vertical="center"/>
    </xf>
    <xf numFmtId="1" fontId="145" fillId="0" borderId="63" xfId="0" applyNumberFormat="1" applyFont="1" applyBorder="1" applyAlignment="1">
      <alignment horizontal="center" vertical="center"/>
    </xf>
    <xf numFmtId="1" fontId="145" fillId="0" borderId="41" xfId="0" applyNumberFormat="1" applyFont="1" applyBorder="1" applyAlignment="1">
      <alignment horizontal="center" vertical="center"/>
    </xf>
    <xf numFmtId="1" fontId="145" fillId="7" borderId="41" xfId="0" applyNumberFormat="1" applyFont="1" applyFill="1" applyBorder="1" applyAlignment="1">
      <alignment horizontal="center" vertical="center"/>
    </xf>
    <xf numFmtId="1" fontId="145" fillId="5" borderId="41" xfId="0" applyNumberFormat="1" applyFont="1" applyFill="1" applyBorder="1" applyAlignment="1">
      <alignment horizontal="center" vertical="center"/>
    </xf>
    <xf numFmtId="1" fontId="145" fillId="8" borderId="41" xfId="0" applyNumberFormat="1" applyFont="1" applyFill="1" applyBorder="1" applyAlignment="1">
      <alignment horizontal="center" vertical="center"/>
    </xf>
    <xf numFmtId="1" fontId="145" fillId="0" borderId="41" xfId="0" applyNumberFormat="1" applyFont="1" applyFill="1" applyBorder="1" applyAlignment="1">
      <alignment horizontal="center" vertical="center"/>
    </xf>
    <xf numFmtId="1" fontId="145" fillId="6" borderId="41" xfId="0" applyNumberFormat="1" applyFont="1" applyFill="1" applyBorder="1" applyAlignment="1">
      <alignment horizontal="center" vertical="center"/>
    </xf>
    <xf numFmtId="0" fontId="8" fillId="0" borderId="32" xfId="0" applyFont="1" applyBorder="1" applyAlignment="1">
      <alignment vertical="center"/>
    </xf>
    <xf numFmtId="1" fontId="145" fillId="0" borderId="32" xfId="0" applyNumberFormat="1" applyFont="1" applyBorder="1" applyAlignment="1">
      <alignment horizontal="center" vertical="center"/>
    </xf>
    <xf numFmtId="1" fontId="145" fillId="0" borderId="23" xfId="0" applyNumberFormat="1" applyFont="1" applyBorder="1" applyAlignment="1">
      <alignment horizontal="center" vertical="center"/>
    </xf>
    <xf numFmtId="1" fontId="145" fillId="7" borderId="23" xfId="0" applyNumberFormat="1" applyFont="1" applyFill="1" applyBorder="1" applyAlignment="1">
      <alignment horizontal="center" vertical="center"/>
    </xf>
    <xf numFmtId="1" fontId="145" fillId="5" borderId="23" xfId="0" applyNumberFormat="1" applyFont="1" applyFill="1" applyBorder="1" applyAlignment="1">
      <alignment horizontal="center" vertical="center"/>
    </xf>
    <xf numFmtId="1" fontId="145" fillId="8" borderId="23" xfId="0" applyNumberFormat="1" applyFont="1" applyFill="1" applyBorder="1" applyAlignment="1">
      <alignment horizontal="center" vertical="center"/>
    </xf>
    <xf numFmtId="1" fontId="145" fillId="0" borderId="23" xfId="0" applyNumberFormat="1" applyFont="1" applyFill="1" applyBorder="1" applyAlignment="1">
      <alignment horizontal="center" vertical="center"/>
    </xf>
    <xf numFmtId="1" fontId="145" fillId="6" borderId="23" xfId="0" applyNumberFormat="1" applyFont="1" applyFill="1" applyBorder="1" applyAlignment="1">
      <alignment horizontal="center" vertical="center"/>
    </xf>
    <xf numFmtId="1" fontId="145" fillId="7" borderId="33" xfId="0" applyNumberFormat="1" applyFont="1" applyFill="1" applyBorder="1" applyAlignment="1">
      <alignment horizontal="center" vertical="center"/>
    </xf>
    <xf numFmtId="1" fontId="8" fillId="0" borderId="32" xfId="0" applyNumberFormat="1" applyFont="1" applyBorder="1" applyAlignment="1">
      <alignment horizontal="center" vertical="center"/>
    </xf>
    <xf numFmtId="1" fontId="8" fillId="0" borderId="23" xfId="0" applyNumberFormat="1" applyFont="1" applyBorder="1" applyAlignment="1">
      <alignment horizontal="center" vertical="center"/>
    </xf>
    <xf numFmtId="1" fontId="8" fillId="7" borderId="23" xfId="0" applyNumberFormat="1" applyFont="1" applyFill="1" applyBorder="1" applyAlignment="1">
      <alignment horizontal="center" vertical="center"/>
    </xf>
    <xf numFmtId="1" fontId="8" fillId="5" borderId="23" xfId="0" applyNumberFormat="1" applyFont="1" applyFill="1" applyBorder="1" applyAlignment="1">
      <alignment horizontal="center" vertical="center"/>
    </xf>
    <xf numFmtId="1" fontId="8" fillId="8" borderId="23" xfId="0" applyNumberFormat="1" applyFont="1" applyFill="1" applyBorder="1" applyAlignment="1">
      <alignment horizontal="center" vertical="center"/>
    </xf>
    <xf numFmtId="1" fontId="8" fillId="0" borderId="23" xfId="0" applyNumberFormat="1" applyFont="1" applyFill="1" applyBorder="1" applyAlignment="1">
      <alignment horizontal="center" vertical="center"/>
    </xf>
    <xf numFmtId="1" fontId="8" fillId="0" borderId="33" xfId="0" applyNumberFormat="1" applyFont="1" applyBorder="1" applyAlignment="1">
      <alignment horizontal="center" vertical="center"/>
    </xf>
    <xf numFmtId="1" fontId="8" fillId="0" borderId="74" xfId="0" applyNumberFormat="1" applyFont="1" applyBorder="1" applyAlignment="1">
      <alignment horizontal="center" vertical="center"/>
    </xf>
    <xf numFmtId="1" fontId="8" fillId="0" borderId="46" xfId="0" applyNumberFormat="1" applyFont="1" applyBorder="1" applyAlignment="1">
      <alignment horizontal="center" vertical="center"/>
    </xf>
    <xf numFmtId="1" fontId="8" fillId="8" borderId="46" xfId="0" applyNumberFormat="1" applyFont="1" applyFill="1" applyBorder="1" applyAlignment="1">
      <alignment horizontal="center" vertical="center"/>
    </xf>
    <xf numFmtId="1" fontId="8" fillId="7" borderId="46" xfId="0" applyNumberFormat="1" applyFont="1" applyFill="1" applyBorder="1" applyAlignment="1">
      <alignment horizontal="center" vertical="center"/>
    </xf>
    <xf numFmtId="1" fontId="8" fillId="5" borderId="46" xfId="0" applyNumberFormat="1" applyFont="1" applyFill="1" applyBorder="1" applyAlignment="1">
      <alignment horizontal="center" vertical="center"/>
    </xf>
    <xf numFmtId="1" fontId="8" fillId="0" borderId="46" xfId="0" applyNumberFormat="1" applyFont="1" applyFill="1" applyBorder="1" applyAlignment="1">
      <alignment horizontal="center" vertical="center"/>
    </xf>
    <xf numFmtId="1" fontId="145" fillId="5" borderId="46" xfId="0" applyNumberFormat="1" applyFont="1" applyFill="1" applyBorder="1" applyAlignment="1">
      <alignment horizontal="center" vertical="center"/>
    </xf>
    <xf numFmtId="1" fontId="145" fillId="6" borderId="46" xfId="0" applyNumberFormat="1" applyFont="1" applyFill="1" applyBorder="1" applyAlignment="1">
      <alignment horizontal="center" vertical="center"/>
    </xf>
    <xf numFmtId="1" fontId="8" fillId="7" borderId="71" xfId="0" applyNumberFormat="1" applyFont="1" applyFill="1" applyBorder="1" applyAlignment="1">
      <alignment horizontal="center" vertical="center"/>
    </xf>
    <xf numFmtId="0" fontId="8" fillId="8" borderId="52" xfId="0" applyFont="1" applyFill="1" applyBorder="1" applyAlignment="1">
      <alignment vertical="center" wrapText="1"/>
    </xf>
    <xf numFmtId="0" fontId="8" fillId="8" borderId="7" xfId="0" applyFont="1" applyFill="1" applyBorder="1" applyAlignment="1">
      <alignment vertical="center" wrapText="1"/>
    </xf>
    <xf numFmtId="0" fontId="8" fillId="8" borderId="34" xfId="0" applyFont="1" applyFill="1" applyBorder="1" applyAlignment="1">
      <alignment vertical="center" wrapText="1"/>
    </xf>
    <xf numFmtId="0" fontId="8" fillId="8" borderId="30" xfId="0" applyFont="1" applyFill="1" applyBorder="1" applyAlignment="1">
      <alignment vertical="center" wrapText="1"/>
    </xf>
    <xf numFmtId="1" fontId="8" fillId="8" borderId="30" xfId="0" applyNumberFormat="1" applyFont="1" applyFill="1" applyBorder="1" applyAlignment="1">
      <alignment vertical="center" wrapText="1"/>
    </xf>
    <xf numFmtId="0" fontId="8" fillId="0" borderId="30" xfId="0" applyFont="1" applyFill="1" applyBorder="1" applyAlignment="1">
      <alignment vertical="center" wrapText="1"/>
    </xf>
    <xf numFmtId="0" fontId="8" fillId="8" borderId="53" xfId="0" applyFont="1" applyFill="1" applyBorder="1" applyAlignment="1">
      <alignment vertical="center" wrapText="1"/>
    </xf>
    <xf numFmtId="167" fontId="8" fillId="8" borderId="41" xfId="0" applyNumberFormat="1" applyFont="1" applyFill="1" applyBorder="1" applyAlignment="1">
      <alignment horizontal="center" vertical="center"/>
    </xf>
    <xf numFmtId="167" fontId="8" fillId="0" borderId="41" xfId="0" applyNumberFormat="1" applyFont="1" applyFill="1" applyBorder="1" applyAlignment="1">
      <alignment horizontal="center" vertical="center"/>
    </xf>
    <xf numFmtId="167" fontId="8" fillId="8" borderId="42" xfId="0" applyNumberFormat="1" applyFont="1" applyFill="1" applyBorder="1" applyAlignment="1">
      <alignment horizontal="center" vertical="center"/>
    </xf>
    <xf numFmtId="1" fontId="8" fillId="6" borderId="23" xfId="0" applyNumberFormat="1" applyFont="1" applyFill="1" applyBorder="1" applyAlignment="1">
      <alignment horizontal="center" vertical="center"/>
    </xf>
    <xf numFmtId="1" fontId="8" fillId="7" borderId="33" xfId="0" applyNumberFormat="1" applyFont="1" applyFill="1" applyBorder="1" applyAlignment="1">
      <alignment horizontal="center" vertical="center"/>
    </xf>
    <xf numFmtId="0" fontId="18" fillId="0" borderId="0" xfId="0" quotePrefix="1" applyFont="1"/>
    <xf numFmtId="0" fontId="24" fillId="8" borderId="136" xfId="0" applyFont="1" applyFill="1" applyBorder="1" applyAlignment="1">
      <alignment horizontal="center"/>
    </xf>
    <xf numFmtId="0" fontId="24" fillId="8" borderId="10" xfId="0" applyFont="1" applyFill="1" applyBorder="1"/>
    <xf numFmtId="1" fontId="37" fillId="8" borderId="136" xfId="0" applyNumberFormat="1" applyFont="1" applyFill="1" applyBorder="1" applyAlignment="1">
      <alignment horizontal="center"/>
    </xf>
    <xf numFmtId="1" fontId="7" fillId="8" borderId="29" xfId="0" applyNumberFormat="1" applyFont="1" applyFill="1" applyBorder="1" applyAlignment="1">
      <alignment horizontal="center"/>
    </xf>
    <xf numFmtId="1" fontId="37" fillId="8" borderId="29" xfId="0" applyNumberFormat="1" applyFont="1" applyFill="1" applyBorder="1" applyAlignment="1">
      <alignment horizontal="center"/>
    </xf>
    <xf numFmtId="9" fontId="24" fillId="8" borderId="136" xfId="22" applyFont="1" applyFill="1" applyBorder="1" applyAlignment="1">
      <alignment horizontal="center"/>
    </xf>
    <xf numFmtId="1" fontId="0" fillId="6" borderId="0" xfId="0" applyNumberFormat="1" applyFill="1"/>
    <xf numFmtId="0" fontId="24" fillId="6" borderId="29" xfId="0" applyFont="1" applyFill="1" applyBorder="1" applyAlignment="1">
      <alignment horizontal="center"/>
    </xf>
    <xf numFmtId="1" fontId="37" fillId="6" borderId="136" xfId="0" applyNumberFormat="1" applyFont="1" applyFill="1" applyBorder="1" applyAlignment="1">
      <alignment horizontal="center"/>
    </xf>
    <xf numFmtId="9" fontId="24" fillId="6" borderId="136" xfId="22" applyFont="1" applyFill="1" applyBorder="1" applyAlignment="1">
      <alignment horizontal="center"/>
    </xf>
    <xf numFmtId="1" fontId="18" fillId="6" borderId="23" xfId="0" applyNumberFormat="1" applyFont="1" applyFill="1" applyBorder="1" applyAlignment="1">
      <alignment horizontal="center" vertical="center"/>
    </xf>
    <xf numFmtId="1" fontId="37" fillId="6" borderId="135" xfId="0" applyNumberFormat="1" applyFont="1" applyFill="1" applyBorder="1" applyAlignment="1">
      <alignment horizontal="center"/>
    </xf>
    <xf numFmtId="1" fontId="7" fillId="6" borderId="135" xfId="0" applyNumberFormat="1" applyFont="1" applyFill="1" applyBorder="1" applyAlignment="1">
      <alignment horizontal="center"/>
    </xf>
    <xf numFmtId="9" fontId="24" fillId="6" borderId="135" xfId="22" applyFont="1" applyFill="1" applyBorder="1" applyAlignment="1">
      <alignment horizontal="center"/>
    </xf>
    <xf numFmtId="1" fontId="15" fillId="43" borderId="10" xfId="0" applyNumberFormat="1" applyFont="1" applyFill="1" applyBorder="1" applyAlignment="1">
      <alignment horizontal="center"/>
    </xf>
    <xf numFmtId="1" fontId="15" fillId="4" borderId="10" xfId="0" applyNumberFormat="1" applyFont="1" applyFill="1" applyBorder="1" applyAlignment="1">
      <alignment horizontal="center"/>
    </xf>
    <xf numFmtId="1" fontId="79" fillId="8" borderId="136" xfId="186" applyNumberFormat="1" applyFill="1" applyBorder="1" applyAlignment="1">
      <alignment horizontal="center" vertical="top"/>
    </xf>
    <xf numFmtId="1" fontId="79" fillId="4" borderId="136" xfId="186" applyNumberFormat="1" applyFill="1" applyBorder="1" applyAlignment="1">
      <alignment horizontal="center" vertical="top"/>
    </xf>
    <xf numFmtId="1" fontId="80" fillId="45" borderId="136" xfId="186" applyNumberFormat="1" applyFont="1" applyFill="1" applyBorder="1" applyAlignment="1">
      <alignment horizontal="center" vertical="top"/>
    </xf>
    <xf numFmtId="0" fontId="80" fillId="8" borderId="2" xfId="186" applyFont="1" applyFill="1" applyBorder="1" applyAlignment="1">
      <alignment horizontal="center" vertical="center"/>
    </xf>
    <xf numFmtId="0" fontId="80" fillId="8" borderId="35" xfId="186" applyFont="1" applyFill="1" applyBorder="1" applyAlignment="1">
      <alignment horizontal="center" vertical="center"/>
    </xf>
    <xf numFmtId="1" fontId="80" fillId="8" borderId="0" xfId="186" applyNumberFormat="1" applyFont="1" applyFill="1" applyBorder="1" applyAlignment="1">
      <alignment horizontal="center" vertical="center"/>
    </xf>
    <xf numFmtId="1" fontId="81" fillId="0" borderId="137" xfId="186" applyNumberFormat="1" applyFont="1" applyBorder="1" applyAlignment="1">
      <alignment horizontal="center" vertical="center"/>
    </xf>
    <xf numFmtId="1" fontId="80" fillId="7" borderId="6" xfId="186" applyNumberFormat="1" applyFont="1" applyFill="1" applyBorder="1" applyAlignment="1">
      <alignment horizontal="center" vertical="center"/>
    </xf>
    <xf numFmtId="1" fontId="80" fillId="7" borderId="137" xfId="186" applyNumberFormat="1" applyFont="1" applyFill="1" applyBorder="1" applyAlignment="1">
      <alignment horizontal="center" vertical="center"/>
    </xf>
    <xf numFmtId="1" fontId="80" fillId="4" borderId="6" xfId="186" applyNumberFormat="1" applyFont="1" applyFill="1" applyBorder="1" applyAlignment="1">
      <alignment horizontal="center" vertical="center"/>
    </xf>
    <xf numFmtId="1" fontId="80" fillId="42" borderId="39" xfId="186" applyNumberFormat="1" applyFont="1" applyFill="1" applyBorder="1" applyAlignment="1">
      <alignment horizontal="center" vertical="center"/>
    </xf>
    <xf numFmtId="1" fontId="81" fillId="0" borderId="136" xfId="186" applyNumberFormat="1" applyFont="1" applyBorder="1" applyAlignment="1">
      <alignment horizontal="center" vertical="center"/>
    </xf>
    <xf numFmtId="1" fontId="80" fillId="7" borderId="29" xfId="186" applyNumberFormat="1" applyFont="1" applyFill="1" applyBorder="1" applyAlignment="1">
      <alignment horizontal="center" vertical="center"/>
    </xf>
    <xf numFmtId="1" fontId="80" fillId="7" borderId="136" xfId="186" applyNumberFormat="1" applyFont="1" applyFill="1" applyBorder="1" applyAlignment="1">
      <alignment horizontal="center" vertical="center"/>
    </xf>
    <xf numFmtId="1" fontId="80" fillId="4" borderId="29" xfId="186" applyNumberFormat="1" applyFont="1" applyFill="1" applyBorder="1" applyAlignment="1">
      <alignment horizontal="center" vertical="center"/>
    </xf>
    <xf numFmtId="1" fontId="80" fillId="7" borderId="8" xfId="186" applyNumberFormat="1" applyFont="1" applyFill="1" applyBorder="1" applyAlignment="1">
      <alignment horizontal="center" vertical="center"/>
    </xf>
    <xf numFmtId="1" fontId="80" fillId="7" borderId="7" xfId="186" applyNumberFormat="1" applyFont="1" applyFill="1" applyBorder="1" applyAlignment="1">
      <alignment horizontal="center" vertical="center"/>
    </xf>
    <xf numFmtId="1" fontId="80" fillId="5" borderId="137" xfId="186" applyNumberFormat="1" applyFont="1" applyFill="1" applyBorder="1" applyAlignment="1">
      <alignment horizontal="center" vertical="center"/>
    </xf>
    <xf numFmtId="1" fontId="80" fillId="4" borderId="137" xfId="186" applyNumberFormat="1" applyFont="1" applyFill="1" applyBorder="1" applyAlignment="1">
      <alignment horizontal="center" vertical="center"/>
    </xf>
    <xf numFmtId="1" fontId="80" fillId="6" borderId="136" xfId="186" applyNumberFormat="1" applyFont="1" applyFill="1" applyBorder="1" applyAlignment="1">
      <alignment horizontal="center" vertical="center"/>
    </xf>
    <xf numFmtId="1" fontId="80" fillId="6" borderId="29" xfId="186" applyNumberFormat="1" applyFont="1" applyFill="1" applyBorder="1" applyAlignment="1">
      <alignment horizontal="center" vertical="center"/>
    </xf>
    <xf numFmtId="1" fontId="80" fillId="6" borderId="8" xfId="186" applyNumberFormat="1" applyFont="1" applyFill="1" applyBorder="1" applyAlignment="1">
      <alignment horizontal="center" vertical="center"/>
    </xf>
    <xf numFmtId="1" fontId="80" fillId="6" borderId="38" xfId="186" applyNumberFormat="1" applyFont="1" applyFill="1" applyBorder="1" applyAlignment="1">
      <alignment horizontal="center" vertical="center"/>
    </xf>
    <xf numFmtId="1" fontId="12" fillId="8" borderId="0" xfId="0" applyNumberFormat="1" applyFont="1" applyFill="1"/>
    <xf numFmtId="0" fontId="12" fillId="8" borderId="29" xfId="0" applyFont="1" applyFill="1" applyBorder="1" applyAlignment="1">
      <alignment horizontal="right" vertical="center"/>
    </xf>
    <xf numFmtId="0" fontId="12" fillId="8" borderId="10" xfId="0" applyFont="1" applyFill="1" applyBorder="1"/>
    <xf numFmtId="1" fontId="12" fillId="8" borderId="10" xfId="0" applyNumberFormat="1" applyFont="1" applyFill="1" applyBorder="1" applyAlignment="1">
      <alignment horizontal="center"/>
    </xf>
    <xf numFmtId="1" fontId="12" fillId="7" borderId="10" xfId="0" applyNumberFormat="1" applyFont="1" applyFill="1" applyBorder="1" applyAlignment="1">
      <alignment horizontal="center"/>
    </xf>
    <xf numFmtId="1" fontId="12" fillId="5" borderId="10" xfId="0" applyNumberFormat="1" applyFont="1" applyFill="1" applyBorder="1" applyAlignment="1">
      <alignment horizontal="center"/>
    </xf>
    <xf numFmtId="0" fontId="12" fillId="8" borderId="31" xfId="0" applyFont="1" applyFill="1" applyBorder="1" applyAlignment="1">
      <alignment horizontal="right" vertical="center"/>
    </xf>
    <xf numFmtId="0" fontId="24" fillId="8" borderId="10" xfId="0" applyFont="1" applyFill="1" applyBorder="1" applyAlignment="1">
      <alignment horizontal="center" vertical="center"/>
    </xf>
    <xf numFmtId="1" fontId="56" fillId="8" borderId="10" xfId="0" applyNumberFormat="1" applyFont="1" applyFill="1" applyBorder="1" applyAlignment="1">
      <alignment horizontal="center" vertical="center"/>
    </xf>
    <xf numFmtId="1" fontId="15" fillId="5" borderId="10" xfId="0" applyNumberFormat="1" applyFont="1" applyFill="1" applyBorder="1" applyAlignment="1">
      <alignment horizontal="center"/>
    </xf>
    <xf numFmtId="1" fontId="56" fillId="5" borderId="10" xfId="0" applyNumberFormat="1" applyFont="1" applyFill="1" applyBorder="1" applyAlignment="1">
      <alignment horizontal="center" vertical="center"/>
    </xf>
    <xf numFmtId="1" fontId="52" fillId="5" borderId="41" xfId="0" applyNumberFormat="1" applyFont="1" applyFill="1" applyBorder="1" applyAlignment="1">
      <alignment horizontal="center" vertical="center"/>
    </xf>
    <xf numFmtId="1" fontId="52" fillId="5" borderId="10" xfId="0" applyNumberFormat="1" applyFont="1" applyFill="1" applyBorder="1" applyAlignment="1">
      <alignment horizontal="center" vertical="center"/>
    </xf>
    <xf numFmtId="9" fontId="52" fillId="5" borderId="10" xfId="22" applyFont="1" applyFill="1" applyBorder="1" applyAlignment="1">
      <alignment horizontal="center" vertical="center"/>
    </xf>
    <xf numFmtId="1" fontId="18" fillId="5" borderId="23" xfId="0" applyNumberFormat="1" applyFont="1" applyFill="1" applyBorder="1" applyAlignment="1">
      <alignment horizontal="center" vertical="center"/>
    </xf>
    <xf numFmtId="1" fontId="52" fillId="5" borderId="46" xfId="0" applyNumberFormat="1" applyFont="1" applyFill="1" applyBorder="1" applyAlignment="1">
      <alignment horizontal="center" vertical="center"/>
    </xf>
    <xf numFmtId="9" fontId="52" fillId="5" borderId="23" xfId="22" applyFont="1" applyFill="1" applyBorder="1" applyAlignment="1">
      <alignment horizontal="center" vertical="center"/>
    </xf>
    <xf numFmtId="0" fontId="52" fillId="5" borderId="41" xfId="0" applyFont="1" applyFill="1" applyBorder="1" applyAlignment="1">
      <alignment horizontal="center" vertical="center"/>
    </xf>
    <xf numFmtId="1" fontId="52" fillId="5" borderId="30" xfId="0" applyNumberFormat="1" applyFont="1" applyFill="1" applyBorder="1" applyAlignment="1">
      <alignment horizontal="center" vertical="center"/>
    </xf>
    <xf numFmtId="1" fontId="18" fillId="5" borderId="46" xfId="0" applyNumberFormat="1" applyFont="1" applyFill="1" applyBorder="1" applyAlignment="1">
      <alignment horizontal="center" vertical="center"/>
    </xf>
    <xf numFmtId="1" fontId="0" fillId="5" borderId="10" xfId="0" applyNumberFormat="1" applyFill="1" applyBorder="1" applyAlignment="1">
      <alignment horizontal="center" vertical="center"/>
    </xf>
    <xf numFmtId="1" fontId="37" fillId="6" borderId="10" xfId="0" applyNumberFormat="1" applyFont="1" applyFill="1" applyBorder="1" applyAlignment="1">
      <alignment horizontal="center"/>
    </xf>
    <xf numFmtId="1" fontId="24" fillId="6" borderId="10" xfId="0" applyNumberFormat="1" applyFont="1" applyFill="1" applyBorder="1" applyAlignment="1">
      <alignment horizontal="center"/>
    </xf>
    <xf numFmtId="1" fontId="15" fillId="6" borderId="10" xfId="0" applyNumberFormat="1" applyFont="1" applyFill="1" applyBorder="1" applyAlignment="1">
      <alignment horizontal="center"/>
    </xf>
    <xf numFmtId="9" fontId="24" fillId="6" borderId="10" xfId="22" applyFont="1" applyFill="1" applyBorder="1" applyAlignment="1">
      <alignment horizontal="center"/>
    </xf>
    <xf numFmtId="1" fontId="56" fillId="6" borderId="10" xfId="0" applyNumberFormat="1" applyFont="1" applyFill="1" applyBorder="1" applyAlignment="1">
      <alignment horizontal="center" vertical="center"/>
    </xf>
    <xf numFmtId="0" fontId="52" fillId="6" borderId="41" xfId="0" applyFont="1" applyFill="1" applyBorder="1" applyAlignment="1">
      <alignment horizontal="center" vertical="center"/>
    </xf>
    <xf numFmtId="1" fontId="52" fillId="6" borderId="10" xfId="0" applyNumberFormat="1" applyFont="1" applyFill="1" applyBorder="1" applyAlignment="1">
      <alignment horizontal="center" vertical="center"/>
    </xf>
    <xf numFmtId="9" fontId="52" fillId="6" borderId="10" xfId="22" applyFont="1" applyFill="1" applyBorder="1" applyAlignment="1">
      <alignment horizontal="center" vertical="center"/>
    </xf>
    <xf numFmtId="1" fontId="12" fillId="6" borderId="10" xfId="0" applyNumberFormat="1" applyFont="1" applyFill="1" applyBorder="1" applyAlignment="1">
      <alignment horizontal="center"/>
    </xf>
    <xf numFmtId="0" fontId="0" fillId="6" borderId="46" xfId="0" applyFill="1" applyBorder="1" applyAlignment="1">
      <alignment horizontal="center" vertical="center"/>
    </xf>
    <xf numFmtId="1" fontId="52" fillId="6" borderId="46" xfId="0" applyNumberFormat="1" applyFont="1" applyFill="1" applyBorder="1" applyAlignment="1">
      <alignment horizontal="center" vertical="center"/>
    </xf>
    <xf numFmtId="9" fontId="52" fillId="6" borderId="23" xfId="22" applyFont="1" applyFill="1" applyBorder="1" applyAlignment="1">
      <alignment horizontal="center" vertical="center"/>
    </xf>
    <xf numFmtId="1" fontId="52" fillId="6" borderId="30" xfId="0" applyNumberFormat="1" applyFont="1" applyFill="1" applyBorder="1" applyAlignment="1">
      <alignment horizontal="center" vertical="center"/>
    </xf>
    <xf numFmtId="1" fontId="18" fillId="6" borderId="46" xfId="0" applyNumberFormat="1" applyFont="1" applyFill="1" applyBorder="1" applyAlignment="1">
      <alignment horizontal="center" vertical="center"/>
    </xf>
    <xf numFmtId="1" fontId="52" fillId="6" borderId="41" xfId="0" applyNumberFormat="1" applyFont="1" applyFill="1" applyBorder="1" applyAlignment="1">
      <alignment horizontal="center" vertical="center"/>
    </xf>
    <xf numFmtId="1" fontId="0" fillId="6" borderId="10" xfId="0" applyNumberFormat="1" applyFill="1" applyBorder="1" applyAlignment="1">
      <alignment horizontal="center" vertical="center"/>
    </xf>
    <xf numFmtId="1" fontId="15" fillId="7" borderId="10" xfId="0" applyNumberFormat="1" applyFont="1" applyFill="1" applyBorder="1" applyAlignment="1">
      <alignment horizontal="center"/>
    </xf>
    <xf numFmtId="1" fontId="56" fillId="7" borderId="10" xfId="0" applyNumberFormat="1" applyFont="1" applyFill="1" applyBorder="1" applyAlignment="1">
      <alignment horizontal="center" vertical="center"/>
    </xf>
    <xf numFmtId="0" fontId="18" fillId="0" borderId="62" xfId="0" applyFont="1" applyBorder="1" applyAlignment="1">
      <alignment horizontal="right" vertical="center"/>
    </xf>
    <xf numFmtId="0" fontId="0" fillId="0" borderId="136" xfId="0" applyBorder="1"/>
    <xf numFmtId="171" fontId="24" fillId="7" borderId="10" xfId="22" applyNumberFormat="1" applyFont="1" applyFill="1" applyBorder="1" applyAlignment="1">
      <alignment horizontal="center"/>
    </xf>
    <xf numFmtId="1" fontId="81" fillId="8" borderId="7" xfId="186" applyNumberFormat="1" applyFont="1" applyFill="1" applyBorder="1" applyAlignment="1">
      <alignment horizontal="center" vertical="center"/>
    </xf>
    <xf numFmtId="1" fontId="80" fillId="8" borderId="53" xfId="186" applyNumberFormat="1" applyFont="1" applyFill="1" applyBorder="1" applyAlignment="1">
      <alignment horizontal="center" vertical="center"/>
    </xf>
    <xf numFmtId="1" fontId="81" fillId="8" borderId="8" xfId="186" applyNumberFormat="1" applyFont="1" applyFill="1" applyBorder="1" applyAlignment="1">
      <alignment horizontal="center" vertical="center"/>
    </xf>
    <xf numFmtId="1" fontId="80" fillId="8" borderId="30" xfId="186" applyNumberFormat="1" applyFont="1" applyFill="1" applyBorder="1" applyAlignment="1">
      <alignment horizontal="center" vertical="center"/>
    </xf>
    <xf numFmtId="1" fontId="80" fillId="8" borderId="50" xfId="186" applyNumberFormat="1" applyFont="1" applyFill="1" applyBorder="1" applyAlignment="1">
      <alignment horizontal="center" vertical="center"/>
    </xf>
    <xf numFmtId="1" fontId="80" fillId="8" borderId="10" xfId="186" applyNumberFormat="1" applyFont="1" applyFill="1" applyBorder="1" applyAlignment="1">
      <alignment horizontal="center" vertical="top"/>
    </xf>
    <xf numFmtId="0" fontId="79" fillId="8" borderId="0" xfId="186" applyFill="1" applyAlignment="1">
      <alignment horizontal="center" vertical="center"/>
    </xf>
    <xf numFmtId="0" fontId="79" fillId="8" borderId="0" xfId="186" applyFill="1"/>
    <xf numFmtId="1" fontId="21" fillId="6" borderId="10" xfId="0" applyNumberFormat="1" applyFont="1" applyFill="1" applyBorder="1" applyAlignment="1">
      <alignment horizontal="center" vertical="center"/>
    </xf>
    <xf numFmtId="1" fontId="145" fillId="7" borderId="136" xfId="0" applyNumberFormat="1" applyFont="1" applyFill="1" applyBorder="1" applyAlignment="1">
      <alignment horizontal="center" vertical="center"/>
    </xf>
    <xf numFmtId="1" fontId="145" fillId="5" borderId="136" xfId="0" applyNumberFormat="1" applyFont="1" applyFill="1" applyBorder="1" applyAlignment="1">
      <alignment horizontal="center" vertical="center"/>
    </xf>
    <xf numFmtId="1" fontId="145" fillId="6" borderId="136" xfId="0" applyNumberFormat="1" applyFont="1" applyFill="1" applyBorder="1" applyAlignment="1">
      <alignment horizontal="center" vertical="center"/>
    </xf>
    <xf numFmtId="0" fontId="4" fillId="8" borderId="25" xfId="0" applyFont="1" applyFill="1" applyBorder="1" applyAlignment="1">
      <alignment horizontal="center" vertical="center"/>
    </xf>
    <xf numFmtId="0" fontId="46" fillId="8" borderId="136" xfId="0" applyFont="1" applyFill="1" applyBorder="1" applyAlignment="1">
      <alignment horizontal="center"/>
    </xf>
    <xf numFmtId="0" fontId="18" fillId="8" borderId="136" xfId="0" applyFont="1" applyFill="1" applyBorder="1" applyAlignment="1">
      <alignment horizontal="center"/>
    </xf>
    <xf numFmtId="0" fontId="184" fillId="8" borderId="136" xfId="0" applyFont="1" applyFill="1" applyBorder="1" applyAlignment="1">
      <alignment horizontal="center"/>
    </xf>
    <xf numFmtId="0" fontId="49" fillId="8" borderId="136" xfId="0" applyFont="1" applyFill="1" applyBorder="1" applyAlignment="1">
      <alignment horizontal="center"/>
    </xf>
    <xf numFmtId="1" fontId="21" fillId="8" borderId="136" xfId="0" applyNumberFormat="1" applyFont="1" applyFill="1" applyBorder="1" applyAlignment="1">
      <alignment horizontal="center" vertical="center"/>
    </xf>
    <xf numFmtId="1" fontId="91" fillId="6" borderId="10" xfId="0" applyNumberFormat="1" applyFont="1" applyFill="1" applyBorder="1" applyAlignment="1">
      <alignment horizontal="center" vertical="center"/>
    </xf>
    <xf numFmtId="167" fontId="22" fillId="7" borderId="48" xfId="0" applyNumberFormat="1" applyFont="1" applyFill="1" applyBorder="1" applyAlignment="1">
      <alignment horizontal="center" vertical="center"/>
    </xf>
    <xf numFmtId="167" fontId="22" fillId="6" borderId="48" xfId="0" applyNumberFormat="1" applyFont="1" applyFill="1" applyBorder="1" applyAlignment="1">
      <alignment horizontal="center" vertical="center"/>
    </xf>
    <xf numFmtId="167" fontId="22" fillId="5" borderId="53" xfId="0" applyNumberFormat="1" applyFont="1" applyFill="1" applyBorder="1" applyAlignment="1">
      <alignment horizontal="center" vertical="center"/>
    </xf>
    <xf numFmtId="167" fontId="22" fillId="7" borderId="66" xfId="0" applyNumberFormat="1" applyFont="1" applyFill="1" applyBorder="1" applyAlignment="1">
      <alignment horizontal="center" vertical="center"/>
    </xf>
    <xf numFmtId="0" fontId="0" fillId="0" borderId="0" xfId="0"/>
    <xf numFmtId="1" fontId="21" fillId="8" borderId="29" xfId="0" applyNumberFormat="1" applyFont="1" applyFill="1" applyBorder="1" applyAlignment="1">
      <alignment horizontal="center" vertical="center"/>
    </xf>
    <xf numFmtId="0" fontId="0" fillId="0" borderId="0" xfId="0"/>
    <xf numFmtId="1" fontId="21" fillId="0" borderId="26" xfId="0" applyNumberFormat="1" applyFont="1" applyBorder="1" applyAlignment="1">
      <alignment horizontal="center" vertical="center"/>
    </xf>
    <xf numFmtId="0" fontId="0" fillId="0" borderId="0" xfId="0"/>
    <xf numFmtId="167" fontId="4" fillId="6" borderId="32" xfId="0" applyNumberFormat="1" applyFont="1" applyFill="1" applyBorder="1" applyAlignment="1">
      <alignment horizontal="center" vertical="center"/>
    </xf>
    <xf numFmtId="167" fontId="4" fillId="6" borderId="27" xfId="0" applyNumberFormat="1" applyFont="1" applyFill="1" applyBorder="1" applyAlignment="1">
      <alignment horizontal="center" vertical="center"/>
    </xf>
    <xf numFmtId="167" fontId="4" fillId="7" borderId="94" xfId="0" applyNumberFormat="1" applyFont="1" applyFill="1" applyBorder="1" applyAlignment="1">
      <alignment horizontal="center" vertical="center"/>
    </xf>
    <xf numFmtId="167" fontId="4" fillId="7" borderId="20" xfId="0" applyNumberFormat="1" applyFont="1" applyFill="1" applyBorder="1" applyAlignment="1">
      <alignment horizontal="center" vertical="center"/>
    </xf>
    <xf numFmtId="167" fontId="4" fillId="5" borderId="51" xfId="0" applyNumberFormat="1" applyFont="1" applyFill="1" applyBorder="1" applyAlignment="1">
      <alignment horizontal="center" vertical="center"/>
    </xf>
    <xf numFmtId="167" fontId="4" fillId="5" borderId="20" xfId="0" applyNumberFormat="1" applyFont="1" applyFill="1" applyBorder="1" applyAlignment="1">
      <alignment horizontal="center" vertical="center"/>
    </xf>
    <xf numFmtId="167" fontId="4" fillId="6" borderId="51" xfId="0" applyNumberFormat="1" applyFont="1" applyFill="1" applyBorder="1" applyAlignment="1">
      <alignment horizontal="center" vertical="center"/>
    </xf>
    <xf numFmtId="167" fontId="4" fillId="6" borderId="20" xfId="0" applyNumberFormat="1" applyFont="1" applyFill="1" applyBorder="1" applyAlignment="1">
      <alignment horizontal="center" vertical="center"/>
    </xf>
    <xf numFmtId="167" fontId="4" fillId="7" borderId="51" xfId="0" applyNumberFormat="1" applyFont="1" applyFill="1" applyBorder="1" applyAlignment="1">
      <alignment horizontal="center" vertical="center"/>
    </xf>
    <xf numFmtId="1" fontId="4" fillId="7" borderId="30" xfId="0" applyNumberFormat="1" applyFont="1" applyFill="1" applyBorder="1" applyAlignment="1">
      <alignment horizontal="center" vertical="center"/>
    </xf>
    <xf numFmtId="169" fontId="7" fillId="7" borderId="37" xfId="0" applyNumberFormat="1" applyFont="1" applyFill="1" applyBorder="1" applyAlignment="1">
      <alignment horizontal="center" vertical="center"/>
    </xf>
    <xf numFmtId="0" fontId="0" fillId="0" borderId="0" xfId="0"/>
    <xf numFmtId="0" fontId="57" fillId="0" borderId="0" xfId="0" quotePrefix="1" applyFont="1"/>
    <xf numFmtId="0" fontId="11" fillId="0" borderId="0" xfId="0" quotePrefix="1" applyFont="1"/>
    <xf numFmtId="0" fontId="0" fillId="0" borderId="0" xfId="0"/>
    <xf numFmtId="0" fontId="0" fillId="0" borderId="0" xfId="0"/>
    <xf numFmtId="0" fontId="122" fillId="8" borderId="10" xfId="0" applyFont="1" applyFill="1" applyBorder="1" applyAlignment="1">
      <alignment horizontal="left" vertical="center" wrapText="1"/>
    </xf>
    <xf numFmtId="2" fontId="21" fillId="8" borderId="136" xfId="0" applyNumberFormat="1" applyFont="1" applyFill="1" applyBorder="1" applyAlignment="1">
      <alignment horizontal="center" vertical="center"/>
    </xf>
    <xf numFmtId="2" fontId="20" fillId="7" borderId="136" xfId="0" applyNumberFormat="1" applyFont="1" applyFill="1" applyBorder="1" applyAlignment="1">
      <alignment horizontal="center" vertical="center"/>
    </xf>
    <xf numFmtId="2" fontId="20" fillId="5" borderId="136" xfId="0" applyNumberFormat="1" applyFont="1" applyFill="1" applyBorder="1" applyAlignment="1">
      <alignment horizontal="center" vertical="center"/>
    </xf>
    <xf numFmtId="2" fontId="20" fillId="6" borderId="136" xfId="0" applyNumberFormat="1" applyFont="1" applyFill="1" applyBorder="1" applyAlignment="1">
      <alignment horizontal="center" vertical="center"/>
    </xf>
    <xf numFmtId="169" fontId="21" fillId="8" borderId="136" xfId="0" applyNumberFormat="1" applyFont="1" applyFill="1" applyBorder="1" applyAlignment="1">
      <alignment horizontal="center" vertical="center"/>
    </xf>
    <xf numFmtId="169" fontId="20" fillId="5" borderId="136" xfId="0" applyNumberFormat="1" applyFont="1" applyFill="1" applyBorder="1" applyAlignment="1">
      <alignment horizontal="center" vertical="center"/>
    </xf>
    <xf numFmtId="169" fontId="20" fillId="7" borderId="136" xfId="0" applyNumberFormat="1" applyFont="1" applyFill="1" applyBorder="1" applyAlignment="1">
      <alignment horizontal="center" vertical="center"/>
    </xf>
    <xf numFmtId="169" fontId="20" fillId="6" borderId="136" xfId="0" applyNumberFormat="1" applyFont="1" applyFill="1" applyBorder="1" applyAlignment="1">
      <alignment horizontal="center" vertical="center"/>
    </xf>
    <xf numFmtId="1" fontId="20" fillId="8" borderId="136" xfId="0" applyNumberFormat="1" applyFont="1" applyFill="1" applyBorder="1" applyAlignment="1">
      <alignment horizontal="center" vertical="center"/>
    </xf>
    <xf numFmtId="9" fontId="20" fillId="8" borderId="136" xfId="22" applyFont="1" applyFill="1" applyBorder="1" applyAlignment="1">
      <alignment horizontal="center" vertical="center"/>
    </xf>
    <xf numFmtId="9" fontId="20" fillId="7" borderId="136" xfId="22" applyFont="1" applyFill="1" applyBorder="1" applyAlignment="1">
      <alignment horizontal="center" vertical="center"/>
    </xf>
    <xf numFmtId="9" fontId="20" fillId="5" borderId="136" xfId="22" applyFont="1" applyFill="1" applyBorder="1" applyAlignment="1">
      <alignment horizontal="center" vertical="center"/>
    </xf>
    <xf numFmtId="9" fontId="20" fillId="6" borderId="136" xfId="22" applyFont="1" applyFill="1" applyBorder="1" applyAlignment="1">
      <alignment horizontal="center" vertical="center"/>
    </xf>
    <xf numFmtId="1" fontId="21" fillId="0" borderId="136" xfId="0" applyNumberFormat="1" applyFont="1" applyBorder="1" applyAlignment="1">
      <alignment horizontal="center"/>
    </xf>
    <xf numFmtId="1" fontId="20" fillId="0" borderId="136" xfId="0" applyNumberFormat="1" applyFont="1" applyBorder="1" applyAlignment="1">
      <alignment horizontal="center"/>
    </xf>
    <xf numFmtId="1" fontId="20" fillId="7" borderId="136" xfId="0" applyNumberFormat="1" applyFont="1" applyFill="1" applyBorder="1" applyAlignment="1">
      <alignment horizontal="center"/>
    </xf>
    <xf numFmtId="1" fontId="20" fillId="5" borderId="136" xfId="0" applyNumberFormat="1" applyFont="1" applyFill="1" applyBorder="1" applyAlignment="1">
      <alignment horizontal="center"/>
    </xf>
    <xf numFmtId="1" fontId="20" fillId="6" borderId="136" xfId="0" applyNumberFormat="1" applyFont="1" applyFill="1" applyBorder="1" applyAlignment="1">
      <alignment horizontal="center"/>
    </xf>
    <xf numFmtId="0" fontId="46" fillId="8" borderId="136" xfId="0" applyFont="1" applyFill="1" applyBorder="1"/>
    <xf numFmtId="1" fontId="121" fillId="8" borderId="136" xfId="0" applyNumberFormat="1" applyFont="1" applyFill="1" applyBorder="1" applyAlignment="1">
      <alignment horizontal="center" vertical="center"/>
    </xf>
    <xf numFmtId="0" fontId="121" fillId="5" borderId="136" xfId="0" applyFont="1" applyFill="1" applyBorder="1" applyAlignment="1">
      <alignment horizontal="center"/>
    </xf>
    <xf numFmtId="0" fontId="121" fillId="7" borderId="136" xfId="0" applyFont="1" applyFill="1" applyBorder="1"/>
    <xf numFmtId="0" fontId="46" fillId="0" borderId="136" xfId="0" applyFont="1" applyBorder="1" applyAlignment="1">
      <alignment horizontal="right" vertical="center"/>
    </xf>
    <xf numFmtId="0" fontId="46" fillId="0" borderId="136" xfId="0" applyFont="1" applyBorder="1" applyAlignment="1">
      <alignment horizontal="center" vertical="center"/>
    </xf>
    <xf numFmtId="0" fontId="121" fillId="7" borderId="136" xfId="0" applyFont="1" applyFill="1" applyBorder="1" applyAlignment="1">
      <alignment horizontal="center" vertical="center"/>
    </xf>
    <xf numFmtId="0" fontId="121" fillId="5" borderId="136" xfId="0" applyFont="1" applyFill="1" applyBorder="1" applyAlignment="1">
      <alignment horizontal="right" vertical="center"/>
    </xf>
    <xf numFmtId="0" fontId="121" fillId="6" borderId="136" xfId="0" applyFont="1" applyFill="1" applyBorder="1"/>
    <xf numFmtId="1" fontId="46" fillId="0" borderId="136" xfId="0" applyNumberFormat="1" applyFont="1" applyBorder="1" applyAlignment="1">
      <alignment horizontal="right" vertical="center"/>
    </xf>
    <xf numFmtId="1" fontId="46" fillId="0" borderId="136" xfId="0" applyNumberFormat="1" applyFont="1" applyBorder="1" applyAlignment="1">
      <alignment horizontal="center" vertical="center"/>
    </xf>
    <xf numFmtId="0" fontId="121" fillId="0" borderId="136" xfId="0" applyFont="1" applyBorder="1" applyAlignment="1">
      <alignment horizontal="right" vertical="center"/>
    </xf>
    <xf numFmtId="0" fontId="121" fillId="0" borderId="136" xfId="0" applyFont="1" applyBorder="1" applyAlignment="1">
      <alignment horizontal="center" vertical="center"/>
    </xf>
    <xf numFmtId="1" fontId="121" fillId="32" borderId="136" xfId="0" applyNumberFormat="1" applyFont="1" applyFill="1" applyBorder="1" applyAlignment="1">
      <alignment horizontal="right" vertical="center"/>
    </xf>
    <xf numFmtId="0" fontId="20" fillId="0" borderId="136" xfId="0" applyFont="1" applyBorder="1" applyAlignment="1">
      <alignment horizontal="center" vertical="center"/>
    </xf>
    <xf numFmtId="0" fontId="20" fillId="7" borderId="136" xfId="0" applyFont="1" applyFill="1" applyBorder="1" applyAlignment="1">
      <alignment horizontal="center" vertical="center"/>
    </xf>
    <xf numFmtId="0" fontId="20" fillId="5" borderId="136" xfId="0" applyFont="1" applyFill="1" applyBorder="1" applyAlignment="1">
      <alignment horizontal="center" vertical="center"/>
    </xf>
    <xf numFmtId="0" fontId="20" fillId="50" borderId="136" xfId="0" applyFont="1" applyFill="1" applyBorder="1" applyAlignment="1">
      <alignment horizontal="center" vertical="center"/>
    </xf>
    <xf numFmtId="0" fontId="20" fillId="6" borderId="136" xfId="0" applyFont="1" applyFill="1" applyBorder="1" applyAlignment="1">
      <alignment horizontal="center" vertical="center"/>
    </xf>
    <xf numFmtId="9" fontId="20" fillId="8" borderId="136" xfId="22" applyNumberFormat="1" applyFont="1" applyFill="1" applyBorder="1" applyAlignment="1">
      <alignment horizontal="center" vertical="center"/>
    </xf>
    <xf numFmtId="9" fontId="20" fillId="4" borderId="136" xfId="22" applyFont="1" applyFill="1" applyBorder="1" applyAlignment="1">
      <alignment horizontal="center" vertical="center"/>
    </xf>
    <xf numFmtId="9" fontId="20" fillId="4" borderId="136" xfId="0" applyNumberFormat="1" applyFont="1" applyFill="1" applyBorder="1" applyAlignment="1">
      <alignment horizontal="center" vertical="center"/>
    </xf>
    <xf numFmtId="177" fontId="121" fillId="32" borderId="136" xfId="412" applyNumberFormat="1" applyFont="1" applyFill="1" applyBorder="1" applyAlignment="1">
      <alignment horizontal="center" vertical="center"/>
    </xf>
    <xf numFmtId="0" fontId="122" fillId="48" borderId="10" xfId="0" applyFont="1" applyFill="1" applyBorder="1" applyAlignment="1">
      <alignment horizontal="left" vertical="center"/>
    </xf>
    <xf numFmtId="0" fontId="122" fillId="48" borderId="10" xfId="0" applyFont="1" applyFill="1" applyBorder="1" applyAlignment="1">
      <alignment horizontal="right" vertical="center"/>
    </xf>
    <xf numFmtId="0" fontId="122" fillId="48" borderId="135" xfId="0" applyFont="1" applyFill="1" applyBorder="1" applyAlignment="1">
      <alignment horizontal="right" vertical="center"/>
    </xf>
    <xf numFmtId="0" fontId="122" fillId="58" borderId="10" xfId="0" applyFont="1" applyFill="1" applyBorder="1" applyAlignment="1">
      <alignment horizontal="left" vertical="center"/>
    </xf>
    <xf numFmtId="0" fontId="122" fillId="58" borderId="10" xfId="0" applyFont="1" applyFill="1" applyBorder="1" applyAlignment="1">
      <alignment horizontal="right" vertical="center"/>
    </xf>
    <xf numFmtId="0" fontId="0" fillId="0" borderId="0" xfId="0"/>
    <xf numFmtId="167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/>
    </xf>
    <xf numFmtId="0" fontId="0" fillId="0" borderId="0" xfId="0"/>
    <xf numFmtId="17" fontId="15" fillId="7" borderId="44" xfId="0" applyNumberFormat="1" applyFont="1" applyFill="1" applyBorder="1" applyAlignment="1">
      <alignment vertical="center"/>
    </xf>
    <xf numFmtId="17" fontId="15" fillId="7" borderId="61" xfId="0" applyNumberFormat="1" applyFont="1" applyFill="1" applyBorder="1" applyAlignment="1">
      <alignment vertical="center"/>
    </xf>
    <xf numFmtId="0" fontId="103" fillId="0" borderId="40" xfId="0" applyFont="1" applyBorder="1" applyAlignment="1">
      <alignment vertical="center"/>
    </xf>
    <xf numFmtId="1" fontId="15" fillId="0" borderId="139" xfId="0" applyNumberFormat="1" applyFont="1" applyBorder="1" applyAlignment="1">
      <alignment horizontal="center" vertical="center"/>
    </xf>
    <xf numFmtId="167" fontId="15" fillId="0" borderId="139" xfId="0" applyNumberFormat="1" applyFont="1" applyBorder="1" applyAlignment="1">
      <alignment horizontal="center" vertical="center"/>
    </xf>
    <xf numFmtId="0" fontId="15" fillId="0" borderId="136" xfId="0" applyFont="1" applyBorder="1" applyAlignment="1">
      <alignment horizontal="right" vertical="center"/>
    </xf>
    <xf numFmtId="1" fontId="15" fillId="0" borderId="136" xfId="0" applyNumberFormat="1" applyFont="1" applyBorder="1" applyAlignment="1">
      <alignment horizontal="center" vertical="center"/>
    </xf>
    <xf numFmtId="0" fontId="15" fillId="8" borderId="136" xfId="0" applyFont="1" applyFill="1" applyBorder="1" applyAlignment="1">
      <alignment horizontal="right" vertical="center"/>
    </xf>
    <xf numFmtId="1" fontId="15" fillId="8" borderId="136" xfId="0" applyNumberFormat="1" applyFont="1" applyFill="1" applyBorder="1" applyAlignment="1">
      <alignment horizontal="center" vertical="center"/>
    </xf>
    <xf numFmtId="0" fontId="15" fillId="8" borderId="136" xfId="0" applyFont="1" applyFill="1" applyBorder="1" applyAlignment="1">
      <alignment horizontal="left" vertical="center"/>
    </xf>
    <xf numFmtId="167" fontId="15" fillId="0" borderId="136" xfId="0" applyNumberFormat="1" applyFont="1" applyBorder="1" applyAlignment="1">
      <alignment horizontal="center" vertical="center"/>
    </xf>
    <xf numFmtId="167" fontId="15" fillId="7" borderId="136" xfId="0" applyNumberFormat="1" applyFont="1" applyFill="1" applyBorder="1" applyAlignment="1">
      <alignment horizontal="center" vertical="center"/>
    </xf>
    <xf numFmtId="1" fontId="15" fillId="7" borderId="136" xfId="0" applyNumberFormat="1" applyFont="1" applyFill="1" applyBorder="1" applyAlignment="1">
      <alignment horizontal="center" vertical="center"/>
    </xf>
    <xf numFmtId="1" fontId="15" fillId="5" borderId="136" xfId="0" applyNumberFormat="1" applyFont="1" applyFill="1" applyBorder="1" applyAlignment="1">
      <alignment horizontal="center" vertical="center"/>
    </xf>
    <xf numFmtId="167" fontId="15" fillId="8" borderId="136" xfId="0" applyNumberFormat="1" applyFont="1" applyFill="1" applyBorder="1" applyAlignment="1">
      <alignment horizontal="center" vertical="center"/>
    </xf>
    <xf numFmtId="167" fontId="28" fillId="6" borderId="136" xfId="0" applyNumberFormat="1" applyFont="1" applyFill="1" applyBorder="1" applyAlignment="1">
      <alignment horizontal="center" vertical="center"/>
    </xf>
    <xf numFmtId="1" fontId="28" fillId="6" borderId="136" xfId="0" applyNumberFormat="1" applyFont="1" applyFill="1" applyBorder="1" applyAlignment="1">
      <alignment horizontal="center" vertical="center"/>
    </xf>
    <xf numFmtId="0" fontId="28" fillId="8" borderId="136" xfId="0" applyFont="1" applyFill="1" applyBorder="1" applyAlignment="1">
      <alignment horizontal="left" vertical="center"/>
    </xf>
    <xf numFmtId="1" fontId="28" fillId="5" borderId="136" xfId="0" applyNumberFormat="1" applyFont="1" applyFill="1" applyBorder="1" applyAlignment="1">
      <alignment horizontal="center" vertical="center"/>
    </xf>
    <xf numFmtId="167" fontId="28" fillId="8" borderId="136" xfId="0" applyNumberFormat="1" applyFont="1" applyFill="1" applyBorder="1" applyAlignment="1">
      <alignment horizontal="center" vertical="center"/>
    </xf>
    <xf numFmtId="1" fontId="28" fillId="8" borderId="136" xfId="0" applyNumberFormat="1" applyFont="1" applyFill="1" applyBorder="1" applyAlignment="1">
      <alignment horizontal="center" vertical="center"/>
    </xf>
    <xf numFmtId="0" fontId="0" fillId="0" borderId="0" xfId="0"/>
    <xf numFmtId="167" fontId="20" fillId="8" borderId="31" xfId="0" applyNumberFormat="1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67" fontId="20" fillId="5" borderId="31" xfId="0" applyNumberFormat="1" applyFont="1" applyFill="1" applyBorder="1" applyAlignment="1">
      <alignment horizontal="center" vertical="center"/>
    </xf>
    <xf numFmtId="167" fontId="20" fillId="6" borderId="31" xfId="0" applyNumberFormat="1" applyFont="1" applyFill="1" applyBorder="1" applyAlignment="1">
      <alignment horizontal="center" vertical="center"/>
    </xf>
    <xf numFmtId="167" fontId="20" fillId="7" borderId="31" xfId="0" applyNumberFormat="1" applyFont="1" applyFill="1" applyBorder="1" applyAlignment="1">
      <alignment horizontal="center" vertical="center"/>
    </xf>
    <xf numFmtId="2" fontId="19" fillId="8" borderId="10" xfId="0" applyNumberFormat="1" applyFont="1" applyFill="1" applyBorder="1" applyAlignment="1">
      <alignment horizontal="center" vertical="center"/>
    </xf>
    <xf numFmtId="179" fontId="0" fillId="0" borderId="0" xfId="0" applyNumberFormat="1"/>
    <xf numFmtId="0" fontId="12" fillId="0" borderId="136" xfId="0" applyFont="1" applyBorder="1" applyAlignment="1">
      <alignment horizontal="right" vertical="center"/>
    </xf>
    <xf numFmtId="1" fontId="12" fillId="0" borderId="136" xfId="0" applyNumberFormat="1" applyFont="1" applyBorder="1" applyAlignment="1">
      <alignment horizontal="center" vertical="center"/>
    </xf>
    <xf numFmtId="1" fontId="12" fillId="7" borderId="136" xfId="0" applyNumberFormat="1" applyFont="1" applyFill="1" applyBorder="1" applyAlignment="1">
      <alignment horizontal="center" vertical="center"/>
    </xf>
    <xf numFmtId="1" fontId="12" fillId="5" borderId="136" xfId="0" applyNumberFormat="1" applyFont="1" applyFill="1" applyBorder="1" applyAlignment="1">
      <alignment horizontal="center" vertical="center"/>
    </xf>
    <xf numFmtId="1" fontId="12" fillId="8" borderId="136" xfId="0" applyNumberFormat="1" applyFont="1" applyFill="1" applyBorder="1" applyAlignment="1">
      <alignment horizontal="center" vertical="center"/>
    </xf>
    <xf numFmtId="1" fontId="12" fillId="0" borderId="136" xfId="0" applyNumberFormat="1" applyFont="1" applyFill="1" applyBorder="1" applyAlignment="1">
      <alignment horizontal="center" vertical="center"/>
    </xf>
    <xf numFmtId="1" fontId="12" fillId="6" borderId="136" xfId="0" applyNumberFormat="1" applyFont="1" applyFill="1" applyBorder="1" applyAlignment="1">
      <alignment horizontal="center" vertical="center"/>
    </xf>
    <xf numFmtId="10" fontId="47" fillId="8" borderId="10" xfId="22" applyNumberFormat="1" applyFont="1" applyFill="1" applyBorder="1" applyAlignment="1">
      <alignment vertical="center"/>
    </xf>
    <xf numFmtId="10" fontId="7" fillId="8" borderId="10" xfId="22" applyNumberFormat="1" applyFont="1" applyFill="1" applyBorder="1"/>
    <xf numFmtId="1" fontId="15" fillId="4" borderId="136" xfId="0" applyNumberFormat="1" applyFont="1" applyFill="1" applyBorder="1" applyAlignment="1">
      <alignment horizontal="center" vertical="center"/>
    </xf>
    <xf numFmtId="1" fontId="15" fillId="5" borderId="139" xfId="0" applyNumberFormat="1" applyFont="1" applyFill="1" applyBorder="1" applyAlignment="1">
      <alignment horizontal="center" vertical="center"/>
    </xf>
    <xf numFmtId="1" fontId="15" fillId="7" borderId="139" xfId="0" applyNumberFormat="1" applyFont="1" applyFill="1" applyBorder="1" applyAlignment="1">
      <alignment horizontal="center" vertical="center"/>
    </xf>
    <xf numFmtId="0" fontId="15" fillId="44" borderId="59" xfId="0" applyFont="1" applyFill="1" applyBorder="1" applyAlignment="1">
      <alignment horizontal="center" vertical="center"/>
    </xf>
    <xf numFmtId="0" fontId="15" fillId="44" borderId="33" xfId="0" applyFont="1" applyFill="1" applyBorder="1" applyAlignment="1">
      <alignment horizontal="center" vertical="center"/>
    </xf>
    <xf numFmtId="1" fontId="15" fillId="44" borderId="139" xfId="0" applyNumberFormat="1" applyFont="1" applyFill="1" applyBorder="1" applyAlignment="1">
      <alignment horizontal="center" vertical="center"/>
    </xf>
    <xf numFmtId="1" fontId="28" fillId="44" borderId="136" xfId="0" applyNumberFormat="1" applyFont="1" applyFill="1" applyBorder="1" applyAlignment="1">
      <alignment horizontal="center" vertical="center"/>
    </xf>
    <xf numFmtId="1" fontId="15" fillId="44" borderId="136" xfId="0" applyNumberFormat="1" applyFont="1" applyFill="1" applyBorder="1" applyAlignment="1">
      <alignment horizontal="center" vertical="center"/>
    </xf>
    <xf numFmtId="167" fontId="28" fillId="44" borderId="136" xfId="0" applyNumberFormat="1" applyFont="1" applyFill="1" applyBorder="1" applyAlignment="1">
      <alignment horizontal="center" vertical="center"/>
    </xf>
    <xf numFmtId="1" fontId="24" fillId="7" borderId="17" xfId="0" applyNumberFormat="1" applyFont="1" applyFill="1" applyBorder="1" applyAlignment="1">
      <alignment horizontal="center" vertical="center"/>
    </xf>
    <xf numFmtId="0" fontId="103" fillId="0" borderId="31" xfId="0" applyFont="1" applyBorder="1" applyAlignment="1">
      <alignment vertical="center"/>
    </xf>
    <xf numFmtId="0" fontId="143" fillId="0" borderId="31" xfId="0" applyFont="1" applyBorder="1" applyAlignment="1">
      <alignment vertical="center"/>
    </xf>
    <xf numFmtId="0" fontId="144" fillId="0" borderId="31" xfId="0" applyFont="1" applyBorder="1" applyAlignment="1">
      <alignment vertical="center"/>
    </xf>
    <xf numFmtId="0" fontId="15" fillId="0" borderId="31" xfId="0" applyFont="1" applyBorder="1" applyAlignment="1">
      <alignment vertical="center"/>
    </xf>
    <xf numFmtId="0" fontId="28" fillId="0" borderId="31" xfId="0" applyFont="1" applyBorder="1" applyAlignment="1">
      <alignment vertical="center"/>
    </xf>
    <xf numFmtId="1" fontId="0" fillId="0" borderId="136" xfId="0" applyNumberFormat="1" applyBorder="1" applyAlignment="1">
      <alignment horizontal="center" vertical="center"/>
    </xf>
    <xf numFmtId="0" fontId="0" fillId="0" borderId="136" xfId="0" applyBorder="1" applyAlignment="1">
      <alignment horizontal="center" vertical="center"/>
    </xf>
    <xf numFmtId="0" fontId="0" fillId="4" borderId="136" xfId="0" applyFill="1" applyBorder="1"/>
    <xf numFmtId="0" fontId="186" fillId="0" borderId="0" xfId="0" applyFont="1" applyAlignment="1">
      <alignment horizontal="left" vertical="center"/>
    </xf>
    <xf numFmtId="1" fontId="15" fillId="5" borderId="29" xfId="0" applyNumberFormat="1" applyFont="1" applyFill="1" applyBorder="1" applyAlignment="1">
      <alignment horizontal="center" vertical="center"/>
    </xf>
    <xf numFmtId="1" fontId="15" fillId="5" borderId="36" xfId="0" applyNumberFormat="1" applyFont="1" applyFill="1" applyBorder="1" applyAlignment="1">
      <alignment horizontal="center" vertical="center"/>
    </xf>
    <xf numFmtId="1" fontId="15" fillId="5" borderId="59" xfId="0" applyNumberFormat="1" applyFont="1" applyFill="1" applyBorder="1" applyAlignment="1">
      <alignment horizontal="center" vertical="center"/>
    </xf>
    <xf numFmtId="0" fontId="15" fillId="5" borderId="137" xfId="0" applyFont="1" applyFill="1" applyBorder="1" applyAlignment="1">
      <alignment horizontal="center" vertical="center"/>
    </xf>
    <xf numFmtId="1" fontId="28" fillId="5" borderId="137" xfId="0" applyNumberFormat="1" applyFont="1" applyFill="1" applyBorder="1" applyAlignment="1">
      <alignment horizontal="center" vertical="center"/>
    </xf>
    <xf numFmtId="1" fontId="15" fillId="5" borderId="6" xfId="0" applyNumberFormat="1" applyFont="1" applyFill="1" applyBorder="1" applyAlignment="1">
      <alignment horizontal="center" vertical="center"/>
    </xf>
    <xf numFmtId="1" fontId="15" fillId="5" borderId="140" xfId="0" applyNumberFormat="1" applyFont="1" applyFill="1" applyBorder="1" applyAlignment="1">
      <alignment horizontal="center" vertical="center"/>
    </xf>
    <xf numFmtId="1" fontId="15" fillId="5" borderId="49" xfId="0" applyNumberFormat="1" applyFont="1" applyFill="1" applyBorder="1" applyAlignment="1">
      <alignment horizontal="center" vertical="center"/>
    </xf>
    <xf numFmtId="1" fontId="15" fillId="5" borderId="47" xfId="0" applyNumberFormat="1" applyFont="1" applyFill="1" applyBorder="1" applyAlignment="1">
      <alignment horizontal="center" vertical="center"/>
    </xf>
    <xf numFmtId="1" fontId="15" fillId="5" borderId="137" xfId="0" applyNumberFormat="1" applyFont="1" applyFill="1" applyBorder="1" applyAlignment="1">
      <alignment horizontal="center" vertical="center"/>
    </xf>
    <xf numFmtId="1" fontId="15" fillId="5" borderId="141" xfId="0" applyNumberFormat="1" applyFont="1" applyFill="1" applyBorder="1" applyAlignment="1">
      <alignment horizontal="center" vertical="center"/>
    </xf>
    <xf numFmtId="1" fontId="15" fillId="5" borderId="66" xfId="0" applyNumberFormat="1" applyFont="1" applyFill="1" applyBorder="1" applyAlignment="1">
      <alignment horizontal="center" vertical="center"/>
    </xf>
    <xf numFmtId="1" fontId="28" fillId="5" borderId="68" xfId="0" applyNumberFormat="1" applyFont="1" applyFill="1" applyBorder="1" applyAlignment="1">
      <alignment horizontal="center" vertical="center"/>
    </xf>
    <xf numFmtId="1" fontId="15" fillId="5" borderId="48" xfId="0" applyNumberFormat="1" applyFont="1" applyFill="1" applyBorder="1" applyAlignment="1">
      <alignment horizontal="center" vertical="center"/>
    </xf>
    <xf numFmtId="167" fontId="28" fillId="8" borderId="139" xfId="0" applyNumberFormat="1" applyFont="1" applyFill="1" applyBorder="1" applyAlignment="1">
      <alignment horizontal="center" vertical="center"/>
    </xf>
    <xf numFmtId="1" fontId="15" fillId="8" borderId="29" xfId="0" applyNumberFormat="1" applyFont="1" applyFill="1" applyBorder="1" applyAlignment="1">
      <alignment horizontal="center" vertical="center"/>
    </xf>
    <xf numFmtId="167" fontId="15" fillId="8" borderId="139" xfId="0" applyNumberFormat="1" applyFont="1" applyFill="1" applyBorder="1" applyAlignment="1">
      <alignment horizontal="center" vertical="center"/>
    </xf>
    <xf numFmtId="167" fontId="15" fillId="8" borderId="8" xfId="0" applyNumberFormat="1" applyFont="1" applyFill="1" applyBorder="1" applyAlignment="1">
      <alignment horizontal="center" vertical="center"/>
    </xf>
    <xf numFmtId="167" fontId="15" fillId="8" borderId="29" xfId="0" applyNumberFormat="1" applyFont="1" applyFill="1" applyBorder="1" applyAlignment="1">
      <alignment horizontal="center" vertical="center"/>
    </xf>
    <xf numFmtId="1" fontId="28" fillId="8" borderId="29" xfId="0" applyNumberFormat="1" applyFont="1" applyFill="1" applyBorder="1" applyAlignment="1">
      <alignment horizontal="center" vertical="center"/>
    </xf>
    <xf numFmtId="1" fontId="28" fillId="8" borderId="59" xfId="0" applyNumberFormat="1" applyFont="1" applyFill="1" applyBorder="1" applyAlignment="1">
      <alignment horizontal="center" vertical="center"/>
    </xf>
    <xf numFmtId="0" fontId="15" fillId="44" borderId="136" xfId="0" applyFont="1" applyFill="1" applyBorder="1" applyAlignment="1">
      <alignment horizontal="center" vertical="center"/>
    </xf>
    <xf numFmtId="167" fontId="15" fillId="44" borderId="136" xfId="0" applyNumberFormat="1" applyFont="1" applyFill="1" applyBorder="1" applyAlignment="1">
      <alignment horizontal="center" vertical="center"/>
    </xf>
    <xf numFmtId="0" fontId="15" fillId="8" borderId="31" xfId="0" applyFont="1" applyFill="1" applyBorder="1" applyAlignment="1">
      <alignment vertical="center"/>
    </xf>
    <xf numFmtId="167" fontId="24" fillId="8" borderId="136" xfId="0" applyNumberFormat="1" applyFont="1" applyFill="1" applyBorder="1" applyAlignment="1">
      <alignment horizontal="center" vertical="center"/>
    </xf>
    <xf numFmtId="1" fontId="24" fillId="8" borderId="136" xfId="0" applyNumberFormat="1" applyFont="1" applyFill="1" applyBorder="1" applyAlignment="1">
      <alignment horizontal="center" vertical="center"/>
    </xf>
    <xf numFmtId="1" fontId="24" fillId="8" borderId="136" xfId="0" applyNumberFormat="1" applyFont="1" applyFill="1" applyBorder="1" applyAlignment="1">
      <alignment horizontal="left" vertical="center"/>
    </xf>
    <xf numFmtId="1" fontId="15" fillId="0" borderId="6" xfId="0" applyNumberFormat="1" applyFont="1" applyBorder="1" applyAlignment="1">
      <alignment horizontal="center" vertical="center"/>
    </xf>
    <xf numFmtId="1" fontId="15" fillId="0" borderId="140" xfId="0" applyNumberFormat="1" applyFont="1" applyBorder="1" applyAlignment="1">
      <alignment horizontal="center" vertical="center"/>
    </xf>
    <xf numFmtId="1" fontId="15" fillId="0" borderId="49" xfId="0" applyNumberFormat="1" applyFont="1" applyBorder="1" applyAlignment="1">
      <alignment horizontal="center" vertical="center"/>
    </xf>
    <xf numFmtId="1" fontId="15" fillId="8" borderId="47" xfId="0" applyNumberFormat="1" applyFont="1" applyFill="1" applyBorder="1" applyAlignment="1">
      <alignment horizontal="center" vertical="center"/>
    </xf>
    <xf numFmtId="167" fontId="28" fillId="7" borderId="87" xfId="0" applyNumberFormat="1" applyFont="1" applyFill="1" applyBorder="1" applyAlignment="1">
      <alignment horizontal="center" vertical="center"/>
    </xf>
    <xf numFmtId="167" fontId="28" fillId="7" borderId="29" xfId="0" applyNumberFormat="1" applyFont="1" applyFill="1" applyBorder="1" applyAlignment="1">
      <alignment horizontal="center" vertical="center"/>
    </xf>
    <xf numFmtId="167" fontId="15" fillId="7" borderId="139" xfId="0" applyNumberFormat="1" applyFont="1" applyFill="1" applyBorder="1" applyAlignment="1">
      <alignment horizontal="center" vertical="center"/>
    </xf>
    <xf numFmtId="167" fontId="28" fillId="7" borderId="59" xfId="0" applyNumberFormat="1" applyFont="1" applyFill="1" applyBorder="1" applyAlignment="1">
      <alignment horizontal="center" vertical="center"/>
    </xf>
    <xf numFmtId="167" fontId="15" fillId="7" borderId="8" xfId="0" applyNumberFormat="1" applyFont="1" applyFill="1" applyBorder="1" applyAlignment="1">
      <alignment horizontal="center" vertical="center"/>
    </xf>
    <xf numFmtId="167" fontId="15" fillId="7" borderId="29" xfId="0" applyNumberFormat="1" applyFont="1" applyFill="1" applyBorder="1" applyAlignment="1">
      <alignment horizontal="center" vertical="center"/>
    </xf>
    <xf numFmtId="1" fontId="28" fillId="7" borderId="29" xfId="0" applyNumberFormat="1" applyFont="1" applyFill="1" applyBorder="1" applyAlignment="1">
      <alignment horizontal="center" vertical="center"/>
    </xf>
    <xf numFmtId="1" fontId="24" fillId="7" borderId="29" xfId="0" applyNumberFormat="1" applyFont="1" applyFill="1" applyBorder="1" applyAlignment="1">
      <alignment horizontal="center" vertical="center"/>
    </xf>
    <xf numFmtId="1" fontId="28" fillId="7" borderId="59" xfId="0" applyNumberFormat="1" applyFont="1" applyFill="1" applyBorder="1" applyAlignment="1">
      <alignment horizontal="center" vertical="center"/>
    </xf>
    <xf numFmtId="0" fontId="15" fillId="6" borderId="136" xfId="0" applyFont="1" applyFill="1" applyBorder="1" applyAlignment="1">
      <alignment horizontal="center" vertical="center"/>
    </xf>
    <xf numFmtId="0" fontId="186" fillId="0" borderId="0" xfId="0" applyFont="1"/>
    <xf numFmtId="1" fontId="0" fillId="0" borderId="39" xfId="0" applyNumberFormat="1" applyBorder="1" applyAlignment="1">
      <alignment horizontal="center" vertical="center"/>
    </xf>
    <xf numFmtId="1" fontId="56" fillId="0" borderId="39" xfId="0" applyNumberFormat="1" applyFont="1" applyBorder="1" applyAlignment="1">
      <alignment horizontal="center" vertical="center"/>
    </xf>
    <xf numFmtId="1" fontId="0" fillId="0" borderId="56" xfId="0" applyNumberFormat="1" applyBorder="1" applyAlignment="1">
      <alignment horizontal="center" vertical="center"/>
    </xf>
    <xf numFmtId="1" fontId="18" fillId="0" borderId="56" xfId="0" applyNumberFormat="1" applyFont="1" applyBorder="1" applyAlignment="1">
      <alignment horizontal="center" vertical="center"/>
    </xf>
    <xf numFmtId="0" fontId="20" fillId="8" borderId="31" xfId="0" applyFont="1" applyFill="1" applyBorder="1" applyAlignment="1">
      <alignment horizontal="left" vertical="center" indent="1"/>
    </xf>
    <xf numFmtId="0" fontId="121" fillId="8" borderId="31" xfId="0" applyFont="1" applyFill="1" applyBorder="1" applyAlignment="1">
      <alignment horizontal="right" indent="1"/>
    </xf>
    <xf numFmtId="0" fontId="121" fillId="8" borderId="31" xfId="0" applyFont="1" applyFill="1" applyBorder="1" applyAlignment="1">
      <alignment horizontal="right" wrapText="1" indent="1"/>
    </xf>
    <xf numFmtId="0" fontId="121" fillId="8" borderId="17" xfId="0" applyFont="1" applyFill="1" applyBorder="1" applyAlignment="1">
      <alignment horizontal="center"/>
    </xf>
    <xf numFmtId="0" fontId="121" fillId="8" borderId="32" xfId="0" applyFont="1" applyFill="1" applyBorder="1" applyAlignment="1">
      <alignment horizontal="right" indent="1"/>
    </xf>
    <xf numFmtId="0" fontId="20" fillId="8" borderId="33" xfId="0" applyFont="1" applyFill="1" applyBorder="1" applyAlignment="1">
      <alignment horizontal="center" vertical="center"/>
    </xf>
    <xf numFmtId="0" fontId="121" fillId="8" borderId="33" xfId="0" applyFont="1" applyFill="1" applyBorder="1" applyAlignment="1">
      <alignment horizontal="center"/>
    </xf>
    <xf numFmtId="0" fontId="19" fillId="6" borderId="32" xfId="0" applyFont="1" applyFill="1" applyBorder="1" applyAlignment="1">
      <alignment horizontal="center" vertical="center"/>
    </xf>
    <xf numFmtId="0" fontId="19" fillId="6" borderId="33" xfId="0" applyFont="1" applyFill="1" applyBorder="1" applyAlignment="1">
      <alignment horizontal="center" vertical="center"/>
    </xf>
    <xf numFmtId="0" fontId="110" fillId="6" borderId="34" xfId="0" applyFont="1" applyFill="1" applyBorder="1" applyAlignment="1">
      <alignment vertical="center"/>
    </xf>
    <xf numFmtId="0" fontId="110" fillId="6" borderId="53" xfId="0" applyFont="1" applyFill="1" applyBorder="1" applyAlignment="1">
      <alignment vertical="center"/>
    </xf>
    <xf numFmtId="167" fontId="20" fillId="6" borderId="17" xfId="0" applyNumberFormat="1" applyFont="1" applyFill="1" applyBorder="1" applyAlignment="1">
      <alignment horizontal="center" vertical="center"/>
    </xf>
    <xf numFmtId="0" fontId="110" fillId="6" borderId="31" xfId="0" applyFont="1" applyFill="1" applyBorder="1" applyAlignment="1">
      <alignment vertical="center"/>
    </xf>
    <xf numFmtId="0" fontId="110" fillId="6" borderId="17" xfId="0" applyFont="1" applyFill="1" applyBorder="1" applyAlignment="1">
      <alignment vertical="center"/>
    </xf>
    <xf numFmtId="0" fontId="19" fillId="5" borderId="32" xfId="0" applyFont="1" applyFill="1" applyBorder="1" applyAlignment="1">
      <alignment horizontal="center" vertical="center"/>
    </xf>
    <xf numFmtId="0" fontId="19" fillId="5" borderId="33" xfId="0" applyFont="1" applyFill="1" applyBorder="1" applyAlignment="1">
      <alignment horizontal="center" vertical="center"/>
    </xf>
    <xf numFmtId="0" fontId="110" fillId="5" borderId="34" xfId="0" applyFont="1" applyFill="1" applyBorder="1" applyAlignment="1">
      <alignment vertical="center"/>
    </xf>
    <xf numFmtId="0" fontId="110" fillId="5" borderId="53" xfId="0" applyFont="1" applyFill="1" applyBorder="1" applyAlignment="1">
      <alignment vertical="center"/>
    </xf>
    <xf numFmtId="167" fontId="20" fillId="5" borderId="17" xfId="0" applyNumberFormat="1" applyFont="1" applyFill="1" applyBorder="1" applyAlignment="1">
      <alignment horizontal="center" vertical="center"/>
    </xf>
    <xf numFmtId="0" fontId="110" fillId="5" borderId="31" xfId="0" applyFont="1" applyFill="1" applyBorder="1" applyAlignment="1">
      <alignment vertical="center"/>
    </xf>
    <xf numFmtId="0" fontId="110" fillId="5" borderId="17" xfId="0" applyFont="1" applyFill="1" applyBorder="1" applyAlignment="1">
      <alignment vertical="center"/>
    </xf>
    <xf numFmtId="0" fontId="19" fillId="7" borderId="59" xfId="0" applyFont="1" applyFill="1" applyBorder="1" applyAlignment="1">
      <alignment horizontal="center" vertical="center"/>
    </xf>
    <xf numFmtId="0" fontId="110" fillId="7" borderId="8" xfId="0" applyFont="1" applyFill="1" applyBorder="1" applyAlignment="1">
      <alignment vertical="center"/>
    </xf>
    <xf numFmtId="0" fontId="110" fillId="7" borderId="53" xfId="0" applyFont="1" applyFill="1" applyBorder="1" applyAlignment="1">
      <alignment vertical="center"/>
    </xf>
    <xf numFmtId="167" fontId="20" fillId="7" borderId="17" xfId="0" applyNumberFormat="1" applyFont="1" applyFill="1" applyBorder="1" applyAlignment="1">
      <alignment horizontal="center" vertical="center"/>
    </xf>
    <xf numFmtId="0" fontId="110" fillId="7" borderId="31" xfId="0" applyFont="1" applyFill="1" applyBorder="1" applyAlignment="1">
      <alignment vertical="center"/>
    </xf>
    <xf numFmtId="0" fontId="110" fillId="7" borderId="17" xfId="0" applyFont="1" applyFill="1" applyBorder="1" applyAlignment="1">
      <alignment vertical="center"/>
    </xf>
    <xf numFmtId="0" fontId="110" fillId="7" borderId="34" xfId="0" applyFont="1" applyFill="1" applyBorder="1" applyAlignment="1">
      <alignment vertical="center"/>
    </xf>
    <xf numFmtId="0" fontId="19" fillId="7" borderId="68" xfId="0" applyFont="1" applyFill="1" applyBorder="1" applyAlignment="1">
      <alignment horizontal="center" vertical="center"/>
    </xf>
    <xf numFmtId="0" fontId="110" fillId="7" borderId="48" xfId="0" applyFont="1" applyFill="1" applyBorder="1" applyAlignment="1">
      <alignment vertical="center"/>
    </xf>
    <xf numFmtId="0" fontId="0" fillId="0" borderId="0" xfId="0"/>
    <xf numFmtId="170" fontId="12" fillId="0" borderId="0" xfId="0" applyNumberFormat="1" applyFont="1" applyBorder="1"/>
    <xf numFmtId="10" fontId="12" fillId="0" borderId="0" xfId="22" applyNumberFormat="1" applyFont="1" applyBorder="1"/>
    <xf numFmtId="0" fontId="187" fillId="0" borderId="0" xfId="0" applyFont="1" applyAlignment="1">
      <alignment wrapText="1"/>
    </xf>
    <xf numFmtId="0" fontId="187" fillId="0" borderId="0" xfId="0" applyFont="1" applyAlignment="1">
      <alignment horizontal="center" vertical="center" wrapText="1"/>
    </xf>
    <xf numFmtId="1" fontId="187" fillId="0" borderId="0" xfId="0" applyNumberFormat="1" applyFont="1" applyAlignment="1">
      <alignment wrapText="1"/>
    </xf>
    <xf numFmtId="0" fontId="187" fillId="0" borderId="136" xfId="0" applyFont="1" applyBorder="1" applyAlignment="1">
      <alignment horizontal="center" vertical="center" wrapText="1"/>
    </xf>
    <xf numFmtId="0" fontId="187" fillId="0" borderId="136" xfId="0" applyFont="1" applyBorder="1" applyAlignment="1">
      <alignment wrapText="1"/>
    </xf>
    <xf numFmtId="0" fontId="189" fillId="0" borderId="136" xfId="0" applyFont="1" applyBorder="1" applyAlignment="1">
      <alignment horizontal="center" vertical="center" wrapText="1"/>
    </xf>
    <xf numFmtId="0" fontId="189" fillId="0" borderId="136" xfId="0" applyFont="1" applyBorder="1" applyAlignment="1">
      <alignment vertical="center" wrapText="1"/>
    </xf>
    <xf numFmtId="17" fontId="187" fillId="0" borderId="136" xfId="0" applyNumberFormat="1" applyFont="1" applyBorder="1" applyAlignment="1">
      <alignment wrapText="1"/>
    </xf>
    <xf numFmtId="1" fontId="187" fillId="0" borderId="136" xfId="0" applyNumberFormat="1" applyFont="1" applyBorder="1" applyAlignment="1">
      <alignment horizontal="center" vertical="center" wrapText="1"/>
    </xf>
    <xf numFmtId="0" fontId="190" fillId="0" borderId="136" xfId="0" applyFont="1" applyBorder="1" applyAlignment="1">
      <alignment horizontal="center" vertical="center" wrapText="1"/>
    </xf>
    <xf numFmtId="0" fontId="190" fillId="8" borderId="136" xfId="0" applyFont="1" applyFill="1" applyBorder="1" applyAlignment="1">
      <alignment horizontal="center" vertical="center" wrapText="1"/>
    </xf>
    <xf numFmtId="0" fontId="189" fillId="0" borderId="136" xfId="0" applyFont="1" applyBorder="1" applyAlignment="1">
      <alignment wrapText="1"/>
    </xf>
    <xf numFmtId="0" fontId="191" fillId="0" borderId="136" xfId="0" applyFont="1" applyBorder="1" applyAlignment="1">
      <alignment horizontal="center" vertical="center" wrapText="1"/>
    </xf>
    <xf numFmtId="0" fontId="192" fillId="8" borderId="136" xfId="0" applyFont="1" applyFill="1" applyBorder="1" applyAlignment="1">
      <alignment horizontal="center" vertical="center" wrapText="1"/>
    </xf>
    <xf numFmtId="0" fontId="193" fillId="0" borderId="136" xfId="0" applyFont="1" applyBorder="1" applyAlignment="1">
      <alignment horizontal="center" vertical="center" wrapText="1"/>
    </xf>
    <xf numFmtId="0" fontId="194" fillId="8" borderId="136" xfId="0" applyFont="1" applyFill="1" applyBorder="1" applyAlignment="1">
      <alignment horizontal="center" vertical="center" wrapText="1"/>
    </xf>
    <xf numFmtId="0" fontId="194" fillId="0" borderId="136" xfId="0" applyFont="1" applyBorder="1" applyAlignment="1">
      <alignment horizontal="center" vertical="center" wrapText="1"/>
    </xf>
    <xf numFmtId="0" fontId="195" fillId="0" borderId="136" xfId="0" applyFont="1" applyBorder="1" applyAlignment="1">
      <alignment horizontal="center" vertical="center" wrapText="1"/>
    </xf>
    <xf numFmtId="0" fontId="193" fillId="8" borderId="136" xfId="0" applyFont="1" applyFill="1" applyBorder="1" applyAlignment="1">
      <alignment horizontal="center" vertical="center" wrapText="1"/>
    </xf>
    <xf numFmtId="0" fontId="191" fillId="8" borderId="136" xfId="0" applyFont="1" applyFill="1" applyBorder="1" applyAlignment="1">
      <alignment horizontal="center" vertical="center" wrapText="1"/>
    </xf>
    <xf numFmtId="0" fontId="187" fillId="8" borderId="136" xfId="0" applyFont="1" applyFill="1" applyBorder="1" applyAlignment="1">
      <alignment horizontal="center" vertical="center" wrapText="1"/>
    </xf>
    <xf numFmtId="0" fontId="189" fillId="8" borderId="136" xfId="0" applyFont="1" applyFill="1" applyBorder="1" applyAlignment="1">
      <alignment horizontal="center" vertical="center" wrapText="1"/>
    </xf>
    <xf numFmtId="1" fontId="193" fillId="0" borderId="136" xfId="0" applyNumberFormat="1" applyFont="1" applyBorder="1" applyAlignment="1">
      <alignment horizontal="center" vertical="center" wrapText="1"/>
    </xf>
    <xf numFmtId="1" fontId="191" fillId="0" borderId="136" xfId="0" applyNumberFormat="1" applyFont="1" applyBorder="1" applyAlignment="1">
      <alignment horizontal="center" vertical="center" wrapText="1"/>
    </xf>
    <xf numFmtId="0" fontId="192" fillId="0" borderId="136" xfId="0" applyFont="1" applyBorder="1" applyAlignment="1">
      <alignment horizontal="center" vertical="center" wrapText="1"/>
    </xf>
    <xf numFmtId="1" fontId="194" fillId="0" borderId="136" xfId="0" applyNumberFormat="1" applyFont="1" applyBorder="1" applyAlignment="1">
      <alignment horizontal="center" vertical="center" wrapText="1"/>
    </xf>
    <xf numFmtId="1" fontId="195" fillId="0" borderId="136" xfId="0" applyNumberFormat="1" applyFont="1" applyBorder="1" applyAlignment="1">
      <alignment horizontal="center" vertical="center" wrapText="1"/>
    </xf>
    <xf numFmtId="1" fontId="190" fillId="0" borderId="136" xfId="0" applyNumberFormat="1" applyFont="1" applyBorder="1" applyAlignment="1">
      <alignment horizontal="center" vertical="center" wrapText="1"/>
    </xf>
    <xf numFmtId="1" fontId="192" fillId="0" borderId="136" xfId="0" applyNumberFormat="1" applyFont="1" applyBorder="1" applyAlignment="1">
      <alignment horizontal="center" vertical="center" wrapText="1"/>
    </xf>
    <xf numFmtId="2" fontId="191" fillId="0" borderId="136" xfId="0" applyNumberFormat="1" applyFont="1" applyBorder="1" applyAlignment="1">
      <alignment horizontal="center" vertical="center" wrapText="1"/>
    </xf>
    <xf numFmtId="9" fontId="187" fillId="0" borderId="136" xfId="22" applyFont="1" applyBorder="1" applyAlignment="1">
      <alignment horizontal="center" vertical="center" wrapText="1"/>
    </xf>
    <xf numFmtId="2" fontId="193" fillId="0" borderId="136" xfId="0" applyNumberFormat="1" applyFont="1" applyBorder="1" applyAlignment="1">
      <alignment horizontal="center" vertical="center" wrapText="1"/>
    </xf>
    <xf numFmtId="0" fontId="187" fillId="0" borderId="136" xfId="0" applyFont="1" applyBorder="1" applyAlignment="1">
      <alignment horizontal="left" vertical="center" wrapText="1" indent="1"/>
    </xf>
    <xf numFmtId="1" fontId="189" fillId="0" borderId="136" xfId="0" applyNumberFormat="1" applyFont="1" applyBorder="1" applyAlignment="1">
      <alignment horizontal="center" wrapText="1"/>
    </xf>
    <xf numFmtId="1" fontId="191" fillId="8" borderId="136" xfId="0" applyNumberFormat="1" applyFont="1" applyFill="1" applyBorder="1" applyAlignment="1">
      <alignment horizontal="center" wrapText="1"/>
    </xf>
    <xf numFmtId="0" fontId="189" fillId="59" borderId="136" xfId="0" applyFont="1" applyFill="1" applyBorder="1" applyAlignment="1">
      <alignment vertical="center" wrapText="1"/>
    </xf>
    <xf numFmtId="167" fontId="189" fillId="59" borderId="136" xfId="0" applyNumberFormat="1" applyFont="1" applyFill="1" applyBorder="1" applyAlignment="1">
      <alignment horizontal="center" vertical="center" wrapText="1"/>
    </xf>
    <xf numFmtId="1" fontId="189" fillId="59" borderId="136" xfId="0" applyNumberFormat="1" applyFont="1" applyFill="1" applyBorder="1" applyAlignment="1">
      <alignment horizontal="center" vertical="center" wrapText="1"/>
    </xf>
    <xf numFmtId="2" fontId="189" fillId="59" borderId="136" xfId="0" applyNumberFormat="1" applyFont="1" applyFill="1" applyBorder="1" applyAlignment="1">
      <alignment horizontal="center" vertical="center" wrapText="1"/>
    </xf>
    <xf numFmtId="0" fontId="187" fillId="0" borderId="30" xfId="0" applyFont="1" applyBorder="1" applyAlignment="1">
      <alignment horizontal="center" vertical="center" wrapText="1"/>
    </xf>
    <xf numFmtId="0" fontId="189" fillId="8" borderId="30" xfId="0" applyFont="1" applyFill="1" applyBorder="1" applyAlignment="1">
      <alignment vertical="center" wrapText="1"/>
    </xf>
    <xf numFmtId="0" fontId="189" fillId="0" borderId="137" xfId="0" applyFont="1" applyBorder="1" applyAlignment="1">
      <alignment horizontal="center" vertical="center" wrapText="1"/>
    </xf>
    <xf numFmtId="0" fontId="189" fillId="0" borderId="31" xfId="0" applyFont="1" applyBorder="1" applyAlignment="1">
      <alignment horizontal="center" vertical="center" wrapText="1"/>
    </xf>
    <xf numFmtId="0" fontId="189" fillId="0" borderId="29" xfId="0" applyFont="1" applyBorder="1" applyAlignment="1">
      <alignment horizontal="center" vertical="center" wrapText="1"/>
    </xf>
    <xf numFmtId="1" fontId="189" fillId="0" borderId="136" xfId="0" applyNumberFormat="1" applyFont="1" applyBorder="1" applyAlignment="1">
      <alignment horizontal="center" vertical="center" wrapText="1"/>
    </xf>
    <xf numFmtId="1" fontId="189" fillId="0" borderId="137" xfId="0" applyNumberFormat="1" applyFont="1" applyBorder="1" applyAlignment="1">
      <alignment horizontal="center" vertical="center" wrapText="1"/>
    </xf>
    <xf numFmtId="1" fontId="191" fillId="8" borderId="31" xfId="0" applyNumberFormat="1" applyFont="1" applyFill="1" applyBorder="1" applyAlignment="1">
      <alignment horizontal="center" vertical="center" wrapText="1"/>
    </xf>
    <xf numFmtId="1" fontId="191" fillId="8" borderId="29" xfId="0" applyNumberFormat="1" applyFont="1" applyFill="1" applyBorder="1" applyAlignment="1">
      <alignment horizontal="center" vertical="center" wrapText="1"/>
    </xf>
    <xf numFmtId="1" fontId="189" fillId="0" borderId="29" xfId="0" applyNumberFormat="1" applyFont="1" applyBorder="1" applyAlignment="1">
      <alignment horizontal="center" vertical="center" wrapText="1"/>
    </xf>
    <xf numFmtId="0" fontId="187" fillId="60" borderId="136" xfId="0" applyFont="1" applyFill="1" applyBorder="1" applyAlignment="1">
      <alignment horizontal="center" vertical="center" wrapText="1"/>
    </xf>
    <xf numFmtId="0" fontId="189" fillId="60" borderId="136" xfId="0" applyFont="1" applyFill="1" applyBorder="1" applyAlignment="1">
      <alignment wrapText="1"/>
    </xf>
    <xf numFmtId="1" fontId="189" fillId="60" borderId="136" xfId="0" applyNumberFormat="1" applyFont="1" applyFill="1" applyBorder="1" applyAlignment="1">
      <alignment horizontal="center" vertical="center" wrapText="1"/>
    </xf>
    <xf numFmtId="0" fontId="187" fillId="0" borderId="136" xfId="0" applyFont="1" applyBorder="1" applyAlignment="1">
      <alignment horizontal="left" wrapText="1" indent="1"/>
    </xf>
    <xf numFmtId="0" fontId="187" fillId="0" borderId="30" xfId="0" applyFont="1" applyBorder="1" applyAlignment="1">
      <alignment horizontal="left" wrapText="1" indent="1"/>
    </xf>
    <xf numFmtId="17" fontId="194" fillId="0" borderId="136" xfId="0" applyNumberFormat="1" applyFont="1" applyBorder="1" applyAlignment="1">
      <alignment horizontal="left" vertical="center" wrapText="1" indent="1"/>
    </xf>
    <xf numFmtId="0" fontId="189" fillId="59" borderId="136" xfId="0" applyFont="1" applyFill="1" applyBorder="1" applyAlignment="1">
      <alignment wrapText="1"/>
    </xf>
    <xf numFmtId="1" fontId="189" fillId="59" borderId="30" xfId="0" applyNumberFormat="1" applyFont="1" applyFill="1" applyBorder="1" applyAlignment="1">
      <alignment horizontal="center" vertical="center" wrapText="1"/>
    </xf>
    <xf numFmtId="2" fontId="189" fillId="59" borderId="30" xfId="0" applyNumberFormat="1" applyFont="1" applyFill="1" applyBorder="1" applyAlignment="1">
      <alignment horizontal="center" vertical="center" wrapText="1"/>
    </xf>
    <xf numFmtId="0" fontId="187" fillId="0" borderId="138" xfId="0" applyFont="1" applyBorder="1" applyAlignment="1">
      <alignment horizontal="center" vertical="center" wrapText="1"/>
    </xf>
    <xf numFmtId="0" fontId="187" fillId="0" borderId="29" xfId="0" applyFont="1" applyBorder="1" applyAlignment="1">
      <alignment wrapText="1"/>
    </xf>
    <xf numFmtId="0" fontId="187" fillId="0" borderId="136" xfId="0" applyFont="1" applyBorder="1" applyAlignment="1">
      <alignment horizontal="center" wrapText="1"/>
    </xf>
    <xf numFmtId="17" fontId="189" fillId="0" borderId="29" xfId="0" applyNumberFormat="1" applyFont="1" applyBorder="1" applyAlignment="1">
      <alignment wrapText="1"/>
    </xf>
    <xf numFmtId="0" fontId="187" fillId="0" borderId="29" xfId="0" applyFont="1" applyBorder="1" applyAlignment="1">
      <alignment horizontal="left" wrapText="1" indent="1"/>
    </xf>
    <xf numFmtId="0" fontId="187" fillId="0" borderId="29" xfId="0" applyFont="1" applyBorder="1" applyAlignment="1">
      <alignment horizontal="left" vertical="center" wrapText="1" indent="1"/>
    </xf>
    <xf numFmtId="0" fontId="187" fillId="0" borderId="8" xfId="0" applyFont="1" applyBorder="1" applyAlignment="1">
      <alignment horizontal="left" wrapText="1" indent="1"/>
    </xf>
    <xf numFmtId="0" fontId="187" fillId="8" borderId="0" xfId="0" applyFont="1" applyFill="1" applyAlignment="1">
      <alignment wrapText="1"/>
    </xf>
    <xf numFmtId="0" fontId="189" fillId="59" borderId="29" xfId="0" applyFont="1" applyFill="1" applyBorder="1" applyAlignment="1">
      <alignment wrapText="1"/>
    </xf>
    <xf numFmtId="17" fontId="189" fillId="0" borderId="136" xfId="0" applyNumberFormat="1" applyFont="1" applyBorder="1" applyAlignment="1">
      <alignment wrapText="1"/>
    </xf>
    <xf numFmtId="167" fontId="189" fillId="0" borderId="136" xfId="0" applyNumberFormat="1" applyFont="1" applyBorder="1" applyAlignment="1">
      <alignment horizontal="center" vertical="center" wrapText="1"/>
    </xf>
    <xf numFmtId="0" fontId="189" fillId="60" borderId="136" xfId="0" applyFont="1" applyFill="1" applyBorder="1" applyAlignment="1">
      <alignment horizontal="center" vertical="center" wrapText="1"/>
    </xf>
    <xf numFmtId="2" fontId="18" fillId="0" borderId="136" xfId="0" applyNumberFormat="1" applyFont="1" applyBorder="1" applyAlignment="1">
      <alignment horizontal="center" vertical="center"/>
    </xf>
    <xf numFmtId="2" fontId="189" fillId="60" borderId="136" xfId="0" applyNumberFormat="1" applyFont="1" applyFill="1" applyBorder="1" applyAlignment="1">
      <alignment horizontal="center" vertical="center" wrapText="1"/>
    </xf>
    <xf numFmtId="1" fontId="22" fillId="8" borderId="12" xfId="0" applyNumberFormat="1" applyFont="1" applyFill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1" fontId="21" fillId="6" borderId="45" xfId="0" applyNumberFormat="1" applyFont="1" applyFill="1" applyBorder="1" applyAlignment="1">
      <alignment horizontal="center" vertical="center"/>
    </xf>
    <xf numFmtId="1" fontId="21" fillId="6" borderId="46" xfId="0" applyNumberFormat="1" applyFont="1" applyFill="1" applyBorder="1" applyAlignment="1">
      <alignment horizontal="center" vertical="center"/>
    </xf>
    <xf numFmtId="1" fontId="21" fillId="6" borderId="30" xfId="0" applyNumberFormat="1" applyFont="1" applyFill="1" applyBorder="1" applyAlignment="1">
      <alignment horizontal="center" vertical="center"/>
    </xf>
    <xf numFmtId="0" fontId="22" fillId="0" borderId="63" xfId="0" applyFont="1" applyBorder="1" applyAlignment="1">
      <alignment horizontal="center" vertical="center"/>
    </xf>
    <xf numFmtId="0" fontId="22" fillId="0" borderId="42" xfId="0" applyFont="1" applyBorder="1" applyAlignment="1">
      <alignment horizontal="center" vertical="center"/>
    </xf>
    <xf numFmtId="0" fontId="22" fillId="7" borderId="63" xfId="0" applyFont="1" applyFill="1" applyBorder="1" applyAlignment="1">
      <alignment horizontal="center" vertical="center"/>
    </xf>
    <xf numFmtId="0" fontId="22" fillId="7" borderId="42" xfId="0" applyFont="1" applyFill="1" applyBorder="1" applyAlignment="1">
      <alignment horizontal="center" vertical="center"/>
    </xf>
    <xf numFmtId="1" fontId="21" fillId="0" borderId="31" xfId="0" applyNumberFormat="1" applyFont="1" applyBorder="1" applyAlignment="1">
      <alignment horizontal="center" vertical="center"/>
    </xf>
    <xf numFmtId="1" fontId="21" fillId="7" borderId="31" xfId="0" applyNumberFormat="1" applyFont="1" applyFill="1" applyBorder="1" applyAlignment="1">
      <alignment horizontal="center" vertical="center"/>
    </xf>
    <xf numFmtId="0" fontId="22" fillId="45" borderId="41" xfId="0" applyFont="1" applyFill="1" applyBorder="1" applyAlignment="1">
      <alignment horizontal="center" vertical="center"/>
    </xf>
    <xf numFmtId="0" fontId="22" fillId="45" borderId="42" xfId="0" applyFont="1" applyFill="1" applyBorder="1" applyAlignment="1">
      <alignment horizontal="center" vertical="center"/>
    </xf>
    <xf numFmtId="1" fontId="21" fillId="45" borderId="10" xfId="0" applyNumberFormat="1" applyFont="1" applyFill="1" applyBorder="1" applyAlignment="1">
      <alignment horizontal="center" vertical="center"/>
    </xf>
    <xf numFmtId="1" fontId="21" fillId="5" borderId="31" xfId="0" applyNumberFormat="1" applyFont="1" applyFill="1" applyBorder="1" applyAlignment="1">
      <alignment horizontal="center" vertical="center"/>
    </xf>
    <xf numFmtId="0" fontId="22" fillId="6" borderId="41" xfId="0" applyFont="1" applyFill="1" applyBorder="1" applyAlignment="1">
      <alignment horizontal="center" vertical="center"/>
    </xf>
    <xf numFmtId="0" fontId="22" fillId="0" borderId="3" xfId="0" applyFont="1" applyBorder="1" applyAlignment="1">
      <alignment horizontal="center" vertical="center"/>
    </xf>
    <xf numFmtId="0" fontId="22" fillId="0" borderId="41" xfId="0" applyFont="1" applyBorder="1" applyAlignment="1">
      <alignment horizontal="center" vertical="center"/>
    </xf>
    <xf numFmtId="1" fontId="21" fillId="6" borderId="10" xfId="0" applyNumberFormat="1" applyFont="1" applyFill="1" applyBorder="1" applyAlignment="1">
      <alignment horizontal="center" vertical="center"/>
    </xf>
    <xf numFmtId="1" fontId="21" fillId="5" borderId="10" xfId="0" applyNumberFormat="1" applyFont="1" applyFill="1" applyBorder="1" applyAlignment="1">
      <alignment horizontal="center" vertical="center"/>
    </xf>
    <xf numFmtId="1" fontId="21" fillId="8" borderId="29" xfId="0" applyNumberFormat="1" applyFont="1" applyFill="1" applyBorder="1" applyAlignment="1">
      <alignment horizontal="center" vertical="center"/>
    </xf>
    <xf numFmtId="1" fontId="21" fillId="45" borderId="45" xfId="0" applyNumberFormat="1" applyFont="1" applyFill="1" applyBorder="1" applyAlignment="1">
      <alignment horizontal="center" vertical="center"/>
    </xf>
    <xf numFmtId="1" fontId="21" fillId="45" borderId="30" xfId="0" applyNumberFormat="1" applyFont="1" applyFill="1" applyBorder="1" applyAlignment="1">
      <alignment horizontal="center" vertical="center"/>
    </xf>
    <xf numFmtId="0" fontId="27" fillId="0" borderId="18" xfId="0" applyFont="1" applyBorder="1" applyAlignment="1">
      <alignment horizontal="center" vertical="center"/>
    </xf>
    <xf numFmtId="0" fontId="27" fillId="0" borderId="60" xfId="0" applyFont="1" applyBorder="1" applyAlignment="1">
      <alignment horizontal="center" vertical="center"/>
    </xf>
    <xf numFmtId="0" fontId="27" fillId="0" borderId="24" xfId="0" applyFont="1" applyBorder="1" applyAlignment="1">
      <alignment horizontal="center" vertical="center"/>
    </xf>
    <xf numFmtId="0" fontId="27" fillId="0" borderId="75" xfId="0" applyFont="1" applyBorder="1" applyAlignment="1">
      <alignment horizontal="center" vertical="center"/>
    </xf>
    <xf numFmtId="0" fontId="22" fillId="0" borderId="18" xfId="0" applyFont="1" applyBorder="1" applyAlignment="1">
      <alignment horizontal="center" vertical="center"/>
    </xf>
    <xf numFmtId="0" fontId="22" fillId="0" borderId="60" xfId="0" applyFont="1" applyBorder="1" applyAlignment="1">
      <alignment horizontal="center" vertical="center"/>
    </xf>
    <xf numFmtId="0" fontId="22" fillId="5" borderId="41" xfId="0" applyFont="1" applyFill="1" applyBorder="1" applyAlignment="1">
      <alignment horizontal="center" vertical="center"/>
    </xf>
    <xf numFmtId="0" fontId="22" fillId="5" borderId="63" xfId="0" applyFont="1" applyFill="1" applyBorder="1" applyAlignment="1">
      <alignment horizontal="center" vertical="center"/>
    </xf>
    <xf numFmtId="0" fontId="22" fillId="5" borderId="42" xfId="0" applyFont="1" applyFill="1" applyBorder="1" applyAlignment="1">
      <alignment horizontal="center" vertical="center"/>
    </xf>
    <xf numFmtId="0" fontId="22" fillId="8" borderId="63" xfId="0" applyFont="1" applyFill="1" applyBorder="1" applyAlignment="1">
      <alignment horizontal="center" vertical="center"/>
    </xf>
    <xf numFmtId="0" fontId="22" fillId="8" borderId="42" xfId="0" applyFont="1" applyFill="1" applyBorder="1" applyAlignment="1">
      <alignment horizontal="center" vertical="center"/>
    </xf>
    <xf numFmtId="1" fontId="22" fillId="0" borderId="12" xfId="0" applyNumberFormat="1" applyFont="1" applyBorder="1" applyAlignment="1">
      <alignment horizontal="center" vertical="center"/>
    </xf>
    <xf numFmtId="1" fontId="21" fillId="45" borderId="72" xfId="0" applyNumberFormat="1" applyFont="1" applyFill="1" applyBorder="1" applyAlignment="1">
      <alignment horizontal="center" vertical="center"/>
    </xf>
    <xf numFmtId="1" fontId="21" fillId="45" borderId="71" xfId="0" applyNumberFormat="1" applyFont="1" applyFill="1" applyBorder="1" applyAlignment="1">
      <alignment horizontal="center" vertical="center"/>
    </xf>
    <xf numFmtId="1" fontId="21" fillId="45" borderId="53" xfId="0" applyNumberFormat="1" applyFont="1" applyFill="1" applyBorder="1" applyAlignment="1">
      <alignment horizontal="center" vertical="center"/>
    </xf>
    <xf numFmtId="1" fontId="21" fillId="45" borderId="46" xfId="0" applyNumberFormat="1" applyFont="1" applyFill="1" applyBorder="1" applyAlignment="1">
      <alignment horizontal="center" vertical="center"/>
    </xf>
    <xf numFmtId="0" fontId="22" fillId="0" borderId="55" xfId="0" applyFont="1" applyBorder="1" applyAlignment="1">
      <alignment horizontal="center" vertical="center"/>
    </xf>
    <xf numFmtId="0" fontId="22" fillId="7" borderId="1" xfId="0" applyFont="1" applyFill="1" applyBorder="1" applyAlignment="1">
      <alignment horizontal="center" vertical="center"/>
    </xf>
    <xf numFmtId="0" fontId="22" fillId="7" borderId="11" xfId="0" applyFont="1" applyFill="1" applyBorder="1" applyAlignment="1">
      <alignment horizontal="center" vertical="center"/>
    </xf>
    <xf numFmtId="1" fontId="22" fillId="8" borderId="87" xfId="0" applyNumberFormat="1" applyFont="1" applyFill="1" applyBorder="1" applyAlignment="1">
      <alignment horizontal="center" vertical="center"/>
    </xf>
    <xf numFmtId="1" fontId="22" fillId="8" borderId="38" xfId="0" applyNumberFormat="1" applyFont="1" applyFill="1" applyBorder="1" applyAlignment="1">
      <alignment horizontal="center" vertical="center"/>
    </xf>
    <xf numFmtId="1" fontId="22" fillId="8" borderId="69" xfId="0" applyNumberFormat="1" applyFont="1" applyFill="1" applyBorder="1" applyAlignment="1">
      <alignment horizontal="center" vertical="center"/>
    </xf>
    <xf numFmtId="1" fontId="22" fillId="7" borderId="87" xfId="0" applyNumberFormat="1" applyFont="1" applyFill="1" applyBorder="1" applyAlignment="1">
      <alignment horizontal="center" vertical="center"/>
    </xf>
    <xf numFmtId="1" fontId="22" fillId="7" borderId="38" xfId="0" applyNumberFormat="1" applyFont="1" applyFill="1" applyBorder="1" applyAlignment="1">
      <alignment horizontal="center" vertical="center"/>
    </xf>
    <xf numFmtId="1" fontId="22" fillId="7" borderId="69" xfId="0" applyNumberFormat="1" applyFont="1" applyFill="1" applyBorder="1" applyAlignment="1">
      <alignment horizontal="center" vertical="center"/>
    </xf>
    <xf numFmtId="1" fontId="22" fillId="8" borderId="76" xfId="0" applyNumberFormat="1" applyFont="1" applyFill="1" applyBorder="1" applyAlignment="1">
      <alignment horizontal="center" vertical="center"/>
    </xf>
    <xf numFmtId="1" fontId="22" fillId="8" borderId="74" xfId="0" applyNumberFormat="1" applyFont="1" applyFill="1" applyBorder="1" applyAlignment="1">
      <alignment horizontal="center" vertical="center"/>
    </xf>
    <xf numFmtId="1" fontId="22" fillId="8" borderId="9" xfId="0" applyNumberFormat="1" applyFont="1" applyFill="1" applyBorder="1" applyAlignment="1">
      <alignment horizontal="center" vertical="center"/>
    </xf>
    <xf numFmtId="1" fontId="22" fillId="7" borderId="76" xfId="0" applyNumberFormat="1" applyFont="1" applyFill="1" applyBorder="1" applyAlignment="1">
      <alignment horizontal="center" vertical="center"/>
    </xf>
    <xf numFmtId="1" fontId="22" fillId="7" borderId="74" xfId="0" applyNumberFormat="1" applyFont="1" applyFill="1" applyBorder="1" applyAlignment="1">
      <alignment horizontal="center" vertical="center"/>
    </xf>
    <xf numFmtId="0" fontId="22" fillId="0" borderId="76" xfId="0" applyFont="1" applyBorder="1" applyAlignment="1">
      <alignment horizontal="center" vertical="center" wrapText="1"/>
    </xf>
    <xf numFmtId="0" fontId="22" fillId="0" borderId="9" xfId="0" applyFont="1" applyBorder="1" applyAlignment="1">
      <alignment horizontal="center" vertical="center" wrapText="1"/>
    </xf>
    <xf numFmtId="0" fontId="22" fillId="0" borderId="85" xfId="0" applyFont="1" applyBorder="1" applyAlignment="1">
      <alignment horizontal="center" vertical="center"/>
    </xf>
    <xf numFmtId="0" fontId="22" fillId="0" borderId="73" xfId="0" applyFont="1" applyBorder="1" applyAlignment="1">
      <alignment horizontal="center" vertical="center"/>
    </xf>
    <xf numFmtId="0" fontId="22" fillId="0" borderId="4" xfId="0" applyFont="1" applyBorder="1" applyAlignment="1">
      <alignment horizontal="center" vertical="center"/>
    </xf>
    <xf numFmtId="0" fontId="22" fillId="0" borderId="2" xfId="0" applyFont="1" applyBorder="1" applyAlignment="1">
      <alignment horizontal="center" vertical="center"/>
    </xf>
    <xf numFmtId="0" fontId="22" fillId="0" borderId="57" xfId="0" applyFont="1" applyBorder="1" applyAlignment="1">
      <alignment horizontal="center" vertical="center"/>
    </xf>
    <xf numFmtId="0" fontId="22" fillId="45" borderId="1" xfId="0" applyFont="1" applyFill="1" applyBorder="1" applyAlignment="1">
      <alignment horizontal="center" vertical="center"/>
    </xf>
    <xf numFmtId="0" fontId="22" fillId="45" borderId="11" xfId="0" applyFont="1" applyFill="1" applyBorder="1" applyAlignment="1">
      <alignment horizontal="center" vertical="center"/>
    </xf>
    <xf numFmtId="1" fontId="22" fillId="52" borderId="87" xfId="0" applyNumberFormat="1" applyFont="1" applyFill="1" applyBorder="1" applyAlignment="1">
      <alignment horizontal="center" vertical="center"/>
    </xf>
    <xf numFmtId="1" fontId="22" fillId="52" borderId="38" xfId="0" applyNumberFormat="1" applyFont="1" applyFill="1" applyBorder="1" applyAlignment="1">
      <alignment horizontal="center" vertical="center"/>
    </xf>
    <xf numFmtId="1" fontId="22" fillId="52" borderId="69" xfId="0" applyNumberFormat="1" applyFont="1" applyFill="1" applyBorder="1" applyAlignment="1">
      <alignment horizontal="center" vertical="center"/>
    </xf>
    <xf numFmtId="1" fontId="22" fillId="52" borderId="76" xfId="0" applyNumberFormat="1" applyFont="1" applyFill="1" applyBorder="1" applyAlignment="1">
      <alignment horizontal="center" vertical="center"/>
    </xf>
    <xf numFmtId="1" fontId="22" fillId="52" borderId="74" xfId="0" applyNumberFormat="1" applyFont="1" applyFill="1" applyBorder="1" applyAlignment="1">
      <alignment horizontal="center" vertical="center"/>
    </xf>
    <xf numFmtId="1" fontId="22" fillId="52" borderId="57" xfId="0" applyNumberFormat="1" applyFont="1" applyFill="1" applyBorder="1" applyAlignment="1">
      <alignment horizontal="center" vertical="center"/>
    </xf>
    <xf numFmtId="0" fontId="22" fillId="6" borderId="1" xfId="0" applyFont="1" applyFill="1" applyBorder="1" applyAlignment="1">
      <alignment horizontal="center" vertical="center"/>
    </xf>
    <xf numFmtId="0" fontId="22" fillId="6" borderId="11" xfId="0" applyFont="1" applyFill="1" applyBorder="1" applyAlignment="1">
      <alignment horizontal="center" vertical="center"/>
    </xf>
    <xf numFmtId="0" fontId="22" fillId="0" borderId="25" xfId="0" applyFont="1" applyBorder="1" applyAlignment="1">
      <alignment horizontal="center" vertical="center"/>
    </xf>
    <xf numFmtId="0" fontId="22" fillId="0" borderId="21" xfId="0" applyFont="1" applyBorder="1" applyAlignment="1">
      <alignment horizontal="center" vertical="center"/>
    </xf>
    <xf numFmtId="0" fontId="22" fillId="5" borderId="4" xfId="0" applyFont="1" applyFill="1" applyBorder="1" applyAlignment="1">
      <alignment horizontal="center" vertical="center"/>
    </xf>
    <xf numFmtId="0" fontId="22" fillId="5" borderId="11" xfId="0" applyFont="1" applyFill="1" applyBorder="1" applyAlignment="1">
      <alignment horizontal="center" vertical="center"/>
    </xf>
    <xf numFmtId="1" fontId="22" fillId="7" borderId="43" xfId="0" applyNumberFormat="1" applyFont="1" applyFill="1" applyBorder="1" applyAlignment="1">
      <alignment horizontal="center" vertical="center"/>
    </xf>
    <xf numFmtId="1" fontId="22" fillId="7" borderId="40" xfId="0" applyNumberFormat="1" applyFont="1" applyFill="1" applyBorder="1" applyAlignment="1">
      <alignment horizontal="center" vertical="center"/>
    </xf>
    <xf numFmtId="1" fontId="22" fillId="7" borderId="16" xfId="0" applyNumberFormat="1" applyFont="1" applyFill="1" applyBorder="1" applyAlignment="1">
      <alignment horizontal="center" vertical="center"/>
    </xf>
    <xf numFmtId="1" fontId="22" fillId="5" borderId="76" xfId="0" applyNumberFormat="1" applyFont="1" applyFill="1" applyBorder="1" applyAlignment="1">
      <alignment horizontal="center" vertical="center"/>
    </xf>
    <xf numFmtId="1" fontId="22" fillId="5" borderId="74" xfId="0" applyNumberFormat="1" applyFont="1" applyFill="1" applyBorder="1" applyAlignment="1">
      <alignment horizontal="center" vertical="center"/>
    </xf>
    <xf numFmtId="1" fontId="22" fillId="5" borderId="9" xfId="0" applyNumberFormat="1" applyFont="1" applyFill="1" applyBorder="1" applyAlignment="1">
      <alignment horizontal="center" vertical="center"/>
    </xf>
    <xf numFmtId="1" fontId="22" fillId="6" borderId="76" xfId="0" applyNumberFormat="1" applyFont="1" applyFill="1" applyBorder="1" applyAlignment="1">
      <alignment horizontal="center" vertical="center"/>
    </xf>
    <xf numFmtId="1" fontId="22" fillId="6" borderId="74" xfId="0" applyNumberFormat="1" applyFont="1" applyFill="1" applyBorder="1" applyAlignment="1">
      <alignment horizontal="center" vertical="center"/>
    </xf>
    <xf numFmtId="1" fontId="22" fillId="6" borderId="9" xfId="0" applyNumberFormat="1" applyFont="1" applyFill="1" applyBorder="1" applyAlignment="1">
      <alignment horizontal="center" vertical="center"/>
    </xf>
    <xf numFmtId="1" fontId="22" fillId="52" borderId="80" xfId="0" applyNumberFormat="1" applyFont="1" applyFill="1" applyBorder="1" applyAlignment="1">
      <alignment horizontal="center" vertical="center"/>
    </xf>
    <xf numFmtId="1" fontId="22" fillId="52" borderId="46" xfId="0" applyNumberFormat="1" applyFont="1" applyFill="1" applyBorder="1" applyAlignment="1">
      <alignment horizontal="center" vertical="center"/>
    </xf>
    <xf numFmtId="1" fontId="21" fillId="45" borderId="43" xfId="0" applyNumberFormat="1" applyFont="1" applyFill="1" applyBorder="1" applyAlignment="1">
      <alignment horizontal="center" vertical="center"/>
    </xf>
    <xf numFmtId="1" fontId="21" fillId="45" borderId="40" xfId="0" applyNumberFormat="1" applyFont="1" applyFill="1" applyBorder="1" applyAlignment="1">
      <alignment horizontal="center" vertical="center"/>
    </xf>
    <xf numFmtId="1" fontId="21" fillId="45" borderId="16" xfId="0" applyNumberFormat="1" applyFont="1" applyFill="1" applyBorder="1" applyAlignment="1">
      <alignment horizontal="center" vertical="center"/>
    </xf>
    <xf numFmtId="1" fontId="22" fillId="0" borderId="43" xfId="0" applyNumberFormat="1" applyFont="1" applyBorder="1" applyAlignment="1">
      <alignment horizontal="center" vertical="center"/>
    </xf>
    <xf numFmtId="1" fontId="22" fillId="0" borderId="40" xfId="0" applyNumberFormat="1" applyFont="1" applyBorder="1" applyAlignment="1">
      <alignment horizontal="center" vertical="center"/>
    </xf>
    <xf numFmtId="1" fontId="22" fillId="0" borderId="16" xfId="0" applyNumberFormat="1" applyFont="1" applyBorder="1" applyAlignment="1">
      <alignment horizontal="center" vertical="center"/>
    </xf>
    <xf numFmtId="1" fontId="22" fillId="8" borderId="43" xfId="0" applyNumberFormat="1" applyFont="1" applyFill="1" applyBorder="1" applyAlignment="1">
      <alignment horizontal="center" vertical="center"/>
    </xf>
    <xf numFmtId="1" fontId="22" fillId="8" borderId="40" xfId="0" applyNumberFormat="1" applyFont="1" applyFill="1" applyBorder="1" applyAlignment="1">
      <alignment horizontal="center" vertical="center"/>
    </xf>
    <xf numFmtId="1" fontId="22" fillId="8" borderId="16" xfId="0" applyNumberFormat="1" applyFont="1" applyFill="1" applyBorder="1" applyAlignment="1">
      <alignment horizontal="center" vertical="center"/>
    </xf>
    <xf numFmtId="0" fontId="22" fillId="5" borderId="1" xfId="0" applyFont="1" applyFill="1" applyBorder="1" applyAlignment="1">
      <alignment horizontal="center" vertical="center"/>
    </xf>
    <xf numFmtId="1" fontId="22" fillId="5" borderId="43" xfId="0" applyNumberFormat="1" applyFont="1" applyFill="1" applyBorder="1" applyAlignment="1">
      <alignment horizontal="center" vertical="center"/>
    </xf>
    <xf numFmtId="1" fontId="22" fillId="5" borderId="40" xfId="0" applyNumberFormat="1" applyFont="1" applyFill="1" applyBorder="1" applyAlignment="1">
      <alignment horizontal="center" vertical="center"/>
    </xf>
    <xf numFmtId="1" fontId="22" fillId="5" borderId="16" xfId="0" applyNumberFormat="1" applyFont="1" applyFill="1" applyBorder="1" applyAlignment="1">
      <alignment horizontal="center" vertical="center"/>
    </xf>
    <xf numFmtId="1" fontId="22" fillId="0" borderId="85" xfId="0" applyNumberFormat="1" applyFont="1" applyBorder="1" applyAlignment="1">
      <alignment horizontal="center" vertical="center"/>
    </xf>
    <xf numFmtId="1" fontId="22" fillId="0" borderId="71" xfId="0" applyNumberFormat="1" applyFont="1" applyBorder="1" applyAlignment="1">
      <alignment horizontal="center" vertical="center"/>
    </xf>
    <xf numFmtId="1" fontId="22" fillId="0" borderId="76" xfId="0" applyNumberFormat="1" applyFont="1" applyBorder="1" applyAlignment="1">
      <alignment horizontal="center" vertical="center"/>
    </xf>
    <xf numFmtId="1" fontId="22" fillId="0" borderId="74" xfId="0" applyNumberFormat="1" applyFont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4" fillId="7" borderId="11" xfId="0" applyFont="1" applyFill="1" applyBorder="1" applyAlignment="1">
      <alignment horizontal="center" vertical="center"/>
    </xf>
    <xf numFmtId="0" fontId="4" fillId="0" borderId="55" xfId="0" applyFont="1" applyBorder="1" applyAlignment="1">
      <alignment horizontal="center" vertical="center"/>
    </xf>
    <xf numFmtId="0" fontId="4" fillId="7" borderId="67" xfId="0" applyFont="1" applyFill="1" applyBorder="1" applyAlignment="1">
      <alignment horizontal="center" vertical="center"/>
    </xf>
    <xf numFmtId="0" fontId="4" fillId="6" borderId="66" xfId="0" applyFont="1" applyFill="1" applyBorder="1" applyAlignment="1">
      <alignment horizontal="center" vertical="center"/>
    </xf>
    <xf numFmtId="0" fontId="4" fillId="6" borderId="3" xfId="0" applyFont="1" applyFill="1" applyBorder="1" applyAlignment="1">
      <alignment horizontal="center" vertical="center"/>
    </xf>
    <xf numFmtId="0" fontId="4" fillId="45" borderId="1" xfId="0" applyFont="1" applyFill="1" applyBorder="1" applyAlignment="1">
      <alignment horizontal="center" vertical="center"/>
    </xf>
    <xf numFmtId="0" fontId="4" fillId="45" borderId="11" xfId="0" applyFont="1" applyFill="1" applyBorder="1" applyAlignment="1">
      <alignment horizontal="center" vertical="center"/>
    </xf>
    <xf numFmtId="0" fontId="4" fillId="5" borderId="63" xfId="0" applyFont="1" applyFill="1" applyBorder="1" applyAlignment="1">
      <alignment horizontal="center" vertical="center"/>
    </xf>
    <xf numFmtId="0" fontId="4" fillId="5" borderId="42" xfId="0" applyFont="1" applyFill="1" applyBorder="1" applyAlignment="1">
      <alignment horizontal="center" vertical="center"/>
    </xf>
    <xf numFmtId="0" fontId="4" fillId="7" borderId="66" xfId="0" applyFont="1" applyFill="1" applyBorder="1" applyAlignment="1">
      <alignment horizontal="center" vertical="center"/>
    </xf>
    <xf numFmtId="0" fontId="4" fillId="7" borderId="3" xfId="0" applyFont="1" applyFill="1" applyBorder="1" applyAlignment="1">
      <alignment horizontal="center" vertical="center"/>
    </xf>
    <xf numFmtId="0" fontId="4" fillId="5" borderId="66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center" vertical="center"/>
    </xf>
    <xf numFmtId="0" fontId="4" fillId="0" borderId="66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31" xfId="0" applyFont="1" applyBorder="1" applyAlignment="1">
      <alignment horizontal="left" vertical="center"/>
    </xf>
    <xf numFmtId="0" fontId="4" fillId="5" borderId="41" xfId="0" applyFont="1" applyFill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7" borderId="41" xfId="0" applyFont="1" applyFill="1" applyBorder="1" applyAlignment="1">
      <alignment horizontal="center" vertical="center"/>
    </xf>
    <xf numFmtId="0" fontId="4" fillId="0" borderId="63" xfId="0" applyFont="1" applyBorder="1" applyAlignment="1">
      <alignment horizontal="left" vertical="center"/>
    </xf>
    <xf numFmtId="0" fontId="4" fillId="0" borderId="32" xfId="0" applyFont="1" applyBorder="1" applyAlignment="1">
      <alignment horizontal="left" vertical="center"/>
    </xf>
    <xf numFmtId="0" fontId="4" fillId="0" borderId="41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63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4" fillId="0" borderId="68" xfId="0" applyFont="1" applyBorder="1" applyAlignment="1">
      <alignment horizontal="center" vertical="center"/>
    </xf>
    <xf numFmtId="0" fontId="78" fillId="8" borderId="34" xfId="0" applyFont="1" applyFill="1" applyBorder="1" applyAlignment="1">
      <alignment horizontal="left" vertical="center"/>
    </xf>
    <xf numFmtId="0" fontId="78" fillId="8" borderId="31" xfId="0" applyFont="1" applyFill="1" applyBorder="1" applyAlignment="1">
      <alignment horizontal="left" vertical="center"/>
    </xf>
    <xf numFmtId="0" fontId="78" fillId="8" borderId="32" xfId="0" applyFont="1" applyFill="1" applyBorder="1" applyAlignment="1">
      <alignment horizontal="left" vertical="center"/>
    </xf>
    <xf numFmtId="0" fontId="88" fillId="0" borderId="0" xfId="0" applyFont="1" applyAlignment="1">
      <alignment horizontal="left" vertical="center"/>
    </xf>
    <xf numFmtId="0" fontId="4" fillId="8" borderId="41" xfId="0" applyFont="1" applyFill="1" applyBorder="1" applyAlignment="1">
      <alignment horizontal="center" vertical="center"/>
    </xf>
    <xf numFmtId="0" fontId="85" fillId="0" borderId="57" xfId="0" applyFont="1" applyBorder="1" applyAlignment="1">
      <alignment horizontal="center" vertical="center"/>
    </xf>
    <xf numFmtId="0" fontId="85" fillId="0" borderId="26" xfId="0" applyFont="1" applyBorder="1" applyAlignment="1">
      <alignment horizontal="center" vertical="center"/>
    </xf>
    <xf numFmtId="0" fontId="22" fillId="7" borderId="3" xfId="0" applyFont="1" applyFill="1" applyBorder="1" applyAlignment="1">
      <alignment horizontal="center" vertical="center"/>
    </xf>
    <xf numFmtId="0" fontId="22" fillId="6" borderId="4" xfId="0" applyFont="1" applyFill="1" applyBorder="1" applyAlignment="1">
      <alignment horizontal="center" vertical="center"/>
    </xf>
    <xf numFmtId="0" fontId="23" fillId="0" borderId="63" xfId="0" applyFont="1" applyBorder="1" applyAlignment="1">
      <alignment horizontal="center" vertical="center" wrapText="1"/>
    </xf>
    <xf numFmtId="0" fontId="23" fillId="0" borderId="31" xfId="0" applyFont="1" applyBorder="1" applyAlignment="1">
      <alignment horizontal="center" vertical="center" wrapText="1"/>
    </xf>
    <xf numFmtId="0" fontId="23" fillId="0" borderId="32" xfId="0" applyFont="1" applyBorder="1" applyAlignment="1">
      <alignment horizontal="center" vertical="center" wrapText="1"/>
    </xf>
    <xf numFmtId="0" fontId="23" fillId="0" borderId="63" xfId="0" applyFont="1" applyBorder="1" applyAlignment="1">
      <alignment horizontal="center" vertical="center"/>
    </xf>
    <xf numFmtId="0" fontId="23" fillId="0" borderId="32" xfId="0" applyFont="1" applyBorder="1" applyAlignment="1">
      <alignment horizontal="center" vertical="center"/>
    </xf>
    <xf numFmtId="0" fontId="23" fillId="0" borderId="62" xfId="0" applyFont="1" applyBorder="1" applyAlignment="1">
      <alignment horizontal="center" vertical="center" wrapText="1"/>
    </xf>
    <xf numFmtId="0" fontId="23" fillId="0" borderId="44" xfId="0" applyFont="1" applyBorder="1" applyAlignment="1">
      <alignment horizontal="center" vertical="center" wrapText="1"/>
    </xf>
    <xf numFmtId="0" fontId="23" fillId="0" borderId="47" xfId="0" applyFont="1" applyBorder="1" applyAlignment="1">
      <alignment horizontal="center" vertical="center" wrapText="1"/>
    </xf>
    <xf numFmtId="0" fontId="23" fillId="0" borderId="51" xfId="0" applyFont="1" applyBorder="1" applyAlignment="1">
      <alignment horizontal="center" vertical="center" wrapText="1"/>
    </xf>
    <xf numFmtId="0" fontId="23" fillId="0" borderId="70" xfId="0" applyFont="1" applyBorder="1" applyAlignment="1">
      <alignment horizontal="center" vertical="center" wrapText="1"/>
    </xf>
    <xf numFmtId="0" fontId="22" fillId="7" borderId="4" xfId="0" applyFont="1" applyFill="1" applyBorder="1" applyAlignment="1">
      <alignment horizontal="center" vertical="center"/>
    </xf>
    <xf numFmtId="0" fontId="118" fillId="8" borderId="63" xfId="0" applyFont="1" applyFill="1" applyBorder="1" applyAlignment="1">
      <alignment horizontal="left" vertical="center"/>
    </xf>
    <xf numFmtId="0" fontId="118" fillId="8" borderId="41" xfId="0" applyFont="1" applyFill="1" applyBorder="1" applyAlignment="1">
      <alignment horizontal="left" vertical="center"/>
    </xf>
    <xf numFmtId="0" fontId="118" fillId="8" borderId="52" xfId="0" applyFont="1" applyFill="1" applyBorder="1" applyAlignment="1">
      <alignment horizontal="left" vertical="center"/>
    </xf>
    <xf numFmtId="0" fontId="118" fillId="8" borderId="8" xfId="0" applyFont="1" applyFill="1" applyBorder="1" applyAlignment="1">
      <alignment horizontal="left" vertical="center"/>
    </xf>
    <xf numFmtId="0" fontId="118" fillId="0" borderId="25" xfId="0" applyFont="1" applyBorder="1" applyAlignment="1">
      <alignment horizontal="left" vertical="center"/>
    </xf>
    <xf numFmtId="0" fontId="118" fillId="0" borderId="4" xfId="0" applyFont="1" applyBorder="1" applyAlignment="1">
      <alignment horizontal="left" vertical="center"/>
    </xf>
    <xf numFmtId="0" fontId="8" fillId="0" borderId="25" xfId="0" applyFont="1" applyBorder="1" applyAlignment="1">
      <alignment horizontal="left" vertical="center"/>
    </xf>
    <xf numFmtId="0" fontId="8" fillId="0" borderId="4" xfId="0" applyFont="1" applyBorder="1" applyAlignment="1">
      <alignment horizontal="left" vertical="center"/>
    </xf>
    <xf numFmtId="0" fontId="135" fillId="8" borderId="26" xfId="0" applyFont="1" applyFill="1" applyBorder="1" applyAlignment="1">
      <alignment horizontal="center" vertical="center"/>
    </xf>
    <xf numFmtId="0" fontId="22" fillId="0" borderId="76" xfId="0" applyFont="1" applyBorder="1" applyAlignment="1">
      <alignment horizontal="left" vertical="center"/>
    </xf>
    <xf numFmtId="0" fontId="22" fillId="0" borderId="74" xfId="0" applyFont="1" applyBorder="1" applyAlignment="1">
      <alignment horizontal="left" vertical="center"/>
    </xf>
    <xf numFmtId="0" fontId="22" fillId="0" borderId="71" xfId="0" applyFont="1" applyBorder="1" applyAlignment="1">
      <alignment horizontal="center" vertical="center"/>
    </xf>
    <xf numFmtId="0" fontId="22" fillId="50" borderId="1" xfId="0" applyFont="1" applyFill="1" applyBorder="1" applyAlignment="1">
      <alignment horizontal="center" vertical="center"/>
    </xf>
    <xf numFmtId="0" fontId="22" fillId="50" borderId="11" xfId="0" applyFont="1" applyFill="1" applyBorder="1" applyAlignment="1">
      <alignment horizontal="center" vertical="center"/>
    </xf>
    <xf numFmtId="0" fontId="19" fillId="5" borderId="25" xfId="0" applyFont="1" applyFill="1" applyBorder="1" applyAlignment="1">
      <alignment horizontal="center" vertical="center"/>
    </xf>
    <xf numFmtId="0" fontId="19" fillId="5" borderId="21" xfId="0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46" borderId="55" xfId="0" applyFont="1" applyFill="1" applyBorder="1" applyAlignment="1">
      <alignment horizontal="center" vertical="center"/>
    </xf>
    <xf numFmtId="0" fontId="4" fillId="46" borderId="4" xfId="0" applyFont="1" applyFill="1" applyBorder="1" applyAlignment="1">
      <alignment horizontal="center" vertical="center"/>
    </xf>
    <xf numFmtId="0" fontId="4" fillId="5" borderId="25" xfId="0" applyFont="1" applyFill="1" applyBorder="1" applyAlignment="1">
      <alignment horizontal="center" vertical="center"/>
    </xf>
    <xf numFmtId="0" fontId="4" fillId="5" borderId="21" xfId="0" applyFont="1" applyFill="1" applyBorder="1" applyAlignment="1">
      <alignment horizontal="center" vertical="center"/>
    </xf>
    <xf numFmtId="0" fontId="4" fillId="6" borderId="25" xfId="0" applyFont="1" applyFill="1" applyBorder="1" applyAlignment="1">
      <alignment horizontal="center" vertical="center"/>
    </xf>
    <xf numFmtId="0" fontId="4" fillId="6" borderId="21" xfId="0" applyFont="1" applyFill="1" applyBorder="1" applyAlignment="1">
      <alignment horizontal="center" vertical="center"/>
    </xf>
    <xf numFmtId="0" fontId="85" fillId="0" borderId="0" xfId="0" applyFont="1" applyAlignment="1">
      <alignment horizontal="center"/>
    </xf>
    <xf numFmtId="0" fontId="4" fillId="0" borderId="76" xfId="0" applyFont="1" applyBorder="1" applyAlignment="1">
      <alignment horizontal="left" vertical="center"/>
    </xf>
    <xf numFmtId="0" fontId="4" fillId="0" borderId="74" xfId="0" applyFont="1" applyBorder="1" applyAlignment="1">
      <alignment horizontal="left" vertical="center"/>
    </xf>
    <xf numFmtId="0" fontId="4" fillId="0" borderId="85" xfId="0" applyFont="1" applyBorder="1" applyAlignment="1">
      <alignment horizontal="center" vertical="center"/>
    </xf>
    <xf numFmtId="0" fontId="4" fillId="0" borderId="71" xfId="0" applyFont="1" applyBorder="1" applyAlignment="1">
      <alignment horizontal="center" vertical="center"/>
    </xf>
    <xf numFmtId="0" fontId="4" fillId="7" borderId="55" xfId="0" applyFont="1" applyFill="1" applyBorder="1" applyAlignment="1">
      <alignment horizontal="center" vertical="center"/>
    </xf>
    <xf numFmtId="0" fontId="4" fillId="7" borderId="21" xfId="0" applyFont="1" applyFill="1" applyBorder="1" applyAlignment="1">
      <alignment horizontal="center" vertical="center"/>
    </xf>
    <xf numFmtId="0" fontId="4" fillId="46" borderId="67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52" xfId="0" applyFont="1" applyBorder="1" applyAlignment="1">
      <alignment horizontal="center" vertical="center" wrapText="1"/>
    </xf>
    <xf numFmtId="0" fontId="4" fillId="0" borderId="45" xfId="0" applyFont="1" applyBorder="1" applyAlignment="1">
      <alignment horizontal="center" vertical="center" wrapText="1"/>
    </xf>
    <xf numFmtId="0" fontId="4" fillId="0" borderId="46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1" fontId="4" fillId="5" borderId="10" xfId="0" applyNumberFormat="1" applyFont="1" applyFill="1" applyBorder="1" applyAlignment="1">
      <alignment horizontal="center" vertical="center"/>
    </xf>
    <xf numFmtId="1" fontId="4" fillId="54" borderId="10" xfId="0" applyNumberFormat="1" applyFont="1" applyFill="1" applyBorder="1" applyAlignment="1">
      <alignment horizontal="center" vertical="center"/>
    </xf>
    <xf numFmtId="1" fontId="7" fillId="5" borderId="10" xfId="0" applyNumberFormat="1" applyFont="1" applyFill="1" applyBorder="1" applyAlignment="1">
      <alignment horizontal="center"/>
    </xf>
    <xf numFmtId="1" fontId="7" fillId="5" borderId="135" xfId="0" applyNumberFormat="1" applyFont="1" applyFill="1" applyBorder="1" applyAlignment="1">
      <alignment horizontal="center"/>
    </xf>
    <xf numFmtId="1" fontId="7" fillId="54" borderId="10" xfId="0" applyNumberFormat="1" applyFont="1" applyFill="1" applyBorder="1" applyAlignment="1">
      <alignment horizontal="center"/>
    </xf>
    <xf numFmtId="1" fontId="7" fillId="54" borderId="135" xfId="0" applyNumberFormat="1" applyFont="1" applyFill="1" applyBorder="1" applyAlignment="1">
      <alignment horizontal="center"/>
    </xf>
    <xf numFmtId="0" fontId="7" fillId="5" borderId="10" xfId="0" applyFont="1" applyFill="1" applyBorder="1" applyAlignment="1">
      <alignment horizontal="center" vertical="center"/>
    </xf>
    <xf numFmtId="0" fontId="7" fillId="5" borderId="135" xfId="0" applyFont="1" applyFill="1" applyBorder="1" applyAlignment="1">
      <alignment horizontal="center" vertical="center"/>
    </xf>
    <xf numFmtId="0" fontId="7" fillId="54" borderId="10" xfId="0" applyFont="1" applyFill="1" applyBorder="1" applyAlignment="1">
      <alignment horizontal="center" vertical="center"/>
    </xf>
    <xf numFmtId="0" fontId="7" fillId="54" borderId="135" xfId="0" applyFont="1" applyFill="1" applyBorder="1" applyAlignment="1">
      <alignment horizontal="center" vertical="center"/>
    </xf>
    <xf numFmtId="1" fontId="4" fillId="0" borderId="45" xfId="0" applyNumberFormat="1" applyFont="1" applyBorder="1" applyAlignment="1">
      <alignment horizontal="center" vertical="center"/>
    </xf>
    <xf numFmtId="1" fontId="4" fillId="0" borderId="46" xfId="0" applyNumberFormat="1" applyFont="1" applyBorder="1" applyAlignment="1">
      <alignment horizontal="center" vertical="center"/>
    </xf>
    <xf numFmtId="1" fontId="4" fillId="0" borderId="30" xfId="0" applyNumberFormat="1" applyFont="1" applyBorder="1" applyAlignment="1">
      <alignment horizontal="center" vertical="center"/>
    </xf>
    <xf numFmtId="1" fontId="4" fillId="7" borderId="45" xfId="0" applyNumberFormat="1" applyFont="1" applyFill="1" applyBorder="1" applyAlignment="1">
      <alignment horizontal="center" vertical="center"/>
    </xf>
    <xf numFmtId="1" fontId="4" fillId="7" borderId="46" xfId="0" applyNumberFormat="1" applyFont="1" applyFill="1" applyBorder="1" applyAlignment="1">
      <alignment horizontal="center" vertical="center"/>
    </xf>
    <xf numFmtId="1" fontId="4" fillId="7" borderId="30" xfId="0" applyNumberFormat="1" applyFont="1" applyFill="1" applyBorder="1" applyAlignment="1">
      <alignment horizontal="center" vertical="center"/>
    </xf>
    <xf numFmtId="1" fontId="7" fillId="8" borderId="45" xfId="0" applyNumberFormat="1" applyFont="1" applyFill="1" applyBorder="1" applyAlignment="1">
      <alignment horizontal="center"/>
    </xf>
    <xf numFmtId="1" fontId="7" fillId="8" borderId="46" xfId="0" applyNumberFormat="1" applyFont="1" applyFill="1" applyBorder="1" applyAlignment="1">
      <alignment horizontal="center"/>
    </xf>
    <xf numFmtId="1" fontId="7" fillId="8" borderId="30" xfId="0" applyNumberFormat="1" applyFont="1" applyFill="1" applyBorder="1" applyAlignment="1">
      <alignment horizontal="center"/>
    </xf>
    <xf numFmtId="1" fontId="7" fillId="7" borderId="45" xfId="0" applyNumberFormat="1" applyFont="1" applyFill="1" applyBorder="1" applyAlignment="1">
      <alignment horizontal="center"/>
    </xf>
    <xf numFmtId="1" fontId="7" fillId="7" borderId="46" xfId="0" applyNumberFormat="1" applyFont="1" applyFill="1" applyBorder="1" applyAlignment="1">
      <alignment horizontal="center"/>
    </xf>
    <xf numFmtId="1" fontId="7" fillId="7" borderId="30" xfId="0" applyNumberFormat="1" applyFont="1" applyFill="1" applyBorder="1" applyAlignment="1">
      <alignment horizontal="center"/>
    </xf>
    <xf numFmtId="0" fontId="4" fillId="5" borderId="10" xfId="0" applyFont="1" applyFill="1" applyBorder="1" applyAlignment="1">
      <alignment horizontal="center" vertical="center"/>
    </xf>
    <xf numFmtId="0" fontId="4" fillId="54" borderId="10" xfId="0" applyFont="1" applyFill="1" applyBorder="1" applyAlignment="1">
      <alignment horizontal="center" vertical="center"/>
    </xf>
    <xf numFmtId="1" fontId="7" fillId="5" borderId="10" xfId="0" applyNumberFormat="1" applyFont="1" applyFill="1" applyBorder="1" applyAlignment="1">
      <alignment horizontal="center" vertical="center"/>
    </xf>
    <xf numFmtId="1" fontId="7" fillId="54" borderId="10" xfId="0" applyNumberFormat="1" applyFont="1" applyFill="1" applyBorder="1" applyAlignment="1">
      <alignment horizontal="center" vertical="center"/>
    </xf>
    <xf numFmtId="1" fontId="7" fillId="8" borderId="45" xfId="0" applyNumberFormat="1" applyFont="1" applyFill="1" applyBorder="1" applyAlignment="1">
      <alignment horizontal="center" vertical="center"/>
    </xf>
    <xf numFmtId="1" fontId="7" fillId="8" borderId="30" xfId="0" applyNumberFormat="1" applyFont="1" applyFill="1" applyBorder="1" applyAlignment="1">
      <alignment horizontal="center" vertical="center"/>
    </xf>
    <xf numFmtId="1" fontId="7" fillId="7" borderId="10" xfId="0" applyNumberFormat="1" applyFont="1" applyFill="1" applyBorder="1" applyAlignment="1">
      <alignment horizontal="center" vertical="center"/>
    </xf>
    <xf numFmtId="1" fontId="7" fillId="7" borderId="45" xfId="0" applyNumberFormat="1" applyFont="1" applyFill="1" applyBorder="1" applyAlignment="1">
      <alignment horizontal="center" vertical="center"/>
    </xf>
    <xf numFmtId="1" fontId="7" fillId="7" borderId="30" xfId="0" applyNumberFormat="1" applyFont="1" applyFill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29" xfId="0" applyFont="1" applyBorder="1" applyAlignment="1">
      <alignment horizontal="center" vertical="center"/>
    </xf>
    <xf numFmtId="0" fontId="4" fillId="7" borderId="37" xfId="0" applyFont="1" applyFill="1" applyBorder="1" applyAlignment="1">
      <alignment horizontal="center" vertical="center"/>
    </xf>
    <xf numFmtId="0" fontId="4" fillId="7" borderId="29" xfId="0" applyFont="1" applyFill="1" applyBorder="1" applyAlignment="1">
      <alignment horizontal="center" vertical="center"/>
    </xf>
    <xf numFmtId="1" fontId="4" fillId="7" borderId="10" xfId="0" applyNumberFormat="1" applyFont="1" applyFill="1" applyBorder="1" applyAlignment="1">
      <alignment horizontal="center" vertical="center"/>
    </xf>
    <xf numFmtId="1" fontId="7" fillId="7" borderId="10" xfId="0" applyNumberFormat="1" applyFont="1" applyFill="1" applyBorder="1" applyAlignment="1">
      <alignment horizontal="center"/>
    </xf>
    <xf numFmtId="1" fontId="7" fillId="7" borderId="135" xfId="0" applyNumberFormat="1" applyFont="1" applyFill="1" applyBorder="1" applyAlignment="1">
      <alignment horizontal="center"/>
    </xf>
    <xf numFmtId="0" fontId="7" fillId="7" borderId="10" xfId="0" applyFont="1" applyFill="1" applyBorder="1" applyAlignment="1">
      <alignment horizontal="center" vertical="center"/>
    </xf>
    <xf numFmtId="0" fontId="7" fillId="7" borderId="135" xfId="0" applyFont="1" applyFill="1" applyBorder="1" applyAlignment="1">
      <alignment horizontal="center" vertical="center"/>
    </xf>
    <xf numFmtId="0" fontId="4" fillId="7" borderId="10" xfId="0" applyFont="1" applyFill="1" applyBorder="1" applyAlignment="1">
      <alignment horizontal="center" vertical="center"/>
    </xf>
    <xf numFmtId="1" fontId="4" fillId="0" borderId="10" xfId="0" applyNumberFormat="1" applyFont="1" applyBorder="1" applyAlignment="1">
      <alignment horizontal="center" vertical="center"/>
    </xf>
    <xf numFmtId="1" fontId="7" fillId="8" borderId="10" xfId="0" applyNumberFormat="1" applyFont="1" applyFill="1" applyBorder="1" applyAlignment="1">
      <alignment horizontal="center"/>
    </xf>
    <xf numFmtId="1" fontId="7" fillId="8" borderId="135" xfId="0" applyNumberFormat="1" applyFont="1" applyFill="1" applyBorder="1" applyAlignment="1">
      <alignment horizontal="center"/>
    </xf>
    <xf numFmtId="0" fontId="7" fillId="0" borderId="10" xfId="0" applyFont="1" applyBorder="1" applyAlignment="1">
      <alignment horizontal="center" vertical="center"/>
    </xf>
    <xf numFmtId="0" fontId="7" fillId="0" borderId="46" xfId="0" applyFont="1" applyBorder="1" applyAlignment="1">
      <alignment vertical="center"/>
    </xf>
    <xf numFmtId="0" fontId="7" fillId="0" borderId="30" xfId="0" applyFont="1" applyBorder="1" applyAlignment="1">
      <alignment vertical="center"/>
    </xf>
    <xf numFmtId="1" fontId="7" fillId="8" borderId="10" xfId="0" applyNumberFormat="1" applyFont="1" applyFill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7" fillId="0" borderId="135" xfId="0" applyFont="1" applyBorder="1" applyAlignment="1">
      <alignment horizontal="center" vertical="center"/>
    </xf>
    <xf numFmtId="0" fontId="0" fillId="0" borderId="0" xfId="0"/>
    <xf numFmtId="0" fontId="142" fillId="8" borderId="64" xfId="0" applyFont="1" applyFill="1" applyBorder="1" applyAlignment="1">
      <alignment horizontal="center" vertical="center"/>
    </xf>
    <xf numFmtId="0" fontId="142" fillId="8" borderId="48" xfId="0" applyFont="1" applyFill="1" applyBorder="1" applyAlignment="1">
      <alignment horizontal="center" vertical="center"/>
    </xf>
    <xf numFmtId="0" fontId="111" fillId="8" borderId="10" xfId="0" applyFont="1" applyFill="1" applyBorder="1" applyAlignment="1">
      <alignment horizontal="center" vertical="center"/>
    </xf>
    <xf numFmtId="0" fontId="8" fillId="0" borderId="10" xfId="0" applyFont="1" applyBorder="1" applyAlignment="1">
      <alignment horizontal="left" vertical="center"/>
    </xf>
    <xf numFmtId="0" fontId="8" fillId="4" borderId="10" xfId="0" applyFont="1" applyFill="1" applyBorder="1" applyAlignment="1">
      <alignment horizontal="left" vertical="center"/>
    </xf>
    <xf numFmtId="17" fontId="15" fillId="44" borderId="44" xfId="0" applyNumberFormat="1" applyFont="1" applyFill="1" applyBorder="1" applyAlignment="1">
      <alignment horizontal="center" vertical="center"/>
    </xf>
    <xf numFmtId="17" fontId="15" fillId="44" borderId="61" xfId="0" applyNumberFormat="1" applyFont="1" applyFill="1" applyBorder="1" applyAlignment="1">
      <alignment horizontal="center" vertical="center"/>
    </xf>
    <xf numFmtId="17" fontId="15" fillId="7" borderId="44" xfId="0" applyNumberFormat="1" applyFont="1" applyFill="1" applyBorder="1" applyAlignment="1">
      <alignment horizontal="center" vertical="center"/>
    </xf>
    <xf numFmtId="17" fontId="15" fillId="7" borderId="61" xfId="0" applyNumberFormat="1" applyFont="1" applyFill="1" applyBorder="1" applyAlignment="1">
      <alignment horizontal="center" vertical="center"/>
    </xf>
    <xf numFmtId="17" fontId="15" fillId="0" borderId="44" xfId="0" applyNumberFormat="1" applyFont="1" applyBorder="1" applyAlignment="1">
      <alignment horizontal="center" vertical="center"/>
    </xf>
    <xf numFmtId="17" fontId="15" fillId="0" borderId="61" xfId="0" applyNumberFormat="1" applyFont="1" applyBorder="1" applyAlignment="1">
      <alignment horizontal="center" vertical="center"/>
    </xf>
    <xf numFmtId="17" fontId="15" fillId="5" borderId="44" xfId="0" applyNumberFormat="1" applyFont="1" applyFill="1" applyBorder="1" applyAlignment="1">
      <alignment horizontal="center" vertical="center"/>
    </xf>
    <xf numFmtId="17" fontId="15" fillId="5" borderId="61" xfId="0" applyNumberFormat="1" applyFont="1" applyFill="1" applyBorder="1" applyAlignment="1">
      <alignment horizontal="center" vertical="center"/>
    </xf>
    <xf numFmtId="17" fontId="15" fillId="8" borderId="3" xfId="0" applyNumberFormat="1" applyFont="1" applyFill="1" applyBorder="1" applyAlignment="1">
      <alignment horizontal="center" vertical="center"/>
    </xf>
    <xf numFmtId="17" fontId="15" fillId="8" borderId="42" xfId="0" applyNumberFormat="1" applyFont="1" applyFill="1" applyBorder="1" applyAlignment="1">
      <alignment horizontal="center" vertical="center"/>
    </xf>
    <xf numFmtId="17" fontId="15" fillId="7" borderId="3" xfId="0" applyNumberFormat="1" applyFont="1" applyFill="1" applyBorder="1" applyAlignment="1">
      <alignment horizontal="center" vertical="center"/>
    </xf>
    <xf numFmtId="17" fontId="15" fillId="7" borderId="42" xfId="0" applyNumberFormat="1" applyFont="1" applyFill="1" applyBorder="1" applyAlignment="1">
      <alignment horizontal="center" vertical="center"/>
    </xf>
    <xf numFmtId="0" fontId="15" fillId="0" borderId="35" xfId="0" applyFont="1" applyBorder="1" applyAlignment="1">
      <alignment horizontal="center" vertical="center"/>
    </xf>
    <xf numFmtId="0" fontId="15" fillId="0" borderId="57" xfId="0" applyFont="1" applyBorder="1" applyAlignment="1">
      <alignment horizontal="center" vertical="center"/>
    </xf>
    <xf numFmtId="0" fontId="15" fillId="0" borderId="44" xfId="0" applyFont="1" applyBorder="1" applyAlignment="1">
      <alignment horizontal="center" vertical="center"/>
    </xf>
    <xf numFmtId="0" fontId="15" fillId="0" borderId="47" xfId="0" applyFont="1" applyBorder="1" applyAlignment="1">
      <alignment horizontal="center" vertical="center"/>
    </xf>
    <xf numFmtId="0" fontId="15" fillId="0" borderId="51" xfId="0" applyFont="1" applyBorder="1" applyAlignment="1">
      <alignment horizontal="center" vertical="center"/>
    </xf>
    <xf numFmtId="17" fontId="15" fillId="44" borderId="136" xfId="0" applyNumberFormat="1" applyFont="1" applyFill="1" applyBorder="1" applyAlignment="1">
      <alignment horizontal="center" vertical="center"/>
    </xf>
    <xf numFmtId="17" fontId="15" fillId="0" borderId="3" xfId="0" applyNumberFormat="1" applyFont="1" applyBorder="1" applyAlignment="1">
      <alignment horizontal="center" vertical="center"/>
    </xf>
    <xf numFmtId="17" fontId="15" fillId="0" borderId="42" xfId="0" applyNumberFormat="1" applyFont="1" applyBorder="1" applyAlignment="1">
      <alignment horizontal="center" vertical="center"/>
    </xf>
    <xf numFmtId="17" fontId="15" fillId="8" borderId="66" xfId="0" applyNumberFormat="1" applyFont="1" applyFill="1" applyBorder="1" applyAlignment="1">
      <alignment horizontal="center" vertical="center"/>
    </xf>
    <xf numFmtId="17" fontId="15" fillId="5" borderId="63" xfId="0" applyNumberFormat="1" applyFont="1" applyFill="1" applyBorder="1" applyAlignment="1">
      <alignment horizontal="center" vertical="center"/>
    </xf>
    <xf numFmtId="17" fontId="15" fillId="5" borderId="42" xfId="0" applyNumberFormat="1" applyFont="1" applyFill="1" applyBorder="1" applyAlignment="1">
      <alignment horizontal="center" vertical="center"/>
    </xf>
    <xf numFmtId="0" fontId="103" fillId="0" borderId="44" xfId="0" applyFont="1" applyBorder="1" applyAlignment="1">
      <alignment horizontal="center" vertical="center"/>
    </xf>
    <xf numFmtId="0" fontId="103" fillId="0" borderId="47" xfId="0" applyFont="1" applyBorder="1" applyAlignment="1">
      <alignment horizontal="center" vertical="center"/>
    </xf>
    <xf numFmtId="0" fontId="103" fillId="0" borderId="51" xfId="0" applyFont="1" applyBorder="1" applyAlignment="1">
      <alignment horizontal="center" vertical="center"/>
    </xf>
    <xf numFmtId="0" fontId="143" fillId="0" borderId="44" xfId="0" applyFont="1" applyBorder="1" applyAlignment="1">
      <alignment horizontal="center" vertical="center"/>
    </xf>
    <xf numFmtId="0" fontId="143" fillId="0" borderId="47" xfId="0" applyFont="1" applyBorder="1" applyAlignment="1">
      <alignment horizontal="center" vertical="center"/>
    </xf>
    <xf numFmtId="0" fontId="143" fillId="0" borderId="70" xfId="0" applyFont="1" applyBorder="1" applyAlignment="1">
      <alignment horizontal="center" vertical="center"/>
    </xf>
    <xf numFmtId="0" fontId="144" fillId="0" borderId="44" xfId="0" applyFont="1" applyBorder="1" applyAlignment="1">
      <alignment horizontal="center" vertical="center"/>
    </xf>
    <xf numFmtId="0" fontId="144" fillId="0" borderId="47" xfId="0" applyFont="1" applyBorder="1" applyAlignment="1">
      <alignment horizontal="center" vertical="center"/>
    </xf>
    <xf numFmtId="0" fontId="144" fillId="0" borderId="70" xfId="0" applyFont="1" applyBorder="1" applyAlignment="1">
      <alignment horizontal="center" vertical="center"/>
    </xf>
    <xf numFmtId="0" fontId="144" fillId="0" borderId="51" xfId="0" applyFont="1" applyBorder="1" applyAlignment="1">
      <alignment horizontal="center" vertical="center"/>
    </xf>
    <xf numFmtId="17" fontId="15" fillId="5" borderId="66" xfId="0" applyNumberFormat="1" applyFont="1" applyFill="1" applyBorder="1" applyAlignment="1">
      <alignment horizontal="center" vertical="center"/>
    </xf>
    <xf numFmtId="0" fontId="143" fillId="0" borderId="51" xfId="0" applyFont="1" applyBorder="1" applyAlignment="1">
      <alignment horizontal="center" vertical="center"/>
    </xf>
    <xf numFmtId="0" fontId="144" fillId="0" borderId="52" xfId="0" applyFont="1" applyBorder="1" applyAlignment="1">
      <alignment horizontal="center" vertical="center"/>
    </xf>
    <xf numFmtId="17" fontId="15" fillId="6" borderId="136" xfId="0" applyNumberFormat="1" applyFont="1" applyFill="1" applyBorder="1" applyAlignment="1">
      <alignment horizontal="center" vertical="center"/>
    </xf>
    <xf numFmtId="1" fontId="21" fillId="8" borderId="74" xfId="0" applyNumberFormat="1" applyFont="1" applyFill="1" applyBorder="1" applyAlignment="1">
      <alignment horizontal="center" vertical="center"/>
    </xf>
    <xf numFmtId="1" fontId="21" fillId="7" borderId="74" xfId="0" applyNumberFormat="1" applyFont="1" applyFill="1" applyBorder="1" applyAlignment="1">
      <alignment horizontal="center" vertical="center"/>
    </xf>
    <xf numFmtId="1" fontId="21" fillId="8" borderId="62" xfId="0" applyNumberFormat="1" applyFont="1" applyFill="1" applyBorder="1" applyAlignment="1">
      <alignment horizontal="center" vertical="center"/>
    </xf>
    <xf numFmtId="1" fontId="21" fillId="8" borderId="34" xfId="0" applyNumberFormat="1" applyFont="1" applyFill="1" applyBorder="1" applyAlignment="1">
      <alignment horizontal="center" vertical="center"/>
    </xf>
    <xf numFmtId="1" fontId="21" fillId="7" borderId="76" xfId="0" applyNumberFormat="1" applyFont="1" applyFill="1" applyBorder="1" applyAlignment="1">
      <alignment horizontal="center" vertical="center"/>
    </xf>
    <xf numFmtId="1" fontId="21" fillId="7" borderId="9" xfId="0" applyNumberFormat="1" applyFont="1" applyFill="1" applyBorder="1" applyAlignment="1">
      <alignment horizontal="center" vertical="center"/>
    </xf>
    <xf numFmtId="1" fontId="21" fillId="0" borderId="43" xfId="0" applyNumberFormat="1" applyFont="1" applyBorder="1" applyAlignment="1">
      <alignment horizontal="center" vertical="center"/>
    </xf>
    <xf numFmtId="1" fontId="21" fillId="0" borderId="40" xfId="0" applyNumberFormat="1" applyFont="1" applyBorder="1" applyAlignment="1">
      <alignment horizontal="center" vertical="center"/>
    </xf>
    <xf numFmtId="1" fontId="21" fillId="0" borderId="16" xfId="0" applyNumberFormat="1" applyFont="1" applyBorder="1" applyAlignment="1">
      <alignment horizontal="center" vertical="center"/>
    </xf>
    <xf numFmtId="167" fontId="21" fillId="0" borderId="74" xfId="0" applyNumberFormat="1" applyFont="1" applyBorder="1" applyAlignment="1">
      <alignment horizontal="center" vertical="center"/>
    </xf>
    <xf numFmtId="167" fontId="21" fillId="7" borderId="46" xfId="0" applyNumberFormat="1" applyFont="1" applyFill="1" applyBorder="1" applyAlignment="1">
      <alignment horizontal="center" vertical="center"/>
    </xf>
    <xf numFmtId="167" fontId="21" fillId="5" borderId="80" xfId="0" applyNumberFormat="1" applyFont="1" applyFill="1" applyBorder="1" applyAlignment="1">
      <alignment horizontal="center" vertical="center"/>
    </xf>
    <xf numFmtId="167" fontId="21" fillId="5" borderId="46" xfId="0" applyNumberFormat="1" applyFont="1" applyFill="1" applyBorder="1" applyAlignment="1">
      <alignment horizontal="center" vertical="center"/>
    </xf>
    <xf numFmtId="167" fontId="21" fillId="5" borderId="14" xfId="0" applyNumberFormat="1" applyFont="1" applyFill="1" applyBorder="1" applyAlignment="1">
      <alignment horizontal="center" vertical="center"/>
    </xf>
    <xf numFmtId="167" fontId="21" fillId="6" borderId="80" xfId="0" applyNumberFormat="1" applyFont="1" applyFill="1" applyBorder="1" applyAlignment="1">
      <alignment horizontal="center" vertical="center"/>
    </xf>
    <xf numFmtId="167" fontId="21" fillId="6" borderId="46" xfId="0" applyNumberFormat="1" applyFont="1" applyFill="1" applyBorder="1" applyAlignment="1">
      <alignment horizontal="center" vertical="center"/>
    </xf>
    <xf numFmtId="167" fontId="21" fillId="6" borderId="14" xfId="0" applyNumberFormat="1" applyFont="1" applyFill="1" applyBorder="1" applyAlignment="1">
      <alignment horizontal="center" vertical="center"/>
    </xf>
    <xf numFmtId="1" fontId="21" fillId="5" borderId="43" xfId="0" applyNumberFormat="1" applyFont="1" applyFill="1" applyBorder="1" applyAlignment="1">
      <alignment horizontal="center" vertical="center"/>
    </xf>
    <xf numFmtId="1" fontId="21" fillId="5" borderId="40" xfId="0" applyNumberFormat="1" applyFont="1" applyFill="1" applyBorder="1" applyAlignment="1">
      <alignment horizontal="center" vertical="center"/>
    </xf>
    <xf numFmtId="1" fontId="21" fillId="5" borderId="16" xfId="0" applyNumberFormat="1" applyFont="1" applyFill="1" applyBorder="1" applyAlignment="1">
      <alignment horizontal="center" vertical="center"/>
    </xf>
    <xf numFmtId="1" fontId="21" fillId="5" borderId="74" xfId="0" applyNumberFormat="1" applyFont="1" applyFill="1" applyBorder="1" applyAlignment="1">
      <alignment horizontal="center" vertical="center"/>
    </xf>
    <xf numFmtId="1" fontId="21" fillId="5" borderId="76" xfId="0" applyNumberFormat="1" applyFont="1" applyFill="1" applyBorder="1" applyAlignment="1">
      <alignment horizontal="center" vertical="center"/>
    </xf>
    <xf numFmtId="1" fontId="21" fillId="5" borderId="9" xfId="0" applyNumberFormat="1" applyFont="1" applyFill="1" applyBorder="1" applyAlignment="1">
      <alignment horizontal="center" vertical="center"/>
    </xf>
    <xf numFmtId="1" fontId="21" fillId="6" borderId="76" xfId="0" applyNumberFormat="1" applyFont="1" applyFill="1" applyBorder="1" applyAlignment="1">
      <alignment horizontal="center" vertical="center"/>
    </xf>
    <xf numFmtId="1" fontId="21" fillId="6" borderId="74" xfId="0" applyNumberFormat="1" applyFont="1" applyFill="1" applyBorder="1" applyAlignment="1">
      <alignment horizontal="center" vertical="center"/>
    </xf>
    <xf numFmtId="1" fontId="21" fillId="6" borderId="9" xfId="0" applyNumberFormat="1" applyFont="1" applyFill="1" applyBorder="1" applyAlignment="1">
      <alignment horizontal="center" vertical="center"/>
    </xf>
    <xf numFmtId="1" fontId="21" fillId="5" borderId="34" xfId="0" applyNumberFormat="1" applyFont="1" applyFill="1" applyBorder="1" applyAlignment="1">
      <alignment horizontal="center" vertical="center"/>
    </xf>
    <xf numFmtId="1" fontId="21" fillId="5" borderId="62" xfId="0" applyNumberFormat="1" applyFont="1" applyFill="1" applyBorder="1" applyAlignment="1">
      <alignment horizontal="center" vertical="center"/>
    </xf>
    <xf numFmtId="0" fontId="22" fillId="0" borderId="2" xfId="0" applyFont="1" applyBorder="1" applyAlignment="1">
      <alignment horizontal="left" vertical="center"/>
    </xf>
    <xf numFmtId="0" fontId="22" fillId="0" borderId="57" xfId="0" applyFont="1" applyBorder="1" applyAlignment="1">
      <alignment horizontal="left" vertical="center"/>
    </xf>
    <xf numFmtId="0" fontId="22" fillId="5" borderId="25" xfId="0" applyFont="1" applyFill="1" applyBorder="1" applyAlignment="1">
      <alignment horizontal="center" vertical="center"/>
    </xf>
    <xf numFmtId="0" fontId="22" fillId="5" borderId="21" xfId="0" applyFont="1" applyFill="1" applyBorder="1" applyAlignment="1">
      <alignment horizontal="center" vertical="center"/>
    </xf>
    <xf numFmtId="0" fontId="22" fillId="0" borderId="25" xfId="0" applyFont="1" applyBorder="1" applyAlignment="1">
      <alignment horizontal="center"/>
    </xf>
    <xf numFmtId="0" fontId="22" fillId="0" borderId="21" xfId="0" applyFont="1" applyBorder="1" applyAlignment="1">
      <alignment horizontal="center"/>
    </xf>
    <xf numFmtId="0" fontId="22" fillId="0" borderId="20" xfId="0" applyFont="1" applyBorder="1" applyAlignment="1">
      <alignment horizontal="center" vertical="center"/>
    </xf>
    <xf numFmtId="0" fontId="22" fillId="0" borderId="39" xfId="0" applyFont="1" applyBorder="1" applyAlignment="1">
      <alignment horizontal="center" vertical="center"/>
    </xf>
    <xf numFmtId="0" fontId="22" fillId="0" borderId="26" xfId="0" applyFont="1" applyBorder="1" applyAlignment="1">
      <alignment horizontal="center" vertical="center"/>
    </xf>
    <xf numFmtId="167" fontId="21" fillId="0" borderId="0" xfId="0" applyNumberFormat="1" applyFont="1" applyBorder="1" applyAlignment="1">
      <alignment horizontal="center" vertical="center"/>
    </xf>
    <xf numFmtId="1" fontId="21" fillId="8" borderId="6" xfId="0" applyNumberFormat="1" applyFont="1" applyFill="1" applyBorder="1" applyAlignment="1">
      <alignment horizontal="center" vertical="center"/>
    </xf>
    <xf numFmtId="1" fontId="21" fillId="0" borderId="39" xfId="0" applyNumberFormat="1" applyFont="1" applyBorder="1" applyAlignment="1">
      <alignment horizontal="center" vertical="center"/>
    </xf>
    <xf numFmtId="1" fontId="21" fillId="0" borderId="0" xfId="0" applyNumberFormat="1" applyFont="1" applyAlignment="1">
      <alignment horizontal="center" vertical="center"/>
    </xf>
    <xf numFmtId="1" fontId="21" fillId="0" borderId="26" xfId="0" applyNumberFormat="1" applyFont="1" applyBorder="1" applyAlignment="1">
      <alignment horizontal="center" vertical="center"/>
    </xf>
    <xf numFmtId="1" fontId="21" fillId="8" borderId="7" xfId="0" applyNumberFormat="1" applyFont="1" applyFill="1" applyBorder="1" applyAlignment="1">
      <alignment horizontal="center" vertical="center"/>
    </xf>
    <xf numFmtId="1" fontId="21" fillId="8" borderId="75" xfId="0" applyNumberFormat="1" applyFont="1" applyFill="1" applyBorder="1" applyAlignment="1">
      <alignment horizontal="center" vertical="center"/>
    </xf>
    <xf numFmtId="167" fontId="21" fillId="5" borderId="74" xfId="0" applyNumberFormat="1" applyFont="1" applyFill="1" applyBorder="1" applyAlignment="1">
      <alignment horizontal="center" vertical="center"/>
    </xf>
    <xf numFmtId="167" fontId="21" fillId="7" borderId="74" xfId="0" applyNumberFormat="1" applyFont="1" applyFill="1" applyBorder="1" applyAlignment="1">
      <alignment horizontal="center" vertical="center"/>
    </xf>
    <xf numFmtId="167" fontId="21" fillId="7" borderId="76" xfId="0" applyNumberFormat="1" applyFont="1" applyFill="1" applyBorder="1" applyAlignment="1">
      <alignment horizontal="center" vertical="center"/>
    </xf>
    <xf numFmtId="167" fontId="21" fillId="7" borderId="9" xfId="0" applyNumberFormat="1" applyFont="1" applyFill="1" applyBorder="1" applyAlignment="1">
      <alignment horizontal="center" vertical="center"/>
    </xf>
    <xf numFmtId="1" fontId="21" fillId="6" borderId="43" xfId="0" applyNumberFormat="1" applyFont="1" applyFill="1" applyBorder="1" applyAlignment="1">
      <alignment horizontal="center" vertical="center"/>
    </xf>
    <xf numFmtId="1" fontId="21" fillId="6" borderId="40" xfId="0" applyNumberFormat="1" applyFont="1" applyFill="1" applyBorder="1" applyAlignment="1">
      <alignment horizontal="center" vertical="center"/>
    </xf>
    <xf numFmtId="1" fontId="21" fillId="6" borderId="16" xfId="0" applyNumberFormat="1" applyFont="1" applyFill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/>
    </xf>
    <xf numFmtId="0" fontId="4" fillId="5" borderId="37" xfId="0" applyFont="1" applyFill="1" applyBorder="1" applyAlignment="1">
      <alignment horizontal="center" vertical="center"/>
    </xf>
    <xf numFmtId="0" fontId="4" fillId="5" borderId="29" xfId="0" applyFont="1" applyFill="1" applyBorder="1" applyAlignment="1">
      <alignment horizontal="center" vertical="center"/>
    </xf>
    <xf numFmtId="0" fontId="4" fillId="6" borderId="37" xfId="0" applyFont="1" applyFill="1" applyBorder="1" applyAlignment="1">
      <alignment horizontal="center" vertical="center"/>
    </xf>
    <xf numFmtId="0" fontId="4" fillId="6" borderId="29" xfId="0" applyFont="1" applyFill="1" applyBorder="1" applyAlignment="1">
      <alignment horizontal="center" vertical="center"/>
    </xf>
    <xf numFmtId="0" fontId="23" fillId="8" borderId="10" xfId="0" applyFont="1" applyFill="1" applyBorder="1" applyAlignment="1">
      <alignment horizontal="center" vertical="center" wrapText="1"/>
    </xf>
    <xf numFmtId="0" fontId="23" fillId="8" borderId="45" xfId="0" applyFont="1" applyFill="1" applyBorder="1" applyAlignment="1">
      <alignment horizontal="center" vertical="center"/>
    </xf>
    <xf numFmtId="0" fontId="23" fillId="8" borderId="46" xfId="0" applyFont="1" applyFill="1" applyBorder="1" applyAlignment="1">
      <alignment horizontal="center" vertical="center"/>
    </xf>
    <xf numFmtId="0" fontId="23" fillId="8" borderId="30" xfId="0" applyFont="1" applyFill="1" applyBorder="1" applyAlignment="1">
      <alignment horizontal="center" vertical="center"/>
    </xf>
    <xf numFmtId="0" fontId="23" fillId="8" borderId="45" xfId="0" applyFont="1" applyFill="1" applyBorder="1" applyAlignment="1">
      <alignment horizontal="center" vertical="center" wrapText="1"/>
    </xf>
    <xf numFmtId="0" fontId="23" fillId="8" borderId="46" xfId="0" applyFont="1" applyFill="1" applyBorder="1" applyAlignment="1">
      <alignment horizontal="center" vertical="center" wrapText="1"/>
    </xf>
    <xf numFmtId="0" fontId="23" fillId="8" borderId="30" xfId="0" applyFont="1" applyFill="1" applyBorder="1" applyAlignment="1">
      <alignment horizontal="center" vertical="center" wrapText="1"/>
    </xf>
    <xf numFmtId="0" fontId="23" fillId="0" borderId="45" xfId="0" applyFont="1" applyBorder="1" applyAlignment="1">
      <alignment horizontal="center" vertical="center" wrapText="1"/>
    </xf>
    <xf numFmtId="0" fontId="23" fillId="0" borderId="46" xfId="0" applyFont="1" applyBorder="1" applyAlignment="1">
      <alignment horizontal="center" vertical="center" wrapText="1"/>
    </xf>
    <xf numFmtId="0" fontId="23" fillId="0" borderId="30" xfId="0" applyFont="1" applyBorder="1" applyAlignment="1">
      <alignment horizontal="center" vertical="center" wrapText="1"/>
    </xf>
    <xf numFmtId="0" fontId="27" fillId="7" borderId="10" xfId="0" applyFont="1" applyFill="1" applyBorder="1" applyAlignment="1">
      <alignment horizontal="center" vertical="center"/>
    </xf>
    <xf numFmtId="0" fontId="27" fillId="0" borderId="10" xfId="0" applyFont="1" applyBorder="1" applyAlignment="1">
      <alignment horizontal="center" vertical="center"/>
    </xf>
    <xf numFmtId="0" fontId="27" fillId="5" borderId="10" xfId="0" applyFont="1" applyFill="1" applyBorder="1" applyAlignment="1">
      <alignment horizontal="center" vertical="center"/>
    </xf>
    <xf numFmtId="0" fontId="27" fillId="6" borderId="10" xfId="0" applyFont="1" applyFill="1" applyBorder="1" applyAlignment="1">
      <alignment horizontal="center" vertical="center"/>
    </xf>
    <xf numFmtId="0" fontId="15" fillId="0" borderId="10" xfId="0" applyFont="1" applyBorder="1" applyAlignment="1">
      <alignment horizontal="left" vertical="center"/>
    </xf>
    <xf numFmtId="0" fontId="27" fillId="0" borderId="10" xfId="0" applyFont="1" applyBorder="1" applyAlignment="1">
      <alignment horizontal="left" vertical="center"/>
    </xf>
    <xf numFmtId="0" fontId="22" fillId="0" borderId="10" xfId="0" applyFont="1" applyBorder="1" applyAlignment="1">
      <alignment horizontal="center" vertical="center"/>
    </xf>
    <xf numFmtId="0" fontId="22" fillId="7" borderId="41" xfId="0" applyFont="1" applyFill="1" applyBorder="1" applyAlignment="1">
      <alignment horizontal="center" vertical="center"/>
    </xf>
    <xf numFmtId="0" fontId="22" fillId="0" borderId="63" xfId="0" applyFont="1" applyBorder="1" applyAlignment="1">
      <alignment horizontal="left" vertical="center"/>
    </xf>
    <xf numFmtId="0" fontId="22" fillId="0" borderId="31" xfId="0" applyFont="1" applyBorder="1" applyAlignment="1">
      <alignment horizontal="left" vertical="center"/>
    </xf>
    <xf numFmtId="167" fontId="8" fillId="8" borderId="136" xfId="0" applyNumberFormat="1" applyFont="1" applyFill="1" applyBorder="1" applyAlignment="1">
      <alignment horizontal="center" vertical="center"/>
    </xf>
    <xf numFmtId="167" fontId="8" fillId="7" borderId="136" xfId="0" applyNumberFormat="1" applyFont="1" applyFill="1" applyBorder="1" applyAlignment="1">
      <alignment horizontal="center" vertical="center"/>
    </xf>
    <xf numFmtId="0" fontId="8" fillId="5" borderId="41" xfId="0" applyFont="1" applyFill="1" applyBorder="1" applyAlignment="1">
      <alignment horizontal="center" vertical="center"/>
    </xf>
    <xf numFmtId="0" fontId="8" fillId="6" borderId="41" xfId="0" applyFont="1" applyFill="1" applyBorder="1" applyAlignment="1">
      <alignment horizontal="center" vertical="center"/>
    </xf>
    <xf numFmtId="1" fontId="8" fillId="5" borderId="136" xfId="0" applyNumberFormat="1" applyFont="1" applyFill="1" applyBorder="1" applyAlignment="1">
      <alignment horizontal="center" vertical="center"/>
    </xf>
    <xf numFmtId="1" fontId="8" fillId="5" borderId="23" xfId="0" applyNumberFormat="1" applyFont="1" applyFill="1" applyBorder="1" applyAlignment="1">
      <alignment horizontal="center" vertical="center"/>
    </xf>
    <xf numFmtId="1" fontId="8" fillId="6" borderId="136" xfId="0" applyNumberFormat="1" applyFont="1" applyFill="1" applyBorder="1" applyAlignment="1">
      <alignment horizontal="center" vertical="center"/>
    </xf>
    <xf numFmtId="1" fontId="8" fillId="6" borderId="23" xfId="0" applyNumberFormat="1" applyFont="1" applyFill="1" applyBorder="1" applyAlignment="1">
      <alignment horizontal="center" vertical="center"/>
    </xf>
    <xf numFmtId="1" fontId="145" fillId="5" borderId="136" xfId="0" applyNumberFormat="1" applyFont="1" applyFill="1" applyBorder="1" applyAlignment="1">
      <alignment horizontal="center" vertical="center"/>
    </xf>
    <xf numFmtId="1" fontId="145" fillId="6" borderId="136" xfId="0" applyNumberFormat="1" applyFont="1" applyFill="1" applyBorder="1" applyAlignment="1">
      <alignment horizontal="center" vertical="center"/>
    </xf>
    <xf numFmtId="1" fontId="8" fillId="5" borderId="136" xfId="0" applyNumberFormat="1" applyFont="1" applyFill="1" applyBorder="1" applyAlignment="1">
      <alignment horizontal="center"/>
    </xf>
    <xf numFmtId="1" fontId="8" fillId="6" borderId="136" xfId="0" applyNumberFormat="1" applyFont="1" applyFill="1" applyBorder="1" applyAlignment="1">
      <alignment horizontal="center"/>
    </xf>
    <xf numFmtId="1" fontId="8" fillId="5" borderId="23" xfId="0" applyNumberFormat="1" applyFont="1" applyFill="1" applyBorder="1" applyAlignment="1">
      <alignment horizontal="center"/>
    </xf>
    <xf numFmtId="1" fontId="8" fillId="6" borderId="23" xfId="0" applyNumberFormat="1" applyFont="1" applyFill="1" applyBorder="1" applyAlignment="1">
      <alignment horizontal="center"/>
    </xf>
    <xf numFmtId="167" fontId="8" fillId="5" borderId="136" xfId="0" applyNumberFormat="1" applyFont="1" applyFill="1" applyBorder="1" applyAlignment="1">
      <alignment horizontal="center" vertical="center"/>
    </xf>
    <xf numFmtId="167" fontId="8" fillId="6" borderId="136" xfId="0" applyNumberFormat="1" applyFont="1" applyFill="1" applyBorder="1" applyAlignment="1">
      <alignment horizontal="center" vertical="center"/>
    </xf>
    <xf numFmtId="0" fontId="8" fillId="8" borderId="41" xfId="0" applyFont="1" applyFill="1" applyBorder="1" applyAlignment="1">
      <alignment horizontal="center" vertical="center"/>
    </xf>
    <xf numFmtId="0" fontId="8" fillId="7" borderId="41" xfId="0" applyFont="1" applyFill="1" applyBorder="1" applyAlignment="1">
      <alignment horizontal="center" vertical="center"/>
    </xf>
    <xf numFmtId="0" fontId="8" fillId="7" borderId="42" xfId="0" applyFont="1" applyFill="1" applyBorder="1" applyAlignment="1">
      <alignment horizontal="center" vertical="center"/>
    </xf>
    <xf numFmtId="1" fontId="8" fillId="8" borderId="136" xfId="0" applyNumberFormat="1" applyFont="1" applyFill="1" applyBorder="1" applyAlignment="1">
      <alignment horizontal="center" vertical="center"/>
    </xf>
    <xf numFmtId="1" fontId="8" fillId="8" borderId="23" xfId="0" applyNumberFormat="1" applyFont="1" applyFill="1" applyBorder="1" applyAlignment="1">
      <alignment horizontal="center" vertical="center"/>
    </xf>
    <xf numFmtId="1" fontId="8" fillId="7" borderId="136" xfId="0" applyNumberFormat="1" applyFont="1" applyFill="1" applyBorder="1" applyAlignment="1">
      <alignment horizontal="center" vertical="center"/>
    </xf>
    <xf numFmtId="1" fontId="8" fillId="7" borderId="23" xfId="0" applyNumberFormat="1" applyFont="1" applyFill="1" applyBorder="1" applyAlignment="1">
      <alignment horizontal="center" vertical="center"/>
    </xf>
    <xf numFmtId="1" fontId="145" fillId="8" borderId="136" xfId="0" applyNumberFormat="1" applyFont="1" applyFill="1" applyBorder="1" applyAlignment="1">
      <alignment horizontal="center" vertical="center"/>
    </xf>
    <xf numFmtId="1" fontId="145" fillId="7" borderId="136" xfId="0" applyNumberFormat="1" applyFont="1" applyFill="1" applyBorder="1" applyAlignment="1">
      <alignment horizontal="center" vertical="center"/>
    </xf>
    <xf numFmtId="1" fontId="8" fillId="7" borderId="136" xfId="0" applyNumberFormat="1" applyFont="1" applyFill="1" applyBorder="1" applyAlignment="1">
      <alignment horizontal="center"/>
    </xf>
    <xf numFmtId="0" fontId="13" fillId="0" borderId="54" xfId="0" applyFont="1" applyBorder="1" applyAlignment="1">
      <alignment horizontal="left"/>
    </xf>
    <xf numFmtId="0" fontId="11" fillId="0" borderId="54" xfId="0" applyFont="1" applyBorder="1" applyAlignment="1">
      <alignment horizontal="left"/>
    </xf>
    <xf numFmtId="1" fontId="8" fillId="0" borderId="136" xfId="0" applyNumberFormat="1" applyFont="1" applyBorder="1" applyAlignment="1">
      <alignment horizontal="center" vertical="center"/>
    </xf>
    <xf numFmtId="1" fontId="8" fillId="0" borderId="23" xfId="0" applyNumberFormat="1" applyFont="1" applyBorder="1" applyAlignment="1">
      <alignment horizontal="center" vertical="center"/>
    </xf>
    <xf numFmtId="0" fontId="145" fillId="0" borderId="136" xfId="0" applyFont="1" applyBorder="1" applyAlignment="1">
      <alignment horizontal="center" vertical="center"/>
    </xf>
    <xf numFmtId="1" fontId="145" fillId="0" borderId="136" xfId="0" applyNumberFormat="1" applyFont="1" applyBorder="1" applyAlignment="1">
      <alignment horizontal="center" vertical="center"/>
    </xf>
    <xf numFmtId="1" fontId="8" fillId="7" borderId="23" xfId="0" applyNumberFormat="1" applyFont="1" applyFill="1" applyBorder="1" applyAlignment="1">
      <alignment horizontal="center"/>
    </xf>
    <xf numFmtId="0" fontId="13" fillId="0" borderId="10" xfId="0" applyFont="1" applyBorder="1" applyAlignment="1">
      <alignment horizontal="left" vertical="center"/>
    </xf>
    <xf numFmtId="0" fontId="8" fillId="0" borderId="76" xfId="0" applyFont="1" applyBorder="1" applyAlignment="1">
      <alignment horizontal="left" vertical="center"/>
    </xf>
    <xf numFmtId="0" fontId="8" fillId="0" borderId="9" xfId="0" applyFont="1" applyBorder="1" applyAlignment="1">
      <alignment horizontal="left" vertical="center"/>
    </xf>
    <xf numFmtId="0" fontId="8" fillId="0" borderId="86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0" borderId="41" xfId="0" applyFont="1" applyBorder="1" applyAlignment="1">
      <alignment horizontal="center" vertical="center"/>
    </xf>
    <xf numFmtId="0" fontId="8" fillId="0" borderId="63" xfId="0" applyFont="1" applyBorder="1" applyAlignment="1">
      <alignment horizontal="center" vertical="center"/>
    </xf>
    <xf numFmtId="0" fontId="8" fillId="0" borderId="31" xfId="0" applyFont="1" applyBorder="1" applyAlignment="1">
      <alignment horizontal="center" vertical="center"/>
    </xf>
    <xf numFmtId="1" fontId="8" fillId="8" borderId="31" xfId="0" applyNumberFormat="1" applyFont="1" applyFill="1" applyBorder="1" applyAlignment="1">
      <alignment horizontal="center" vertical="center"/>
    </xf>
    <xf numFmtId="1" fontId="8" fillId="8" borderId="32" xfId="0" applyNumberFormat="1" applyFont="1" applyFill="1" applyBorder="1" applyAlignment="1">
      <alignment horizontal="center" vertical="center"/>
    </xf>
    <xf numFmtId="1" fontId="145" fillId="8" borderId="31" xfId="0" applyNumberFormat="1" applyFont="1" applyFill="1" applyBorder="1" applyAlignment="1">
      <alignment horizontal="center" vertical="center"/>
    </xf>
    <xf numFmtId="0" fontId="145" fillId="0" borderId="31" xfId="0" applyFont="1" applyBorder="1" applyAlignment="1">
      <alignment horizontal="center" vertical="center"/>
    </xf>
    <xf numFmtId="1" fontId="8" fillId="0" borderId="31" xfId="0" applyNumberFormat="1" applyFont="1" applyBorder="1" applyAlignment="1">
      <alignment horizontal="center" vertical="center"/>
    </xf>
    <xf numFmtId="1" fontId="8" fillId="0" borderId="32" xfId="0" applyNumberFormat="1" applyFont="1" applyBorder="1" applyAlignment="1">
      <alignment horizontal="center" vertical="center"/>
    </xf>
    <xf numFmtId="0" fontId="46" fillId="0" borderId="0" xfId="0" applyFont="1" applyAlignment="1">
      <alignment horizontal="center"/>
    </xf>
    <xf numFmtId="0" fontId="22" fillId="0" borderId="9" xfId="0" applyFont="1" applyBorder="1" applyAlignment="1">
      <alignment horizontal="left" vertical="center"/>
    </xf>
    <xf numFmtId="0" fontId="19" fillId="0" borderId="86" xfId="0" applyFont="1" applyBorder="1" applyAlignment="1">
      <alignment horizontal="center" vertical="center"/>
    </xf>
    <xf numFmtId="0" fontId="19" fillId="0" borderId="64" xfId="0" applyFont="1" applyBorder="1" applyAlignment="1">
      <alignment horizontal="center" vertical="center"/>
    </xf>
    <xf numFmtId="0" fontId="19" fillId="0" borderId="15" xfId="0" applyFont="1" applyBorder="1" applyAlignment="1">
      <alignment horizontal="center" vertical="center"/>
    </xf>
    <xf numFmtId="0" fontId="22" fillId="0" borderId="66" xfId="0" applyFont="1" applyBorder="1" applyAlignment="1">
      <alignment horizontal="center" vertical="center"/>
    </xf>
    <xf numFmtId="0" fontId="22" fillId="0" borderId="37" xfId="0" applyFont="1" applyBorder="1" applyAlignment="1">
      <alignment horizontal="center" vertical="center"/>
    </xf>
    <xf numFmtId="0" fontId="22" fillId="0" borderId="68" xfId="0" applyFont="1" applyBorder="1" applyAlignment="1">
      <alignment horizontal="center" vertical="center"/>
    </xf>
    <xf numFmtId="0" fontId="22" fillId="0" borderId="80" xfId="0" applyFont="1" applyBorder="1" applyAlignment="1">
      <alignment horizontal="center" vertical="center"/>
    </xf>
    <xf numFmtId="0" fontId="22" fillId="0" borderId="14" xfId="0" applyFont="1" applyBorder="1" applyAlignment="1">
      <alignment horizontal="center" vertical="center"/>
    </xf>
    <xf numFmtId="0" fontId="22" fillId="44" borderId="1" xfId="0" applyFont="1" applyFill="1" applyBorder="1" applyAlignment="1">
      <alignment horizontal="center" vertical="center"/>
    </xf>
    <xf numFmtId="0" fontId="22" fillId="44" borderId="11" xfId="0" applyFont="1" applyFill="1" applyBorder="1" applyAlignment="1">
      <alignment horizontal="center" vertical="center"/>
    </xf>
    <xf numFmtId="0" fontId="22" fillId="0" borderId="87" xfId="0" applyFont="1" applyBorder="1" applyAlignment="1">
      <alignment horizontal="center" vertical="center"/>
    </xf>
    <xf numFmtId="0" fontId="22" fillId="0" borderId="69" xfId="0" applyFont="1" applyBorder="1" applyAlignment="1">
      <alignment horizontal="center" vertical="center"/>
    </xf>
    <xf numFmtId="0" fontId="22" fillId="0" borderId="86" xfId="0" applyFont="1" applyBorder="1" applyAlignment="1">
      <alignment horizontal="center" vertical="center" wrapText="1"/>
    </xf>
    <xf numFmtId="0" fontId="22" fillId="0" borderId="15" xfId="0" applyFont="1" applyBorder="1" applyAlignment="1">
      <alignment horizontal="center" vertical="center" wrapText="1"/>
    </xf>
    <xf numFmtId="0" fontId="22" fillId="0" borderId="18" xfId="0" applyFont="1" applyBorder="1" applyAlignment="1">
      <alignment horizontal="left" vertical="center"/>
    </xf>
    <xf numFmtId="0" fontId="22" fillId="0" borderId="12" xfId="0" applyFont="1" applyBorder="1" applyAlignment="1">
      <alignment horizontal="left" vertical="center"/>
    </xf>
    <xf numFmtId="0" fontId="22" fillId="0" borderId="43" xfId="0" applyFont="1" applyBorder="1" applyAlignment="1">
      <alignment horizontal="center" vertical="center"/>
    </xf>
    <xf numFmtId="0" fontId="22" fillId="0" borderId="16" xfId="0" applyFont="1" applyBorder="1" applyAlignment="1">
      <alignment horizontal="center" vertical="center"/>
    </xf>
    <xf numFmtId="0" fontId="22" fillId="7" borderId="67" xfId="0" applyFont="1" applyFill="1" applyBorder="1" applyAlignment="1">
      <alignment horizontal="center" vertical="center"/>
    </xf>
    <xf numFmtId="0" fontId="82" fillId="8" borderId="0" xfId="186" applyFont="1" applyFill="1" applyAlignment="1">
      <alignment horizontal="center" vertical="center"/>
    </xf>
    <xf numFmtId="0" fontId="80" fillId="7" borderId="25" xfId="186" applyFont="1" applyFill="1" applyBorder="1" applyAlignment="1">
      <alignment horizontal="center" vertical="center"/>
    </xf>
    <xf numFmtId="0" fontId="80" fillId="7" borderId="55" xfId="186" applyFont="1" applyFill="1" applyBorder="1" applyAlignment="1">
      <alignment horizontal="center" vertical="center"/>
    </xf>
    <xf numFmtId="0" fontId="80" fillId="7" borderId="21" xfId="186" applyFont="1" applyFill="1" applyBorder="1" applyAlignment="1">
      <alignment horizontal="center" vertical="center"/>
    </xf>
    <xf numFmtId="0" fontId="80" fillId="32" borderId="4" xfId="186" applyFont="1" applyFill="1" applyBorder="1" applyAlignment="1">
      <alignment horizontal="center" vertical="center"/>
    </xf>
    <xf numFmtId="0" fontId="80" fillId="32" borderId="5" xfId="186" applyFont="1" applyFill="1" applyBorder="1" applyAlignment="1">
      <alignment horizontal="center" vertical="center"/>
    </xf>
    <xf numFmtId="0" fontId="80" fillId="32" borderId="67" xfId="186" applyFont="1" applyFill="1" applyBorder="1" applyAlignment="1">
      <alignment horizontal="center" vertical="center"/>
    </xf>
    <xf numFmtId="0" fontId="83" fillId="8" borderId="0" xfId="186" applyFont="1" applyFill="1" applyAlignment="1">
      <alignment horizontal="center" vertical="center"/>
    </xf>
    <xf numFmtId="17" fontId="80" fillId="0" borderId="2" xfId="186" applyNumberFormat="1" applyFont="1" applyBorder="1" applyAlignment="1">
      <alignment horizontal="center" vertical="center"/>
    </xf>
    <xf numFmtId="17" fontId="80" fillId="0" borderId="57" xfId="186" applyNumberFormat="1" applyFont="1" applyBorder="1" applyAlignment="1">
      <alignment horizontal="center" vertical="center"/>
    </xf>
    <xf numFmtId="0" fontId="24" fillId="7" borderId="10" xfId="0" applyFont="1" applyFill="1" applyBorder="1" applyAlignment="1">
      <alignment horizontal="center"/>
    </xf>
    <xf numFmtId="0" fontId="89" fillId="8" borderId="0" xfId="0" applyFont="1" applyFill="1" applyAlignment="1">
      <alignment horizontal="center"/>
    </xf>
    <xf numFmtId="0" fontId="52" fillId="8" borderId="37" xfId="0" applyFont="1" applyFill="1" applyBorder="1" applyAlignment="1">
      <alignment horizontal="left"/>
    </xf>
    <xf numFmtId="0" fontId="52" fillId="8" borderId="29" xfId="0" applyFont="1" applyFill="1" applyBorder="1" applyAlignment="1">
      <alignment horizontal="left"/>
    </xf>
    <xf numFmtId="0" fontId="24" fillId="5" borderId="37" xfId="0" applyFont="1" applyFill="1" applyBorder="1" applyAlignment="1">
      <alignment horizontal="center"/>
    </xf>
    <xf numFmtId="0" fontId="24" fillId="5" borderId="29" xfId="0" applyFont="1" applyFill="1" applyBorder="1" applyAlignment="1">
      <alignment horizontal="center"/>
    </xf>
    <xf numFmtId="0" fontId="37" fillId="0" borderId="10" xfId="0" applyFont="1" applyBorder="1" applyAlignment="1">
      <alignment horizontal="center"/>
    </xf>
    <xf numFmtId="0" fontId="24" fillId="43" borderId="10" xfId="0" applyFont="1" applyFill="1" applyBorder="1" applyAlignment="1">
      <alignment horizontal="center"/>
    </xf>
    <xf numFmtId="0" fontId="24" fillId="4" borderId="10" xfId="0" applyFont="1" applyFill="1" applyBorder="1" applyAlignment="1">
      <alignment horizontal="center"/>
    </xf>
    <xf numFmtId="0" fontId="24" fillId="0" borderId="37" xfId="0" applyFont="1" applyBorder="1" applyAlignment="1">
      <alignment horizontal="center"/>
    </xf>
    <xf numFmtId="0" fontId="24" fillId="0" borderId="29" xfId="0" applyFont="1" applyBorder="1" applyAlignment="1">
      <alignment horizontal="center"/>
    </xf>
    <xf numFmtId="0" fontId="165" fillId="0" borderId="2" xfId="0" applyFont="1" applyBorder="1" applyAlignment="1">
      <alignment horizontal="center" vertical="center"/>
    </xf>
    <xf numFmtId="0" fontId="165" fillId="0" borderId="35" xfId="0" applyFont="1" applyBorder="1" applyAlignment="1">
      <alignment horizontal="center" vertical="center"/>
    </xf>
    <xf numFmtId="0" fontId="165" fillId="0" borderId="57" xfId="0" applyFont="1" applyBorder="1" applyAlignment="1">
      <alignment horizontal="center" vertical="center"/>
    </xf>
    <xf numFmtId="0" fontId="37" fillId="0" borderId="46" xfId="0" applyFont="1" applyBorder="1" applyAlignment="1">
      <alignment horizontal="center" vertical="center"/>
    </xf>
    <xf numFmtId="0" fontId="37" fillId="0" borderId="30" xfId="0" applyFont="1" applyBorder="1" applyAlignment="1">
      <alignment horizontal="center" vertical="center"/>
    </xf>
    <xf numFmtId="0" fontId="24" fillId="7" borderId="37" xfId="0" applyFont="1" applyFill="1" applyBorder="1" applyAlignment="1">
      <alignment horizontal="center"/>
    </xf>
    <xf numFmtId="0" fontId="24" fillId="7" borderId="29" xfId="0" applyFont="1" applyFill="1" applyBorder="1" applyAlignment="1">
      <alignment horizontal="center"/>
    </xf>
    <xf numFmtId="0" fontId="24" fillId="0" borderId="10" xfId="0" applyFont="1" applyBorder="1" applyAlignment="1">
      <alignment horizontal="center"/>
    </xf>
    <xf numFmtId="0" fontId="164" fillId="0" borderId="18" xfId="0" applyFont="1" applyBorder="1" applyAlignment="1">
      <alignment horizontal="center" vertical="center"/>
    </xf>
    <xf numFmtId="0" fontId="164" fillId="0" borderId="12" xfId="0" applyFont="1" applyBorder="1" applyAlignment="1">
      <alignment horizontal="center" vertical="center"/>
    </xf>
    <xf numFmtId="0" fontId="164" fillId="0" borderId="20" xfId="0" applyFont="1" applyBorder="1" applyAlignment="1">
      <alignment horizontal="center" vertical="center"/>
    </xf>
    <xf numFmtId="0" fontId="159" fillId="0" borderId="43" xfId="0" applyFont="1" applyBorder="1" applyAlignment="1">
      <alignment horizontal="center" vertical="center"/>
    </xf>
    <xf numFmtId="0" fontId="159" fillId="0" borderId="40" xfId="0" applyFont="1" applyBorder="1" applyAlignment="1">
      <alignment horizontal="center" vertical="center"/>
    </xf>
    <xf numFmtId="0" fontId="159" fillId="0" borderId="16" xfId="0" applyFont="1" applyBorder="1" applyAlignment="1">
      <alignment horizontal="center" vertical="center"/>
    </xf>
    <xf numFmtId="0" fontId="164" fillId="0" borderId="43" xfId="0" applyFont="1" applyBorder="1" applyAlignment="1">
      <alignment horizontal="center" vertical="center"/>
    </xf>
    <xf numFmtId="0" fontId="164" fillId="0" borderId="40" xfId="0" applyFont="1" applyBorder="1" applyAlignment="1">
      <alignment horizontal="center" vertical="center"/>
    </xf>
    <xf numFmtId="0" fontId="164" fillId="0" borderId="16" xfId="0" applyFont="1" applyBorder="1" applyAlignment="1">
      <alignment horizontal="center" vertical="center"/>
    </xf>
    <xf numFmtId="0" fontId="22" fillId="0" borderId="61" xfId="0" applyFont="1" applyBorder="1" applyAlignment="1">
      <alignment horizontal="center" vertical="center"/>
    </xf>
    <xf numFmtId="0" fontId="22" fillId="7" borderId="44" xfId="0" applyFont="1" applyFill="1" applyBorder="1" applyAlignment="1">
      <alignment horizontal="center" vertical="center"/>
    </xf>
    <xf numFmtId="0" fontId="22" fillId="7" borderId="61" xfId="0" applyFont="1" applyFill="1" applyBorder="1" applyAlignment="1">
      <alignment horizontal="center" vertical="center"/>
    </xf>
    <xf numFmtId="0" fontId="27" fillId="0" borderId="48" xfId="0" applyFont="1" applyBorder="1" applyAlignment="1">
      <alignment horizontal="center" vertical="center"/>
    </xf>
    <xf numFmtId="0" fontId="27" fillId="0" borderId="8" xfId="0" applyFont="1" applyBorder="1" applyAlignment="1">
      <alignment horizontal="center" vertical="center"/>
    </xf>
    <xf numFmtId="0" fontId="22" fillId="7" borderId="52" xfId="0" applyFont="1" applyFill="1" applyBorder="1" applyAlignment="1">
      <alignment horizontal="center" vertical="center"/>
    </xf>
    <xf numFmtId="0" fontId="22" fillId="7" borderId="50" xfId="0" applyFont="1" applyFill="1" applyBorder="1" applyAlignment="1">
      <alignment horizontal="center" vertical="center"/>
    </xf>
    <xf numFmtId="0" fontId="22" fillId="5" borderId="44" xfId="0" applyFont="1" applyFill="1" applyBorder="1" applyAlignment="1">
      <alignment horizontal="center" vertical="center"/>
    </xf>
    <xf numFmtId="0" fontId="22" fillId="5" borderId="61" xfId="0" applyFont="1" applyFill="1" applyBorder="1" applyAlignment="1">
      <alignment horizontal="center" vertical="center"/>
    </xf>
    <xf numFmtId="0" fontId="22" fillId="6" borderId="44" xfId="0" applyFont="1" applyFill="1" applyBorder="1" applyAlignment="1">
      <alignment horizontal="center" vertical="center"/>
    </xf>
    <xf numFmtId="0" fontId="22" fillId="6" borderId="61" xfId="0" applyFont="1" applyFill="1" applyBorder="1" applyAlignment="1">
      <alignment horizontal="center" vertical="center"/>
    </xf>
    <xf numFmtId="0" fontId="22" fillId="5" borderId="52" xfId="0" applyFont="1" applyFill="1" applyBorder="1" applyAlignment="1">
      <alignment horizontal="center" vertical="center"/>
    </xf>
    <xf numFmtId="0" fontId="22" fillId="5" borderId="50" xfId="0" applyFont="1" applyFill="1" applyBorder="1" applyAlignment="1">
      <alignment horizontal="center" vertical="center"/>
    </xf>
    <xf numFmtId="0" fontId="22" fillId="6" borderId="52" xfId="0" applyFont="1" applyFill="1" applyBorder="1" applyAlignment="1">
      <alignment horizontal="center" vertical="center"/>
    </xf>
    <xf numFmtId="0" fontId="22" fillId="6" borderId="50" xfId="0" applyFont="1" applyFill="1" applyBorder="1" applyAlignment="1">
      <alignment horizontal="center" vertical="center"/>
    </xf>
    <xf numFmtId="0" fontId="27" fillId="0" borderId="85" xfId="0" applyFont="1" applyBorder="1" applyAlignment="1">
      <alignment horizontal="center" vertical="center"/>
    </xf>
    <xf numFmtId="0" fontId="27" fillId="0" borderId="73" xfId="0" applyFont="1" applyBorder="1" applyAlignment="1">
      <alignment horizontal="center" vertical="center"/>
    </xf>
    <xf numFmtId="0" fontId="27" fillId="8" borderId="85" xfId="0" applyFont="1" applyFill="1" applyBorder="1" applyAlignment="1">
      <alignment horizontal="center" vertical="center"/>
    </xf>
    <xf numFmtId="0" fontId="27" fillId="8" borderId="15" xfId="0" applyFont="1" applyFill="1" applyBorder="1" applyAlignment="1">
      <alignment horizontal="center" vertical="center"/>
    </xf>
    <xf numFmtId="0" fontId="22" fillId="0" borderId="44" xfId="0" applyFont="1" applyBorder="1" applyAlignment="1">
      <alignment horizontal="center" vertical="center"/>
    </xf>
    <xf numFmtId="0" fontId="22" fillId="0" borderId="24" xfId="0" applyFont="1" applyBorder="1" applyAlignment="1">
      <alignment horizontal="center" vertical="center"/>
    </xf>
    <xf numFmtId="0" fontId="21" fillId="7" borderId="62" xfId="0" applyFont="1" applyFill="1" applyBorder="1" applyAlignment="1">
      <alignment horizontal="center" vertical="center"/>
    </xf>
    <xf numFmtId="0" fontId="21" fillId="7" borderId="74" xfId="0" applyFont="1" applyFill="1" applyBorder="1" applyAlignment="1">
      <alignment horizontal="center" vertical="center"/>
    </xf>
    <xf numFmtId="0" fontId="22" fillId="50" borderId="4" xfId="0" applyFont="1" applyFill="1" applyBorder="1" applyAlignment="1">
      <alignment horizontal="center" vertical="center"/>
    </xf>
    <xf numFmtId="0" fontId="22" fillId="50" borderId="67" xfId="0" applyFont="1" applyFill="1" applyBorder="1" applyAlignment="1">
      <alignment horizontal="center" vertical="center"/>
    </xf>
    <xf numFmtId="1" fontId="21" fillId="7" borderId="62" xfId="0" applyNumberFormat="1" applyFont="1" applyFill="1" applyBorder="1" applyAlignment="1">
      <alignment horizontal="center" vertical="center"/>
    </xf>
    <xf numFmtId="0" fontId="21" fillId="7" borderId="34" xfId="0" applyFont="1" applyFill="1" applyBorder="1" applyAlignment="1">
      <alignment horizontal="center" vertical="center"/>
    </xf>
    <xf numFmtId="1" fontId="21" fillId="8" borderId="62" xfId="0" quotePrefix="1" applyNumberFormat="1" applyFont="1" applyFill="1" applyBorder="1" applyAlignment="1">
      <alignment horizontal="center" vertical="center"/>
    </xf>
    <xf numFmtId="1" fontId="21" fillId="8" borderId="74" xfId="0" quotePrefix="1" applyNumberFormat="1" applyFont="1" applyFill="1" applyBorder="1" applyAlignment="1">
      <alignment horizontal="center" vertical="center"/>
    </xf>
    <xf numFmtId="1" fontId="21" fillId="8" borderId="9" xfId="0" quotePrefix="1" applyNumberFormat="1" applyFont="1" applyFill="1" applyBorder="1" applyAlignment="1">
      <alignment horizontal="center" vertical="center"/>
    </xf>
    <xf numFmtId="1" fontId="21" fillId="7" borderId="70" xfId="0" quotePrefix="1" applyNumberFormat="1" applyFont="1" applyFill="1" applyBorder="1" applyAlignment="1">
      <alignment horizontal="center" vertical="center"/>
    </xf>
    <xf numFmtId="1" fontId="21" fillId="7" borderId="35" xfId="0" quotePrefix="1" applyNumberFormat="1" applyFont="1" applyFill="1" applyBorder="1" applyAlignment="1">
      <alignment horizontal="center" vertical="center"/>
    </xf>
    <xf numFmtId="0" fontId="21" fillId="5" borderId="34" xfId="0" applyFont="1" applyFill="1" applyBorder="1" applyAlignment="1">
      <alignment horizontal="center" vertical="center"/>
    </xf>
    <xf numFmtId="1" fontId="21" fillId="5" borderId="70" xfId="0" quotePrefix="1" applyNumberFormat="1" applyFont="1" applyFill="1" applyBorder="1" applyAlignment="1">
      <alignment horizontal="center" vertical="center"/>
    </xf>
    <xf numFmtId="1" fontId="21" fillId="5" borderId="35" xfId="0" quotePrefix="1" applyNumberFormat="1" applyFont="1" applyFill="1" applyBorder="1" applyAlignment="1">
      <alignment horizontal="center" vertical="center"/>
    </xf>
    <xf numFmtId="0" fontId="21" fillId="5" borderId="62" xfId="0" applyFont="1" applyFill="1" applyBorder="1" applyAlignment="1">
      <alignment horizontal="center" vertical="center"/>
    </xf>
    <xf numFmtId="0" fontId="21" fillId="5" borderId="74" xfId="0" applyFont="1" applyFill="1" applyBorder="1" applyAlignment="1">
      <alignment horizontal="center" vertical="center"/>
    </xf>
    <xf numFmtId="0" fontId="21" fillId="6" borderId="10" xfId="0" applyFont="1" applyFill="1" applyBorder="1" applyAlignment="1">
      <alignment horizontal="center" vertical="center"/>
    </xf>
    <xf numFmtId="1" fontId="21" fillId="6" borderId="70" xfId="0" quotePrefix="1" applyNumberFormat="1" applyFont="1" applyFill="1" applyBorder="1" applyAlignment="1">
      <alignment horizontal="center" vertical="center"/>
    </xf>
    <xf numFmtId="1" fontId="21" fillId="6" borderId="35" xfId="0" quotePrefix="1" applyNumberFormat="1" applyFont="1" applyFill="1" applyBorder="1" applyAlignment="1">
      <alignment horizontal="center" vertical="center"/>
    </xf>
    <xf numFmtId="0" fontId="22" fillId="0" borderId="95" xfId="0" applyFont="1" applyBorder="1" applyAlignment="1">
      <alignment horizontal="left" vertical="center"/>
    </xf>
    <xf numFmtId="0" fontId="22" fillId="0" borderId="97" xfId="0" applyFont="1" applyBorder="1" applyAlignment="1">
      <alignment horizontal="left" vertical="center"/>
    </xf>
    <xf numFmtId="0" fontId="22" fillId="5" borderId="67" xfId="0" applyFont="1" applyFill="1" applyBorder="1" applyAlignment="1">
      <alignment horizontal="center" vertical="center"/>
    </xf>
    <xf numFmtId="0" fontId="22" fillId="0" borderId="96" xfId="0" applyFont="1" applyBorder="1" applyAlignment="1">
      <alignment horizontal="center" vertical="center"/>
    </xf>
    <xf numFmtId="0" fontId="4" fillId="0" borderId="9" xfId="0" applyFont="1" applyBorder="1" applyAlignment="1">
      <alignment horizontal="left" vertical="center"/>
    </xf>
    <xf numFmtId="0" fontId="21" fillId="0" borderId="76" xfId="0" applyFont="1" applyBorder="1" applyAlignment="1">
      <alignment horizontal="left" vertical="center"/>
    </xf>
    <xf numFmtId="0" fontId="21" fillId="0" borderId="9" xfId="0" applyFont="1" applyBorder="1" applyAlignment="1">
      <alignment horizontal="left" vertical="center"/>
    </xf>
    <xf numFmtId="0" fontId="20" fillId="0" borderId="76" xfId="0" applyFont="1" applyBorder="1" applyAlignment="1">
      <alignment horizontal="left" vertical="center"/>
    </xf>
    <xf numFmtId="0" fontId="20" fillId="0" borderId="9" xfId="0" applyFont="1" applyBorder="1" applyAlignment="1">
      <alignment horizontal="left" vertical="center"/>
    </xf>
    <xf numFmtId="0" fontId="19" fillId="0" borderId="107" xfId="0" applyFont="1" applyBorder="1" applyAlignment="1">
      <alignment horizontal="right" vertical="center"/>
    </xf>
    <xf numFmtId="0" fontId="19" fillId="0" borderId="100" xfId="0" applyFont="1" applyBorder="1" applyAlignment="1">
      <alignment horizontal="right" vertical="center"/>
    </xf>
    <xf numFmtId="0" fontId="22" fillId="0" borderId="98" xfId="0" applyFont="1" applyBorder="1" applyAlignment="1">
      <alignment horizontal="right" vertical="center"/>
    </xf>
    <xf numFmtId="0" fontId="22" fillId="0" borderId="100" xfId="0" applyFont="1" applyBorder="1" applyAlignment="1">
      <alignment horizontal="right" vertical="center"/>
    </xf>
    <xf numFmtId="0" fontId="19" fillId="0" borderId="112" xfId="0" applyFont="1" applyBorder="1" applyAlignment="1">
      <alignment horizontal="right" vertical="center"/>
    </xf>
    <xf numFmtId="0" fontId="19" fillId="0" borderId="97" xfId="0" applyFont="1" applyBorder="1" applyAlignment="1">
      <alignment horizontal="right" vertical="center"/>
    </xf>
    <xf numFmtId="0" fontId="22" fillId="0" borderId="103" xfId="0" applyFont="1" applyBorder="1" applyAlignment="1">
      <alignment horizontal="right" vertical="center"/>
    </xf>
    <xf numFmtId="0" fontId="4" fillId="0" borderId="107" xfId="0" applyFont="1" applyBorder="1" applyAlignment="1">
      <alignment horizontal="right" vertical="center"/>
    </xf>
    <xf numFmtId="0" fontId="4" fillId="0" borderId="109" xfId="0" applyFont="1" applyBorder="1" applyAlignment="1">
      <alignment horizontal="right" vertical="center"/>
    </xf>
    <xf numFmtId="0" fontId="21" fillId="6" borderId="62" xfId="0" applyFont="1" applyFill="1" applyBorder="1" applyAlignment="1">
      <alignment horizontal="center" vertical="center"/>
    </xf>
    <xf numFmtId="0" fontId="21" fillId="6" borderId="74" xfId="0" applyFont="1" applyFill="1" applyBorder="1" applyAlignment="1">
      <alignment horizontal="center" vertical="center"/>
    </xf>
    <xf numFmtId="0" fontId="20" fillId="0" borderId="136" xfId="0" applyFont="1" applyBorder="1" applyAlignment="1">
      <alignment horizontal="center" vertical="center"/>
    </xf>
    <xf numFmtId="0" fontId="20" fillId="50" borderId="136" xfId="0" applyFont="1" applyFill="1" applyBorder="1" applyAlignment="1">
      <alignment horizontal="center" vertical="center"/>
    </xf>
    <xf numFmtId="0" fontId="46" fillId="0" borderId="136" xfId="0" applyFont="1" applyBorder="1" applyAlignment="1">
      <alignment horizontal="center" vertical="center"/>
    </xf>
    <xf numFmtId="1" fontId="20" fillId="7" borderId="136" xfId="0" applyNumberFormat="1" applyFont="1" applyFill="1" applyBorder="1" applyAlignment="1">
      <alignment horizontal="center" vertical="center"/>
    </xf>
    <xf numFmtId="0" fontId="20" fillId="6" borderId="136" xfId="0" applyFont="1" applyFill="1" applyBorder="1" applyAlignment="1">
      <alignment horizontal="center" vertical="center"/>
    </xf>
    <xf numFmtId="0" fontId="20" fillId="5" borderId="136" xfId="0" applyFont="1" applyFill="1" applyBorder="1" applyAlignment="1">
      <alignment horizontal="center" vertical="center"/>
    </xf>
    <xf numFmtId="0" fontId="46" fillId="5" borderId="136" xfId="0" applyFont="1" applyFill="1" applyBorder="1" applyAlignment="1">
      <alignment horizontal="center" vertical="center"/>
    </xf>
    <xf numFmtId="1" fontId="20" fillId="6" borderId="136" xfId="0" applyNumberFormat="1" applyFont="1" applyFill="1" applyBorder="1" applyAlignment="1">
      <alignment horizontal="center" vertical="center"/>
    </xf>
    <xf numFmtId="1" fontId="20" fillId="7" borderId="138" xfId="0" applyNumberFormat="1" applyFont="1" applyFill="1" applyBorder="1" applyAlignment="1">
      <alignment horizontal="center" vertical="center"/>
    </xf>
    <xf numFmtId="1" fontId="20" fillId="7" borderId="46" xfId="0" applyNumberFormat="1" applyFont="1" applyFill="1" applyBorder="1" applyAlignment="1">
      <alignment horizontal="center" vertical="center"/>
    </xf>
    <xf numFmtId="1" fontId="20" fillId="7" borderId="30" xfId="0" applyNumberFormat="1" applyFont="1" applyFill="1" applyBorder="1" applyAlignment="1">
      <alignment horizontal="center" vertical="center"/>
    </xf>
    <xf numFmtId="0" fontId="19" fillId="0" borderId="63" xfId="0" applyFont="1" applyBorder="1" applyAlignment="1">
      <alignment horizontal="left" vertical="center"/>
    </xf>
    <xf numFmtId="0" fontId="19" fillId="0" borderId="32" xfId="0" applyFont="1" applyBorder="1" applyAlignment="1">
      <alignment horizontal="left" vertical="center"/>
    </xf>
    <xf numFmtId="0" fontId="19" fillId="0" borderId="41" xfId="0" applyFont="1" applyBorder="1" applyAlignment="1">
      <alignment horizontal="center" vertical="center"/>
    </xf>
    <xf numFmtId="0" fontId="19" fillId="0" borderId="23" xfId="0" applyFont="1" applyBorder="1" applyAlignment="1">
      <alignment horizontal="center" vertical="center"/>
    </xf>
    <xf numFmtId="0" fontId="20" fillId="7" borderId="136" xfId="0" applyFont="1" applyFill="1" applyBorder="1" applyAlignment="1">
      <alignment horizontal="center" vertical="center"/>
    </xf>
    <xf numFmtId="0" fontId="22" fillId="5" borderId="10" xfId="0" applyFont="1" applyFill="1" applyBorder="1" applyAlignment="1">
      <alignment horizontal="center" vertical="center"/>
    </xf>
    <xf numFmtId="0" fontId="22" fillId="7" borderId="10" xfId="0" applyFont="1" applyFill="1" applyBorder="1" applyAlignment="1">
      <alignment horizontal="center" vertical="center"/>
    </xf>
    <xf numFmtId="0" fontId="22" fillId="0" borderId="10" xfId="0" applyFont="1" applyBorder="1" applyAlignment="1">
      <alignment horizontal="left" vertical="center"/>
    </xf>
    <xf numFmtId="0" fontId="22" fillId="6" borderId="10" xfId="0" applyFont="1" applyFill="1" applyBorder="1" applyAlignment="1">
      <alignment horizontal="center" vertical="center"/>
    </xf>
    <xf numFmtId="0" fontId="19" fillId="8" borderId="63" xfId="0" applyFont="1" applyFill="1" applyBorder="1" applyAlignment="1">
      <alignment horizontal="center" vertical="center"/>
    </xf>
    <xf numFmtId="0" fontId="19" fillId="8" borderId="42" xfId="0" applyFont="1" applyFill="1" applyBorder="1" applyAlignment="1">
      <alignment horizontal="center" vertical="center"/>
    </xf>
    <xf numFmtId="0" fontId="19" fillId="7" borderId="63" xfId="0" applyFont="1" applyFill="1" applyBorder="1" applyAlignment="1">
      <alignment horizontal="center" vertical="center"/>
    </xf>
    <xf numFmtId="0" fontId="19" fillId="7" borderId="42" xfId="0" applyFont="1" applyFill="1" applyBorder="1" applyAlignment="1">
      <alignment horizontal="center" vertical="center"/>
    </xf>
    <xf numFmtId="167" fontId="20" fillId="8" borderId="31" xfId="0" applyNumberFormat="1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67" fontId="20" fillId="8" borderId="32" xfId="0" applyNumberFormat="1" applyFont="1" applyFill="1" applyBorder="1" applyAlignment="1">
      <alignment horizontal="center" vertical="center"/>
    </xf>
    <xf numFmtId="1" fontId="121" fillId="7" borderId="31" xfId="0" applyNumberFormat="1" applyFont="1" applyFill="1" applyBorder="1" applyAlignment="1">
      <alignment horizontal="center" vertical="center"/>
    </xf>
    <xf numFmtId="1" fontId="121" fillId="7" borderId="32" xfId="0" applyNumberFormat="1" applyFont="1" applyFill="1" applyBorder="1" applyAlignment="1">
      <alignment horizontal="center" vertical="center"/>
    </xf>
    <xf numFmtId="0" fontId="19" fillId="5" borderId="63" xfId="0" applyFont="1" applyFill="1" applyBorder="1" applyAlignment="1">
      <alignment horizontal="center" vertical="center"/>
    </xf>
    <xf numFmtId="0" fontId="19" fillId="5" borderId="42" xfId="0" applyFont="1" applyFill="1" applyBorder="1" applyAlignment="1">
      <alignment horizontal="center" vertical="center"/>
    </xf>
    <xf numFmtId="167" fontId="20" fillId="5" borderId="31" xfId="0" applyNumberFormat="1" applyFont="1" applyFill="1" applyBorder="1" applyAlignment="1">
      <alignment horizontal="center" vertical="center"/>
    </xf>
    <xf numFmtId="1" fontId="121" fillId="5" borderId="31" xfId="0" applyNumberFormat="1" applyFont="1" applyFill="1" applyBorder="1" applyAlignment="1">
      <alignment horizontal="center" vertical="center"/>
    </xf>
    <xf numFmtId="1" fontId="121" fillId="5" borderId="32" xfId="0" applyNumberFormat="1" applyFont="1" applyFill="1" applyBorder="1" applyAlignment="1">
      <alignment horizontal="center" vertical="center"/>
    </xf>
    <xf numFmtId="0" fontId="19" fillId="6" borderId="63" xfId="0" applyFont="1" applyFill="1" applyBorder="1" applyAlignment="1">
      <alignment horizontal="center" vertical="center"/>
    </xf>
    <xf numFmtId="0" fontId="19" fillId="6" borderId="42" xfId="0" applyFont="1" applyFill="1" applyBorder="1" applyAlignment="1">
      <alignment horizontal="center" vertical="center"/>
    </xf>
    <xf numFmtId="167" fontId="20" fillId="6" borderId="31" xfId="0" applyNumberFormat="1" applyFont="1" applyFill="1" applyBorder="1" applyAlignment="1">
      <alignment horizontal="center" vertical="center"/>
    </xf>
    <xf numFmtId="1" fontId="121" fillId="6" borderId="31" xfId="0" applyNumberFormat="1" applyFont="1" applyFill="1" applyBorder="1" applyAlignment="1">
      <alignment horizontal="center" vertical="center"/>
    </xf>
    <xf numFmtId="1" fontId="121" fillId="6" borderId="32" xfId="0" applyNumberFormat="1" applyFont="1" applyFill="1" applyBorder="1" applyAlignment="1">
      <alignment horizontal="center" vertical="center"/>
    </xf>
    <xf numFmtId="167" fontId="20" fillId="7" borderId="31" xfId="0" applyNumberFormat="1" applyFont="1" applyFill="1" applyBorder="1" applyAlignment="1">
      <alignment horizontal="center" vertical="center"/>
    </xf>
    <xf numFmtId="0" fontId="105" fillId="0" borderId="24" xfId="0" applyFont="1" applyBorder="1" applyAlignment="1">
      <alignment horizontal="center" wrapText="1"/>
    </xf>
    <xf numFmtId="0" fontId="105" fillId="0" borderId="61" xfId="0" applyFont="1" applyBorder="1" applyAlignment="1">
      <alignment horizontal="center" wrapText="1"/>
    </xf>
    <xf numFmtId="0" fontId="20" fillId="8" borderId="31" xfId="0" applyFont="1" applyFill="1" applyBorder="1" applyAlignment="1">
      <alignment horizontal="left" vertical="center" indent="1"/>
    </xf>
    <xf numFmtId="0" fontId="128" fillId="0" borderId="0" xfId="0" applyFont="1" applyAlignment="1">
      <alignment horizontal="left" vertical="center"/>
    </xf>
    <xf numFmtId="0" fontId="19" fillId="8" borderId="63" xfId="0" applyFont="1" applyFill="1" applyBorder="1" applyAlignment="1">
      <alignment horizontal="left" vertical="center"/>
    </xf>
    <xf numFmtId="0" fontId="19" fillId="8" borderId="32" xfId="0" applyFont="1" applyFill="1" applyBorder="1" applyAlignment="1">
      <alignment horizontal="left" vertical="center"/>
    </xf>
    <xf numFmtId="0" fontId="19" fillId="8" borderId="33" xfId="0" applyFont="1" applyFill="1" applyBorder="1" applyAlignment="1">
      <alignment horizontal="center" vertical="center"/>
    </xf>
    <xf numFmtId="0" fontId="20" fillId="8" borderId="17" xfId="0" applyFont="1" applyFill="1" applyBorder="1" applyAlignment="1">
      <alignment horizontal="center" vertical="center"/>
    </xf>
    <xf numFmtId="0" fontId="19" fillId="7" borderId="3" xfId="0" applyFont="1" applyFill="1" applyBorder="1" applyAlignment="1">
      <alignment horizontal="center" vertical="center"/>
    </xf>
    <xf numFmtId="0" fontId="19" fillId="7" borderId="66" xfId="0" applyFont="1" applyFill="1" applyBorder="1" applyAlignment="1">
      <alignment horizontal="center" vertical="center"/>
    </xf>
    <xf numFmtId="2" fontId="7" fillId="8" borderId="17" xfId="0" applyNumberFormat="1" applyFont="1" applyFill="1" applyBorder="1" applyAlignment="1">
      <alignment horizontal="center" vertical="center"/>
    </xf>
    <xf numFmtId="2" fontId="7" fillId="7" borderId="10" xfId="0" applyNumberFormat="1" applyFont="1" applyFill="1" applyBorder="1" applyAlignment="1">
      <alignment horizontal="center" vertical="center"/>
    </xf>
    <xf numFmtId="0" fontId="4" fillId="6" borderId="10" xfId="0" applyFont="1" applyFill="1" applyBorder="1" applyAlignment="1">
      <alignment horizontal="center" vertical="center"/>
    </xf>
    <xf numFmtId="2" fontId="7" fillId="6" borderId="10" xfId="0" applyNumberFormat="1" applyFont="1" applyFill="1" applyBorder="1" applyAlignment="1">
      <alignment horizontal="center" vertical="center"/>
    </xf>
    <xf numFmtId="2" fontId="7" fillId="5" borderId="45" xfId="0" applyNumberFormat="1" applyFont="1" applyFill="1" applyBorder="1" applyAlignment="1">
      <alignment horizontal="center" vertical="center"/>
    </xf>
    <xf numFmtId="2" fontId="7" fillId="5" borderId="30" xfId="0" applyNumberFormat="1" applyFont="1" applyFill="1" applyBorder="1" applyAlignment="1">
      <alignment horizontal="center" vertical="center"/>
    </xf>
    <xf numFmtId="0" fontId="4" fillId="0" borderId="31" xfId="0" applyFont="1" applyBorder="1" applyAlignment="1">
      <alignment horizontal="right" vertical="center"/>
    </xf>
    <xf numFmtId="0" fontId="4" fillId="7" borderId="42" xfId="0" applyFont="1" applyFill="1" applyBorder="1" applyAlignment="1">
      <alignment horizontal="center" vertical="center"/>
    </xf>
    <xf numFmtId="2" fontId="7" fillId="7" borderId="17" xfId="0" applyNumberFormat="1" applyFont="1" applyFill="1" applyBorder="1" applyAlignment="1">
      <alignment horizontal="center" vertical="center"/>
    </xf>
    <xf numFmtId="0" fontId="18" fillId="0" borderId="2" xfId="0" applyFont="1" applyBorder="1" applyAlignment="1">
      <alignment horizontal="center"/>
    </xf>
    <xf numFmtId="0" fontId="18" fillId="0" borderId="56" xfId="0" applyFont="1" applyBorder="1" applyAlignment="1">
      <alignment horizontal="center"/>
    </xf>
    <xf numFmtId="0" fontId="18" fillId="7" borderId="2" xfId="0" applyFont="1" applyFill="1" applyBorder="1" applyAlignment="1">
      <alignment horizontal="center"/>
    </xf>
    <xf numFmtId="0" fontId="18" fillId="7" borderId="56" xfId="0" applyFont="1" applyFill="1" applyBorder="1" applyAlignment="1">
      <alignment horizontal="center"/>
    </xf>
    <xf numFmtId="0" fontId="18" fillId="34" borderId="2" xfId="0" applyFont="1" applyFill="1" applyBorder="1" applyAlignment="1">
      <alignment horizontal="center"/>
    </xf>
    <xf numFmtId="0" fontId="18" fillId="34" borderId="56" xfId="0" applyFont="1" applyFill="1" applyBorder="1" applyAlignment="1">
      <alignment horizontal="center"/>
    </xf>
    <xf numFmtId="0" fontId="89" fillId="0" borderId="0" xfId="0" applyFont="1" applyAlignment="1">
      <alignment horizontal="center"/>
    </xf>
    <xf numFmtId="0" fontId="18" fillId="0" borderId="39" xfId="0" applyFont="1" applyBorder="1" applyAlignment="1">
      <alignment horizontal="center"/>
    </xf>
    <xf numFmtId="0" fontId="18" fillId="44" borderId="2" xfId="0" applyFont="1" applyFill="1" applyBorder="1" applyAlignment="1">
      <alignment horizontal="center"/>
    </xf>
    <xf numFmtId="0" fontId="18" fillId="44" borderId="56" xfId="0" applyFont="1" applyFill="1" applyBorder="1" applyAlignment="1">
      <alignment horizontal="center"/>
    </xf>
    <xf numFmtId="0" fontId="24" fillId="8" borderId="25" xfId="0" applyFont="1" applyFill="1" applyBorder="1" applyAlignment="1">
      <alignment horizontal="center" vertical="center"/>
    </xf>
    <xf numFmtId="0" fontId="24" fillId="8" borderId="55" xfId="0" applyFont="1" applyFill="1" applyBorder="1" applyAlignment="1">
      <alignment horizontal="center" vertical="center"/>
    </xf>
    <xf numFmtId="0" fontId="27" fillId="0" borderId="43" xfId="0" applyFont="1" applyBorder="1" applyAlignment="1">
      <alignment horizontal="center" vertical="center"/>
    </xf>
    <xf numFmtId="0" fontId="27" fillId="0" borderId="40" xfId="0" applyFont="1" applyBorder="1" applyAlignment="1">
      <alignment horizontal="center" vertical="center"/>
    </xf>
    <xf numFmtId="0" fontId="27" fillId="0" borderId="16" xfId="0" applyFont="1" applyBorder="1" applyAlignment="1">
      <alignment horizontal="center" vertical="center"/>
    </xf>
    <xf numFmtId="0" fontId="27" fillId="0" borderId="43" xfId="0" applyFont="1" applyBorder="1" applyAlignment="1">
      <alignment horizontal="center" vertical="center" wrapText="1"/>
    </xf>
    <xf numFmtId="0" fontId="27" fillId="0" borderId="40" xfId="0" applyFont="1" applyBorder="1" applyAlignment="1">
      <alignment horizontal="center" vertical="center" wrapText="1"/>
    </xf>
    <xf numFmtId="0" fontId="27" fillId="0" borderId="16" xfId="0" applyFont="1" applyBorder="1" applyAlignment="1">
      <alignment horizontal="center" vertical="center" wrapText="1"/>
    </xf>
    <xf numFmtId="0" fontId="85" fillId="8" borderId="66" xfId="0" applyFont="1" applyFill="1" applyBorder="1" applyAlignment="1">
      <alignment horizontal="center" vertical="center"/>
    </xf>
    <xf numFmtId="0" fontId="85" fillId="8" borderId="3" xfId="0" applyFont="1" applyFill="1" applyBorder="1" applyAlignment="1">
      <alignment horizontal="center" vertical="center"/>
    </xf>
    <xf numFmtId="0" fontId="85" fillId="7" borderId="66" xfId="0" applyFont="1" applyFill="1" applyBorder="1" applyAlignment="1">
      <alignment horizontal="center" vertical="center"/>
    </xf>
    <xf numFmtId="0" fontId="85" fillId="7" borderId="3" xfId="0" applyFont="1" applyFill="1" applyBorder="1" applyAlignment="1">
      <alignment horizontal="center" vertical="center"/>
    </xf>
    <xf numFmtId="0" fontId="85" fillId="5" borderId="66" xfId="0" applyFont="1" applyFill="1" applyBorder="1" applyAlignment="1">
      <alignment horizontal="center" vertical="center"/>
    </xf>
    <xf numFmtId="0" fontId="85" fillId="5" borderId="3" xfId="0" applyFont="1" applyFill="1" applyBorder="1" applyAlignment="1">
      <alignment horizontal="center" vertical="center"/>
    </xf>
    <xf numFmtId="0" fontId="56" fillId="8" borderId="45" xfId="0" applyFont="1" applyFill="1" applyBorder="1" applyAlignment="1">
      <alignment horizontal="center" vertical="center"/>
    </xf>
    <xf numFmtId="0" fontId="56" fillId="8" borderId="46" xfId="0" applyFont="1" applyFill="1" applyBorder="1" applyAlignment="1">
      <alignment horizontal="center" vertical="center"/>
    </xf>
    <xf numFmtId="0" fontId="56" fillId="8" borderId="14" xfId="0" applyFont="1" applyFill="1" applyBorder="1" applyAlignment="1">
      <alignment horizontal="center" vertical="center"/>
    </xf>
    <xf numFmtId="0" fontId="85" fillId="6" borderId="66" xfId="0" applyFont="1" applyFill="1" applyBorder="1" applyAlignment="1">
      <alignment horizontal="center" vertical="center"/>
    </xf>
    <xf numFmtId="0" fontId="85" fillId="6" borderId="3" xfId="0" applyFont="1" applyFill="1" applyBorder="1" applyAlignment="1">
      <alignment horizontal="center" vertical="center"/>
    </xf>
    <xf numFmtId="0" fontId="112" fillId="0" borderId="0" xfId="0" applyFont="1" applyAlignment="1">
      <alignment horizontal="center"/>
    </xf>
    <xf numFmtId="0" fontId="24" fillId="7" borderId="25" xfId="0" applyFont="1" applyFill="1" applyBorder="1" applyAlignment="1">
      <alignment horizontal="center" vertical="center"/>
    </xf>
    <xf numFmtId="0" fontId="24" fillId="7" borderId="21" xfId="0" applyFont="1" applyFill="1" applyBorder="1" applyAlignment="1">
      <alignment horizontal="center" vertical="center"/>
    </xf>
    <xf numFmtId="0" fontId="24" fillId="7" borderId="1" xfId="0" applyFont="1" applyFill="1" applyBorder="1" applyAlignment="1">
      <alignment horizontal="center" vertical="center"/>
    </xf>
    <xf numFmtId="0" fontId="24" fillId="7" borderId="11" xfId="0" applyFont="1" applyFill="1" applyBorder="1" applyAlignment="1">
      <alignment horizontal="center" vertical="center"/>
    </xf>
    <xf numFmtId="0" fontId="24" fillId="0" borderId="55" xfId="0" applyFont="1" applyBorder="1" applyAlignment="1">
      <alignment horizontal="center" vertical="center"/>
    </xf>
    <xf numFmtId="0" fontId="24" fillId="0" borderId="25" xfId="0" applyFont="1" applyBorder="1" applyAlignment="1">
      <alignment horizontal="center" vertical="center"/>
    </xf>
    <xf numFmtId="0" fontId="24" fillId="0" borderId="21" xfId="0" applyFont="1" applyBorder="1" applyAlignment="1">
      <alignment horizontal="center" vertical="center"/>
    </xf>
    <xf numFmtId="0" fontId="24" fillId="5" borderId="4" xfId="0" applyFont="1" applyFill="1" applyBorder="1" applyAlignment="1">
      <alignment horizontal="center" vertical="center"/>
    </xf>
    <xf numFmtId="0" fontId="24" fillId="5" borderId="11" xfId="0" applyFont="1" applyFill="1" applyBorder="1" applyAlignment="1">
      <alignment horizontal="center" vertical="center"/>
    </xf>
    <xf numFmtId="0" fontId="24" fillId="0" borderId="76" xfId="0" applyFont="1" applyBorder="1" applyAlignment="1">
      <alignment horizontal="left" vertical="center"/>
    </xf>
    <xf numFmtId="0" fontId="24" fillId="0" borderId="9" xfId="0" applyFont="1" applyBorder="1" applyAlignment="1">
      <alignment horizontal="left" vertical="center"/>
    </xf>
    <xf numFmtId="0" fontId="24" fillId="0" borderId="56" xfId="0" applyFont="1" applyBorder="1" applyAlignment="1">
      <alignment horizontal="center" vertical="center"/>
    </xf>
    <xf numFmtId="0" fontId="24" fillId="0" borderId="28" xfId="0" applyFont="1" applyBorder="1" applyAlignment="1">
      <alignment horizontal="center" vertical="center"/>
    </xf>
    <xf numFmtId="0" fontId="24" fillId="0" borderId="4" xfId="0" applyFont="1" applyBorder="1" applyAlignment="1">
      <alignment horizontal="center" vertical="center"/>
    </xf>
    <xf numFmtId="0" fontId="24" fillId="5" borderId="1" xfId="0" applyFont="1" applyFill="1" applyBorder="1" applyAlignment="1">
      <alignment horizontal="center" vertical="center"/>
    </xf>
    <xf numFmtId="0" fontId="24" fillId="6" borderId="1" xfId="0" applyFont="1" applyFill="1" applyBorder="1" applyAlignment="1">
      <alignment horizontal="center" vertical="center"/>
    </xf>
    <xf numFmtId="0" fontId="24" fillId="6" borderId="11" xfId="0" applyFont="1" applyFill="1" applyBorder="1" applyAlignment="1">
      <alignment horizontal="center" vertical="center"/>
    </xf>
    <xf numFmtId="0" fontId="180" fillId="0" borderId="135" xfId="0" applyFont="1" applyBorder="1" applyAlignment="1">
      <alignment horizontal="center" vertical="center"/>
    </xf>
    <xf numFmtId="0" fontId="150" fillId="8" borderId="10" xfId="0" applyFont="1" applyFill="1" applyBorder="1" applyAlignment="1">
      <alignment horizontal="left" vertical="center"/>
    </xf>
    <xf numFmtId="0" fontId="150" fillId="0" borderId="10" xfId="0" applyFont="1" applyBorder="1" applyAlignment="1">
      <alignment horizontal="center" vertical="center"/>
    </xf>
    <xf numFmtId="0" fontId="34" fillId="0" borderId="10" xfId="0" applyFont="1" applyBorder="1" applyAlignment="1">
      <alignment horizontal="center" vertical="center"/>
    </xf>
    <xf numFmtId="0" fontId="150" fillId="0" borderId="45" xfId="0" applyFont="1" applyBorder="1" applyAlignment="1">
      <alignment horizontal="center" vertical="center"/>
    </xf>
    <xf numFmtId="0" fontId="150" fillId="0" borderId="30" xfId="0" applyFont="1" applyBorder="1" applyAlignment="1">
      <alignment horizontal="center" vertical="center"/>
    </xf>
    <xf numFmtId="0" fontId="150" fillId="8" borderId="10" xfId="0" applyFont="1" applyFill="1" applyBorder="1" applyAlignment="1">
      <alignment horizontal="right" vertical="center"/>
    </xf>
    <xf numFmtId="0" fontId="158" fillId="0" borderId="10" xfId="376" applyFont="1" applyFill="1" applyBorder="1" applyAlignment="1">
      <alignment horizontal="center"/>
    </xf>
    <xf numFmtId="0" fontId="158" fillId="0" borderId="37" xfId="376" applyFont="1" applyFill="1" applyBorder="1" applyAlignment="1">
      <alignment horizontal="center"/>
    </xf>
    <xf numFmtId="0" fontId="158" fillId="0" borderId="6" xfId="376" applyFont="1" applyFill="1" applyBorder="1" applyAlignment="1">
      <alignment horizontal="center"/>
    </xf>
    <xf numFmtId="0" fontId="158" fillId="0" borderId="29" xfId="376" applyFont="1" applyFill="1" applyBorder="1" applyAlignment="1">
      <alignment horizontal="center"/>
    </xf>
    <xf numFmtId="0" fontId="159" fillId="9" borderId="45" xfId="376" applyFont="1" applyFill="1" applyBorder="1" applyAlignment="1">
      <alignment horizontal="left" vertical="center" wrapText="1"/>
    </xf>
    <xf numFmtId="0" fontId="159" fillId="9" borderId="46" xfId="376" applyFont="1" applyFill="1" applyBorder="1" applyAlignment="1">
      <alignment horizontal="left" vertical="center" wrapText="1"/>
    </xf>
    <xf numFmtId="0" fontId="159" fillId="9" borderId="30" xfId="376" applyFont="1" applyFill="1" applyBorder="1" applyAlignment="1">
      <alignment horizontal="left" vertical="center" wrapText="1"/>
    </xf>
    <xf numFmtId="9" fontId="156" fillId="0" borderId="10" xfId="22" applyFont="1" applyBorder="1" applyAlignment="1">
      <alignment horizontal="center" vertical="center"/>
    </xf>
    <xf numFmtId="9" fontId="156" fillId="0" borderId="23" xfId="22" applyFont="1" applyBorder="1" applyAlignment="1">
      <alignment horizontal="center" vertical="center"/>
    </xf>
    <xf numFmtId="17" fontId="24" fillId="0" borderId="37" xfId="0" applyNumberFormat="1" applyFont="1" applyBorder="1" applyAlignment="1">
      <alignment horizontal="center"/>
    </xf>
    <xf numFmtId="17" fontId="24" fillId="0" borderId="29" xfId="0" applyNumberFormat="1" applyFont="1" applyBorder="1" applyAlignment="1">
      <alignment horizontal="center"/>
    </xf>
    <xf numFmtId="0" fontId="24" fillId="5" borderId="6" xfId="0" applyFont="1" applyFill="1" applyBorder="1" applyAlignment="1">
      <alignment horizontal="center"/>
    </xf>
    <xf numFmtId="0" fontId="24" fillId="6" borderId="10" xfId="0" applyFont="1" applyFill="1" applyBorder="1" applyAlignment="1">
      <alignment horizontal="center" vertical="center"/>
    </xf>
    <xf numFmtId="0" fontId="52" fillId="0" borderId="37" xfId="0" applyFont="1" applyBorder="1" applyAlignment="1">
      <alignment horizontal="left"/>
    </xf>
    <xf numFmtId="0" fontId="52" fillId="0" borderId="29" xfId="0" applyFont="1" applyBorder="1" applyAlignment="1">
      <alignment horizontal="left"/>
    </xf>
    <xf numFmtId="17" fontId="196" fillId="0" borderId="136" xfId="0" applyNumberFormat="1" applyFont="1" applyBorder="1" applyAlignment="1">
      <alignment horizontal="center" vertical="center" wrapText="1"/>
    </xf>
    <xf numFmtId="17" fontId="196" fillId="0" borderId="43" xfId="0" applyNumberFormat="1" applyFont="1" applyBorder="1" applyAlignment="1">
      <alignment horizontal="center" vertical="center" wrapText="1"/>
    </xf>
    <xf numFmtId="17" fontId="196" fillId="0" borderId="40" xfId="0" applyNumberFormat="1" applyFont="1" applyBorder="1" applyAlignment="1">
      <alignment horizontal="center" vertical="center" wrapText="1"/>
    </xf>
    <xf numFmtId="17" fontId="196" fillId="0" borderId="16" xfId="0" applyNumberFormat="1" applyFont="1" applyBorder="1" applyAlignment="1">
      <alignment horizontal="center" vertical="center" wrapText="1"/>
    </xf>
    <xf numFmtId="0" fontId="188" fillId="0" borderId="0" xfId="0" applyFont="1" applyAlignment="1">
      <alignment horizontal="center" wrapText="1"/>
    </xf>
    <xf numFmtId="0" fontId="188" fillId="0" borderId="0" xfId="0" applyFont="1" applyAlignment="1">
      <alignment horizontal="center" vertical="center" wrapText="1"/>
    </xf>
    <xf numFmtId="0" fontId="187" fillId="0" borderId="136" xfId="0" applyFont="1" applyBorder="1" applyAlignment="1">
      <alignment horizontal="center" vertical="center" wrapText="1"/>
    </xf>
    <xf numFmtId="17" fontId="188" fillId="0" borderId="136" xfId="0" applyNumberFormat="1" applyFont="1" applyBorder="1" applyAlignment="1">
      <alignment horizontal="center" vertical="center" wrapText="1"/>
    </xf>
  </cellXfs>
  <cellStyles count="868">
    <cellStyle name="20% - Accent1 2" xfId="29"/>
    <cellStyle name="20% - Accent1 3" xfId="30"/>
    <cellStyle name="20% - Accent2 2" xfId="31"/>
    <cellStyle name="20% - Accent2 3" xfId="32"/>
    <cellStyle name="20% - Accent3 2" xfId="33"/>
    <cellStyle name="20% - Accent3 3" xfId="34"/>
    <cellStyle name="20% - Accent4 2" xfId="35"/>
    <cellStyle name="20% - Accent4 3" xfId="36"/>
    <cellStyle name="20% - Accent5 2" xfId="37"/>
    <cellStyle name="20% - Accent5 3" xfId="38"/>
    <cellStyle name="20% - Accent6 2" xfId="39"/>
    <cellStyle name="20% - Accent6 3" xfId="40"/>
    <cellStyle name="40% - Accent1 2" xfId="41"/>
    <cellStyle name="40% - Accent1 3" xfId="42"/>
    <cellStyle name="40% - Accent2 2" xfId="43"/>
    <cellStyle name="40% - Accent2 3" xfId="44"/>
    <cellStyle name="40% - Accent3 2" xfId="45"/>
    <cellStyle name="40% - Accent3 3" xfId="46"/>
    <cellStyle name="40% - Accent4 2" xfId="47"/>
    <cellStyle name="40% - Accent4 3" xfId="48"/>
    <cellStyle name="40% - Accent5 2" xfId="49"/>
    <cellStyle name="40% - Accent5 3" xfId="50"/>
    <cellStyle name="40% - Accent6 2" xfId="51"/>
    <cellStyle name="40% - Accent6 3" xfId="52"/>
    <cellStyle name="60% - Accent1 2" xfId="53"/>
    <cellStyle name="60% - Accent1 3" xfId="54"/>
    <cellStyle name="60% - Accent2 2" xfId="55"/>
    <cellStyle name="60% - Accent2 3" xfId="56"/>
    <cellStyle name="60% - Accent3 2" xfId="57"/>
    <cellStyle name="60% - Accent3 3" xfId="58"/>
    <cellStyle name="60% - Accent4 2" xfId="59"/>
    <cellStyle name="60% - Accent4 3" xfId="60"/>
    <cellStyle name="60% - Accent5 2" xfId="61"/>
    <cellStyle name="60% - Accent5 3" xfId="62"/>
    <cellStyle name="60% - Accent6 2" xfId="63"/>
    <cellStyle name="60% - Accent6 3" xfId="64"/>
    <cellStyle name="Accent 1 1" xfId="279"/>
    <cellStyle name="Accent 2 1" xfId="280"/>
    <cellStyle name="Accent 3 1" xfId="281"/>
    <cellStyle name="Accent 4" xfId="282"/>
    <cellStyle name="Accent1 2" xfId="65"/>
    <cellStyle name="Accent1 3" xfId="66"/>
    <cellStyle name="Accent2 2" xfId="67"/>
    <cellStyle name="Accent2 3" xfId="68"/>
    <cellStyle name="Accent3 2" xfId="69"/>
    <cellStyle name="Accent3 3" xfId="70"/>
    <cellStyle name="Accent4 2" xfId="71"/>
    <cellStyle name="Accent4 3" xfId="72"/>
    <cellStyle name="Accent5 2" xfId="73"/>
    <cellStyle name="Accent5 3" xfId="74"/>
    <cellStyle name="Accent6 2" xfId="75"/>
    <cellStyle name="Accent6 3" xfId="76"/>
    <cellStyle name="Bad 1" xfId="283"/>
    <cellStyle name="Bad 2" xfId="77"/>
    <cellStyle name="Bad 3" xfId="78"/>
    <cellStyle name="Calculation 2" xfId="79"/>
    <cellStyle name="Calculation 2 2" xfId="353"/>
    <cellStyle name="Calculation 2 2 2" xfId="414"/>
    <cellStyle name="Calculation 2 2 3" xfId="415"/>
    <cellStyle name="Calculation 2 3" xfId="366"/>
    <cellStyle name="Calculation 2 3 2" xfId="416"/>
    <cellStyle name="Calculation 2 3 3" xfId="417"/>
    <cellStyle name="Calculation 2 4" xfId="418"/>
    <cellStyle name="Calculation 2 5" xfId="419"/>
    <cellStyle name="Calculation 3" xfId="80"/>
    <cellStyle name="Calculation 3 2" xfId="354"/>
    <cellStyle name="Calculation 3 2 2" xfId="420"/>
    <cellStyle name="Calculation 3 2 3" xfId="421"/>
    <cellStyle name="Calculation 3 3" xfId="367"/>
    <cellStyle name="Calculation 3 3 2" xfId="422"/>
    <cellStyle name="Calculation 3 3 3" xfId="423"/>
    <cellStyle name="Calculation 3 4" xfId="424"/>
    <cellStyle name="Calculation 3 5" xfId="425"/>
    <cellStyle name="Check Cell 2" xfId="81"/>
    <cellStyle name="Check Cell 3" xfId="82"/>
    <cellStyle name="Comma" xfId="412" builtinId="3"/>
    <cellStyle name="Comma 10" xfId="426"/>
    <cellStyle name="Comma 11" xfId="427"/>
    <cellStyle name="Comma 12" xfId="428"/>
    <cellStyle name="Comma 13" xfId="429"/>
    <cellStyle name="Comma 14" xfId="430"/>
    <cellStyle name="Comma 15" xfId="431"/>
    <cellStyle name="Comma 16" xfId="432"/>
    <cellStyle name="Comma 17" xfId="433"/>
    <cellStyle name="Comma 2" xfId="9"/>
    <cellStyle name="Comma 2 2" xfId="11"/>
    <cellStyle name="Comma 2 2 2" xfId="83"/>
    <cellStyle name="Comma 2 2 2 2" xfId="347"/>
    <cellStyle name="Comma 2 2 2 2 2" xfId="434"/>
    <cellStyle name="Comma 2 2 2 3" xfId="337"/>
    <cellStyle name="Comma 2 2 3" xfId="335"/>
    <cellStyle name="Comma 2 2 4" xfId="394"/>
    <cellStyle name="Comma 2 3" xfId="188"/>
    <cellStyle name="Comma 2 3 2" xfId="189"/>
    <cellStyle name="Comma 2 3 2 2" xfId="382"/>
    <cellStyle name="Comma 2 3 2 2 2" xfId="435"/>
    <cellStyle name="Comma 2 3 2 3" xfId="338"/>
    <cellStyle name="Comma 2 3 2 4" xfId="436"/>
    <cellStyle name="Comma 2 3 3" xfId="339"/>
    <cellStyle name="Comma 2 3 3 2" xfId="437"/>
    <cellStyle name="Comma 2 3 4" xfId="381"/>
    <cellStyle name="Comma 2 3 4 2" xfId="438"/>
    <cellStyle name="Comma 2 3 5" xfId="336"/>
    <cellStyle name="Comma 2 3 6" xfId="395"/>
    <cellStyle name="Comma 2 3 7" xfId="439"/>
    <cellStyle name="Comma 2 4" xfId="190"/>
    <cellStyle name="Comma 2 4 2" xfId="383"/>
    <cellStyle name="Comma 2 4 2 2" xfId="440"/>
    <cellStyle name="Comma 2 4 3" xfId="340"/>
    <cellStyle name="Comma 2 5" xfId="191"/>
    <cellStyle name="Comma 2 6" xfId="187"/>
    <cellStyle name="Comma 2 6 2" xfId="441"/>
    <cellStyle name="Comma 2 7" xfId="393"/>
    <cellStyle name="Comma 2 8" xfId="442"/>
    <cellStyle name="Comma 3" xfId="311"/>
    <cellStyle name="Comma 3 2" xfId="363"/>
    <cellStyle name="Comma 3 2 2" xfId="443"/>
    <cellStyle name="Comma 3 2 2 2" xfId="444"/>
    <cellStyle name="Comma 3 2 3" xfId="445"/>
    <cellStyle name="Comma 3 3" xfId="396"/>
    <cellStyle name="Comma 3 3 2" xfId="446"/>
    <cellStyle name="Comma 3 4" xfId="447"/>
    <cellStyle name="Comma 3 5" xfId="448"/>
    <cellStyle name="Comma 4" xfId="397"/>
    <cellStyle name="Comma 4 2" xfId="449"/>
    <cellStyle name="Comma 4 3" xfId="450"/>
    <cellStyle name="Comma 5" xfId="451"/>
    <cellStyle name="Comma 6" xfId="452"/>
    <cellStyle name="Comma 7" xfId="453"/>
    <cellStyle name="Comma 8" xfId="454"/>
    <cellStyle name="Comma 9" xfId="455"/>
    <cellStyle name="Currency 2" xfId="12"/>
    <cellStyle name="Currency 2 2" xfId="84"/>
    <cellStyle name="Currency 2 2 2" xfId="348"/>
    <cellStyle name="Currency 2 2 2 2" xfId="456"/>
    <cellStyle name="Currency 2 2 3" xfId="328"/>
    <cellStyle name="Currency 2 3" xfId="341"/>
    <cellStyle name="Currency 2 4" xfId="398"/>
    <cellStyle name="Error 1" xfId="284"/>
    <cellStyle name="Excel Built-in Normal" xfId="192"/>
    <cellStyle name="Excel Built-in Normal 2" xfId="399"/>
    <cellStyle name="Explanatory Text 2" xfId="85"/>
    <cellStyle name="Explanatory Text 3" xfId="86"/>
    <cellStyle name="Footnote 1" xfId="285"/>
    <cellStyle name="Good 1" xfId="286"/>
    <cellStyle name="Good 2" xfId="87"/>
    <cellStyle name="Good 3" xfId="88"/>
    <cellStyle name="Heading 1 1" xfId="287"/>
    <cellStyle name="Heading 1 2" xfId="89"/>
    <cellStyle name="Heading 1 2 10" xfId="457"/>
    <cellStyle name="Heading 1 2 2" xfId="193"/>
    <cellStyle name="Heading 1 2 2 2" xfId="323"/>
    <cellStyle name="Heading 1 2 2 3" xfId="384"/>
    <cellStyle name="Heading 1 2 2 4" xfId="458"/>
    <cellStyle name="Heading 1 2 2 5" xfId="459"/>
    <cellStyle name="Heading 1 2 2 6" xfId="460"/>
    <cellStyle name="Heading 1 2 2 7" xfId="461"/>
    <cellStyle name="Heading 1 2 2 8" xfId="462"/>
    <cellStyle name="Heading 1 2 3" xfId="318"/>
    <cellStyle name="Heading 1 2 3 2" xfId="377"/>
    <cellStyle name="Heading 1 2 4" xfId="349"/>
    <cellStyle name="Heading 1 2 5" xfId="463"/>
    <cellStyle name="Heading 1 2 6" xfId="464"/>
    <cellStyle name="Heading 1 2 7" xfId="465"/>
    <cellStyle name="Heading 1 2 8" xfId="466"/>
    <cellStyle name="Heading 1 2 9" xfId="467"/>
    <cellStyle name="Heading 1 3" xfId="90"/>
    <cellStyle name="Heading 1 3 10" xfId="468"/>
    <cellStyle name="Heading 1 3 2" xfId="194"/>
    <cellStyle name="Heading 1 3 2 2" xfId="324"/>
    <cellStyle name="Heading 1 3 2 3" xfId="385"/>
    <cellStyle name="Heading 1 3 2 4" xfId="469"/>
    <cellStyle name="Heading 1 3 2 5" xfId="470"/>
    <cellStyle name="Heading 1 3 2 6" xfId="471"/>
    <cellStyle name="Heading 1 3 2 7" xfId="472"/>
    <cellStyle name="Heading 1 3 2 8" xfId="473"/>
    <cellStyle name="Heading 1 3 3" xfId="319"/>
    <cellStyle name="Heading 1 3 3 2" xfId="378"/>
    <cellStyle name="Heading 1 3 4" xfId="350"/>
    <cellStyle name="Heading 1 3 5" xfId="474"/>
    <cellStyle name="Heading 1 3 6" xfId="475"/>
    <cellStyle name="Heading 1 3 7" xfId="476"/>
    <cellStyle name="Heading 1 3 8" xfId="477"/>
    <cellStyle name="Heading 1 3 9" xfId="478"/>
    <cellStyle name="Heading 2 1" xfId="288"/>
    <cellStyle name="Heading 2 2" xfId="91"/>
    <cellStyle name="Heading 2 2 10" xfId="479"/>
    <cellStyle name="Heading 2 2 2" xfId="195"/>
    <cellStyle name="Heading 2 2 2 2" xfId="325"/>
    <cellStyle name="Heading 2 2 2 3" xfId="386"/>
    <cellStyle name="Heading 2 2 2 4" xfId="480"/>
    <cellStyle name="Heading 2 2 2 5" xfId="481"/>
    <cellStyle name="Heading 2 2 2 6" xfId="482"/>
    <cellStyle name="Heading 2 2 2 7" xfId="483"/>
    <cellStyle name="Heading 2 2 3" xfId="320"/>
    <cellStyle name="Heading 2 2 3 2" xfId="379"/>
    <cellStyle name="Heading 2 2 4" xfId="351"/>
    <cellStyle name="Heading 2 2 5" xfId="484"/>
    <cellStyle name="Heading 2 2 6" xfId="485"/>
    <cellStyle name="Heading 2 2 7" xfId="486"/>
    <cellStyle name="Heading 2 2 8" xfId="487"/>
    <cellStyle name="Heading 2 2 9" xfId="488"/>
    <cellStyle name="Heading 2 3" xfId="92"/>
    <cellStyle name="Heading 2 3 10" xfId="489"/>
    <cellStyle name="Heading 2 3 2" xfId="196"/>
    <cellStyle name="Heading 2 3 2 2" xfId="326"/>
    <cellStyle name="Heading 2 3 2 3" xfId="387"/>
    <cellStyle name="Heading 2 3 2 4" xfId="490"/>
    <cellStyle name="Heading 2 3 2 5" xfId="491"/>
    <cellStyle name="Heading 2 3 2 6" xfId="492"/>
    <cellStyle name="Heading 2 3 2 7" xfId="493"/>
    <cellStyle name="Heading 2 3 3" xfId="321"/>
    <cellStyle name="Heading 2 3 3 2" xfId="380"/>
    <cellStyle name="Heading 2 3 4" xfId="352"/>
    <cellStyle name="Heading 2 3 5" xfId="494"/>
    <cellStyle name="Heading 2 3 6" xfId="495"/>
    <cellStyle name="Heading 2 3 7" xfId="496"/>
    <cellStyle name="Heading 2 3 8" xfId="497"/>
    <cellStyle name="Heading 2 3 9" xfId="498"/>
    <cellStyle name="Heading 3 2" xfId="93"/>
    <cellStyle name="Heading 3 3" xfId="94"/>
    <cellStyle name="Heading 4 2" xfId="95"/>
    <cellStyle name="Heading 4 3" xfId="96"/>
    <cellStyle name="Hyperlink 1" xfId="289"/>
    <cellStyle name="Hyperlink 2" xfId="97"/>
    <cellStyle name="Hyperlink 2 2" xfId="499"/>
    <cellStyle name="Hyperlink 3" xfId="500"/>
    <cellStyle name="Input 2" xfId="98"/>
    <cellStyle name="Input 2 2" xfId="355"/>
    <cellStyle name="Input 2 2 2" xfId="501"/>
    <cellStyle name="Input 2 2 3" xfId="502"/>
    <cellStyle name="Input 2 3" xfId="368"/>
    <cellStyle name="Input 2 3 2" xfId="503"/>
    <cellStyle name="Input 2 3 3" xfId="504"/>
    <cellStyle name="Input 2 4" xfId="505"/>
    <cellStyle name="Input 2 5" xfId="506"/>
    <cellStyle name="Input 3" xfId="99"/>
    <cellStyle name="Input 3 2" xfId="356"/>
    <cellStyle name="Input 3 2 2" xfId="507"/>
    <cellStyle name="Input 3 2 3" xfId="508"/>
    <cellStyle name="Input 3 3" xfId="369"/>
    <cellStyle name="Input 3 3 2" xfId="509"/>
    <cellStyle name="Input 3 3 3" xfId="510"/>
    <cellStyle name="Input 3 4" xfId="511"/>
    <cellStyle name="Input 3 5" xfId="512"/>
    <cellStyle name="Linked Cell 2" xfId="100"/>
    <cellStyle name="Linked Cell 3" xfId="101"/>
    <cellStyle name="Neutral 1" xfId="290"/>
    <cellStyle name="Neutral 2" xfId="102"/>
    <cellStyle name="Neutral 3" xfId="103"/>
    <cellStyle name="Normal" xfId="0" builtinId="0"/>
    <cellStyle name="Normal 10" xfId="104"/>
    <cellStyle name="Normal 10 2" xfId="400"/>
    <cellStyle name="Normal 11" xfId="105"/>
    <cellStyle name="Normal 11 2" xfId="401"/>
    <cellStyle name="Normal 11 2 2" xfId="513"/>
    <cellStyle name="Normal 11 2 2 2" xfId="514"/>
    <cellStyle name="Normal 11 2 3" xfId="515"/>
    <cellStyle name="Normal 11 3" xfId="516"/>
    <cellStyle name="Normal 11 3 2" xfId="517"/>
    <cellStyle name="Normal 11 4" xfId="518"/>
    <cellStyle name="Normal 12" xfId="27"/>
    <cellStyle name="Normal 12 2" xfId="402"/>
    <cellStyle name="Normal 12 2 2" xfId="519"/>
    <cellStyle name="Normal 12 2 2 2" xfId="296"/>
    <cellStyle name="Normal 12 2 2 2 2" xfId="520"/>
    <cellStyle name="Normal 12 2 2 2 2 2" xfId="521"/>
    <cellStyle name="Normal 12 2 2 2 2 2 2" xfId="522"/>
    <cellStyle name="Normal 12 2 2 2 2 2 2 2" xfId="523"/>
    <cellStyle name="Normal 12 2 2 2 2 2 2 2 3 2 2 2 2" xfId="524"/>
    <cellStyle name="Normal 12 3" xfId="525"/>
    <cellStyle name="Normal 13" xfId="28"/>
    <cellStyle name="Normal 13 2" xfId="392"/>
    <cellStyle name="Normal 13 2 2" xfId="403"/>
    <cellStyle name="Normal 14" xfId="186"/>
    <cellStyle name="Normal 14 2" xfId="197"/>
    <cellStyle name="Normal 14 3" xfId="526"/>
    <cellStyle name="Normal 15" xfId="106"/>
    <cellStyle name="Normal 15 2" xfId="405"/>
    <cellStyle name="Normal 15 3" xfId="404"/>
    <cellStyle name="Normal 16" xfId="198"/>
    <cellStyle name="Normal 16 2" xfId="388"/>
    <cellStyle name="Normal 16 3" xfId="376"/>
    <cellStyle name="Normal 16 4" xfId="527"/>
    <cellStyle name="Normal 17" xfId="390"/>
    <cellStyle name="Normal 17 2" xfId="528"/>
    <cellStyle name="Normal 17 3" xfId="529"/>
    <cellStyle name="Normal 18" xfId="107"/>
    <cellStyle name="Normal 18 2" xfId="530"/>
    <cellStyle name="Normal 18 2 2" xfId="531"/>
    <cellStyle name="Normal 18 3" xfId="532"/>
    <cellStyle name="Normal 19" xfId="391"/>
    <cellStyle name="Normal 2" xfId="1"/>
    <cellStyle name="Normal 2 10" xfId="533"/>
    <cellStyle name="Normal 2 10 2" xfId="534"/>
    <cellStyle name="Normal 2 11" xfId="535"/>
    <cellStyle name="Normal 2 12" xfId="865"/>
    <cellStyle name="Normal 2 2" xfId="8"/>
    <cellStyle name="Normal 2 2 10" xfId="536"/>
    <cellStyle name="Normal 2 2 11" xfId="537"/>
    <cellStyle name="Normal 2 2 12" xfId="538"/>
    <cellStyle name="Normal 2 2 13" xfId="539"/>
    <cellStyle name="Normal 2 2 14" xfId="540"/>
    <cellStyle name="Normal 2 2 15" xfId="541"/>
    <cellStyle name="Normal 2 2 16" xfId="542"/>
    <cellStyle name="Normal 2 2 17" xfId="543"/>
    <cellStyle name="Normal 2 2 18" xfId="544"/>
    <cellStyle name="Normal 2 2 19" xfId="545"/>
    <cellStyle name="Normal 2 2 2" xfId="109"/>
    <cellStyle name="Normal 2 2 2 10" xfId="546"/>
    <cellStyle name="Normal 2 2 2 11" xfId="547"/>
    <cellStyle name="Normal 2 2 2 12" xfId="548"/>
    <cellStyle name="Normal 2 2 2 13" xfId="549"/>
    <cellStyle name="Normal 2 2 2 14" xfId="550"/>
    <cellStyle name="Normal 2 2 2 15" xfId="551"/>
    <cellStyle name="Normal 2 2 2 16" xfId="552"/>
    <cellStyle name="Normal 2 2 2 17" xfId="553"/>
    <cellStyle name="Normal 2 2 2 18" xfId="554"/>
    <cellStyle name="Normal 2 2 2 19" xfId="555"/>
    <cellStyle name="Normal 2 2 2 2" xfId="199"/>
    <cellStyle name="Normal 2 2 2 2 10" xfId="556"/>
    <cellStyle name="Normal 2 2 2 2 11" xfId="557"/>
    <cellStyle name="Normal 2 2 2 2 12" xfId="558"/>
    <cellStyle name="Normal 2 2 2 2 13" xfId="559"/>
    <cellStyle name="Normal 2 2 2 2 14" xfId="560"/>
    <cellStyle name="Normal 2 2 2 2 15" xfId="561"/>
    <cellStyle name="Normal 2 2 2 2 16" xfId="562"/>
    <cellStyle name="Normal 2 2 2 2 17" xfId="563"/>
    <cellStyle name="Normal 2 2 2 2 18" xfId="564"/>
    <cellStyle name="Normal 2 2 2 2 19" xfId="565"/>
    <cellStyle name="Normal 2 2 2 2 2" xfId="200"/>
    <cellStyle name="Normal 2 2 2 2 2 10" xfId="566"/>
    <cellStyle name="Normal 2 2 2 2 2 11" xfId="567"/>
    <cellStyle name="Normal 2 2 2 2 2 12" xfId="568"/>
    <cellStyle name="Normal 2 2 2 2 2 13" xfId="569"/>
    <cellStyle name="Normal 2 2 2 2 2 14" xfId="570"/>
    <cellStyle name="Normal 2 2 2 2 2 15" xfId="571"/>
    <cellStyle name="Normal 2 2 2 2 2 16" xfId="572"/>
    <cellStyle name="Normal 2 2 2 2 2 17" xfId="573"/>
    <cellStyle name="Normal 2 2 2 2 2 18" xfId="574"/>
    <cellStyle name="Normal 2 2 2 2 2 19" xfId="575"/>
    <cellStyle name="Normal 2 2 2 2 2 2" xfId="576"/>
    <cellStyle name="Normal 2 2 2 2 2 20" xfId="577"/>
    <cellStyle name="Normal 2 2 2 2 2 21" xfId="578"/>
    <cellStyle name="Normal 2 2 2 2 2 22" xfId="579"/>
    <cellStyle name="Normal 2 2 2 2 2 23" xfId="580"/>
    <cellStyle name="Normal 2 2 2 2 2 24" xfId="581"/>
    <cellStyle name="Normal 2 2 2 2 2 3" xfId="582"/>
    <cellStyle name="Normal 2 2 2 2 2 4" xfId="583"/>
    <cellStyle name="Normal 2 2 2 2 2 5" xfId="584"/>
    <cellStyle name="Normal 2 2 2 2 2 6" xfId="585"/>
    <cellStyle name="Normal 2 2 2 2 2 7" xfId="586"/>
    <cellStyle name="Normal 2 2 2 2 2 8" xfId="587"/>
    <cellStyle name="Normal 2 2 2 2 2 9" xfId="588"/>
    <cellStyle name="Normal 2 2 2 2 20" xfId="589"/>
    <cellStyle name="Normal 2 2 2 2 21" xfId="590"/>
    <cellStyle name="Normal 2 2 2 2 22" xfId="591"/>
    <cellStyle name="Normal 2 2 2 2 23" xfId="592"/>
    <cellStyle name="Normal 2 2 2 2 24" xfId="593"/>
    <cellStyle name="Normal 2 2 2 2 25" xfId="594"/>
    <cellStyle name="Normal 2 2 2 2 26" xfId="595"/>
    <cellStyle name="Normal 2 2 2 2 3" xfId="596"/>
    <cellStyle name="Normal 2 2 2 2 3 2" xfId="597"/>
    <cellStyle name="Normal 2 2 2 2 3 2 2" xfId="598"/>
    <cellStyle name="Normal 2 2 2 2 3 2 2 2" xfId="599"/>
    <cellStyle name="Normal 2 2 2 2 3 2 2 2 2" xfId="600"/>
    <cellStyle name="Normal 2 2 2 2 3 2 2 2 2 2" xfId="601"/>
    <cellStyle name="Normal 2 2 2 2 3 2 2 2 2 2 2" xfId="602"/>
    <cellStyle name="Normal 2 2 2 2 3 2 2 2 2 2 2 2" xfId="298"/>
    <cellStyle name="Normal 2 2 2 2 3 2 2 2 2 2 2 2 2" xfId="603"/>
    <cellStyle name="Normal 2 2 2 2 3 2 2 2 2 2 2 2 2 2" xfId="604"/>
    <cellStyle name="Normal 2 2 2 2 3 2 2 2 2 2 2 2 2 2 2" xfId="605"/>
    <cellStyle name="Normal 2 2 2 2 3 2 2 2 2 2 2 2 2 2 2 2" xfId="299"/>
    <cellStyle name="Normal 2 2 2 2 3 2 2 2 2 2 2 2 2 2 2 2 3" xfId="327"/>
    <cellStyle name="Normal 2 2 2 2 3 2 2 2 2 2 2 2 2 2 2 2 3 2 2 2 2" xfId="606"/>
    <cellStyle name="Normal 2 2 2 2 3 2 2 2 2 2 2 2 2 2 2 2 3 2 2 2 2 2" xfId="607"/>
    <cellStyle name="Normal 2 2 2 2 3 2 2 2 2 2 2 2 2 2 2 2 3 2 2 2 2 2 2" xfId="608"/>
    <cellStyle name="Normal 2 2 2 2 3 2 2 2 2 2 2 2 2 2 2 2 3 2 2 2 2 2 2 2" xfId="609"/>
    <cellStyle name="Normal 2 2 2 2 3 2 2 2 2 2 2 2 2 2 2 2 3 2 2 2 2 2 2 2 2" xfId="610"/>
    <cellStyle name="Normal 2 2 2 2 3 2 2 2 2 2 2 2 2 2 2 2 3 2 2 2 2 2 2 3" xfId="611"/>
    <cellStyle name="Normal 2 2 2 2 3 2 2 2 2 2 2 2 2 2 2 2 3 2 2 2 2 2 3" xfId="612"/>
    <cellStyle name="Normal 2 2 2 2 3 2 2 2 2 2 2 2 2 2 2 2 3 2 2 2 2 2 3 2" xfId="613"/>
    <cellStyle name="Normal 2 2 2 2 3 2 2 2 2 2 2 2 2 2 2 2 3 2 2 2 2 2 4" xfId="614"/>
    <cellStyle name="Normal 2 2 2 2 3 2 2 2 2 2 2 2 2 2 2 2 3 2 2 2 2 3" xfId="615"/>
    <cellStyle name="Normal 2 2 2 2 3 2 2 2 2 2 2 2 2 2 2 2 3 2 2 2 2 3 2" xfId="616"/>
    <cellStyle name="Normal 2 2 2 2 3 2 2 2 2 2 2 2 2 2 2 2 3 2 2 2 2 3 2 2" xfId="617"/>
    <cellStyle name="Normal 2 2 2 2 3 2 2 2 2 2 2 2 2 2 2 2 3 2 2 2 2 3 3" xfId="618"/>
    <cellStyle name="Normal 2 2 2 2 3 2 2 2 2 2 2 2 2 2 2 2 3 2 2 2 2 4" xfId="619"/>
    <cellStyle name="Normal 2 2 2 2 3 2 2 2 2 2 2 2 2 2 2 2 3 2 2 2 2 4 2" xfId="620"/>
    <cellStyle name="Normal 2 2 2 2 3 2 2 2 2 2 2 2 2 2 2 2 3 2 2 2 2 4 2 2" xfId="621"/>
    <cellStyle name="Normal 2 2 2 2 3 2 2 2 2 2 2 2 2 2 2 2 3 2 2 2 2 4 3" xfId="622"/>
    <cellStyle name="Normal 2 2 2 2 3 2 2 2 2 2 2 2 2 2 2 2 3 2 2 2 2 5" xfId="623"/>
    <cellStyle name="Normal 2 2 2 2 3 2 2 2 2 2 2 2 2 2 2 2 3 2 2 2 2 5 2" xfId="624"/>
    <cellStyle name="Normal 2 2 2 2 3 2 2 2 2 2 2 2 2 2 2 2 3 2 2 2 2 6" xfId="625"/>
    <cellStyle name="Normal 2 2 2 2 3 2 2 2 2 2 2 2 2 2 2 2 3 2 2 2 2 7" xfId="626"/>
    <cellStyle name="Normal 2 2 2 2 4" xfId="627"/>
    <cellStyle name="Normal 2 2 2 2 5" xfId="628"/>
    <cellStyle name="Normal 2 2 2 2 6" xfId="629"/>
    <cellStyle name="Normal 2 2 2 2 7" xfId="630"/>
    <cellStyle name="Normal 2 2 2 2 8" xfId="631"/>
    <cellStyle name="Normal 2 2 2 2 9" xfId="632"/>
    <cellStyle name="Normal 2 2 2 20" xfId="633"/>
    <cellStyle name="Normal 2 2 2 21" xfId="634"/>
    <cellStyle name="Normal 2 2 2 22" xfId="635"/>
    <cellStyle name="Normal 2 2 2 23" xfId="636"/>
    <cellStyle name="Normal 2 2 2 24" xfId="637"/>
    <cellStyle name="Normal 2 2 2 3" xfId="201"/>
    <cellStyle name="Normal 2 2 2 3 2" xfId="638"/>
    <cellStyle name="Normal 2 2 2 4" xfId="639"/>
    <cellStyle name="Normal 2 2 2 5" xfId="640"/>
    <cellStyle name="Normal 2 2 2 6" xfId="641"/>
    <cellStyle name="Normal 2 2 2 7" xfId="642"/>
    <cellStyle name="Normal 2 2 2 8" xfId="643"/>
    <cellStyle name="Normal 2 2 2 9" xfId="644"/>
    <cellStyle name="Normal 2 2 20" xfId="645"/>
    <cellStyle name="Normal 2 2 21" xfId="646"/>
    <cellStyle name="Normal 2 2 22" xfId="647"/>
    <cellStyle name="Normal 2 2 23" xfId="648"/>
    <cellStyle name="Normal 2 2 24" xfId="649"/>
    <cellStyle name="Normal 2 2 3" xfId="110"/>
    <cellStyle name="Normal 2 2 3 2" xfId="650"/>
    <cellStyle name="Normal 2 2 4" xfId="111"/>
    <cellStyle name="Normal 2 2 4 2" xfId="651"/>
    <cellStyle name="Normal 2 2 5" xfId="112"/>
    <cellStyle name="Normal 2 2 5 2" xfId="652"/>
    <cellStyle name="Normal 2 2 6" xfId="113"/>
    <cellStyle name="Normal 2 2 6 2" xfId="653"/>
    <cellStyle name="Normal 2 2 7" xfId="114"/>
    <cellStyle name="Normal 2 2 7 2" xfId="654"/>
    <cellStyle name="Normal 2 2 8" xfId="108"/>
    <cellStyle name="Normal 2 2 8 2" xfId="202"/>
    <cellStyle name="Normal 2 2 8 2 2" xfId="655"/>
    <cellStyle name="Normal 2 2 9" xfId="315"/>
    <cellStyle name="Normal 2 2 9 2" xfId="656"/>
    <cellStyle name="Normal 2 3" xfId="24"/>
    <cellStyle name="Normal 2 3 2" xfId="115"/>
    <cellStyle name="Normal 2 3 2 2" xfId="203"/>
    <cellStyle name="Normal 2 3 2 2 2" xfId="322"/>
    <cellStyle name="Normal 2 3 2 2 2 2" xfId="389"/>
    <cellStyle name="Normal 2 3 2 2 3" xfId="657"/>
    <cellStyle name="Normal 2 3 2 3" xfId="332"/>
    <cellStyle name="Normal 2 3 3" xfId="317"/>
    <cellStyle name="Normal 2 3 3 2" xfId="342"/>
    <cellStyle name="Normal 2 3 4" xfId="300"/>
    <cellStyle name="Normal 2 3 5" xfId="329"/>
    <cellStyle name="Normal 2 3 6" xfId="658"/>
    <cellStyle name="Normal 2 4" xfId="116"/>
    <cellStyle name="Normal 2 4 2" xfId="204"/>
    <cellStyle name="Normal 2 4 3" xfId="659"/>
    <cellStyle name="Normal 2 4 4" xfId="660"/>
    <cellStyle name="Normal 2 5" xfId="117"/>
    <cellStyle name="Normal 2 5 2" xfId="661"/>
    <cellStyle name="Normal 2 6" xfId="118"/>
    <cellStyle name="Normal 2 6 2" xfId="662"/>
    <cellStyle name="Normal 2 7" xfId="119"/>
    <cellStyle name="Normal 2 7 2" xfId="663"/>
    <cellStyle name="Normal 2 8" xfId="312"/>
    <cellStyle name="Normal 2 8 2" xfId="365"/>
    <cellStyle name="Normal 2 8 3" xfId="664"/>
    <cellStyle name="Normal 2 9" xfId="297"/>
    <cellStyle name="Normal 2 9 2" xfId="665"/>
    <cellStyle name="Normal 20" xfId="413"/>
    <cellStyle name="Normal 21" xfId="301"/>
    <cellStyle name="Normal 22" xfId="406"/>
    <cellStyle name="Normal 22 2" xfId="407"/>
    <cellStyle name="Normal 23" xfId="408"/>
    <cellStyle name="Normal 23 2" xfId="409"/>
    <cellStyle name="Normal 23 2 2" xfId="666"/>
    <cellStyle name="Normal 23 2 2 2" xfId="667"/>
    <cellStyle name="Normal 24" xfId="410"/>
    <cellStyle name="Normal 24 2" xfId="668"/>
    <cellStyle name="Normal 24 2 2" xfId="669"/>
    <cellStyle name="Normal 24 2 2 2" xfId="670"/>
    <cellStyle name="Normal 24 2 2 2 3 2 2 2 2" xfId="671"/>
    <cellStyle name="Normal 25" xfId="672"/>
    <cellStyle name="Normal 26" xfId="673"/>
    <cellStyle name="Normal 26 2" xfId="674"/>
    <cellStyle name="Normal 26 2 3 2 2 2 2" xfId="675"/>
    <cellStyle name="Normal 27" xfId="676"/>
    <cellStyle name="Normal 28" xfId="677"/>
    <cellStyle name="Normal 29" xfId="678"/>
    <cellStyle name="Normal 3" xfId="2"/>
    <cellStyle name="Normal 3 10" xfId="121"/>
    <cellStyle name="Normal 3 10 2" xfId="679"/>
    <cellStyle name="Normal 3 11" xfId="122"/>
    <cellStyle name="Normal 3 11 2" xfId="680"/>
    <cellStyle name="Normal 3 12" xfId="123"/>
    <cellStyle name="Normal 3 12 2" xfId="681"/>
    <cellStyle name="Normal 3 13" xfId="124"/>
    <cellStyle name="Normal 3 13 2" xfId="682"/>
    <cellStyle name="Normal 3 14" xfId="125"/>
    <cellStyle name="Normal 3 14 2" xfId="683"/>
    <cellStyle name="Normal 3 15" xfId="126"/>
    <cellStyle name="Normal 3 15 2" xfId="684"/>
    <cellStyle name="Normal 3 16" xfId="127"/>
    <cellStyle name="Normal 3 16 2" xfId="685"/>
    <cellStyle name="Normal 3 17" xfId="128"/>
    <cellStyle name="Normal 3 17 2" xfId="686"/>
    <cellStyle name="Normal 3 18" xfId="120"/>
    <cellStyle name="Normal 3 18 2" xfId="205"/>
    <cellStyle name="Normal 3 18 2 2" xfId="687"/>
    <cellStyle name="Normal 3 19" xfId="313"/>
    <cellStyle name="Normal 3 2" xfId="14"/>
    <cellStyle name="Normal 3 2 10" xfId="688"/>
    <cellStyle name="Normal 3 2 11" xfId="689"/>
    <cellStyle name="Normal 3 2 12" xfId="690"/>
    <cellStyle name="Normal 3 2 13" xfId="691"/>
    <cellStyle name="Normal 3 2 14" xfId="692"/>
    <cellStyle name="Normal 3 2 15" xfId="693"/>
    <cellStyle name="Normal 3 2 16" xfId="694"/>
    <cellStyle name="Normal 3 2 17" xfId="695"/>
    <cellStyle name="Normal 3 2 18" xfId="696"/>
    <cellStyle name="Normal 3 2 19" xfId="697"/>
    <cellStyle name="Normal 3 2 2" xfId="129"/>
    <cellStyle name="Normal 3 2 2 10" xfId="698"/>
    <cellStyle name="Normal 3 2 2 11" xfId="699"/>
    <cellStyle name="Normal 3 2 2 12" xfId="700"/>
    <cellStyle name="Normal 3 2 2 13" xfId="701"/>
    <cellStyle name="Normal 3 2 2 14" xfId="702"/>
    <cellStyle name="Normal 3 2 2 15" xfId="703"/>
    <cellStyle name="Normal 3 2 2 16" xfId="704"/>
    <cellStyle name="Normal 3 2 2 17" xfId="705"/>
    <cellStyle name="Normal 3 2 2 18" xfId="706"/>
    <cellStyle name="Normal 3 2 2 19" xfId="707"/>
    <cellStyle name="Normal 3 2 2 2" xfId="206"/>
    <cellStyle name="Normal 3 2 2 2 2" xfId="708"/>
    <cellStyle name="Normal 3 2 2 20" xfId="709"/>
    <cellStyle name="Normal 3 2 2 21" xfId="710"/>
    <cellStyle name="Normal 3 2 2 22" xfId="711"/>
    <cellStyle name="Normal 3 2 2 23" xfId="712"/>
    <cellStyle name="Normal 3 2 2 3" xfId="713"/>
    <cellStyle name="Normal 3 2 2 4" xfId="714"/>
    <cellStyle name="Normal 3 2 2 5" xfId="715"/>
    <cellStyle name="Normal 3 2 2 6" xfId="716"/>
    <cellStyle name="Normal 3 2 2 7" xfId="717"/>
    <cellStyle name="Normal 3 2 2 8" xfId="718"/>
    <cellStyle name="Normal 3 2 2 9" xfId="719"/>
    <cellStyle name="Normal 3 2 20" xfId="720"/>
    <cellStyle name="Normal 3 2 21" xfId="721"/>
    <cellStyle name="Normal 3 2 22" xfId="722"/>
    <cellStyle name="Normal 3 2 23" xfId="723"/>
    <cellStyle name="Normal 3 2 24" xfId="724"/>
    <cellStyle name="Normal 3 2 25" xfId="725"/>
    <cellStyle name="Normal 3 2 26" xfId="726"/>
    <cellStyle name="Normal 3 2 3" xfId="207"/>
    <cellStyle name="Normal 3 2 3 2" xfId="302"/>
    <cellStyle name="Normal 3 2 3 2 2" xfId="727"/>
    <cellStyle name="Normal 3 2 3 2 2 2" xfId="303"/>
    <cellStyle name="Normal 3 2 3 2 2 2 2" xfId="728"/>
    <cellStyle name="Normal 3 2 3 2 2 2 2 2" xfId="304"/>
    <cellStyle name="Normal 3 2 3 2 2 2 2 2 2" xfId="729"/>
    <cellStyle name="Normal 3 2 3 2 2 2 2 2 2 2" xfId="305"/>
    <cellStyle name="Normal 3 2 3 2 2 2 2 2 2 2 2" xfId="306"/>
    <cellStyle name="Normal 3 2 3 2 2 2 2 2 2 2 2 2" xfId="730"/>
    <cellStyle name="Normal 3 2 3 2 2 2 2 2 2 2 2 2 2" xfId="307"/>
    <cellStyle name="Normal 3 2 3 2 2 2 2 2 2 2 2 2 2 2" xfId="308"/>
    <cellStyle name="Normal 3 2 3 2 2 2 2 2 2 2 2 2 2 2 3" xfId="310"/>
    <cellStyle name="Normal 3 2 3 2 2 2 2 2 2 2 2 2 2 2 3 2 2 2 2" xfId="411"/>
    <cellStyle name="Normal 3 2 3 2 2 2 2 2 2 2 2 2 2 2 3 2 2 2 2 2" xfId="731"/>
    <cellStyle name="Normal 3 2 3 2 2 2 2 2 2 2 2 2 2 2 3 2 2 2 2 2 2" xfId="732"/>
    <cellStyle name="Normal 3 2 3 2 2 2 2 2 2 2 2 2 2 2 3 2 2 2 2 2 2 2" xfId="733"/>
    <cellStyle name="Normal 3 2 3 2 2 2 2 2 2 2 2 2 2 2 3 2 2 2 2 2 2 2 2" xfId="734"/>
    <cellStyle name="Normal 3 2 3 2 2 2 2 2 2 2 2 2 2 2 3 2 2 2 2 2 2 3" xfId="735"/>
    <cellStyle name="Normal 3 2 3 2 2 2 2 2 2 2 2 2 2 2 3 2 2 2 2 2 3" xfId="736"/>
    <cellStyle name="Normal 3 2 3 2 2 2 2 2 2 2 2 2 2 2 3 2 2 2 2 2 3 2" xfId="737"/>
    <cellStyle name="Normal 3 2 3 2 2 2 2 2 2 2 2 2 2 2 3 2 2 2 2 2 4" xfId="738"/>
    <cellStyle name="Normal 3 2 3 2 2 2 2 2 2 2 2 2 2 2 3 2 2 2 2 3" xfId="739"/>
    <cellStyle name="Normal 3 2 3 2 2 2 2 2 2 2 2 2 2 2 3 2 2 2 2 3 2" xfId="740"/>
    <cellStyle name="Normal 3 2 3 2 2 2 2 2 2 2 2 2 2 2 3 2 2 2 2 3 2 2" xfId="741"/>
    <cellStyle name="Normal 3 2 3 2 2 2 2 2 2 2 2 2 2 2 3 2 2 2 2 3 3" xfId="742"/>
    <cellStyle name="Normal 3 2 3 2 2 2 2 2 2 2 2 2 2 2 3 2 2 2 2 4" xfId="743"/>
    <cellStyle name="Normal 3 2 3 2 2 2 2 2 2 2 2 2 2 2 3 2 2 2 2 4 2" xfId="744"/>
    <cellStyle name="Normal 3 2 3 2 2 2 2 2 2 2 2 2 2 2 3 2 2 2 2 4 2 2" xfId="745"/>
    <cellStyle name="Normal 3 2 3 2 2 2 2 2 2 2 2 2 2 2 3 2 2 2 2 4 3" xfId="746"/>
    <cellStyle name="Normal 3 2 3 2 2 2 2 2 2 2 2 2 2 2 3 2 2 2 2 5" xfId="747"/>
    <cellStyle name="Normal 3 2 3 2 2 2 2 2 2 2 2 2 2 2 3 2 2 2 2 5 2" xfId="748"/>
    <cellStyle name="Normal 3 2 3 2 2 2 2 2 2 2 2 2 2 2 3 2 2 2 2 6" xfId="749"/>
    <cellStyle name="Normal 3 2 3 2 2 2 2 2 2 2 2 2 2 2 3 2 2 2 2 7" xfId="750"/>
    <cellStyle name="Normal 3 2 3 3" xfId="751"/>
    <cellStyle name="Normal 3 2 4" xfId="752"/>
    <cellStyle name="Normal 3 2 5" xfId="753"/>
    <cellStyle name="Normal 3 2 6" xfId="754"/>
    <cellStyle name="Normal 3 2 7" xfId="755"/>
    <cellStyle name="Normal 3 2 8" xfId="756"/>
    <cellStyle name="Normal 3 2 9" xfId="757"/>
    <cellStyle name="Normal 3 20" xfId="758"/>
    <cellStyle name="Normal 3 21" xfId="759"/>
    <cellStyle name="Normal 3 22" xfId="760"/>
    <cellStyle name="Normal 3 23" xfId="761"/>
    <cellStyle name="Normal 3 24" xfId="762"/>
    <cellStyle name="Normal 3 25" xfId="763"/>
    <cellStyle name="Normal 3 3" xfId="13"/>
    <cellStyle name="Normal 3 3 2" xfId="130"/>
    <cellStyle name="Normal 3 3 2 2" xfId="764"/>
    <cellStyle name="Normal 3 3 3" xfId="344"/>
    <cellStyle name="Normal 3 3 3 2" xfId="765"/>
    <cellStyle name="Normal 3 3 4" xfId="333"/>
    <cellStyle name="Normal 3 3 5" xfId="766"/>
    <cellStyle name="Normal 3 3 6" xfId="767"/>
    <cellStyle name="Normal 3 4" xfId="25"/>
    <cellStyle name="Normal 3 4 2" xfId="131"/>
    <cellStyle name="Normal 3 4 3" xfId="768"/>
    <cellStyle name="Normal 3 5" xfId="132"/>
    <cellStyle name="Normal 3 5 2" xfId="769"/>
    <cellStyle name="Normal 3 6" xfId="133"/>
    <cellStyle name="Normal 3 6 2" xfId="770"/>
    <cellStyle name="Normal 3 7" xfId="134"/>
    <cellStyle name="Normal 3 7 2" xfId="771"/>
    <cellStyle name="Normal 3 8" xfId="135"/>
    <cellStyle name="Normal 3 8 2" xfId="772"/>
    <cellStyle name="Normal 3 9" xfId="136"/>
    <cellStyle name="Normal 3 9 2" xfId="773"/>
    <cellStyle name="Normal 30" xfId="774"/>
    <cellStyle name="Normal 31" xfId="775"/>
    <cellStyle name="Normal 32" xfId="776"/>
    <cellStyle name="Normal 33" xfId="777"/>
    <cellStyle name="Normal 34" xfId="778"/>
    <cellStyle name="Normal 35" xfId="863"/>
    <cellStyle name="Normal 36" xfId="864"/>
    <cellStyle name="Normal 37" xfId="867"/>
    <cellStyle name="Normal 4" xfId="3"/>
    <cellStyle name="Normal 4 10" xfId="137"/>
    <cellStyle name="Normal 4 11" xfId="138"/>
    <cellStyle name="Normal 4 12" xfId="208"/>
    <cellStyle name="Normal 4 12 2" xfId="314"/>
    <cellStyle name="Normal 4 13" xfId="209"/>
    <cellStyle name="Normal 4 14" xfId="210"/>
    <cellStyle name="Normal 4 15" xfId="211"/>
    <cellStyle name="Normal 4 16" xfId="212"/>
    <cellStyle name="Normal 4 17" xfId="213"/>
    <cellStyle name="Normal 4 18" xfId="214"/>
    <cellStyle name="Normal 4 19" xfId="215"/>
    <cellStyle name="Normal 4 2" xfId="7"/>
    <cellStyle name="Normal 4 2 10" xfId="334"/>
    <cellStyle name="Normal 4 2 11" xfId="779"/>
    <cellStyle name="Normal 4 2 12" xfId="780"/>
    <cellStyle name="Normal 4 2 2" xfId="140"/>
    <cellStyle name="Normal 4 2 2 2" xfId="781"/>
    <cellStyle name="Normal 4 2 3" xfId="141"/>
    <cellStyle name="Normal 4 2 4" xfId="142"/>
    <cellStyle name="Normal 4 2 5" xfId="143"/>
    <cellStyle name="Normal 4 2 6" xfId="144"/>
    <cellStyle name="Normal 4 2 7" xfId="145"/>
    <cellStyle name="Normal 4 2 8" xfId="139"/>
    <cellStyle name="Normal 4 2 9" xfId="343"/>
    <cellStyle name="Normal 4 2 9 2" xfId="782"/>
    <cellStyle name="Normal 4 20" xfId="216"/>
    <cellStyle name="Normal 4 21" xfId="217"/>
    <cellStyle name="Normal 4 22" xfId="218"/>
    <cellStyle name="Normal 4 23" xfId="219"/>
    <cellStyle name="Normal 4 24" xfId="220"/>
    <cellStyle name="Normal 4 25" xfId="221"/>
    <cellStyle name="Normal 4 26" xfId="222"/>
    <cellStyle name="Normal 4 27" xfId="223"/>
    <cellStyle name="Normal 4 28" xfId="224"/>
    <cellStyle name="Normal 4 29" xfId="225"/>
    <cellStyle name="Normal 4 3" xfId="15"/>
    <cellStyle name="Normal 4 3 2" xfId="783"/>
    <cellStyle name="Normal 4 30" xfId="226"/>
    <cellStyle name="Normal 4 31" xfId="227"/>
    <cellStyle name="Normal 4 32" xfId="228"/>
    <cellStyle name="Normal 4 33" xfId="229"/>
    <cellStyle name="Normal 4 34" xfId="230"/>
    <cellStyle name="Normal 4 35" xfId="231"/>
    <cellStyle name="Normal 4 36" xfId="232"/>
    <cellStyle name="Normal 4 37" xfId="233"/>
    <cellStyle name="Normal 4 38" xfId="234"/>
    <cellStyle name="Normal 4 39" xfId="235"/>
    <cellStyle name="Normal 4 4" xfId="26"/>
    <cellStyle name="Normal 4 4 2" xfId="146"/>
    <cellStyle name="Normal 4 4 3" xfId="784"/>
    <cellStyle name="Normal 4 4 4" xfId="785"/>
    <cellStyle name="Normal 4 40" xfId="236"/>
    <cellStyle name="Normal 4 41" xfId="237"/>
    <cellStyle name="Normal 4 42" xfId="238"/>
    <cellStyle name="Normal 4 43" xfId="239"/>
    <cellStyle name="Normal 4 44" xfId="240"/>
    <cellStyle name="Normal 4 45" xfId="241"/>
    <cellStyle name="Normal 4 46" xfId="242"/>
    <cellStyle name="Normal 4 47" xfId="243"/>
    <cellStyle name="Normal 4 48" xfId="244"/>
    <cellStyle name="Normal 4 49" xfId="245"/>
    <cellStyle name="Normal 4 5" xfId="147"/>
    <cellStyle name="Normal 4 50" xfId="246"/>
    <cellStyle name="Normal 4 51" xfId="247"/>
    <cellStyle name="Normal 4 52" xfId="248"/>
    <cellStyle name="Normal 4 53" xfId="249"/>
    <cellStyle name="Normal 4 54" xfId="250"/>
    <cellStyle name="Normal 4 55" xfId="251"/>
    <cellStyle name="Normal 4 56" xfId="252"/>
    <cellStyle name="Normal 4 57" xfId="253"/>
    <cellStyle name="Normal 4 58" xfId="254"/>
    <cellStyle name="Normal 4 59" xfId="255"/>
    <cellStyle name="Normal 4 6" xfId="148"/>
    <cellStyle name="Normal 4 60" xfId="256"/>
    <cellStyle name="Normal 4 61" xfId="257"/>
    <cellStyle name="Normal 4 62" xfId="258"/>
    <cellStyle name="Normal 4 63" xfId="259"/>
    <cellStyle name="Normal 4 64" xfId="260"/>
    <cellStyle name="Normal 4 65" xfId="261"/>
    <cellStyle name="Normal 4 66" xfId="262"/>
    <cellStyle name="Normal 4 67" xfId="263"/>
    <cellStyle name="Normal 4 68" xfId="264"/>
    <cellStyle name="Normal 4 69" xfId="265"/>
    <cellStyle name="Normal 4 7" xfId="149"/>
    <cellStyle name="Normal 4 70" xfId="266"/>
    <cellStyle name="Normal 4 71" xfId="267"/>
    <cellStyle name="Normal 4 72" xfId="268"/>
    <cellStyle name="Normal 4 73" xfId="269"/>
    <cellStyle name="Normal 4 74" xfId="270"/>
    <cellStyle name="Normal 4 75" xfId="271"/>
    <cellStyle name="Normal 4 76" xfId="272"/>
    <cellStyle name="Normal 4 77" xfId="273"/>
    <cellStyle name="Normal 4 78" xfId="274"/>
    <cellStyle name="Normal 4 79" xfId="275"/>
    <cellStyle name="Normal 4 8" xfId="150"/>
    <cellStyle name="Normal 4 80" xfId="276"/>
    <cellStyle name="Normal 4 81" xfId="295"/>
    <cellStyle name="Normal 4 9" xfId="151"/>
    <cellStyle name="Normal 4_Daily Production" xfId="277"/>
    <cellStyle name="Normal 5" xfId="4"/>
    <cellStyle name="Normal 5 2" xfId="10"/>
    <cellStyle name="Normal 5 2 2" xfId="153"/>
    <cellStyle name="Normal 5 2 3" xfId="154"/>
    <cellStyle name="Normal 5 2 4" xfId="155"/>
    <cellStyle name="Normal 5 2 5" xfId="156"/>
    <cellStyle name="Normal 5 2 6" xfId="157"/>
    <cellStyle name="Normal 5 2 7" xfId="158"/>
    <cellStyle name="Normal 5 2 8" xfId="152"/>
    <cellStyle name="Normal 5 2 9" xfId="786"/>
    <cellStyle name="Normal 5 3" xfId="16"/>
    <cellStyle name="Normal 5 4" xfId="159"/>
    <cellStyle name="Normal 5 5" xfId="160"/>
    <cellStyle name="Normal 5 6" xfId="161"/>
    <cellStyle name="Normal 5 7" xfId="162"/>
    <cellStyle name="Normal 5 8" xfId="787"/>
    <cellStyle name="Normal 6" xfId="5"/>
    <cellStyle name="Normal 6 10" xfId="788"/>
    <cellStyle name="Normal 6 11" xfId="789"/>
    <cellStyle name="Normal 6 2" xfId="17"/>
    <cellStyle name="Normal 6 2 2" xfId="345"/>
    <cellStyle name="Normal 6 2 2 2" xfId="790"/>
    <cellStyle name="Normal 6 2 2 2 2" xfId="791"/>
    <cellStyle name="Normal 6 2 2 3" xfId="792"/>
    <cellStyle name="Normal 6 2 3" xfId="331"/>
    <cellStyle name="Normal 6 2 3 2" xfId="793"/>
    <cellStyle name="Normal 6 2 4" xfId="794"/>
    <cellStyle name="Normal 6 2 5" xfId="795"/>
    <cellStyle name="Normal 6 3" xfId="164"/>
    <cellStyle name="Normal 6 3 2" xfId="364"/>
    <cellStyle name="Normal 6 3 2 2" xfId="796"/>
    <cellStyle name="Normal 6 3 2 3" xfId="797"/>
    <cellStyle name="Normal 6 3 3" xfId="798"/>
    <cellStyle name="Normal 6 4" xfId="165"/>
    <cellStyle name="Normal 6 4 2" xfId="799"/>
    <cellStyle name="Normal 6 5" xfId="166"/>
    <cellStyle name="Normal 6 6" xfId="167"/>
    <cellStyle name="Normal 6 7" xfId="168"/>
    <cellStyle name="Normal 6 8" xfId="163"/>
    <cellStyle name="Normal 6 9" xfId="800"/>
    <cellStyle name="Normal 7" xfId="6"/>
    <cellStyle name="Normal 7 2" xfId="18"/>
    <cellStyle name="Normal 7 2 2" xfId="346"/>
    <cellStyle name="Normal 7 2 2 2" xfId="801"/>
    <cellStyle name="Normal 7 2 2 3" xfId="802"/>
    <cellStyle name="Normal 7 2 3" xfId="330"/>
    <cellStyle name="Normal 7 2 4" xfId="803"/>
    <cellStyle name="Normal 7 2 5" xfId="804"/>
    <cellStyle name="Normal 7 3" xfId="170"/>
    <cellStyle name="Normal 7 3 2" xfId="805"/>
    <cellStyle name="Normal 7 4" xfId="171"/>
    <cellStyle name="Normal 7 5" xfId="172"/>
    <cellStyle name="Normal 7 6" xfId="173"/>
    <cellStyle name="Normal 7 7" xfId="174"/>
    <cellStyle name="Normal 7 8" xfId="169"/>
    <cellStyle name="Normal 7 8 2" xfId="806"/>
    <cellStyle name="Normal 7 9" xfId="807"/>
    <cellStyle name="Normal 8" xfId="19"/>
    <cellStyle name="Normal 8 2" xfId="808"/>
    <cellStyle name="Normal 8 2 2" xfId="809"/>
    <cellStyle name="Normal 8 2 3" xfId="810"/>
    <cellStyle name="Normal 8 3" xfId="811"/>
    <cellStyle name="Normal 8 3 2" xfId="812"/>
    <cellStyle name="Normal 8 4" xfId="813"/>
    <cellStyle name="Normal 9" xfId="23"/>
    <cellStyle name="Normal 9 2" xfId="175"/>
    <cellStyle name="Normal 9 2 2" xfId="814"/>
    <cellStyle name="Normal 9 2 3" xfId="815"/>
    <cellStyle name="Normal 9 3" xfId="316"/>
    <cellStyle name="Normal 9 4" xfId="816"/>
    <cellStyle name="Note 1" xfId="291"/>
    <cellStyle name="Note 1 2" xfId="817"/>
    <cellStyle name="Note 1 3" xfId="818"/>
    <cellStyle name="Note 2" xfId="176"/>
    <cellStyle name="Note 2 2" xfId="357"/>
    <cellStyle name="Note 2 2 2" xfId="819"/>
    <cellStyle name="Note 2 2 3" xfId="820"/>
    <cellStyle name="Note 2 3" xfId="370"/>
    <cellStyle name="Note 2 3 2" xfId="821"/>
    <cellStyle name="Note 2 3 3" xfId="822"/>
    <cellStyle name="Note 2 4" xfId="823"/>
    <cellStyle name="Note 2 5" xfId="824"/>
    <cellStyle name="Note 3" xfId="177"/>
    <cellStyle name="Note 3 2" xfId="358"/>
    <cellStyle name="Note 3 2 2" xfId="825"/>
    <cellStyle name="Note 3 2 3" xfId="826"/>
    <cellStyle name="Note 3 3" xfId="371"/>
    <cellStyle name="Note 3 3 2" xfId="827"/>
    <cellStyle name="Note 3 3 3" xfId="828"/>
    <cellStyle name="Note 3 4" xfId="829"/>
    <cellStyle name="Note 3 5" xfId="830"/>
    <cellStyle name="Output 2" xfId="178"/>
    <cellStyle name="Output 2 2" xfId="359"/>
    <cellStyle name="Output 2 2 2" xfId="831"/>
    <cellStyle name="Output 2 2 3" xfId="832"/>
    <cellStyle name="Output 2 3" xfId="372"/>
    <cellStyle name="Output 2 3 2" xfId="833"/>
    <cellStyle name="Output 2 3 3" xfId="834"/>
    <cellStyle name="Output 2 4" xfId="835"/>
    <cellStyle name="Output 2 5" xfId="836"/>
    <cellStyle name="Output 3" xfId="179"/>
    <cellStyle name="Output 3 2" xfId="360"/>
    <cellStyle name="Output 3 2 2" xfId="837"/>
    <cellStyle name="Output 3 2 3" xfId="838"/>
    <cellStyle name="Output 3 3" xfId="373"/>
    <cellStyle name="Output 3 3 2" xfId="839"/>
    <cellStyle name="Output 3 3 3" xfId="840"/>
    <cellStyle name="Output 3 4" xfId="841"/>
    <cellStyle name="Output 3 5" xfId="842"/>
    <cellStyle name="Percent" xfId="22" builtinId="5"/>
    <cellStyle name="Percent 2" xfId="20"/>
    <cellStyle name="Percent 2 2" xfId="843"/>
    <cellStyle name="Percent 2 3" xfId="844"/>
    <cellStyle name="Percent 2 4" xfId="866"/>
    <cellStyle name="Percent 3" xfId="21"/>
    <cellStyle name="Percent 4" xfId="845"/>
    <cellStyle name="Percent 5" xfId="846"/>
    <cellStyle name="Percent 6" xfId="847"/>
    <cellStyle name="Percent 7" xfId="848"/>
    <cellStyle name="Percent 8" xfId="849"/>
    <cellStyle name="Percent 9" xfId="850"/>
    <cellStyle name="Pivot Table Value" xfId="278"/>
    <cellStyle name="Status 1" xfId="292"/>
    <cellStyle name="TableStyleLight1" xfId="309"/>
    <cellStyle name="Text 1" xfId="293"/>
    <cellStyle name="Title 2" xfId="180"/>
    <cellStyle name="Title 3" xfId="181"/>
    <cellStyle name="Total 2" xfId="182"/>
    <cellStyle name="Total 2 2" xfId="361"/>
    <cellStyle name="Total 2 2 2" xfId="851"/>
    <cellStyle name="Total 2 2 3" xfId="852"/>
    <cellStyle name="Total 2 3" xfId="374"/>
    <cellStyle name="Total 2 3 2" xfId="853"/>
    <cellStyle name="Total 2 3 3" xfId="854"/>
    <cellStyle name="Total 2 4" xfId="855"/>
    <cellStyle name="Total 2 5" xfId="856"/>
    <cellStyle name="Total 3" xfId="183"/>
    <cellStyle name="Total 3 2" xfId="362"/>
    <cellStyle name="Total 3 2 2" xfId="857"/>
    <cellStyle name="Total 3 2 3" xfId="858"/>
    <cellStyle name="Total 3 3" xfId="375"/>
    <cellStyle name="Total 3 3 2" xfId="859"/>
    <cellStyle name="Total 3 3 3" xfId="860"/>
    <cellStyle name="Total 3 4" xfId="861"/>
    <cellStyle name="Total 3 5" xfId="862"/>
    <cellStyle name="Warning 1" xfId="294"/>
    <cellStyle name="Warning Text 2" xfId="184"/>
    <cellStyle name="Warning Text 3" xfId="185"/>
  </cellStyles>
  <dxfs count="17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colors>
    <mruColors>
      <color rgb="FFFCD5B4"/>
      <color rgb="FFCCC0DA"/>
      <color rgb="FFD8E4BC"/>
      <color rgb="FFCC98B4"/>
      <color rgb="FFCCC000"/>
      <color rgb="FFDAEEF3"/>
      <color rgb="FFFFFF66"/>
      <color rgb="FFCC99FF"/>
      <color rgb="FFF6BCF6"/>
      <color rgb="FFFF99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>
    <tabColor rgb="FF00B050"/>
    <pageSetUpPr fitToPage="1"/>
  </sheetPr>
  <dimension ref="A1:BT63"/>
  <sheetViews>
    <sheetView topLeftCell="A10" zoomScale="124" zoomScaleNormal="124" workbookViewId="0">
      <pane xSplit="4" topLeftCell="AU1" activePane="topRight" state="frozen"/>
      <selection pane="topRight" activeCell="BD33" sqref="BD33"/>
    </sheetView>
  </sheetViews>
  <sheetFormatPr defaultColWidth="9.140625" defaultRowHeight="15" x14ac:dyDescent="0.25"/>
  <cols>
    <col min="1" max="1" width="2.7109375" customWidth="1"/>
    <col min="2" max="2" width="59.140625" bestFit="1" customWidth="1"/>
    <col min="3" max="3" width="10.85546875" bestFit="1" customWidth="1"/>
    <col min="4" max="4" width="13.7109375" customWidth="1"/>
    <col min="5" max="8" width="10.7109375" customWidth="1"/>
    <col min="9" max="10" width="10.7109375" hidden="1" customWidth="1"/>
    <col min="11" max="16" width="10.7109375" customWidth="1"/>
    <col min="17" max="18" width="10.7109375" hidden="1" customWidth="1"/>
    <col min="19" max="20" width="10.7109375" customWidth="1"/>
    <col min="21" max="22" width="10.7109375" hidden="1" customWidth="1"/>
    <col min="23" max="28" width="10.7109375" customWidth="1"/>
    <col min="29" max="30" width="10.7109375" style="4044" customWidth="1"/>
    <col min="31" max="32" width="10.7109375" style="4044" hidden="1" customWidth="1"/>
    <col min="33" max="34" width="10.7109375" style="4157" customWidth="1"/>
    <col min="35" max="36" width="10.7109375" style="4157" hidden="1" customWidth="1"/>
    <col min="37" max="40" width="10.7109375" style="4267" customWidth="1"/>
    <col min="41" max="42" width="10.7109375" style="4267" hidden="1" customWidth="1"/>
    <col min="43" max="44" width="10.7109375" style="4385" customWidth="1"/>
    <col min="45" max="46" width="10.7109375" style="4385" hidden="1" customWidth="1"/>
    <col min="47" max="48" width="10.7109375" style="4619" customWidth="1"/>
    <col min="49" max="50" width="10.7109375" style="4619" hidden="1" customWidth="1"/>
    <col min="51" max="58" width="10.7109375" style="5027" customWidth="1"/>
    <col min="59" max="59" width="11.28515625" hidden="1" customWidth="1"/>
    <col min="60" max="60" width="11.28515625" customWidth="1"/>
    <col min="61" max="61" width="11.28515625" hidden="1" customWidth="1"/>
    <col min="62" max="62" width="11.28515625" customWidth="1"/>
    <col min="63" max="63" width="11.28515625" hidden="1" customWidth="1"/>
    <col min="64" max="64" width="11.28515625" customWidth="1"/>
    <col min="65" max="66" width="11.28515625" hidden="1" customWidth="1"/>
    <col min="67" max="68" width="11.28515625" customWidth="1"/>
    <col min="69" max="70" width="12.85546875" bestFit="1" customWidth="1"/>
    <col min="71" max="84" width="9.140625" customWidth="1"/>
  </cols>
  <sheetData>
    <row r="1" spans="1:72" ht="23.25" thickBot="1" x14ac:dyDescent="0.35">
      <c r="B1" s="17" t="s">
        <v>346</v>
      </c>
      <c r="C1" s="59"/>
      <c r="D1" s="4788">
        <v>347</v>
      </c>
      <c r="E1" s="4788">
        <v>29</v>
      </c>
      <c r="F1" s="4788">
        <f>30-'B-FCE'!F3</f>
        <v>29.5</v>
      </c>
      <c r="G1" s="4788">
        <v>25</v>
      </c>
      <c r="H1" s="4788">
        <f>27-'B-FCE'!H3</f>
        <v>26.791666666666668</v>
      </c>
      <c r="I1" s="4788">
        <f>E1+G1</f>
        <v>54</v>
      </c>
      <c r="J1" s="4788">
        <f>F1+H1</f>
        <v>56.291666666666671</v>
      </c>
      <c r="K1" s="4788">
        <v>27</v>
      </c>
      <c r="L1" s="4788">
        <f>26-'B-FCE'!L3</f>
        <v>24.708333333333332</v>
      </c>
      <c r="M1" s="4788">
        <f>+E1+G1+K1</f>
        <v>81</v>
      </c>
      <c r="N1" s="4788">
        <f>+F1+H1+L1</f>
        <v>81</v>
      </c>
      <c r="O1" s="4788">
        <v>30</v>
      </c>
      <c r="P1" s="4788">
        <f>31-'B-FCE'!P3</f>
        <v>30.5</v>
      </c>
      <c r="Q1" s="4788">
        <f>+M1+O1</f>
        <v>111</v>
      </c>
      <c r="R1" s="4788">
        <f>+N1+P1</f>
        <v>111.5</v>
      </c>
      <c r="S1" s="4788">
        <v>30</v>
      </c>
      <c r="T1" s="4788">
        <f>31-'B-FCE'!T3</f>
        <v>31</v>
      </c>
      <c r="U1" s="4788">
        <f>+Q1+S1</f>
        <v>141</v>
      </c>
      <c r="V1" s="4788">
        <f>+R1+T1</f>
        <v>142.5</v>
      </c>
      <c r="W1" s="4788">
        <v>29</v>
      </c>
      <c r="X1" s="4788">
        <f>30-'B-FCE'!X3</f>
        <v>28.458333333333332</v>
      </c>
      <c r="Y1" s="4788">
        <f>+O1+S1+W1</f>
        <v>89</v>
      </c>
      <c r="Z1" s="4788">
        <f>+P1+T1+X1</f>
        <v>89.958333333333329</v>
      </c>
      <c r="AA1" s="4788">
        <f>+U1+W1</f>
        <v>170</v>
      </c>
      <c r="AB1" s="4788">
        <f>+V1+X1</f>
        <v>170.95833333333334</v>
      </c>
      <c r="AC1" s="4788">
        <v>30</v>
      </c>
      <c r="AD1" s="4832">
        <f>31-'B-FCE'!AD3</f>
        <v>30.5</v>
      </c>
      <c r="AE1" s="4788">
        <f>AA1+AC1</f>
        <v>200</v>
      </c>
      <c r="AF1" s="4788">
        <f>AB1+AD1</f>
        <v>201.45833333333334</v>
      </c>
      <c r="AG1" s="4788">
        <v>29</v>
      </c>
      <c r="AH1" s="4832">
        <f>30-'B-FCE'!AH3</f>
        <v>29</v>
      </c>
      <c r="AI1" s="4788">
        <f>AE1+AG1</f>
        <v>229</v>
      </c>
      <c r="AJ1" s="4788">
        <f>AF1+AH1</f>
        <v>230.45833333333334</v>
      </c>
      <c r="AK1" s="4788">
        <v>30</v>
      </c>
      <c r="AL1" s="4788">
        <f>31-'B-FCE'!AL3</f>
        <v>30.541666666666668</v>
      </c>
      <c r="AM1" s="4788">
        <f>+AC1+AG1+AK1</f>
        <v>89</v>
      </c>
      <c r="AN1" s="4788">
        <f>+AD1+AH1+AL1</f>
        <v>90.041666666666671</v>
      </c>
      <c r="AO1" s="4788">
        <f>AI1+AK1</f>
        <v>259</v>
      </c>
      <c r="AP1" s="4788">
        <f>AJ1+AL1</f>
        <v>261</v>
      </c>
      <c r="AQ1" s="4788">
        <v>30</v>
      </c>
      <c r="AR1" s="4832">
        <f>30-'B-FCE'!AR3</f>
        <v>30</v>
      </c>
      <c r="AS1" s="4788">
        <f>AO1+AQ1</f>
        <v>289</v>
      </c>
      <c r="AT1" s="4788">
        <f>AP1+AR1</f>
        <v>291</v>
      </c>
      <c r="AU1" s="4788">
        <v>28</v>
      </c>
      <c r="AV1" s="4832">
        <f>29-'B-FCE'!AV3</f>
        <v>29</v>
      </c>
      <c r="AW1" s="4788">
        <f>AS1+AU1</f>
        <v>317</v>
      </c>
      <c r="AX1" s="4788">
        <f>AT1+AV1</f>
        <v>320</v>
      </c>
      <c r="AY1" s="5028">
        <v>30</v>
      </c>
      <c r="AZ1" s="4832">
        <f>31-'B-FCE'!AZ3</f>
        <v>29.779166666666665</v>
      </c>
      <c r="BA1" s="5028">
        <f>+AQ1+AU1+AY1</f>
        <v>88</v>
      </c>
      <c r="BB1" s="5028">
        <f>+AR1+AV1+AZ1</f>
        <v>88.779166666666669</v>
      </c>
      <c r="BC1" s="5028">
        <f>+AM1+BA1</f>
        <v>177</v>
      </c>
      <c r="BD1" s="5028">
        <f>+AN1+BB1</f>
        <v>178.82083333333333</v>
      </c>
      <c r="BE1" s="5028">
        <f>AW1+AY1</f>
        <v>347</v>
      </c>
      <c r="BF1" s="5028">
        <f>AX1+AZ1</f>
        <v>349.77916666666664</v>
      </c>
      <c r="BG1" s="238"/>
      <c r="BH1" s="238"/>
      <c r="BI1" s="238"/>
      <c r="BJ1" s="238"/>
      <c r="BK1" s="238"/>
      <c r="BL1" s="238"/>
      <c r="BM1" s="238"/>
      <c r="BN1" s="238"/>
      <c r="BO1" s="673"/>
    </row>
    <row r="2" spans="1:72" ht="16.5" hidden="1" customHeight="1" thickBot="1" x14ac:dyDescent="0.3">
      <c r="B2" s="4"/>
      <c r="C2" s="59"/>
      <c r="D2" s="238">
        <v>366</v>
      </c>
      <c r="E2" s="238">
        <v>30</v>
      </c>
      <c r="F2" s="238">
        <v>30</v>
      </c>
      <c r="G2" s="238">
        <v>31</v>
      </c>
      <c r="H2" s="238">
        <v>31</v>
      </c>
      <c r="I2" s="238">
        <f>+E2+G2</f>
        <v>61</v>
      </c>
      <c r="J2" s="238">
        <f>+F2+H2</f>
        <v>61</v>
      </c>
      <c r="K2" s="773">
        <v>30</v>
      </c>
      <c r="L2" s="773">
        <v>30</v>
      </c>
      <c r="M2" s="238">
        <f>+I2+K2</f>
        <v>91</v>
      </c>
      <c r="N2" s="238">
        <f>+J2+L2</f>
        <v>91</v>
      </c>
      <c r="O2" s="773">
        <v>31</v>
      </c>
      <c r="P2" s="238">
        <v>31</v>
      </c>
      <c r="Q2" s="238">
        <f>+M2+O2</f>
        <v>122</v>
      </c>
      <c r="R2" s="238">
        <f>+N2+P2</f>
        <v>122</v>
      </c>
      <c r="S2" s="238">
        <v>31</v>
      </c>
      <c r="T2" s="238">
        <v>31</v>
      </c>
      <c r="U2" s="238">
        <f>+Q2+S2</f>
        <v>153</v>
      </c>
      <c r="V2" s="238">
        <f>+R2+T2</f>
        <v>153</v>
      </c>
      <c r="W2" s="238">
        <v>30</v>
      </c>
      <c r="X2" s="238">
        <v>30</v>
      </c>
      <c r="Y2" s="238">
        <f>+O2+S2+W2</f>
        <v>92</v>
      </c>
      <c r="Z2" s="238">
        <f>+P2+T2+X2</f>
        <v>92</v>
      </c>
      <c r="AA2" s="238">
        <f>+U2+W2</f>
        <v>183</v>
      </c>
      <c r="AB2" s="238">
        <f>+V2+X2</f>
        <v>183</v>
      </c>
      <c r="AC2" s="238">
        <v>31</v>
      </c>
      <c r="AD2" s="238">
        <v>31</v>
      </c>
      <c r="AE2" s="238">
        <f>AA2+AC2</f>
        <v>214</v>
      </c>
      <c r="AF2" s="238">
        <f>AB2+AD2</f>
        <v>214</v>
      </c>
      <c r="AG2" s="238">
        <v>30</v>
      </c>
      <c r="AH2" s="238">
        <v>30</v>
      </c>
      <c r="AI2" s="238">
        <f>AE2+AG2</f>
        <v>244</v>
      </c>
      <c r="AJ2" s="238">
        <f>AF2+AH2</f>
        <v>244</v>
      </c>
      <c r="AK2" s="238">
        <v>31</v>
      </c>
      <c r="AL2" s="238">
        <v>31</v>
      </c>
      <c r="AM2" s="238">
        <f>+AC2+AG2+AK2</f>
        <v>92</v>
      </c>
      <c r="AN2" s="238">
        <f>+AD2+AH2+AL2</f>
        <v>92</v>
      </c>
      <c r="AO2" s="238">
        <f>AI2+AK2</f>
        <v>275</v>
      </c>
      <c r="AP2" s="238">
        <f>AJ2+AL2</f>
        <v>275</v>
      </c>
      <c r="AQ2" s="238">
        <v>31</v>
      </c>
      <c r="AR2" s="238">
        <v>31</v>
      </c>
      <c r="AS2" s="238">
        <f>AO2+AQ2</f>
        <v>306</v>
      </c>
      <c r="AT2" s="238">
        <f>AP2+AR2</f>
        <v>306</v>
      </c>
      <c r="AU2" s="238">
        <v>29</v>
      </c>
      <c r="AV2" s="238">
        <v>29</v>
      </c>
      <c r="AW2" s="238">
        <f>AS2+AU2</f>
        <v>335</v>
      </c>
      <c r="AX2" s="238">
        <f>AT2+AV2</f>
        <v>335</v>
      </c>
      <c r="AY2" s="238">
        <v>31</v>
      </c>
      <c r="AZ2" s="238">
        <v>31</v>
      </c>
      <c r="BA2" s="238">
        <f>+AQ2+AU2+AY2</f>
        <v>91</v>
      </c>
      <c r="BB2" s="238">
        <f>+AR2+AV2+AZ2</f>
        <v>91</v>
      </c>
      <c r="BC2" s="238">
        <f>+AM2+BA2</f>
        <v>183</v>
      </c>
      <c r="BD2" s="238">
        <f>+AN2+BB2</f>
        <v>183</v>
      </c>
      <c r="BE2" s="238">
        <f>AW2+AY2</f>
        <v>366</v>
      </c>
      <c r="BF2" s="238">
        <f>AX2+AZ2</f>
        <v>366</v>
      </c>
      <c r="BG2" s="238"/>
      <c r="BH2" s="238"/>
      <c r="BI2" s="238"/>
      <c r="BJ2" s="238"/>
      <c r="BK2" s="238">
        <v>365</v>
      </c>
      <c r="BL2" s="238">
        <v>365</v>
      </c>
      <c r="BM2" s="238">
        <v>366</v>
      </c>
      <c r="BN2" s="238">
        <v>366</v>
      </c>
      <c r="BO2" s="673"/>
    </row>
    <row r="3" spans="1:72" ht="18.75" customHeight="1" x14ac:dyDescent="0.25">
      <c r="B3" s="6029" t="s">
        <v>175</v>
      </c>
      <c r="C3" s="6031" t="s">
        <v>176</v>
      </c>
      <c r="D3" s="6033" t="s">
        <v>1469</v>
      </c>
      <c r="E3" s="6011" t="s">
        <v>1470</v>
      </c>
      <c r="F3" s="6012"/>
      <c r="G3" s="6011" t="s">
        <v>1526</v>
      </c>
      <c r="H3" s="6012"/>
      <c r="I3" s="6013" t="s">
        <v>15</v>
      </c>
      <c r="J3" s="6014"/>
      <c r="K3" s="6038" t="s">
        <v>1620</v>
      </c>
      <c r="L3" s="6039"/>
      <c r="M3" s="6036" t="s">
        <v>658</v>
      </c>
      <c r="N3" s="6037"/>
      <c r="O3" s="6011" t="s">
        <v>1688</v>
      </c>
      <c r="P3" s="6012"/>
      <c r="Q3" s="6013" t="s">
        <v>18</v>
      </c>
      <c r="R3" s="6014"/>
      <c r="S3" s="6011" t="s">
        <v>1731</v>
      </c>
      <c r="T3" s="6012"/>
      <c r="U3" s="6013" t="s">
        <v>19</v>
      </c>
      <c r="V3" s="6014"/>
      <c r="W3" s="6022" t="s">
        <v>1766</v>
      </c>
      <c r="X3" s="6023"/>
      <c r="Y3" s="6035" t="s">
        <v>870</v>
      </c>
      <c r="Z3" s="6035"/>
      <c r="AA3" s="6021" t="s">
        <v>679</v>
      </c>
      <c r="AB3" s="6021"/>
      <c r="AC3" s="6011" t="s">
        <v>1831</v>
      </c>
      <c r="AD3" s="6012"/>
      <c r="AE3" s="6013" t="s">
        <v>26</v>
      </c>
      <c r="AF3" s="6014"/>
      <c r="AG3" s="6011" t="s">
        <v>1863</v>
      </c>
      <c r="AH3" s="6012"/>
      <c r="AI3" s="6013" t="s">
        <v>29</v>
      </c>
      <c r="AJ3" s="6014"/>
      <c r="AK3" s="6022" t="s">
        <v>1888</v>
      </c>
      <c r="AL3" s="6023"/>
      <c r="AM3" s="6035" t="s">
        <v>1889</v>
      </c>
      <c r="AN3" s="6035"/>
      <c r="AO3" s="6013" t="s">
        <v>1890</v>
      </c>
      <c r="AP3" s="6014"/>
      <c r="AQ3" s="6011" t="s">
        <v>1918</v>
      </c>
      <c r="AR3" s="6012"/>
      <c r="AS3" s="6013" t="s">
        <v>30</v>
      </c>
      <c r="AT3" s="6014"/>
      <c r="AU3" s="6011" t="s">
        <v>1940</v>
      </c>
      <c r="AV3" s="6012"/>
      <c r="AW3" s="6013" t="s">
        <v>32</v>
      </c>
      <c r="AX3" s="6014"/>
      <c r="AY3" s="6011" t="s">
        <v>1965</v>
      </c>
      <c r="AZ3" s="6012"/>
      <c r="BA3" s="6035" t="s">
        <v>1964</v>
      </c>
      <c r="BB3" s="6035"/>
      <c r="BC3" s="6021" t="s">
        <v>693</v>
      </c>
      <c r="BD3" s="6021"/>
      <c r="BE3" s="6013" t="s">
        <v>1513</v>
      </c>
      <c r="BF3" s="6014"/>
      <c r="BG3" s="6017" t="s">
        <v>1316</v>
      </c>
      <c r="BH3" s="6017"/>
      <c r="BI3" s="6017" t="s">
        <v>991</v>
      </c>
      <c r="BJ3" s="6017"/>
      <c r="BK3" s="6017" t="s">
        <v>701</v>
      </c>
      <c r="BL3" s="6017"/>
      <c r="BM3" s="6017" t="s">
        <v>691</v>
      </c>
      <c r="BN3" s="6018"/>
    </row>
    <row r="4" spans="1:72" ht="23.25" customHeight="1" thickBot="1" x14ac:dyDescent="0.3">
      <c r="B4" s="6030"/>
      <c r="C4" s="6032"/>
      <c r="D4" s="6034"/>
      <c r="E4" s="3049" t="s">
        <v>177</v>
      </c>
      <c r="F4" s="3050" t="s">
        <v>178</v>
      </c>
      <c r="G4" s="3049" t="s">
        <v>177</v>
      </c>
      <c r="H4" s="3050" t="s">
        <v>178</v>
      </c>
      <c r="I4" s="3056" t="s">
        <v>177</v>
      </c>
      <c r="J4" s="3015" t="s">
        <v>178</v>
      </c>
      <c r="K4" s="3060" t="s">
        <v>177</v>
      </c>
      <c r="L4" s="3061" t="s">
        <v>178</v>
      </c>
      <c r="M4" s="3062" t="s">
        <v>177</v>
      </c>
      <c r="N4" s="3063" t="s">
        <v>178</v>
      </c>
      <c r="O4" s="3060" t="s">
        <v>177</v>
      </c>
      <c r="P4" s="3050" t="s">
        <v>178</v>
      </c>
      <c r="Q4" s="3056" t="s">
        <v>177</v>
      </c>
      <c r="R4" s="3015" t="s">
        <v>178</v>
      </c>
      <c r="S4" s="3049" t="s">
        <v>177</v>
      </c>
      <c r="T4" s="3050" t="s">
        <v>178</v>
      </c>
      <c r="U4" s="3056" t="s">
        <v>177</v>
      </c>
      <c r="V4" s="3015" t="s">
        <v>178</v>
      </c>
      <c r="W4" s="2458" t="s">
        <v>177</v>
      </c>
      <c r="X4" s="4789" t="s">
        <v>178</v>
      </c>
      <c r="Y4" s="4795" t="s">
        <v>177</v>
      </c>
      <c r="Z4" s="4795" t="s">
        <v>178</v>
      </c>
      <c r="AA4" s="4796" t="s">
        <v>177</v>
      </c>
      <c r="AB4" s="4796" t="s">
        <v>178</v>
      </c>
      <c r="AC4" s="3049" t="s">
        <v>177</v>
      </c>
      <c r="AD4" s="3050" t="s">
        <v>178</v>
      </c>
      <c r="AE4" s="3056" t="s">
        <v>177</v>
      </c>
      <c r="AF4" s="3015" t="s">
        <v>178</v>
      </c>
      <c r="AG4" s="3049" t="s">
        <v>177</v>
      </c>
      <c r="AH4" s="3050" t="s">
        <v>178</v>
      </c>
      <c r="AI4" s="3056" t="s">
        <v>177</v>
      </c>
      <c r="AJ4" s="3015" t="s">
        <v>178</v>
      </c>
      <c r="AK4" s="2458" t="s">
        <v>177</v>
      </c>
      <c r="AL4" s="4789" t="s">
        <v>178</v>
      </c>
      <c r="AM4" s="4795" t="s">
        <v>177</v>
      </c>
      <c r="AN4" s="4795" t="s">
        <v>178</v>
      </c>
      <c r="AO4" s="3056" t="s">
        <v>177</v>
      </c>
      <c r="AP4" s="3015" t="s">
        <v>178</v>
      </c>
      <c r="AQ4" s="3049" t="s">
        <v>177</v>
      </c>
      <c r="AR4" s="3050" t="s">
        <v>178</v>
      </c>
      <c r="AS4" s="3056" t="s">
        <v>177</v>
      </c>
      <c r="AT4" s="3015" t="s">
        <v>178</v>
      </c>
      <c r="AU4" s="3049" t="s">
        <v>177</v>
      </c>
      <c r="AV4" s="3050" t="s">
        <v>178</v>
      </c>
      <c r="AW4" s="3056" t="s">
        <v>177</v>
      </c>
      <c r="AX4" s="3015" t="s">
        <v>178</v>
      </c>
      <c r="AY4" s="3049" t="s">
        <v>177</v>
      </c>
      <c r="AZ4" s="3050" t="s">
        <v>178</v>
      </c>
      <c r="BA4" s="5030" t="s">
        <v>177</v>
      </c>
      <c r="BB4" s="5030" t="s">
        <v>178</v>
      </c>
      <c r="BC4" s="5031" t="s">
        <v>177</v>
      </c>
      <c r="BD4" s="5031" t="s">
        <v>178</v>
      </c>
      <c r="BE4" s="3056" t="s">
        <v>177</v>
      </c>
      <c r="BF4" s="3015" t="s">
        <v>178</v>
      </c>
      <c r="BG4" s="1417" t="s">
        <v>177</v>
      </c>
      <c r="BH4" s="1417" t="s">
        <v>178</v>
      </c>
      <c r="BI4" s="1417" t="s">
        <v>177</v>
      </c>
      <c r="BJ4" s="1417" t="s">
        <v>178</v>
      </c>
      <c r="BK4" s="1417" t="s">
        <v>177</v>
      </c>
      <c r="BL4" s="1417" t="s">
        <v>178</v>
      </c>
      <c r="BM4" s="1417" t="s">
        <v>177</v>
      </c>
      <c r="BN4" s="3071" t="s">
        <v>178</v>
      </c>
    </row>
    <row r="5" spans="1:72" ht="15" customHeight="1" x14ac:dyDescent="0.25">
      <c r="A5" s="183"/>
      <c r="B5" s="3036" t="s">
        <v>352</v>
      </c>
      <c r="C5" s="3016"/>
      <c r="D5" s="4804"/>
      <c r="E5" s="1096"/>
      <c r="F5" s="4805"/>
      <c r="G5" s="1096"/>
      <c r="H5" s="4805"/>
      <c r="I5" s="1096"/>
      <c r="J5" s="4805"/>
      <c r="K5" s="1096"/>
      <c r="L5" s="4805"/>
      <c r="M5" s="1096"/>
      <c r="N5" s="4805"/>
      <c r="O5" s="1096"/>
      <c r="P5" s="4805"/>
      <c r="Q5" s="1096"/>
      <c r="R5" s="4805"/>
      <c r="S5" s="1096"/>
      <c r="T5" s="4805"/>
      <c r="U5" s="1096"/>
      <c r="V5" s="4805"/>
      <c r="W5" s="2302"/>
      <c r="X5" s="1063"/>
      <c r="Y5" s="1063"/>
      <c r="Z5" s="1063"/>
      <c r="AA5" s="1063"/>
      <c r="AB5" s="1063"/>
      <c r="AC5" s="1096"/>
      <c r="AD5" s="4805"/>
      <c r="AE5" s="1096"/>
      <c r="AF5" s="4805"/>
      <c r="AG5" s="1096"/>
      <c r="AH5" s="4805"/>
      <c r="AI5" s="1096"/>
      <c r="AJ5" s="4805"/>
      <c r="AK5" s="2302"/>
      <c r="AL5" s="1063"/>
      <c r="AM5" s="1063"/>
      <c r="AN5" s="1063"/>
      <c r="AO5" s="1096"/>
      <c r="AP5" s="4805"/>
      <c r="AQ5" s="1096"/>
      <c r="AR5" s="4805"/>
      <c r="AS5" s="1096"/>
      <c r="AT5" s="4805"/>
      <c r="AU5" s="1096"/>
      <c r="AV5" s="4805"/>
      <c r="AW5" s="1096"/>
      <c r="AX5" s="4805"/>
      <c r="AY5" s="1096"/>
      <c r="AZ5" s="4805"/>
      <c r="BA5" s="1063"/>
      <c r="BB5" s="1063"/>
      <c r="BC5" s="1063"/>
      <c r="BD5" s="1063"/>
      <c r="BE5" s="1096"/>
      <c r="BF5" s="4805"/>
      <c r="BG5" s="334"/>
      <c r="BH5" s="334"/>
      <c r="BI5" s="334"/>
      <c r="BJ5" s="334"/>
      <c r="BK5" s="334"/>
      <c r="BL5" s="334"/>
      <c r="BM5" s="334"/>
      <c r="BN5" s="2460"/>
    </row>
    <row r="6" spans="1:72" ht="15" customHeight="1" x14ac:dyDescent="0.25">
      <c r="B6" s="3037" t="s">
        <v>356</v>
      </c>
      <c r="C6" s="3006" t="s">
        <v>360</v>
      </c>
      <c r="D6" s="3082">
        <v>99</v>
      </c>
      <c r="E6" s="939">
        <v>99</v>
      </c>
      <c r="F6" s="130">
        <f>+F9/F2</f>
        <v>99.13333333333334</v>
      </c>
      <c r="G6" s="939">
        <v>99</v>
      </c>
      <c r="H6" s="130">
        <f>+H9/H2</f>
        <v>99.096774193548384</v>
      </c>
      <c r="I6" s="70">
        <f>+((E6*$E$2)+(G6*$G$2))/$I$2</f>
        <v>99</v>
      </c>
      <c r="J6" s="136">
        <f>+((F6*$F$2)+(H6*$H$2))/$J$2</f>
        <v>99.114754098360649</v>
      </c>
      <c r="K6" s="939">
        <v>99</v>
      </c>
      <c r="L6" s="130">
        <f>+L9/L2</f>
        <v>99.13333333333334</v>
      </c>
      <c r="M6" s="106">
        <f>+((E6*$E$2)+(G6*$G$2)+(K6*$K$2))/$M$2</f>
        <v>99</v>
      </c>
      <c r="N6" s="144">
        <f>+((F6*$F$2)+(H6*$H$2)+(L6*$L$2))/$N$2</f>
        <v>99.120879120879124</v>
      </c>
      <c r="O6" s="939">
        <v>99</v>
      </c>
      <c r="P6" s="130">
        <f>+P9/P2</f>
        <v>99.064516129032256</v>
      </c>
      <c r="Q6" s="70">
        <f>+((M6*M$2)+(O6*O$2))/Q$2</f>
        <v>99</v>
      </c>
      <c r="R6" s="136">
        <f>+((N6*N$2)+(P6*P$2))/R$2</f>
        <v>99.106557377049185</v>
      </c>
      <c r="S6" s="939">
        <v>99</v>
      </c>
      <c r="T6" s="130">
        <f>+T9/T2</f>
        <v>99.451612903225808</v>
      </c>
      <c r="U6" s="70">
        <f>+((Q6*Q$2)+(S6*S$2))/U$2</f>
        <v>99</v>
      </c>
      <c r="V6" s="136">
        <f>+((R6*R$2)+(T6*T$2))/V$2</f>
        <v>99.17647058823529</v>
      </c>
      <c r="W6" s="541">
        <v>99</v>
      </c>
      <c r="X6" s="227">
        <f>X9/X2</f>
        <v>99.1</v>
      </c>
      <c r="Y6" s="427">
        <f>+((O$6*O$1)+(S$6*S$1)+(W$6*W$1))/Y$1</f>
        <v>99</v>
      </c>
      <c r="Z6" s="427">
        <f>+((P$6*P$1)+(T$6*T$1)+(X$6*X$1))/Z$1</f>
        <v>99.209136547684864</v>
      </c>
      <c r="AA6" s="4773">
        <f>+((M6*M$2)+(Y6*Y$2))/AA$2</f>
        <v>99</v>
      </c>
      <c r="AB6" s="4773">
        <f>+((N6*N$2)+(Z6*Z$2))/AB$2</f>
        <v>99.165248974792391</v>
      </c>
      <c r="AC6" s="939">
        <v>99</v>
      </c>
      <c r="AD6" s="130">
        <f>+AD9/AD2</f>
        <v>97.677419354838705</v>
      </c>
      <c r="AE6" s="70">
        <f>+((AA6*$AA$2)+(AC6*$AC$2))/$AE$2</f>
        <v>99</v>
      </c>
      <c r="AF6" s="53">
        <f>+((AB6*$AB$2)+(AD6*$AD$2))/$AF$2</f>
        <v>98.949722254144888</v>
      </c>
      <c r="AG6" s="939">
        <v>99</v>
      </c>
      <c r="AH6" s="130">
        <f>+AH9/AH2</f>
        <v>99</v>
      </c>
      <c r="AI6" s="70">
        <f>+((AE6*$AE$2)+(AG6*$AG$2))/$AI$2</f>
        <v>99</v>
      </c>
      <c r="AJ6" s="70">
        <f>+((AF6*$AF$2)+(AH6*$AH$2))/$AJ$2</f>
        <v>98.955903944209041</v>
      </c>
      <c r="AK6" s="541">
        <v>99</v>
      </c>
      <c r="AL6" s="227">
        <f>AL9/AL2</f>
        <v>99</v>
      </c>
      <c r="AM6" s="427">
        <f>+((AC$6*AC$1)+(AG$6*AG$1)+(AK$6*AK$1))/AM$1</f>
        <v>99</v>
      </c>
      <c r="AN6" s="427">
        <f>+((AD$6*AD$1)+(AH$6*AH$1)+(AL$6*AL$1))/AN$1</f>
        <v>98.551999522323882</v>
      </c>
      <c r="AO6" s="70">
        <f>+((AK6*$AK$2)+(AI6*$AI$2))/$AO$2</f>
        <v>99</v>
      </c>
      <c r="AP6" s="70">
        <f>+((AL6*$AL$2)+(AJ6*$AJ$2))/$AP$2</f>
        <v>98.960874772316387</v>
      </c>
      <c r="AQ6" s="939">
        <v>99</v>
      </c>
      <c r="AR6" s="130">
        <f>+AR9/AR2</f>
        <v>99</v>
      </c>
      <c r="AS6" s="70">
        <f>+((AO6*$AO$2)+(AQ6*$AQ$2))/$AS$2</f>
        <v>99</v>
      </c>
      <c r="AT6" s="70">
        <f>+((AP6*$AP$2)+(AR6*$AR$2))/$AT$2</f>
        <v>98.964838439173221</v>
      </c>
      <c r="AU6" s="939">
        <v>99</v>
      </c>
      <c r="AV6" s="130">
        <f>+AV9/AV2</f>
        <v>99</v>
      </c>
      <c r="AW6" s="70">
        <f>+((AS6*$AS$2)+(AU6*$AU$2))/$AW$2</f>
        <v>99</v>
      </c>
      <c r="AX6" s="70">
        <f>+((AT6*$AT$2)+(AV6*$AV$2))/$AX$2</f>
        <v>98.967882275782117</v>
      </c>
      <c r="AY6" s="939">
        <v>99</v>
      </c>
      <c r="AZ6" s="130">
        <f>+AZ9/AZ2</f>
        <v>99.064516129032256</v>
      </c>
      <c r="BA6" s="427">
        <f>+((AQ$6*AQ$1)+(AU$6*AU$1)+(AY$6*AY$1))/BA$1</f>
        <v>99</v>
      </c>
      <c r="BB6" s="427">
        <f>+((AR$6*AR$1)+(AV$6*AV$1)+(AZ$6*AZ$1))/BB$1</f>
        <v>99.021640623935497</v>
      </c>
      <c r="BC6" s="5022">
        <f>+((AM6*AM$2)+(BA6*BA$2))/BC$2</f>
        <v>99</v>
      </c>
      <c r="BD6" s="5022">
        <f>+((AN6*AN$2)+(BB6*BB$2))/BD$2</f>
        <v>98.785536900720913</v>
      </c>
      <c r="BE6" s="5018">
        <f>+((AW6*$AW$2)+(AY6*$AY$2))/$BE$2</f>
        <v>99</v>
      </c>
      <c r="BF6" s="70">
        <f>+((AZ6*$AZ$2)+(AX6*$AX$2))/$BF$2</f>
        <v>98.976067110347017</v>
      </c>
      <c r="BG6" s="1506">
        <v>99</v>
      </c>
      <c r="BH6" s="1506">
        <v>98.783561643835611</v>
      </c>
      <c r="BI6" s="1506">
        <v>99</v>
      </c>
      <c r="BJ6" s="1506">
        <v>97.824657534246569</v>
      </c>
      <c r="BK6" s="1506">
        <v>95.547945205479451</v>
      </c>
      <c r="BL6" s="1506">
        <v>95.342465753424662</v>
      </c>
      <c r="BM6" s="1506">
        <v>97</v>
      </c>
      <c r="BN6" s="1490">
        <v>97.109590163934413</v>
      </c>
      <c r="BO6" s="26"/>
      <c r="BP6" s="26"/>
      <c r="BQ6" s="2062"/>
      <c r="BR6" s="2062"/>
    </row>
    <row r="7" spans="1:72" ht="15" customHeight="1" x14ac:dyDescent="0.25">
      <c r="B7" s="3037" t="s">
        <v>357</v>
      </c>
      <c r="C7" s="3006" t="s">
        <v>360</v>
      </c>
      <c r="D7" s="3082">
        <v>97.999999999999986</v>
      </c>
      <c r="E7" s="939">
        <v>98.333333333333329</v>
      </c>
      <c r="F7" s="130">
        <f>+F10/F2</f>
        <v>97.8</v>
      </c>
      <c r="G7" s="939">
        <v>98.333333333333329</v>
      </c>
      <c r="H7" s="130">
        <f>+H10/H2</f>
        <v>91.741935483870961</v>
      </c>
      <c r="I7" s="70">
        <f>+((E7*$E$2)+(G7*$G$2))/$I$2</f>
        <v>98.333333333333329</v>
      </c>
      <c r="J7" s="136">
        <f>+((F7*$F$2)+(H7*$H$2))/$J$2</f>
        <v>94.721311475409834</v>
      </c>
      <c r="K7" s="939">
        <v>98.333333333333329</v>
      </c>
      <c r="L7" s="130">
        <f>+L10/L2</f>
        <v>93.766666666666666</v>
      </c>
      <c r="M7" s="106">
        <f>+((E7*$E$2)+(G7*$G$2)+(K7*$K$2))/$M$2</f>
        <v>98.333333333333314</v>
      </c>
      <c r="N7" s="144">
        <f>+((F7*$F$2)+(H7*$H$2)+(L7*$L$2))/$N$2</f>
        <v>94.406593406593402</v>
      </c>
      <c r="O7" s="939">
        <v>98.333333333333329</v>
      </c>
      <c r="P7" s="130">
        <f>+P10/P2</f>
        <v>95.645161290322577</v>
      </c>
      <c r="Q7" s="70">
        <f>+((M7*M$2)+(O7*O$2))/Q$2</f>
        <v>98.333333333333314</v>
      </c>
      <c r="R7" s="136">
        <f>+((N7*N$2)+(P7*P$2))/R$2</f>
        <v>94.721311475409834</v>
      </c>
      <c r="S7" s="939">
        <v>96.3333333333333</v>
      </c>
      <c r="T7" s="130">
        <f>+T10/T2</f>
        <v>95.161290322580641</v>
      </c>
      <c r="U7" s="70">
        <f>+((Q7*Q$2)+(S7*S$2))/U$2</f>
        <v>97.928104575163374</v>
      </c>
      <c r="V7" s="136">
        <f>+((R7*R$2)+(T7*T$2))/V$2</f>
        <v>94.810457516339866</v>
      </c>
      <c r="W7" s="541">
        <v>96.3333333333333</v>
      </c>
      <c r="X7" s="227">
        <f>X10/X2</f>
        <v>96.033333333333331</v>
      </c>
      <c r="Y7" s="427">
        <f>+((O$7*O$1)+(S$7*S$1)+(W$7*W$1))/Y$1</f>
        <v>97.007490636704091</v>
      </c>
      <c r="Z7" s="427">
        <f>+((P$7*P$1)+(T$7*T$1)+(X$7*X$1))/Z$1</f>
        <v>95.601215716156929</v>
      </c>
      <c r="AA7" s="4773">
        <f>+((M7*M$2)+(Y7*Y$2))/AA$2</f>
        <v>97.666789463989673</v>
      </c>
      <c r="AB7" s="4773">
        <f>+((N7*N$2)+(Z7*Z$2))/AB$2</f>
        <v>95.007168556756483</v>
      </c>
      <c r="AC7" s="939">
        <v>98.333333333333329</v>
      </c>
      <c r="AD7" s="130">
        <f>+AD10/AD2</f>
        <v>97.806451612903231</v>
      </c>
      <c r="AE7" s="70">
        <f>+((AA7*$AA$2)+(AC7*$AC$2))/$AE$2</f>
        <v>97.763344884315146</v>
      </c>
      <c r="AF7" s="53">
        <f>+((AB7*$AB$2)+(AD7*$AD$2))/$AF$2</f>
        <v>95.412672177039425</v>
      </c>
      <c r="AG7" s="939">
        <v>98.333333333333329</v>
      </c>
      <c r="AH7" s="130">
        <f>+AH10/AH2</f>
        <v>97.333333333333329</v>
      </c>
      <c r="AI7" s="70">
        <f>+((AE7*$AE$2)+(AG7*$AG$2))/$AI$2</f>
        <v>97.83342543132558</v>
      </c>
      <c r="AJ7" s="70">
        <f>+((AF7*$AF$2)+(AH7*$AH$2))/$AJ$2</f>
        <v>95.648819040518191</v>
      </c>
      <c r="AK7" s="541">
        <v>98.333333333333329</v>
      </c>
      <c r="AL7" s="227">
        <f>AL10/AL2</f>
        <v>98.838709677419359</v>
      </c>
      <c r="AM7" s="427">
        <f>+((AC$7*AC$1)+(AG$7*AG$1)+(AK$7*AK$1))/AM$1</f>
        <v>98.333333333333329</v>
      </c>
      <c r="AN7" s="427">
        <f>+((AD$7*AD$1)+(AH$7*AH$1)+(AL$7*AL$1))/AN$1</f>
        <v>98.004209520681883</v>
      </c>
      <c r="AO7" s="70">
        <f>+((AK7*$AK$2)+(AI7*$AI$2))/$AO$2</f>
        <v>97.889778685733717</v>
      </c>
      <c r="AP7" s="70">
        <f>+((AL7*$AL$2)+(AJ7*$AJ$2))/$AP$2</f>
        <v>96.008406712314311</v>
      </c>
      <c r="AQ7" s="939">
        <v>98.333333333333329</v>
      </c>
      <c r="AR7" s="130">
        <f>+AR10/AR2</f>
        <v>98.612903225806448</v>
      </c>
      <c r="AS7" s="70">
        <f>+((AO7*$AO$2)+(AQ7*$AQ$2))/$AS$2</f>
        <v>97.934713960490527</v>
      </c>
      <c r="AT7" s="70">
        <f>+((AP7*$AP$2)+(AR7*$AR$2))/$AT$2</f>
        <v>96.272260934269397</v>
      </c>
      <c r="AU7" s="939">
        <v>98.333333333333329</v>
      </c>
      <c r="AV7" s="130">
        <f>+AV10/AV2</f>
        <v>98.758620689655174</v>
      </c>
      <c r="AW7" s="70">
        <f>+((AS7*$AS$2)+(AU7*$AU$2))/$AW$2</f>
        <v>97.969221309184377</v>
      </c>
      <c r="AX7" s="70">
        <f>+((AT7*$AT$2)+(AV7*$AV$2))/$AX$2</f>
        <v>96.487498047422193</v>
      </c>
      <c r="AY7" s="939">
        <v>98.333333333333329</v>
      </c>
      <c r="AZ7" s="130">
        <f>+AZ10/AZ2</f>
        <v>98.645161290322577</v>
      </c>
      <c r="BA7" s="427">
        <f>+((AQ$7*AQ$1)+(AU$7*AU$1)+(AY$7*AY$1))/BA$1</f>
        <v>98.333333333333314</v>
      </c>
      <c r="BB7" s="427">
        <f>+((AR$7*AR$1)+(AV$7*AV$1)+(AZ$7*AZ$1))/BB$1</f>
        <v>98.671322615466352</v>
      </c>
      <c r="BC7" s="5022">
        <f>+((AM7*AM$2)+(BA7*BA$2))/BC$2</f>
        <v>98.333333333333329</v>
      </c>
      <c r="BD7" s="5022">
        <f>+((AN7*AN$2)+(BB7*BB$2))/BD$2</f>
        <v>98.335943354700376</v>
      </c>
      <c r="BE7" s="5018">
        <f>+((AW7*$AW$2)+(AY7*$AY$2))/$BE$2</f>
        <v>98.000061398661487</v>
      </c>
      <c r="BF7" s="70">
        <f>+((AZ7*$AZ$2)+(AX7*$AX$2))/$BF$2</f>
        <v>96.670250945044899</v>
      </c>
      <c r="BG7" s="1506">
        <v>99</v>
      </c>
      <c r="BH7" s="1506">
        <v>92.210958904109589</v>
      </c>
      <c r="BI7" s="1506">
        <v>99</v>
      </c>
      <c r="BJ7" s="1506">
        <v>96.816438356164383</v>
      </c>
      <c r="BK7" s="1506">
        <v>94.2</v>
      </c>
      <c r="BL7" s="1506">
        <v>90.778082191780825</v>
      </c>
      <c r="BM7" s="1506">
        <v>97</v>
      </c>
      <c r="BN7" s="1490">
        <v>95.71024590163934</v>
      </c>
      <c r="BO7" s="26"/>
      <c r="BP7" s="26"/>
      <c r="BQ7" s="2062"/>
      <c r="BR7" s="2062"/>
    </row>
    <row r="8" spans="1:72" ht="15" customHeight="1" x14ac:dyDescent="0.25">
      <c r="B8" s="3038" t="s">
        <v>81</v>
      </c>
      <c r="C8" s="3007" t="s">
        <v>360</v>
      </c>
      <c r="D8" s="4806">
        <f>+D6+(D7*(31.55/17.2))</f>
        <v>278.76162790697674</v>
      </c>
      <c r="E8" s="4807">
        <f>+E6+(E7*(31.55/17.2))</f>
        <v>279.37306201550388</v>
      </c>
      <c r="F8" s="4808">
        <f t="shared" ref="F8:L8" si="0">+F6+(F7*(31.55/17.2))</f>
        <v>278.52810077519382</v>
      </c>
      <c r="G8" s="4807">
        <f t="shared" si="0"/>
        <v>279.37306201550388</v>
      </c>
      <c r="H8" s="4808">
        <f t="shared" si="0"/>
        <v>267.37921980495128</v>
      </c>
      <c r="I8" s="4809">
        <f t="shared" si="0"/>
        <v>279.37306201550388</v>
      </c>
      <c r="J8" s="4810">
        <f t="shared" si="0"/>
        <v>272.86227601982461</v>
      </c>
      <c r="K8" s="4807">
        <f t="shared" si="0"/>
        <v>279.37306201550388</v>
      </c>
      <c r="L8" s="4808">
        <f t="shared" si="0"/>
        <v>271.12974806201555</v>
      </c>
      <c r="M8" s="3110">
        <f t="shared" ref="M8" si="1">+M6+(M7*(31.55/17.2))</f>
        <v>279.37306201550382</v>
      </c>
      <c r="N8" s="3111">
        <f t="shared" ref="N8" si="2">+N6+(N7*(31.55/17.2))</f>
        <v>272.29111295681065</v>
      </c>
      <c r="O8" s="4811">
        <f t="shared" ref="O8:P8" si="3">+O6+(O7*(31.55/17.2))</f>
        <v>279.37306201550388</v>
      </c>
      <c r="P8" s="4808">
        <f t="shared" si="3"/>
        <v>274.50665791447864</v>
      </c>
      <c r="Q8" s="3120">
        <f t="shared" ref="Q8" si="4">+Q6+(Q7*(31.55/17.2))</f>
        <v>279.37306201550382</v>
      </c>
      <c r="R8" s="3121">
        <f t="shared" ref="R8" si="5">+R6+(R7*(31.55/17.2))</f>
        <v>272.85407929851317</v>
      </c>
      <c r="S8" s="4807">
        <f t="shared" ref="S8" si="6">+S6+(S7*(31.55/17.2))</f>
        <v>275.70445736434101</v>
      </c>
      <c r="T8" s="4812">
        <f t="shared" ref="T8" si="7">+T6+(T7*(31.55/17.2))</f>
        <v>274.00618904726184</v>
      </c>
      <c r="U8" s="3120">
        <f t="shared" ref="U8" si="8">+U6+(U7*(31.55/17.2))</f>
        <v>278.62974996200023</v>
      </c>
      <c r="V8" s="3121">
        <f t="shared" ref="V8:X8" si="9">+V6+(V7*(31.55/17.2))</f>
        <v>273.0875132998936</v>
      </c>
      <c r="W8" s="3011">
        <f t="shared" si="9"/>
        <v>275.70445736434101</v>
      </c>
      <c r="X8" s="248">
        <f t="shared" si="9"/>
        <v>275.25416666666666</v>
      </c>
      <c r="Y8" s="454">
        <f>Y6+(Y7*31.55/17.2)</f>
        <v>276.94106567372171</v>
      </c>
      <c r="Z8" s="454">
        <f>Z6+(Z7*31.55/17.2)</f>
        <v>274.57066886424019</v>
      </c>
      <c r="AA8" s="660">
        <f>AA6+(AA7*31.55/17.2)</f>
        <v>278.15041904586479</v>
      </c>
      <c r="AB8" s="660">
        <f>AB6+(AB7*31.55/17.2)</f>
        <v>273.43711920535446</v>
      </c>
      <c r="AC8" s="4807">
        <f t="shared" ref="AC8:AF8" si="10">+AC6+(AC7*(31.55/17.2))</f>
        <v>279.37306201550388</v>
      </c>
      <c r="AD8" s="4808">
        <f t="shared" si="10"/>
        <v>277.08402100525132</v>
      </c>
      <c r="AE8" s="4809">
        <f t="shared" si="10"/>
        <v>278.32753087791531</v>
      </c>
      <c r="AF8" s="4810">
        <f t="shared" si="10"/>
        <v>273.96540871842365</v>
      </c>
      <c r="AG8" s="4807">
        <f t="shared" ref="AG8:AL8" si="11">+AG6+(AG7*(31.55/17.2))</f>
        <v>279.37306201550388</v>
      </c>
      <c r="AH8" s="4808">
        <f t="shared" si="11"/>
        <v>277.53875968992247</v>
      </c>
      <c r="AI8" s="4809">
        <f t="shared" si="11"/>
        <v>278.45607978827456</v>
      </c>
      <c r="AJ8" s="4810">
        <f t="shared" si="11"/>
        <v>274.40475514934565</v>
      </c>
      <c r="AK8" s="4813">
        <f t="shared" si="11"/>
        <v>279.37306201550388</v>
      </c>
      <c r="AL8" s="248">
        <f t="shared" si="11"/>
        <v>280.30007501875468</v>
      </c>
      <c r="AM8" s="454">
        <f>AM6+(AM7*31.55/17.2)</f>
        <v>279.37306201550388</v>
      </c>
      <c r="AN8" s="454">
        <f>AN6+(AN7*31.55/17.2)</f>
        <v>278.32134896287698</v>
      </c>
      <c r="AO8" s="4814">
        <f t="shared" ref="AO8:AT8" si="12">+AO6+(AO7*(31.55/17.2))</f>
        <v>278.55944869388946</v>
      </c>
      <c r="AP8" s="4815">
        <f t="shared" si="12"/>
        <v>275.069318480079</v>
      </c>
      <c r="AQ8" s="4807">
        <f t="shared" si="12"/>
        <v>279.37306201550388</v>
      </c>
      <c r="AR8" s="4808">
        <f t="shared" si="12"/>
        <v>279.88587771942986</v>
      </c>
      <c r="AS8" s="4809">
        <f t="shared" si="12"/>
        <v>278.64187357287653</v>
      </c>
      <c r="AT8" s="4810">
        <f t="shared" si="12"/>
        <v>275.55727055988251</v>
      </c>
      <c r="AU8" s="4807">
        <f t="shared" ref="AU8:AX8" si="13">+AU6+(AU7*(31.55/17.2))</f>
        <v>279.37306201550388</v>
      </c>
      <c r="AV8" s="4808">
        <f t="shared" si="13"/>
        <v>280.15316760224539</v>
      </c>
      <c r="AW8" s="4809">
        <f t="shared" si="13"/>
        <v>278.70517048283534</v>
      </c>
      <c r="AX8" s="4810">
        <f t="shared" si="13"/>
        <v>275.95512433369902</v>
      </c>
      <c r="AY8" s="4807">
        <f t="shared" ref="AY8:AZ8" si="14">+AY6+(AY7*(31.55/17.2))</f>
        <v>279.37306201550388</v>
      </c>
      <c r="AZ8" s="4808">
        <f t="shared" si="14"/>
        <v>280.00956489122279</v>
      </c>
      <c r="BA8" s="454">
        <f>BA6+(BA7*31.55/17.2)</f>
        <v>279.37306201550382</v>
      </c>
      <c r="BB8" s="454">
        <f>BB6+(BB7*31.55/17.2)</f>
        <v>280.01467716567754</v>
      </c>
      <c r="BC8" s="660">
        <f>BC6+(BC7*31.55/17.2)</f>
        <v>279.37306201550388</v>
      </c>
      <c r="BD8" s="660">
        <f>BD6+(BD7*31.55/17.2)</f>
        <v>279.16338648448817</v>
      </c>
      <c r="BE8" s="4809">
        <f t="shared" ref="BE8:BF8" si="15">+BE6+(BE7*(31.55/17.2))</f>
        <v>278.76174053068428</v>
      </c>
      <c r="BF8" s="4810">
        <f t="shared" si="15"/>
        <v>276.29853323338</v>
      </c>
      <c r="BG8" s="1418">
        <v>280.5959302325586</v>
      </c>
      <c r="BH8" s="1955">
        <v>267.92633800573469</v>
      </c>
      <c r="BI8" s="1418">
        <v>280.5959302325586</v>
      </c>
      <c r="BJ8" s="1955">
        <v>275.41527556546714</v>
      </c>
      <c r="BK8" s="1418">
        <v>268.33922427524732</v>
      </c>
      <c r="BL8" s="1955">
        <v>261.85691302962772</v>
      </c>
      <c r="BM8" s="1418">
        <v>274.92732558139579</v>
      </c>
      <c r="BN8" s="3072">
        <v>272.67111680327912</v>
      </c>
      <c r="BO8" s="26"/>
      <c r="BP8" s="26"/>
      <c r="BQ8" s="2062"/>
      <c r="BR8" s="2062"/>
    </row>
    <row r="9" spans="1:72" ht="15" customHeight="1" x14ac:dyDescent="0.25">
      <c r="B9" s="3037" t="s">
        <v>356</v>
      </c>
      <c r="C9" s="3006" t="s">
        <v>702</v>
      </c>
      <c r="D9" s="3012">
        <f>+D6*D2</f>
        <v>36234</v>
      </c>
      <c r="E9" s="4769">
        <f>+E6*E2</f>
        <v>2970</v>
      </c>
      <c r="F9" s="217">
        <v>2974</v>
      </c>
      <c r="G9" s="4769">
        <f>+G6*G2</f>
        <v>3069</v>
      </c>
      <c r="H9" s="217">
        <v>3072</v>
      </c>
      <c r="I9" s="4768">
        <f>+I6*I2</f>
        <v>6039</v>
      </c>
      <c r="J9" s="53">
        <f>+F9+H9</f>
        <v>6046</v>
      </c>
      <c r="K9" s="4769">
        <f>+K6*K2</f>
        <v>2970</v>
      </c>
      <c r="L9" s="217">
        <v>2974</v>
      </c>
      <c r="M9" s="4772">
        <f>+E9+G9+K9</f>
        <v>9009</v>
      </c>
      <c r="N9" s="98">
        <f>+F9+H9+L9</f>
        <v>9020</v>
      </c>
      <c r="O9" s="4769">
        <f>+O6*O2</f>
        <v>3069</v>
      </c>
      <c r="P9" s="217">
        <v>3071</v>
      </c>
      <c r="Q9" s="4768">
        <f>+M9+O9</f>
        <v>12078</v>
      </c>
      <c r="R9" s="53">
        <f>+N9+P9</f>
        <v>12091</v>
      </c>
      <c r="S9" s="4769">
        <f>+S6*S2</f>
        <v>3069</v>
      </c>
      <c r="T9" s="217">
        <v>3083</v>
      </c>
      <c r="U9" s="4768">
        <f>+Q9+S9</f>
        <v>15147</v>
      </c>
      <c r="V9" s="53">
        <f>+R9+T9</f>
        <v>15174</v>
      </c>
      <c r="W9" s="4770">
        <f>+W6*W2</f>
        <v>2970</v>
      </c>
      <c r="X9" s="3616">
        <v>2973</v>
      </c>
      <c r="Y9" s="4771">
        <f>+O9+S9+W9</f>
        <v>9108</v>
      </c>
      <c r="Z9" s="4771">
        <f>+P9+T9+X9</f>
        <v>9127</v>
      </c>
      <c r="AA9" s="4773">
        <f>M9+Y9</f>
        <v>18117</v>
      </c>
      <c r="AB9" s="4773">
        <f>+N9+Z9</f>
        <v>18147</v>
      </c>
      <c r="AC9" s="4769">
        <f>+AC6*AC2</f>
        <v>3069</v>
      </c>
      <c r="AD9" s="217">
        <v>3028</v>
      </c>
      <c r="AE9" s="4768">
        <f>+AE6*AE2</f>
        <v>21186</v>
      </c>
      <c r="AF9" s="53">
        <f>+AB9+AD9</f>
        <v>21175</v>
      </c>
      <c r="AG9" s="4769">
        <f>+AG6*AG2</f>
        <v>2970</v>
      </c>
      <c r="AH9" s="217">
        <v>2970</v>
      </c>
      <c r="AI9" s="4768">
        <f>+AI6*AI2</f>
        <v>24156</v>
      </c>
      <c r="AJ9" s="53">
        <f>+AF9+AH9</f>
        <v>24145</v>
      </c>
      <c r="AK9" s="4770">
        <f>+AK6*AK2</f>
        <v>3069</v>
      </c>
      <c r="AL9" s="3616">
        <v>3069</v>
      </c>
      <c r="AM9" s="4771">
        <f>+AC9+AG9+AK9</f>
        <v>9108</v>
      </c>
      <c r="AN9" s="4771">
        <f>+AD9+AH9+AL9</f>
        <v>9067</v>
      </c>
      <c r="AO9" s="4768">
        <f>AI9+AK9</f>
        <v>27225</v>
      </c>
      <c r="AP9" s="4768">
        <f>AJ9+AL9</f>
        <v>27214</v>
      </c>
      <c r="AQ9" s="4769">
        <f>+AQ6*AQ2</f>
        <v>3069</v>
      </c>
      <c r="AR9" s="217">
        <v>3069</v>
      </c>
      <c r="AS9" s="4768">
        <f>+AS6*AS2</f>
        <v>30294</v>
      </c>
      <c r="AT9" s="53">
        <f>+AP9+AR9</f>
        <v>30283</v>
      </c>
      <c r="AU9" s="4769">
        <f>+AU6*AU2</f>
        <v>2871</v>
      </c>
      <c r="AV9" s="217">
        <v>2871</v>
      </c>
      <c r="AW9" s="4768">
        <f>+AW6*AW2</f>
        <v>33165</v>
      </c>
      <c r="AX9" s="53">
        <f>+AT9+AV9</f>
        <v>33154</v>
      </c>
      <c r="AY9" s="5019">
        <f>+AY6*AY2</f>
        <v>3069</v>
      </c>
      <c r="AZ9" s="217">
        <v>3071</v>
      </c>
      <c r="BA9" s="5020">
        <f>+AQ9+AU9+AY9</f>
        <v>9009</v>
      </c>
      <c r="BB9" s="5020">
        <f>+AR9+AV9+AZ9</f>
        <v>9011</v>
      </c>
      <c r="BC9" s="5022">
        <f>AM9+BA9</f>
        <v>18117</v>
      </c>
      <c r="BD9" s="5022">
        <f t="shared" ref="BD9:BD10" si="16">AN9+BB9</f>
        <v>18078</v>
      </c>
      <c r="BE9" s="5018">
        <f>AW9+AY9</f>
        <v>36234</v>
      </c>
      <c r="BF9" s="5018">
        <f>AX9+AZ9</f>
        <v>36225</v>
      </c>
      <c r="BG9" s="2939">
        <v>36135</v>
      </c>
      <c r="BH9" s="1956">
        <v>36056</v>
      </c>
      <c r="BI9" s="2939">
        <v>36135</v>
      </c>
      <c r="BJ9" s="1956">
        <v>35706</v>
      </c>
      <c r="BK9" s="2939">
        <v>34875</v>
      </c>
      <c r="BL9" s="1956">
        <v>34800</v>
      </c>
      <c r="BM9" s="2939">
        <v>35502</v>
      </c>
      <c r="BN9" s="3073">
        <v>35543</v>
      </c>
      <c r="BO9" s="26"/>
      <c r="BP9" s="26"/>
      <c r="BQ9" s="2062"/>
      <c r="BR9" s="2062"/>
      <c r="BS9" s="2062"/>
      <c r="BT9" s="2062"/>
    </row>
    <row r="10" spans="1:72" ht="15" customHeight="1" x14ac:dyDescent="0.25">
      <c r="B10" s="3037" t="s">
        <v>357</v>
      </c>
      <c r="C10" s="3006" t="s">
        <v>702</v>
      </c>
      <c r="D10" s="3013">
        <f>+D7*D2</f>
        <v>35867.999999999993</v>
      </c>
      <c r="E10" s="1693">
        <f>+E7*E2</f>
        <v>2950</v>
      </c>
      <c r="F10" s="217">
        <v>2934</v>
      </c>
      <c r="G10" s="4769">
        <f>+G7*G2</f>
        <v>3048.333333333333</v>
      </c>
      <c r="H10" s="217">
        <v>2844</v>
      </c>
      <c r="I10" s="4768">
        <f>+I7*I2</f>
        <v>5998.333333333333</v>
      </c>
      <c r="J10" s="53">
        <f>+F10+H10</f>
        <v>5778</v>
      </c>
      <c r="K10" s="4769">
        <f>+K7*K2</f>
        <v>2950</v>
      </c>
      <c r="L10" s="217">
        <v>2813</v>
      </c>
      <c r="M10" s="4772">
        <f>+E10+G10+K10</f>
        <v>8948.3333333333321</v>
      </c>
      <c r="N10" s="98">
        <f>+F10+H10+L10</f>
        <v>8591</v>
      </c>
      <c r="O10" s="4769">
        <f>+O7*O2</f>
        <v>3048.333333333333</v>
      </c>
      <c r="P10" s="217">
        <v>2965</v>
      </c>
      <c r="Q10" s="4768">
        <f>+M10+O10</f>
        <v>11996.666666666664</v>
      </c>
      <c r="R10" s="53">
        <f>+N10+P10</f>
        <v>11556</v>
      </c>
      <c r="S10" s="4769">
        <f>+S7*S2</f>
        <v>2986.3333333333321</v>
      </c>
      <c r="T10" s="217">
        <v>2950</v>
      </c>
      <c r="U10" s="4768">
        <f>+Q10+S10</f>
        <v>14982.999999999996</v>
      </c>
      <c r="V10" s="53">
        <f>+R10+T10</f>
        <v>14506</v>
      </c>
      <c r="W10" s="4770">
        <f>+W7*W2</f>
        <v>2889.9999999999991</v>
      </c>
      <c r="X10" s="3616">
        <v>2881</v>
      </c>
      <c r="Y10" s="4771">
        <f>+O10+S10+W10</f>
        <v>8924.6666666666642</v>
      </c>
      <c r="Z10" s="4771">
        <f>+P10+T10+X10</f>
        <v>8796</v>
      </c>
      <c r="AA10" s="4773">
        <f>+M10+Y10</f>
        <v>17872.999999999996</v>
      </c>
      <c r="AB10" s="4773">
        <f>+N10+Z10</f>
        <v>17387</v>
      </c>
      <c r="AC10" s="4769">
        <f>+AC7*AC2</f>
        <v>3048.333333333333</v>
      </c>
      <c r="AD10" s="217">
        <v>3032</v>
      </c>
      <c r="AE10" s="4768">
        <f>+AE7*AE2</f>
        <v>20921.355805243442</v>
      </c>
      <c r="AF10" s="53">
        <f>+AB10+AD10</f>
        <v>20419</v>
      </c>
      <c r="AG10" s="4769">
        <f>+AG7*AG2</f>
        <v>2950</v>
      </c>
      <c r="AH10" s="217">
        <v>2920</v>
      </c>
      <c r="AI10" s="4768">
        <f>+AI7*AI2</f>
        <v>23871.355805243442</v>
      </c>
      <c r="AJ10" s="53">
        <f>+AF10+AH10</f>
        <v>23339</v>
      </c>
      <c r="AK10" s="4770">
        <f>+AK7*AK2</f>
        <v>3048.333333333333</v>
      </c>
      <c r="AL10" s="3616">
        <v>3064</v>
      </c>
      <c r="AM10" s="4771">
        <f>+AC10+AG10+AK10</f>
        <v>9046.6666666666661</v>
      </c>
      <c r="AN10" s="4771">
        <f>+AD10+AH10+AL10</f>
        <v>9016</v>
      </c>
      <c r="AO10" s="4768">
        <f>AI10+AK10</f>
        <v>26919.689138576774</v>
      </c>
      <c r="AP10" s="4768">
        <f>AJ10+AL10</f>
        <v>26403</v>
      </c>
      <c r="AQ10" s="4769">
        <f>+AQ7*AQ2</f>
        <v>3048.333333333333</v>
      </c>
      <c r="AR10" s="217">
        <v>3057</v>
      </c>
      <c r="AS10" s="4768">
        <f>+AS7*AS2</f>
        <v>29968.022471910102</v>
      </c>
      <c r="AT10" s="53">
        <f>+AP10+AR10</f>
        <v>29460</v>
      </c>
      <c r="AU10" s="4769">
        <f>+AU7*AU2</f>
        <v>2851.6666666666665</v>
      </c>
      <c r="AV10" s="217">
        <v>2864</v>
      </c>
      <c r="AW10" s="4768">
        <f>+AW7*AW2</f>
        <v>32819.689138576767</v>
      </c>
      <c r="AX10" s="53">
        <f>+AT10+AV10</f>
        <v>32324</v>
      </c>
      <c r="AY10" s="5019">
        <f>+AY7*AY2</f>
        <v>3048.333333333333</v>
      </c>
      <c r="AZ10" s="217">
        <v>3058</v>
      </c>
      <c r="BA10" s="5020">
        <f>+AQ10+AU10+AY10</f>
        <v>8948.3333333333321</v>
      </c>
      <c r="BB10" s="5020">
        <f>+AR10+AV10+AZ10</f>
        <v>8979</v>
      </c>
      <c r="BC10" s="5022">
        <f>AM10+BA10</f>
        <v>17995</v>
      </c>
      <c r="BD10" s="5022">
        <f t="shared" si="16"/>
        <v>17995</v>
      </c>
      <c r="BE10" s="5018">
        <f>AW10+AY10</f>
        <v>35868.022471910102</v>
      </c>
      <c r="BF10" s="5018">
        <f>AX10+AZ10</f>
        <v>35382</v>
      </c>
      <c r="BG10" s="2939">
        <v>36135</v>
      </c>
      <c r="BH10" s="1956">
        <v>33657</v>
      </c>
      <c r="BI10" s="2939">
        <v>36135</v>
      </c>
      <c r="BJ10" s="1956">
        <v>35338</v>
      </c>
      <c r="BK10" s="2939">
        <v>34383</v>
      </c>
      <c r="BL10" s="1956">
        <v>33134</v>
      </c>
      <c r="BM10" s="2939">
        <v>35502</v>
      </c>
      <c r="BN10" s="3073">
        <v>35030</v>
      </c>
      <c r="BO10" s="26"/>
      <c r="BP10" s="26"/>
      <c r="BQ10" s="2062"/>
      <c r="BR10" s="2062"/>
      <c r="BS10" s="2062"/>
      <c r="BT10" s="2062"/>
    </row>
    <row r="11" spans="1:72" ht="15" customHeight="1" thickBot="1" x14ac:dyDescent="0.3">
      <c r="B11" s="3039" t="s">
        <v>703</v>
      </c>
      <c r="C11" s="3017" t="s">
        <v>702</v>
      </c>
      <c r="D11" s="4816">
        <f>+D9+(D10*(31.55/17.2))</f>
        <v>102026.75581395348</v>
      </c>
      <c r="E11" s="4817">
        <f t="shared" ref="E11:L11" si="17">+E9+(E10*(31.55/17.2))</f>
        <v>8381.1918604651164</v>
      </c>
      <c r="F11" s="4818">
        <f t="shared" si="17"/>
        <v>8355.8430232558148</v>
      </c>
      <c r="G11" s="4817">
        <f t="shared" si="17"/>
        <v>8660.5649224806202</v>
      </c>
      <c r="H11" s="4818">
        <f t="shared" si="17"/>
        <v>8288.7558139534885</v>
      </c>
      <c r="I11" s="4819">
        <f t="shared" si="17"/>
        <v>17041.756782945737</v>
      </c>
      <c r="J11" s="4820">
        <f t="shared" si="17"/>
        <v>16644.598837209305</v>
      </c>
      <c r="K11" s="4817">
        <f t="shared" si="17"/>
        <v>8381.1918604651164</v>
      </c>
      <c r="L11" s="4818">
        <f t="shared" si="17"/>
        <v>8133.8924418604656</v>
      </c>
      <c r="M11" s="3067">
        <f t="shared" ref="M11" si="18">+M9+(M10*(31.55/17.2))</f>
        <v>25422.948643410851</v>
      </c>
      <c r="N11" s="3068">
        <f t="shared" ref="N11" si="19">+N9+(N10*(31.55/17.2))</f>
        <v>24778.491279069771</v>
      </c>
      <c r="O11" s="2586">
        <f t="shared" ref="O11" si="20">+O9+(O10*(31.55/17.2))</f>
        <v>8660.5649224806202</v>
      </c>
      <c r="P11" s="3054">
        <f t="shared" ref="P11" si="21">+P9+(P10*(31.55/17.2))</f>
        <v>8509.7063953488378</v>
      </c>
      <c r="Q11" s="3057">
        <f t="shared" ref="Q11" si="22">+Q9+(Q10*(31.55/17.2))</f>
        <v>34083.513565891466</v>
      </c>
      <c r="R11" s="3023">
        <f t="shared" ref="R11" si="23">+R9+(R10*(31.55/17.2))</f>
        <v>33288.19767441861</v>
      </c>
      <c r="S11" s="2586">
        <f t="shared" ref="S11" si="24">+S9+(S10*(31.55/17.2))</f>
        <v>8546.8381782945726</v>
      </c>
      <c r="T11" s="3054">
        <f t="shared" ref="T11" si="25">+T9+(T10*(31.55/17.2))</f>
        <v>8494.1918604651164</v>
      </c>
      <c r="U11" s="3057">
        <f t="shared" ref="U11" si="26">+U9+(U10*(31.55/17.2))</f>
        <v>42630.351744186046</v>
      </c>
      <c r="V11" s="3023">
        <f t="shared" ref="V11:X11" si="27">+V9+(V10*(31.55/17.2))</f>
        <v>41782.389534883725</v>
      </c>
      <c r="W11" s="3011">
        <f t="shared" si="27"/>
        <v>8271.133720930231</v>
      </c>
      <c r="X11" s="2942">
        <f t="shared" si="27"/>
        <v>8257.625</v>
      </c>
      <c r="Y11" s="454">
        <f>Y9+(Y10*31.55/17.2)</f>
        <v>25478.536821705424</v>
      </c>
      <c r="Z11" s="454">
        <f>Z9+(Z10*31.55/17.2)</f>
        <v>25261.523255813954</v>
      </c>
      <c r="AA11" s="660">
        <f>AA9+(AA10*31.55/17.2)</f>
        <v>50901.485465116275</v>
      </c>
      <c r="AB11" s="660">
        <f>AB9+(AB10*31.55/17.2)</f>
        <v>50040.014534883725</v>
      </c>
      <c r="AC11" s="4817">
        <f t="shared" ref="AC11:AF11" si="28">+AC9+(AC10*(31.55/17.2))</f>
        <v>8660.5649224806202</v>
      </c>
      <c r="AD11" s="4818">
        <f t="shared" si="28"/>
        <v>8589.6046511627901</v>
      </c>
      <c r="AE11" s="4819">
        <f t="shared" si="28"/>
        <v>59562.091607873874</v>
      </c>
      <c r="AF11" s="4820">
        <f t="shared" si="28"/>
        <v>58629.619186046511</v>
      </c>
      <c r="AG11" s="4817">
        <f t="shared" ref="AG11:AL11" si="29">+AG9+(AG10*(31.55/17.2))</f>
        <v>8381.1918604651164</v>
      </c>
      <c r="AH11" s="4818">
        <f t="shared" si="29"/>
        <v>8326.1627906976755</v>
      </c>
      <c r="AI11" s="4819">
        <f t="shared" si="29"/>
        <v>67943.283468338981</v>
      </c>
      <c r="AJ11" s="4820">
        <f t="shared" si="29"/>
        <v>66955.781976744183</v>
      </c>
      <c r="AK11" s="3011">
        <f t="shared" si="29"/>
        <v>8660.5649224806202</v>
      </c>
      <c r="AL11" s="2942">
        <f t="shared" si="29"/>
        <v>8689.3023255813969</v>
      </c>
      <c r="AM11" s="454">
        <f>AM9+(AM10*31.55/17.2)</f>
        <v>25702.321705426355</v>
      </c>
      <c r="AN11" s="454">
        <f>AN9+(AN10*31.55/17.2)</f>
        <v>25605.069767441859</v>
      </c>
      <c r="AO11" s="4819">
        <f t="shared" ref="AO11:AT11" si="30">+AO9+(AO10*(31.55/17.2))</f>
        <v>76603.848390819607</v>
      </c>
      <c r="AP11" s="4820">
        <f t="shared" si="30"/>
        <v>75645.084302325587</v>
      </c>
      <c r="AQ11" s="4817">
        <f t="shared" si="30"/>
        <v>8660.5649224806202</v>
      </c>
      <c r="AR11" s="4818">
        <f t="shared" si="30"/>
        <v>8676.4622093023263</v>
      </c>
      <c r="AS11" s="4819">
        <f t="shared" si="30"/>
        <v>85264.413313300232</v>
      </c>
      <c r="AT11" s="4820">
        <f t="shared" si="30"/>
        <v>84321.546511627908</v>
      </c>
      <c r="AU11" s="4817">
        <f t="shared" ref="AU11:AX11" si="31">+AU9+(AU10*(31.55/17.2))</f>
        <v>8101.8187984496126</v>
      </c>
      <c r="AV11" s="4818">
        <f t="shared" si="31"/>
        <v>8124.4418604651164</v>
      </c>
      <c r="AW11" s="4819">
        <f t="shared" si="31"/>
        <v>93366.232111749821</v>
      </c>
      <c r="AX11" s="4820">
        <f t="shared" si="31"/>
        <v>92445.988372093037</v>
      </c>
      <c r="AY11" s="4817">
        <f t="shared" ref="AY11:AZ11" si="32">+AY9+(AY10*(31.55/17.2))</f>
        <v>8660.5649224806202</v>
      </c>
      <c r="AZ11" s="4818">
        <f t="shared" si="32"/>
        <v>8680.2965116279083</v>
      </c>
      <c r="BA11" s="454">
        <f>BA9+(BA10*31.55/17.2)</f>
        <v>25422.948643410851</v>
      </c>
      <c r="BB11" s="454">
        <f>BB9+(BB10*31.55/17.2)</f>
        <v>25481.200581395351</v>
      </c>
      <c r="BC11" s="660">
        <f>BC9+(BC10*31.55/17.2)</f>
        <v>51125.270348837214</v>
      </c>
      <c r="BD11" s="660">
        <f>BD9+(BD10*31.55/17.2)</f>
        <v>51086.270348837214</v>
      </c>
      <c r="BE11" s="4819">
        <f t="shared" ref="BE11:BF11" si="33">+BE9+(BE10*(31.55/17.2))</f>
        <v>102026.79703423046</v>
      </c>
      <c r="BF11" s="4820">
        <f t="shared" si="33"/>
        <v>101126.28488372095</v>
      </c>
      <c r="BG11" s="1418">
        <v>102417.51453488389</v>
      </c>
      <c r="BH11" s="1418">
        <v>97793.113372093183</v>
      </c>
      <c r="BI11" s="1418">
        <v>102417.51453488389</v>
      </c>
      <c r="BJ11" s="1418">
        <v>100526.5755813955</v>
      </c>
      <c r="BK11" s="1418">
        <v>97943.816860465275</v>
      </c>
      <c r="BL11" s="1418">
        <v>95577.7732558141</v>
      </c>
      <c r="BM11" s="1418">
        <v>100623.40116279086</v>
      </c>
      <c r="BN11" s="3074">
        <v>99798.61046511645</v>
      </c>
      <c r="BO11" s="26"/>
      <c r="BP11" s="26"/>
      <c r="BQ11" s="2062"/>
      <c r="BR11" s="2062"/>
      <c r="BS11" s="2062"/>
      <c r="BT11" s="2062"/>
    </row>
    <row r="12" spans="1:72" ht="15" customHeight="1" x14ac:dyDescent="0.25">
      <c r="A12" s="183"/>
      <c r="B12" s="3040" t="s">
        <v>349</v>
      </c>
      <c r="C12" s="3075"/>
      <c r="D12" s="4802"/>
      <c r="E12" s="4802"/>
      <c r="F12" s="4802"/>
      <c r="G12" s="4802"/>
      <c r="H12" s="4802"/>
      <c r="I12" s="4802"/>
      <c r="J12" s="4802"/>
      <c r="K12" s="4802"/>
      <c r="L12" s="4802"/>
      <c r="M12" s="4802"/>
      <c r="N12" s="4802"/>
      <c r="O12" s="4802"/>
      <c r="P12" s="4802"/>
      <c r="Q12" s="4802"/>
      <c r="R12" s="4802"/>
      <c r="S12" s="4802"/>
      <c r="T12" s="4802"/>
      <c r="U12" s="4802"/>
      <c r="V12" s="4802"/>
      <c r="W12" s="4802"/>
      <c r="X12" s="4802"/>
      <c r="Y12" s="4802"/>
      <c r="Z12" s="4802"/>
      <c r="AA12" s="4802"/>
      <c r="AB12" s="4802"/>
      <c r="AC12" s="4802"/>
      <c r="AD12" s="4802"/>
      <c r="AE12" s="4802"/>
      <c r="AF12" s="4802"/>
      <c r="AG12" s="4802"/>
      <c r="AH12" s="4802"/>
      <c r="AI12" s="4802"/>
      <c r="AJ12" s="4802"/>
      <c r="AK12" s="4802"/>
      <c r="AL12" s="4802"/>
      <c r="AM12" s="4802"/>
      <c r="AN12" s="4802"/>
      <c r="AO12" s="4802"/>
      <c r="AP12" s="4802"/>
      <c r="AQ12" s="4802"/>
      <c r="AR12" s="4802"/>
      <c r="AS12" s="4802"/>
      <c r="AT12" s="4802"/>
      <c r="AU12" s="4802"/>
      <c r="AV12" s="4802"/>
      <c r="AW12" s="4802"/>
      <c r="AX12" s="4802"/>
      <c r="AY12" s="4802"/>
      <c r="AZ12" s="4802"/>
      <c r="BA12" s="4802"/>
      <c r="BB12" s="4802"/>
      <c r="BC12" s="4802"/>
      <c r="BD12" s="4802"/>
      <c r="BE12" s="4802"/>
      <c r="BF12" s="4802"/>
      <c r="BG12" s="3075"/>
      <c r="BH12" s="3075"/>
      <c r="BI12" s="3075"/>
      <c r="BJ12" s="3075"/>
      <c r="BK12" s="3075"/>
      <c r="BL12" s="3075"/>
      <c r="BM12" s="3075"/>
      <c r="BN12" s="3076"/>
      <c r="BO12" s="26"/>
      <c r="BP12" s="26"/>
      <c r="BQ12" s="2062"/>
      <c r="BR12" s="2062"/>
      <c r="BS12" s="2062"/>
      <c r="BT12" s="2062"/>
    </row>
    <row r="13" spans="1:72" ht="15" customHeight="1" x14ac:dyDescent="0.25">
      <c r="B13" s="3041" t="s">
        <v>150</v>
      </c>
      <c r="C13" s="3006" t="s">
        <v>52</v>
      </c>
      <c r="D13" s="3012">
        <f>+D9*0.695*17.2</f>
        <v>433141.23599999992</v>
      </c>
      <c r="E13" s="4769">
        <f>+E9*0.695*17.2</f>
        <v>35503.37999999999</v>
      </c>
      <c r="F13" s="18">
        <f>'COKE OVENS'!F17</f>
        <v>35508.018647487042</v>
      </c>
      <c r="G13" s="4769">
        <f>+G9*0.695*17.2</f>
        <v>36686.825999999994</v>
      </c>
      <c r="H13" s="18">
        <f>'COKE OVENS'!H17</f>
        <v>36403.896582888534</v>
      </c>
      <c r="I13" s="4768">
        <f>+E13+G13</f>
        <v>72190.205999999976</v>
      </c>
      <c r="J13" s="53">
        <f>+F13+H13</f>
        <v>71911.915230375569</v>
      </c>
      <c r="K13" s="4769">
        <f>+K9*0.695*17.2</f>
        <v>35503.37999999999</v>
      </c>
      <c r="L13" s="18">
        <f>'COKE OVENS'!L17</f>
        <v>35495.568085214996</v>
      </c>
      <c r="M13" s="4772">
        <f>+E13+G13+K13</f>
        <v>107693.58599999997</v>
      </c>
      <c r="N13" s="98">
        <f>+F13+H13+L13</f>
        <v>107407.48331559057</v>
      </c>
      <c r="O13" s="4769">
        <f>+O9*0.695*17.2</f>
        <v>36686.825999999994</v>
      </c>
      <c r="P13" s="18">
        <f>'COKE OVENS'!P17</f>
        <v>36666.024248594927</v>
      </c>
      <c r="Q13" s="4768">
        <f>+M13+O13</f>
        <v>144380.41199999995</v>
      </c>
      <c r="R13" s="53">
        <f>+N13+P13</f>
        <v>144073.50756418548</v>
      </c>
      <c r="S13" s="4769">
        <f>+S9*0.695*17.2</f>
        <v>36686.825999999994</v>
      </c>
      <c r="T13" s="18">
        <f>'COKE OVENS'!T17</f>
        <v>36801.598945401238</v>
      </c>
      <c r="U13" s="4768">
        <f>+Q13+S13</f>
        <v>181067.23799999995</v>
      </c>
      <c r="V13" s="53">
        <f>+R13+T13</f>
        <v>180875.10650958671</v>
      </c>
      <c r="W13" s="4770">
        <f>+W9*0.695*17.2</f>
        <v>35503.37999999999</v>
      </c>
      <c r="X13" s="18">
        <f>'COKE OVENS'!X17</f>
        <v>35479.970823292359</v>
      </c>
      <c r="Y13" s="4771">
        <f>+O13+S13+W13</f>
        <v>108877.03199999998</v>
      </c>
      <c r="Z13" s="4771">
        <f>+P13+T13+X13</f>
        <v>108947.59401728853</v>
      </c>
      <c r="AA13" s="4773">
        <f>+M13+Y13</f>
        <v>216570.61799999996</v>
      </c>
      <c r="AB13" s="4773">
        <f>+N13+Z13</f>
        <v>216355.0773328791</v>
      </c>
      <c r="AC13" s="4769">
        <f>+AC9*0.695*17.2</f>
        <v>36686.825999999994</v>
      </c>
      <c r="AD13" s="18">
        <f>'COKE OVENS'!AD17</f>
        <v>36145.99044094584</v>
      </c>
      <c r="AE13" s="4768">
        <f>+AA13+AC13</f>
        <v>253257.44399999996</v>
      </c>
      <c r="AF13" s="53">
        <f>+AB13+AD13</f>
        <v>252501.06777382494</v>
      </c>
      <c r="AG13" s="4769">
        <f>+AG9*0.695*17.2</f>
        <v>35503.37999999999</v>
      </c>
      <c r="AH13" s="18">
        <f>'COKE OVENS'!AH17</f>
        <v>35697.79110229975</v>
      </c>
      <c r="AI13" s="4768">
        <f>+AE13+AG13</f>
        <v>288760.82399999996</v>
      </c>
      <c r="AJ13" s="53">
        <f>+AF13+AH13</f>
        <v>288198.85887612466</v>
      </c>
      <c r="AK13" s="4770">
        <f>+AK9*0.695*17.2</f>
        <v>36686.825999999994</v>
      </c>
      <c r="AL13" s="18">
        <f>'COKE OVENS'!AL17</f>
        <v>36631.214479613562</v>
      </c>
      <c r="AM13" s="4771">
        <f>+AC13+AG13+AK13</f>
        <v>108877.03199999998</v>
      </c>
      <c r="AN13" s="4771">
        <f>+AD13+AH13+AL13</f>
        <v>108474.99602285915</v>
      </c>
      <c r="AO13" s="4768">
        <f>AI13+AK13</f>
        <v>325447.64999999997</v>
      </c>
      <c r="AP13" s="4768">
        <f>AJ13+AL13</f>
        <v>324830.07335573825</v>
      </c>
      <c r="AQ13" s="4769">
        <f>+AQ9*0.695*17.2</f>
        <v>36686.825999999994</v>
      </c>
      <c r="AR13" s="18">
        <f>'COKE OVENS'!AR17</f>
        <v>36627.849906032898</v>
      </c>
      <c r="AS13" s="4768">
        <f>+AO13+AQ13</f>
        <v>362134.47599999997</v>
      </c>
      <c r="AT13" s="53">
        <f>+AP13+AR13</f>
        <v>361457.92326177115</v>
      </c>
      <c r="AU13" s="4769">
        <f>+AU9*0.695*17.2</f>
        <v>34319.933999999994</v>
      </c>
      <c r="AV13" s="18">
        <f>'COKE OVENS'!AV17</f>
        <v>34268.544699683451</v>
      </c>
      <c r="AW13" s="4768">
        <f>+AS13+AU13</f>
        <v>396454.41</v>
      </c>
      <c r="AX13" s="53">
        <f>+AT13+AV13</f>
        <v>395726.46796145459</v>
      </c>
      <c r="AY13" s="5019">
        <f>+AY9*0.695*17.2</f>
        <v>36686.825999999994</v>
      </c>
      <c r="AZ13" s="18">
        <f>'COKE OVENS'!AZ17</f>
        <v>36656.378813245406</v>
      </c>
      <c r="BA13" s="5020">
        <f>+AQ13+AU13+AY13</f>
        <v>107693.58599999998</v>
      </c>
      <c r="BB13" s="5020">
        <f>+AR13+AV13+AZ13</f>
        <v>107552.77341896175</v>
      </c>
      <c r="BC13" s="5022">
        <f>AM13+BA13</f>
        <v>216570.61799999996</v>
      </c>
      <c r="BD13" s="5022">
        <f t="shared" ref="BD13:BD14" si="34">AN13+BB13</f>
        <v>216027.76944182091</v>
      </c>
      <c r="BE13" s="5018">
        <f>AW13+AY13</f>
        <v>433141.23599999998</v>
      </c>
      <c r="BF13" s="5018">
        <f>AX13+AZ13</f>
        <v>432382.84677469998</v>
      </c>
      <c r="BG13" s="2939">
        <v>431957.79</v>
      </c>
      <c r="BH13" s="2939">
        <v>430769.03254755842</v>
      </c>
      <c r="BI13" s="2939">
        <v>438172.79000000004</v>
      </c>
      <c r="BJ13" s="2939">
        <v>428806</v>
      </c>
      <c r="BK13" s="2939">
        <v>425506</v>
      </c>
      <c r="BL13" s="2939">
        <v>430922.2</v>
      </c>
      <c r="BM13" s="2939">
        <v>406071.87599999999</v>
      </c>
      <c r="BN13" s="1369">
        <v>412610.14</v>
      </c>
      <c r="BO13" s="26"/>
      <c r="BP13" s="26"/>
      <c r="BQ13" s="2062"/>
      <c r="BR13" s="2062"/>
      <c r="BS13" s="2062"/>
      <c r="BT13" s="2062"/>
    </row>
    <row r="14" spans="1:72" x14ac:dyDescent="0.25">
      <c r="B14" s="3041" t="s">
        <v>151</v>
      </c>
      <c r="C14" s="3006" t="s">
        <v>52</v>
      </c>
      <c r="D14" s="3012">
        <f>+D10*0.695*31.55</f>
        <v>786486.60299999989</v>
      </c>
      <c r="E14" s="4769">
        <f>+E10*31.55*0.695</f>
        <v>64685.387499999997</v>
      </c>
      <c r="F14" s="18">
        <f>'COKE OVENS'!F18</f>
        <v>64256.416418162582</v>
      </c>
      <c r="G14" s="4769">
        <f>+G10*31.55*0.695</f>
        <v>66841.567083333328</v>
      </c>
      <c r="H14" s="18">
        <f>'COKE OVENS'!H18</f>
        <v>61819.739306427509</v>
      </c>
      <c r="I14" s="4768">
        <f>+E14+G14</f>
        <v>131526.95458333334</v>
      </c>
      <c r="J14" s="53">
        <f>+F14+H14</f>
        <v>126076.15572459009</v>
      </c>
      <c r="K14" s="4769">
        <f>+K10*31.55*0.695</f>
        <v>64685.387499999997</v>
      </c>
      <c r="L14" s="18">
        <f>'COKE OVENS'!L18</f>
        <v>61584.839772173647</v>
      </c>
      <c r="M14" s="4772">
        <f>+E14+G14+K14</f>
        <v>196212.34208333335</v>
      </c>
      <c r="N14" s="98">
        <f>+F14+H14+L14</f>
        <v>187660.99549676373</v>
      </c>
      <c r="O14" s="4769">
        <f>+O10*31.55*0.695</f>
        <v>66841.567083333328</v>
      </c>
      <c r="P14" s="18">
        <f>'COKE OVENS'!P18</f>
        <v>64935.115784060174</v>
      </c>
      <c r="Q14" s="4768">
        <f>+M14+O14</f>
        <v>263053.90916666668</v>
      </c>
      <c r="R14" s="53">
        <f>+N14+P14</f>
        <v>252596.11128082391</v>
      </c>
      <c r="S14" s="4769">
        <f>+S10*31.55*0.695</f>
        <v>65482.07758333331</v>
      </c>
      <c r="T14" s="18">
        <f>'COKE OVENS'!T18</f>
        <v>64593.095253148495</v>
      </c>
      <c r="U14" s="4768">
        <f>+Q14+S14</f>
        <v>328535.98674999998</v>
      </c>
      <c r="V14" s="53">
        <f>+R14+T14</f>
        <v>317189.20653397241</v>
      </c>
      <c r="W14" s="4770">
        <f>+W10*31.55*0.695</f>
        <v>63369.752499999973</v>
      </c>
      <c r="X14" s="18">
        <f>'COKE OVENS'!X18</f>
        <v>63067.050390864912</v>
      </c>
      <c r="Y14" s="4771">
        <f>+O14+S14+W14</f>
        <v>195693.3971666666</v>
      </c>
      <c r="Z14" s="4771">
        <f>+P14+T14+X14</f>
        <v>192595.26142807357</v>
      </c>
      <c r="AA14" s="4773">
        <f>+M14+Y14</f>
        <v>391905.73924999998</v>
      </c>
      <c r="AB14" s="4773">
        <f>+N14+Z14</f>
        <v>380256.2569248373</v>
      </c>
      <c r="AC14" s="4769">
        <f>+AC10*31.55*0.695</f>
        <v>66841.567083333328</v>
      </c>
      <c r="AD14" s="18">
        <f>'COKE OVENS'!AD18</f>
        <v>66390.260421813131</v>
      </c>
      <c r="AE14" s="4768">
        <f>+AA14+AC14</f>
        <v>458747.30633333331</v>
      </c>
      <c r="AF14" s="53">
        <f>+AB14+AD14</f>
        <v>446646.51734665042</v>
      </c>
      <c r="AG14" s="4769">
        <f>+AG10*31.55*0.695</f>
        <v>64685.387499999997</v>
      </c>
      <c r="AH14" s="18">
        <f>'COKE OVENS'!AH18</f>
        <v>64378.175222975238</v>
      </c>
      <c r="AI14" s="4768">
        <f>+AE14+AG14</f>
        <v>523432.69383333332</v>
      </c>
      <c r="AJ14" s="53">
        <f>+AF14+AH14</f>
        <v>511024.69256962568</v>
      </c>
      <c r="AK14" s="4770">
        <f>+AK10*31.55*0.695</f>
        <v>66841.567083333328</v>
      </c>
      <c r="AL14" s="18">
        <f>'COKE OVENS'!AL18</f>
        <v>67083.251850323562</v>
      </c>
      <c r="AM14" s="4771">
        <f>+AC14+AG14+AK14</f>
        <v>198368.52166666667</v>
      </c>
      <c r="AN14" s="4771">
        <f>+AD14+AH14+AL14</f>
        <v>197851.68749511195</v>
      </c>
      <c r="AO14" s="4768">
        <f>AI14+AK14</f>
        <v>590274.26091666659</v>
      </c>
      <c r="AP14" s="4768">
        <f>AJ14+AL14</f>
        <v>578107.9444199492</v>
      </c>
      <c r="AQ14" s="4769">
        <f>+AQ10*31.55*0.695</f>
        <v>66841.567083333328</v>
      </c>
      <c r="AR14" s="18">
        <f>'COKE OVENS'!AR18</f>
        <v>66923.846254831296</v>
      </c>
      <c r="AS14" s="4768">
        <f>+AO14+AQ14</f>
        <v>657115.82799999998</v>
      </c>
      <c r="AT14" s="53">
        <f>+AP14+AR14</f>
        <v>645031.7906747805</v>
      </c>
      <c r="AU14" s="4769">
        <f>+AU10*31.55*0.695</f>
        <v>62529.207916666659</v>
      </c>
      <c r="AV14" s="18">
        <f>'COKE OVENS'!AV18</f>
        <v>62705.610317846404</v>
      </c>
      <c r="AW14" s="4768">
        <f>+AS14+AU14</f>
        <v>719645.03591666662</v>
      </c>
      <c r="AX14" s="53">
        <f>+AT14+AV14</f>
        <v>707737.40099262691</v>
      </c>
      <c r="AY14" s="5019">
        <f>+AY10*31.55*0.695</f>
        <v>66841.567083333328</v>
      </c>
      <c r="AZ14" s="18">
        <f>'COKE OVENS'!AZ18</f>
        <v>66954.248715743583</v>
      </c>
      <c r="BA14" s="5020">
        <f>+AQ14+AU14+AY14</f>
        <v>196212.34208333332</v>
      </c>
      <c r="BB14" s="5020">
        <f>+AR14+AV14+AZ14</f>
        <v>196583.7052884213</v>
      </c>
      <c r="BC14" s="5022">
        <f>AM14+BA14</f>
        <v>394580.86375000002</v>
      </c>
      <c r="BD14" s="5022">
        <f t="shared" si="34"/>
        <v>394435.39278353326</v>
      </c>
      <c r="BE14" s="5018">
        <f>AW14+AY14</f>
        <v>786486.60299999989</v>
      </c>
      <c r="BF14" s="5018">
        <f>AX14+AZ14</f>
        <v>774691.64970837045</v>
      </c>
      <c r="BG14" s="2939">
        <v>792341.17874999996</v>
      </c>
      <c r="BH14" s="2939">
        <v>737579.37599844171</v>
      </c>
      <c r="BI14" s="2939">
        <v>803741.80374999996</v>
      </c>
      <c r="BJ14" s="2939">
        <v>778192</v>
      </c>
      <c r="BK14" s="2939">
        <v>770203</v>
      </c>
      <c r="BL14" s="2939">
        <v>752591.4</v>
      </c>
      <c r="BM14" s="2939">
        <v>744858.58650000009</v>
      </c>
      <c r="BN14" s="1369">
        <v>745859.84</v>
      </c>
      <c r="BO14" s="26"/>
      <c r="BP14" s="26"/>
      <c r="BQ14" s="2062"/>
      <c r="BR14" s="2062"/>
      <c r="BS14" s="2062"/>
      <c r="BT14" s="2062"/>
    </row>
    <row r="15" spans="1:72" ht="15" customHeight="1" thickBot="1" x14ac:dyDescent="0.3">
      <c r="B15" s="3039" t="s">
        <v>1765</v>
      </c>
      <c r="C15" s="3017" t="s">
        <v>52</v>
      </c>
      <c r="D15" s="3014">
        <f t="shared" ref="D15:V15" si="35">SUM(D13:D14)</f>
        <v>1219627.8389999997</v>
      </c>
      <c r="E15" s="2586">
        <f t="shared" si="35"/>
        <v>100188.76749999999</v>
      </c>
      <c r="F15" s="3054">
        <f t="shared" si="35"/>
        <v>99764.435065649624</v>
      </c>
      <c r="G15" s="2586">
        <f t="shared" si="35"/>
        <v>103528.39308333333</v>
      </c>
      <c r="H15" s="3054">
        <f t="shared" si="35"/>
        <v>98223.635889316036</v>
      </c>
      <c r="I15" s="4821">
        <f t="shared" si="35"/>
        <v>203717.16058333332</v>
      </c>
      <c r="J15" s="4822">
        <f t="shared" si="35"/>
        <v>197988.07095496566</v>
      </c>
      <c r="K15" s="2586">
        <f t="shared" si="35"/>
        <v>100188.76749999999</v>
      </c>
      <c r="L15" s="3054">
        <f t="shared" si="35"/>
        <v>97080.407857388636</v>
      </c>
      <c r="M15" s="3067">
        <f t="shared" si="35"/>
        <v>303905.9280833333</v>
      </c>
      <c r="N15" s="3068">
        <f t="shared" si="35"/>
        <v>295068.47881235427</v>
      </c>
      <c r="O15" s="2586">
        <f t="shared" si="35"/>
        <v>103528.39308333333</v>
      </c>
      <c r="P15" s="3054">
        <f t="shared" si="35"/>
        <v>101601.14003265509</v>
      </c>
      <c r="Q15" s="3057">
        <f t="shared" si="35"/>
        <v>407434.32116666663</v>
      </c>
      <c r="R15" s="3023">
        <f t="shared" si="35"/>
        <v>396669.61884500936</v>
      </c>
      <c r="S15" s="2586">
        <f t="shared" si="35"/>
        <v>102168.9035833333</v>
      </c>
      <c r="T15" s="3054">
        <f t="shared" si="35"/>
        <v>101394.69419854973</v>
      </c>
      <c r="U15" s="3057">
        <f t="shared" si="35"/>
        <v>509603.22474999994</v>
      </c>
      <c r="V15" s="3023">
        <f t="shared" si="35"/>
        <v>498064.31304355909</v>
      </c>
      <c r="W15" s="3011">
        <f t="shared" ref="W15:X15" si="36">SUM(W13:W14)</f>
        <v>98873.132499999963</v>
      </c>
      <c r="X15" s="2942">
        <f t="shared" si="36"/>
        <v>98547.02121415727</v>
      </c>
      <c r="Y15" s="454">
        <f t="shared" ref="Y15:AB15" si="37">SUM(Y13:Y14)</f>
        <v>304570.42916666658</v>
      </c>
      <c r="Z15" s="454">
        <f t="shared" si="37"/>
        <v>301542.8554453621</v>
      </c>
      <c r="AA15" s="660">
        <f t="shared" si="37"/>
        <v>608476.35724999988</v>
      </c>
      <c r="AB15" s="660">
        <f t="shared" si="37"/>
        <v>596611.33425771643</v>
      </c>
      <c r="AC15" s="2586">
        <f t="shared" ref="AC15:AF15" si="38">SUM(AC13:AC14)</f>
        <v>103528.39308333333</v>
      </c>
      <c r="AD15" s="3054">
        <f t="shared" si="38"/>
        <v>102536.25086275897</v>
      </c>
      <c r="AE15" s="4821">
        <f t="shared" si="38"/>
        <v>712004.75033333327</v>
      </c>
      <c r="AF15" s="4822">
        <f t="shared" si="38"/>
        <v>699147.58512047539</v>
      </c>
      <c r="AG15" s="2586">
        <f t="shared" ref="AG15:AN15" si="39">SUM(AG13:AG14)</f>
        <v>100188.76749999999</v>
      </c>
      <c r="AH15" s="3054">
        <f t="shared" si="39"/>
        <v>100075.96632527499</v>
      </c>
      <c r="AI15" s="4821">
        <f t="shared" si="39"/>
        <v>812193.51783333323</v>
      </c>
      <c r="AJ15" s="4822">
        <f t="shared" si="39"/>
        <v>799223.55144575029</v>
      </c>
      <c r="AK15" s="3011">
        <f t="shared" si="39"/>
        <v>103528.39308333333</v>
      </c>
      <c r="AL15" s="2942">
        <f t="shared" si="39"/>
        <v>103714.46632993713</v>
      </c>
      <c r="AM15" s="454">
        <f t="shared" si="39"/>
        <v>307245.55366666662</v>
      </c>
      <c r="AN15" s="454">
        <f t="shared" si="39"/>
        <v>306326.68351797108</v>
      </c>
      <c r="AO15" s="4821">
        <f t="shared" ref="AO15:AT15" si="40">SUM(AO13:AO14)</f>
        <v>915721.9109166665</v>
      </c>
      <c r="AP15" s="4822">
        <f t="shared" si="40"/>
        <v>902938.01777568739</v>
      </c>
      <c r="AQ15" s="2586">
        <f t="shared" si="40"/>
        <v>103528.39308333333</v>
      </c>
      <c r="AR15" s="3054">
        <f t="shared" si="40"/>
        <v>103551.6961608642</v>
      </c>
      <c r="AS15" s="4821">
        <f t="shared" si="40"/>
        <v>1019250.304</v>
      </c>
      <c r="AT15" s="4822">
        <f t="shared" si="40"/>
        <v>1006489.7139365517</v>
      </c>
      <c r="AU15" s="2586">
        <f t="shared" ref="AU15:BF15" si="41">SUM(AU13:AU14)</f>
        <v>96849.141916666646</v>
      </c>
      <c r="AV15" s="3054">
        <f t="shared" si="41"/>
        <v>96974.155017529847</v>
      </c>
      <c r="AW15" s="4821">
        <f t="shared" si="41"/>
        <v>1116099.4459166666</v>
      </c>
      <c r="AX15" s="4822">
        <f t="shared" si="41"/>
        <v>1103463.8689540816</v>
      </c>
      <c r="AY15" s="2586">
        <f t="shared" ref="AY15:AZ15" si="42">SUM(AY13:AY14)</f>
        <v>103528.39308333333</v>
      </c>
      <c r="AZ15" s="3054">
        <f t="shared" si="42"/>
        <v>103610.62752898899</v>
      </c>
      <c r="BA15" s="454">
        <f t="shared" si="41"/>
        <v>303905.9280833333</v>
      </c>
      <c r="BB15" s="454">
        <f t="shared" si="41"/>
        <v>304136.47870738304</v>
      </c>
      <c r="BC15" s="660">
        <f t="shared" si="41"/>
        <v>611151.48175000004</v>
      </c>
      <c r="BD15" s="660">
        <f t="shared" si="41"/>
        <v>610463.16222535423</v>
      </c>
      <c r="BE15" s="4821">
        <f t="shared" si="41"/>
        <v>1219627.8389999999</v>
      </c>
      <c r="BF15" s="4822">
        <f t="shared" si="41"/>
        <v>1207074.4964830703</v>
      </c>
      <c r="BG15" s="1418">
        <v>1224298.96875</v>
      </c>
      <c r="BH15" s="1418">
        <v>1168348.4085460003</v>
      </c>
      <c r="BI15" s="1418">
        <v>1241914.59375</v>
      </c>
      <c r="BJ15" s="1418">
        <v>1206998</v>
      </c>
      <c r="BK15" s="1418">
        <v>1195709</v>
      </c>
      <c r="BL15" s="1418">
        <v>1183513.6000000001</v>
      </c>
      <c r="BM15" s="1418">
        <v>1150930.4625000001</v>
      </c>
      <c r="BN15" s="3074">
        <v>1158469.98</v>
      </c>
      <c r="BO15" s="26"/>
      <c r="BP15" s="26"/>
      <c r="BQ15" s="2062"/>
      <c r="BR15" s="2062"/>
      <c r="BS15" s="2062"/>
      <c r="BT15" s="2062"/>
    </row>
    <row r="16" spans="1:72" ht="15" customHeight="1" thickBot="1" x14ac:dyDescent="0.3">
      <c r="B16" s="3042" t="s">
        <v>354</v>
      </c>
      <c r="C16" s="3018" t="s">
        <v>52</v>
      </c>
      <c r="D16" s="3019">
        <f>4499.99991230893*1000</f>
        <v>4499999.9123089304</v>
      </c>
      <c r="E16" s="2831">
        <f>377.584105466039*1000</f>
        <v>377584.10546603898</v>
      </c>
      <c r="F16" s="3051">
        <v>384170</v>
      </c>
      <c r="G16" s="2831">
        <f>306.849799901736*1000</f>
        <v>306849.79990173597</v>
      </c>
      <c r="H16" s="3051">
        <v>311568</v>
      </c>
      <c r="I16" s="2833">
        <f t="shared" ref="I16:J18" si="43">+E16+G16</f>
        <v>684433.90536777489</v>
      </c>
      <c r="J16" s="2834">
        <f t="shared" si="43"/>
        <v>695738</v>
      </c>
      <c r="K16" s="2831">
        <f>312.959344062177*1000</f>
        <v>312959.344062177</v>
      </c>
      <c r="L16" s="3051">
        <v>329870</v>
      </c>
      <c r="M16" s="2835">
        <f t="shared" ref="M16:N18" si="44">+E16+G16+K16</f>
        <v>997393.24942995189</v>
      </c>
      <c r="N16" s="3066">
        <f t="shared" si="44"/>
        <v>1025608</v>
      </c>
      <c r="O16" s="2831">
        <f>386.18051358637*1000</f>
        <v>386180.51358636998</v>
      </c>
      <c r="P16" s="3051">
        <v>386985</v>
      </c>
      <c r="Q16" s="2833">
        <f t="shared" ref="Q16:R18" si="45">+M16+O16</f>
        <v>1383573.7630163219</v>
      </c>
      <c r="R16" s="2834">
        <f t="shared" si="45"/>
        <v>1412593</v>
      </c>
      <c r="S16" s="2831">
        <v>386180.51358636969</v>
      </c>
      <c r="T16" s="3051">
        <v>373273</v>
      </c>
      <c r="U16" s="2833">
        <f t="shared" ref="U16:U17" si="46">+Q16+S16</f>
        <v>1769754.2766026915</v>
      </c>
      <c r="V16" s="2834">
        <f t="shared" ref="V16" si="47">+R16+T16</f>
        <v>1785866</v>
      </c>
      <c r="W16" s="4770">
        <v>375455.56130559737</v>
      </c>
      <c r="X16" s="3616">
        <v>373826</v>
      </c>
      <c r="Y16" s="4771">
        <f t="shared" ref="Y16:Z18" si="48">+O16+S16+W16</f>
        <v>1147816.588478337</v>
      </c>
      <c r="Z16" s="4771">
        <f t="shared" si="48"/>
        <v>1134084</v>
      </c>
      <c r="AA16" s="4773">
        <f t="shared" ref="AA16:AB18" si="49">+M16+Y16</f>
        <v>2145209.8379082889</v>
      </c>
      <c r="AB16" s="4773">
        <f t="shared" si="49"/>
        <v>2159692</v>
      </c>
      <c r="AC16" s="2831">
        <f>392.905465867142*1000</f>
        <v>392905.46586714202</v>
      </c>
      <c r="AD16" s="3051">
        <v>395455</v>
      </c>
      <c r="AE16" s="2833">
        <f t="shared" ref="AE16:AE18" si="50">+AA16+AC16</f>
        <v>2538115.3037754311</v>
      </c>
      <c r="AF16" s="2834">
        <f t="shared" ref="AF16" si="51">+AB16+AD16</f>
        <v>2555147</v>
      </c>
      <c r="AG16" s="2831">
        <f>384.648377546259*1000</f>
        <v>384648.37754625897</v>
      </c>
      <c r="AH16" s="3051">
        <v>372411</v>
      </c>
      <c r="AI16" s="2833">
        <f t="shared" ref="AI16:AI18" si="52">+AE16+AG16</f>
        <v>2922763.6813216899</v>
      </c>
      <c r="AJ16" s="2834">
        <f t="shared" ref="AJ16" si="53">+AF16+AH16</f>
        <v>2927558</v>
      </c>
      <c r="AK16" s="4770">
        <f>398.437601907252*1000</f>
        <v>398437.60190725198</v>
      </c>
      <c r="AL16" s="3616">
        <v>378682</v>
      </c>
      <c r="AM16" s="4771">
        <f t="shared" ref="AM16:AM18" si="54">+AC16+AG16+AK16</f>
        <v>1175991.4453206528</v>
      </c>
      <c r="AN16" s="4771">
        <f t="shared" ref="AN16:AN18" si="55">+AD16+AH16+AL16</f>
        <v>1146548</v>
      </c>
      <c r="AO16" s="4768">
        <f t="shared" ref="AO16:AP18" si="56">AI16+AK16</f>
        <v>3321201.2832289417</v>
      </c>
      <c r="AP16" s="4768">
        <f t="shared" si="56"/>
        <v>3306240</v>
      </c>
      <c r="AQ16" s="2831">
        <v>402437.60190725198</v>
      </c>
      <c r="AR16" s="3051">
        <v>359440</v>
      </c>
      <c r="AS16" s="2833">
        <f t="shared" ref="AS16:AS18" si="57">+AO16+AQ16</f>
        <v>3723638.8851361936</v>
      </c>
      <c r="AT16" s="2834">
        <f t="shared" ref="AT16" si="58">+AP16+AR16</f>
        <v>3665680</v>
      </c>
      <c r="AU16" s="2831">
        <v>372391.28922537703</v>
      </c>
      <c r="AV16" s="3051">
        <v>372508</v>
      </c>
      <c r="AW16" s="2833">
        <f t="shared" ref="AW16:AW18" si="59">+AS16+AU16</f>
        <v>4096030.1743615707</v>
      </c>
      <c r="AX16" s="2834">
        <f t="shared" ref="AX16" si="60">+AT16+AV16</f>
        <v>4038188</v>
      </c>
      <c r="AY16" s="2831">
        <v>403969.737947363</v>
      </c>
      <c r="AZ16" s="3051">
        <v>360257</v>
      </c>
      <c r="BA16" s="5020">
        <f t="shared" ref="BA16:BA18" si="61">+AQ16+AU16+AY16</f>
        <v>1178798.629079992</v>
      </c>
      <c r="BB16" s="5020">
        <f t="shared" ref="BB16:BB18" si="62">+AR16+AV16+AZ16</f>
        <v>1092205</v>
      </c>
      <c r="BC16" s="5022">
        <f>AM16+BA16</f>
        <v>2354790.0744006447</v>
      </c>
      <c r="BD16" s="5022">
        <f t="shared" ref="BD16:BD18" si="63">AN16+BB16</f>
        <v>2238753</v>
      </c>
      <c r="BE16" s="5018">
        <f t="shared" ref="BE16:BE18" si="64">AW16+AY16</f>
        <v>4499999.9123089341</v>
      </c>
      <c r="BF16" s="5018">
        <f t="shared" ref="BF16:BF18" si="65">AX16+AZ16</f>
        <v>4398445</v>
      </c>
      <c r="BG16" s="2939">
        <v>4270000.1407572366</v>
      </c>
      <c r="BH16" s="2939">
        <v>4395665</v>
      </c>
      <c r="BI16" s="2939">
        <v>4183927.7727635596</v>
      </c>
      <c r="BJ16" s="2939">
        <v>4277831</v>
      </c>
      <c r="BK16" s="2939">
        <v>3665891.272345175</v>
      </c>
      <c r="BL16" s="2939">
        <v>3629577</v>
      </c>
      <c r="BM16" s="2939">
        <v>3903932.5274391733</v>
      </c>
      <c r="BN16" s="1369">
        <v>3709525</v>
      </c>
      <c r="BO16" s="26"/>
      <c r="BP16" s="26"/>
      <c r="BQ16" s="2062"/>
      <c r="BR16" s="2062"/>
      <c r="BS16" s="2062"/>
      <c r="BT16" s="2062"/>
    </row>
    <row r="17" spans="1:72" ht="15" customHeight="1" thickBot="1" x14ac:dyDescent="0.3">
      <c r="A17" s="221"/>
      <c r="B17" s="3042" t="s">
        <v>347</v>
      </c>
      <c r="C17" s="3018" t="s">
        <v>52</v>
      </c>
      <c r="D17" s="3019">
        <f>2800*1000</f>
        <v>2800000</v>
      </c>
      <c r="E17" s="2831">
        <f>236*1000</f>
        <v>236000</v>
      </c>
      <c r="F17" s="3052">
        <v>231705</v>
      </c>
      <c r="G17" s="2831">
        <v>197000</v>
      </c>
      <c r="H17" s="3051">
        <v>186324.9</v>
      </c>
      <c r="I17" s="2833">
        <f t="shared" si="43"/>
        <v>433000</v>
      </c>
      <c r="J17" s="2834">
        <f>+F17+H17</f>
        <v>418029.9</v>
      </c>
      <c r="K17" s="2831">
        <v>201000</v>
      </c>
      <c r="L17" s="3051">
        <v>213361</v>
      </c>
      <c r="M17" s="2835">
        <f t="shared" si="44"/>
        <v>634000</v>
      </c>
      <c r="N17" s="3066">
        <f t="shared" si="44"/>
        <v>631390.9</v>
      </c>
      <c r="O17" s="2831">
        <v>239000</v>
      </c>
      <c r="P17" s="3051">
        <v>245255</v>
      </c>
      <c r="Q17" s="2833">
        <f t="shared" si="45"/>
        <v>873000</v>
      </c>
      <c r="R17" s="2834">
        <f>+N17+P17</f>
        <v>876645.9</v>
      </c>
      <c r="S17" s="2831">
        <v>239000</v>
      </c>
      <c r="T17" s="3051">
        <v>240285</v>
      </c>
      <c r="U17" s="2833">
        <f t="shared" si="46"/>
        <v>1112000</v>
      </c>
      <c r="V17" s="2834">
        <f>+R17+T17</f>
        <v>1116930.8999999999</v>
      </c>
      <c r="W17" s="4770">
        <v>232000</v>
      </c>
      <c r="X17" s="3616">
        <v>229120</v>
      </c>
      <c r="Y17" s="4771">
        <f t="shared" si="48"/>
        <v>710000</v>
      </c>
      <c r="Z17" s="4771">
        <f t="shared" si="48"/>
        <v>714660</v>
      </c>
      <c r="AA17" s="4773">
        <f t="shared" si="49"/>
        <v>1344000</v>
      </c>
      <c r="AB17" s="4773">
        <f t="shared" si="49"/>
        <v>1346050.9</v>
      </c>
      <c r="AC17" s="2831">
        <f>246*1000</f>
        <v>246000</v>
      </c>
      <c r="AD17" s="3051">
        <v>243314</v>
      </c>
      <c r="AE17" s="2833">
        <f t="shared" si="50"/>
        <v>1590000</v>
      </c>
      <c r="AF17" s="2834">
        <f>+AB17+AD17</f>
        <v>1589364.9</v>
      </c>
      <c r="AG17" s="2831">
        <v>238000</v>
      </c>
      <c r="AH17" s="3051">
        <v>206094</v>
      </c>
      <c r="AI17" s="2833">
        <f t="shared" si="52"/>
        <v>1828000</v>
      </c>
      <c r="AJ17" s="2834">
        <f>+AF17+AH17</f>
        <v>1795458.9</v>
      </c>
      <c r="AK17" s="4770">
        <v>247000</v>
      </c>
      <c r="AL17" s="3616">
        <v>228212.69999999995</v>
      </c>
      <c r="AM17" s="4771">
        <f t="shared" si="54"/>
        <v>731000</v>
      </c>
      <c r="AN17" s="4771">
        <f t="shared" si="55"/>
        <v>677620.7</v>
      </c>
      <c r="AO17" s="4768">
        <f t="shared" si="56"/>
        <v>2075000</v>
      </c>
      <c r="AP17" s="4768">
        <f t="shared" si="56"/>
        <v>2023671.5999999999</v>
      </c>
      <c r="AQ17" s="2831">
        <v>247000</v>
      </c>
      <c r="AR17" s="3051">
        <v>232525.2</v>
      </c>
      <c r="AS17" s="2833">
        <f t="shared" si="57"/>
        <v>2322000</v>
      </c>
      <c r="AT17" s="2834">
        <f>+AP17+AR17</f>
        <v>2256196.7999999998</v>
      </c>
      <c r="AU17" s="2831">
        <v>230000</v>
      </c>
      <c r="AV17" s="3051">
        <v>230199.20000000007</v>
      </c>
      <c r="AW17" s="2833">
        <f t="shared" si="59"/>
        <v>2552000</v>
      </c>
      <c r="AX17" s="2834">
        <f>+AT17+AV17</f>
        <v>2486396</v>
      </c>
      <c r="AY17" s="2831">
        <v>248000</v>
      </c>
      <c r="AZ17" s="3051">
        <v>234872.10000000003</v>
      </c>
      <c r="BA17" s="5020">
        <f t="shared" si="61"/>
        <v>725000</v>
      </c>
      <c r="BB17" s="5020">
        <f t="shared" si="62"/>
        <v>697596.50000000012</v>
      </c>
      <c r="BC17" s="5022">
        <f>AM17+BA17</f>
        <v>1456000</v>
      </c>
      <c r="BD17" s="5022">
        <f t="shared" si="63"/>
        <v>1375217.2000000002</v>
      </c>
      <c r="BE17" s="5018">
        <f t="shared" si="64"/>
        <v>2800000</v>
      </c>
      <c r="BF17" s="5018">
        <f t="shared" si="65"/>
        <v>2721268.1</v>
      </c>
      <c r="BG17" s="2939">
        <v>2680000</v>
      </c>
      <c r="BH17" s="2939">
        <v>2592119.6</v>
      </c>
      <c r="BI17" s="2939">
        <v>2650000.9700000002</v>
      </c>
      <c r="BJ17" s="2939">
        <v>2406785.7000000002</v>
      </c>
      <c r="BK17" s="2939">
        <v>2496672.1533415001</v>
      </c>
      <c r="BL17" s="2939">
        <v>2092798</v>
      </c>
      <c r="BM17" s="2939">
        <v>2700000</v>
      </c>
      <c r="BN17" s="1369">
        <v>2505193</v>
      </c>
      <c r="BO17" s="26"/>
      <c r="BP17" s="26"/>
      <c r="BQ17" s="2062"/>
      <c r="BR17" s="2062"/>
      <c r="BS17" s="2062"/>
      <c r="BT17" s="2062"/>
    </row>
    <row r="18" spans="1:72" ht="16.5" thickBot="1" x14ac:dyDescent="0.3">
      <c r="B18" s="3043" t="s">
        <v>348</v>
      </c>
      <c r="C18" s="3018" t="s">
        <v>52</v>
      </c>
      <c r="D18" s="3019">
        <f>2620.07547169811*1000</f>
        <v>2620075.47169811</v>
      </c>
      <c r="E18" s="2831">
        <f>221.509433962264*1000</f>
        <v>221509.43396226401</v>
      </c>
      <c r="F18" s="3051">
        <v>215539</v>
      </c>
      <c r="G18" s="2831">
        <f>184.716981132075*1000</f>
        <v>184716.98113207502</v>
      </c>
      <c r="H18" s="3051">
        <v>175895</v>
      </c>
      <c r="I18" s="2833">
        <f t="shared" si="43"/>
        <v>406226.41509433906</v>
      </c>
      <c r="J18" s="2834">
        <f t="shared" si="43"/>
        <v>391434</v>
      </c>
      <c r="K18" s="2831">
        <f>180.641509433962*1000</f>
        <v>180641.509433962</v>
      </c>
      <c r="L18" s="3051">
        <v>187063</v>
      </c>
      <c r="M18" s="2835">
        <f t="shared" si="44"/>
        <v>586867.924528301</v>
      </c>
      <c r="N18" s="3066">
        <f t="shared" si="44"/>
        <v>578497</v>
      </c>
      <c r="O18" s="2831">
        <f>224.339622641509*1000</f>
        <v>224339.62264150902</v>
      </c>
      <c r="P18" s="3051">
        <v>230148</v>
      </c>
      <c r="Q18" s="2833">
        <f>+M18+O18</f>
        <v>811207.54716981004</v>
      </c>
      <c r="R18" s="2834">
        <f t="shared" si="45"/>
        <v>808645</v>
      </c>
      <c r="S18" s="2831">
        <v>224339.62264150943</v>
      </c>
      <c r="T18" s="3051">
        <v>224642</v>
      </c>
      <c r="U18" s="2833">
        <f>+Q18+S18</f>
        <v>1035547.1698113194</v>
      </c>
      <c r="V18" s="2834">
        <f t="shared" ref="V18" si="66">+R18+T18</f>
        <v>1033287</v>
      </c>
      <c r="W18" s="4770">
        <v>217735.84905660377</v>
      </c>
      <c r="X18" s="3616">
        <v>210766</v>
      </c>
      <c r="Y18" s="4771">
        <f t="shared" si="48"/>
        <v>666415.09433962218</v>
      </c>
      <c r="Z18" s="4771">
        <f t="shared" si="48"/>
        <v>665556</v>
      </c>
      <c r="AA18" s="4773">
        <f t="shared" si="49"/>
        <v>1253283.0188679232</v>
      </c>
      <c r="AB18" s="4773">
        <f t="shared" si="49"/>
        <v>1244053</v>
      </c>
      <c r="AC18" s="2831">
        <f>230.943396226415*1000</f>
        <v>230943.396226415</v>
      </c>
      <c r="AD18" s="3051">
        <v>223439</v>
      </c>
      <c r="AE18" s="2833">
        <f t="shared" si="50"/>
        <v>1484226.4150943381</v>
      </c>
      <c r="AF18" s="2834">
        <f t="shared" ref="AF18" si="67">+AB18+AD18</f>
        <v>1467492</v>
      </c>
      <c r="AG18" s="2831">
        <f>223.396226415094*1000</f>
        <v>223396.22641509399</v>
      </c>
      <c r="AH18" s="3051">
        <v>192334</v>
      </c>
      <c r="AI18" s="2833">
        <f t="shared" si="52"/>
        <v>1707622.6415094321</v>
      </c>
      <c r="AJ18" s="2834">
        <f t="shared" ref="AJ18" si="68">+AF18+AH18</f>
        <v>1659826</v>
      </c>
      <c r="AK18" s="4770">
        <f>231.88679245283*1000</f>
        <v>231886.79245283001</v>
      </c>
      <c r="AL18" s="3616">
        <v>217585</v>
      </c>
      <c r="AM18" s="4771">
        <f t="shared" si="54"/>
        <v>686226.41509433906</v>
      </c>
      <c r="AN18" s="4771">
        <f t="shared" si="55"/>
        <v>633358</v>
      </c>
      <c r="AO18" s="4768">
        <f t="shared" si="56"/>
        <v>1939509.4339622622</v>
      </c>
      <c r="AP18" s="4768">
        <f t="shared" si="56"/>
        <v>1877411</v>
      </c>
      <c r="AQ18" s="2831">
        <v>231886.79245283001</v>
      </c>
      <c r="AR18" s="3051">
        <v>217679</v>
      </c>
      <c r="AS18" s="2833">
        <f t="shared" si="57"/>
        <v>2171396.2264150921</v>
      </c>
      <c r="AT18" s="2834">
        <f t="shared" ref="AT18" si="69">+AP18+AR18</f>
        <v>2095090</v>
      </c>
      <c r="AU18" s="2831">
        <v>215849.05660377399</v>
      </c>
      <c r="AV18" s="3051">
        <v>214408</v>
      </c>
      <c r="AW18" s="2833">
        <f t="shared" si="59"/>
        <v>2387245.2830188661</v>
      </c>
      <c r="AX18" s="2834">
        <f t="shared" ref="AX18" si="70">+AT18+AV18</f>
        <v>2309498</v>
      </c>
      <c r="AY18" s="2831">
        <f>232.830188679245*1000</f>
        <v>232830.18867924501</v>
      </c>
      <c r="AZ18" s="3051">
        <v>219427</v>
      </c>
      <c r="BA18" s="5020">
        <f t="shared" si="61"/>
        <v>680566.03773584892</v>
      </c>
      <c r="BB18" s="5020">
        <f t="shared" si="62"/>
        <v>651514</v>
      </c>
      <c r="BC18" s="5022">
        <f>AM18+BA18</f>
        <v>1366792.452830188</v>
      </c>
      <c r="BD18" s="5022">
        <f t="shared" si="63"/>
        <v>1284872</v>
      </c>
      <c r="BE18" s="5018">
        <f t="shared" si="64"/>
        <v>2620075.4716981109</v>
      </c>
      <c r="BF18" s="5018">
        <f t="shared" si="65"/>
        <v>2528925</v>
      </c>
      <c r="BG18" s="2939">
        <v>2499999.9999999981</v>
      </c>
      <c r="BH18" s="2939">
        <v>2422324.3024999998</v>
      </c>
      <c r="BI18" s="2939">
        <v>2451737.723004695</v>
      </c>
      <c r="BJ18" s="2939">
        <v>2227867</v>
      </c>
      <c r="BK18" s="2939">
        <v>2297163.5</v>
      </c>
      <c r="BL18" s="2939">
        <v>1847433</v>
      </c>
      <c r="BM18" s="2939">
        <v>2500000</v>
      </c>
      <c r="BN18" s="1369">
        <v>2083412</v>
      </c>
      <c r="BO18" s="26"/>
      <c r="BP18" s="26"/>
      <c r="BQ18" s="2062"/>
      <c r="BR18" s="2062"/>
      <c r="BS18" s="2062"/>
      <c r="BT18" s="2062"/>
    </row>
    <row r="19" spans="1:72" ht="16.5" customHeight="1" thickBot="1" x14ac:dyDescent="0.3">
      <c r="B19" s="3044" t="s">
        <v>525</v>
      </c>
      <c r="C19" s="3020" t="s">
        <v>477</v>
      </c>
      <c r="D19" s="3019">
        <f>D49/D1</f>
        <v>50.337665162307644</v>
      </c>
      <c r="E19" s="4823">
        <f>+E49/E1</f>
        <v>50.92170895684233</v>
      </c>
      <c r="F19" s="1665">
        <f>+F49/F1</f>
        <v>48.881355932203391</v>
      </c>
      <c r="G19" s="4823">
        <f t="shared" ref="G19:H19" si="71">+G49/G1</f>
        <v>49.257861635220124</v>
      </c>
      <c r="H19" s="1665">
        <f t="shared" si="71"/>
        <v>43.670295489891132</v>
      </c>
      <c r="I19" s="4823">
        <f t="shared" ref="I19:AD19" si="72">+I49/I1</f>
        <v>50.151409270906122</v>
      </c>
      <c r="J19" s="1665">
        <f t="shared" si="72"/>
        <v>46.401184307920055</v>
      </c>
      <c r="K19" s="4823">
        <f t="shared" si="72"/>
        <v>44.602841835546236</v>
      </c>
      <c r="L19" s="1665">
        <f t="shared" si="72"/>
        <v>50.671163575042158</v>
      </c>
      <c r="M19" s="4824">
        <f t="shared" si="72"/>
        <v>48.301886792452834</v>
      </c>
      <c r="N19" s="4825">
        <f t="shared" si="72"/>
        <v>47.703703703703702</v>
      </c>
      <c r="O19" s="4823">
        <f t="shared" ref="O19:P19" si="73">+O49/O1</f>
        <v>49.853249475890983</v>
      </c>
      <c r="P19" s="1665">
        <f t="shared" si="73"/>
        <v>50.393442622950822</v>
      </c>
      <c r="Q19" s="4823">
        <f t="shared" si="72"/>
        <v>48.721174004192868</v>
      </c>
      <c r="R19" s="1665">
        <f t="shared" si="72"/>
        <v>48.439461883408072</v>
      </c>
      <c r="S19" s="4823">
        <f t="shared" si="72"/>
        <v>49.853249475890983</v>
      </c>
      <c r="T19" s="1665">
        <f t="shared" si="72"/>
        <v>48.161290322580648</v>
      </c>
      <c r="U19" s="4823">
        <f t="shared" ref="U19:X19" si="74">+U49/U1</f>
        <v>48.962041125830773</v>
      </c>
      <c r="V19" s="1665">
        <f t="shared" si="74"/>
        <v>48.378947368421052</v>
      </c>
      <c r="W19" s="3011">
        <f t="shared" si="74"/>
        <v>50.054218173931901</v>
      </c>
      <c r="X19" s="2942">
        <f t="shared" si="74"/>
        <v>49.194729136163986</v>
      </c>
      <c r="Y19" s="2942">
        <f t="shared" si="72"/>
        <v>49.918733658398693</v>
      </c>
      <c r="Z19" s="2942">
        <f t="shared" si="72"/>
        <v>49.245020842982868</v>
      </c>
      <c r="AA19" s="2942">
        <f t="shared" si="72"/>
        <v>49.148353681095081</v>
      </c>
      <c r="AB19" s="2942">
        <f t="shared" si="72"/>
        <v>48.514745308310992</v>
      </c>
      <c r="AC19" s="4823">
        <f t="shared" si="72"/>
        <v>51.320754716981128</v>
      </c>
      <c r="AD19" s="1665">
        <f t="shared" si="72"/>
        <v>48.852459016393439</v>
      </c>
      <c r="AE19" s="4823">
        <f t="shared" ref="AE19:AH19" si="75">+AE49/AE1</f>
        <v>49.474213836477986</v>
      </c>
      <c r="AF19" s="1665">
        <f t="shared" si="75"/>
        <v>48.565873836608063</v>
      </c>
      <c r="AG19" s="4823">
        <f t="shared" si="75"/>
        <v>51.355454348297549</v>
      </c>
      <c r="AH19" s="1665">
        <f t="shared" si="75"/>
        <v>43.620689655172413</v>
      </c>
      <c r="AI19" s="4823">
        <f t="shared" ref="AI19:AN19" si="76">+AI49/AI1</f>
        <v>49.712449534481337</v>
      </c>
      <c r="AJ19" s="1665">
        <f t="shared" si="76"/>
        <v>47.943590670764777</v>
      </c>
      <c r="AK19" s="3011">
        <f t="shared" si="76"/>
        <v>51.530398322851156</v>
      </c>
      <c r="AL19" s="2942">
        <f t="shared" si="76"/>
        <v>47.115961800818553</v>
      </c>
      <c r="AM19" s="2942">
        <f t="shared" si="76"/>
        <v>51.402727722422448</v>
      </c>
      <c r="AN19" s="2942">
        <f t="shared" si="76"/>
        <v>46.578435909301248</v>
      </c>
      <c r="AO19" s="4823">
        <f t="shared" ref="AO19:AT19" si="77">+AO49/AO1</f>
        <v>49.923022753211427</v>
      </c>
      <c r="AP19" s="1665">
        <f t="shared" si="77"/>
        <v>47.846743295019159</v>
      </c>
      <c r="AQ19" s="4823">
        <f t="shared" si="77"/>
        <v>51.530398322851156</v>
      </c>
      <c r="AR19" s="1665">
        <f t="shared" si="77"/>
        <v>48.4</v>
      </c>
      <c r="AS19" s="4823">
        <f t="shared" si="77"/>
        <v>50.089878348675761</v>
      </c>
      <c r="AT19" s="1665">
        <f t="shared" si="77"/>
        <v>47.903780068728523</v>
      </c>
      <c r="AU19" s="4823">
        <f t="shared" ref="AU19:BF19" si="78">+AU49/AU1</f>
        <v>51.392632524707999</v>
      </c>
      <c r="AV19" s="1665">
        <f t="shared" si="78"/>
        <v>49.275862068965516</v>
      </c>
      <c r="AW19" s="4823">
        <f t="shared" si="78"/>
        <v>50.204948118167565</v>
      </c>
      <c r="AX19" s="1665">
        <f t="shared" si="78"/>
        <v>48.028125000000003</v>
      </c>
      <c r="AY19" s="4823">
        <f t="shared" ref="AY19:AZ19" si="79">+AY49/AY1</f>
        <v>51.740041928721176</v>
      </c>
      <c r="AZ19" s="1665">
        <f t="shared" si="79"/>
        <v>49.229047152651468</v>
      </c>
      <c r="BA19" s="2942">
        <f t="shared" si="78"/>
        <v>51.558033161806748</v>
      </c>
      <c r="BB19" s="2942">
        <f t="shared" si="78"/>
        <v>48.96419017224386</v>
      </c>
      <c r="BC19" s="2942">
        <f t="shared" si="78"/>
        <v>51.47994172618413</v>
      </c>
      <c r="BD19" s="2942">
        <f t="shared" si="78"/>
        <v>47.762891162010391</v>
      </c>
      <c r="BE19" s="4823">
        <f t="shared" si="78"/>
        <v>50.337665162307644</v>
      </c>
      <c r="BF19" s="1665">
        <f t="shared" si="78"/>
        <v>48.13036797026696</v>
      </c>
      <c r="BG19" s="1418">
        <v>46.816479400749067</v>
      </c>
      <c r="BH19" s="1418">
        <v>45.269662921348313</v>
      </c>
      <c r="BI19" s="1418">
        <v>44.780041074452797</v>
      </c>
      <c r="BJ19" s="1418">
        <v>40.065753424657537</v>
      </c>
      <c r="BK19" s="1418">
        <v>41.920045662100456</v>
      </c>
      <c r="BL19" s="1418">
        <v>33.30958904109589</v>
      </c>
      <c r="BM19" s="1418">
        <v>47.014645250053974</v>
      </c>
      <c r="BN19" s="3074">
        <v>38.66393442622951</v>
      </c>
      <c r="BO19" s="26"/>
      <c r="BP19" s="26"/>
      <c r="BQ19" s="2062"/>
      <c r="BR19" s="2062"/>
      <c r="BS19" s="2062"/>
      <c r="BT19" s="2062"/>
    </row>
    <row r="20" spans="1:72" ht="15" customHeight="1" x14ac:dyDescent="0.25">
      <c r="A20" s="183"/>
      <c r="B20" s="3028" t="s">
        <v>242</v>
      </c>
      <c r="C20" s="3077"/>
      <c r="D20" s="4803"/>
      <c r="E20" s="4803"/>
      <c r="F20" s="4803"/>
      <c r="G20" s="4803"/>
      <c r="H20" s="4803"/>
      <c r="I20" s="4803"/>
      <c r="J20" s="4803"/>
      <c r="K20" s="4803"/>
      <c r="L20" s="4803"/>
      <c r="M20" s="4803"/>
      <c r="N20" s="4803"/>
      <c r="O20" s="4803"/>
      <c r="P20" s="4803"/>
      <c r="Q20" s="4803"/>
      <c r="R20" s="4803"/>
      <c r="S20" s="4803"/>
      <c r="T20" s="4803"/>
      <c r="U20" s="4803"/>
      <c r="V20" s="4803"/>
      <c r="W20" s="4803"/>
      <c r="X20" s="4803"/>
      <c r="Y20" s="4803"/>
      <c r="Z20" s="4803"/>
      <c r="AA20" s="4803"/>
      <c r="AB20" s="4803"/>
      <c r="AC20" s="4803"/>
      <c r="AD20" s="4803"/>
      <c r="AE20" s="4803"/>
      <c r="AF20" s="4803"/>
      <c r="AG20" s="4803"/>
      <c r="AH20" s="4803"/>
      <c r="AI20" s="4803"/>
      <c r="AJ20" s="4803"/>
      <c r="AK20" s="4803"/>
      <c r="AL20" s="4803"/>
      <c r="AM20" s="4803"/>
      <c r="AN20" s="4803"/>
      <c r="AO20" s="4803"/>
      <c r="AP20" s="4803"/>
      <c r="AQ20" s="4803"/>
      <c r="AR20" s="4803"/>
      <c r="AS20" s="4803"/>
      <c r="AT20" s="4803"/>
      <c r="AU20" s="4803"/>
      <c r="AV20" s="4803"/>
      <c r="AW20" s="4803"/>
      <c r="AX20" s="4803"/>
      <c r="AY20" s="4803"/>
      <c r="AZ20" s="4803"/>
      <c r="BA20" s="4803"/>
      <c r="BB20" s="4803"/>
      <c r="BC20" s="4803"/>
      <c r="BD20" s="4803"/>
      <c r="BE20" s="4803"/>
      <c r="BF20" s="4803"/>
      <c r="BG20" s="3077"/>
      <c r="BH20" s="3077"/>
      <c r="BI20" s="3077"/>
      <c r="BJ20" s="3077"/>
      <c r="BK20" s="3077"/>
      <c r="BL20" s="3077"/>
      <c r="BM20" s="3077"/>
      <c r="BN20" s="3078"/>
      <c r="BO20" s="26"/>
      <c r="BP20" s="26"/>
      <c r="BQ20" s="2062"/>
      <c r="BR20" s="2062"/>
      <c r="BS20" s="2062"/>
      <c r="BT20" s="2062"/>
    </row>
    <row r="21" spans="1:72" ht="15" customHeight="1" x14ac:dyDescent="0.25">
      <c r="B21" s="3037" t="s">
        <v>22</v>
      </c>
      <c r="C21" s="3006" t="s">
        <v>52</v>
      </c>
      <c r="D21" s="4774">
        <v>19561</v>
      </c>
      <c r="E21" s="4769">
        <v>1160.8961303462322</v>
      </c>
      <c r="F21" s="18">
        <v>302.99610000000001</v>
      </c>
      <c r="G21" s="4769">
        <f>1.16089613034623*1000</f>
        <v>1160.8961303462299</v>
      </c>
      <c r="H21" s="18">
        <v>888.95550000000003</v>
      </c>
      <c r="I21" s="4768">
        <f t="shared" ref="I21:J23" si="80">+E21+G21</f>
        <v>2321.7922606924622</v>
      </c>
      <c r="J21" s="53">
        <f t="shared" si="80"/>
        <v>1191.9516000000001</v>
      </c>
      <c r="K21" s="4769">
        <f>6.79124236252546*1000</f>
        <v>6791.2423625254596</v>
      </c>
      <c r="L21" s="18">
        <v>5386.3191000000006</v>
      </c>
      <c r="M21" s="4772">
        <f t="shared" ref="M21:N23" si="81">+E21+G21+K21</f>
        <v>9113.0346232179218</v>
      </c>
      <c r="N21" s="98">
        <f t="shared" si="81"/>
        <v>6578.2707000000009</v>
      </c>
      <c r="O21" s="4769">
        <f>1.16089613034623*1000</f>
        <v>1160.8961303462299</v>
      </c>
      <c r="P21" s="18">
        <v>151.08070000000001</v>
      </c>
      <c r="Q21" s="4768">
        <f t="shared" ref="Q21:R23" si="82">+M21+O21</f>
        <v>10273.930753564151</v>
      </c>
      <c r="R21" s="53">
        <f t="shared" si="82"/>
        <v>6729.3514000000014</v>
      </c>
      <c r="S21" s="4769">
        <v>1160.8961303462322</v>
      </c>
      <c r="T21" s="18">
        <v>0</v>
      </c>
      <c r="U21" s="4768">
        <f t="shared" ref="U21:U23" si="83">+Q21+S21</f>
        <v>11434.826883910384</v>
      </c>
      <c r="V21" s="53">
        <f t="shared" ref="V21:V23" si="84">+R21+T21</f>
        <v>6729.3514000000014</v>
      </c>
      <c r="W21" s="4770">
        <v>1160.8961303462322</v>
      </c>
      <c r="X21" s="3616">
        <v>0</v>
      </c>
      <c r="Y21" s="4771">
        <f t="shared" ref="Y21:Z23" si="85">+O21+S21+W21</f>
        <v>3482.6883910386941</v>
      </c>
      <c r="Z21" s="4771">
        <f t="shared" si="85"/>
        <v>151.08070000000001</v>
      </c>
      <c r="AA21" s="4773">
        <f t="shared" ref="AA21:AB23" si="86">+M21+Y21</f>
        <v>12595.723014256615</v>
      </c>
      <c r="AB21" s="4773">
        <f t="shared" si="86"/>
        <v>6729.3514000000014</v>
      </c>
      <c r="AC21" s="4769">
        <v>1160.8961303462299</v>
      </c>
      <c r="AD21" s="18">
        <v>0</v>
      </c>
      <c r="AE21" s="4768">
        <f t="shared" ref="AE21:AE23" si="87">+AA21+AC21</f>
        <v>13756.619144602844</v>
      </c>
      <c r="AF21" s="53">
        <f t="shared" ref="AF21:AF23" si="88">+AB21+AD21</f>
        <v>6729.3514000000014</v>
      </c>
      <c r="AG21" s="4769">
        <v>1160.8961303462322</v>
      </c>
      <c r="AH21" s="18">
        <v>397.31719999999996</v>
      </c>
      <c r="AI21" s="4768">
        <f t="shared" ref="AI21:AI23" si="89">+AE21+AG21</f>
        <v>14917.515274949077</v>
      </c>
      <c r="AJ21" s="53">
        <f t="shared" ref="AJ21:AJ23" si="90">+AF21+AH21</f>
        <v>7126.6686000000009</v>
      </c>
      <c r="AK21" s="4770">
        <f>1.16089613034623*1000</f>
        <v>1160.8961303462299</v>
      </c>
      <c r="AL21" s="3616">
        <v>145.23779999999999</v>
      </c>
      <c r="AM21" s="4771">
        <f t="shared" ref="AM21:AM23" si="91">+AC21+AG21+AK21</f>
        <v>3482.6883910386923</v>
      </c>
      <c r="AN21" s="4771">
        <f t="shared" ref="AN21:AN23" si="92">+AD21+AH21+AL21</f>
        <v>542.55499999999995</v>
      </c>
      <c r="AO21" s="4768">
        <f>AI21+AK21</f>
        <v>16078.411405295306</v>
      </c>
      <c r="AP21" s="4768">
        <f>AJ21+AL21</f>
        <v>7271.9064000000008</v>
      </c>
      <c r="AQ21" s="4769">
        <v>1160.8961303462299</v>
      </c>
      <c r="AR21" s="18">
        <v>0</v>
      </c>
      <c r="AS21" s="4768">
        <f t="shared" ref="AS21:AS23" si="93">+AO21+AQ21</f>
        <v>17239.307535641536</v>
      </c>
      <c r="AT21" s="53">
        <f t="shared" ref="AT21:AT23" si="94">+AP21+AR21</f>
        <v>7271.9064000000008</v>
      </c>
      <c r="AU21" s="4769">
        <v>1160.8961303462299</v>
      </c>
      <c r="AV21" s="18">
        <v>0</v>
      </c>
      <c r="AW21" s="4768">
        <f t="shared" ref="AW21:AW23" si="95">+AS21+AU21</f>
        <v>18400.203665987767</v>
      </c>
      <c r="AX21" s="53">
        <f t="shared" ref="AX21:AX23" si="96">+AT21+AV21</f>
        <v>7271.9064000000008</v>
      </c>
      <c r="AY21" s="5019">
        <f>1.16089613034623*1000</f>
        <v>1160.8961303462299</v>
      </c>
      <c r="AZ21" s="18">
        <v>276.36916999999994</v>
      </c>
      <c r="BA21" s="5020">
        <f t="shared" ref="BA21:BA23" si="97">+AQ21+AU21+AY21</f>
        <v>3482.6883910386896</v>
      </c>
      <c r="BB21" s="5020">
        <f t="shared" ref="BB21:BB23" si="98">+AR21+AV21+AZ21</f>
        <v>276.36916999999994</v>
      </c>
      <c r="BC21" s="5022">
        <f t="shared" ref="BC21:BD23" si="99">AM21+BA21</f>
        <v>6965.3767820773819</v>
      </c>
      <c r="BD21" s="5022">
        <f t="shared" si="99"/>
        <v>818.92416999999989</v>
      </c>
      <c r="BE21" s="5018">
        <f>AW21+AY21</f>
        <v>19561.099796333998</v>
      </c>
      <c r="BF21" s="5018">
        <f>AX21+AZ21</f>
        <v>7548.2755700000007</v>
      </c>
      <c r="BG21" s="2939">
        <v>16929.735234215885</v>
      </c>
      <c r="BH21" s="2939">
        <v>9129.3344199999992</v>
      </c>
      <c r="BI21" s="2939">
        <v>19735.515274949088</v>
      </c>
      <c r="BJ21" s="2939">
        <v>22361.07245</v>
      </c>
      <c r="BK21" s="2939">
        <v>20755.018447889259</v>
      </c>
      <c r="BL21" s="2939">
        <v>58220.700000000004</v>
      </c>
      <c r="BM21" s="2939">
        <v>29957.855711422799</v>
      </c>
      <c r="BN21" s="1369">
        <v>134629.17781999998</v>
      </c>
      <c r="BO21" s="26"/>
      <c r="BP21" s="26"/>
      <c r="BQ21" s="2062"/>
      <c r="BR21" s="2062"/>
      <c r="BS21" s="2062"/>
      <c r="BT21" s="2062"/>
    </row>
    <row r="22" spans="1:72" ht="15" customHeight="1" x14ac:dyDescent="0.25">
      <c r="A22">
        <v>1000</v>
      </c>
      <c r="B22" s="3037" t="s">
        <v>116</v>
      </c>
      <c r="C22" s="3006" t="s">
        <v>52</v>
      </c>
      <c r="D22" s="4774">
        <v>0</v>
      </c>
      <c r="E22" s="4769">
        <v>0</v>
      </c>
      <c r="F22" s="18">
        <v>42.775919999999992</v>
      </c>
      <c r="G22" s="4769">
        <v>0</v>
      </c>
      <c r="H22" s="18">
        <v>125.4996</v>
      </c>
      <c r="I22" s="4768">
        <f t="shared" si="80"/>
        <v>0</v>
      </c>
      <c r="J22" s="53">
        <f t="shared" si="80"/>
        <v>168.27552</v>
      </c>
      <c r="K22" s="4769">
        <v>0</v>
      </c>
      <c r="L22" s="18">
        <v>760.42151999999999</v>
      </c>
      <c r="M22" s="4772">
        <f t="shared" si="81"/>
        <v>0</v>
      </c>
      <c r="N22" s="98">
        <f t="shared" si="81"/>
        <v>928.69704000000002</v>
      </c>
      <c r="O22" s="4769">
        <v>0</v>
      </c>
      <c r="P22" s="18">
        <v>21.329039999999999</v>
      </c>
      <c r="Q22" s="4768">
        <f t="shared" si="82"/>
        <v>0</v>
      </c>
      <c r="R22" s="53">
        <f t="shared" si="82"/>
        <v>950.02607999999998</v>
      </c>
      <c r="S22" s="4769">
        <v>0</v>
      </c>
      <c r="T22" s="18">
        <v>0</v>
      </c>
      <c r="U22" s="4768">
        <f t="shared" si="83"/>
        <v>0</v>
      </c>
      <c r="V22" s="53">
        <f t="shared" si="84"/>
        <v>950.02607999999998</v>
      </c>
      <c r="W22" s="4770">
        <v>0</v>
      </c>
      <c r="X22" s="3616">
        <v>0</v>
      </c>
      <c r="Y22" s="4771">
        <f t="shared" si="85"/>
        <v>0</v>
      </c>
      <c r="Z22" s="4771">
        <f t="shared" si="85"/>
        <v>21.329039999999999</v>
      </c>
      <c r="AA22" s="4773">
        <f t="shared" si="86"/>
        <v>0</v>
      </c>
      <c r="AB22" s="4773">
        <f t="shared" si="86"/>
        <v>950.02607999999998</v>
      </c>
      <c r="AC22" s="4769">
        <v>0</v>
      </c>
      <c r="AD22" s="18">
        <v>0</v>
      </c>
      <c r="AE22" s="4768">
        <f t="shared" si="87"/>
        <v>0</v>
      </c>
      <c r="AF22" s="53">
        <f t="shared" si="88"/>
        <v>950.02607999999998</v>
      </c>
      <c r="AG22" s="4769">
        <v>0</v>
      </c>
      <c r="AH22" s="18">
        <v>56.091839999999998</v>
      </c>
      <c r="AI22" s="4768">
        <f t="shared" si="89"/>
        <v>0</v>
      </c>
      <c r="AJ22" s="53">
        <f t="shared" si="90"/>
        <v>1006.11792</v>
      </c>
      <c r="AK22" s="4770">
        <v>0</v>
      </c>
      <c r="AL22" s="3616">
        <v>20.504159999999999</v>
      </c>
      <c r="AM22" s="4771">
        <f t="shared" si="91"/>
        <v>0</v>
      </c>
      <c r="AN22" s="4771">
        <f t="shared" si="92"/>
        <v>76.596000000000004</v>
      </c>
      <c r="AO22" s="4768">
        <f t="shared" ref="AO22:AP25" si="100">AI22+AK22</f>
        <v>0</v>
      </c>
      <c r="AP22" s="4768">
        <f t="shared" ref="AP22:AP23" si="101">AJ22+AL22</f>
        <v>1026.6220800000001</v>
      </c>
      <c r="AQ22" s="4769">
        <v>0</v>
      </c>
      <c r="AR22" s="18">
        <v>0</v>
      </c>
      <c r="AS22" s="4768">
        <f t="shared" si="93"/>
        <v>0</v>
      </c>
      <c r="AT22" s="53">
        <f t="shared" si="94"/>
        <v>1026.6220800000001</v>
      </c>
      <c r="AU22" s="4769">
        <v>0</v>
      </c>
      <c r="AV22" s="18">
        <v>0</v>
      </c>
      <c r="AW22" s="4768">
        <f t="shared" si="95"/>
        <v>0</v>
      </c>
      <c r="AX22" s="53">
        <f t="shared" si="96"/>
        <v>1026.6220800000001</v>
      </c>
      <c r="AY22" s="5019">
        <v>0</v>
      </c>
      <c r="AZ22" s="18">
        <v>0</v>
      </c>
      <c r="BA22" s="5020">
        <f t="shared" si="97"/>
        <v>0</v>
      </c>
      <c r="BB22" s="5020">
        <f t="shared" si="98"/>
        <v>0</v>
      </c>
      <c r="BC22" s="5022">
        <f t="shared" si="99"/>
        <v>0</v>
      </c>
      <c r="BD22" s="5022">
        <f t="shared" si="99"/>
        <v>76.596000000000004</v>
      </c>
      <c r="BE22" s="5018">
        <f t="shared" ref="BE22:BE23" si="102">AW22+AY22</f>
        <v>0</v>
      </c>
      <c r="BF22" s="5018">
        <f t="shared" ref="BF22:BF23" si="103">AX22+AZ22</f>
        <v>1026.6220800000001</v>
      </c>
      <c r="BG22" s="2939">
        <v>0</v>
      </c>
      <c r="BH22" s="2939">
        <v>2541.6495199999999</v>
      </c>
      <c r="BI22" s="2939">
        <v>0</v>
      </c>
      <c r="BJ22" s="2939">
        <v>2774.7649000000001</v>
      </c>
      <c r="BK22" s="2939">
        <v>392</v>
      </c>
      <c r="BL22" s="2939">
        <v>3852.3</v>
      </c>
      <c r="BM22" s="2939">
        <v>1419.0563231726583</v>
      </c>
      <c r="BN22" s="1369">
        <v>8272.9782799999994</v>
      </c>
      <c r="BO22" s="26"/>
      <c r="BP22" s="26"/>
      <c r="BQ22" s="2062"/>
      <c r="BR22" s="2062"/>
      <c r="BS22" s="2062"/>
      <c r="BT22" s="2062"/>
    </row>
    <row r="23" spans="1:72" ht="30" x14ac:dyDescent="0.25">
      <c r="B23" s="3045" t="s">
        <v>240</v>
      </c>
      <c r="C23" s="3006" t="s">
        <v>52</v>
      </c>
      <c r="D23" s="4774">
        <v>2000</v>
      </c>
      <c r="E23" s="1693">
        <v>0</v>
      </c>
      <c r="F23" s="18">
        <v>0</v>
      </c>
      <c r="G23" s="1693">
        <v>0</v>
      </c>
      <c r="H23" s="18">
        <v>0</v>
      </c>
      <c r="I23" s="4768">
        <f t="shared" si="80"/>
        <v>0</v>
      </c>
      <c r="J23" s="53">
        <f t="shared" si="80"/>
        <v>0</v>
      </c>
      <c r="K23" s="1693">
        <v>2000</v>
      </c>
      <c r="L23" s="217">
        <v>5022</v>
      </c>
      <c r="M23" s="4772">
        <f t="shared" si="81"/>
        <v>2000</v>
      </c>
      <c r="N23" s="98">
        <f t="shared" si="81"/>
        <v>5022</v>
      </c>
      <c r="O23" s="1693">
        <v>0</v>
      </c>
      <c r="P23" s="217">
        <v>0</v>
      </c>
      <c r="Q23" s="4768">
        <f t="shared" si="82"/>
        <v>2000</v>
      </c>
      <c r="R23" s="53">
        <f t="shared" si="82"/>
        <v>5022</v>
      </c>
      <c r="S23" s="1693">
        <v>0</v>
      </c>
      <c r="T23" s="217">
        <v>0</v>
      </c>
      <c r="U23" s="4768">
        <f t="shared" si="83"/>
        <v>2000</v>
      </c>
      <c r="V23" s="53">
        <f t="shared" si="84"/>
        <v>5022</v>
      </c>
      <c r="W23" s="4770">
        <v>0</v>
      </c>
      <c r="X23" s="3616">
        <v>0</v>
      </c>
      <c r="Y23" s="4771">
        <f t="shared" si="85"/>
        <v>0</v>
      </c>
      <c r="Z23" s="4771">
        <f t="shared" si="85"/>
        <v>0</v>
      </c>
      <c r="AA23" s="4773">
        <f t="shared" si="86"/>
        <v>2000</v>
      </c>
      <c r="AB23" s="4773">
        <f t="shared" si="86"/>
        <v>5022</v>
      </c>
      <c r="AC23" s="1693">
        <v>0</v>
      </c>
      <c r="AD23" s="18">
        <v>0</v>
      </c>
      <c r="AE23" s="4768">
        <f t="shared" si="87"/>
        <v>2000</v>
      </c>
      <c r="AF23" s="53">
        <f t="shared" si="88"/>
        <v>5022</v>
      </c>
      <c r="AG23" s="1693">
        <v>0</v>
      </c>
      <c r="AH23" s="18">
        <v>0</v>
      </c>
      <c r="AI23" s="4768">
        <f t="shared" si="89"/>
        <v>2000</v>
      </c>
      <c r="AJ23" s="53">
        <f t="shared" si="90"/>
        <v>5022</v>
      </c>
      <c r="AK23" s="4770">
        <v>0</v>
      </c>
      <c r="AL23" s="3616">
        <v>0</v>
      </c>
      <c r="AM23" s="4771">
        <f t="shared" si="91"/>
        <v>0</v>
      </c>
      <c r="AN23" s="4771">
        <f t="shared" si="92"/>
        <v>0</v>
      </c>
      <c r="AO23" s="4768">
        <f t="shared" si="100"/>
        <v>2000</v>
      </c>
      <c r="AP23" s="4768">
        <f t="shared" si="101"/>
        <v>5022</v>
      </c>
      <c r="AQ23" s="1693">
        <v>0</v>
      </c>
      <c r="AR23" s="18">
        <v>0</v>
      </c>
      <c r="AS23" s="4768">
        <f t="shared" si="93"/>
        <v>2000</v>
      </c>
      <c r="AT23" s="53">
        <f t="shared" si="94"/>
        <v>5022</v>
      </c>
      <c r="AU23" s="1693">
        <v>0</v>
      </c>
      <c r="AV23" s="18">
        <v>0</v>
      </c>
      <c r="AW23" s="4768">
        <f t="shared" si="95"/>
        <v>2000</v>
      </c>
      <c r="AX23" s="53">
        <f t="shared" si="96"/>
        <v>5022</v>
      </c>
      <c r="AY23" s="1693">
        <v>0</v>
      </c>
      <c r="AZ23" s="18">
        <v>0</v>
      </c>
      <c r="BA23" s="5020">
        <f t="shared" si="97"/>
        <v>0</v>
      </c>
      <c r="BB23" s="5020">
        <f t="shared" si="98"/>
        <v>0</v>
      </c>
      <c r="BC23" s="5022">
        <f t="shared" si="99"/>
        <v>0</v>
      </c>
      <c r="BD23" s="5022">
        <f t="shared" si="99"/>
        <v>0</v>
      </c>
      <c r="BE23" s="5018">
        <f t="shared" si="102"/>
        <v>2000</v>
      </c>
      <c r="BF23" s="5018">
        <f t="shared" si="103"/>
        <v>5022</v>
      </c>
      <c r="BG23" s="2939">
        <v>6000</v>
      </c>
      <c r="BH23" s="2939">
        <v>4664.8</v>
      </c>
      <c r="BI23" s="2939">
        <v>14800</v>
      </c>
      <c r="BJ23" s="2939">
        <v>9214.4</v>
      </c>
      <c r="BK23" s="2939">
        <v>0</v>
      </c>
      <c r="BL23" s="2939">
        <v>0</v>
      </c>
      <c r="BM23" s="2939">
        <v>0</v>
      </c>
      <c r="BN23" s="1369">
        <v>26220.800000000003</v>
      </c>
      <c r="BO23" s="26"/>
      <c r="BP23" s="26"/>
      <c r="BQ23" s="2062"/>
      <c r="BR23" s="2062"/>
      <c r="BS23" s="2062"/>
      <c r="BT23" s="2062"/>
    </row>
    <row r="24" spans="1:72" ht="15" customHeight="1" thickBot="1" x14ac:dyDescent="0.3">
      <c r="B24" s="3046" t="s">
        <v>735</v>
      </c>
      <c r="C24" s="3021" t="s">
        <v>52</v>
      </c>
      <c r="D24" s="4826">
        <f>SUM(D21:D23)</f>
        <v>21561</v>
      </c>
      <c r="E24" s="2586">
        <f>SUM(E21:E23)</f>
        <v>1160.8961303462322</v>
      </c>
      <c r="F24" s="4827">
        <f>SUM(F21:F23)</f>
        <v>345.77202</v>
      </c>
      <c r="G24" s="2586">
        <f>SUM(G21:G23)</f>
        <v>1160.8961303462299</v>
      </c>
      <c r="H24" s="4827">
        <f>SUM(H21:H23)</f>
        <v>1014.4551</v>
      </c>
      <c r="I24" s="3057">
        <f t="shared" ref="I24:R24" si="104">SUM(I21:I23)</f>
        <v>2321.7922606924622</v>
      </c>
      <c r="J24" s="3023">
        <f t="shared" si="104"/>
        <v>1360.22712</v>
      </c>
      <c r="K24" s="2586">
        <f>SUM(K21:K23)</f>
        <v>8791.2423625254596</v>
      </c>
      <c r="L24" s="4827">
        <f>SUM(L21:L23)</f>
        <v>11168.74062</v>
      </c>
      <c r="M24" s="3067">
        <f t="shared" si="104"/>
        <v>11113.034623217922</v>
      </c>
      <c r="N24" s="3068">
        <f t="shared" si="104"/>
        <v>12528.96774</v>
      </c>
      <c r="O24" s="2586">
        <f>SUM(O21:O23)</f>
        <v>1160.8961303462299</v>
      </c>
      <c r="P24" s="4827">
        <f>SUM(P21:P23)</f>
        <v>172.40974</v>
      </c>
      <c r="Q24" s="3057">
        <f t="shared" si="104"/>
        <v>12273.930753564151</v>
      </c>
      <c r="R24" s="3023">
        <f t="shared" si="104"/>
        <v>12701.377480000001</v>
      </c>
      <c r="S24" s="2586">
        <f>SUM(S21:S23)</f>
        <v>1160.8961303462322</v>
      </c>
      <c r="T24" s="4827">
        <f>SUM(T21:T23)</f>
        <v>0</v>
      </c>
      <c r="U24" s="3057">
        <f t="shared" ref="U24:V24" si="105">SUM(U21:U23)</f>
        <v>13434.826883910384</v>
      </c>
      <c r="V24" s="3023">
        <f t="shared" si="105"/>
        <v>12701.377480000001</v>
      </c>
      <c r="W24" s="3011">
        <f>SUM(W21:W23)</f>
        <v>1160.8961303462322</v>
      </c>
      <c r="X24" s="2942">
        <f>SUM(X21:X23)</f>
        <v>0</v>
      </c>
      <c r="Y24" s="454">
        <f t="shared" ref="Y24:Z24" si="106">SUM(Y21:Y23)</f>
        <v>3482.6883910386941</v>
      </c>
      <c r="Z24" s="454">
        <f t="shared" si="106"/>
        <v>172.40974</v>
      </c>
      <c r="AA24" s="660">
        <f t="shared" ref="AA24:AB24" si="107">SUM(AA21:AA23)</f>
        <v>14595.723014256615</v>
      </c>
      <c r="AB24" s="660">
        <f t="shared" si="107"/>
        <v>12701.377480000001</v>
      </c>
      <c r="AC24" s="2586">
        <f>SUM(AC21:AC23)</f>
        <v>1160.8961303462299</v>
      </c>
      <c r="AD24" s="4827">
        <f>SUM(AD21:AD23)</f>
        <v>0</v>
      </c>
      <c r="AE24" s="3057">
        <f t="shared" ref="AE24:AF24" si="108">SUM(AE21:AE23)</f>
        <v>15756.619144602844</v>
      </c>
      <c r="AF24" s="3023">
        <f t="shared" si="108"/>
        <v>12701.377480000001</v>
      </c>
      <c r="AG24" s="2586">
        <f>SUM(AG21:AG23)</f>
        <v>1160.8961303462322</v>
      </c>
      <c r="AH24" s="4827">
        <f>SUM(AH21:AH23)</f>
        <v>453.40903999999995</v>
      </c>
      <c r="AI24" s="3057">
        <f t="shared" ref="AI24:AJ24" si="109">SUM(AI21:AI23)</f>
        <v>16917.515274949077</v>
      </c>
      <c r="AJ24" s="3023">
        <f t="shared" si="109"/>
        <v>13154.786520000001</v>
      </c>
      <c r="AK24" s="3011">
        <f>SUM(AK21:AK23)</f>
        <v>1160.8961303462299</v>
      </c>
      <c r="AL24" s="2942">
        <f>SUM(AL21:AL23)</f>
        <v>165.74196000000001</v>
      </c>
      <c r="AM24" s="454">
        <f t="shared" ref="AM24:AP24" si="110">SUM(AM21:AM23)</f>
        <v>3482.6883910386923</v>
      </c>
      <c r="AN24" s="454">
        <f t="shared" si="110"/>
        <v>619.15099999999995</v>
      </c>
      <c r="AO24" s="3057">
        <f t="shared" si="110"/>
        <v>18078.411405295308</v>
      </c>
      <c r="AP24" s="3023">
        <f t="shared" si="110"/>
        <v>13320.528480000001</v>
      </c>
      <c r="AQ24" s="2586">
        <f>SUM(AQ21:AQ23)</f>
        <v>1160.8961303462299</v>
      </c>
      <c r="AR24" s="4827">
        <f>SUM(AR21:AR23)</f>
        <v>0</v>
      </c>
      <c r="AS24" s="3057">
        <f t="shared" ref="AS24:AT24" si="111">SUM(AS21:AS23)</f>
        <v>19239.307535641536</v>
      </c>
      <c r="AT24" s="3023">
        <f t="shared" si="111"/>
        <v>13320.528480000001</v>
      </c>
      <c r="AU24" s="2586">
        <f>SUM(AU21:AU23)</f>
        <v>1160.8961303462299</v>
      </c>
      <c r="AV24" s="4827">
        <f>SUM(AV21:AV23)</f>
        <v>0</v>
      </c>
      <c r="AW24" s="3057">
        <f t="shared" ref="AW24:AX24" si="112">SUM(AW21:AW23)</f>
        <v>20400.203665987767</v>
      </c>
      <c r="AX24" s="3023">
        <f t="shared" si="112"/>
        <v>13320.528480000001</v>
      </c>
      <c r="AY24" s="2586">
        <f>SUM(AY21:AY23)</f>
        <v>1160.8961303462299</v>
      </c>
      <c r="AZ24" s="4827">
        <f>SUM(AZ21:AZ23)</f>
        <v>276.36916999999994</v>
      </c>
      <c r="BA24" s="454">
        <f t="shared" ref="BA24:BF24" si="113">SUM(BA21:BA23)</f>
        <v>3482.6883910386896</v>
      </c>
      <c r="BB24" s="454">
        <f t="shared" si="113"/>
        <v>276.36916999999994</v>
      </c>
      <c r="BC24" s="660">
        <f t="shared" si="113"/>
        <v>6965.3767820773819</v>
      </c>
      <c r="BD24" s="660">
        <f t="shared" si="113"/>
        <v>895.52016999999989</v>
      </c>
      <c r="BE24" s="3057">
        <f t="shared" si="113"/>
        <v>21561.099796333998</v>
      </c>
      <c r="BF24" s="3023">
        <f t="shared" si="113"/>
        <v>13596.897650000001</v>
      </c>
      <c r="BG24" s="1419">
        <v>22929.735234215885</v>
      </c>
      <c r="BH24" s="1419">
        <v>16335.783939999998</v>
      </c>
      <c r="BI24" s="1419">
        <v>34535.515274949088</v>
      </c>
      <c r="BJ24" s="1419">
        <v>34350.237350000003</v>
      </c>
      <c r="BK24" s="1419">
        <v>21147.018447889259</v>
      </c>
      <c r="BL24" s="1419">
        <v>62073.000000000007</v>
      </c>
      <c r="BM24" s="1419">
        <v>31376.912034595443</v>
      </c>
      <c r="BN24" s="3079">
        <v>169122.95610000001</v>
      </c>
      <c r="BO24" s="26"/>
      <c r="BP24" s="26"/>
      <c r="BQ24" s="2062"/>
      <c r="BR24" s="2062"/>
      <c r="BS24" s="2062"/>
      <c r="BT24" s="2062"/>
    </row>
    <row r="25" spans="1:72" ht="15" customHeight="1" thickBot="1" x14ac:dyDescent="0.3">
      <c r="B25" s="3047" t="s">
        <v>731</v>
      </c>
      <c r="C25" s="3018" t="s">
        <v>52</v>
      </c>
      <c r="D25" s="4828">
        <v>2377.8720000000003</v>
      </c>
      <c r="E25" s="4823">
        <v>141.12</v>
      </c>
      <c r="F25" s="3053">
        <v>226.85599999999999</v>
      </c>
      <c r="G25" s="4823">
        <v>141.12</v>
      </c>
      <c r="H25" s="3053">
        <v>721</v>
      </c>
      <c r="I25" s="2833">
        <f>+E25+G25</f>
        <v>282.24</v>
      </c>
      <c r="J25" s="2834">
        <f>+F25+H25</f>
        <v>947.85599999999999</v>
      </c>
      <c r="K25" s="4823">
        <v>825.55200000000002</v>
      </c>
      <c r="L25" s="3053">
        <v>1000</v>
      </c>
      <c r="M25" s="2835">
        <f>+E25+G25+K25</f>
        <v>1107.7919999999999</v>
      </c>
      <c r="N25" s="3066">
        <f>+F25+H25+L25</f>
        <v>1947.856</v>
      </c>
      <c r="O25" s="4823">
        <v>141.12</v>
      </c>
      <c r="P25" s="3053">
        <v>1119.1599999999999</v>
      </c>
      <c r="Q25" s="2833">
        <f>+M25+O25</f>
        <v>1248.9119999999998</v>
      </c>
      <c r="R25" s="2834">
        <f>+N25+P25</f>
        <v>3067.0159999999996</v>
      </c>
      <c r="S25" s="4823">
        <v>141.12</v>
      </c>
      <c r="T25" s="3053">
        <v>1304.0999999999999</v>
      </c>
      <c r="U25" s="2833">
        <f>+Q25+S25</f>
        <v>1390.0319999999997</v>
      </c>
      <c r="V25" s="2834">
        <f>+R25+T25</f>
        <v>4371.116</v>
      </c>
      <c r="W25" s="4770">
        <v>141.12</v>
      </c>
      <c r="X25" s="3616">
        <v>670.20800000000008</v>
      </c>
      <c r="Y25" s="4771">
        <f>+O25+S25+W25</f>
        <v>423.36</v>
      </c>
      <c r="Z25" s="4771">
        <f>+P25+T25+X25</f>
        <v>3093.4679999999998</v>
      </c>
      <c r="AA25" s="4773">
        <f>+M25+Y25</f>
        <v>1531.152</v>
      </c>
      <c r="AB25" s="4773">
        <f>+N25+Z25</f>
        <v>5041.3239999999996</v>
      </c>
      <c r="AC25" s="4823">
        <v>141.12</v>
      </c>
      <c r="AD25" s="3053">
        <v>763.14700000000005</v>
      </c>
      <c r="AE25" s="2833">
        <f>+AA25+AC25</f>
        <v>1672.2719999999999</v>
      </c>
      <c r="AF25" s="2834">
        <f>+AB25+AD25</f>
        <v>5804.4709999999995</v>
      </c>
      <c r="AG25" s="4823">
        <v>141.12</v>
      </c>
      <c r="AH25" s="3053">
        <v>0</v>
      </c>
      <c r="AI25" s="2833">
        <f>+AE25+AG25</f>
        <v>1813.3919999999998</v>
      </c>
      <c r="AJ25" s="2834">
        <f>+AF25+AH25</f>
        <v>5804.4709999999995</v>
      </c>
      <c r="AK25" s="4770">
        <v>141.12</v>
      </c>
      <c r="AL25" s="3616">
        <v>0</v>
      </c>
      <c r="AM25" s="4771">
        <f>+AC25+AG25+AK25</f>
        <v>423.36</v>
      </c>
      <c r="AN25" s="4771">
        <f>+AD25+AH25+AL25</f>
        <v>763.14700000000005</v>
      </c>
      <c r="AO25" s="4768">
        <f t="shared" si="100"/>
        <v>1954.5119999999997</v>
      </c>
      <c r="AP25" s="4768">
        <f t="shared" si="100"/>
        <v>5804.4709999999995</v>
      </c>
      <c r="AQ25" s="4823">
        <v>141.12</v>
      </c>
      <c r="AR25" s="3053">
        <v>110.77500000000001</v>
      </c>
      <c r="AS25" s="2833">
        <f>+AO25+AQ25</f>
        <v>2095.6319999999996</v>
      </c>
      <c r="AT25" s="2834">
        <f>+AP25+AR25</f>
        <v>5915.2459999999992</v>
      </c>
      <c r="AU25" s="4823">
        <v>141.12</v>
      </c>
      <c r="AV25" s="3053">
        <v>0</v>
      </c>
      <c r="AW25" s="2833">
        <f>+AS25+AU25</f>
        <v>2236.7519999999995</v>
      </c>
      <c r="AX25" s="2834">
        <f>+AT25+AV25</f>
        <v>5915.2459999999992</v>
      </c>
      <c r="AY25" s="4823">
        <v>141.12</v>
      </c>
      <c r="AZ25" s="3053">
        <v>226.149</v>
      </c>
      <c r="BA25" s="5020">
        <f>+AQ25+AU25+AY25</f>
        <v>423.36</v>
      </c>
      <c r="BB25" s="5020">
        <f>+AR25+AV25+AZ25</f>
        <v>336.92399999999998</v>
      </c>
      <c r="BC25" s="5022">
        <f>AM25+BA25</f>
        <v>846.72</v>
      </c>
      <c r="BD25" s="5022">
        <f>AN25+BB25</f>
        <v>1100.0709999999999</v>
      </c>
      <c r="BE25" s="5018">
        <f t="shared" ref="BE25:BE26" si="114">AW25+AY25</f>
        <v>2377.8719999999994</v>
      </c>
      <c r="BF25" s="5018">
        <f t="shared" ref="BF25:BF26" si="115">AX25+AZ25</f>
        <v>6141.3949999999995</v>
      </c>
      <c r="BG25" s="2939">
        <v>2057.5999999999995</v>
      </c>
      <c r="BH25" s="2939">
        <v>5885.7340000000004</v>
      </c>
      <c r="BI25" s="2939">
        <v>2398.5599999999995</v>
      </c>
      <c r="BJ25" s="2939">
        <v>13377.679</v>
      </c>
      <c r="BK25" s="2939">
        <v>11568.989680591383</v>
      </c>
      <c r="BL25" s="2939">
        <v>41093.9</v>
      </c>
      <c r="BM25" s="2939">
        <v>0</v>
      </c>
      <c r="BN25" s="1369">
        <v>44255.19</v>
      </c>
      <c r="BO25" s="26"/>
      <c r="BP25" s="26"/>
      <c r="BQ25" s="2062"/>
      <c r="BR25" s="2062"/>
      <c r="BS25" s="2062"/>
      <c r="BT25" s="2062"/>
    </row>
    <row r="26" spans="1:72" ht="15" customHeight="1" thickBot="1" x14ac:dyDescent="0.3">
      <c r="B26" s="3048" t="s">
        <v>355</v>
      </c>
      <c r="C26" s="3018" t="s">
        <v>52</v>
      </c>
      <c r="D26" s="3019">
        <v>1063046.9968387776</v>
      </c>
      <c r="E26" s="2831">
        <v>89599.675447839822</v>
      </c>
      <c r="F26" s="3051">
        <v>104981.62791999998</v>
      </c>
      <c r="G26" s="2831">
        <v>74792.949420442572</v>
      </c>
      <c r="H26" s="3051">
        <v>89191.764783000006</v>
      </c>
      <c r="I26" s="2833">
        <f>+E26+G26</f>
        <v>164392.62486828241</v>
      </c>
      <c r="J26" s="2834">
        <f>+F26+H26</f>
        <v>194173.39270299999</v>
      </c>
      <c r="K26" s="2831">
        <v>76311.587987355102</v>
      </c>
      <c r="L26" s="3051">
        <v>82961.954182000016</v>
      </c>
      <c r="M26" s="2835">
        <f>+E26+G26+K26</f>
        <v>240704.21285563751</v>
      </c>
      <c r="N26" s="3066">
        <f>+F26+H26+L26</f>
        <v>277135.34688500001</v>
      </c>
      <c r="O26" s="2831">
        <v>90738.654373024227</v>
      </c>
      <c r="P26" s="3051">
        <v>104404.720082</v>
      </c>
      <c r="Q26" s="2833">
        <f>+M26+O26</f>
        <v>331442.86722866172</v>
      </c>
      <c r="R26" s="2834">
        <f>+N26+P26</f>
        <v>381540.06696700002</v>
      </c>
      <c r="S26" s="2831">
        <v>90738.654373024227</v>
      </c>
      <c r="T26" s="3051">
        <v>120487.19086800001</v>
      </c>
      <c r="U26" s="2833">
        <f>+Q26+S26</f>
        <v>422181.52160168596</v>
      </c>
      <c r="V26" s="2834">
        <f>+R26+T26</f>
        <v>502027.25783500005</v>
      </c>
      <c r="W26" s="4770">
        <v>88081.036880927277</v>
      </c>
      <c r="X26" s="3616">
        <v>99564.147938000009</v>
      </c>
      <c r="Y26" s="4771">
        <f>+O26+S26+W26</f>
        <v>269558.34562697576</v>
      </c>
      <c r="Z26" s="4771">
        <f>+P26+T26+X26</f>
        <v>324456.05888799997</v>
      </c>
      <c r="AA26" s="4773">
        <f>+M26+Y26</f>
        <v>510262.5584826133</v>
      </c>
      <c r="AB26" s="4773">
        <f>+N26+Z26</f>
        <v>601591.40577299998</v>
      </c>
      <c r="AC26" s="2831">
        <v>93396.271865121176</v>
      </c>
      <c r="AD26" s="3051">
        <v>103143.64400200003</v>
      </c>
      <c r="AE26" s="2833">
        <f>+AA26+AC26</f>
        <v>603658.8303477345</v>
      </c>
      <c r="AF26" s="2834">
        <f>+AB26+AD26</f>
        <v>704735.04977499996</v>
      </c>
      <c r="AG26" s="2831">
        <v>90358.994731296087</v>
      </c>
      <c r="AH26" s="3051">
        <v>82013.501080000016</v>
      </c>
      <c r="AI26" s="2833">
        <f>+AE26+AG26</f>
        <v>694017.82507903059</v>
      </c>
      <c r="AJ26" s="2834">
        <f>+AF26+AH26</f>
        <v>786748.55085500004</v>
      </c>
      <c r="AK26" s="4770">
        <v>93775.931506849302</v>
      </c>
      <c r="AL26" s="3616">
        <v>71167.549168000012</v>
      </c>
      <c r="AM26" s="4771">
        <f>+AC26+AG26+AK26</f>
        <v>277531.19810326654</v>
      </c>
      <c r="AN26" s="4771">
        <f>+AD26+AH26+AL26</f>
        <v>256324.69425000006</v>
      </c>
      <c r="AO26" s="4768">
        <f t="shared" ref="AO26:AP28" si="116">AI26+AK26</f>
        <v>787793.75658587995</v>
      </c>
      <c r="AP26" s="4768">
        <f t="shared" ref="AP26" si="117">AJ26+AL26</f>
        <v>857916.10002300004</v>
      </c>
      <c r="AQ26" s="2831">
        <v>93775.931506849302</v>
      </c>
      <c r="AR26" s="3051">
        <v>58850.349111999982</v>
      </c>
      <c r="AS26" s="2833">
        <f>+AO26+AQ26</f>
        <v>881569.68809272931</v>
      </c>
      <c r="AT26" s="2834">
        <f>+AP26+AR26</f>
        <v>916766.449135</v>
      </c>
      <c r="AU26" s="2831">
        <v>87321.717597471012</v>
      </c>
      <c r="AV26" s="3051">
        <v>76969.949648999987</v>
      </c>
      <c r="AW26" s="2833">
        <f>+AS26+AU26</f>
        <v>968891.40569020028</v>
      </c>
      <c r="AX26" s="2834">
        <f>+AT26+AV26</f>
        <v>993736.39878399996</v>
      </c>
      <c r="AY26" s="2831">
        <v>94155.591148577441</v>
      </c>
      <c r="AZ26" s="3051">
        <v>81508.240818999984</v>
      </c>
      <c r="BA26" s="5020">
        <f>+AQ26+AU26+AY26</f>
        <v>275253.24025289778</v>
      </c>
      <c r="BB26" s="5020">
        <f>+AR26+AV26+AZ26</f>
        <v>217328.53957999998</v>
      </c>
      <c r="BC26" s="5022">
        <f>AM26+BA26</f>
        <v>552784.43835616438</v>
      </c>
      <c r="BD26" s="5022">
        <f>AN26+BB26</f>
        <v>473653.23383000004</v>
      </c>
      <c r="BE26" s="5018">
        <f t="shared" si="114"/>
        <v>1063046.9968387778</v>
      </c>
      <c r="BF26" s="5018">
        <f t="shared" si="115"/>
        <v>1075244.6396029999</v>
      </c>
      <c r="BG26" s="2939">
        <v>887402.68068421073</v>
      </c>
      <c r="BH26" s="2939">
        <v>1065593.0052819999</v>
      </c>
      <c r="BI26" s="2939">
        <v>157305.11720405263</v>
      </c>
      <c r="BJ26" s="2939">
        <v>920129.29913014814</v>
      </c>
      <c r="BK26" s="2939">
        <v>882599.96545301133</v>
      </c>
      <c r="BL26" s="2939">
        <v>776699</v>
      </c>
      <c r="BM26" s="2939">
        <v>854657.99999999988</v>
      </c>
      <c r="BN26" s="1369">
        <v>809638.20576449996</v>
      </c>
      <c r="BO26" s="1518"/>
      <c r="BP26" s="26"/>
      <c r="BQ26" s="2062"/>
      <c r="BR26" s="2062"/>
      <c r="BS26" s="2062"/>
      <c r="BT26" s="2062"/>
    </row>
    <row r="27" spans="1:72" ht="15" customHeight="1" x14ac:dyDescent="0.25">
      <c r="A27" s="183"/>
      <c r="B27" s="3028" t="s">
        <v>33</v>
      </c>
      <c r="C27" s="3075"/>
      <c r="D27" s="4802"/>
      <c r="E27" s="4802"/>
      <c r="F27" s="4802"/>
      <c r="G27" s="4802"/>
      <c r="H27" s="4802"/>
      <c r="I27" s="4802"/>
      <c r="J27" s="4802"/>
      <c r="K27" s="4802"/>
      <c r="L27" s="4802"/>
      <c r="M27" s="4802"/>
      <c r="N27" s="4802"/>
      <c r="O27" s="4802"/>
      <c r="P27" s="4802"/>
      <c r="Q27" s="4802"/>
      <c r="R27" s="4802"/>
      <c r="S27" s="4802"/>
      <c r="T27" s="4802"/>
      <c r="U27" s="4802"/>
      <c r="V27" s="4802"/>
      <c r="W27" s="4802"/>
      <c r="X27" s="4802"/>
      <c r="Y27" s="4802"/>
      <c r="Z27" s="4802"/>
      <c r="AA27" s="4802"/>
      <c r="AB27" s="4802"/>
      <c r="AC27" s="4802"/>
      <c r="AD27" s="4802"/>
      <c r="AE27" s="4802"/>
      <c r="AF27" s="4802"/>
      <c r="AG27" s="4802"/>
      <c r="AH27" s="4802"/>
      <c r="AI27" s="4802"/>
      <c r="AJ27" s="4802"/>
      <c r="AK27" s="4802"/>
      <c r="AL27" s="4802"/>
      <c r="AM27" s="4802"/>
      <c r="AN27" s="4802"/>
      <c r="AO27" s="4802"/>
      <c r="AP27" s="4803"/>
      <c r="AQ27" s="4802"/>
      <c r="AR27" s="4802"/>
      <c r="AS27" s="4802"/>
      <c r="AT27" s="4802"/>
      <c r="AU27" s="4802"/>
      <c r="AV27" s="4802"/>
      <c r="AW27" s="4802"/>
      <c r="AX27" s="4802"/>
      <c r="AY27" s="4802"/>
      <c r="AZ27" s="4802"/>
      <c r="BA27" s="4802"/>
      <c r="BB27" s="4802"/>
      <c r="BC27" s="4802"/>
      <c r="BD27" s="4802"/>
      <c r="BE27" s="4802"/>
      <c r="BF27" s="4803"/>
      <c r="BG27" s="3075"/>
      <c r="BH27" s="3075"/>
      <c r="BI27" s="3075"/>
      <c r="BJ27" s="3075"/>
      <c r="BK27" s="3075"/>
      <c r="BL27" s="3075"/>
      <c r="BM27" s="3075"/>
      <c r="BN27" s="3076"/>
      <c r="BO27" s="26"/>
      <c r="BP27" s="26"/>
      <c r="BQ27" s="2062"/>
      <c r="BR27" s="2062"/>
      <c r="BS27" s="2062"/>
      <c r="BT27" s="2062"/>
    </row>
    <row r="28" spans="1:72" ht="15" customHeight="1" x14ac:dyDescent="0.25">
      <c r="B28" s="3027" t="s">
        <v>36</v>
      </c>
      <c r="C28" s="3006" t="s">
        <v>52</v>
      </c>
      <c r="D28" s="4774">
        <v>500000</v>
      </c>
      <c r="E28" s="1698">
        <f>42.5*1000</f>
        <v>42500</v>
      </c>
      <c r="F28" s="18">
        <f>+WRM!F125</f>
        <v>38790.100000000013</v>
      </c>
      <c r="G28" s="1698">
        <f>36.5*1000</f>
        <v>36500</v>
      </c>
      <c r="H28" s="18">
        <f>+WRM!H125</f>
        <v>31436.75</v>
      </c>
      <c r="I28" s="4768">
        <f t="shared" ref="I28:J30" si="118">+E28+G28</f>
        <v>79000</v>
      </c>
      <c r="J28" s="53">
        <f t="shared" si="118"/>
        <v>70226.850000000006</v>
      </c>
      <c r="K28" s="1698">
        <v>34000</v>
      </c>
      <c r="L28" s="18">
        <f>+WRM!L125</f>
        <v>32975.400000000009</v>
      </c>
      <c r="M28" s="4772">
        <f t="shared" ref="M28:N30" si="119">+E28+G28+K28</f>
        <v>113000</v>
      </c>
      <c r="N28" s="98">
        <f t="shared" si="119"/>
        <v>103202.25000000001</v>
      </c>
      <c r="O28" s="1698">
        <f>43.5*1000</f>
        <v>43500</v>
      </c>
      <c r="P28" s="18">
        <f>+WRM!P125</f>
        <v>41411.410000000003</v>
      </c>
      <c r="Q28" s="4768">
        <f t="shared" ref="Q28:R30" si="120">+M28+O28</f>
        <v>156500</v>
      </c>
      <c r="R28" s="53">
        <f t="shared" si="120"/>
        <v>144613.66000000003</v>
      </c>
      <c r="S28" s="1698">
        <v>43500</v>
      </c>
      <c r="T28" s="18">
        <f>+WRM!T125</f>
        <v>46120.900000000016</v>
      </c>
      <c r="U28" s="4768">
        <f t="shared" ref="U28:U30" si="121">+Q28+S28</f>
        <v>200000</v>
      </c>
      <c r="V28" s="53">
        <f t="shared" ref="V28:V30" si="122">+R28+T28</f>
        <v>190734.56000000006</v>
      </c>
      <c r="W28" s="4770">
        <v>42500</v>
      </c>
      <c r="X28" s="2941">
        <v>44910.375000000007</v>
      </c>
      <c r="Y28" s="4771">
        <f t="shared" ref="Y28:Z30" si="123">+O28+S28+W28</f>
        <v>129500</v>
      </c>
      <c r="Z28" s="4771">
        <f t="shared" si="123"/>
        <v>132442.68500000003</v>
      </c>
      <c r="AA28" s="4773">
        <f t="shared" ref="AA28:AB30" si="124">+M28+Y28</f>
        <v>242500</v>
      </c>
      <c r="AB28" s="4773">
        <f t="shared" si="124"/>
        <v>235644.93500000006</v>
      </c>
      <c r="AC28" s="1698">
        <f>43.5*1000</f>
        <v>43500</v>
      </c>
      <c r="AD28" s="18">
        <v>42767.049999999988</v>
      </c>
      <c r="AE28" s="4768">
        <f t="shared" ref="AE28:AE30" si="125">+AA28+AC28</f>
        <v>286000</v>
      </c>
      <c r="AF28" s="53">
        <f t="shared" ref="AF28:AF30" si="126">+AB28+AD28</f>
        <v>278411.98500000004</v>
      </c>
      <c r="AG28" s="1698">
        <f>42.5*1000</f>
        <v>42500</v>
      </c>
      <c r="AH28" s="18">
        <v>40266.100000000006</v>
      </c>
      <c r="AI28" s="4768">
        <f t="shared" ref="AI28:AI30" si="127">+AE28+AG28</f>
        <v>328500</v>
      </c>
      <c r="AJ28" s="53">
        <f t="shared" ref="AJ28:AJ30" si="128">+AF28+AH28</f>
        <v>318678.08500000008</v>
      </c>
      <c r="AK28" s="4770">
        <f>43.5*1000</f>
        <v>43500</v>
      </c>
      <c r="AL28" s="2941">
        <v>41541.200000000004</v>
      </c>
      <c r="AM28" s="4771">
        <f t="shared" ref="AM28:AM30" si="129">+AC28+AG28+AK28</f>
        <v>129500</v>
      </c>
      <c r="AN28" s="4771">
        <f t="shared" ref="AN28:AN30" si="130">+AD28+AH28+AL28</f>
        <v>124574.35</v>
      </c>
      <c r="AO28" s="4768">
        <f t="shared" si="116"/>
        <v>372000</v>
      </c>
      <c r="AP28" s="4768">
        <f t="shared" si="116"/>
        <v>360219.28500000009</v>
      </c>
      <c r="AQ28" s="1698">
        <v>43500</v>
      </c>
      <c r="AR28" s="18">
        <v>43760.85</v>
      </c>
      <c r="AS28" s="4768">
        <f t="shared" ref="AS28:AS30" si="131">+AO28+AQ28</f>
        <v>415500</v>
      </c>
      <c r="AT28" s="53">
        <f t="shared" ref="AT28:AT30" si="132">+AP28+AR28</f>
        <v>403980.13500000007</v>
      </c>
      <c r="AU28" s="1698">
        <v>41000</v>
      </c>
      <c r="AV28" s="18">
        <v>36414.15</v>
      </c>
      <c r="AW28" s="4768">
        <f t="shared" ref="AW28:AW30" si="133">+AS28+AU28</f>
        <v>456500</v>
      </c>
      <c r="AX28" s="53">
        <f t="shared" ref="AX28:AX30" si="134">+AT28+AV28</f>
        <v>440394.28500000009</v>
      </c>
      <c r="AY28" s="1698">
        <v>43500</v>
      </c>
      <c r="AZ28" s="18">
        <v>38134.100000000006</v>
      </c>
      <c r="BA28" s="5020">
        <f t="shared" ref="BA28:BA30" si="135">+AQ28+AU28+AY28</f>
        <v>128000</v>
      </c>
      <c r="BB28" s="5020">
        <f t="shared" ref="BB28:BB30" si="136">+AR28+AV28+AZ28</f>
        <v>118309.1</v>
      </c>
      <c r="BC28" s="5022">
        <f>AM28+BA28</f>
        <v>257500</v>
      </c>
      <c r="BD28" s="5022">
        <f t="shared" ref="BD28:BD30" si="137">AN28+BB28</f>
        <v>242883.45</v>
      </c>
      <c r="BE28" s="5018">
        <f t="shared" ref="BE28:BE30" si="138">AW28+AY28</f>
        <v>500000</v>
      </c>
      <c r="BF28" s="5018">
        <f t="shared" ref="BF28:BF30" si="139">AX28+AZ28</f>
        <v>478528.38500000013</v>
      </c>
      <c r="BG28" s="2939">
        <v>500000</v>
      </c>
      <c r="BH28" s="2939">
        <v>466114.65</v>
      </c>
      <c r="BI28" s="2939">
        <v>500000</v>
      </c>
      <c r="BJ28" s="2939">
        <v>465343.766</v>
      </c>
      <c r="BK28" s="2939">
        <v>435965.96179320005</v>
      </c>
      <c r="BL28" s="2939">
        <v>356518.65800000005</v>
      </c>
      <c r="BM28" s="2939">
        <v>500000</v>
      </c>
      <c r="BN28" s="1369">
        <v>412025.22</v>
      </c>
      <c r="BO28" s="26"/>
      <c r="BP28" s="26"/>
      <c r="BQ28" s="2062"/>
      <c r="BR28" s="2062"/>
      <c r="BS28" s="2062"/>
      <c r="BT28" s="2062"/>
    </row>
    <row r="29" spans="1:72" ht="15" customHeight="1" x14ac:dyDescent="0.25">
      <c r="B29" s="3027" t="s">
        <v>353</v>
      </c>
      <c r="C29" s="3006" t="s">
        <v>52</v>
      </c>
      <c r="D29" s="4774">
        <v>850000</v>
      </c>
      <c r="E29" s="1698">
        <f>72.5*1000</f>
        <v>72500</v>
      </c>
      <c r="F29" s="18">
        <f>+BM!F52</f>
        <v>70044.755000000005</v>
      </c>
      <c r="G29" s="1698">
        <f>62.5*1000</f>
        <v>62500</v>
      </c>
      <c r="H29" s="18">
        <f>+BM!H52</f>
        <v>56061.496000000021</v>
      </c>
      <c r="I29" s="4768">
        <f t="shared" si="118"/>
        <v>135000</v>
      </c>
      <c r="J29" s="53">
        <f t="shared" si="118"/>
        <v>126106.25100000002</v>
      </c>
      <c r="K29" s="1698">
        <v>47000</v>
      </c>
      <c r="L29" s="18">
        <f>+BM!L52</f>
        <v>54192.347000000016</v>
      </c>
      <c r="M29" s="4772">
        <f t="shared" si="119"/>
        <v>182000</v>
      </c>
      <c r="N29" s="98">
        <f t="shared" si="119"/>
        <v>180298.59800000003</v>
      </c>
      <c r="O29" s="1698">
        <f>75*1000</f>
        <v>75000</v>
      </c>
      <c r="P29" s="18">
        <f>+BM!P52</f>
        <v>73996.973000000085</v>
      </c>
      <c r="Q29" s="4768">
        <f t="shared" si="120"/>
        <v>257000</v>
      </c>
      <c r="R29" s="53">
        <f t="shared" si="120"/>
        <v>254295.57100000011</v>
      </c>
      <c r="S29" s="1698">
        <v>75000</v>
      </c>
      <c r="T29" s="18">
        <f>+BM!T52</f>
        <v>81550.701000000059</v>
      </c>
      <c r="U29" s="4768">
        <f t="shared" si="121"/>
        <v>332000</v>
      </c>
      <c r="V29" s="53">
        <f t="shared" si="122"/>
        <v>335846.27200000017</v>
      </c>
      <c r="W29" s="4770">
        <v>73000</v>
      </c>
      <c r="X29" s="2941">
        <v>66170.788000000088</v>
      </c>
      <c r="Y29" s="4771">
        <f t="shared" si="123"/>
        <v>223000</v>
      </c>
      <c r="Z29" s="4771">
        <f t="shared" si="123"/>
        <v>221718.46200000023</v>
      </c>
      <c r="AA29" s="4773">
        <f t="shared" si="124"/>
        <v>405000</v>
      </c>
      <c r="AB29" s="4773">
        <f t="shared" si="124"/>
        <v>402017.06000000029</v>
      </c>
      <c r="AC29" s="1698">
        <f>75.5*1000</f>
        <v>75500</v>
      </c>
      <c r="AD29" s="18">
        <v>61010.230000000083</v>
      </c>
      <c r="AE29" s="4768">
        <f t="shared" si="125"/>
        <v>480500</v>
      </c>
      <c r="AF29" s="53">
        <f t="shared" si="126"/>
        <v>463027.29000000039</v>
      </c>
      <c r="AG29" s="1698">
        <v>73000</v>
      </c>
      <c r="AH29" s="18">
        <v>59054.402000000053</v>
      </c>
      <c r="AI29" s="4768">
        <f t="shared" si="127"/>
        <v>553500</v>
      </c>
      <c r="AJ29" s="53">
        <f t="shared" si="128"/>
        <v>522081.69200000045</v>
      </c>
      <c r="AK29" s="4770">
        <f>75.5*1000</f>
        <v>75500</v>
      </c>
      <c r="AL29" s="2941">
        <v>67544.47</v>
      </c>
      <c r="AM29" s="4771">
        <f t="shared" si="129"/>
        <v>224000</v>
      </c>
      <c r="AN29" s="4771">
        <f t="shared" si="130"/>
        <v>187609.10200000013</v>
      </c>
      <c r="AO29" s="4768">
        <f t="shared" ref="AO29:AP32" si="140">AI29+AK29</f>
        <v>629000</v>
      </c>
      <c r="AP29" s="4768">
        <f t="shared" ref="AP29:AP30" si="141">AJ29+AL29</f>
        <v>589626.16200000048</v>
      </c>
      <c r="AQ29" s="1698">
        <v>75500</v>
      </c>
      <c r="AR29" s="18">
        <v>70905.326000000059</v>
      </c>
      <c r="AS29" s="4768">
        <f t="shared" si="131"/>
        <v>704500</v>
      </c>
      <c r="AT29" s="53">
        <f t="shared" si="132"/>
        <v>660531.48800000059</v>
      </c>
      <c r="AU29" s="1698">
        <v>70000</v>
      </c>
      <c r="AV29" s="18">
        <v>65231.440000000068</v>
      </c>
      <c r="AW29" s="4768">
        <f t="shared" si="133"/>
        <v>774500</v>
      </c>
      <c r="AX29" s="53">
        <f t="shared" si="134"/>
        <v>725762.92800000065</v>
      </c>
      <c r="AY29" s="1698">
        <v>75500</v>
      </c>
      <c r="AZ29" s="18">
        <v>69559.345000000088</v>
      </c>
      <c r="BA29" s="5020">
        <f t="shared" si="135"/>
        <v>221000</v>
      </c>
      <c r="BB29" s="5020">
        <f t="shared" si="136"/>
        <v>205696.11100000021</v>
      </c>
      <c r="BC29" s="5022">
        <f>AM29+BA29</f>
        <v>445000</v>
      </c>
      <c r="BD29" s="5022">
        <f t="shared" si="137"/>
        <v>393305.21300000034</v>
      </c>
      <c r="BE29" s="5018">
        <f t="shared" si="138"/>
        <v>850000</v>
      </c>
      <c r="BF29" s="5018">
        <f t="shared" si="139"/>
        <v>795322.27300000074</v>
      </c>
      <c r="BG29" s="2939">
        <v>780000</v>
      </c>
      <c r="BH29" s="2939">
        <v>775906.62549999985</v>
      </c>
      <c r="BI29" s="2939">
        <v>750000</v>
      </c>
      <c r="BJ29" s="2939">
        <v>649840.96399999992</v>
      </c>
      <c r="BK29" s="2939">
        <v>674875.14</v>
      </c>
      <c r="BL29" s="2939">
        <v>440547.26999999996</v>
      </c>
      <c r="BM29" s="2939">
        <v>800000</v>
      </c>
      <c r="BN29" s="1369">
        <v>632220.18000000005</v>
      </c>
      <c r="BO29" s="1518"/>
      <c r="BP29" s="26"/>
      <c r="BQ29" s="2062"/>
      <c r="BR29" s="2062"/>
      <c r="BS29" s="2062"/>
      <c r="BT29" s="2062"/>
    </row>
    <row r="30" spans="1:72" ht="15" customHeight="1" x14ac:dyDescent="0.25">
      <c r="B30" s="3027" t="s">
        <v>112</v>
      </c>
      <c r="C30" s="3006" t="s">
        <v>52</v>
      </c>
      <c r="D30" s="4774">
        <v>525000</v>
      </c>
      <c r="E30" s="1698">
        <f>44.5*1000</f>
        <v>44500</v>
      </c>
      <c r="F30" s="18">
        <f>+USM!G73</f>
        <v>34411.017</v>
      </c>
      <c r="G30" s="1698">
        <f>37.5*1000</f>
        <v>37500</v>
      </c>
      <c r="H30" s="18">
        <f>+USM!I73</f>
        <v>29035.71</v>
      </c>
      <c r="I30" s="4768">
        <f t="shared" si="118"/>
        <v>82000</v>
      </c>
      <c r="J30" s="53">
        <f t="shared" si="118"/>
        <v>63446.726999999999</v>
      </c>
      <c r="K30" s="1698">
        <v>36000</v>
      </c>
      <c r="L30" s="18">
        <f>+USM!M73</f>
        <v>29014.605000000003</v>
      </c>
      <c r="M30" s="4772">
        <f t="shared" si="119"/>
        <v>118000</v>
      </c>
      <c r="N30" s="98">
        <f t="shared" si="119"/>
        <v>92461.331999999995</v>
      </c>
      <c r="O30" s="1698">
        <f>46*1000</f>
        <v>46000</v>
      </c>
      <c r="P30" s="18">
        <f>+USM!Q73</f>
        <v>33200.703999999998</v>
      </c>
      <c r="Q30" s="4768">
        <f t="shared" si="120"/>
        <v>164000</v>
      </c>
      <c r="R30" s="53">
        <f t="shared" si="120"/>
        <v>125662.03599999999</v>
      </c>
      <c r="S30" s="1698">
        <v>46000</v>
      </c>
      <c r="T30" s="18">
        <f>+USM!U73</f>
        <v>44285.714</v>
      </c>
      <c r="U30" s="4768">
        <f t="shared" si="121"/>
        <v>210000</v>
      </c>
      <c r="V30" s="53">
        <f t="shared" si="122"/>
        <v>169947.75</v>
      </c>
      <c r="W30" s="4770">
        <v>44500</v>
      </c>
      <c r="X30" s="2941">
        <v>37549.826999999997</v>
      </c>
      <c r="Y30" s="4771">
        <f t="shared" si="123"/>
        <v>136500</v>
      </c>
      <c r="Z30" s="4771">
        <f t="shared" si="123"/>
        <v>115036.245</v>
      </c>
      <c r="AA30" s="4773">
        <f t="shared" si="124"/>
        <v>254500</v>
      </c>
      <c r="AB30" s="4773">
        <f t="shared" si="124"/>
        <v>207497.57699999999</v>
      </c>
      <c r="AC30" s="1698">
        <f>46*1000</f>
        <v>46000</v>
      </c>
      <c r="AD30" s="18">
        <v>38658.050000000003</v>
      </c>
      <c r="AE30" s="4768">
        <f t="shared" si="125"/>
        <v>300500</v>
      </c>
      <c r="AF30" s="53">
        <f t="shared" si="126"/>
        <v>246155.62699999998</v>
      </c>
      <c r="AG30" s="1698">
        <f>44.5*1000</f>
        <v>44500</v>
      </c>
      <c r="AH30" s="18">
        <v>41612.207039999994</v>
      </c>
      <c r="AI30" s="4768">
        <f t="shared" si="127"/>
        <v>345000</v>
      </c>
      <c r="AJ30" s="53">
        <f t="shared" si="128"/>
        <v>287767.83403999999</v>
      </c>
      <c r="AK30" s="4770">
        <v>46000</v>
      </c>
      <c r="AL30" s="2941">
        <v>41025.186999999998</v>
      </c>
      <c r="AM30" s="4771">
        <f t="shared" si="129"/>
        <v>136500</v>
      </c>
      <c r="AN30" s="4771">
        <f t="shared" si="130"/>
        <v>121295.44404</v>
      </c>
      <c r="AO30" s="4768">
        <f t="shared" si="140"/>
        <v>391000</v>
      </c>
      <c r="AP30" s="4768">
        <f t="shared" si="141"/>
        <v>328793.02103999996</v>
      </c>
      <c r="AQ30" s="1698">
        <v>46000</v>
      </c>
      <c r="AR30" s="18">
        <v>41204.778000000013</v>
      </c>
      <c r="AS30" s="4768">
        <f t="shared" si="131"/>
        <v>437000</v>
      </c>
      <c r="AT30" s="53">
        <f t="shared" si="132"/>
        <v>369997.79903999995</v>
      </c>
      <c r="AU30" s="1698">
        <v>42000</v>
      </c>
      <c r="AV30" s="18">
        <v>42591.399999999994</v>
      </c>
      <c r="AW30" s="4768">
        <f t="shared" si="133"/>
        <v>479000</v>
      </c>
      <c r="AX30" s="53">
        <f t="shared" si="134"/>
        <v>412589.19903999998</v>
      </c>
      <c r="AY30" s="1698">
        <f>46*1000</f>
        <v>46000</v>
      </c>
      <c r="AZ30" s="18">
        <v>46552.753000000004</v>
      </c>
      <c r="BA30" s="5020">
        <f t="shared" si="135"/>
        <v>134000</v>
      </c>
      <c r="BB30" s="5020">
        <f t="shared" si="136"/>
        <v>130348.93100000001</v>
      </c>
      <c r="BC30" s="5022">
        <f>AM30+BA30</f>
        <v>270500</v>
      </c>
      <c r="BD30" s="5022">
        <f t="shared" si="137"/>
        <v>251644.37504000001</v>
      </c>
      <c r="BE30" s="5018">
        <f t="shared" si="138"/>
        <v>525000</v>
      </c>
      <c r="BF30" s="5018">
        <f t="shared" si="139"/>
        <v>459141.95204</v>
      </c>
      <c r="BG30" s="2939">
        <v>470000</v>
      </c>
      <c r="BH30" s="2939">
        <v>361987.55812</v>
      </c>
      <c r="BI30" s="2939">
        <v>450000</v>
      </c>
      <c r="BJ30" s="2939">
        <v>213226.16405321387</v>
      </c>
      <c r="BK30" s="2939">
        <v>220000</v>
      </c>
      <c r="BL30" s="2939">
        <v>88943.894138990887</v>
      </c>
      <c r="BM30" s="2939">
        <v>535000</v>
      </c>
      <c r="BN30" s="1369">
        <v>171634.81128897145</v>
      </c>
      <c r="BO30" s="1518"/>
      <c r="BP30" s="26"/>
      <c r="BQ30" s="2062"/>
      <c r="BR30" s="2062"/>
      <c r="BS30" s="2062"/>
      <c r="BT30" s="2062"/>
    </row>
    <row r="31" spans="1:72" ht="15" customHeight="1" thickBot="1" x14ac:dyDescent="0.3">
      <c r="B31" s="3029" t="s">
        <v>704</v>
      </c>
      <c r="C31" s="3022" t="s">
        <v>52</v>
      </c>
      <c r="D31" s="3014">
        <f t="shared" ref="D31:AB31" si="142">SUM(D28:D30)</f>
        <v>1875000</v>
      </c>
      <c r="E31" s="2586">
        <f t="shared" si="142"/>
        <v>159500</v>
      </c>
      <c r="F31" s="3054">
        <f t="shared" si="142"/>
        <v>143245.872</v>
      </c>
      <c r="G31" s="2586">
        <f t="shared" ref="G31:H31" si="143">SUM(G28:G30)</f>
        <v>136500</v>
      </c>
      <c r="H31" s="3054">
        <f t="shared" si="143"/>
        <v>116533.95600000001</v>
      </c>
      <c r="I31" s="3057">
        <f t="shared" si="142"/>
        <v>296000</v>
      </c>
      <c r="J31" s="3023">
        <f t="shared" si="142"/>
        <v>259779.82800000004</v>
      </c>
      <c r="K31" s="2586">
        <f t="shared" ref="K31:L31" si="144">SUM(K28:K30)</f>
        <v>117000</v>
      </c>
      <c r="L31" s="3054">
        <f t="shared" si="144"/>
        <v>116182.35200000004</v>
      </c>
      <c r="M31" s="3067">
        <f t="shared" si="142"/>
        <v>413000</v>
      </c>
      <c r="N31" s="3068">
        <f t="shared" si="142"/>
        <v>375962.18000000005</v>
      </c>
      <c r="O31" s="2586">
        <f t="shared" ref="O31:P31" si="145">SUM(O28:O30)</f>
        <v>164500</v>
      </c>
      <c r="P31" s="3054">
        <f t="shared" si="145"/>
        <v>148609.08700000009</v>
      </c>
      <c r="Q31" s="3057">
        <f t="shared" si="142"/>
        <v>577500</v>
      </c>
      <c r="R31" s="3023">
        <f t="shared" si="142"/>
        <v>524571.26700000011</v>
      </c>
      <c r="S31" s="2586">
        <f t="shared" ref="S31:T31" si="146">SUM(S28:S30)</f>
        <v>164500</v>
      </c>
      <c r="T31" s="3054">
        <f t="shared" si="146"/>
        <v>171957.31500000009</v>
      </c>
      <c r="U31" s="3057">
        <f t="shared" ref="U31:X31" si="147">SUM(U28:U30)</f>
        <v>742000</v>
      </c>
      <c r="V31" s="3023">
        <f t="shared" si="147"/>
        <v>696528.58200000017</v>
      </c>
      <c r="W31" s="3011">
        <f t="shared" si="147"/>
        <v>160000</v>
      </c>
      <c r="X31" s="2942">
        <f t="shared" si="147"/>
        <v>148630.99000000008</v>
      </c>
      <c r="Y31" s="454">
        <f t="shared" si="142"/>
        <v>489000</v>
      </c>
      <c r="Z31" s="454">
        <f t="shared" si="142"/>
        <v>469197.39200000023</v>
      </c>
      <c r="AA31" s="660">
        <f t="shared" si="142"/>
        <v>902000</v>
      </c>
      <c r="AB31" s="660">
        <f t="shared" si="142"/>
        <v>845159.57200000039</v>
      </c>
      <c r="AC31" s="2586">
        <f t="shared" ref="AC31:AD31" si="148">SUM(AC28:AC30)</f>
        <v>165000</v>
      </c>
      <c r="AD31" s="3054">
        <f t="shared" si="148"/>
        <v>142435.33000000007</v>
      </c>
      <c r="AE31" s="3057">
        <f t="shared" ref="AE31:AH31" si="149">SUM(AE28:AE30)</f>
        <v>1067000</v>
      </c>
      <c r="AF31" s="3023">
        <f t="shared" si="149"/>
        <v>987594.90200000035</v>
      </c>
      <c r="AG31" s="2586">
        <f t="shared" si="149"/>
        <v>160000</v>
      </c>
      <c r="AH31" s="3054">
        <f t="shared" si="149"/>
        <v>140932.70904000005</v>
      </c>
      <c r="AI31" s="3057">
        <f t="shared" ref="AI31:AL31" si="150">SUM(AI28:AI30)</f>
        <v>1227000</v>
      </c>
      <c r="AJ31" s="3023">
        <f t="shared" si="150"/>
        <v>1128527.6110400003</v>
      </c>
      <c r="AK31" s="3011">
        <f t="shared" si="150"/>
        <v>165000</v>
      </c>
      <c r="AL31" s="2942">
        <f t="shared" si="150"/>
        <v>150110.85700000002</v>
      </c>
      <c r="AM31" s="454">
        <f t="shared" ref="AM31:AN31" si="151">SUM(AM28:AM30)</f>
        <v>490000</v>
      </c>
      <c r="AN31" s="454">
        <f t="shared" si="151"/>
        <v>433478.89604000014</v>
      </c>
      <c r="AO31" s="3057">
        <f t="shared" ref="AO31:AT31" si="152">SUM(AO28:AO30)</f>
        <v>1392000</v>
      </c>
      <c r="AP31" s="3023">
        <f t="shared" si="152"/>
        <v>1278638.4680400006</v>
      </c>
      <c r="AQ31" s="2586">
        <f t="shared" si="152"/>
        <v>165000</v>
      </c>
      <c r="AR31" s="3054">
        <f t="shared" si="152"/>
        <v>155870.95400000009</v>
      </c>
      <c r="AS31" s="3057">
        <f t="shared" si="152"/>
        <v>1557000</v>
      </c>
      <c r="AT31" s="3023">
        <f t="shared" si="152"/>
        <v>1434509.4220400006</v>
      </c>
      <c r="AU31" s="2586">
        <f t="shared" ref="AU31:AX31" si="153">SUM(AU28:AU30)</f>
        <v>153000</v>
      </c>
      <c r="AV31" s="3054">
        <f t="shared" si="153"/>
        <v>144236.99000000005</v>
      </c>
      <c r="AW31" s="3057">
        <f t="shared" si="153"/>
        <v>1710000</v>
      </c>
      <c r="AX31" s="3023">
        <f t="shared" si="153"/>
        <v>1578746.4120400008</v>
      </c>
      <c r="AY31" s="2586">
        <f t="shared" ref="AY31:AZ31" si="154">SUM(AY28:AY30)</f>
        <v>165000</v>
      </c>
      <c r="AZ31" s="3054">
        <f t="shared" si="154"/>
        <v>154246.19800000009</v>
      </c>
      <c r="BA31" s="454">
        <f t="shared" ref="BA31:BD31" si="155">SUM(BA28:BA30)</f>
        <v>483000</v>
      </c>
      <c r="BB31" s="454">
        <f t="shared" si="155"/>
        <v>454354.14200000023</v>
      </c>
      <c r="BC31" s="660">
        <f t="shared" si="155"/>
        <v>973000</v>
      </c>
      <c r="BD31" s="660">
        <f t="shared" si="155"/>
        <v>887833.03804000048</v>
      </c>
      <c r="BE31" s="3057">
        <f t="shared" ref="BE31:BF31" si="156">SUM(BE28:BE30)</f>
        <v>1875000</v>
      </c>
      <c r="BF31" s="3023">
        <f t="shared" si="156"/>
        <v>1732992.6100400006</v>
      </c>
      <c r="BG31" s="1957">
        <v>1750000</v>
      </c>
      <c r="BH31" s="1957">
        <v>1604008.8336199999</v>
      </c>
      <c r="BI31" s="1957">
        <v>1700000</v>
      </c>
      <c r="BJ31" s="1957">
        <v>1328410.8940532138</v>
      </c>
      <c r="BK31" s="1957">
        <v>1330841.1017932</v>
      </c>
      <c r="BL31" s="1957">
        <v>886009.82213899097</v>
      </c>
      <c r="BM31" s="1957">
        <f>SUM(BM28:BM30)</f>
        <v>1835000</v>
      </c>
      <c r="BN31" s="3080">
        <f>SUM(BN28:BN30)</f>
        <v>1215880.2112889714</v>
      </c>
      <c r="BO31" s="26"/>
      <c r="BP31" s="26"/>
      <c r="BQ31" s="2062"/>
      <c r="BR31" s="2062"/>
      <c r="BS31" s="2062"/>
      <c r="BT31" s="2062"/>
    </row>
    <row r="32" spans="1:72" ht="15" customHeight="1" x14ac:dyDescent="0.25">
      <c r="B32" s="3026" t="s">
        <v>705</v>
      </c>
      <c r="C32" s="3024" t="s">
        <v>52</v>
      </c>
      <c r="D32" s="3025">
        <f>592.000000270625*1000</f>
        <v>592000.00027062499</v>
      </c>
      <c r="E32" s="444">
        <f>49.9999999999102*1000</f>
        <v>49999.9999999102</v>
      </c>
      <c r="F32" s="117">
        <v>49376</v>
      </c>
      <c r="G32" s="444">
        <f>38.0000000004283*1000</f>
        <v>38000.000000428299</v>
      </c>
      <c r="H32" s="117">
        <v>41843</v>
      </c>
      <c r="I32" s="858">
        <f>+E32+G32</f>
        <v>88000.000000338507</v>
      </c>
      <c r="J32" s="57">
        <f>+F32+H32</f>
        <v>91219</v>
      </c>
      <c r="K32" s="444">
        <f>53.9999999998981*1000</f>
        <v>53999.9999998981</v>
      </c>
      <c r="L32" s="117">
        <f>46513+23.4</f>
        <v>46536.4</v>
      </c>
      <c r="M32" s="859">
        <f>+E32+G32+K32</f>
        <v>142000.00000023661</v>
      </c>
      <c r="N32" s="102">
        <f>+F32+H32+L32</f>
        <v>137755.4</v>
      </c>
      <c r="O32" s="444">
        <f>49.000000270114*1000</f>
        <v>49000.000270114004</v>
      </c>
      <c r="P32" s="117">
        <v>54670</v>
      </c>
      <c r="Q32" s="858">
        <f>+M32+O32</f>
        <v>191000.0002703506</v>
      </c>
      <c r="R32" s="57">
        <f>+N32+P32</f>
        <v>192425.4</v>
      </c>
      <c r="S32" s="444">
        <v>49000.000000113992</v>
      </c>
      <c r="T32" s="117">
        <v>43042</v>
      </c>
      <c r="U32" s="858">
        <f>+Q32+S32</f>
        <v>240000.0002704646</v>
      </c>
      <c r="V32" s="57">
        <f>+R32+T32</f>
        <v>235467.4</v>
      </c>
      <c r="W32" s="4770">
        <v>45999.999999884276</v>
      </c>
      <c r="X32" s="3616">
        <v>48357</v>
      </c>
      <c r="Y32" s="4771">
        <f>+O32+S32+W32</f>
        <v>144000.00027011227</v>
      </c>
      <c r="Z32" s="4771">
        <f>+P32+T32+X32</f>
        <v>146069</v>
      </c>
      <c r="AA32" s="4773">
        <f>+M32+Y32</f>
        <v>286000.00027034886</v>
      </c>
      <c r="AB32" s="4773">
        <f>+N32+Z32</f>
        <v>283824.40000000002</v>
      </c>
      <c r="AC32" s="444">
        <f>52.0000000000881*1000</f>
        <v>52000.000000088097</v>
      </c>
      <c r="AD32" s="117">
        <f>54787.2-16.23+94</f>
        <v>54864.969999999994</v>
      </c>
      <c r="AE32" s="858">
        <f>+AA32+AC32</f>
        <v>338000.00027043698</v>
      </c>
      <c r="AF32" s="57">
        <f>+AB32+AD32</f>
        <v>338689.37</v>
      </c>
      <c r="AG32" s="444">
        <f>49.9999999998843*1000</f>
        <v>49999.999999884305</v>
      </c>
      <c r="AH32" s="117">
        <f>43278+118-43</f>
        <v>43353</v>
      </c>
      <c r="AI32" s="858">
        <f>+AE32+AG32</f>
        <v>388000.00027032127</v>
      </c>
      <c r="AJ32" s="57">
        <f>+AF32+AH32</f>
        <v>382042.37</v>
      </c>
      <c r="AK32" s="4770">
        <f>52.0000000000881*1000</f>
        <v>52000.000000088097</v>
      </c>
      <c r="AL32" s="3616">
        <v>47527</v>
      </c>
      <c r="AM32" s="4771">
        <f>+AC32+AG32+AK32</f>
        <v>154000.00000006051</v>
      </c>
      <c r="AN32" s="4771">
        <f>+AD32+AH32+AL32</f>
        <v>145744.97</v>
      </c>
      <c r="AO32" s="4768">
        <f t="shared" si="140"/>
        <v>440000.00027040939</v>
      </c>
      <c r="AP32" s="4768">
        <f t="shared" si="140"/>
        <v>429569.37</v>
      </c>
      <c r="AQ32" s="444">
        <v>52000.000000088097</v>
      </c>
      <c r="AR32" s="117">
        <v>41110</v>
      </c>
      <c r="AS32" s="858">
        <f>+AO32+AQ32</f>
        <v>492000.00027049752</v>
      </c>
      <c r="AT32" s="57">
        <f>+AP32+AR32</f>
        <v>470679.37</v>
      </c>
      <c r="AU32" s="444">
        <v>48000.000000039698</v>
      </c>
      <c r="AV32" s="117">
        <v>54846</v>
      </c>
      <c r="AW32" s="858">
        <f>+AS32+AU32</f>
        <v>540000.00027053722</v>
      </c>
      <c r="AX32" s="57">
        <f>+AT32+AV32</f>
        <v>525525.37</v>
      </c>
      <c r="AY32" s="444">
        <f>52.0000000000881*1000</f>
        <v>52000.000000088097</v>
      </c>
      <c r="AZ32" s="117">
        <v>49298</v>
      </c>
      <c r="BA32" s="5020">
        <f>+AQ32+AU32+AY32</f>
        <v>152000.00000021589</v>
      </c>
      <c r="BB32" s="5020">
        <f>+AR32+AV32+AZ32</f>
        <v>145254</v>
      </c>
      <c r="BC32" s="5022">
        <f>AM32+BA32</f>
        <v>306000.00000027637</v>
      </c>
      <c r="BD32" s="5022">
        <f>AN32+BB32</f>
        <v>290998.96999999997</v>
      </c>
      <c r="BE32" s="5018">
        <f t="shared" ref="BE32:BE33" si="157">AW32+AY32</f>
        <v>592000.00027062534</v>
      </c>
      <c r="BF32" s="5018">
        <f t="shared" ref="BF32:BF33" si="158">AX32+AZ32</f>
        <v>574823.37</v>
      </c>
      <c r="BG32" s="2939">
        <v>544999.5112262523</v>
      </c>
      <c r="BH32" s="2939">
        <v>595119.90700000001</v>
      </c>
      <c r="BI32" s="2939">
        <v>516406.76683937816</v>
      </c>
      <c r="BJ32" s="2939">
        <v>627684.57297577348</v>
      </c>
      <c r="BK32" s="2939">
        <v>533055.8167946114</v>
      </c>
      <c r="BL32" s="2939">
        <v>608495.73</v>
      </c>
      <c r="BM32" s="2939">
        <v>304999.74093264237</v>
      </c>
      <c r="BN32" s="1369">
        <v>629438.95550700894</v>
      </c>
      <c r="BO32" s="26"/>
      <c r="BP32" s="26"/>
      <c r="BQ32" s="2062"/>
      <c r="BR32" s="2062"/>
      <c r="BS32" s="2062"/>
      <c r="BT32" s="2062"/>
    </row>
    <row r="33" spans="1:72" ht="15" customHeight="1" x14ac:dyDescent="0.25">
      <c r="B33" s="3027" t="s">
        <v>706</v>
      </c>
      <c r="C33" s="3006" t="s">
        <v>52</v>
      </c>
      <c r="D33" s="4774">
        <f>57.9999161425576*1000</f>
        <v>57999.916142557602</v>
      </c>
      <c r="E33" s="4769">
        <f>4.00048687231707*1000</f>
        <v>4000.4868723170698</v>
      </c>
      <c r="F33" s="18">
        <v>13419.07</v>
      </c>
      <c r="G33" s="4769">
        <f>3.50044144953577*1000</f>
        <v>3500.4414495357701</v>
      </c>
      <c r="H33" s="18">
        <v>4696</v>
      </c>
      <c r="I33" s="4768">
        <f>+E33+G33</f>
        <v>7500.9283218528399</v>
      </c>
      <c r="J33" s="53">
        <f>+F33+H33</f>
        <v>18115.07</v>
      </c>
      <c r="K33" s="4769">
        <f>2.50027133872416*1000</f>
        <v>2500.2713387241602</v>
      </c>
      <c r="L33" s="18">
        <v>16270.81</v>
      </c>
      <c r="M33" s="4772">
        <f>+E33+G33+K33</f>
        <v>10001.199660577</v>
      </c>
      <c r="N33" s="98">
        <f>+F33+H33+L33</f>
        <v>34385.879999999997</v>
      </c>
      <c r="O33" s="4769">
        <f>3.00037396426075*1000</f>
        <v>3000.3739642607502</v>
      </c>
      <c r="P33" s="18">
        <v>12217</v>
      </c>
      <c r="Q33" s="4768">
        <f>+M33+O33</f>
        <v>13001.573624837751</v>
      </c>
      <c r="R33" s="53">
        <f>+N33+P33</f>
        <v>46602.879999999997</v>
      </c>
      <c r="S33" s="4769">
        <v>3000.373964260747</v>
      </c>
      <c r="T33" s="18">
        <v>1476.4208000000001</v>
      </c>
      <c r="U33" s="4768">
        <f>+Q33+S33</f>
        <v>16001.947589098498</v>
      </c>
      <c r="V33" s="53">
        <f>+R33+T33</f>
        <v>48079.300799999997</v>
      </c>
      <c r="W33" s="4770">
        <v>3999.9019666566746</v>
      </c>
      <c r="X33" s="3616">
        <v>9032.5433799999992</v>
      </c>
      <c r="Y33" s="4771">
        <f>+O33+S33+W33</f>
        <v>10000.649895178172</v>
      </c>
      <c r="Z33" s="4771">
        <f>+P33+T33+X33</f>
        <v>22725.964179999999</v>
      </c>
      <c r="AA33" s="4773">
        <f>+M33+Y33</f>
        <v>20001.849555755172</v>
      </c>
      <c r="AB33" s="4773">
        <f>+N33+Z33</f>
        <v>57111.84418</v>
      </c>
      <c r="AC33" s="4769">
        <f>5.49914754916641*1000</f>
        <v>5499.1475491664096</v>
      </c>
      <c r="AD33" s="18">
        <v>12963.3</v>
      </c>
      <c r="AE33" s="4768">
        <f>+AA33+AC33</f>
        <v>25500.997104921582</v>
      </c>
      <c r="AF33" s="53">
        <f>+AB33+AD33</f>
        <v>70075.144180000003</v>
      </c>
      <c r="AG33" s="4769">
        <f>5.50027932514725*1000</f>
        <v>5500.2793251472503</v>
      </c>
      <c r="AH33" s="18">
        <v>691</v>
      </c>
      <c r="AI33" s="4768">
        <f>+AE33+AG33</f>
        <v>31001.276430068832</v>
      </c>
      <c r="AJ33" s="53">
        <f>+AF33+AH33</f>
        <v>70766.144180000003</v>
      </c>
      <c r="AK33" s="4770">
        <f>6.4995437755815*1000</f>
        <v>6499.5437755815001</v>
      </c>
      <c r="AL33" s="3616">
        <v>9126</v>
      </c>
      <c r="AM33" s="4771">
        <f>+AC33+AG33+AK33</f>
        <v>17498.97064989516</v>
      </c>
      <c r="AN33" s="4771">
        <f>+AD33+AH33+AL33</f>
        <v>22780.3</v>
      </c>
      <c r="AO33" s="4768">
        <f t="shared" ref="AO33" si="159">AI33+AK33</f>
        <v>37500.820205650336</v>
      </c>
      <c r="AP33" s="4768">
        <f t="shared" ref="AP33" si="160">AJ33+AL33</f>
        <v>79892.144180000003</v>
      </c>
      <c r="AQ33" s="4769">
        <v>6499.5437755815001</v>
      </c>
      <c r="AR33" s="18">
        <v>12121</v>
      </c>
      <c r="AS33" s="4768">
        <f>+AO33+AQ33</f>
        <v>44000.363981231836</v>
      </c>
      <c r="AT33" s="53">
        <f>+AP33+AR33</f>
        <v>92013.144180000003</v>
      </c>
      <c r="AU33" s="4769">
        <v>6999.61215932914</v>
      </c>
      <c r="AV33" s="18">
        <v>6079</v>
      </c>
      <c r="AW33" s="4768">
        <f>+AS33+AU33</f>
        <v>50999.976140560975</v>
      </c>
      <c r="AX33" s="53">
        <f>+AT33+AV33</f>
        <v>98092.144180000003</v>
      </c>
      <c r="AY33" s="5019">
        <f>6.99994000199659*1000</f>
        <v>6999.9400019965897</v>
      </c>
      <c r="AZ33" s="18">
        <v>3736</v>
      </c>
      <c r="BA33" s="5020">
        <f>+AQ33+AU33+AY33</f>
        <v>20499.09593690723</v>
      </c>
      <c r="BB33" s="5020">
        <f>+AR33+AV33+AZ33</f>
        <v>21936</v>
      </c>
      <c r="BC33" s="5022">
        <f>AM33+BA33</f>
        <v>37998.066586802393</v>
      </c>
      <c r="BD33" s="5022">
        <f>AN33+BB33</f>
        <v>44716.3</v>
      </c>
      <c r="BE33" s="5018">
        <f t="shared" si="157"/>
        <v>57999.916142557566</v>
      </c>
      <c r="BF33" s="5018">
        <f t="shared" si="158"/>
        <v>101828.14418</v>
      </c>
      <c r="BG33" s="2939">
        <v>115000.50264550258</v>
      </c>
      <c r="BH33" s="2939">
        <v>116079.049</v>
      </c>
      <c r="BI33" s="2939">
        <v>153592.3419429849</v>
      </c>
      <c r="BJ33" s="2939">
        <v>204330.35166666663</v>
      </c>
      <c r="BK33" s="2939">
        <v>371378.00888192269</v>
      </c>
      <c r="BL33" s="2939">
        <v>329378.80290000001</v>
      </c>
      <c r="BM33" s="2939">
        <v>267000</v>
      </c>
      <c r="BN33" s="1369">
        <v>248401</v>
      </c>
      <c r="BO33" s="26"/>
      <c r="BP33" s="26"/>
      <c r="BQ33" s="2062"/>
      <c r="BR33" s="2062"/>
      <c r="BS33" s="2062"/>
      <c r="BT33" s="2062"/>
    </row>
    <row r="34" spans="1:72" ht="15" customHeight="1" thickBot="1" x14ac:dyDescent="0.3">
      <c r="B34" s="3029" t="s">
        <v>707</v>
      </c>
      <c r="C34" s="3022" t="s">
        <v>52</v>
      </c>
      <c r="D34" s="3014">
        <f t="shared" ref="D34:AB34" si="161">SUM(D32:D33)</f>
        <v>649999.91641318263</v>
      </c>
      <c r="E34" s="2586">
        <f t="shared" si="161"/>
        <v>54000.486872227273</v>
      </c>
      <c r="F34" s="3054">
        <f t="shared" si="161"/>
        <v>62795.07</v>
      </c>
      <c r="G34" s="2586">
        <f t="shared" ref="G34:H34" si="162">SUM(G32:G33)</f>
        <v>41500.44144996407</v>
      </c>
      <c r="H34" s="3054">
        <f t="shared" si="162"/>
        <v>46539</v>
      </c>
      <c r="I34" s="2586">
        <f t="shared" si="161"/>
        <v>95500.92832219135</v>
      </c>
      <c r="J34" s="3054">
        <f t="shared" si="161"/>
        <v>109334.07</v>
      </c>
      <c r="K34" s="2586">
        <f t="shared" ref="K34:L34" si="163">SUM(K32:K33)</f>
        <v>56500.27133862226</v>
      </c>
      <c r="L34" s="3054">
        <f t="shared" si="163"/>
        <v>62807.21</v>
      </c>
      <c r="M34" s="3067">
        <f t="shared" si="161"/>
        <v>152001.19966081361</v>
      </c>
      <c r="N34" s="3068">
        <f t="shared" si="161"/>
        <v>172141.28</v>
      </c>
      <c r="O34" s="2586">
        <f t="shared" ref="O34:P34" si="164">SUM(O32:O33)</f>
        <v>52000.374234374751</v>
      </c>
      <c r="P34" s="3054">
        <f t="shared" si="164"/>
        <v>66887</v>
      </c>
      <c r="Q34" s="3057">
        <f t="shared" si="161"/>
        <v>204001.57389518834</v>
      </c>
      <c r="R34" s="3023">
        <f t="shared" si="161"/>
        <v>239028.28</v>
      </c>
      <c r="S34" s="2586">
        <f t="shared" ref="S34:T34" si="165">SUM(S32:S33)</f>
        <v>52000.373964374739</v>
      </c>
      <c r="T34" s="3054">
        <f t="shared" si="165"/>
        <v>44518.4208</v>
      </c>
      <c r="U34" s="3057">
        <f t="shared" ref="U34:X34" si="166">SUM(U32:U33)</f>
        <v>256001.94785956311</v>
      </c>
      <c r="V34" s="3023">
        <f t="shared" si="166"/>
        <v>283546.70079999999</v>
      </c>
      <c r="W34" s="3011">
        <f t="shared" si="166"/>
        <v>49999.901966540951</v>
      </c>
      <c r="X34" s="2942">
        <f t="shared" si="166"/>
        <v>57389.543380000003</v>
      </c>
      <c r="Y34" s="454">
        <f t="shared" si="161"/>
        <v>154000.65016529046</v>
      </c>
      <c r="Z34" s="454">
        <f t="shared" si="161"/>
        <v>168794.96418000001</v>
      </c>
      <c r="AA34" s="660">
        <f t="shared" si="161"/>
        <v>306001.84982610401</v>
      </c>
      <c r="AB34" s="660">
        <f t="shared" si="161"/>
        <v>340936.24418000004</v>
      </c>
      <c r="AC34" s="2586">
        <f t="shared" ref="AC34:AD34" si="167">SUM(AC32:AC33)</f>
        <v>57499.147549254507</v>
      </c>
      <c r="AD34" s="3054">
        <f t="shared" si="167"/>
        <v>67828.26999999999</v>
      </c>
      <c r="AE34" s="2586">
        <f t="shared" ref="AE34:AH34" si="168">SUM(AE32:AE33)</f>
        <v>363500.99737535859</v>
      </c>
      <c r="AF34" s="3054">
        <f t="shared" si="168"/>
        <v>408764.51418</v>
      </c>
      <c r="AG34" s="2586">
        <f t="shared" si="168"/>
        <v>55500.279325031559</v>
      </c>
      <c r="AH34" s="3054">
        <f t="shared" si="168"/>
        <v>44044</v>
      </c>
      <c r="AI34" s="2586">
        <f t="shared" ref="AI34:AL34" si="169">SUM(AI32:AI33)</f>
        <v>419001.2767003901</v>
      </c>
      <c r="AJ34" s="3054">
        <f t="shared" si="169"/>
        <v>452808.51418</v>
      </c>
      <c r="AK34" s="3011">
        <f t="shared" si="169"/>
        <v>58499.543775669597</v>
      </c>
      <c r="AL34" s="2942">
        <f t="shared" si="169"/>
        <v>56653</v>
      </c>
      <c r="AM34" s="454">
        <f t="shared" ref="AM34:AN34" si="170">SUM(AM32:AM33)</f>
        <v>171498.97064995568</v>
      </c>
      <c r="AN34" s="454">
        <f t="shared" si="170"/>
        <v>168525.27</v>
      </c>
      <c r="AO34" s="2586">
        <f t="shared" ref="AO34:AT34" si="171">SUM(AO32:AO33)</f>
        <v>477500.82047605974</v>
      </c>
      <c r="AP34" s="3054">
        <f t="shared" si="171"/>
        <v>509461.51418</v>
      </c>
      <c r="AQ34" s="2586">
        <f t="shared" si="171"/>
        <v>58499.543775669597</v>
      </c>
      <c r="AR34" s="3054">
        <f t="shared" si="171"/>
        <v>53231</v>
      </c>
      <c r="AS34" s="2586">
        <f t="shared" si="171"/>
        <v>536000.36425172933</v>
      </c>
      <c r="AT34" s="3054">
        <f t="shared" si="171"/>
        <v>562692.51417999994</v>
      </c>
      <c r="AU34" s="2586">
        <f t="shared" ref="AU34:AX34" si="172">SUM(AU32:AU33)</f>
        <v>54999.612159368837</v>
      </c>
      <c r="AV34" s="3054">
        <f t="shared" si="172"/>
        <v>60925</v>
      </c>
      <c r="AW34" s="2586">
        <f t="shared" si="172"/>
        <v>590999.97641109815</v>
      </c>
      <c r="AX34" s="3054">
        <f t="shared" si="172"/>
        <v>623617.51417999994</v>
      </c>
      <c r="AY34" s="2586">
        <f t="shared" ref="AY34:AZ34" si="173">SUM(AY32:AY33)</f>
        <v>58999.940002084688</v>
      </c>
      <c r="AZ34" s="3054">
        <f t="shared" si="173"/>
        <v>53034</v>
      </c>
      <c r="BA34" s="454">
        <f t="shared" ref="BA34:BD34" si="174">SUM(BA32:BA33)</f>
        <v>172499.09593712311</v>
      </c>
      <c r="BB34" s="454">
        <f t="shared" si="174"/>
        <v>167190</v>
      </c>
      <c r="BC34" s="660">
        <f t="shared" si="174"/>
        <v>343998.06658707873</v>
      </c>
      <c r="BD34" s="660">
        <f t="shared" si="174"/>
        <v>335715.26999999996</v>
      </c>
      <c r="BE34" s="5231">
        <f t="shared" ref="BE34:BF34" si="175">SUM(BE32:BE33)</f>
        <v>649999.91641318286</v>
      </c>
      <c r="BF34" s="5231">
        <f t="shared" si="175"/>
        <v>676651.51417999994</v>
      </c>
      <c r="BG34" s="1957">
        <v>660000.01387175487</v>
      </c>
      <c r="BH34" s="1957">
        <v>711198.95600000001</v>
      </c>
      <c r="BI34" s="1957">
        <v>669999.10878236312</v>
      </c>
      <c r="BJ34" s="1957">
        <v>832014.92464244016</v>
      </c>
      <c r="BK34" s="1957">
        <v>904433.82567653409</v>
      </c>
      <c r="BL34" s="1957">
        <v>937874.53289999999</v>
      </c>
      <c r="BM34" s="1957">
        <f>SUM(BM32:BM33)</f>
        <v>571999.74093264237</v>
      </c>
      <c r="BN34" s="3080">
        <f>SUM(BN32:BN33)</f>
        <v>877839.95550700894</v>
      </c>
      <c r="BO34" s="26"/>
      <c r="BP34" s="26"/>
      <c r="BQ34" s="2062"/>
      <c r="BR34" s="2062"/>
      <c r="BS34" s="2062"/>
      <c r="BT34" s="2062"/>
    </row>
    <row r="35" spans="1:72" ht="15" customHeight="1" thickBot="1" x14ac:dyDescent="0.3">
      <c r="B35" s="3030" t="s">
        <v>1764</v>
      </c>
      <c r="C35" s="2944" t="s">
        <v>52</v>
      </c>
      <c r="D35" s="3019">
        <f t="shared" ref="D35:AD35" si="176">+D31+D34</f>
        <v>2524999.9164131824</v>
      </c>
      <c r="E35" s="4823">
        <f t="shared" si="176"/>
        <v>213500.48687222728</v>
      </c>
      <c r="F35" s="1665">
        <f t="shared" si="176"/>
        <v>206040.94200000001</v>
      </c>
      <c r="G35" s="4823">
        <f t="shared" ref="G35:H35" si="177">+G31+G34</f>
        <v>178000.44144996407</v>
      </c>
      <c r="H35" s="1665">
        <f t="shared" si="177"/>
        <v>163072.95600000001</v>
      </c>
      <c r="I35" s="4823">
        <f t="shared" si="176"/>
        <v>391500.92832219135</v>
      </c>
      <c r="J35" s="1665">
        <f t="shared" si="176"/>
        <v>369113.89800000004</v>
      </c>
      <c r="K35" s="4823">
        <f t="shared" si="176"/>
        <v>173500.27133862226</v>
      </c>
      <c r="L35" s="1665">
        <f t="shared" si="176"/>
        <v>178989.56200000003</v>
      </c>
      <c r="M35" s="929">
        <f t="shared" si="176"/>
        <v>565001.19966081367</v>
      </c>
      <c r="N35" s="208">
        <f t="shared" si="176"/>
        <v>548103.46000000008</v>
      </c>
      <c r="O35" s="4823">
        <f t="shared" ref="O35:P35" si="178">+O31+O34</f>
        <v>216500.37423437476</v>
      </c>
      <c r="P35" s="1665">
        <f t="shared" si="178"/>
        <v>215496.08700000009</v>
      </c>
      <c r="Q35" s="1404">
        <f t="shared" si="176"/>
        <v>781501.57389518828</v>
      </c>
      <c r="R35" s="1405">
        <f t="shared" si="176"/>
        <v>763599.54700000014</v>
      </c>
      <c r="S35" s="4823">
        <f t="shared" si="176"/>
        <v>216500.37396437474</v>
      </c>
      <c r="T35" s="1665">
        <f t="shared" si="176"/>
        <v>216475.73580000008</v>
      </c>
      <c r="U35" s="1404">
        <f t="shared" ref="U35:X35" si="179">+U31+U34</f>
        <v>998001.94785956317</v>
      </c>
      <c r="V35" s="1405">
        <f t="shared" si="179"/>
        <v>980075.28280000016</v>
      </c>
      <c r="W35" s="3011">
        <f t="shared" si="179"/>
        <v>209999.90196654096</v>
      </c>
      <c r="X35" s="2942">
        <f t="shared" si="179"/>
        <v>206020.5333800001</v>
      </c>
      <c r="Y35" s="454">
        <f t="shared" si="176"/>
        <v>643000.65016529046</v>
      </c>
      <c r="Z35" s="454">
        <f t="shared" si="176"/>
        <v>637992.35618000024</v>
      </c>
      <c r="AA35" s="660">
        <f t="shared" si="176"/>
        <v>1208001.849826104</v>
      </c>
      <c r="AB35" s="660">
        <f t="shared" si="176"/>
        <v>1186095.8161800005</v>
      </c>
      <c r="AC35" s="4823">
        <f t="shared" si="176"/>
        <v>222499.1475492545</v>
      </c>
      <c r="AD35" s="1665">
        <f t="shared" si="176"/>
        <v>210263.60000000006</v>
      </c>
      <c r="AE35" s="4823">
        <f t="shared" ref="AE35:AH35" si="180">+AE31+AE34</f>
        <v>1430500.9973753586</v>
      </c>
      <c r="AF35" s="1665">
        <f t="shared" si="180"/>
        <v>1396359.4161800004</v>
      </c>
      <c r="AG35" s="4823">
        <f t="shared" si="180"/>
        <v>215500.27932503156</v>
      </c>
      <c r="AH35" s="1665">
        <f t="shared" si="180"/>
        <v>184976.70904000005</v>
      </c>
      <c r="AI35" s="4823">
        <f t="shared" ref="AI35:AN35" si="181">+AI31+AI34</f>
        <v>1646001.27670039</v>
      </c>
      <c r="AJ35" s="1665">
        <f t="shared" si="181"/>
        <v>1581336.1252200003</v>
      </c>
      <c r="AK35" s="3011">
        <f t="shared" si="181"/>
        <v>223499.54377566959</v>
      </c>
      <c r="AL35" s="2942">
        <f t="shared" si="181"/>
        <v>206763.85700000002</v>
      </c>
      <c r="AM35" s="454">
        <f t="shared" si="181"/>
        <v>661498.97064995568</v>
      </c>
      <c r="AN35" s="454">
        <f t="shared" si="181"/>
        <v>602004.16604000016</v>
      </c>
      <c r="AO35" s="4823">
        <f t="shared" ref="AO35:AT35" si="182">+AO31+AO34</f>
        <v>1869500.8204760598</v>
      </c>
      <c r="AP35" s="1665">
        <f t="shared" si="182"/>
        <v>1788099.9822200006</v>
      </c>
      <c r="AQ35" s="4823">
        <f t="shared" si="182"/>
        <v>223499.54377566959</v>
      </c>
      <c r="AR35" s="1665">
        <f t="shared" si="182"/>
        <v>209101.95400000009</v>
      </c>
      <c r="AS35" s="4823">
        <f t="shared" si="182"/>
        <v>2093000.3642517293</v>
      </c>
      <c r="AT35" s="1665">
        <f t="shared" si="182"/>
        <v>1997201.9362200005</v>
      </c>
      <c r="AU35" s="4823">
        <f t="shared" ref="AU35:BF35" si="183">+AU31+AU34</f>
        <v>207999.61215936884</v>
      </c>
      <c r="AV35" s="1665">
        <f t="shared" si="183"/>
        <v>205161.99000000005</v>
      </c>
      <c r="AW35" s="4823">
        <f t="shared" si="183"/>
        <v>2300999.9764110981</v>
      </c>
      <c r="AX35" s="1665">
        <f t="shared" si="183"/>
        <v>2202363.9262200007</v>
      </c>
      <c r="AY35" s="4823">
        <f t="shared" ref="AY35:AZ35" si="184">+AY31+AY34</f>
        <v>223999.94000208468</v>
      </c>
      <c r="AZ35" s="1665">
        <f t="shared" si="184"/>
        <v>207280.19800000009</v>
      </c>
      <c r="BA35" s="454">
        <f t="shared" si="183"/>
        <v>655499.09593712306</v>
      </c>
      <c r="BB35" s="454">
        <f t="shared" si="183"/>
        <v>621544.14200000023</v>
      </c>
      <c r="BC35" s="660">
        <f t="shared" si="183"/>
        <v>1316998.0665870789</v>
      </c>
      <c r="BD35" s="660">
        <f t="shared" si="183"/>
        <v>1223548.3080400005</v>
      </c>
      <c r="BE35" s="4823">
        <f t="shared" si="183"/>
        <v>2524999.9164131829</v>
      </c>
      <c r="BF35" s="1665">
        <f t="shared" si="183"/>
        <v>2409644.1242200006</v>
      </c>
      <c r="BG35" s="1419">
        <v>2410000.013871755</v>
      </c>
      <c r="BH35" s="1419">
        <v>2315207.7896199999</v>
      </c>
      <c r="BI35" s="1419">
        <v>2369999.1087823631</v>
      </c>
      <c r="BJ35" s="1419">
        <v>2160425.8186956542</v>
      </c>
      <c r="BK35" s="1419">
        <v>2235274.9274697341</v>
      </c>
      <c r="BL35" s="1419">
        <v>1823884.355038991</v>
      </c>
      <c r="BM35" s="1419">
        <f>+BM31+BM34</f>
        <v>2406999.7409326425</v>
      </c>
      <c r="BN35" s="3079">
        <f>+BN31+BN34</f>
        <v>2093720.1667959802</v>
      </c>
      <c r="BO35" s="26"/>
      <c r="BP35" s="26"/>
      <c r="BQ35" s="2062"/>
      <c r="BR35" s="2062"/>
      <c r="BS35" s="2062"/>
      <c r="BT35" s="2062"/>
    </row>
    <row r="36" spans="1:72" ht="15" customHeight="1" x14ac:dyDescent="0.25">
      <c r="A36" s="183"/>
      <c r="B36" s="3034" t="s">
        <v>3</v>
      </c>
      <c r="C36" s="3077"/>
      <c r="D36" s="4803"/>
      <c r="E36" s="4803"/>
      <c r="F36" s="4803"/>
      <c r="G36" s="4803"/>
      <c r="H36" s="4803"/>
      <c r="I36" s="4803"/>
      <c r="J36" s="4803"/>
      <c r="K36" s="4803"/>
      <c r="L36" s="4803"/>
      <c r="M36" s="4803"/>
      <c r="N36" s="4803"/>
      <c r="O36" s="4803"/>
      <c r="P36" s="4803"/>
      <c r="Q36" s="4803"/>
      <c r="R36" s="4803"/>
      <c r="S36" s="4803"/>
      <c r="T36" s="4803"/>
      <c r="U36" s="4803"/>
      <c r="V36" s="4803"/>
      <c r="W36" s="4803"/>
      <c r="X36" s="4803"/>
      <c r="Y36" s="4803"/>
      <c r="Z36" s="4803"/>
      <c r="AA36" s="4803"/>
      <c r="AB36" s="5932"/>
      <c r="AC36" s="4803"/>
      <c r="AD36" s="4803"/>
      <c r="AE36" s="4803"/>
      <c r="AF36" s="4803"/>
      <c r="AG36" s="4803"/>
      <c r="AH36" s="4803"/>
      <c r="AI36" s="4803"/>
      <c r="AJ36" s="4803"/>
      <c r="AK36" s="4803"/>
      <c r="AL36" s="4803"/>
      <c r="AM36" s="4803"/>
      <c r="AN36" s="4803"/>
      <c r="AO36" s="4803"/>
      <c r="AP36" s="4803"/>
      <c r="AQ36" s="4803"/>
      <c r="AR36" s="4803"/>
      <c r="AS36" s="4803"/>
      <c r="AT36" s="4803"/>
      <c r="AU36" s="4803"/>
      <c r="AV36" s="4803"/>
      <c r="AW36" s="4803"/>
      <c r="AX36" s="4803"/>
      <c r="AY36" s="4803"/>
      <c r="AZ36" s="4803"/>
      <c r="BA36" s="4803"/>
      <c r="BB36" s="4803"/>
      <c r="BC36" s="4803"/>
      <c r="BD36" s="5933"/>
      <c r="BE36" s="4803"/>
      <c r="BF36" s="4803"/>
      <c r="BG36" s="3077"/>
      <c r="BH36" s="3077"/>
      <c r="BI36" s="3077"/>
      <c r="BJ36" s="3077"/>
      <c r="BK36" s="3077"/>
      <c r="BL36" s="3077"/>
      <c r="BM36" s="3077"/>
      <c r="BN36" s="3078"/>
      <c r="BO36" s="26"/>
      <c r="BP36" s="26"/>
      <c r="BQ36" s="2062"/>
      <c r="BR36" s="2062"/>
      <c r="BS36" s="2062"/>
      <c r="BT36" s="2062"/>
    </row>
    <row r="37" spans="1:72" ht="15" customHeight="1" x14ac:dyDescent="0.25">
      <c r="B37" s="3035" t="s">
        <v>708</v>
      </c>
      <c r="C37" s="3006" t="s">
        <v>52</v>
      </c>
      <c r="D37" s="6040">
        <f>+D28</f>
        <v>500000</v>
      </c>
      <c r="E37" s="6015">
        <f>+E28</f>
        <v>42500</v>
      </c>
      <c r="F37" s="18">
        <f>+WRM!F165</f>
        <v>38790.100000000013</v>
      </c>
      <c r="G37" s="6015">
        <f>+G28</f>
        <v>36500</v>
      </c>
      <c r="H37" s="18">
        <f>+WRM!H165</f>
        <v>24710.700000000004</v>
      </c>
      <c r="I37" s="6016">
        <f>+E37+G37</f>
        <v>79000</v>
      </c>
      <c r="J37" s="53">
        <f>+F37+H37</f>
        <v>63500.800000000017</v>
      </c>
      <c r="K37" s="6015">
        <f>+K28</f>
        <v>34000</v>
      </c>
      <c r="L37" s="18">
        <f>+WRM!L165</f>
        <v>32975.4</v>
      </c>
      <c r="M37" s="6020">
        <f>+E37+G37+K37</f>
        <v>113000</v>
      </c>
      <c r="N37" s="98">
        <f t="shared" ref="M37:N44" si="185">+F37+H37+L37</f>
        <v>96476.200000000012</v>
      </c>
      <c r="O37" s="6015">
        <f>+O28</f>
        <v>43500</v>
      </c>
      <c r="P37" s="18">
        <f>+WRM!P165</f>
        <v>41411.410000000003</v>
      </c>
      <c r="Q37" s="6016">
        <f>+M37+O37</f>
        <v>156500</v>
      </c>
      <c r="R37" s="53">
        <f t="shared" ref="Q37:R41" si="186">+N37+P37</f>
        <v>137887.61000000002</v>
      </c>
      <c r="S37" s="6015">
        <f>+S28</f>
        <v>43500</v>
      </c>
      <c r="T37" s="18">
        <f>+WRM!T165</f>
        <v>46120.900000000009</v>
      </c>
      <c r="U37" s="6016">
        <f>+Q37+S37</f>
        <v>200000</v>
      </c>
      <c r="V37" s="53">
        <f t="shared" ref="V37:V41" si="187">+R37+T37</f>
        <v>184008.51</v>
      </c>
      <c r="W37" s="6026">
        <f>+W28</f>
        <v>42500</v>
      </c>
      <c r="X37" s="2941">
        <f>+WRM!X165</f>
        <v>44910.375000000007</v>
      </c>
      <c r="Y37" s="6025">
        <f>+O37+S37+W37</f>
        <v>129500</v>
      </c>
      <c r="Z37" s="4771">
        <f t="shared" ref="Z37:Z43" si="188">+P37+T37+X37</f>
        <v>132442.68500000003</v>
      </c>
      <c r="AA37" s="6024">
        <f>+M37+Y37</f>
        <v>242500</v>
      </c>
      <c r="AB37" s="4773">
        <f>+N37+Z37</f>
        <v>228918.88500000004</v>
      </c>
      <c r="AC37" s="6015">
        <f>+AC28</f>
        <v>43500</v>
      </c>
      <c r="AD37" s="2941">
        <f>+WRM!AD165</f>
        <v>42767.049999999988</v>
      </c>
      <c r="AE37" s="6016">
        <f>+AA37+AC37</f>
        <v>286000</v>
      </c>
      <c r="AF37" s="53">
        <f>+AB37+AD37</f>
        <v>271685.93500000006</v>
      </c>
      <c r="AG37" s="6015">
        <f>+AG28</f>
        <v>42500</v>
      </c>
      <c r="AH37" s="2941">
        <f>+WRM!AH165</f>
        <v>40266.100000000006</v>
      </c>
      <c r="AI37" s="6016">
        <f>+AE37+AG37</f>
        <v>328500</v>
      </c>
      <c r="AJ37" s="53">
        <f>+AF37+AH37</f>
        <v>311952.03500000003</v>
      </c>
      <c r="AK37" s="6026">
        <f>+AK28</f>
        <v>43500</v>
      </c>
      <c r="AL37" s="2941">
        <v>41541.200000000004</v>
      </c>
      <c r="AM37" s="6025">
        <f>+AC37+AG37+AK37</f>
        <v>129500</v>
      </c>
      <c r="AN37" s="4771">
        <f t="shared" ref="AN37:AN43" si="189">+AD37+AH37+AL37</f>
        <v>124574.35</v>
      </c>
      <c r="AO37" s="6016">
        <f>AI37+AK37</f>
        <v>372000</v>
      </c>
      <c r="AP37" s="4768">
        <f t="shared" ref="AP37:AP49" si="190">AJ37+AL37</f>
        <v>353493.23500000004</v>
      </c>
      <c r="AQ37" s="6015">
        <f>+AQ28</f>
        <v>43500</v>
      </c>
      <c r="AR37" s="2941">
        <v>43760.85</v>
      </c>
      <c r="AS37" s="6016">
        <f>+AO37+AQ37</f>
        <v>415500</v>
      </c>
      <c r="AT37" s="53">
        <f>+AP37+AR37</f>
        <v>397254.08500000002</v>
      </c>
      <c r="AU37" s="6015">
        <f>+AU28</f>
        <v>41000</v>
      </c>
      <c r="AV37" s="2941">
        <v>36414.15</v>
      </c>
      <c r="AW37" s="6016">
        <f>+AS37+AU37</f>
        <v>456500</v>
      </c>
      <c r="AX37" s="53">
        <f>+AT37+AV37</f>
        <v>433668.23500000004</v>
      </c>
      <c r="AY37" s="6015">
        <f>+AY28</f>
        <v>43500</v>
      </c>
      <c r="AZ37" s="2941">
        <v>38134.100000000006</v>
      </c>
      <c r="BA37" s="6025">
        <f>+AQ37+AU37+AY37</f>
        <v>128000</v>
      </c>
      <c r="BB37" s="5020">
        <f t="shared" ref="BB37:BB43" si="191">+AR37+AV37+AZ37</f>
        <v>118309.1</v>
      </c>
      <c r="BC37" s="6024">
        <f>AM37+BA37</f>
        <v>257500</v>
      </c>
      <c r="BD37" s="5022">
        <f>AN37+BB37</f>
        <v>242883.45</v>
      </c>
      <c r="BE37" s="6016">
        <f>AW37+AY37</f>
        <v>500000</v>
      </c>
      <c r="BF37" s="5018">
        <f t="shared" ref="BF37:BF44" si="192">AX37+AZ37</f>
        <v>471802.33500000008</v>
      </c>
      <c r="BG37" s="6027">
        <v>500000</v>
      </c>
      <c r="BH37" s="2939">
        <v>410762.6</v>
      </c>
      <c r="BI37" s="6019">
        <f>+BI28</f>
        <v>500000</v>
      </c>
      <c r="BJ37" s="2939">
        <v>456374.83600000001</v>
      </c>
      <c r="BK37" s="6019">
        <f>+BK28</f>
        <v>435965.96179320005</v>
      </c>
      <c r="BL37" s="2939">
        <v>333534.61200000002</v>
      </c>
      <c r="BM37" s="6019">
        <v>500000</v>
      </c>
      <c r="BN37" s="1369">
        <v>270654.57</v>
      </c>
      <c r="BO37" s="26"/>
      <c r="BP37" s="26"/>
      <c r="BQ37" s="2062"/>
      <c r="BR37" s="2062"/>
      <c r="BS37" s="2062"/>
      <c r="BT37" s="2062"/>
    </row>
    <row r="38" spans="1:72" ht="15" customHeight="1" x14ac:dyDescent="0.25">
      <c r="B38" s="3035" t="s">
        <v>650</v>
      </c>
      <c r="C38" s="3006" t="s">
        <v>52</v>
      </c>
      <c r="D38" s="6040"/>
      <c r="E38" s="6015"/>
      <c r="F38" s="18">
        <f>+WRM!F166</f>
        <v>0</v>
      </c>
      <c r="G38" s="6015"/>
      <c r="H38" s="18">
        <f>+WRM!H166</f>
        <v>6726.0499999999956</v>
      </c>
      <c r="I38" s="6016"/>
      <c r="J38" s="53">
        <f t="shared" ref="J38:J43" si="193">+F38+H38</f>
        <v>6726.0499999999956</v>
      </c>
      <c r="K38" s="6015"/>
      <c r="L38" s="18">
        <f>+WRM!L166</f>
        <v>0</v>
      </c>
      <c r="M38" s="6020"/>
      <c r="N38" s="98">
        <f t="shared" si="185"/>
        <v>6726.0499999999956</v>
      </c>
      <c r="O38" s="6015"/>
      <c r="P38" s="18">
        <f>+WRM!P166</f>
        <v>0</v>
      </c>
      <c r="Q38" s="6016"/>
      <c r="R38" s="53">
        <f t="shared" si="186"/>
        <v>6726.0499999999956</v>
      </c>
      <c r="S38" s="6015"/>
      <c r="T38" s="18">
        <f>+WRM!T166</f>
        <v>0</v>
      </c>
      <c r="U38" s="6016"/>
      <c r="V38" s="53">
        <f t="shared" si="187"/>
        <v>6726.0499999999956</v>
      </c>
      <c r="W38" s="6026"/>
      <c r="X38" s="2941">
        <f>+WRM!X166</f>
        <v>0</v>
      </c>
      <c r="Y38" s="6025"/>
      <c r="Z38" s="4771">
        <f t="shared" si="188"/>
        <v>0</v>
      </c>
      <c r="AA38" s="6024"/>
      <c r="AB38" s="4773">
        <f t="shared" ref="AB38:AB44" si="194">+N38+Z38</f>
        <v>6726.0499999999956</v>
      </c>
      <c r="AC38" s="6015"/>
      <c r="AD38" s="2941">
        <f>+WRM!AD166</f>
        <v>0</v>
      </c>
      <c r="AE38" s="6016"/>
      <c r="AF38" s="53">
        <f t="shared" ref="AF38:AF43" si="195">+AB38+AD38</f>
        <v>6726.0499999999956</v>
      </c>
      <c r="AG38" s="6015"/>
      <c r="AH38" s="2941">
        <f>+WRM!AH166</f>
        <v>0</v>
      </c>
      <c r="AI38" s="6016"/>
      <c r="AJ38" s="53">
        <f t="shared" ref="AJ38:AJ43" si="196">+AF38+AH38</f>
        <v>6726.0499999999956</v>
      </c>
      <c r="AK38" s="6026"/>
      <c r="AL38" s="2941">
        <v>0</v>
      </c>
      <c r="AM38" s="6025"/>
      <c r="AN38" s="4771">
        <f t="shared" si="189"/>
        <v>0</v>
      </c>
      <c r="AO38" s="6016"/>
      <c r="AP38" s="4768">
        <f t="shared" si="190"/>
        <v>6726.0499999999956</v>
      </c>
      <c r="AQ38" s="6015"/>
      <c r="AR38" s="2941">
        <v>0</v>
      </c>
      <c r="AS38" s="6016"/>
      <c r="AT38" s="53">
        <f t="shared" ref="AT38:AT43" si="197">+AP38+AR38</f>
        <v>6726.0499999999956</v>
      </c>
      <c r="AU38" s="6015"/>
      <c r="AV38" s="2941">
        <v>0</v>
      </c>
      <c r="AW38" s="6016"/>
      <c r="AX38" s="53">
        <f t="shared" ref="AX38:AX43" si="198">+AT38+AV38</f>
        <v>6726.0499999999956</v>
      </c>
      <c r="AY38" s="6015"/>
      <c r="AZ38" s="2941">
        <v>0</v>
      </c>
      <c r="BA38" s="6025"/>
      <c r="BB38" s="5020">
        <f t="shared" si="191"/>
        <v>0</v>
      </c>
      <c r="BC38" s="6024"/>
      <c r="BD38" s="5022">
        <f t="shared" ref="BD38:BD44" si="199">AN38+BB38</f>
        <v>0</v>
      </c>
      <c r="BE38" s="6016"/>
      <c r="BF38" s="5018">
        <f t="shared" si="192"/>
        <v>6726.0499999999956</v>
      </c>
      <c r="BG38" s="6028"/>
      <c r="BH38" s="2939">
        <v>55352.050000000025</v>
      </c>
      <c r="BI38" s="6019"/>
      <c r="BJ38" s="2939">
        <v>8968.93</v>
      </c>
      <c r="BK38" s="6019"/>
      <c r="BL38" s="2939">
        <v>22983.766</v>
      </c>
      <c r="BM38" s="6019"/>
      <c r="BN38" s="1369">
        <v>141370.65</v>
      </c>
      <c r="BO38" s="26"/>
      <c r="BP38" s="26"/>
      <c r="BQ38" s="2062"/>
      <c r="BR38" s="2062"/>
      <c r="BS38" s="2062"/>
      <c r="BT38" s="2062"/>
    </row>
    <row r="39" spans="1:72" ht="15" customHeight="1" x14ac:dyDescent="0.25">
      <c r="B39" s="3035" t="s">
        <v>649</v>
      </c>
      <c r="C39" s="3006" t="s">
        <v>52</v>
      </c>
      <c r="D39" s="4774">
        <f>+D29</f>
        <v>850000</v>
      </c>
      <c r="E39" s="4769">
        <f>+E29</f>
        <v>72500</v>
      </c>
      <c r="F39" s="18">
        <f>+F29</f>
        <v>70044.755000000005</v>
      </c>
      <c r="G39" s="4769">
        <f>+G29</f>
        <v>62500</v>
      </c>
      <c r="H39" s="18">
        <f>+H29</f>
        <v>56061.496000000021</v>
      </c>
      <c r="I39" s="4768">
        <f>+E39+G39</f>
        <v>135000</v>
      </c>
      <c r="J39" s="53">
        <f t="shared" si="193"/>
        <v>126106.25100000002</v>
      </c>
      <c r="K39" s="4769">
        <f>+K29</f>
        <v>47000</v>
      </c>
      <c r="L39" s="18">
        <f>+L29</f>
        <v>54192.347000000016</v>
      </c>
      <c r="M39" s="4772">
        <f t="shared" si="185"/>
        <v>182000</v>
      </c>
      <c r="N39" s="98">
        <f t="shared" si="185"/>
        <v>180298.59800000003</v>
      </c>
      <c r="O39" s="4769">
        <f>+O29</f>
        <v>75000</v>
      </c>
      <c r="P39" s="18">
        <f>+P29</f>
        <v>73996.973000000085</v>
      </c>
      <c r="Q39" s="4768">
        <f t="shared" si="186"/>
        <v>257000</v>
      </c>
      <c r="R39" s="53">
        <f t="shared" si="186"/>
        <v>254295.57100000011</v>
      </c>
      <c r="S39" s="4769">
        <f>+S29</f>
        <v>75000</v>
      </c>
      <c r="T39" s="18">
        <f>+T29</f>
        <v>81550.701000000059</v>
      </c>
      <c r="U39" s="4768">
        <f t="shared" ref="U39" si="200">+Q39+S39</f>
        <v>332000</v>
      </c>
      <c r="V39" s="53">
        <f t="shared" si="187"/>
        <v>335846.27200000017</v>
      </c>
      <c r="W39" s="4770">
        <f>+W29</f>
        <v>73000</v>
      </c>
      <c r="X39" s="3616">
        <f>+X29</f>
        <v>66170.788000000088</v>
      </c>
      <c r="Y39" s="4771">
        <f>+O39+S39+W39</f>
        <v>223000</v>
      </c>
      <c r="Z39" s="4771">
        <f t="shared" si="188"/>
        <v>221718.46200000023</v>
      </c>
      <c r="AA39" s="4773">
        <f>+M39+Y39</f>
        <v>405000</v>
      </c>
      <c r="AB39" s="4773">
        <f t="shared" si="194"/>
        <v>402017.06000000029</v>
      </c>
      <c r="AC39" s="4769">
        <f>+AC29</f>
        <v>75500</v>
      </c>
      <c r="AD39" s="18">
        <f>+AD29</f>
        <v>61010.230000000083</v>
      </c>
      <c r="AE39" s="4768">
        <f>+AA39+AC39</f>
        <v>480500</v>
      </c>
      <c r="AF39" s="53">
        <f t="shared" si="195"/>
        <v>463027.29000000039</v>
      </c>
      <c r="AG39" s="4769">
        <f>+AG29</f>
        <v>73000</v>
      </c>
      <c r="AH39" s="18">
        <v>59054.402000000053</v>
      </c>
      <c r="AI39" s="4768">
        <f>+AE39+AG39</f>
        <v>553500</v>
      </c>
      <c r="AJ39" s="53">
        <f t="shared" si="196"/>
        <v>522081.69200000045</v>
      </c>
      <c r="AK39" s="4770">
        <f>+AK29</f>
        <v>75500</v>
      </c>
      <c r="AL39" s="3616">
        <f>+AL29</f>
        <v>67544.47</v>
      </c>
      <c r="AM39" s="4771">
        <f>+AC39+AG39+AK39</f>
        <v>224000</v>
      </c>
      <c r="AN39" s="4771">
        <f t="shared" si="189"/>
        <v>187609.10200000013</v>
      </c>
      <c r="AO39" s="4768">
        <f>AI39+AK39</f>
        <v>629000</v>
      </c>
      <c r="AP39" s="4768">
        <f t="shared" si="190"/>
        <v>589626.16200000048</v>
      </c>
      <c r="AQ39" s="4769">
        <f>+AQ29</f>
        <v>75500</v>
      </c>
      <c r="AR39" s="18">
        <v>70905.326000000059</v>
      </c>
      <c r="AS39" s="4768">
        <f>+AO39+AQ39</f>
        <v>704500</v>
      </c>
      <c r="AT39" s="53">
        <f t="shared" si="197"/>
        <v>660531.48800000059</v>
      </c>
      <c r="AU39" s="4769">
        <f>+AU29</f>
        <v>70000</v>
      </c>
      <c r="AV39" s="18">
        <v>65231.440000000068</v>
      </c>
      <c r="AW39" s="4768">
        <f>+AS39+AU39</f>
        <v>774500</v>
      </c>
      <c r="AX39" s="53">
        <f t="shared" si="198"/>
        <v>725762.92800000065</v>
      </c>
      <c r="AY39" s="5019">
        <f>+AY29</f>
        <v>75500</v>
      </c>
      <c r="AZ39" s="18">
        <v>69559.345000000088</v>
      </c>
      <c r="BA39" s="5020">
        <f>+AQ39+AU39+AY39</f>
        <v>221000</v>
      </c>
      <c r="BB39" s="5020">
        <f t="shared" si="191"/>
        <v>205696.11100000021</v>
      </c>
      <c r="BC39" s="5022">
        <f>AM39+BA39</f>
        <v>445000</v>
      </c>
      <c r="BD39" s="5022">
        <f t="shared" si="199"/>
        <v>393305.21300000034</v>
      </c>
      <c r="BE39" s="5018">
        <f>AW39+AY39</f>
        <v>850000</v>
      </c>
      <c r="BF39" s="5018">
        <f t="shared" si="192"/>
        <v>795322.27300000074</v>
      </c>
      <c r="BG39" s="2939">
        <v>780000</v>
      </c>
      <c r="BH39" s="2939">
        <v>775906.62549999985</v>
      </c>
      <c r="BI39" s="2939">
        <v>750000</v>
      </c>
      <c r="BJ39" s="2939">
        <v>649840.96399999992</v>
      </c>
      <c r="BK39" s="2939">
        <f>+BK29</f>
        <v>674875.14</v>
      </c>
      <c r="BL39" s="2939">
        <v>440547.14499999996</v>
      </c>
      <c r="BM39" s="2939">
        <v>800000</v>
      </c>
      <c r="BN39" s="1369">
        <v>632220.18000000005</v>
      </c>
      <c r="BO39" s="26"/>
      <c r="BP39" s="26"/>
      <c r="BQ39" s="2062"/>
      <c r="BR39" s="2062"/>
      <c r="BS39" s="2062"/>
      <c r="BT39" s="2062"/>
    </row>
    <row r="40" spans="1:72" ht="15" customHeight="1" x14ac:dyDescent="0.25">
      <c r="B40" s="3035" t="s">
        <v>1238</v>
      </c>
      <c r="C40" s="3006" t="s">
        <v>52</v>
      </c>
      <c r="D40" s="6006">
        <f>+D30</f>
        <v>525000</v>
      </c>
      <c r="E40" s="6007">
        <f>+E30</f>
        <v>44500</v>
      </c>
      <c r="F40" s="18">
        <v>26875</v>
      </c>
      <c r="G40" s="6007">
        <f>+G30</f>
        <v>37500</v>
      </c>
      <c r="H40" s="18">
        <v>14939.49</v>
      </c>
      <c r="I40" s="6016">
        <f>+G40+E40</f>
        <v>82000</v>
      </c>
      <c r="J40" s="53">
        <f t="shared" si="193"/>
        <v>41814.49</v>
      </c>
      <c r="K40" s="6007">
        <f>+K30</f>
        <v>36000</v>
      </c>
      <c r="L40" s="18">
        <v>21806.959999999999</v>
      </c>
      <c r="M40" s="6020">
        <f>+K40+G40+E40</f>
        <v>118000</v>
      </c>
      <c r="N40" s="98">
        <f t="shared" si="185"/>
        <v>63621.45</v>
      </c>
      <c r="O40" s="6007">
        <f>+O30</f>
        <v>46000</v>
      </c>
      <c r="P40" s="18">
        <v>21694.560000000001</v>
      </c>
      <c r="Q40" s="6016">
        <f>+M40+O40</f>
        <v>164000</v>
      </c>
      <c r="R40" s="53">
        <f t="shared" si="186"/>
        <v>85316.01</v>
      </c>
      <c r="S40" s="6007">
        <f>+S30</f>
        <v>46000</v>
      </c>
      <c r="T40" s="18">
        <v>33615.366000000002</v>
      </c>
      <c r="U40" s="6016">
        <f>+Q40+S40</f>
        <v>210000</v>
      </c>
      <c r="V40" s="53">
        <f t="shared" si="187"/>
        <v>118931.37599999999</v>
      </c>
      <c r="W40" s="6026">
        <f>+W30</f>
        <v>44500</v>
      </c>
      <c r="X40" s="3616">
        <v>26746.402999999998</v>
      </c>
      <c r="Y40" s="6025">
        <f>+W40+S40+O40</f>
        <v>136500</v>
      </c>
      <c r="Z40" s="4771">
        <f t="shared" si="188"/>
        <v>82056.328999999998</v>
      </c>
      <c r="AA40" s="6008">
        <f>+M40+Y40</f>
        <v>254500</v>
      </c>
      <c r="AB40" s="4773">
        <f t="shared" si="194"/>
        <v>145677.77899999998</v>
      </c>
      <c r="AC40" s="6007">
        <f>+AC30</f>
        <v>46000</v>
      </c>
      <c r="AD40" s="18">
        <v>26323.05</v>
      </c>
      <c r="AE40" s="6016">
        <f>+AC40+AA40</f>
        <v>300500</v>
      </c>
      <c r="AF40" s="53">
        <f t="shared" si="195"/>
        <v>172000.82899999997</v>
      </c>
      <c r="AG40" s="6007">
        <f>+AG30</f>
        <v>44500</v>
      </c>
      <c r="AH40" s="18">
        <v>33154.339999999997</v>
      </c>
      <c r="AI40" s="6016">
        <f>+AG40+AE40</f>
        <v>345000</v>
      </c>
      <c r="AJ40" s="53">
        <f t="shared" si="196"/>
        <v>205155.16899999997</v>
      </c>
      <c r="AK40" s="6026">
        <f>+AK30</f>
        <v>46000</v>
      </c>
      <c r="AL40" s="3616">
        <v>27743.84</v>
      </c>
      <c r="AM40" s="6025">
        <f>+AK40+AG40+AC40</f>
        <v>136500</v>
      </c>
      <c r="AN40" s="4771">
        <f t="shared" si="189"/>
        <v>87221.23</v>
      </c>
      <c r="AO40" s="6016">
        <f>AI40+AK40</f>
        <v>391000</v>
      </c>
      <c r="AP40" s="4768">
        <f t="shared" si="190"/>
        <v>232899.00899999996</v>
      </c>
      <c r="AQ40" s="6007">
        <f>+AQ30</f>
        <v>46000</v>
      </c>
      <c r="AR40" s="18">
        <v>28609.52</v>
      </c>
      <c r="AS40" s="6016">
        <f>+AQ40+AO40</f>
        <v>437000</v>
      </c>
      <c r="AT40" s="53">
        <f t="shared" si="197"/>
        <v>261508.52899999995</v>
      </c>
      <c r="AU40" s="6007">
        <f>+AU30</f>
        <v>42000</v>
      </c>
      <c r="AV40" s="18">
        <v>28117.57</v>
      </c>
      <c r="AW40" s="6016">
        <f>+AU40+AS40</f>
        <v>479000</v>
      </c>
      <c r="AX40" s="53">
        <f t="shared" si="198"/>
        <v>289626.09899999993</v>
      </c>
      <c r="AY40" s="6007">
        <f>+AY30</f>
        <v>46000</v>
      </c>
      <c r="AZ40" s="18">
        <v>33322.32</v>
      </c>
      <c r="BA40" s="6025">
        <f>+AY40+AU40+AQ40</f>
        <v>134000</v>
      </c>
      <c r="BB40" s="5020">
        <f t="shared" si="191"/>
        <v>90049.41</v>
      </c>
      <c r="BC40" s="6008">
        <f>AM40+BA40</f>
        <v>270500</v>
      </c>
      <c r="BD40" s="5022">
        <f t="shared" si="199"/>
        <v>177270.64</v>
      </c>
      <c r="BE40" s="6016">
        <f>AW40+AY40</f>
        <v>525000</v>
      </c>
      <c r="BF40" s="5018">
        <f t="shared" si="192"/>
        <v>322948.41899999994</v>
      </c>
      <c r="BG40" s="6027">
        <v>470000</v>
      </c>
      <c r="BH40" s="2937">
        <v>273627.652</v>
      </c>
      <c r="BI40" s="6019">
        <f>+BI30</f>
        <v>450000</v>
      </c>
      <c r="BJ40" s="6027">
        <v>168120</v>
      </c>
      <c r="BK40" s="6019">
        <f>+BK30</f>
        <v>220000</v>
      </c>
      <c r="BL40" s="6027">
        <v>78790</v>
      </c>
      <c r="BM40" s="6019">
        <v>535000</v>
      </c>
      <c r="BN40" s="6041">
        <f>+BN30</f>
        <v>171634.81128897145</v>
      </c>
      <c r="BO40" s="26"/>
      <c r="BP40" s="26"/>
      <c r="BQ40" s="2062"/>
      <c r="BR40" s="2062"/>
      <c r="BS40" s="2062"/>
      <c r="BT40" s="2062"/>
    </row>
    <row r="41" spans="1:72" ht="15" customHeight="1" x14ac:dyDescent="0.25">
      <c r="B41" s="3035" t="s">
        <v>1239</v>
      </c>
      <c r="C41" s="3006" t="s">
        <v>52</v>
      </c>
      <c r="D41" s="6006"/>
      <c r="E41" s="6007"/>
      <c r="F41" s="18">
        <v>0</v>
      </c>
      <c r="G41" s="6007"/>
      <c r="H41" s="18">
        <v>7320.1</v>
      </c>
      <c r="I41" s="6016">
        <f>+E41+G41</f>
        <v>0</v>
      </c>
      <c r="J41" s="53">
        <f t="shared" si="193"/>
        <v>7320.1</v>
      </c>
      <c r="K41" s="6007"/>
      <c r="L41" s="18">
        <v>4683.3999999999996</v>
      </c>
      <c r="M41" s="6020"/>
      <c r="N41" s="98">
        <f t="shared" si="185"/>
        <v>12003.5</v>
      </c>
      <c r="O41" s="6007"/>
      <c r="P41" s="18">
        <v>4813.6819999999989</v>
      </c>
      <c r="Q41" s="6016">
        <f>+M41+O41</f>
        <v>0</v>
      </c>
      <c r="R41" s="53">
        <f t="shared" si="186"/>
        <v>16817.182000000001</v>
      </c>
      <c r="S41" s="6007"/>
      <c r="T41" s="18">
        <v>2816.5849999999996</v>
      </c>
      <c r="U41" s="6016">
        <f>+Q41+S41</f>
        <v>0</v>
      </c>
      <c r="V41" s="53">
        <f t="shared" si="187"/>
        <v>19633.767</v>
      </c>
      <c r="W41" s="6026"/>
      <c r="X41" s="3616">
        <v>0</v>
      </c>
      <c r="Y41" s="6025"/>
      <c r="Z41" s="4771">
        <f t="shared" si="188"/>
        <v>7630.266999999998</v>
      </c>
      <c r="AA41" s="6009"/>
      <c r="AB41" s="4773">
        <f t="shared" si="194"/>
        <v>19633.767</v>
      </c>
      <c r="AC41" s="6007"/>
      <c r="AD41" s="18">
        <v>5096.24</v>
      </c>
      <c r="AE41" s="6016">
        <f>+AA41+AC41</f>
        <v>0</v>
      </c>
      <c r="AF41" s="53">
        <f t="shared" si="195"/>
        <v>24730.006999999998</v>
      </c>
      <c r="AG41" s="6007"/>
      <c r="AH41" s="18">
        <v>2965.5</v>
      </c>
      <c r="AI41" s="6016">
        <f>+AE41+AG41</f>
        <v>0</v>
      </c>
      <c r="AJ41" s="53">
        <f t="shared" si="196"/>
        <v>27695.506999999998</v>
      </c>
      <c r="AK41" s="6026"/>
      <c r="AL41" s="3616">
        <v>2483.0639999999999</v>
      </c>
      <c r="AM41" s="6025"/>
      <c r="AN41" s="4771">
        <f t="shared" si="189"/>
        <v>10544.804</v>
      </c>
      <c r="AO41" s="6016">
        <f>+AK41+AM41</f>
        <v>0</v>
      </c>
      <c r="AP41" s="4768">
        <f t="shared" si="190"/>
        <v>30178.570999999996</v>
      </c>
      <c r="AQ41" s="6007"/>
      <c r="AR41" s="18">
        <v>3466.67</v>
      </c>
      <c r="AS41" s="6016">
        <f>+AO41+AQ41</f>
        <v>0</v>
      </c>
      <c r="AT41" s="53">
        <f t="shared" si="197"/>
        <v>33645.240999999995</v>
      </c>
      <c r="AU41" s="6007"/>
      <c r="AV41" s="18">
        <v>7074.06</v>
      </c>
      <c r="AW41" s="6016">
        <f>+AS41+AU41</f>
        <v>0</v>
      </c>
      <c r="AX41" s="53">
        <f t="shared" si="198"/>
        <v>40719.300999999992</v>
      </c>
      <c r="AY41" s="6007"/>
      <c r="AZ41" s="18">
        <v>6568.76</v>
      </c>
      <c r="BA41" s="6025"/>
      <c r="BB41" s="5020">
        <f t="shared" si="191"/>
        <v>17109.489999999998</v>
      </c>
      <c r="BC41" s="6009"/>
      <c r="BD41" s="5022">
        <f t="shared" si="199"/>
        <v>27654.293999999998</v>
      </c>
      <c r="BE41" s="6016">
        <f>+AY41+BA41</f>
        <v>0</v>
      </c>
      <c r="BF41" s="5018">
        <f t="shared" si="192"/>
        <v>47288.060999999994</v>
      </c>
      <c r="BG41" s="6044"/>
      <c r="BH41" s="2938">
        <v>21791.11</v>
      </c>
      <c r="BI41" s="6019"/>
      <c r="BJ41" s="6028"/>
      <c r="BK41" s="6019"/>
      <c r="BL41" s="6028"/>
      <c r="BM41" s="6019"/>
      <c r="BN41" s="6042"/>
      <c r="BO41" s="26"/>
      <c r="BP41" s="26"/>
      <c r="BQ41" s="2062"/>
      <c r="BR41" s="2062"/>
      <c r="BS41" s="2062"/>
      <c r="BT41" s="2062"/>
    </row>
    <row r="42" spans="1:72" ht="15" customHeight="1" x14ac:dyDescent="0.25">
      <c r="B42" s="3035" t="s">
        <v>984</v>
      </c>
      <c r="C42" s="3006" t="s">
        <v>52</v>
      </c>
      <c r="D42" s="6006"/>
      <c r="E42" s="6007"/>
      <c r="F42" s="18">
        <v>6325.42</v>
      </c>
      <c r="G42" s="6007"/>
      <c r="H42" s="18">
        <v>6776.13</v>
      </c>
      <c r="I42" s="6016">
        <f>+E42+G42</f>
        <v>0</v>
      </c>
      <c r="J42" s="53">
        <f t="shared" si="193"/>
        <v>13101.55</v>
      </c>
      <c r="K42" s="6007"/>
      <c r="L42" s="18">
        <v>2524.241</v>
      </c>
      <c r="M42" s="6020"/>
      <c r="N42" s="98">
        <f t="shared" si="185"/>
        <v>15625.790999999999</v>
      </c>
      <c r="O42" s="6007"/>
      <c r="P42" s="18">
        <v>6692.46</v>
      </c>
      <c r="Q42" s="6016">
        <f>+M42+O42</f>
        <v>0</v>
      </c>
      <c r="R42" s="53">
        <f>+N42+P42</f>
        <v>22318.251</v>
      </c>
      <c r="S42" s="6007"/>
      <c r="T42" s="18">
        <v>7853.762999999999</v>
      </c>
      <c r="U42" s="6016">
        <f>+Q42+S42</f>
        <v>0</v>
      </c>
      <c r="V42" s="53">
        <f>+R42+T42</f>
        <v>30172.013999999999</v>
      </c>
      <c r="W42" s="6026"/>
      <c r="X42" s="3616">
        <v>10500.077999999998</v>
      </c>
      <c r="Y42" s="6025"/>
      <c r="Z42" s="4771">
        <f t="shared" si="188"/>
        <v>25046.300999999996</v>
      </c>
      <c r="AA42" s="6009"/>
      <c r="AB42" s="4773">
        <f t="shared" si="194"/>
        <v>40672.091999999997</v>
      </c>
      <c r="AC42" s="6007"/>
      <c r="AD42" s="18">
        <v>6104.51</v>
      </c>
      <c r="AE42" s="6016">
        <f>+AA42+AC42</f>
        <v>0</v>
      </c>
      <c r="AF42" s="53">
        <f t="shared" si="195"/>
        <v>46776.601999999999</v>
      </c>
      <c r="AG42" s="6007"/>
      <c r="AH42" s="18">
        <v>5492.3719999999994</v>
      </c>
      <c r="AI42" s="6016">
        <f>+AE42+AG42</f>
        <v>0</v>
      </c>
      <c r="AJ42" s="53">
        <f t="shared" si="196"/>
        <v>52268.974000000002</v>
      </c>
      <c r="AK42" s="6026"/>
      <c r="AL42" s="3616">
        <v>10559.16</v>
      </c>
      <c r="AM42" s="6025"/>
      <c r="AN42" s="4771">
        <f t="shared" si="189"/>
        <v>22156.042000000001</v>
      </c>
      <c r="AO42" s="6016">
        <f>+AK42+AM42</f>
        <v>0</v>
      </c>
      <c r="AP42" s="4768">
        <f t="shared" si="190"/>
        <v>62828.134000000005</v>
      </c>
      <c r="AQ42" s="6007"/>
      <c r="AR42" s="18">
        <v>9128.59</v>
      </c>
      <c r="AS42" s="6016">
        <f>+AO42+AQ42</f>
        <v>0</v>
      </c>
      <c r="AT42" s="53">
        <f t="shared" si="197"/>
        <v>71956.724000000002</v>
      </c>
      <c r="AU42" s="6007"/>
      <c r="AV42" s="18">
        <v>7399.77</v>
      </c>
      <c r="AW42" s="6016">
        <f>+AS42+AU42</f>
        <v>0</v>
      </c>
      <c r="AX42" s="53">
        <f t="shared" si="198"/>
        <v>79356.494000000006</v>
      </c>
      <c r="AY42" s="6007"/>
      <c r="AZ42" s="18">
        <v>6661.67</v>
      </c>
      <c r="BA42" s="6025"/>
      <c r="BB42" s="5020">
        <f t="shared" si="191"/>
        <v>23190.03</v>
      </c>
      <c r="BC42" s="6009"/>
      <c r="BD42" s="5022">
        <f t="shared" si="199"/>
        <v>45346.072</v>
      </c>
      <c r="BE42" s="6016">
        <f>+AY42+BA42</f>
        <v>0</v>
      </c>
      <c r="BF42" s="5018">
        <f t="shared" si="192"/>
        <v>86018.164000000004</v>
      </c>
      <c r="BG42" s="6044"/>
      <c r="BH42" s="2939">
        <v>62409.791000000005</v>
      </c>
      <c r="BI42" s="6019"/>
      <c r="BJ42" s="2939">
        <v>44187.109898457304</v>
      </c>
      <c r="BK42" s="6019"/>
      <c r="BL42" s="2939">
        <v>4414.2190468179997</v>
      </c>
      <c r="BM42" s="6019"/>
      <c r="BN42" s="6042"/>
      <c r="BO42" s="26"/>
      <c r="BP42" s="26"/>
      <c r="BQ42" s="2062"/>
      <c r="BR42" s="2062"/>
      <c r="BS42" s="2062"/>
      <c r="BT42" s="2062"/>
    </row>
    <row r="43" spans="1:72" ht="15" customHeight="1" x14ac:dyDescent="0.25">
      <c r="A43" s="26"/>
      <c r="B43" s="3035" t="s">
        <v>709</v>
      </c>
      <c r="C43" s="3006" t="s">
        <v>52</v>
      </c>
      <c r="D43" s="6006"/>
      <c r="E43" s="6007"/>
      <c r="F43" s="18">
        <v>1210.6010000000001</v>
      </c>
      <c r="G43" s="6007"/>
      <c r="H43" s="18">
        <v>0</v>
      </c>
      <c r="I43" s="6016">
        <f>+E43+G43</f>
        <v>0</v>
      </c>
      <c r="J43" s="53">
        <f t="shared" si="193"/>
        <v>1210.6010000000001</v>
      </c>
      <c r="K43" s="6007"/>
      <c r="L43" s="18">
        <v>0</v>
      </c>
      <c r="M43" s="6020"/>
      <c r="N43" s="98">
        <f t="shared" si="185"/>
        <v>1210.6010000000001</v>
      </c>
      <c r="O43" s="6007"/>
      <c r="P43" s="18">
        <v>0</v>
      </c>
      <c r="Q43" s="6016">
        <f>+M43+O43</f>
        <v>0</v>
      </c>
      <c r="R43" s="53">
        <f>+N43+P43</f>
        <v>1210.6010000000001</v>
      </c>
      <c r="S43" s="6007"/>
      <c r="T43" s="18">
        <v>0</v>
      </c>
      <c r="U43" s="6016">
        <f>+Q43+S43</f>
        <v>0</v>
      </c>
      <c r="V43" s="53">
        <f>+R43+T43</f>
        <v>1210.6010000000001</v>
      </c>
      <c r="W43" s="6026"/>
      <c r="X43" s="3616">
        <v>303.346</v>
      </c>
      <c r="Y43" s="6025"/>
      <c r="Z43" s="4771">
        <f t="shared" si="188"/>
        <v>303.346</v>
      </c>
      <c r="AA43" s="6010"/>
      <c r="AB43" s="4773">
        <f t="shared" si="194"/>
        <v>1513.9470000000001</v>
      </c>
      <c r="AC43" s="6007"/>
      <c r="AD43" s="18">
        <v>1134.248</v>
      </c>
      <c r="AE43" s="6016">
        <f>+AA43+AC43</f>
        <v>0</v>
      </c>
      <c r="AF43" s="53">
        <f t="shared" si="195"/>
        <v>2648.1950000000002</v>
      </c>
      <c r="AG43" s="6007"/>
      <c r="AH43" s="18">
        <v>0</v>
      </c>
      <c r="AI43" s="6016">
        <f>+AE43+AG43</f>
        <v>0</v>
      </c>
      <c r="AJ43" s="53">
        <f t="shared" si="196"/>
        <v>2648.1950000000002</v>
      </c>
      <c r="AK43" s="6026"/>
      <c r="AL43" s="3616">
        <v>239.126</v>
      </c>
      <c r="AM43" s="6025"/>
      <c r="AN43" s="4771">
        <f t="shared" si="189"/>
        <v>1373.374</v>
      </c>
      <c r="AO43" s="6016">
        <f>+AK43+AM43</f>
        <v>0</v>
      </c>
      <c r="AP43" s="4768">
        <f t="shared" si="190"/>
        <v>2887.3210000000004</v>
      </c>
      <c r="AQ43" s="6007"/>
      <c r="AR43" s="18">
        <v>0</v>
      </c>
      <c r="AS43" s="6016">
        <f>+AO43+AQ43</f>
        <v>0</v>
      </c>
      <c r="AT43" s="53">
        <f t="shared" si="197"/>
        <v>2887.3210000000004</v>
      </c>
      <c r="AU43" s="6007"/>
      <c r="AV43" s="18">
        <v>0</v>
      </c>
      <c r="AW43" s="6016">
        <f>+AS43+AU43</f>
        <v>0</v>
      </c>
      <c r="AX43" s="53">
        <f t="shared" si="198"/>
        <v>2887.3210000000004</v>
      </c>
      <c r="AY43" s="6007"/>
      <c r="AZ43" s="18">
        <v>0</v>
      </c>
      <c r="BA43" s="6025"/>
      <c r="BB43" s="5020">
        <f t="shared" si="191"/>
        <v>0</v>
      </c>
      <c r="BC43" s="6010"/>
      <c r="BD43" s="5022">
        <f t="shared" si="199"/>
        <v>1373.374</v>
      </c>
      <c r="BE43" s="6016">
        <f>+AY43+BA43</f>
        <v>0</v>
      </c>
      <c r="BF43" s="5018">
        <f t="shared" si="192"/>
        <v>2887.3210000000004</v>
      </c>
      <c r="BG43" s="6028"/>
      <c r="BH43" s="2939">
        <v>4159.1839999999993</v>
      </c>
      <c r="BI43" s="6019"/>
      <c r="BJ43" s="2939">
        <v>920.38654500000007</v>
      </c>
      <c r="BK43" s="6019"/>
      <c r="BL43" s="2939">
        <v>5739.5256319888003</v>
      </c>
      <c r="BM43" s="6019"/>
      <c r="BN43" s="6043"/>
      <c r="BO43" s="26"/>
      <c r="BP43" s="26"/>
      <c r="BQ43" s="2062"/>
      <c r="BR43" s="2062"/>
      <c r="BS43" s="2062"/>
      <c r="BT43" s="2062"/>
    </row>
    <row r="44" spans="1:72" ht="15" customHeight="1" x14ac:dyDescent="0.25">
      <c r="B44" s="3035" t="s">
        <v>710</v>
      </c>
      <c r="C44" s="3006" t="s">
        <v>52</v>
      </c>
      <c r="D44" s="4774">
        <f t="shared" ref="D44:L44" si="201">+D34</f>
        <v>649999.91641318263</v>
      </c>
      <c r="E44" s="4769">
        <f t="shared" si="201"/>
        <v>54000.486872227273</v>
      </c>
      <c r="F44" s="217">
        <f t="shared" si="201"/>
        <v>62795.07</v>
      </c>
      <c r="G44" s="4769">
        <f t="shared" ref="G44:H44" si="202">+G34</f>
        <v>41500.44144996407</v>
      </c>
      <c r="H44" s="217">
        <f t="shared" si="202"/>
        <v>46539</v>
      </c>
      <c r="I44" s="4768">
        <f t="shared" si="201"/>
        <v>95500.92832219135</v>
      </c>
      <c r="J44" s="53">
        <f t="shared" si="201"/>
        <v>109334.07</v>
      </c>
      <c r="K44" s="4769">
        <f t="shared" si="201"/>
        <v>56500.27133862226</v>
      </c>
      <c r="L44" s="217">
        <f t="shared" si="201"/>
        <v>62807.21</v>
      </c>
      <c r="M44" s="4772">
        <f t="shared" si="185"/>
        <v>152001.19966081361</v>
      </c>
      <c r="N44" s="98">
        <f t="shared" si="185"/>
        <v>172141.28</v>
      </c>
      <c r="O44" s="4769">
        <f t="shared" ref="O44:P44" si="203">+O34</f>
        <v>52000.374234374751</v>
      </c>
      <c r="P44" s="217">
        <f t="shared" si="203"/>
        <v>66887</v>
      </c>
      <c r="Q44" s="4768">
        <f t="shared" ref="Q44:AA44" si="204">+Q34</f>
        <v>204001.57389518834</v>
      </c>
      <c r="R44" s="53">
        <f t="shared" si="204"/>
        <v>239028.28</v>
      </c>
      <c r="S44" s="4769">
        <f t="shared" si="204"/>
        <v>52000.373964374739</v>
      </c>
      <c r="T44" s="217">
        <f t="shared" si="204"/>
        <v>44518.4208</v>
      </c>
      <c r="U44" s="4768">
        <f t="shared" ref="U44:X44" si="205">+U34</f>
        <v>256001.94785956311</v>
      </c>
      <c r="V44" s="53">
        <f t="shared" si="205"/>
        <v>283546.70079999999</v>
      </c>
      <c r="W44" s="4770">
        <f t="shared" si="205"/>
        <v>49999.901966540951</v>
      </c>
      <c r="X44" s="3616">
        <f t="shared" si="205"/>
        <v>57389.543380000003</v>
      </c>
      <c r="Y44" s="4771">
        <f t="shared" si="204"/>
        <v>154000.65016529046</v>
      </c>
      <c r="Z44" s="4771">
        <f t="shared" si="204"/>
        <v>168794.96418000001</v>
      </c>
      <c r="AA44" s="4773">
        <f t="shared" si="204"/>
        <v>306001.84982610401</v>
      </c>
      <c r="AB44" s="4773">
        <f t="shared" si="194"/>
        <v>340936.24418000004</v>
      </c>
      <c r="AC44" s="4769">
        <f t="shared" ref="AC44:AF44" si="206">+AC34</f>
        <v>57499.147549254507</v>
      </c>
      <c r="AD44" s="217">
        <f t="shared" si="206"/>
        <v>67828.26999999999</v>
      </c>
      <c r="AE44" s="4768">
        <f t="shared" si="206"/>
        <v>363500.99737535859</v>
      </c>
      <c r="AF44" s="53">
        <f t="shared" si="206"/>
        <v>408764.51418</v>
      </c>
      <c r="AG44" s="4769">
        <f t="shared" ref="AG44:AN44" si="207">+AG34</f>
        <v>55500.279325031559</v>
      </c>
      <c r="AH44" s="217">
        <f t="shared" si="207"/>
        <v>44044</v>
      </c>
      <c r="AI44" s="4768">
        <f t="shared" si="207"/>
        <v>419001.2767003901</v>
      </c>
      <c r="AJ44" s="53">
        <f t="shared" si="207"/>
        <v>452808.51418</v>
      </c>
      <c r="AK44" s="4770">
        <f t="shared" si="207"/>
        <v>58499.543775669597</v>
      </c>
      <c r="AL44" s="3616">
        <f t="shared" si="207"/>
        <v>56653</v>
      </c>
      <c r="AM44" s="4771">
        <f t="shared" si="207"/>
        <v>171498.97064995568</v>
      </c>
      <c r="AN44" s="4771">
        <f t="shared" si="207"/>
        <v>168525.27</v>
      </c>
      <c r="AO44" s="4768">
        <f>AI44+AK44</f>
        <v>477500.82047605969</v>
      </c>
      <c r="AP44" s="4768">
        <f t="shared" si="190"/>
        <v>509461.51418</v>
      </c>
      <c r="AQ44" s="4769">
        <f t="shared" ref="AQ44:AT44" si="208">+AQ34</f>
        <v>58499.543775669597</v>
      </c>
      <c r="AR44" s="217">
        <f t="shared" si="208"/>
        <v>53231</v>
      </c>
      <c r="AS44" s="4768">
        <f t="shared" si="208"/>
        <v>536000.36425172933</v>
      </c>
      <c r="AT44" s="53">
        <f t="shared" si="208"/>
        <v>562692.51417999994</v>
      </c>
      <c r="AU44" s="4769">
        <f t="shared" ref="AU44:BC44" si="209">+AU34</f>
        <v>54999.612159368837</v>
      </c>
      <c r="AV44" s="217">
        <f t="shared" si="209"/>
        <v>60925</v>
      </c>
      <c r="AW44" s="4768">
        <f t="shared" si="209"/>
        <v>590999.97641109815</v>
      </c>
      <c r="AX44" s="53">
        <f t="shared" si="209"/>
        <v>623617.51417999994</v>
      </c>
      <c r="AY44" s="5019">
        <f t="shared" ref="AY44:AZ44" si="210">+AY34</f>
        <v>58999.940002084688</v>
      </c>
      <c r="AZ44" s="217">
        <f t="shared" si="210"/>
        <v>53034</v>
      </c>
      <c r="BA44" s="5020">
        <f t="shared" si="209"/>
        <v>172499.09593712311</v>
      </c>
      <c r="BB44" s="5020">
        <f t="shared" si="209"/>
        <v>167190</v>
      </c>
      <c r="BC44" s="5022">
        <f t="shared" si="209"/>
        <v>343998.06658707873</v>
      </c>
      <c r="BD44" s="5022">
        <f t="shared" si="199"/>
        <v>335715.27</v>
      </c>
      <c r="BE44" s="5018">
        <f>AW44+AY44</f>
        <v>649999.91641318286</v>
      </c>
      <c r="BF44" s="5018">
        <f t="shared" si="192"/>
        <v>676651.51417999994</v>
      </c>
      <c r="BG44" s="2939">
        <v>660000.01387175487</v>
      </c>
      <c r="BH44" s="2939">
        <v>711198.95600000001</v>
      </c>
      <c r="BI44" s="2939">
        <v>669999.10878236312</v>
      </c>
      <c r="BJ44" s="2939">
        <v>832014.92464244016</v>
      </c>
      <c r="BK44" s="2939">
        <f>+BK34</f>
        <v>904433.82567653409</v>
      </c>
      <c r="BL44" s="2939">
        <v>937874.53289999999</v>
      </c>
      <c r="BM44" s="2939">
        <v>571999.74093264237</v>
      </c>
      <c r="BN44" s="1369">
        <f>+BN34</f>
        <v>877839.95550700894</v>
      </c>
      <c r="BO44" s="26"/>
      <c r="BP44" s="26"/>
      <c r="BQ44" s="2062"/>
      <c r="BR44" s="2062"/>
      <c r="BS44" s="2062"/>
      <c r="BT44" s="2062"/>
    </row>
    <row r="45" spans="1:72" ht="15" customHeight="1" x14ac:dyDescent="0.25">
      <c r="B45" s="3033" t="s">
        <v>1764</v>
      </c>
      <c r="C45" s="3008" t="s">
        <v>52</v>
      </c>
      <c r="D45" s="4774">
        <f>SUM(D37:D44)</f>
        <v>2524999.9164131824</v>
      </c>
      <c r="E45" s="1698">
        <f>SUM(E37:E44)</f>
        <v>213500.48687222728</v>
      </c>
      <c r="F45" s="1420">
        <f>SUM(F37:F44)</f>
        <v>206040.94600000003</v>
      </c>
      <c r="G45" s="1698">
        <f>SUM(G37:G44)</f>
        <v>178000.44144996407</v>
      </c>
      <c r="H45" s="1420">
        <f>SUM(H37:H44)</f>
        <v>163072.96600000001</v>
      </c>
      <c r="I45" s="3120">
        <f t="shared" ref="I45:R45" si="211">SUM(I37:I44)</f>
        <v>391500.92832219135</v>
      </c>
      <c r="J45" s="3121">
        <f t="shared" si="211"/>
        <v>369113.91200000001</v>
      </c>
      <c r="K45" s="1698">
        <f>SUM(K37:K44)</f>
        <v>173500.27133862226</v>
      </c>
      <c r="L45" s="1420">
        <f>SUM(L37:L44)</f>
        <v>178989.55800000002</v>
      </c>
      <c r="M45" s="3110">
        <f t="shared" si="211"/>
        <v>565001.19966081367</v>
      </c>
      <c r="N45" s="3111">
        <f t="shared" si="211"/>
        <v>548103.47000000009</v>
      </c>
      <c r="O45" s="1698">
        <f>SUM(O37:O44)</f>
        <v>216500.37423437476</v>
      </c>
      <c r="P45" s="1420">
        <f>SUM(P37:P44)</f>
        <v>215496.08500000008</v>
      </c>
      <c r="Q45" s="3120">
        <f t="shared" si="211"/>
        <v>781501.57389518828</v>
      </c>
      <c r="R45" s="3121">
        <f t="shared" si="211"/>
        <v>763599.55500000017</v>
      </c>
      <c r="S45" s="1698">
        <f>SUM(S37:S44)</f>
        <v>216500.37396437474</v>
      </c>
      <c r="T45" s="1420">
        <f>SUM(T37:T44)</f>
        <v>216475.73580000005</v>
      </c>
      <c r="U45" s="3120">
        <f t="shared" ref="U45:V45" si="212">SUM(U37:U44)</f>
        <v>998001.94785956317</v>
      </c>
      <c r="V45" s="3121">
        <f t="shared" si="212"/>
        <v>980075.29080000008</v>
      </c>
      <c r="W45" s="3011">
        <f>SUM(W37:W44)</f>
        <v>209999.90196654096</v>
      </c>
      <c r="X45" s="2942">
        <f>SUM(X37:X44)</f>
        <v>206020.5333800001</v>
      </c>
      <c r="Y45" s="454">
        <f t="shared" ref="Y45:AB45" si="213">SUM(Y37:Y44)</f>
        <v>643000.65016529046</v>
      </c>
      <c r="Z45" s="454">
        <f t="shared" si="213"/>
        <v>637992.35418000026</v>
      </c>
      <c r="AA45" s="660">
        <f t="shared" si="213"/>
        <v>1208001.849826104</v>
      </c>
      <c r="AB45" s="660">
        <f t="shared" si="213"/>
        <v>1186095.8241800005</v>
      </c>
      <c r="AC45" s="1698">
        <f>SUM(AC37:AC44)</f>
        <v>222499.1475492545</v>
      </c>
      <c r="AD45" s="1420">
        <f>SUM(AD37:AD44)</f>
        <v>210263.59800000006</v>
      </c>
      <c r="AE45" s="3120">
        <f t="shared" ref="AE45:AF45" si="214">SUM(AE37:AE44)</f>
        <v>1430500.9973753586</v>
      </c>
      <c r="AF45" s="3121">
        <f t="shared" si="214"/>
        <v>1396359.4221800002</v>
      </c>
      <c r="AG45" s="1698">
        <f>SUM(AG37:AG44)</f>
        <v>215500.27932503156</v>
      </c>
      <c r="AH45" s="1420">
        <f>SUM(AH37:AH44)</f>
        <v>184976.71400000007</v>
      </c>
      <c r="AI45" s="3120">
        <f t="shared" ref="AI45:AJ45" si="215">SUM(AI37:AI44)</f>
        <v>1646001.27670039</v>
      </c>
      <c r="AJ45" s="3121">
        <f t="shared" si="215"/>
        <v>1581336.1361800004</v>
      </c>
      <c r="AK45" s="3011">
        <f>SUM(AK37:AK44)</f>
        <v>223499.54377566959</v>
      </c>
      <c r="AL45" s="2942">
        <f>SUM(AL37:AL44)</f>
        <v>206763.86000000002</v>
      </c>
      <c r="AM45" s="454">
        <f t="shared" ref="AM45:AP45" si="216">SUM(AM37:AM44)</f>
        <v>661498.97064995568</v>
      </c>
      <c r="AN45" s="454">
        <f t="shared" si="216"/>
        <v>602004.17200000014</v>
      </c>
      <c r="AO45" s="3120">
        <f t="shared" si="216"/>
        <v>1869500.8204760598</v>
      </c>
      <c r="AP45" s="3121">
        <f t="shared" si="216"/>
        <v>1788099.9961800005</v>
      </c>
      <c r="AQ45" s="1698">
        <f>SUM(AQ37:AQ44)</f>
        <v>223499.54377566959</v>
      </c>
      <c r="AR45" s="1420">
        <f>SUM(AR37:AR44)</f>
        <v>209101.95600000006</v>
      </c>
      <c r="AS45" s="3120">
        <f t="shared" ref="AS45:AT45" si="217">SUM(AS37:AS44)</f>
        <v>2093000.3642517293</v>
      </c>
      <c r="AT45" s="3121">
        <f t="shared" si="217"/>
        <v>1997201.9521800003</v>
      </c>
      <c r="AU45" s="1698">
        <f>SUM(AU37:AU44)</f>
        <v>207999.61215936884</v>
      </c>
      <c r="AV45" s="1420">
        <f>SUM(AV37:AV44)</f>
        <v>205161.99000000005</v>
      </c>
      <c r="AW45" s="3120">
        <f t="shared" ref="AW45:AX45" si="218">SUM(AW37:AW44)</f>
        <v>2300999.9764110981</v>
      </c>
      <c r="AX45" s="3121">
        <f t="shared" si="218"/>
        <v>2202363.9421800002</v>
      </c>
      <c r="AY45" s="1698">
        <f>SUM(AY37:AY44)</f>
        <v>223999.94000208468</v>
      </c>
      <c r="AZ45" s="1420">
        <f>SUM(AZ37:AZ44)</f>
        <v>207280.19500000012</v>
      </c>
      <c r="BA45" s="454">
        <f t="shared" ref="BA45:BF45" si="219">SUM(BA37:BA44)</f>
        <v>655499.09593712306</v>
      </c>
      <c r="BB45" s="454">
        <f t="shared" si="219"/>
        <v>621544.14100000029</v>
      </c>
      <c r="BC45" s="660">
        <f t="shared" si="219"/>
        <v>1316998.0665870789</v>
      </c>
      <c r="BD45" s="660">
        <f t="shared" si="219"/>
        <v>1223548.3130000005</v>
      </c>
      <c r="BE45" s="3120">
        <f t="shared" si="219"/>
        <v>2524999.9164131829</v>
      </c>
      <c r="BF45" s="3121">
        <f t="shared" si="219"/>
        <v>2409644.1371800005</v>
      </c>
      <c r="BG45" s="1419">
        <v>2410000.013871755</v>
      </c>
      <c r="BH45" s="1419">
        <v>2315207.9685</v>
      </c>
      <c r="BI45" s="1419">
        <f t="shared" ref="BI45:BN45" si="220">SUM(BI37:BI44)</f>
        <v>2369999.1087823631</v>
      </c>
      <c r="BJ45" s="1419">
        <f t="shared" si="220"/>
        <v>2160427.1510858973</v>
      </c>
      <c r="BK45" s="1419">
        <f t="shared" si="220"/>
        <v>2235274.9274697341</v>
      </c>
      <c r="BL45" s="1419">
        <f t="shared" si="220"/>
        <v>1823883.8005788068</v>
      </c>
      <c r="BM45" s="1419">
        <f t="shared" si="220"/>
        <v>2406999.7409326425</v>
      </c>
      <c r="BN45" s="3079">
        <f t="shared" si="220"/>
        <v>2093720.1667959802</v>
      </c>
      <c r="BO45" s="26"/>
      <c r="BP45" s="26"/>
      <c r="BQ45" s="2062"/>
      <c r="BR45" s="2062"/>
      <c r="BS45" s="2062"/>
      <c r="BT45" s="2062"/>
    </row>
    <row r="46" spans="1:72" ht="15" customHeight="1" x14ac:dyDescent="0.25">
      <c r="B46" s="3032" t="s">
        <v>350</v>
      </c>
      <c r="C46" s="3006" t="s">
        <v>52</v>
      </c>
      <c r="D46" s="4774">
        <v>50890.945800000001</v>
      </c>
      <c r="E46" s="4769">
        <v>4180.5384999999997</v>
      </c>
      <c r="F46" s="18">
        <v>3925.6499999999996</v>
      </c>
      <c r="G46" s="4769">
        <v>4319.8897833333331</v>
      </c>
      <c r="H46" s="18">
        <v>3857.8199999999997</v>
      </c>
      <c r="I46" s="4768">
        <f>+E46+G46</f>
        <v>8500.4282833333327</v>
      </c>
      <c r="J46" s="53">
        <f>+F46+H46</f>
        <v>7783.4699999999993</v>
      </c>
      <c r="K46" s="4769">
        <v>4180.5384999999997</v>
      </c>
      <c r="L46" s="18">
        <v>3773.6565000000001</v>
      </c>
      <c r="M46" s="4772">
        <f>+E46+G46+K46</f>
        <v>12680.966783333333</v>
      </c>
      <c r="N46" s="98">
        <f>+F46+H46+L46</f>
        <v>11557.126499999998</v>
      </c>
      <c r="O46" s="4769">
        <v>4319.8897833333331</v>
      </c>
      <c r="P46" s="18">
        <v>3992.9</v>
      </c>
      <c r="Q46" s="4768">
        <f>+M46+O46</f>
        <v>17000.856566666665</v>
      </c>
      <c r="R46" s="53">
        <f>+N46+P46</f>
        <v>15550.026499999998</v>
      </c>
      <c r="S46" s="4769">
        <v>4263.1628833333325</v>
      </c>
      <c r="T46" s="18">
        <v>3862</v>
      </c>
      <c r="U46" s="4768">
        <f>+Q46+S46</f>
        <v>21264.01945</v>
      </c>
      <c r="V46" s="53">
        <f>+R46+T46</f>
        <v>19412.0265</v>
      </c>
      <c r="W46" s="4770">
        <v>4125.6414999999988</v>
      </c>
      <c r="X46" s="3616">
        <v>3615.15</v>
      </c>
      <c r="Y46" s="4771">
        <f>+O46+S46+W46</f>
        <v>12708.694166666664</v>
      </c>
      <c r="Z46" s="4771">
        <f>+P46+T46+X46</f>
        <v>11470.05</v>
      </c>
      <c r="AA46" s="4773">
        <f>+M46+Y46</f>
        <v>25389.660949999998</v>
      </c>
      <c r="AB46" s="4773">
        <f>+N46+Z46</f>
        <v>23027.176499999998</v>
      </c>
      <c r="AC46" s="4769">
        <v>4319.8897833333331</v>
      </c>
      <c r="AD46" s="18">
        <v>3687.1899999999996</v>
      </c>
      <c r="AE46" s="4768">
        <f>+AA46+AC46</f>
        <v>29709.55073333333</v>
      </c>
      <c r="AF46" s="53">
        <f>+AB46+AD46</f>
        <v>26714.366499999996</v>
      </c>
      <c r="AG46" s="4769">
        <v>4180.5384999999997</v>
      </c>
      <c r="AH46" s="18">
        <v>3565.5</v>
      </c>
      <c r="AI46" s="4768">
        <f>+AE46+AG46</f>
        <v>33890.089233333332</v>
      </c>
      <c r="AJ46" s="53">
        <f>+AF46+AH46</f>
        <v>30279.866499999996</v>
      </c>
      <c r="AK46" s="4770">
        <v>4319.8897833333331</v>
      </c>
      <c r="AL46" s="3616">
        <v>3721.1000000000004</v>
      </c>
      <c r="AM46" s="4771">
        <f>+AC46+AG46+AK46</f>
        <v>12820.318066666667</v>
      </c>
      <c r="AN46" s="4771">
        <f>+AD46+AH46+AL46</f>
        <v>10973.79</v>
      </c>
      <c r="AO46" s="4768">
        <f>AI46+AK46</f>
        <v>38209.979016666664</v>
      </c>
      <c r="AP46" s="4768">
        <f t="shared" si="190"/>
        <v>34000.966499999995</v>
      </c>
      <c r="AQ46" s="4769">
        <v>4319.8897833333331</v>
      </c>
      <c r="AR46" s="18">
        <v>3674.1750000000002</v>
      </c>
      <c r="AS46" s="4768">
        <f>+AO46+AQ46</f>
        <v>42529.868799999997</v>
      </c>
      <c r="AT46" s="53">
        <f>+AP46+AR46</f>
        <v>37675.141499999998</v>
      </c>
      <c r="AU46" s="4769">
        <v>4041.1872166666662</v>
      </c>
      <c r="AV46" s="18">
        <v>3478.3</v>
      </c>
      <c r="AW46" s="4768">
        <f>+AS46+AU46</f>
        <v>46571.056016666662</v>
      </c>
      <c r="AX46" s="53">
        <f>+AT46+AV46</f>
        <v>41153.441500000001</v>
      </c>
      <c r="AY46" s="5019">
        <v>4319.8897833333331</v>
      </c>
      <c r="AZ46" s="18">
        <v>3716.2</v>
      </c>
      <c r="BA46" s="5020">
        <f>+AQ46+AU46+AY46</f>
        <v>12680.966783333333</v>
      </c>
      <c r="BB46" s="5020">
        <f>+AR46+AV46+AZ46</f>
        <v>10868.674999999999</v>
      </c>
      <c r="BC46" s="5022">
        <f>AM46+BA46</f>
        <v>25501.28485</v>
      </c>
      <c r="BD46" s="5022">
        <f>AN46+BB46</f>
        <v>21842.465</v>
      </c>
      <c r="BE46" s="5018">
        <f>AW46+AY46</f>
        <v>50890.945799999994</v>
      </c>
      <c r="BF46" s="5018">
        <f t="shared" ref="BF46:BF47" si="221">AX46+AZ46</f>
        <v>44869.641499999998</v>
      </c>
      <c r="BG46" s="2939">
        <v>51086.01875000001</v>
      </c>
      <c r="BH46" s="2939">
        <v>48878.170000000006</v>
      </c>
      <c r="BI46" s="2939">
        <v>51086.382800000007</v>
      </c>
      <c r="BJ46" s="2939">
        <v>49592.549999999996</v>
      </c>
      <c r="BK46" s="2939">
        <v>48584.311000000002</v>
      </c>
      <c r="BL46" s="2939">
        <v>46678.95</v>
      </c>
      <c r="BM46" s="2939">
        <v>46118.873100000012</v>
      </c>
      <c r="BN46" s="1369">
        <v>49237.57</v>
      </c>
      <c r="BO46" s="26"/>
      <c r="BP46" s="26"/>
      <c r="BQ46" s="2062"/>
      <c r="BR46" s="2062"/>
      <c r="BS46" s="2062"/>
      <c r="BT46" s="2062"/>
    </row>
    <row r="47" spans="1:72" ht="15" customHeight="1" x14ac:dyDescent="0.25">
      <c r="B47" s="3032" t="s">
        <v>351</v>
      </c>
      <c r="C47" s="3006" t="s">
        <v>52</v>
      </c>
      <c r="D47" s="4774">
        <v>10780.78068</v>
      </c>
      <c r="E47" s="4769">
        <v>884.7165</v>
      </c>
      <c r="F47" s="18">
        <v>830</v>
      </c>
      <c r="G47" s="4769">
        <v>914.77465000000007</v>
      </c>
      <c r="H47" s="18">
        <v>678</v>
      </c>
      <c r="I47" s="4768">
        <f>+E47+G47</f>
        <v>1799.4911500000001</v>
      </c>
      <c r="J47" s="53">
        <f>+F47+H47</f>
        <v>1508</v>
      </c>
      <c r="K47" s="4769">
        <v>884.7165</v>
      </c>
      <c r="L47" s="18">
        <v>611</v>
      </c>
      <c r="M47" s="4772">
        <f>+E47+G47+K47</f>
        <v>2684.2076500000003</v>
      </c>
      <c r="N47" s="98">
        <f>+F47+H47+L47</f>
        <v>2119</v>
      </c>
      <c r="O47" s="4769">
        <v>914.77465000000007</v>
      </c>
      <c r="P47" s="18">
        <v>717</v>
      </c>
      <c r="Q47" s="4768">
        <f>+M47+O47</f>
        <v>3598.9823000000006</v>
      </c>
      <c r="R47" s="53">
        <f>+N47+P47</f>
        <v>2836</v>
      </c>
      <c r="S47" s="4769">
        <v>906.55902999999989</v>
      </c>
      <c r="T47" s="18">
        <v>710</v>
      </c>
      <c r="U47" s="4768">
        <f>+Q47+S47</f>
        <v>4505.54133</v>
      </c>
      <c r="V47" s="53">
        <f>+R47+T47</f>
        <v>3546</v>
      </c>
      <c r="W47" s="4770">
        <v>876.76589999999987</v>
      </c>
      <c r="X47" s="3616">
        <v>661</v>
      </c>
      <c r="Y47" s="4771">
        <f>+O47+S47+W47</f>
        <v>2698.0995800000001</v>
      </c>
      <c r="Z47" s="4771">
        <f>+P47+T47+X47</f>
        <v>2088</v>
      </c>
      <c r="AA47" s="4773">
        <f>+M47+Y47</f>
        <v>5382.3072300000003</v>
      </c>
      <c r="AB47" s="4773">
        <f>+N47+Z47</f>
        <v>4207</v>
      </c>
      <c r="AC47" s="4769">
        <v>914.77465000000007</v>
      </c>
      <c r="AD47" s="18">
        <v>528</v>
      </c>
      <c r="AE47" s="4768">
        <f>+AA47+AC47</f>
        <v>6297.0818800000006</v>
      </c>
      <c r="AF47" s="53">
        <f>+AB47+AD47</f>
        <v>4735</v>
      </c>
      <c r="AG47" s="4769">
        <v>884.7165</v>
      </c>
      <c r="AH47" s="18">
        <v>529</v>
      </c>
      <c r="AI47" s="4768">
        <f>+AE47+AG47</f>
        <v>7181.7983800000002</v>
      </c>
      <c r="AJ47" s="53">
        <f>+AF47+AH47</f>
        <v>5264</v>
      </c>
      <c r="AK47" s="4770">
        <v>914.77465000000007</v>
      </c>
      <c r="AL47" s="3616">
        <v>345</v>
      </c>
      <c r="AM47" s="4771">
        <f>+AC47+AG47+AK47</f>
        <v>2714.2658000000001</v>
      </c>
      <c r="AN47" s="4771">
        <f>+AD47+AH47+AL47</f>
        <v>1402</v>
      </c>
      <c r="AO47" s="4768">
        <f>AI47+AK47</f>
        <v>8096.5730300000005</v>
      </c>
      <c r="AP47" s="4768">
        <f t="shared" si="190"/>
        <v>5609</v>
      </c>
      <c r="AQ47" s="4769">
        <v>914.77465000000007</v>
      </c>
      <c r="AR47" s="18">
        <v>172.35</v>
      </c>
      <c r="AS47" s="4768">
        <f>+AO47+AQ47</f>
        <v>9011.3476800000008</v>
      </c>
      <c r="AT47" s="53">
        <f>+AP47+AR47</f>
        <v>5781.35</v>
      </c>
      <c r="AU47" s="4769">
        <v>854.65835000000004</v>
      </c>
      <c r="AV47" s="18">
        <v>433</v>
      </c>
      <c r="AW47" s="4768">
        <f>+AS47+AU47</f>
        <v>9866.0060300000005</v>
      </c>
      <c r="AX47" s="53">
        <f>+AT47+AV47</f>
        <v>6214.35</v>
      </c>
      <c r="AY47" s="5019">
        <v>914.77465000000007</v>
      </c>
      <c r="AZ47" s="18">
        <v>445.5</v>
      </c>
      <c r="BA47" s="5020">
        <f>+AQ47+AU47+AY47</f>
        <v>2684.2076500000003</v>
      </c>
      <c r="BB47" s="5020">
        <f>+AR47+AV47+AZ47</f>
        <v>1050.8499999999999</v>
      </c>
      <c r="BC47" s="5022">
        <f>AM47+BA47</f>
        <v>5398.4734500000004</v>
      </c>
      <c r="BD47" s="5022">
        <f>AN47+BB47</f>
        <v>2452.85</v>
      </c>
      <c r="BE47" s="5018">
        <f>AW47+AY47</f>
        <v>10780.78068</v>
      </c>
      <c r="BF47" s="5018">
        <f t="shared" si="221"/>
        <v>6659.85</v>
      </c>
      <c r="BG47" s="2939">
        <v>9611.7068500000005</v>
      </c>
      <c r="BH47" s="2939">
        <v>8145.2</v>
      </c>
      <c r="BI47" s="2939">
        <v>16578.809000000001</v>
      </c>
      <c r="BJ47" s="2939">
        <v>8876.9</v>
      </c>
      <c r="BK47" s="2939">
        <v>21728.852072500002</v>
      </c>
      <c r="BL47" s="2939">
        <v>10510.61</v>
      </c>
      <c r="BM47" s="2939">
        <v>15654.414839999999</v>
      </c>
      <c r="BN47" s="1369">
        <v>12312.800000000001</v>
      </c>
      <c r="BO47" s="26"/>
      <c r="BP47" s="26"/>
      <c r="BQ47" s="2062"/>
      <c r="BR47" s="2062"/>
      <c r="BS47" s="2062"/>
      <c r="BT47" s="2062"/>
    </row>
    <row r="48" spans="1:72" ht="15" customHeight="1" x14ac:dyDescent="0.25">
      <c r="A48" s="183"/>
      <c r="B48" s="3081"/>
      <c r="C48" s="3075"/>
      <c r="D48" s="4802"/>
      <c r="E48" s="4802"/>
      <c r="F48" s="4802"/>
      <c r="G48" s="4802"/>
      <c r="H48" s="4802"/>
      <c r="I48" s="4802"/>
      <c r="J48" s="4802"/>
      <c r="K48" s="4802"/>
      <c r="L48" s="4802"/>
      <c r="M48" s="4802"/>
      <c r="N48" s="4802"/>
      <c r="O48" s="4802"/>
      <c r="P48" s="4802"/>
      <c r="Q48" s="4802"/>
      <c r="R48" s="4802"/>
      <c r="S48" s="4802"/>
      <c r="T48" s="4802"/>
      <c r="U48" s="4802"/>
      <c r="V48" s="4802"/>
      <c r="W48" s="4802"/>
      <c r="X48" s="4802"/>
      <c r="Y48" s="4802"/>
      <c r="Z48" s="4802"/>
      <c r="AA48" s="4802"/>
      <c r="AB48" s="4802"/>
      <c r="AC48" s="4802"/>
      <c r="AD48" s="4802"/>
      <c r="AE48" s="4802"/>
      <c r="AF48" s="4802"/>
      <c r="AG48" s="4802"/>
      <c r="AH48" s="4802"/>
      <c r="AI48" s="4802"/>
      <c r="AJ48" s="4802"/>
      <c r="AK48" s="4802"/>
      <c r="AL48" s="4802"/>
      <c r="AM48" s="4802"/>
      <c r="AN48" s="4802"/>
      <c r="AO48" s="4802"/>
      <c r="AP48" s="4802"/>
      <c r="AQ48" s="4802"/>
      <c r="AR48" s="4802"/>
      <c r="AS48" s="4802"/>
      <c r="AT48" s="4802"/>
      <c r="AU48" s="4802"/>
      <c r="AV48" s="4802"/>
      <c r="AW48" s="4802"/>
      <c r="AX48" s="4802"/>
      <c r="AY48" s="4802"/>
      <c r="AZ48" s="4802"/>
      <c r="BA48" s="4802"/>
      <c r="BB48" s="4802"/>
      <c r="BC48" s="4802"/>
      <c r="BD48" s="4802"/>
      <c r="BE48" s="4802"/>
      <c r="BF48" s="4802"/>
      <c r="BG48" s="3075"/>
      <c r="BH48" s="3075"/>
      <c r="BI48" s="3075"/>
      <c r="BJ48" s="3075"/>
      <c r="BK48" s="3075"/>
      <c r="BL48" s="3075"/>
      <c r="BM48" s="3075"/>
      <c r="BN48" s="3076"/>
      <c r="BO48" s="26"/>
      <c r="BP48" s="26"/>
      <c r="BQ48" s="2062"/>
      <c r="BR48" s="2062"/>
      <c r="BS48" s="2062"/>
      <c r="BT48" s="2062"/>
    </row>
    <row r="49" spans="2:72" ht="15.75" thickBot="1" x14ac:dyDescent="0.3">
      <c r="B49" s="3031" t="s">
        <v>732</v>
      </c>
      <c r="C49" s="3009" t="s">
        <v>733</v>
      </c>
      <c r="D49" s="3014">
        <v>17467.169811320753</v>
      </c>
      <c r="E49" s="866">
        <v>1476.7295597484276</v>
      </c>
      <c r="F49" s="52">
        <v>1442</v>
      </c>
      <c r="G49" s="866">
        <v>1231.4465408805031</v>
      </c>
      <c r="H49" s="52">
        <v>1170</v>
      </c>
      <c r="I49" s="868">
        <f>+E49+G49</f>
        <v>2708.1761006289307</v>
      </c>
      <c r="J49" s="58">
        <f>+F49+H49</f>
        <v>2612</v>
      </c>
      <c r="K49" s="866">
        <v>1204.2767295597484</v>
      </c>
      <c r="L49" s="52">
        <v>1252</v>
      </c>
      <c r="M49" s="2056">
        <f>+E49+G49+K49</f>
        <v>3912.4528301886794</v>
      </c>
      <c r="N49" s="103">
        <f>+F49+H49+L49</f>
        <v>3864</v>
      </c>
      <c r="O49" s="866">
        <v>1495.5974842767296</v>
      </c>
      <c r="P49" s="52">
        <v>1537</v>
      </c>
      <c r="Q49" s="868">
        <f>+M49+O49</f>
        <v>5408.0503144654085</v>
      </c>
      <c r="R49" s="58">
        <f>+N49+P49</f>
        <v>5401</v>
      </c>
      <c r="S49" s="866">
        <v>1495.5974842767296</v>
      </c>
      <c r="T49" s="52">
        <v>1493</v>
      </c>
      <c r="U49" s="868">
        <f>+Q49+S49</f>
        <v>6903.6477987421385</v>
      </c>
      <c r="V49" s="58">
        <f>+R49+T49</f>
        <v>6894</v>
      </c>
      <c r="W49" s="2459">
        <v>1451.5723270440251</v>
      </c>
      <c r="X49" s="273">
        <v>1400</v>
      </c>
      <c r="Y49" s="583">
        <f>+O49+S49+W49</f>
        <v>4442.767295597484</v>
      </c>
      <c r="Z49" s="583">
        <f>+P49+T49+X49</f>
        <v>4430</v>
      </c>
      <c r="AA49" s="1422">
        <f>+M49+Y49</f>
        <v>8355.2201257861634</v>
      </c>
      <c r="AB49" s="1422">
        <f>+N49+Z49</f>
        <v>8294</v>
      </c>
      <c r="AC49" s="866">
        <v>1539.6226415094338</v>
      </c>
      <c r="AD49" s="52">
        <v>1490</v>
      </c>
      <c r="AE49" s="868">
        <f>+AA49+AC49</f>
        <v>9894.8427672955968</v>
      </c>
      <c r="AF49" s="58">
        <f>+AB49+AD49</f>
        <v>9784</v>
      </c>
      <c r="AG49" s="866">
        <v>1489.308176100629</v>
      </c>
      <c r="AH49" s="52">
        <v>1265</v>
      </c>
      <c r="AI49" s="868">
        <f>+AE49+AG49</f>
        <v>11384.150943396226</v>
      </c>
      <c r="AJ49" s="58">
        <f>+AF49+AH49</f>
        <v>11049</v>
      </c>
      <c r="AK49" s="2459">
        <v>1545.9119496855346</v>
      </c>
      <c r="AL49" s="273">
        <v>1439</v>
      </c>
      <c r="AM49" s="583">
        <f>+AC49+AG49+AK49</f>
        <v>4574.8427672955977</v>
      </c>
      <c r="AN49" s="583">
        <f>+AD49+AH49+AL49</f>
        <v>4194</v>
      </c>
      <c r="AO49" s="4768">
        <f>AI49+AK49</f>
        <v>12930.06289308176</v>
      </c>
      <c r="AP49" s="4768">
        <f t="shared" si="190"/>
        <v>12488</v>
      </c>
      <c r="AQ49" s="866">
        <v>1545.9119496855346</v>
      </c>
      <c r="AR49" s="52">
        <v>1452</v>
      </c>
      <c r="AS49" s="868">
        <f>+AO49+AQ49</f>
        <v>14475.974842767295</v>
      </c>
      <c r="AT49" s="58">
        <f>+AP49+AR49</f>
        <v>13940</v>
      </c>
      <c r="AU49" s="866">
        <v>1438.9937106918239</v>
      </c>
      <c r="AV49" s="52">
        <v>1429</v>
      </c>
      <c r="AW49" s="868">
        <f>+AS49+AU49</f>
        <v>15914.968553459119</v>
      </c>
      <c r="AX49" s="58">
        <f>+AT49+AV49</f>
        <v>15369</v>
      </c>
      <c r="AY49" s="866">
        <v>1552.2012578616352</v>
      </c>
      <c r="AZ49" s="52">
        <v>1466</v>
      </c>
      <c r="BA49" s="583">
        <f>+AQ49+AU49+AY49</f>
        <v>4537.1069182389938</v>
      </c>
      <c r="BB49" s="583">
        <f>+AR49+AV49+AZ49</f>
        <v>4347</v>
      </c>
      <c r="BC49" s="5022">
        <f>AM49+BA49</f>
        <v>9111.9496855345915</v>
      </c>
      <c r="BD49" s="5022">
        <f>AN49+BB49</f>
        <v>8541</v>
      </c>
      <c r="BE49" s="5018">
        <f>AW49+AY49</f>
        <v>17467.169811320753</v>
      </c>
      <c r="BF49" s="5018">
        <f t="shared" ref="BF49" si="222">AX49+AZ49</f>
        <v>16835</v>
      </c>
      <c r="BG49" s="1423">
        <v>16666.666666666668</v>
      </c>
      <c r="BH49" s="1423">
        <v>16116</v>
      </c>
      <c r="BI49" s="1423">
        <v>16344.714992175272</v>
      </c>
      <c r="BJ49" s="1423">
        <v>14624</v>
      </c>
      <c r="BK49" s="1423">
        <v>15300.816666666668</v>
      </c>
      <c r="BL49" s="1423">
        <v>12158</v>
      </c>
      <c r="BM49" s="1423">
        <v>16891.891891891893</v>
      </c>
      <c r="BN49" s="1371">
        <v>14151</v>
      </c>
      <c r="BO49" s="26"/>
      <c r="BP49" s="26"/>
      <c r="BQ49" s="2062"/>
      <c r="BR49" s="2062"/>
      <c r="BS49" s="2062"/>
      <c r="BT49" s="2062"/>
    </row>
    <row r="50" spans="2:72" x14ac:dyDescent="0.25">
      <c r="E50" s="116"/>
      <c r="F50" s="122"/>
      <c r="G50" s="116"/>
      <c r="H50" s="122"/>
      <c r="I50" s="116"/>
      <c r="J50" s="122"/>
      <c r="K50" s="239"/>
      <c r="L50" s="188"/>
      <c r="M50" s="116"/>
      <c r="N50" s="122"/>
      <c r="O50" s="239"/>
      <c r="P50" s="188"/>
      <c r="Q50" s="116"/>
      <c r="R50" s="122"/>
      <c r="Z50" s="122"/>
      <c r="AC50" s="116"/>
      <c r="AD50" s="122"/>
      <c r="AE50" s="116"/>
      <c r="AF50" s="122"/>
      <c r="AG50" s="116"/>
      <c r="AH50" s="122"/>
      <c r="AI50" s="116"/>
      <c r="AJ50" s="122"/>
      <c r="AN50" s="122"/>
      <c r="AO50" s="116"/>
      <c r="AP50" s="122"/>
      <c r="AQ50" s="116"/>
      <c r="AR50" s="122"/>
      <c r="AS50" s="116"/>
      <c r="AT50" s="122"/>
      <c r="AU50" s="116"/>
      <c r="AV50" s="122"/>
      <c r="AW50" s="116"/>
      <c r="AX50" s="122"/>
      <c r="AY50" s="116"/>
      <c r="AZ50" s="122"/>
      <c r="BB50" s="122"/>
      <c r="BE50" s="116"/>
      <c r="BF50" s="122"/>
      <c r="BO50" s="26"/>
      <c r="BP50" s="26"/>
      <c r="BQ50" s="2062"/>
      <c r="BR50" s="2062"/>
    </row>
    <row r="51" spans="2:72" x14ac:dyDescent="0.25">
      <c r="E51" s="116"/>
      <c r="F51" s="1709">
        <f>+F35-F45</f>
        <v>-4.0000000153668225E-3</v>
      </c>
      <c r="G51" s="1709">
        <f t="shared" ref="G51:BN51" si="223">+G35-G45</f>
        <v>0</v>
      </c>
      <c r="H51" s="1709">
        <f t="shared" si="223"/>
        <v>-1.0000000009313226E-2</v>
      </c>
      <c r="I51" s="1709">
        <f t="shared" si="223"/>
        <v>0</v>
      </c>
      <c r="J51" s="1709">
        <f t="shared" si="223"/>
        <v>-1.3999999966472387E-2</v>
      </c>
      <c r="K51" s="535">
        <f t="shared" si="223"/>
        <v>0</v>
      </c>
      <c r="L51" s="535">
        <f t="shared" si="223"/>
        <v>4.0000000153668225E-3</v>
      </c>
      <c r="M51" s="1709">
        <f t="shared" si="223"/>
        <v>0</v>
      </c>
      <c r="N51" s="1709">
        <f t="shared" si="223"/>
        <v>-1.0000000009313226E-2</v>
      </c>
      <c r="O51" s="535">
        <f>+O35-O45</f>
        <v>0</v>
      </c>
      <c r="P51" s="535">
        <f>+P35-P45</f>
        <v>2.0000000076834112E-3</v>
      </c>
      <c r="Q51" s="1709">
        <f t="shared" si="223"/>
        <v>0</v>
      </c>
      <c r="R51" s="1709">
        <f t="shared" si="223"/>
        <v>-8.000000030733645E-3</v>
      </c>
      <c r="S51" s="1709">
        <f t="shared" si="223"/>
        <v>0</v>
      </c>
      <c r="T51" s="1709">
        <f t="shared" si="223"/>
        <v>0</v>
      </c>
      <c r="U51" s="1709">
        <f t="shared" si="223"/>
        <v>0</v>
      </c>
      <c r="V51" s="1709">
        <f t="shared" si="223"/>
        <v>-7.9999999143183231E-3</v>
      </c>
      <c r="W51" s="1709">
        <f t="shared" si="223"/>
        <v>0</v>
      </c>
      <c r="X51" s="1709">
        <f t="shared" si="223"/>
        <v>0</v>
      </c>
      <c r="Y51" s="1709">
        <f t="shared" si="223"/>
        <v>0</v>
      </c>
      <c r="Z51" s="1709">
        <f t="shared" si="223"/>
        <v>1.9999999785795808E-3</v>
      </c>
      <c r="AA51" s="1709">
        <f t="shared" si="223"/>
        <v>0</v>
      </c>
      <c r="AB51" s="1709">
        <f t="shared" si="223"/>
        <v>-7.9999999143183231E-3</v>
      </c>
      <c r="AC51" s="1709">
        <f t="shared" ref="AC51:AF51" si="224">+AC35-AC45</f>
        <v>0</v>
      </c>
      <c r="AD51" s="1709">
        <f t="shared" si="224"/>
        <v>2.0000000076834112E-3</v>
      </c>
      <c r="AE51" s="1709">
        <f t="shared" si="224"/>
        <v>0</v>
      </c>
      <c r="AF51" s="1709">
        <f t="shared" si="224"/>
        <v>-5.9999998193234205E-3</v>
      </c>
      <c r="AG51" s="1709">
        <f t="shared" ref="AG51:AN51" si="225">+AG35-AG45</f>
        <v>0</v>
      </c>
      <c r="AH51" s="1709">
        <f t="shared" si="225"/>
        <v>-4.9600000202190131E-3</v>
      </c>
      <c r="AI51" s="1709">
        <f t="shared" si="225"/>
        <v>0</v>
      </c>
      <c r="AJ51" s="1709">
        <f t="shared" si="225"/>
        <v>-1.0960000101476908E-2</v>
      </c>
      <c r="AK51" s="1709">
        <f t="shared" si="225"/>
        <v>0</v>
      </c>
      <c r="AL51" s="1709">
        <f t="shared" si="225"/>
        <v>-2.9999999969732016E-3</v>
      </c>
      <c r="AM51" s="1709">
        <f t="shared" si="225"/>
        <v>0</v>
      </c>
      <c r="AN51" s="1709">
        <f t="shared" si="225"/>
        <v>-5.959999980404973E-3</v>
      </c>
      <c r="AO51" s="1709">
        <f t="shared" ref="AO51:AT51" si="226">+AO35-AO45</f>
        <v>0</v>
      </c>
      <c r="AP51" s="1709">
        <f t="shared" si="226"/>
        <v>-1.3959999894723296E-2</v>
      </c>
      <c r="AQ51" s="1709">
        <f t="shared" si="226"/>
        <v>0</v>
      </c>
      <c r="AR51" s="1709">
        <f t="shared" si="226"/>
        <v>-1.9999999785795808E-3</v>
      </c>
      <c r="AS51" s="1709">
        <f t="shared" si="226"/>
        <v>0</v>
      </c>
      <c r="AT51" s="1709">
        <f t="shared" si="226"/>
        <v>-1.5959999756887555E-2</v>
      </c>
      <c r="AU51" s="1709">
        <f t="shared" ref="AU51:BF51" si="227">+AU35-AU45</f>
        <v>0</v>
      </c>
      <c r="AV51" s="1709">
        <f t="shared" si="227"/>
        <v>0</v>
      </c>
      <c r="AW51" s="1709">
        <f t="shared" si="227"/>
        <v>0</v>
      </c>
      <c r="AX51" s="1709">
        <f t="shared" si="227"/>
        <v>-1.5959999524056911E-2</v>
      </c>
      <c r="AY51" s="1709">
        <f t="shared" ref="AY51:AZ51" si="228">+AY35-AY45</f>
        <v>0</v>
      </c>
      <c r="AZ51" s="1709">
        <f t="shared" si="228"/>
        <v>2.9999999678693712E-3</v>
      </c>
      <c r="BA51" s="1709">
        <f t="shared" si="227"/>
        <v>0</v>
      </c>
      <c r="BB51" s="1709">
        <f t="shared" si="227"/>
        <v>9.9999993108212948E-4</v>
      </c>
      <c r="BC51" s="1709">
        <f t="shared" si="227"/>
        <v>0</v>
      </c>
      <c r="BD51" s="1709">
        <f t="shared" si="227"/>
        <v>-4.9600000493228436E-3</v>
      </c>
      <c r="BE51" s="1709">
        <f t="shared" si="227"/>
        <v>0</v>
      </c>
      <c r="BF51" s="1709">
        <f t="shared" si="227"/>
        <v>-1.2959999963641167E-2</v>
      </c>
      <c r="BG51" s="1709"/>
      <c r="BH51" s="1709"/>
      <c r="BI51" s="1709">
        <f t="shared" si="223"/>
        <v>0</v>
      </c>
      <c r="BJ51" s="1709">
        <f t="shared" si="223"/>
        <v>-1.3323902431875467</v>
      </c>
      <c r="BK51" s="1709">
        <f t="shared" si="223"/>
        <v>0</v>
      </c>
      <c r="BL51" s="1709">
        <f t="shared" si="223"/>
        <v>0.55446018418297172</v>
      </c>
      <c r="BM51" s="1709">
        <f t="shared" si="223"/>
        <v>0</v>
      </c>
      <c r="BN51" s="1709">
        <f t="shared" si="223"/>
        <v>0</v>
      </c>
      <c r="BO51" s="26"/>
      <c r="BP51" s="26"/>
      <c r="BQ51" s="2062"/>
      <c r="BR51" s="2062"/>
    </row>
    <row r="52" spans="2:72" x14ac:dyDescent="0.25">
      <c r="H52" s="3995"/>
      <c r="I52" s="3995"/>
      <c r="J52" s="3995"/>
      <c r="K52" s="3995"/>
      <c r="L52" s="3995"/>
      <c r="M52" s="3995"/>
    </row>
    <row r="53" spans="2:72" x14ac:dyDescent="0.25">
      <c r="AC53" s="26"/>
      <c r="AD53" s="26"/>
      <c r="AG53" s="26"/>
      <c r="AH53" s="26"/>
    </row>
    <row r="54" spans="2:72" x14ac:dyDescent="0.25">
      <c r="AH54" s="4383"/>
      <c r="AO54" s="4383"/>
    </row>
    <row r="55" spans="2:72" x14ac:dyDescent="0.25">
      <c r="AH55" s="4383"/>
      <c r="AO55" s="4383"/>
    </row>
    <row r="56" spans="2:72" x14ac:dyDescent="0.25">
      <c r="AH56" s="4383"/>
      <c r="AO56" s="4383"/>
    </row>
    <row r="57" spans="2:72" x14ac:dyDescent="0.25">
      <c r="AH57" s="4383"/>
    </row>
    <row r="60" spans="2:72" x14ac:dyDescent="0.25">
      <c r="AN60" s="4377"/>
      <c r="AO60" s="221"/>
    </row>
    <row r="61" spans="2:72" x14ac:dyDescent="0.25">
      <c r="AN61" s="4377"/>
      <c r="AO61" s="221"/>
    </row>
    <row r="62" spans="2:72" x14ac:dyDescent="0.25">
      <c r="AN62" s="4377"/>
      <c r="AO62" s="4384"/>
    </row>
    <row r="63" spans="2:72" x14ac:dyDescent="0.25">
      <c r="AN63" s="4377"/>
      <c r="AO63" s="4384"/>
    </row>
  </sheetData>
  <mergeCells count="101">
    <mergeCell ref="BC3:BD3"/>
    <mergeCell ref="BC37:BC38"/>
    <mergeCell ref="BC40:BC43"/>
    <mergeCell ref="AY3:AZ3"/>
    <mergeCell ref="BA3:BB3"/>
    <mergeCell ref="BE3:BF3"/>
    <mergeCell ref="AY37:AY38"/>
    <mergeCell ref="BA37:BA38"/>
    <mergeCell ref="BE37:BE38"/>
    <mergeCell ref="AQ3:AR3"/>
    <mergeCell ref="AS3:AT3"/>
    <mergeCell ref="AQ37:AQ38"/>
    <mergeCell ref="AS37:AS38"/>
    <mergeCell ref="AQ40:AQ43"/>
    <mergeCell ref="AS40:AS43"/>
    <mergeCell ref="AO3:AP3"/>
    <mergeCell ref="AO37:AO38"/>
    <mergeCell ref="AO40:AO43"/>
    <mergeCell ref="BN40:BN43"/>
    <mergeCell ref="I40:I43"/>
    <mergeCell ref="M40:M43"/>
    <mergeCell ref="BI40:BI43"/>
    <mergeCell ref="BK40:BK43"/>
    <mergeCell ref="BM40:BM43"/>
    <mergeCell ref="BL40:BL41"/>
    <mergeCell ref="BJ40:BJ41"/>
    <mergeCell ref="O40:O43"/>
    <mergeCell ref="Q40:Q43"/>
    <mergeCell ref="U40:U43"/>
    <mergeCell ref="S40:S43"/>
    <mergeCell ref="W40:W43"/>
    <mergeCell ref="Y40:Y43"/>
    <mergeCell ref="BG40:BG43"/>
    <mergeCell ref="AY40:AY43"/>
    <mergeCell ref="AU40:AU43"/>
    <mergeCell ref="AW40:AW43"/>
    <mergeCell ref="AK40:AK43"/>
    <mergeCell ref="AM40:AM43"/>
    <mergeCell ref="AC40:AC43"/>
    <mergeCell ref="AE40:AE43"/>
    <mergeCell ref="BA40:BA43"/>
    <mergeCell ref="BE40:BE43"/>
    <mergeCell ref="BG3:BH3"/>
    <mergeCell ref="BG37:BG38"/>
    <mergeCell ref="B3:B4"/>
    <mergeCell ref="C3:C4"/>
    <mergeCell ref="E3:F3"/>
    <mergeCell ref="G3:H3"/>
    <mergeCell ref="I3:J3"/>
    <mergeCell ref="D3:D4"/>
    <mergeCell ref="Y3:Z3"/>
    <mergeCell ref="E37:E38"/>
    <mergeCell ref="M3:N3"/>
    <mergeCell ref="O3:P3"/>
    <mergeCell ref="O37:O38"/>
    <mergeCell ref="K37:K38"/>
    <mergeCell ref="K3:L3"/>
    <mergeCell ref="D37:D38"/>
    <mergeCell ref="AK3:AL3"/>
    <mergeCell ref="AM3:AN3"/>
    <mergeCell ref="AK37:AK38"/>
    <mergeCell ref="AM37:AM38"/>
    <mergeCell ref="AC3:AD3"/>
    <mergeCell ref="AE3:AF3"/>
    <mergeCell ref="AC37:AC38"/>
    <mergeCell ref="AE37:AE38"/>
    <mergeCell ref="BM3:BN3"/>
    <mergeCell ref="G37:G38"/>
    <mergeCell ref="BM37:BM38"/>
    <mergeCell ref="I37:I38"/>
    <mergeCell ref="M37:M38"/>
    <mergeCell ref="S3:T3"/>
    <mergeCell ref="U3:V3"/>
    <mergeCell ref="S37:S38"/>
    <mergeCell ref="U37:U38"/>
    <mergeCell ref="BI3:BJ3"/>
    <mergeCell ref="BI37:BI38"/>
    <mergeCell ref="Q3:R3"/>
    <mergeCell ref="AA3:AB3"/>
    <mergeCell ref="W3:X3"/>
    <mergeCell ref="BK3:BL3"/>
    <mergeCell ref="BK37:BK38"/>
    <mergeCell ref="Q37:Q38"/>
    <mergeCell ref="AA37:AA38"/>
    <mergeCell ref="Y37:Y38"/>
    <mergeCell ref="W37:W38"/>
    <mergeCell ref="AU3:AV3"/>
    <mergeCell ref="AW3:AX3"/>
    <mergeCell ref="AU37:AU38"/>
    <mergeCell ref="AW37:AW38"/>
    <mergeCell ref="D40:D43"/>
    <mergeCell ref="E40:E43"/>
    <mergeCell ref="G40:G43"/>
    <mergeCell ref="K40:K43"/>
    <mergeCell ref="AA40:AA43"/>
    <mergeCell ref="AG3:AH3"/>
    <mergeCell ref="AI3:AJ3"/>
    <mergeCell ref="AG37:AG38"/>
    <mergeCell ref="AI37:AI38"/>
    <mergeCell ref="AG40:AG43"/>
    <mergeCell ref="AI40:AI43"/>
  </mergeCells>
  <printOptions horizontalCentered="1" verticalCentered="1"/>
  <pageMargins left="0" right="0" top="0" bottom="0" header="0" footer="0"/>
  <pageSetup paperSize="9" scale="50" orientation="landscape" verticalDpi="300" r:id="rId1"/>
  <ignoredErrors>
    <ignoredError sqref="J9:J10 I15:J15 M15:N15" formula="1"/>
  </ignoredError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">
    <tabColor rgb="FF7030A0"/>
    <pageSetUpPr fitToPage="1"/>
  </sheetPr>
  <dimension ref="A1:BR46"/>
  <sheetViews>
    <sheetView workbookViewId="0">
      <pane xSplit="4" topLeftCell="BF1" activePane="topRight" state="frozen"/>
      <selection pane="topRight" activeCell="B30" sqref="B30"/>
    </sheetView>
  </sheetViews>
  <sheetFormatPr defaultRowHeight="15" x14ac:dyDescent="0.25"/>
  <cols>
    <col min="2" max="2" width="58.42578125" customWidth="1"/>
    <col min="3" max="3" width="12.42578125" customWidth="1"/>
    <col min="4" max="4" width="13.7109375" bestFit="1" customWidth="1"/>
    <col min="5" max="5" width="12.140625" customWidth="1"/>
    <col min="6" max="6" width="8.42578125" customWidth="1"/>
    <col min="7" max="7" width="12.5703125" customWidth="1"/>
    <col min="8" max="8" width="8.42578125" customWidth="1"/>
    <col min="9" max="9" width="10.42578125" hidden="1" customWidth="1"/>
    <col min="10" max="10" width="9.85546875" hidden="1" customWidth="1"/>
    <col min="11" max="11" width="7.85546875" customWidth="1"/>
    <col min="12" max="12" width="9.85546875" customWidth="1"/>
    <col min="13" max="13" width="7.85546875" customWidth="1"/>
    <col min="14" max="14" width="11.28515625" customWidth="1"/>
    <col min="15" max="15" width="7.85546875" customWidth="1"/>
    <col min="16" max="16" width="9.85546875" customWidth="1"/>
    <col min="17" max="17" width="7.85546875" hidden="1" customWidth="1"/>
    <col min="18" max="18" width="11.28515625" hidden="1" customWidth="1"/>
    <col min="19" max="19" width="12.140625" customWidth="1"/>
    <col min="20" max="20" width="9.85546875" customWidth="1"/>
    <col min="21" max="21" width="9" hidden="1" customWidth="1"/>
    <col min="22" max="22" width="11.28515625" hidden="1" customWidth="1"/>
    <col min="23" max="23" width="9.85546875" customWidth="1"/>
    <col min="24" max="24" width="9.85546875" style="3399" customWidth="1"/>
    <col min="25" max="25" width="9.140625" customWidth="1"/>
    <col min="26" max="26" width="11.28515625" customWidth="1"/>
    <col min="27" max="27" width="9.140625" customWidth="1"/>
    <col min="28" max="28" width="11.28515625" customWidth="1"/>
    <col min="29" max="30" width="11.28515625" style="4044" customWidth="1"/>
    <col min="31" max="32" width="11.28515625" style="4044" hidden="1" customWidth="1"/>
    <col min="33" max="34" width="11.28515625" style="4157" customWidth="1"/>
    <col min="35" max="36" width="11.28515625" style="4157" hidden="1" customWidth="1"/>
    <col min="37" max="40" width="11.28515625" style="4267" customWidth="1"/>
    <col min="41" max="42" width="11.28515625" style="4267" hidden="1" customWidth="1"/>
    <col min="43" max="44" width="11.28515625" style="4390" customWidth="1"/>
    <col min="45" max="46" width="11.28515625" style="4390" hidden="1" customWidth="1"/>
    <col min="47" max="48" width="11.28515625" style="4624" customWidth="1"/>
    <col min="49" max="50" width="11.28515625" style="4624" hidden="1" customWidth="1"/>
    <col min="51" max="58" width="11.28515625" style="5027" customWidth="1"/>
    <col min="59" max="59" width="9.140625" hidden="1" customWidth="1"/>
    <col min="60" max="60" width="13" customWidth="1"/>
    <col min="61" max="61" width="11.28515625" hidden="1" customWidth="1"/>
    <col min="62" max="62" width="13.5703125" customWidth="1"/>
    <col min="63" max="63" width="9" hidden="1" customWidth="1"/>
    <col min="64" max="64" width="13.7109375" customWidth="1"/>
    <col min="65" max="66" width="9" hidden="1" customWidth="1"/>
  </cols>
  <sheetData>
    <row r="1" spans="1:70" ht="22.5" x14ac:dyDescent="0.3">
      <c r="B1" s="465" t="s">
        <v>1763</v>
      </c>
      <c r="C1" s="465"/>
      <c r="D1" s="465"/>
      <c r="E1" s="465"/>
      <c r="F1" s="465"/>
      <c r="G1" s="465"/>
      <c r="H1" s="465"/>
      <c r="I1" s="465"/>
      <c r="J1" s="465"/>
      <c r="K1" s="465"/>
      <c r="L1" s="465"/>
      <c r="M1" s="465"/>
      <c r="N1" s="465"/>
      <c r="O1" s="960"/>
      <c r="P1" s="465"/>
      <c r="Q1" s="465"/>
      <c r="R1" s="465"/>
      <c r="S1" s="465"/>
      <c r="T1" s="465"/>
      <c r="U1" s="465"/>
      <c r="V1" s="465"/>
      <c r="W1" s="465"/>
      <c r="X1" s="465"/>
      <c r="Y1" s="465"/>
      <c r="Z1" s="465"/>
      <c r="AA1" s="465"/>
      <c r="AB1" s="465"/>
      <c r="AC1" s="465"/>
      <c r="AD1" s="465"/>
      <c r="AE1" s="465"/>
      <c r="AF1" s="465"/>
      <c r="AG1" s="465"/>
      <c r="AH1" s="465"/>
      <c r="AI1" s="465"/>
      <c r="AJ1" s="465"/>
      <c r="AK1" s="465"/>
      <c r="AL1" s="465"/>
      <c r="AM1" s="465"/>
      <c r="AN1" s="465"/>
      <c r="AO1" s="465"/>
      <c r="AP1" s="465"/>
      <c r="AQ1" s="465"/>
      <c r="AR1" s="465"/>
      <c r="AS1" s="465"/>
      <c r="AT1" s="465"/>
      <c r="AU1" s="465"/>
      <c r="AV1" s="465"/>
      <c r="AW1" s="465"/>
      <c r="AX1" s="465"/>
      <c r="AY1" s="465"/>
      <c r="AZ1" s="465"/>
      <c r="BA1" s="465"/>
      <c r="BB1" s="465"/>
      <c r="BC1" s="465"/>
      <c r="BD1" s="465"/>
      <c r="BE1" s="465"/>
      <c r="BF1" s="465"/>
      <c r="BG1" s="465"/>
      <c r="BH1" s="465"/>
      <c r="BI1" s="465"/>
      <c r="BJ1" s="465"/>
      <c r="BK1" s="465"/>
      <c r="BL1" s="465"/>
      <c r="BM1" s="465"/>
      <c r="BN1" s="465"/>
    </row>
    <row r="2" spans="1:70" ht="15.75" thickBot="1" x14ac:dyDescent="0.3">
      <c r="B2" s="870"/>
      <c r="C2" s="59"/>
      <c r="D2" s="59"/>
      <c r="E2" s="238">
        <v>30</v>
      </c>
      <c r="F2" s="238">
        <v>30</v>
      </c>
      <c r="G2" s="238">
        <v>31</v>
      </c>
      <c r="H2" s="238">
        <v>31</v>
      </c>
      <c r="I2" s="238">
        <f>+G2+E2</f>
        <v>61</v>
      </c>
      <c r="J2" s="238">
        <f>+H2+F2</f>
        <v>61</v>
      </c>
      <c r="K2" s="238">
        <v>30</v>
      </c>
      <c r="L2" s="238">
        <v>30</v>
      </c>
      <c r="M2" s="419">
        <f>+E2+G2+K2</f>
        <v>91</v>
      </c>
      <c r="N2" s="419">
        <f>+F2+H2+L2</f>
        <v>91</v>
      </c>
      <c r="O2" s="700">
        <v>31</v>
      </c>
      <c r="P2" s="419">
        <v>31</v>
      </c>
      <c r="Q2" s="419">
        <f>+M2+O2</f>
        <v>122</v>
      </c>
      <c r="R2" s="419">
        <f>+N2+P2</f>
        <v>122</v>
      </c>
      <c r="S2" s="419">
        <v>31</v>
      </c>
      <c r="T2" s="419">
        <v>31</v>
      </c>
      <c r="U2" s="419">
        <f>+Q2+S2</f>
        <v>153</v>
      </c>
      <c r="V2" s="419">
        <f>+R2+T2</f>
        <v>153</v>
      </c>
      <c r="W2" s="419">
        <v>30</v>
      </c>
      <c r="X2" s="419">
        <v>30</v>
      </c>
      <c r="Y2" s="419">
        <f>+O2+S2+W2</f>
        <v>92</v>
      </c>
      <c r="Z2" s="419">
        <f>+P2+T2+X2</f>
        <v>92</v>
      </c>
      <c r="AA2" s="419">
        <f>+M2+Y2</f>
        <v>183</v>
      </c>
      <c r="AB2" s="419">
        <f>+N2+Z2</f>
        <v>183</v>
      </c>
      <c r="AC2" s="419">
        <v>31</v>
      </c>
      <c r="AD2" s="419">
        <v>31</v>
      </c>
      <c r="AE2" s="419">
        <f>AA2+AC2</f>
        <v>214</v>
      </c>
      <c r="AF2" s="419">
        <f>AB2+AD2</f>
        <v>214</v>
      </c>
      <c r="AG2" s="419">
        <v>30</v>
      </c>
      <c r="AH2" s="419">
        <v>30</v>
      </c>
      <c r="AI2" s="419">
        <f>AE2+AG2</f>
        <v>244</v>
      </c>
      <c r="AJ2" s="419">
        <f>AF2+AH2</f>
        <v>244</v>
      </c>
      <c r="AK2" s="419">
        <v>31</v>
      </c>
      <c r="AL2" s="419">
        <v>31</v>
      </c>
      <c r="AM2" s="419">
        <f>+AC2+AG2+AK2</f>
        <v>92</v>
      </c>
      <c r="AN2" s="419">
        <f>+AD2+AH2+AL2</f>
        <v>92</v>
      </c>
      <c r="AO2" s="419">
        <f>AI2+AK2</f>
        <v>275</v>
      </c>
      <c r="AP2" s="419">
        <f>AJ2+AL2</f>
        <v>275</v>
      </c>
      <c r="AQ2" s="419">
        <v>31</v>
      </c>
      <c r="AR2" s="419">
        <v>31</v>
      </c>
      <c r="AS2" s="419">
        <f>AO2+AQ2</f>
        <v>306</v>
      </c>
      <c r="AT2" s="419">
        <f>AP2+AR2</f>
        <v>306</v>
      </c>
      <c r="AU2" s="419">
        <v>29</v>
      </c>
      <c r="AV2" s="419">
        <v>29</v>
      </c>
      <c r="AW2" s="419">
        <f>AS2+AU2</f>
        <v>335</v>
      </c>
      <c r="AX2" s="419">
        <f>AT2+AV2</f>
        <v>335</v>
      </c>
      <c r="AY2" s="419">
        <v>31</v>
      </c>
      <c r="AZ2" s="419">
        <v>31</v>
      </c>
      <c r="BA2" s="419">
        <f>+AQ2+AU2+AY2</f>
        <v>91</v>
      </c>
      <c r="BB2" s="419">
        <f>+AR2+AV2+AZ2</f>
        <v>91</v>
      </c>
      <c r="BC2" s="419">
        <f>AM2+BA2</f>
        <v>183</v>
      </c>
      <c r="BD2" s="419">
        <f>AN2+BB2</f>
        <v>183</v>
      </c>
      <c r="BE2" s="419">
        <f>AW2+AY2</f>
        <v>366</v>
      </c>
      <c r="BF2" s="419">
        <f>AX2+AZ2</f>
        <v>366</v>
      </c>
      <c r="BG2" s="419"/>
      <c r="BH2" s="419"/>
      <c r="BI2" s="419"/>
      <c r="BJ2" s="419"/>
      <c r="BK2" s="419">
        <v>365</v>
      </c>
      <c r="BL2" s="419">
        <v>365</v>
      </c>
      <c r="BM2" s="33">
        <v>366</v>
      </c>
      <c r="BN2" s="33">
        <v>366</v>
      </c>
    </row>
    <row r="3" spans="1:70" ht="15" customHeight="1" thickBot="1" x14ac:dyDescent="0.3">
      <c r="B3" s="6059" t="s">
        <v>175</v>
      </c>
      <c r="C3" s="6061" t="s">
        <v>176</v>
      </c>
      <c r="D3" s="6064" t="s">
        <v>1469</v>
      </c>
      <c r="E3" s="6045" t="s">
        <v>1470</v>
      </c>
      <c r="F3" s="6063"/>
      <c r="G3" s="6045" t="s">
        <v>1526</v>
      </c>
      <c r="H3" s="6045"/>
      <c r="I3" s="6046" t="s">
        <v>15</v>
      </c>
      <c r="J3" s="6047"/>
      <c r="K3" s="6076" t="s">
        <v>1620</v>
      </c>
      <c r="L3" s="6077"/>
      <c r="M3" s="6078" t="s">
        <v>658</v>
      </c>
      <c r="N3" s="6079"/>
      <c r="O3" s="6045" t="s">
        <v>1688</v>
      </c>
      <c r="P3" s="6045"/>
      <c r="Q3" s="6046" t="s">
        <v>18</v>
      </c>
      <c r="R3" s="6047"/>
      <c r="S3" s="6045" t="s">
        <v>1731</v>
      </c>
      <c r="T3" s="6045"/>
      <c r="U3" s="6046" t="s">
        <v>19</v>
      </c>
      <c r="V3" s="6047"/>
      <c r="W3" s="6045" t="s">
        <v>1766</v>
      </c>
      <c r="X3" s="6045"/>
      <c r="Y3" s="6100" t="s">
        <v>682</v>
      </c>
      <c r="Z3" s="6079"/>
      <c r="AA3" s="6074" t="s">
        <v>679</v>
      </c>
      <c r="AB3" s="6075"/>
      <c r="AC3" s="6045" t="s">
        <v>1831</v>
      </c>
      <c r="AD3" s="6045"/>
      <c r="AE3" s="6046" t="s">
        <v>26</v>
      </c>
      <c r="AF3" s="6047"/>
      <c r="AG3" s="6045" t="s">
        <v>1863</v>
      </c>
      <c r="AH3" s="6045"/>
      <c r="AI3" s="6046" t="s">
        <v>29</v>
      </c>
      <c r="AJ3" s="6047"/>
      <c r="AK3" s="6045" t="s">
        <v>1888</v>
      </c>
      <c r="AL3" s="6045"/>
      <c r="AM3" s="6100" t="s">
        <v>684</v>
      </c>
      <c r="AN3" s="6079"/>
      <c r="AO3" s="6046" t="s">
        <v>1890</v>
      </c>
      <c r="AP3" s="6047"/>
      <c r="AQ3" s="6045" t="s">
        <v>1918</v>
      </c>
      <c r="AR3" s="6045"/>
      <c r="AS3" s="6046" t="s">
        <v>30</v>
      </c>
      <c r="AT3" s="6047"/>
      <c r="AU3" s="6045" t="s">
        <v>1940</v>
      </c>
      <c r="AV3" s="6045"/>
      <c r="AW3" s="6046" t="s">
        <v>32</v>
      </c>
      <c r="AX3" s="6047"/>
      <c r="AY3" s="6076" t="s">
        <v>1965</v>
      </c>
      <c r="AZ3" s="6045"/>
      <c r="BA3" s="6100" t="s">
        <v>685</v>
      </c>
      <c r="BB3" s="6079"/>
      <c r="BC3" s="6074" t="s">
        <v>693</v>
      </c>
      <c r="BD3" s="6075"/>
      <c r="BE3" s="6046" t="s">
        <v>1513</v>
      </c>
      <c r="BF3" s="6047"/>
      <c r="BG3" s="6066" t="s">
        <v>1316</v>
      </c>
      <c r="BH3" s="6067"/>
      <c r="BI3" s="6066" t="s">
        <v>991</v>
      </c>
      <c r="BJ3" s="6067"/>
      <c r="BK3" s="6066" t="s">
        <v>701</v>
      </c>
      <c r="BL3" s="6067"/>
      <c r="BM3" s="6066" t="s">
        <v>671</v>
      </c>
      <c r="BN3" s="6067"/>
    </row>
    <row r="4" spans="1:70" ht="15" customHeight="1" thickBot="1" x14ac:dyDescent="0.3">
      <c r="B4" s="6060"/>
      <c r="C4" s="6062"/>
      <c r="D4" s="6065"/>
      <c r="E4" s="667" t="s">
        <v>177</v>
      </c>
      <c r="F4" s="191" t="s">
        <v>178</v>
      </c>
      <c r="G4" s="667" t="s">
        <v>177</v>
      </c>
      <c r="H4" s="214" t="s">
        <v>178</v>
      </c>
      <c r="I4" s="179" t="s">
        <v>177</v>
      </c>
      <c r="J4" s="199" t="s">
        <v>178</v>
      </c>
      <c r="K4" s="215" t="s">
        <v>177</v>
      </c>
      <c r="L4" s="214" t="s">
        <v>178</v>
      </c>
      <c r="M4" s="850" t="s">
        <v>177</v>
      </c>
      <c r="N4" s="206" t="s">
        <v>178</v>
      </c>
      <c r="O4" s="271" t="s">
        <v>177</v>
      </c>
      <c r="P4" s="214" t="s">
        <v>178</v>
      </c>
      <c r="Q4" s="179" t="s">
        <v>177</v>
      </c>
      <c r="R4" s="199" t="s">
        <v>178</v>
      </c>
      <c r="S4" s="667" t="s">
        <v>177</v>
      </c>
      <c r="T4" s="214" t="s">
        <v>178</v>
      </c>
      <c r="U4" s="179" t="s">
        <v>177</v>
      </c>
      <c r="V4" s="199" t="s">
        <v>178</v>
      </c>
      <c r="W4" s="667" t="s">
        <v>177</v>
      </c>
      <c r="X4" s="214" t="s">
        <v>178</v>
      </c>
      <c r="Y4" s="849" t="s">
        <v>177</v>
      </c>
      <c r="Z4" s="206" t="s">
        <v>178</v>
      </c>
      <c r="AA4" s="851" t="s">
        <v>177</v>
      </c>
      <c r="AB4" s="561" t="s">
        <v>178</v>
      </c>
      <c r="AC4" s="4042" t="s">
        <v>177</v>
      </c>
      <c r="AD4" s="214" t="s">
        <v>178</v>
      </c>
      <c r="AE4" s="4043" t="s">
        <v>177</v>
      </c>
      <c r="AF4" s="199" t="s">
        <v>178</v>
      </c>
      <c r="AG4" s="4155" t="s">
        <v>177</v>
      </c>
      <c r="AH4" s="214" t="s">
        <v>178</v>
      </c>
      <c r="AI4" s="4156" t="s">
        <v>177</v>
      </c>
      <c r="AJ4" s="199" t="s">
        <v>178</v>
      </c>
      <c r="AK4" s="4265" t="s">
        <v>177</v>
      </c>
      <c r="AL4" s="214" t="s">
        <v>178</v>
      </c>
      <c r="AM4" s="4264" t="s">
        <v>177</v>
      </c>
      <c r="AN4" s="206" t="s">
        <v>178</v>
      </c>
      <c r="AO4" s="4266" t="s">
        <v>177</v>
      </c>
      <c r="AP4" s="199" t="s">
        <v>178</v>
      </c>
      <c r="AQ4" s="4388" t="s">
        <v>177</v>
      </c>
      <c r="AR4" s="214" t="s">
        <v>178</v>
      </c>
      <c r="AS4" s="4389" t="s">
        <v>177</v>
      </c>
      <c r="AT4" s="199" t="s">
        <v>178</v>
      </c>
      <c r="AU4" s="4622" t="s">
        <v>177</v>
      </c>
      <c r="AV4" s="214" t="s">
        <v>178</v>
      </c>
      <c r="AW4" s="4623" t="s">
        <v>177</v>
      </c>
      <c r="AX4" s="199" t="s">
        <v>178</v>
      </c>
      <c r="AY4" s="5024" t="s">
        <v>177</v>
      </c>
      <c r="AZ4" s="214" t="s">
        <v>178</v>
      </c>
      <c r="BA4" s="5023" t="s">
        <v>177</v>
      </c>
      <c r="BB4" s="206" t="s">
        <v>178</v>
      </c>
      <c r="BC4" s="5025" t="s">
        <v>177</v>
      </c>
      <c r="BD4" s="561" t="s">
        <v>178</v>
      </c>
      <c r="BE4" s="5026" t="s">
        <v>177</v>
      </c>
      <c r="BF4" s="199" t="s">
        <v>178</v>
      </c>
      <c r="BG4" s="1362" t="s">
        <v>177</v>
      </c>
      <c r="BH4" s="1363" t="s">
        <v>178</v>
      </c>
      <c r="BI4" s="1362" t="s">
        <v>177</v>
      </c>
      <c r="BJ4" s="1363" t="s">
        <v>178</v>
      </c>
      <c r="BK4" s="1362" t="s">
        <v>177</v>
      </c>
      <c r="BL4" s="1363" t="s">
        <v>178</v>
      </c>
      <c r="BM4" s="1362" t="s">
        <v>177</v>
      </c>
      <c r="BN4" s="1363" t="s">
        <v>178</v>
      </c>
    </row>
    <row r="5" spans="1:70" ht="15" customHeight="1" x14ac:dyDescent="0.25">
      <c r="A5" s="183"/>
      <c r="B5" s="2984" t="s">
        <v>144</v>
      </c>
      <c r="C5" s="333"/>
      <c r="D5" s="301"/>
      <c r="E5" s="332"/>
      <c r="F5" s="328"/>
      <c r="G5" s="301"/>
      <c r="H5" s="301"/>
      <c r="I5" s="301"/>
      <c r="J5" s="301"/>
      <c r="K5" s="301"/>
      <c r="L5" s="301"/>
      <c r="M5" s="301"/>
      <c r="N5" s="301"/>
      <c r="O5" s="301"/>
      <c r="P5" s="301"/>
      <c r="Q5" s="301"/>
      <c r="R5" s="301"/>
      <c r="S5" s="301"/>
      <c r="T5" s="301"/>
      <c r="U5" s="301"/>
      <c r="V5" s="301"/>
      <c r="W5" s="301"/>
      <c r="X5" s="301"/>
      <c r="Y5" s="301"/>
      <c r="Z5" s="301"/>
      <c r="AA5" s="301"/>
      <c r="AB5" s="301"/>
      <c r="AC5" s="301"/>
      <c r="AD5" s="301"/>
      <c r="AE5" s="301"/>
      <c r="AF5" s="301"/>
      <c r="AG5" s="301"/>
      <c r="AH5" s="301"/>
      <c r="AI5" s="301"/>
      <c r="AJ5" s="301"/>
      <c r="AK5" s="301"/>
      <c r="AL5" s="301"/>
      <c r="AM5" s="301"/>
      <c r="AN5" s="301"/>
      <c r="AO5" s="301"/>
      <c r="AP5" s="301"/>
      <c r="AQ5" s="301"/>
      <c r="AR5" s="301"/>
      <c r="AS5" s="301"/>
      <c r="AT5" s="301"/>
      <c r="AU5" s="301"/>
      <c r="AV5" s="301"/>
      <c r="AW5" s="301"/>
      <c r="AX5" s="301"/>
      <c r="AY5" s="301"/>
      <c r="AZ5" s="301"/>
      <c r="BA5" s="301"/>
      <c r="BB5" s="301"/>
      <c r="BC5" s="301"/>
      <c r="BD5" s="301"/>
      <c r="BE5" s="301"/>
      <c r="BF5" s="301"/>
      <c r="BG5" s="301"/>
      <c r="BH5" s="301"/>
      <c r="BI5" s="1364"/>
      <c r="BJ5" s="1372"/>
      <c r="BK5" s="1364"/>
      <c r="BL5" s="1372"/>
      <c r="BM5" s="1364"/>
      <c r="BN5" s="1372"/>
      <c r="BO5" s="183"/>
    </row>
    <row r="6" spans="1:70" ht="15" customHeight="1" x14ac:dyDescent="0.25">
      <c r="B6" s="2976" t="s">
        <v>1243</v>
      </c>
      <c r="C6" s="13" t="s">
        <v>361</v>
      </c>
      <c r="D6" s="2986">
        <f>20000+1500</f>
        <v>21500</v>
      </c>
      <c r="E6" s="1661">
        <f>1500+200</f>
        <v>1700</v>
      </c>
      <c r="F6" s="1633">
        <v>1921.85</v>
      </c>
      <c r="G6" s="1661">
        <f>1500+100</f>
        <v>1600</v>
      </c>
      <c r="H6" s="1633">
        <v>4260.13</v>
      </c>
      <c r="I6" s="524">
        <f t="shared" ref="I6:J11" si="0">+E6+G6</f>
        <v>3300</v>
      </c>
      <c r="J6" s="53">
        <f t="shared" si="0"/>
        <v>6181.98</v>
      </c>
      <c r="K6" s="1661">
        <v>2100</v>
      </c>
      <c r="L6" s="1633">
        <v>1412.02</v>
      </c>
      <c r="M6" s="97">
        <f t="shared" ref="M6:N11" si="1">+E6+G6+K6</f>
        <v>5400</v>
      </c>
      <c r="N6" s="97">
        <f t="shared" si="1"/>
        <v>7594</v>
      </c>
      <c r="O6" s="1661">
        <v>2100</v>
      </c>
      <c r="P6" s="2940">
        <v>1785.3700000000001</v>
      </c>
      <c r="Q6" s="524">
        <f t="shared" ref="Q6:R8" si="2">+M6+O6</f>
        <v>7500</v>
      </c>
      <c r="R6" s="524">
        <f t="shared" si="2"/>
        <v>9379.3700000000008</v>
      </c>
      <c r="S6" s="1661">
        <v>1600</v>
      </c>
      <c r="T6" s="1633">
        <v>1518.5299999999997</v>
      </c>
      <c r="U6" s="524">
        <f t="shared" ref="U6:U11" si="3">+Q6+S6</f>
        <v>9100</v>
      </c>
      <c r="V6" s="524">
        <f t="shared" ref="V6:V11" si="4">+R6+T6</f>
        <v>10897.900000000001</v>
      </c>
      <c r="W6" s="1661">
        <v>1700</v>
      </c>
      <c r="X6" s="1633">
        <v>2496.4499999999998</v>
      </c>
      <c r="Y6" s="97">
        <f t="shared" ref="Y6:Z6" si="5">+O6+S6+W6</f>
        <v>5400</v>
      </c>
      <c r="Z6" s="98">
        <f t="shared" si="5"/>
        <v>5800.3499999999995</v>
      </c>
      <c r="AA6" s="772">
        <f>+M6+Y6</f>
        <v>10800</v>
      </c>
      <c r="AB6" s="772">
        <f>+N6+Z6</f>
        <v>13394.349999999999</v>
      </c>
      <c r="AC6" s="1661">
        <v>1600</v>
      </c>
      <c r="AD6" s="1633">
        <v>2994.67</v>
      </c>
      <c r="AE6" s="524">
        <f t="shared" ref="AE6:AE11" si="6">+AA6+AC6</f>
        <v>12400</v>
      </c>
      <c r="AF6" s="53">
        <f t="shared" ref="AF6:AF11" si="7">+AB6+AD6</f>
        <v>16389.019999999997</v>
      </c>
      <c r="AG6" s="1661">
        <v>1600</v>
      </c>
      <c r="AH6" s="1633">
        <v>2457.0600000000004</v>
      </c>
      <c r="AI6" s="524">
        <f t="shared" ref="AI6:AI11" si="8">+AE6+AG6</f>
        <v>14000</v>
      </c>
      <c r="AJ6" s="53">
        <f t="shared" ref="AJ6:AJ11" si="9">+AF6+AH6</f>
        <v>18846.079999999998</v>
      </c>
      <c r="AK6" s="1661">
        <v>1600</v>
      </c>
      <c r="AL6" s="1633">
        <v>1302.0999999999999</v>
      </c>
      <c r="AM6" s="97">
        <f t="shared" ref="AM6:AM11" si="10">+AC6+AG6+AK6</f>
        <v>4800</v>
      </c>
      <c r="AN6" s="98">
        <f t="shared" ref="AN6:AN11" si="11">+AD6+AH6+AL6</f>
        <v>6753.83</v>
      </c>
      <c r="AO6" s="524">
        <f>AI6+AK6</f>
        <v>15600</v>
      </c>
      <c r="AP6" s="524">
        <f>AJ6+AL6</f>
        <v>20148.179999999997</v>
      </c>
      <c r="AQ6" s="1661">
        <v>2200</v>
      </c>
      <c r="AR6" s="1633">
        <v>2913.06</v>
      </c>
      <c r="AS6" s="524">
        <f t="shared" ref="AS6:AS11" si="12">+AO6+AQ6</f>
        <v>17800</v>
      </c>
      <c r="AT6" s="53">
        <f t="shared" ref="AT6:AT11" si="13">+AP6+AR6</f>
        <v>23061.239999999998</v>
      </c>
      <c r="AU6" s="1661">
        <v>1600</v>
      </c>
      <c r="AV6" s="1633">
        <v>2516.6000000000004</v>
      </c>
      <c r="AW6" s="524">
        <f t="shared" ref="AW6:AW11" si="14">+AS6+AU6</f>
        <v>19400</v>
      </c>
      <c r="AX6" s="53">
        <f t="shared" ref="AX6:AX11" si="15">+AT6+AV6</f>
        <v>25577.839999999997</v>
      </c>
      <c r="AY6" s="1661">
        <v>2100</v>
      </c>
      <c r="AZ6" s="1633">
        <v>5072</v>
      </c>
      <c r="BA6" s="97">
        <f t="shared" ref="BA6:BA11" si="16">+AQ6+AU6+AY6</f>
        <v>5900</v>
      </c>
      <c r="BB6" s="98">
        <f t="shared" ref="BB6:BB11" si="17">+AR6+AV6+AZ6</f>
        <v>10501.66</v>
      </c>
      <c r="BC6" s="772">
        <f>AM6+BA6</f>
        <v>10700</v>
      </c>
      <c r="BD6" s="772">
        <f t="shared" ref="BD6:BD11" si="18">AN6+BB6</f>
        <v>17255.489999999998</v>
      </c>
      <c r="BE6" s="524">
        <f t="shared" ref="BE6:BE11" si="19">+AW6+AY6</f>
        <v>21500</v>
      </c>
      <c r="BF6" s="53">
        <f t="shared" ref="BF6:BF11" si="20">+AX6+AZ6</f>
        <v>30649.839999999997</v>
      </c>
      <c r="BG6" s="1368">
        <v>25500</v>
      </c>
      <c r="BH6" s="1368">
        <v>34807.22</v>
      </c>
      <c r="BI6" s="1368">
        <v>16050</v>
      </c>
      <c r="BJ6" s="1369">
        <v>33201.15</v>
      </c>
      <c r="BK6" s="1368">
        <v>0</v>
      </c>
      <c r="BL6" s="1369">
        <v>35268.25</v>
      </c>
      <c r="BM6" s="1368">
        <v>2000</v>
      </c>
      <c r="BN6" s="1369">
        <v>28405.85</v>
      </c>
      <c r="BO6" s="26"/>
      <c r="BP6" s="26"/>
      <c r="BQ6" s="26"/>
      <c r="BR6" s="26"/>
    </row>
    <row r="7" spans="1:70" ht="15" customHeight="1" x14ac:dyDescent="0.25">
      <c r="B7" s="2976" t="s">
        <v>79</v>
      </c>
      <c r="C7" s="13" t="s">
        <v>361</v>
      </c>
      <c r="D7" s="2987">
        <v>0</v>
      </c>
      <c r="E7" s="1633">
        <v>0</v>
      </c>
      <c r="F7" s="1633">
        <v>0</v>
      </c>
      <c r="G7" s="1633">
        <v>0</v>
      </c>
      <c r="H7" s="1633">
        <v>103</v>
      </c>
      <c r="I7" s="524">
        <f t="shared" si="0"/>
        <v>0</v>
      </c>
      <c r="J7" s="53">
        <f t="shared" si="0"/>
        <v>103</v>
      </c>
      <c r="K7" s="1633">
        <v>0</v>
      </c>
      <c r="L7" s="1633">
        <v>0</v>
      </c>
      <c r="M7" s="97">
        <f t="shared" si="1"/>
        <v>0</v>
      </c>
      <c r="N7" s="97">
        <f t="shared" si="1"/>
        <v>103</v>
      </c>
      <c r="O7" s="1633">
        <v>0</v>
      </c>
      <c r="P7" s="2940">
        <v>2735.94</v>
      </c>
      <c r="Q7" s="524">
        <f t="shared" si="2"/>
        <v>0</v>
      </c>
      <c r="R7" s="524">
        <f t="shared" si="2"/>
        <v>2838.94</v>
      </c>
      <c r="S7" s="1633">
        <v>0</v>
      </c>
      <c r="T7" s="1633">
        <v>237.26</v>
      </c>
      <c r="U7" s="524">
        <f t="shared" si="3"/>
        <v>0</v>
      </c>
      <c r="V7" s="524">
        <f t="shared" si="4"/>
        <v>3076.2</v>
      </c>
      <c r="W7" s="1633">
        <v>0</v>
      </c>
      <c r="X7" s="1633">
        <v>0</v>
      </c>
      <c r="Y7" s="97">
        <f t="shared" ref="Y7:Y11" si="21">+O7+S7+W7</f>
        <v>0</v>
      </c>
      <c r="Z7" s="98">
        <f t="shared" ref="Z7:Z11" si="22">+P7+T7+X7</f>
        <v>2973.2</v>
      </c>
      <c r="AA7" s="772">
        <f t="shared" ref="AA7:AA11" si="23">+M7+Y7</f>
        <v>0</v>
      </c>
      <c r="AB7" s="772">
        <f t="shared" ref="AB7:AB11" si="24">+N7+Z7</f>
        <v>3076.2</v>
      </c>
      <c r="AC7" s="1633">
        <v>0</v>
      </c>
      <c r="AD7" s="1633">
        <v>0</v>
      </c>
      <c r="AE7" s="524">
        <f t="shared" si="6"/>
        <v>0</v>
      </c>
      <c r="AF7" s="53">
        <f t="shared" si="7"/>
        <v>3076.2</v>
      </c>
      <c r="AG7" s="1633">
        <v>0</v>
      </c>
      <c r="AH7" s="1633">
        <v>0</v>
      </c>
      <c r="AI7" s="524">
        <f t="shared" si="8"/>
        <v>0</v>
      </c>
      <c r="AJ7" s="53">
        <f t="shared" si="9"/>
        <v>3076.2</v>
      </c>
      <c r="AK7" s="1633">
        <v>0</v>
      </c>
      <c r="AL7" s="1633">
        <v>0</v>
      </c>
      <c r="AM7" s="97">
        <f t="shared" si="10"/>
        <v>0</v>
      </c>
      <c r="AN7" s="98">
        <f t="shared" si="11"/>
        <v>0</v>
      </c>
      <c r="AO7" s="524">
        <f t="shared" ref="AO7:AO11" si="25">AI7+AK7</f>
        <v>0</v>
      </c>
      <c r="AP7" s="524">
        <f t="shared" ref="AP7:AP11" si="26">AJ7+AL7</f>
        <v>3076.2</v>
      </c>
      <c r="AQ7" s="1633">
        <v>0</v>
      </c>
      <c r="AR7" s="1633">
        <v>0</v>
      </c>
      <c r="AS7" s="524">
        <f t="shared" si="12"/>
        <v>0</v>
      </c>
      <c r="AT7" s="53">
        <f t="shared" si="13"/>
        <v>3076.2</v>
      </c>
      <c r="AU7" s="1633">
        <v>0</v>
      </c>
      <c r="AV7" s="1633">
        <v>0</v>
      </c>
      <c r="AW7" s="524">
        <f t="shared" si="14"/>
        <v>0</v>
      </c>
      <c r="AX7" s="53">
        <f t="shared" si="15"/>
        <v>3076.2</v>
      </c>
      <c r="AY7" s="1633">
        <v>0</v>
      </c>
      <c r="AZ7" s="1633">
        <v>0</v>
      </c>
      <c r="BA7" s="97">
        <f t="shared" si="16"/>
        <v>0</v>
      </c>
      <c r="BB7" s="98">
        <f t="shared" si="17"/>
        <v>0</v>
      </c>
      <c r="BC7" s="772">
        <f t="shared" ref="BC7:BC11" si="27">AM7+BA7</f>
        <v>0</v>
      </c>
      <c r="BD7" s="772">
        <f t="shared" si="18"/>
        <v>0</v>
      </c>
      <c r="BE7" s="524">
        <f t="shared" si="19"/>
        <v>0</v>
      </c>
      <c r="BF7" s="53">
        <f t="shared" si="20"/>
        <v>3076.2</v>
      </c>
      <c r="BG7" s="1368">
        <v>123000</v>
      </c>
      <c r="BH7" s="1368">
        <v>42263.08</v>
      </c>
      <c r="BI7" s="1368">
        <v>0</v>
      </c>
      <c r="BJ7" s="1369">
        <v>71707.420000000013</v>
      </c>
      <c r="BK7" s="1368">
        <v>10800</v>
      </c>
      <c r="BL7" s="1369">
        <v>9758.5099999999966</v>
      </c>
      <c r="BM7" s="1368">
        <v>24210</v>
      </c>
      <c r="BN7" s="1369">
        <v>5928.0949999999839</v>
      </c>
      <c r="BO7" s="26"/>
      <c r="BP7" s="26"/>
      <c r="BQ7" s="26"/>
      <c r="BR7" s="26"/>
    </row>
    <row r="8" spans="1:70" ht="15" customHeight="1" x14ac:dyDescent="0.25">
      <c r="B8" s="2976" t="s">
        <v>581</v>
      </c>
      <c r="C8" s="13" t="s">
        <v>361</v>
      </c>
      <c r="D8" s="1698">
        <v>498500</v>
      </c>
      <c r="E8" s="1411">
        <v>42300</v>
      </c>
      <c r="F8" s="1517">
        <v>36663.080000000009</v>
      </c>
      <c r="G8" s="1411">
        <v>36400</v>
      </c>
      <c r="H8" s="1517">
        <v>32908.660000000003</v>
      </c>
      <c r="I8" s="524">
        <f t="shared" si="0"/>
        <v>78700</v>
      </c>
      <c r="J8" s="53">
        <f t="shared" si="0"/>
        <v>69571.74000000002</v>
      </c>
      <c r="K8" s="1411">
        <v>33900</v>
      </c>
      <c r="L8" s="1517">
        <v>32223.459999999995</v>
      </c>
      <c r="M8" s="97">
        <f t="shared" si="1"/>
        <v>112600</v>
      </c>
      <c r="N8" s="97">
        <f t="shared" si="1"/>
        <v>101795.20000000001</v>
      </c>
      <c r="O8" s="1411">
        <v>43400</v>
      </c>
      <c r="P8" s="1517">
        <v>41040.98000000001</v>
      </c>
      <c r="Q8" s="524">
        <f t="shared" si="2"/>
        <v>156000</v>
      </c>
      <c r="R8" s="524">
        <f t="shared" si="2"/>
        <v>142836.18000000002</v>
      </c>
      <c r="S8" s="1411">
        <v>43400</v>
      </c>
      <c r="T8" s="1517">
        <v>48167.689999999973</v>
      </c>
      <c r="U8" s="524">
        <f t="shared" si="3"/>
        <v>199400</v>
      </c>
      <c r="V8" s="524">
        <f t="shared" si="4"/>
        <v>191003.87</v>
      </c>
      <c r="W8" s="1411">
        <v>42300</v>
      </c>
      <c r="X8" s="1517">
        <v>43039.340000000004</v>
      </c>
      <c r="Y8" s="97">
        <f t="shared" si="21"/>
        <v>129100</v>
      </c>
      <c r="Z8" s="98">
        <f t="shared" si="22"/>
        <v>132248.00999999998</v>
      </c>
      <c r="AA8" s="772">
        <f t="shared" si="23"/>
        <v>241700</v>
      </c>
      <c r="AB8" s="772">
        <f t="shared" si="24"/>
        <v>234043.21</v>
      </c>
      <c r="AC8" s="3616">
        <v>43400</v>
      </c>
      <c r="AD8" s="1517">
        <v>41924.590000000011</v>
      </c>
      <c r="AE8" s="524">
        <f t="shared" si="6"/>
        <v>285100</v>
      </c>
      <c r="AF8" s="53">
        <f t="shared" si="7"/>
        <v>275967.8</v>
      </c>
      <c r="AG8" s="3616">
        <v>42400</v>
      </c>
      <c r="AH8" s="1517">
        <v>38006.170000000006</v>
      </c>
      <c r="AI8" s="524">
        <f t="shared" si="8"/>
        <v>327500</v>
      </c>
      <c r="AJ8" s="53">
        <f t="shared" si="9"/>
        <v>313973.96999999997</v>
      </c>
      <c r="AK8" s="3616">
        <v>43400</v>
      </c>
      <c r="AL8" s="1517">
        <v>39686.53</v>
      </c>
      <c r="AM8" s="97">
        <f t="shared" si="10"/>
        <v>129200</v>
      </c>
      <c r="AN8" s="98">
        <f t="shared" si="11"/>
        <v>119617.29000000001</v>
      </c>
      <c r="AO8" s="524">
        <f t="shared" si="25"/>
        <v>370900</v>
      </c>
      <c r="AP8" s="524">
        <f t="shared" si="26"/>
        <v>353660.5</v>
      </c>
      <c r="AQ8" s="3616">
        <v>43300</v>
      </c>
      <c r="AR8" s="1517">
        <v>43617.430000000008</v>
      </c>
      <c r="AS8" s="524">
        <f t="shared" si="12"/>
        <v>414200</v>
      </c>
      <c r="AT8" s="53">
        <f t="shared" si="13"/>
        <v>397277.93</v>
      </c>
      <c r="AU8" s="3616">
        <v>40900</v>
      </c>
      <c r="AV8" s="1517">
        <v>35011.660000000003</v>
      </c>
      <c r="AW8" s="524">
        <f t="shared" si="14"/>
        <v>455100</v>
      </c>
      <c r="AX8" s="53">
        <f t="shared" si="15"/>
        <v>432289.58999999997</v>
      </c>
      <c r="AY8" s="3616">
        <v>43400</v>
      </c>
      <c r="AZ8" s="1517">
        <v>41204.620000000003</v>
      </c>
      <c r="BA8" s="97">
        <f t="shared" si="16"/>
        <v>127600</v>
      </c>
      <c r="BB8" s="98">
        <f t="shared" si="17"/>
        <v>119833.71000000002</v>
      </c>
      <c r="BC8" s="772">
        <f t="shared" si="27"/>
        <v>256800</v>
      </c>
      <c r="BD8" s="772">
        <f t="shared" si="18"/>
        <v>239451.00000000003</v>
      </c>
      <c r="BE8" s="524">
        <f t="shared" si="19"/>
        <v>498500</v>
      </c>
      <c r="BF8" s="53">
        <f t="shared" si="20"/>
        <v>473494.20999999996</v>
      </c>
      <c r="BG8" s="1368">
        <v>498500</v>
      </c>
      <c r="BH8" s="1368">
        <v>453432.75</v>
      </c>
      <c r="BI8" s="1368">
        <v>498500</v>
      </c>
      <c r="BJ8" s="1369">
        <v>467953.64</v>
      </c>
      <c r="BK8" s="1368">
        <v>435166.28679320007</v>
      </c>
      <c r="BL8" s="1369">
        <v>351267.01600000006</v>
      </c>
      <c r="BM8" s="1368">
        <v>498000</v>
      </c>
      <c r="BN8" s="1369">
        <v>399090.26199999993</v>
      </c>
      <c r="BO8" s="26"/>
      <c r="BP8" s="26"/>
      <c r="BQ8" s="26"/>
      <c r="BR8" s="26"/>
    </row>
    <row r="9" spans="1:70" ht="15" customHeight="1" x14ac:dyDescent="0.25">
      <c r="B9" s="2976" t="s">
        <v>582</v>
      </c>
      <c r="C9" s="13" t="s">
        <v>361</v>
      </c>
      <c r="D9" s="1698">
        <v>850000</v>
      </c>
      <c r="E9" s="1411">
        <v>72500</v>
      </c>
      <c r="F9" s="1411">
        <v>67261.569999999992</v>
      </c>
      <c r="G9" s="1411">
        <v>62500</v>
      </c>
      <c r="H9" s="1411">
        <v>58474.66</v>
      </c>
      <c r="I9" s="524">
        <f t="shared" si="0"/>
        <v>135000</v>
      </c>
      <c r="J9" s="53">
        <f t="shared" si="0"/>
        <v>125736.23</v>
      </c>
      <c r="K9" s="1411">
        <v>47000</v>
      </c>
      <c r="L9" s="1411">
        <v>43079.61</v>
      </c>
      <c r="M9" s="97">
        <f t="shared" si="1"/>
        <v>182000</v>
      </c>
      <c r="N9" s="97">
        <f t="shared" si="1"/>
        <v>168815.84</v>
      </c>
      <c r="O9" s="1411">
        <v>75000</v>
      </c>
      <c r="P9" s="2940">
        <v>76651.34</v>
      </c>
      <c r="Q9" s="524">
        <f t="shared" ref="Q9:R11" si="28">+M9+O9</f>
        <v>257000</v>
      </c>
      <c r="R9" s="524">
        <f t="shared" si="28"/>
        <v>245467.18</v>
      </c>
      <c r="S9" s="1411">
        <v>75000</v>
      </c>
      <c r="T9" s="1411">
        <v>86324.790000000052</v>
      </c>
      <c r="U9" s="524">
        <f t="shared" si="3"/>
        <v>332000</v>
      </c>
      <c r="V9" s="524">
        <f t="shared" si="4"/>
        <v>331791.97000000003</v>
      </c>
      <c r="W9" s="1411">
        <v>73000</v>
      </c>
      <c r="X9" s="3391">
        <v>63071.089999999989</v>
      </c>
      <c r="Y9" s="97">
        <f t="shared" si="21"/>
        <v>223000</v>
      </c>
      <c r="Z9" s="98">
        <f t="shared" si="22"/>
        <v>226047.22000000006</v>
      </c>
      <c r="AA9" s="772">
        <f t="shared" si="23"/>
        <v>405000</v>
      </c>
      <c r="AB9" s="772">
        <f t="shared" si="24"/>
        <v>394863.06000000006</v>
      </c>
      <c r="AC9" s="3616">
        <v>75500</v>
      </c>
      <c r="AD9" s="3616">
        <v>60175.53</v>
      </c>
      <c r="AE9" s="524">
        <f t="shared" si="6"/>
        <v>480500</v>
      </c>
      <c r="AF9" s="53">
        <f t="shared" si="7"/>
        <v>455038.59000000008</v>
      </c>
      <c r="AG9" s="3616">
        <v>73000</v>
      </c>
      <c r="AH9" s="3616">
        <v>58175.820000000007</v>
      </c>
      <c r="AI9" s="524">
        <f t="shared" si="8"/>
        <v>553500</v>
      </c>
      <c r="AJ9" s="53">
        <f t="shared" si="9"/>
        <v>513214.41000000009</v>
      </c>
      <c r="AK9" s="3616">
        <v>75500</v>
      </c>
      <c r="AL9" s="3616">
        <v>69407.98000000001</v>
      </c>
      <c r="AM9" s="97">
        <f t="shared" si="10"/>
        <v>224000</v>
      </c>
      <c r="AN9" s="98">
        <f t="shared" si="11"/>
        <v>187759.33000000002</v>
      </c>
      <c r="AO9" s="524">
        <f t="shared" si="25"/>
        <v>629000</v>
      </c>
      <c r="AP9" s="524">
        <f t="shared" si="26"/>
        <v>582622.39000000013</v>
      </c>
      <c r="AQ9" s="3616">
        <v>75500</v>
      </c>
      <c r="AR9" s="3616">
        <v>65803.179999999993</v>
      </c>
      <c r="AS9" s="524">
        <f t="shared" si="12"/>
        <v>704500</v>
      </c>
      <c r="AT9" s="53">
        <f t="shared" si="13"/>
        <v>648425.57000000007</v>
      </c>
      <c r="AU9" s="3616">
        <v>70000</v>
      </c>
      <c r="AV9" s="3616">
        <v>64969.649999999987</v>
      </c>
      <c r="AW9" s="524">
        <f t="shared" si="14"/>
        <v>774500</v>
      </c>
      <c r="AX9" s="53">
        <f t="shared" si="15"/>
        <v>713395.22000000009</v>
      </c>
      <c r="AY9" s="3616">
        <v>75500</v>
      </c>
      <c r="AZ9" s="3616">
        <v>68007.23</v>
      </c>
      <c r="BA9" s="97">
        <f t="shared" si="16"/>
        <v>221000</v>
      </c>
      <c r="BB9" s="98">
        <f t="shared" si="17"/>
        <v>198780.06</v>
      </c>
      <c r="BC9" s="772">
        <f t="shared" si="27"/>
        <v>445000</v>
      </c>
      <c r="BD9" s="772">
        <f t="shared" si="18"/>
        <v>386539.39</v>
      </c>
      <c r="BE9" s="524">
        <f t="shared" si="19"/>
        <v>850000</v>
      </c>
      <c r="BF9" s="53">
        <f t="shared" si="20"/>
        <v>781402.45000000007</v>
      </c>
      <c r="BG9" s="1368">
        <v>780000</v>
      </c>
      <c r="BH9" s="1368">
        <v>768402.31</v>
      </c>
      <c r="BI9" s="1368">
        <v>750000</v>
      </c>
      <c r="BJ9" s="1369">
        <v>648761.89</v>
      </c>
      <c r="BK9" s="1368">
        <v>674874.74</v>
      </c>
      <c r="BL9" s="1369">
        <v>436958.46299999999</v>
      </c>
      <c r="BM9" s="1368">
        <v>800000</v>
      </c>
      <c r="BN9" s="1369">
        <v>612890.54699999979</v>
      </c>
      <c r="BO9" s="26"/>
      <c r="BP9" s="26"/>
      <c r="BQ9" s="26"/>
      <c r="BR9" s="26"/>
    </row>
    <row r="10" spans="1:70" ht="15" customHeight="1" x14ac:dyDescent="0.25">
      <c r="B10" s="2976" t="s">
        <v>583</v>
      </c>
      <c r="C10" s="13" t="s">
        <v>361</v>
      </c>
      <c r="D10" s="1698">
        <v>525000</v>
      </c>
      <c r="E10" s="1411">
        <v>44500</v>
      </c>
      <c r="F10" s="1411">
        <v>37547.600000000006</v>
      </c>
      <c r="G10" s="1411">
        <v>37500</v>
      </c>
      <c r="H10" s="1411">
        <v>29799.489999999998</v>
      </c>
      <c r="I10" s="524">
        <f t="shared" si="0"/>
        <v>82000</v>
      </c>
      <c r="J10" s="53">
        <f t="shared" si="0"/>
        <v>67347.09</v>
      </c>
      <c r="K10" s="1411">
        <v>36000</v>
      </c>
      <c r="L10" s="1411">
        <v>23668.069999999996</v>
      </c>
      <c r="M10" s="97">
        <f t="shared" si="1"/>
        <v>118000</v>
      </c>
      <c r="N10" s="97">
        <f t="shared" si="1"/>
        <v>91015.159999999989</v>
      </c>
      <c r="O10" s="1411">
        <v>46000</v>
      </c>
      <c r="P10" s="2940">
        <v>38466.169999999991</v>
      </c>
      <c r="Q10" s="524">
        <f t="shared" si="28"/>
        <v>164000</v>
      </c>
      <c r="R10" s="524">
        <f t="shared" si="28"/>
        <v>129481.32999999999</v>
      </c>
      <c r="S10" s="1411">
        <v>46000</v>
      </c>
      <c r="T10" s="1411">
        <v>44584.210000000043</v>
      </c>
      <c r="U10" s="524">
        <f t="shared" si="3"/>
        <v>210000</v>
      </c>
      <c r="V10" s="524">
        <f t="shared" si="4"/>
        <v>174065.54000000004</v>
      </c>
      <c r="W10" s="1411">
        <v>44500</v>
      </c>
      <c r="X10" s="3391">
        <v>33234.170000000006</v>
      </c>
      <c r="Y10" s="97">
        <f t="shared" si="21"/>
        <v>136500</v>
      </c>
      <c r="Z10" s="98">
        <f t="shared" si="22"/>
        <v>116284.55000000005</v>
      </c>
      <c r="AA10" s="772">
        <f t="shared" si="23"/>
        <v>254500</v>
      </c>
      <c r="AB10" s="772">
        <f t="shared" si="24"/>
        <v>207299.71000000002</v>
      </c>
      <c r="AC10" s="3616">
        <v>46000</v>
      </c>
      <c r="AD10" s="3616">
        <v>40148.93</v>
      </c>
      <c r="AE10" s="524">
        <f t="shared" si="6"/>
        <v>300500</v>
      </c>
      <c r="AF10" s="53">
        <f t="shared" si="7"/>
        <v>247448.64</v>
      </c>
      <c r="AG10" s="3616">
        <v>44500</v>
      </c>
      <c r="AH10" s="3616">
        <v>39586.209999999992</v>
      </c>
      <c r="AI10" s="524">
        <f t="shared" si="8"/>
        <v>345000</v>
      </c>
      <c r="AJ10" s="53">
        <f t="shared" si="9"/>
        <v>287034.84999999998</v>
      </c>
      <c r="AK10" s="3616">
        <v>46000</v>
      </c>
      <c r="AL10" s="3616">
        <v>40554.65</v>
      </c>
      <c r="AM10" s="97">
        <f t="shared" si="10"/>
        <v>136500</v>
      </c>
      <c r="AN10" s="98">
        <f t="shared" si="11"/>
        <v>120289.78999999998</v>
      </c>
      <c r="AO10" s="524">
        <f t="shared" si="25"/>
        <v>391000</v>
      </c>
      <c r="AP10" s="524">
        <f t="shared" si="26"/>
        <v>327589.5</v>
      </c>
      <c r="AQ10" s="3616">
        <v>46000</v>
      </c>
      <c r="AR10" s="3616">
        <v>40291.74</v>
      </c>
      <c r="AS10" s="524">
        <f t="shared" si="12"/>
        <v>437000</v>
      </c>
      <c r="AT10" s="53">
        <f t="shared" si="13"/>
        <v>367881.24</v>
      </c>
      <c r="AU10" s="3616">
        <v>42000</v>
      </c>
      <c r="AV10" s="3616">
        <v>38561.130000000005</v>
      </c>
      <c r="AW10" s="524">
        <f t="shared" si="14"/>
        <v>479000</v>
      </c>
      <c r="AX10" s="53">
        <f t="shared" si="15"/>
        <v>406442.37</v>
      </c>
      <c r="AY10" s="3616">
        <v>46000</v>
      </c>
      <c r="AZ10" s="3616">
        <v>46360.22</v>
      </c>
      <c r="BA10" s="97">
        <f t="shared" si="16"/>
        <v>134000</v>
      </c>
      <c r="BB10" s="98">
        <f t="shared" si="17"/>
        <v>125213.09</v>
      </c>
      <c r="BC10" s="772">
        <f t="shared" si="27"/>
        <v>270500</v>
      </c>
      <c r="BD10" s="772">
        <f t="shared" si="18"/>
        <v>245502.87999999998</v>
      </c>
      <c r="BE10" s="524">
        <f t="shared" si="19"/>
        <v>525000</v>
      </c>
      <c r="BF10" s="53">
        <f t="shared" si="20"/>
        <v>452802.58999999997</v>
      </c>
      <c r="BG10" s="1368">
        <v>470000</v>
      </c>
      <c r="BH10" s="1368">
        <v>357334.79000000004</v>
      </c>
      <c r="BI10" s="1368">
        <v>445000</v>
      </c>
      <c r="BJ10" s="1369">
        <v>214319.65000000002</v>
      </c>
      <c r="BK10" s="1368">
        <v>220000</v>
      </c>
      <c r="BL10" s="1369">
        <v>100400.402</v>
      </c>
      <c r="BM10" s="1368">
        <v>535000</v>
      </c>
      <c r="BN10" s="1369">
        <v>167166.99200000003</v>
      </c>
      <c r="BO10" s="26"/>
      <c r="BP10" s="26"/>
      <c r="BQ10" s="26"/>
      <c r="BR10" s="26"/>
    </row>
    <row r="11" spans="1:70" ht="15" customHeight="1" thickBot="1" x14ac:dyDescent="0.3">
      <c r="B11" s="2977" t="s">
        <v>683</v>
      </c>
      <c r="C11" s="14" t="s">
        <v>361</v>
      </c>
      <c r="D11" s="2586">
        <v>629999.91641318274</v>
      </c>
      <c r="E11" s="273">
        <v>52500.486872227251</v>
      </c>
      <c r="F11" s="273">
        <v>53555.83</v>
      </c>
      <c r="G11" s="273">
        <v>40000.441449964084</v>
      </c>
      <c r="H11" s="273">
        <v>44868.350000000006</v>
      </c>
      <c r="I11" s="524">
        <f t="shared" si="0"/>
        <v>92500.928322191336</v>
      </c>
      <c r="J11" s="53">
        <f t="shared" si="0"/>
        <v>98424.180000000008</v>
      </c>
      <c r="K11" s="273">
        <v>54500.271338622253</v>
      </c>
      <c r="L11" s="273">
        <v>46793.86</v>
      </c>
      <c r="M11" s="97">
        <f t="shared" si="1"/>
        <v>147001.19966081358</v>
      </c>
      <c r="N11" s="97">
        <f t="shared" si="1"/>
        <v>145218.04</v>
      </c>
      <c r="O11" s="270">
        <v>50000.374234374736</v>
      </c>
      <c r="P11" s="270">
        <v>63562.36</v>
      </c>
      <c r="Q11" s="524">
        <f t="shared" si="28"/>
        <v>197001.57389518831</v>
      </c>
      <c r="R11" s="524">
        <f t="shared" si="28"/>
        <v>208780.40000000002</v>
      </c>
      <c r="S11" s="273">
        <v>50500.373964374739</v>
      </c>
      <c r="T11" s="273">
        <v>55744.739999999969</v>
      </c>
      <c r="U11" s="524">
        <f t="shared" si="3"/>
        <v>247501.94785956305</v>
      </c>
      <c r="V11" s="524">
        <f t="shared" si="4"/>
        <v>264525.14</v>
      </c>
      <c r="W11" s="273">
        <v>48500</v>
      </c>
      <c r="X11" s="273">
        <v>55406.369999999995</v>
      </c>
      <c r="Y11" s="97">
        <f t="shared" si="21"/>
        <v>149000.74819874947</v>
      </c>
      <c r="Z11" s="98">
        <f t="shared" si="22"/>
        <v>174713.46999999997</v>
      </c>
      <c r="AA11" s="772">
        <f t="shared" si="23"/>
        <v>296001.94785956305</v>
      </c>
      <c r="AB11" s="772">
        <f t="shared" si="24"/>
        <v>319931.51</v>
      </c>
      <c r="AC11" s="273">
        <v>55999.147549254492</v>
      </c>
      <c r="AD11" s="273">
        <v>59697.329999999987</v>
      </c>
      <c r="AE11" s="524">
        <f t="shared" si="6"/>
        <v>352001.09540881752</v>
      </c>
      <c r="AF11" s="53">
        <f t="shared" si="7"/>
        <v>379628.83999999997</v>
      </c>
      <c r="AG11" s="273">
        <v>54000.279325031523</v>
      </c>
      <c r="AH11" s="273">
        <v>44349.569999999985</v>
      </c>
      <c r="AI11" s="524">
        <f t="shared" si="8"/>
        <v>406001.37473384902</v>
      </c>
      <c r="AJ11" s="53">
        <f t="shared" si="9"/>
        <v>423978.41</v>
      </c>
      <c r="AK11" s="273">
        <v>56999.543775669583</v>
      </c>
      <c r="AL11" s="273">
        <v>54537.14</v>
      </c>
      <c r="AM11" s="97">
        <f t="shared" si="10"/>
        <v>166998.97064995559</v>
      </c>
      <c r="AN11" s="98">
        <f t="shared" si="11"/>
        <v>158584.03999999998</v>
      </c>
      <c r="AO11" s="524">
        <f t="shared" si="25"/>
        <v>463000.91850951861</v>
      </c>
      <c r="AP11" s="524">
        <f t="shared" si="26"/>
        <v>478515.55</v>
      </c>
      <c r="AQ11" s="273">
        <v>56499.543775669583</v>
      </c>
      <c r="AR11" s="273">
        <v>44164.200000000004</v>
      </c>
      <c r="AS11" s="524">
        <f t="shared" si="12"/>
        <v>519500.4622851882</v>
      </c>
      <c r="AT11" s="53">
        <f t="shared" si="13"/>
        <v>522679.75</v>
      </c>
      <c r="AU11" s="273">
        <v>53499.612159368859</v>
      </c>
      <c r="AV11" s="273">
        <v>46507.46</v>
      </c>
      <c r="AW11" s="524">
        <f t="shared" si="14"/>
        <v>573000.07444455707</v>
      </c>
      <c r="AX11" s="53">
        <f t="shared" si="15"/>
        <v>569187.21</v>
      </c>
      <c r="AY11" s="273">
        <v>56999.940002084673</v>
      </c>
      <c r="AZ11" s="273">
        <v>54278.960000000006</v>
      </c>
      <c r="BA11" s="97">
        <f t="shared" si="16"/>
        <v>166999.09593712311</v>
      </c>
      <c r="BB11" s="98">
        <f t="shared" si="17"/>
        <v>144950.62</v>
      </c>
      <c r="BC11" s="772">
        <f t="shared" si="27"/>
        <v>333998.06658707873</v>
      </c>
      <c r="BD11" s="772">
        <f t="shared" si="18"/>
        <v>303534.65999999997</v>
      </c>
      <c r="BE11" s="524">
        <f t="shared" si="19"/>
        <v>630000.01444664178</v>
      </c>
      <c r="BF11" s="53">
        <f t="shared" si="20"/>
        <v>623466.16999999993</v>
      </c>
      <c r="BG11" s="1368">
        <v>513000.01387175487</v>
      </c>
      <c r="BH11" s="1368">
        <v>641816.63</v>
      </c>
      <c r="BI11" s="1368">
        <v>659950.1509075613</v>
      </c>
      <c r="BJ11" s="1369">
        <v>742311.7699999999</v>
      </c>
      <c r="BK11" s="1368">
        <v>893633.77567653405</v>
      </c>
      <c r="BL11" s="1369">
        <v>944002.20799999987</v>
      </c>
      <c r="BM11" s="1368">
        <v>547789.74093264237</v>
      </c>
      <c r="BN11" s="1369">
        <v>836451.00399999984</v>
      </c>
      <c r="BO11" s="26"/>
      <c r="BP11" s="26"/>
      <c r="BQ11" s="26"/>
      <c r="BR11" s="26"/>
    </row>
    <row r="12" spans="1:70" ht="15" customHeight="1" thickBot="1" x14ac:dyDescent="0.3">
      <c r="A12" s="183"/>
      <c r="B12" s="2981" t="s">
        <v>2</v>
      </c>
      <c r="C12" s="881" t="s">
        <v>361</v>
      </c>
      <c r="D12" s="857">
        <f>SUM(D6:D11)</f>
        <v>2524999.9164131829</v>
      </c>
      <c r="E12" s="857">
        <f>SUM(E6:E11)</f>
        <v>213500.48687222725</v>
      </c>
      <c r="F12" s="857">
        <f>SUM(F6:F11)</f>
        <v>196949.93</v>
      </c>
      <c r="G12" s="857">
        <f>SUM(G6:G11)</f>
        <v>178000.44144996407</v>
      </c>
      <c r="H12" s="857">
        <f>SUM(H6:H11)</f>
        <v>170414.29</v>
      </c>
      <c r="I12" s="547">
        <f t="shared" ref="I12:T12" si="29">SUM(I6:I11)</f>
        <v>391500.92832219135</v>
      </c>
      <c r="J12" s="478">
        <f t="shared" si="29"/>
        <v>367364.22000000003</v>
      </c>
      <c r="K12" s="857">
        <f t="shared" ref="K12:N12" si="30">SUM(K6:K11)</f>
        <v>173500.27133862226</v>
      </c>
      <c r="L12" s="857">
        <f t="shared" si="30"/>
        <v>147177.01999999999</v>
      </c>
      <c r="M12" s="547">
        <f t="shared" si="30"/>
        <v>565001.19966081355</v>
      </c>
      <c r="N12" s="478">
        <f t="shared" si="30"/>
        <v>514541.24</v>
      </c>
      <c r="O12" s="547">
        <f t="shared" ref="O12:P12" si="31">SUM(O6:O11)</f>
        <v>216500.37423437473</v>
      </c>
      <c r="P12" s="448">
        <f t="shared" si="31"/>
        <v>224242.15999999997</v>
      </c>
      <c r="Q12" s="547">
        <f t="shared" si="29"/>
        <v>781501.57389518828</v>
      </c>
      <c r="R12" s="478">
        <f t="shared" si="29"/>
        <v>738783.4</v>
      </c>
      <c r="S12" s="857">
        <f t="shared" si="29"/>
        <v>216500.37396437474</v>
      </c>
      <c r="T12" s="857">
        <f t="shared" si="29"/>
        <v>236577.22000000003</v>
      </c>
      <c r="U12" s="547">
        <f t="shared" ref="U12:Z12" si="32">SUM(U6:U11)</f>
        <v>998001.94785956305</v>
      </c>
      <c r="V12" s="478">
        <f t="shared" si="32"/>
        <v>975360.62000000011</v>
      </c>
      <c r="W12" s="857">
        <f t="shared" si="32"/>
        <v>210000</v>
      </c>
      <c r="X12" s="857">
        <f t="shared" si="32"/>
        <v>197247.41999999998</v>
      </c>
      <c r="Y12" s="547">
        <f t="shared" si="32"/>
        <v>643000.7481987495</v>
      </c>
      <c r="Z12" s="478">
        <f t="shared" si="32"/>
        <v>658066.80000000005</v>
      </c>
      <c r="AA12" s="547">
        <f t="shared" ref="AA12:AB12" si="33">SUM(AA6:AA11)</f>
        <v>1208001.9478595629</v>
      </c>
      <c r="AB12" s="478">
        <f t="shared" si="33"/>
        <v>1172608.04</v>
      </c>
      <c r="AC12" s="857">
        <f>SUM(AC6:AC11)</f>
        <v>222499.1475492545</v>
      </c>
      <c r="AD12" s="857">
        <f>SUM(AD6:AD11)</f>
        <v>204941.05</v>
      </c>
      <c r="AE12" s="547">
        <f t="shared" ref="AE12:AF12" si="34">SUM(AE6:AE11)</f>
        <v>1430501.0954088175</v>
      </c>
      <c r="AF12" s="478">
        <f t="shared" si="34"/>
        <v>1377549.09</v>
      </c>
      <c r="AG12" s="857">
        <f>SUM(AG6:AG11)</f>
        <v>215500.27932503153</v>
      </c>
      <c r="AH12" s="857">
        <f>SUM(AH6:AH11)</f>
        <v>182574.83</v>
      </c>
      <c r="AI12" s="547">
        <f t="shared" ref="AI12:AN12" si="35">SUM(AI6:AI11)</f>
        <v>1646001.374733849</v>
      </c>
      <c r="AJ12" s="478">
        <f t="shared" si="35"/>
        <v>1560123.9200000002</v>
      </c>
      <c r="AK12" s="857">
        <f t="shared" si="35"/>
        <v>223499.54377566959</v>
      </c>
      <c r="AL12" s="857">
        <f t="shared" si="35"/>
        <v>205488.40000000002</v>
      </c>
      <c r="AM12" s="547">
        <f t="shared" si="35"/>
        <v>661498.97064995556</v>
      </c>
      <c r="AN12" s="478">
        <f t="shared" si="35"/>
        <v>593004.28</v>
      </c>
      <c r="AO12" s="547">
        <f t="shared" ref="AO12:AP12" si="36">SUM(AO6:AO11)</f>
        <v>1869500.9185095187</v>
      </c>
      <c r="AP12" s="478">
        <f t="shared" si="36"/>
        <v>1765612.32</v>
      </c>
      <c r="AQ12" s="857">
        <f>SUM(AQ6:AQ11)</f>
        <v>223499.54377566959</v>
      </c>
      <c r="AR12" s="857">
        <f>SUM(AR6:AR11)</f>
        <v>196789.61000000002</v>
      </c>
      <c r="AS12" s="547">
        <f t="shared" ref="AS12:AT12" si="37">SUM(AS6:AS11)</f>
        <v>2093000.4622851883</v>
      </c>
      <c r="AT12" s="478">
        <f t="shared" si="37"/>
        <v>1962401.93</v>
      </c>
      <c r="AU12" s="857">
        <f>SUM(AU6:AU11)</f>
        <v>207999.61215936887</v>
      </c>
      <c r="AV12" s="857">
        <f>SUM(AV6:AV11)</f>
        <v>187566.49999999997</v>
      </c>
      <c r="AW12" s="547">
        <f t="shared" ref="AW12:AX12" si="38">SUM(AW6:AW11)</f>
        <v>2301000.0744445571</v>
      </c>
      <c r="AX12" s="478">
        <f t="shared" si="38"/>
        <v>2149968.4300000002</v>
      </c>
      <c r="AY12" s="857">
        <f>SUM(AY6:AY11)</f>
        <v>223999.94000208468</v>
      </c>
      <c r="AZ12" s="857">
        <f>SUM(AZ6:AZ11)</f>
        <v>214923.03000000003</v>
      </c>
      <c r="BA12" s="547">
        <f t="shared" ref="BA12:BD12" si="39">SUM(BA6:BA11)</f>
        <v>655499.09593712306</v>
      </c>
      <c r="BB12" s="478">
        <f t="shared" si="39"/>
        <v>599279.14</v>
      </c>
      <c r="BC12" s="547">
        <f t="shared" si="39"/>
        <v>1316998.0665870789</v>
      </c>
      <c r="BD12" s="478">
        <f t="shared" si="39"/>
        <v>1192283.42</v>
      </c>
      <c r="BE12" s="547">
        <f t="shared" ref="BE12:BF12" si="40">SUM(BE6:BE11)</f>
        <v>2525000.0144466418</v>
      </c>
      <c r="BF12" s="478">
        <f t="shared" si="40"/>
        <v>2364891.46</v>
      </c>
      <c r="BG12" s="547">
        <v>2410000.013871755</v>
      </c>
      <c r="BH12" s="1825">
        <v>2298056.7800000003</v>
      </c>
      <c r="BI12" s="547">
        <v>2369500.1509075612</v>
      </c>
      <c r="BJ12" s="478">
        <v>2178255.52</v>
      </c>
      <c r="BK12" s="547">
        <v>2234474.8024697341</v>
      </c>
      <c r="BL12" s="478">
        <v>1877654.8489999999</v>
      </c>
      <c r="BM12" s="547">
        <v>2406999.7409326425</v>
      </c>
      <c r="BN12" s="478">
        <v>2049932.7499999995</v>
      </c>
      <c r="BO12" s="26"/>
      <c r="BP12" s="26"/>
      <c r="BQ12" s="26"/>
      <c r="BR12" s="26"/>
    </row>
    <row r="13" spans="1:70" ht="96.75" hidden="1" customHeight="1" thickBot="1" x14ac:dyDescent="0.3">
      <c r="A13" s="183"/>
      <c r="B13" s="1396" t="s">
        <v>1172</v>
      </c>
      <c r="C13" s="188"/>
      <c r="D13" s="872" t="s">
        <v>1240</v>
      </c>
      <c r="E13" s="872" t="s">
        <v>1241</v>
      </c>
      <c r="F13" s="871"/>
      <c r="G13" s="872" t="s">
        <v>1241</v>
      </c>
      <c r="H13" s="871"/>
      <c r="I13" s="188"/>
      <c r="J13" s="188"/>
      <c r="K13" s="872" t="s">
        <v>1241</v>
      </c>
      <c r="L13" s="871"/>
      <c r="M13" s="188"/>
      <c r="N13" s="188"/>
      <c r="O13" s="872" t="s">
        <v>1241</v>
      </c>
      <c r="P13" s="871"/>
      <c r="Q13" s="188"/>
      <c r="R13" s="188"/>
      <c r="S13" s="872"/>
      <c r="T13" s="871"/>
      <c r="U13" s="188"/>
      <c r="V13" s="188"/>
      <c r="W13" s="872"/>
      <c r="X13" s="871"/>
      <c r="Y13" s="188"/>
      <c r="Z13" s="188"/>
      <c r="AA13" s="188"/>
      <c r="AB13" s="855"/>
      <c r="AC13" s="872" t="s">
        <v>1241</v>
      </c>
      <c r="AD13" s="871"/>
      <c r="AE13" s="188"/>
      <c r="AF13" s="188"/>
      <c r="AG13" s="872" t="s">
        <v>1241</v>
      </c>
      <c r="AH13" s="871"/>
      <c r="AI13" s="188"/>
      <c r="AJ13" s="188"/>
      <c r="AK13" s="872"/>
      <c r="AL13" s="871"/>
      <c r="AM13" s="188"/>
      <c r="AN13" s="188"/>
      <c r="AO13" s="188"/>
      <c r="AP13" s="188"/>
      <c r="AQ13" s="872" t="s">
        <v>1241</v>
      </c>
      <c r="AR13" s="871"/>
      <c r="AS13" s="188"/>
      <c r="AT13" s="188"/>
      <c r="AU13" s="872" t="s">
        <v>1241</v>
      </c>
      <c r="AV13" s="871"/>
      <c r="AW13" s="188"/>
      <c r="AX13" s="188"/>
      <c r="AY13" s="872" t="s">
        <v>1241</v>
      </c>
      <c r="AZ13" s="871"/>
      <c r="BA13" s="188"/>
      <c r="BB13" s="188"/>
      <c r="BC13" s="188"/>
      <c r="BD13" s="855"/>
      <c r="BE13" s="188"/>
      <c r="BF13" s="188"/>
      <c r="BG13" s="188"/>
      <c r="BH13" s="188"/>
      <c r="BI13" s="188"/>
      <c r="BJ13" s="188"/>
      <c r="BK13" s="188"/>
      <c r="BL13" s="188"/>
      <c r="BM13" s="188"/>
      <c r="BN13" s="188"/>
      <c r="BO13" s="26"/>
      <c r="BP13" s="26"/>
      <c r="BQ13" s="26"/>
      <c r="BR13" s="26"/>
    </row>
    <row r="14" spans="1:70" ht="15" customHeight="1" thickBot="1" x14ac:dyDescent="0.3">
      <c r="A14" s="183"/>
      <c r="B14" s="2982" t="s">
        <v>358</v>
      </c>
      <c r="C14" s="2969"/>
      <c r="D14" s="223"/>
      <c r="E14" s="224"/>
      <c r="F14" s="224"/>
      <c r="G14" s="224"/>
      <c r="H14" s="224"/>
      <c r="I14" s="224"/>
      <c r="J14" s="224"/>
      <c r="K14" s="224"/>
      <c r="L14" s="224"/>
      <c r="M14" s="224"/>
      <c r="N14" s="224"/>
      <c r="O14" s="224"/>
      <c r="P14" s="224"/>
      <c r="Q14" s="224"/>
      <c r="R14" s="224"/>
      <c r="S14" s="224"/>
      <c r="T14" s="224"/>
      <c r="U14" s="224"/>
      <c r="V14" s="224"/>
      <c r="W14" s="224"/>
      <c r="X14" s="224"/>
      <c r="Y14" s="224"/>
      <c r="Z14" s="224"/>
      <c r="AA14" s="224"/>
      <c r="AB14" s="224"/>
      <c r="AC14" s="224"/>
      <c r="AD14" s="224"/>
      <c r="AE14" s="224"/>
      <c r="AF14" s="224"/>
      <c r="AG14" s="224"/>
      <c r="AH14" s="224"/>
      <c r="AI14" s="224"/>
      <c r="AJ14" s="224"/>
      <c r="AK14" s="224"/>
      <c r="AL14" s="224"/>
      <c r="AM14" s="224"/>
      <c r="AN14" s="224"/>
      <c r="AO14" s="224"/>
      <c r="AP14" s="224"/>
      <c r="AQ14" s="224"/>
      <c r="AR14" s="224"/>
      <c r="AS14" s="224"/>
      <c r="AT14" s="224"/>
      <c r="AU14" s="224"/>
      <c r="AV14" s="224"/>
      <c r="AW14" s="224"/>
      <c r="AX14" s="224"/>
      <c r="AY14" s="224"/>
      <c r="AZ14" s="224"/>
      <c r="BA14" s="224"/>
      <c r="BB14" s="224"/>
      <c r="BC14" s="224"/>
      <c r="BD14" s="224"/>
      <c r="BE14" s="224"/>
      <c r="BF14" s="2269"/>
      <c r="BG14" s="224"/>
      <c r="BH14" s="224"/>
      <c r="BI14" s="2269"/>
      <c r="BJ14" s="224"/>
      <c r="BK14" s="224"/>
      <c r="BL14" s="224"/>
      <c r="BM14" s="224"/>
      <c r="BN14" s="224"/>
      <c r="BO14" s="26"/>
      <c r="BP14" s="26"/>
      <c r="BQ14" s="26"/>
      <c r="BR14" s="26"/>
    </row>
    <row r="15" spans="1:70" ht="15" customHeight="1" thickBot="1" x14ac:dyDescent="0.3">
      <c r="B15" s="2983" t="s">
        <v>79</v>
      </c>
      <c r="C15" s="921" t="s">
        <v>361</v>
      </c>
      <c r="D15" s="6094">
        <f>+D12</f>
        <v>2524999.9164131829</v>
      </c>
      <c r="E15" s="6094">
        <f>+E12</f>
        <v>213500.48687222725</v>
      </c>
      <c r="F15" s="539">
        <f>+F7</f>
        <v>0</v>
      </c>
      <c r="G15" s="6094">
        <f>+G12</f>
        <v>178000.44144996407</v>
      </c>
      <c r="H15" s="877">
        <f>+H7</f>
        <v>103</v>
      </c>
      <c r="I15" s="6051">
        <f>+E15+G15</f>
        <v>391500.92832219135</v>
      </c>
      <c r="J15" s="2970">
        <f>+F15+H15</f>
        <v>103</v>
      </c>
      <c r="K15" s="6094">
        <f>+K12</f>
        <v>173500.27133862226</v>
      </c>
      <c r="L15" s="877">
        <f>+L7</f>
        <v>0</v>
      </c>
      <c r="M15" s="6101">
        <f>+E15+G15+K15</f>
        <v>565001.19966081367</v>
      </c>
      <c r="N15" s="2971">
        <f>+F15+H15+L15</f>
        <v>103</v>
      </c>
      <c r="O15" s="6094">
        <f>+O12</f>
        <v>216500.37423437473</v>
      </c>
      <c r="P15" s="539">
        <f>+P7</f>
        <v>2735.94</v>
      </c>
      <c r="Q15" s="6080">
        <f>+M15+O15</f>
        <v>781501.5738951884</v>
      </c>
      <c r="R15" s="2151">
        <f>+N15+P15</f>
        <v>2838.94</v>
      </c>
      <c r="S15" s="6097">
        <f>+S12</f>
        <v>216500.37396437474</v>
      </c>
      <c r="T15" s="877">
        <f>+T7</f>
        <v>237.26</v>
      </c>
      <c r="U15" s="6080">
        <f>+Q15+S15</f>
        <v>998001.94785956317</v>
      </c>
      <c r="V15" s="861">
        <f>+R15+T15</f>
        <v>3076.2</v>
      </c>
      <c r="W15" s="6048">
        <f>+W12</f>
        <v>210000</v>
      </c>
      <c r="X15" s="877">
        <v>0</v>
      </c>
      <c r="Y15" s="6083">
        <f>+O15+S15+W15</f>
        <v>643000.7481987495</v>
      </c>
      <c r="Z15" s="102">
        <f>+P15+T15+X15</f>
        <v>2973.2</v>
      </c>
      <c r="AA15" s="6086">
        <f>+M15+Y15</f>
        <v>1208001.9478595632</v>
      </c>
      <c r="AB15" s="860">
        <f>+N15+Z15</f>
        <v>3076.2</v>
      </c>
      <c r="AC15" s="6048">
        <f>+AC12</f>
        <v>222499.1475492545</v>
      </c>
      <c r="AD15" s="877">
        <f>+AD7</f>
        <v>0</v>
      </c>
      <c r="AE15" s="6051">
        <f>+AA15+AC15</f>
        <v>1430501.0954088178</v>
      </c>
      <c r="AF15" s="2970">
        <f>+AB15+AD15</f>
        <v>3076.2</v>
      </c>
      <c r="AG15" s="6048">
        <f>+AG12</f>
        <v>215500.27932503153</v>
      </c>
      <c r="AH15" s="877">
        <f>+AH7</f>
        <v>0</v>
      </c>
      <c r="AI15" s="6051">
        <f>+AE15+AG15</f>
        <v>1646001.3747338492</v>
      </c>
      <c r="AJ15" s="2970">
        <f>+AF15+AH15</f>
        <v>3076.2</v>
      </c>
      <c r="AK15" s="6048">
        <f>+AK12</f>
        <v>223499.54377566959</v>
      </c>
      <c r="AL15" s="877">
        <v>0</v>
      </c>
      <c r="AM15" s="6083">
        <f>+AC15+AG15+AK15</f>
        <v>661498.97064995556</v>
      </c>
      <c r="AN15" s="102">
        <f>+AD15+AH15+AL15</f>
        <v>0</v>
      </c>
      <c r="AO15" s="6051">
        <f>AI15+AK15</f>
        <v>1869500.9185095187</v>
      </c>
      <c r="AP15" s="524">
        <f t="shared" ref="AP15:AP19" si="41">AJ15+AL15</f>
        <v>3076.2</v>
      </c>
      <c r="AQ15" s="6048">
        <f>+AQ12</f>
        <v>223499.54377566959</v>
      </c>
      <c r="AR15" s="877">
        <f>+AR7</f>
        <v>0</v>
      </c>
      <c r="AS15" s="6051">
        <f>+AO15+AQ15</f>
        <v>2093000.4622851883</v>
      </c>
      <c r="AT15" s="2970">
        <f>+AP15+AR15</f>
        <v>3076.2</v>
      </c>
      <c r="AU15" s="6048">
        <f>+AU12</f>
        <v>207999.61215936887</v>
      </c>
      <c r="AV15" s="877">
        <f>+AV7</f>
        <v>0</v>
      </c>
      <c r="AW15" s="6051">
        <f>+AS15+AU15</f>
        <v>2301000.0744445571</v>
      </c>
      <c r="AX15" s="2970">
        <f>+AT15+AV15</f>
        <v>3076.2</v>
      </c>
      <c r="AY15" s="6048">
        <f>+AY12</f>
        <v>223999.94000208468</v>
      </c>
      <c r="AZ15" s="877">
        <f>+AZ7</f>
        <v>0</v>
      </c>
      <c r="BA15" s="6083">
        <f>+AQ15+AU15+AY15</f>
        <v>655499.09593712317</v>
      </c>
      <c r="BB15" s="102">
        <f>+AR15+AV15+AZ15</f>
        <v>0</v>
      </c>
      <c r="BC15" s="6086">
        <f>+AM15+BA15</f>
        <v>1316998.0665870789</v>
      </c>
      <c r="BD15" s="772">
        <f t="shared" ref="BD15:BD19" si="42">AN15+BB15</f>
        <v>0</v>
      </c>
      <c r="BE15" s="6051">
        <f>+AW15+AY15</f>
        <v>2525000.0144466418</v>
      </c>
      <c r="BF15" s="2970">
        <f>+AX15+AZ15</f>
        <v>3076.2</v>
      </c>
      <c r="BG15" s="6091">
        <v>2410000.013871755</v>
      </c>
      <c r="BH15" s="2955">
        <v>42263.08</v>
      </c>
      <c r="BI15" s="6089">
        <v>2369500.1509075612</v>
      </c>
      <c r="BJ15" s="2955">
        <v>71707.420000000013</v>
      </c>
      <c r="BK15" s="6068">
        <v>2234474.8024697341</v>
      </c>
      <c r="BL15" s="2955">
        <v>9758.5099999999966</v>
      </c>
      <c r="BM15" s="6068">
        <f>+BM12</f>
        <v>2406999.7409326425</v>
      </c>
      <c r="BN15" s="2955">
        <v>5928.2490000000007</v>
      </c>
      <c r="BO15" s="26"/>
      <c r="BP15" s="26"/>
      <c r="BQ15" s="26"/>
      <c r="BR15" s="26"/>
    </row>
    <row r="16" spans="1:70" ht="15" customHeight="1" thickBot="1" x14ac:dyDescent="0.3">
      <c r="B16" s="2976" t="s">
        <v>77</v>
      </c>
      <c r="C16" s="672" t="s">
        <v>361</v>
      </c>
      <c r="D16" s="6095"/>
      <c r="E16" s="6095"/>
      <c r="F16" s="2943">
        <v>104891.27</v>
      </c>
      <c r="G16" s="6095"/>
      <c r="H16" s="591">
        <v>87682.639999999985</v>
      </c>
      <c r="I16" s="6052"/>
      <c r="J16" s="635">
        <f>+F16+H16</f>
        <v>192573.90999999997</v>
      </c>
      <c r="K16" s="6095"/>
      <c r="L16" s="591">
        <v>99454.319999999978</v>
      </c>
      <c r="M16" s="6102"/>
      <c r="N16" s="2965">
        <f>+F16+H16+L16</f>
        <v>292028.23</v>
      </c>
      <c r="O16" s="6095"/>
      <c r="P16" s="2943">
        <v>113441.65</v>
      </c>
      <c r="Q16" s="6081"/>
      <c r="R16" s="718">
        <f>+N16+P16</f>
        <v>405469.88</v>
      </c>
      <c r="S16" s="6098"/>
      <c r="T16" s="591">
        <v>176869.32000000004</v>
      </c>
      <c r="U16" s="6081"/>
      <c r="V16" s="524">
        <f>+R16+T16</f>
        <v>582339.20000000007</v>
      </c>
      <c r="W16" s="6049"/>
      <c r="X16" s="591">
        <v>154305.76</v>
      </c>
      <c r="Y16" s="6084"/>
      <c r="Z16" s="102">
        <f t="shared" ref="Z16:Z19" si="43">+P16+T16+X16</f>
        <v>444616.73000000004</v>
      </c>
      <c r="AA16" s="6087"/>
      <c r="AB16" s="860">
        <f t="shared" ref="AB16:AB19" si="44">+N16+Z16</f>
        <v>736644.96</v>
      </c>
      <c r="AC16" s="6049"/>
      <c r="AD16" s="591">
        <v>123656.59</v>
      </c>
      <c r="AE16" s="6052"/>
      <c r="AF16" s="635">
        <f>+AB16+AD16</f>
        <v>860301.54999999993</v>
      </c>
      <c r="AG16" s="6049"/>
      <c r="AH16" s="591">
        <v>86468.87999999999</v>
      </c>
      <c r="AI16" s="6052"/>
      <c r="AJ16" s="635">
        <f>+AF16+AH16</f>
        <v>946770.42999999993</v>
      </c>
      <c r="AK16" s="6049"/>
      <c r="AL16" s="591">
        <v>111571.93</v>
      </c>
      <c r="AM16" s="6084"/>
      <c r="AN16" s="102">
        <f t="shared" ref="AN16:AN19" si="45">+AD16+AH16+AL16</f>
        <v>321697.39999999997</v>
      </c>
      <c r="AO16" s="6052"/>
      <c r="AP16" s="524">
        <f t="shared" si="41"/>
        <v>1058342.3599999999</v>
      </c>
      <c r="AQ16" s="6049"/>
      <c r="AR16" s="591">
        <v>119773.9</v>
      </c>
      <c r="AS16" s="6052"/>
      <c r="AT16" s="635">
        <f>+AP16+AR16</f>
        <v>1178116.2599999998</v>
      </c>
      <c r="AU16" s="6049"/>
      <c r="AV16" s="591">
        <v>111589.56</v>
      </c>
      <c r="AW16" s="6052"/>
      <c r="AX16" s="635">
        <f>+AT16+AV16</f>
        <v>1289705.8199999998</v>
      </c>
      <c r="AY16" s="6049"/>
      <c r="AZ16" s="591">
        <v>153590.21000000002</v>
      </c>
      <c r="BA16" s="6084"/>
      <c r="BB16" s="102">
        <f t="shared" ref="BB16:BB19" si="46">+AR16+AV16+AZ16</f>
        <v>384953.67000000004</v>
      </c>
      <c r="BC16" s="6087"/>
      <c r="BD16" s="772">
        <f t="shared" si="42"/>
        <v>706651.07000000007</v>
      </c>
      <c r="BE16" s="6052"/>
      <c r="BF16" s="635">
        <f>+AX16+AZ16</f>
        <v>1443296.0299999998</v>
      </c>
      <c r="BG16" s="6092"/>
      <c r="BH16" s="2953">
        <v>1325226.6500000001</v>
      </c>
      <c r="BI16" s="6090"/>
      <c r="BJ16" s="2953">
        <v>1097093.1499999999</v>
      </c>
      <c r="BK16" s="6069"/>
      <c r="BL16" s="2953">
        <v>691326.51799999992</v>
      </c>
      <c r="BM16" s="6069"/>
      <c r="BN16" s="2953">
        <v>569419.82700000005</v>
      </c>
      <c r="BO16" s="26"/>
      <c r="BP16" s="26"/>
      <c r="BQ16" s="26"/>
      <c r="BR16" s="26"/>
    </row>
    <row r="17" spans="2:70" ht="15" customHeight="1" thickBot="1" x14ac:dyDescent="0.3">
      <c r="B17" s="2976" t="s">
        <v>78</v>
      </c>
      <c r="C17" s="672" t="s">
        <v>361</v>
      </c>
      <c r="D17" s="6095"/>
      <c r="E17" s="6095"/>
      <c r="F17" s="2943">
        <v>84895.57</v>
      </c>
      <c r="G17" s="6095"/>
      <c r="H17" s="591">
        <v>70112.74000000002</v>
      </c>
      <c r="I17" s="6052"/>
      <c r="J17" s="635">
        <f>+F17+H17</f>
        <v>155008.31000000003</v>
      </c>
      <c r="K17" s="6095"/>
      <c r="L17" s="591">
        <v>40887.300000000003</v>
      </c>
      <c r="M17" s="6102"/>
      <c r="N17" s="2965">
        <f>+F17+H17+L17</f>
        <v>195895.61000000004</v>
      </c>
      <c r="O17" s="6095"/>
      <c r="P17" s="2943">
        <v>97492.3</v>
      </c>
      <c r="Q17" s="6081"/>
      <c r="R17" s="718">
        <f>+N17+P17</f>
        <v>293387.91000000003</v>
      </c>
      <c r="S17" s="6098"/>
      <c r="T17" s="591">
        <v>57871.630000000019</v>
      </c>
      <c r="U17" s="6081"/>
      <c r="V17" s="524">
        <f>+R17+T17</f>
        <v>351259.54000000004</v>
      </c>
      <c r="W17" s="6049"/>
      <c r="X17" s="591">
        <v>33474.989999999991</v>
      </c>
      <c r="Y17" s="6084"/>
      <c r="Z17" s="102">
        <f t="shared" si="43"/>
        <v>188838.92</v>
      </c>
      <c r="AA17" s="6087"/>
      <c r="AB17" s="860">
        <f t="shared" si="44"/>
        <v>384734.53</v>
      </c>
      <c r="AC17" s="6049"/>
      <c r="AD17" s="591">
        <v>69838.599999999991</v>
      </c>
      <c r="AE17" s="6052"/>
      <c r="AF17" s="635">
        <f>+AB17+AD17</f>
        <v>454573.13</v>
      </c>
      <c r="AG17" s="6049"/>
      <c r="AH17" s="591">
        <v>89546.19</v>
      </c>
      <c r="AI17" s="6052"/>
      <c r="AJ17" s="635">
        <f>+AF17+AH17</f>
        <v>544119.32000000007</v>
      </c>
      <c r="AK17" s="6049"/>
      <c r="AL17" s="591">
        <v>89920.91</v>
      </c>
      <c r="AM17" s="6084"/>
      <c r="AN17" s="102">
        <f t="shared" si="45"/>
        <v>249305.69999999998</v>
      </c>
      <c r="AO17" s="6052"/>
      <c r="AP17" s="524">
        <f t="shared" si="41"/>
        <v>634040.2300000001</v>
      </c>
      <c r="AQ17" s="6049"/>
      <c r="AR17" s="591">
        <v>74069.33</v>
      </c>
      <c r="AS17" s="6052"/>
      <c r="AT17" s="635">
        <f>+AP17+AR17</f>
        <v>708109.56</v>
      </c>
      <c r="AU17" s="6049"/>
      <c r="AV17" s="591">
        <v>70681.399999999994</v>
      </c>
      <c r="AW17" s="6052"/>
      <c r="AX17" s="635">
        <f>+AT17+AV17</f>
        <v>778790.96000000008</v>
      </c>
      <c r="AY17" s="6049"/>
      <c r="AZ17" s="591">
        <v>50613.440000000002</v>
      </c>
      <c r="BA17" s="6084"/>
      <c r="BB17" s="102">
        <f t="shared" si="46"/>
        <v>195364.16999999998</v>
      </c>
      <c r="BC17" s="6087"/>
      <c r="BD17" s="772">
        <f t="shared" si="42"/>
        <v>444669.87</v>
      </c>
      <c r="BE17" s="6052"/>
      <c r="BF17" s="635">
        <f>+AX17+AZ17</f>
        <v>829404.40000000014</v>
      </c>
      <c r="BG17" s="6092"/>
      <c r="BH17" s="2953">
        <v>809005.30999999994</v>
      </c>
      <c r="BI17" s="6090"/>
      <c r="BJ17" s="2953">
        <v>567271.22</v>
      </c>
      <c r="BK17" s="6069"/>
      <c r="BL17" s="2953">
        <v>479205.15300000005</v>
      </c>
      <c r="BM17" s="6069"/>
      <c r="BN17" s="2953">
        <v>909567.00199999986</v>
      </c>
      <c r="BO17" s="26"/>
      <c r="BP17" s="26"/>
      <c r="BQ17" s="26"/>
      <c r="BR17" s="26"/>
    </row>
    <row r="18" spans="2:70" ht="15" customHeight="1" thickBot="1" x14ac:dyDescent="0.3">
      <c r="B18" s="2977" t="s">
        <v>580</v>
      </c>
      <c r="C18" s="672" t="s">
        <v>361</v>
      </c>
      <c r="D18" s="6095"/>
      <c r="E18" s="6095"/>
      <c r="F18" s="2943">
        <f>+F6</f>
        <v>1921.85</v>
      </c>
      <c r="G18" s="6095"/>
      <c r="H18" s="591">
        <f>+H6</f>
        <v>4260.13</v>
      </c>
      <c r="I18" s="6052"/>
      <c r="J18" s="635">
        <f>+F18+H18</f>
        <v>6181.98</v>
      </c>
      <c r="K18" s="6095"/>
      <c r="L18" s="591">
        <f>+L6</f>
        <v>1412.02</v>
      </c>
      <c r="M18" s="6102"/>
      <c r="N18" s="2965">
        <f>+F18+H18+L18</f>
        <v>7594</v>
      </c>
      <c r="O18" s="6095"/>
      <c r="P18" s="2943">
        <f>+P6</f>
        <v>1785.3700000000001</v>
      </c>
      <c r="Q18" s="6081"/>
      <c r="R18" s="718">
        <f>+N18+P18</f>
        <v>9379.3700000000008</v>
      </c>
      <c r="S18" s="6098"/>
      <c r="T18" s="591">
        <f>+T6</f>
        <v>1518.5299999999997</v>
      </c>
      <c r="U18" s="6081"/>
      <c r="V18" s="524">
        <f>+R18+T18</f>
        <v>10897.900000000001</v>
      </c>
      <c r="W18" s="6049"/>
      <c r="X18" s="591">
        <f>+X6</f>
        <v>2496.4499999999998</v>
      </c>
      <c r="Y18" s="6084"/>
      <c r="Z18" s="102">
        <f t="shared" si="43"/>
        <v>5800.3499999999995</v>
      </c>
      <c r="AA18" s="6087"/>
      <c r="AB18" s="860">
        <f t="shared" si="44"/>
        <v>13394.349999999999</v>
      </c>
      <c r="AC18" s="6049"/>
      <c r="AD18" s="591">
        <f>+AD6</f>
        <v>2994.67</v>
      </c>
      <c r="AE18" s="6052"/>
      <c r="AF18" s="635">
        <f>+AB18+AD18</f>
        <v>16389.019999999997</v>
      </c>
      <c r="AG18" s="6049"/>
      <c r="AH18" s="591">
        <f>+AH6</f>
        <v>2457.0600000000004</v>
      </c>
      <c r="AI18" s="6052"/>
      <c r="AJ18" s="635">
        <f>+AF18+AH18</f>
        <v>18846.079999999998</v>
      </c>
      <c r="AK18" s="6049"/>
      <c r="AL18" s="591">
        <v>1302.0999999999999</v>
      </c>
      <c r="AM18" s="6084"/>
      <c r="AN18" s="102">
        <f t="shared" si="45"/>
        <v>6753.83</v>
      </c>
      <c r="AO18" s="6052"/>
      <c r="AP18" s="524">
        <f t="shared" si="41"/>
        <v>20148.179999999997</v>
      </c>
      <c r="AQ18" s="6049"/>
      <c r="AR18" s="591">
        <f>+AR6</f>
        <v>2913.06</v>
      </c>
      <c r="AS18" s="6052"/>
      <c r="AT18" s="635">
        <f>+AP18+AR18</f>
        <v>23061.239999999998</v>
      </c>
      <c r="AU18" s="6049"/>
      <c r="AV18" s="591">
        <f>+AV6</f>
        <v>2516.6000000000004</v>
      </c>
      <c r="AW18" s="6052"/>
      <c r="AX18" s="635">
        <f>+AT18+AV18</f>
        <v>25577.839999999997</v>
      </c>
      <c r="AY18" s="6049"/>
      <c r="AZ18" s="591">
        <f>+AZ6</f>
        <v>5072</v>
      </c>
      <c r="BA18" s="6084"/>
      <c r="BB18" s="102">
        <f t="shared" si="46"/>
        <v>10501.66</v>
      </c>
      <c r="BC18" s="6087"/>
      <c r="BD18" s="772">
        <f t="shared" si="42"/>
        <v>17255.489999999998</v>
      </c>
      <c r="BE18" s="6052"/>
      <c r="BF18" s="635">
        <f>+AX18+AZ18</f>
        <v>30649.839999999997</v>
      </c>
      <c r="BG18" s="6092"/>
      <c r="BH18" s="2953">
        <v>34807.22</v>
      </c>
      <c r="BI18" s="6090"/>
      <c r="BJ18" s="2953">
        <v>33201.15</v>
      </c>
      <c r="BK18" s="6069"/>
      <c r="BL18" s="2953">
        <v>35268.25</v>
      </c>
      <c r="BM18" s="6069"/>
      <c r="BN18" s="2953">
        <v>28405.85</v>
      </c>
      <c r="BO18" s="26"/>
      <c r="BP18" s="26"/>
      <c r="BQ18" s="26"/>
      <c r="BR18" s="26"/>
    </row>
    <row r="19" spans="2:70" ht="15" customHeight="1" thickBot="1" x14ac:dyDescent="0.3">
      <c r="B19" s="2977" t="s">
        <v>1242</v>
      </c>
      <c r="C19" s="198" t="s">
        <v>361</v>
      </c>
      <c r="D19" s="6096"/>
      <c r="E19" s="6096"/>
      <c r="F19" s="2943">
        <v>5241.2400000000007</v>
      </c>
      <c r="G19" s="6096"/>
      <c r="H19" s="591">
        <v>8255.779999999997</v>
      </c>
      <c r="I19" s="6052"/>
      <c r="J19" s="635">
        <f>+F19+H19</f>
        <v>13497.019999999997</v>
      </c>
      <c r="K19" s="6096"/>
      <c r="L19" s="591">
        <v>5423.380000000001</v>
      </c>
      <c r="M19" s="6103"/>
      <c r="N19" s="2965">
        <f>+F19+H19+L19</f>
        <v>18920.399999999998</v>
      </c>
      <c r="O19" s="6096"/>
      <c r="P19" s="2943">
        <v>8786.9</v>
      </c>
      <c r="Q19" s="6081"/>
      <c r="R19" s="718">
        <f>+N19+P19</f>
        <v>27707.299999999996</v>
      </c>
      <c r="S19" s="6099"/>
      <c r="T19" s="591">
        <v>80.47999999999999</v>
      </c>
      <c r="U19" s="6082"/>
      <c r="V19" s="524">
        <f>+R19+T19</f>
        <v>27787.779999999995</v>
      </c>
      <c r="W19" s="6049"/>
      <c r="X19" s="591">
        <v>6970.2199999999975</v>
      </c>
      <c r="Y19" s="6084"/>
      <c r="Z19" s="102">
        <f t="shared" si="43"/>
        <v>15837.599999999997</v>
      </c>
      <c r="AA19" s="6087"/>
      <c r="AB19" s="860">
        <f t="shared" si="44"/>
        <v>34757.999999999993</v>
      </c>
      <c r="AC19" s="6049"/>
      <c r="AD19" s="591">
        <v>8451.19</v>
      </c>
      <c r="AE19" s="6052"/>
      <c r="AF19" s="635">
        <f>+AB19+AD19</f>
        <v>43209.189999999995</v>
      </c>
      <c r="AG19" s="6049"/>
      <c r="AH19" s="591">
        <v>4102.7</v>
      </c>
      <c r="AI19" s="6052"/>
      <c r="AJ19" s="635">
        <f>+AF19+AH19</f>
        <v>47311.889999999992</v>
      </c>
      <c r="AK19" s="6049"/>
      <c r="AL19" s="591">
        <v>2693.4600000000005</v>
      </c>
      <c r="AM19" s="6084"/>
      <c r="AN19" s="102">
        <f t="shared" si="45"/>
        <v>15247.35</v>
      </c>
      <c r="AO19" s="6052"/>
      <c r="AP19" s="524">
        <f t="shared" si="41"/>
        <v>50005.349999999991</v>
      </c>
      <c r="AQ19" s="6049"/>
      <c r="AR19" s="591">
        <v>33.32</v>
      </c>
      <c r="AS19" s="6052"/>
      <c r="AT19" s="635">
        <f>+AP19+AR19</f>
        <v>50038.669999999991</v>
      </c>
      <c r="AU19" s="6049"/>
      <c r="AV19" s="591">
        <v>2778.94</v>
      </c>
      <c r="AW19" s="6052"/>
      <c r="AX19" s="635">
        <f>+AT19+AV19</f>
        <v>52817.609999999993</v>
      </c>
      <c r="AY19" s="6049"/>
      <c r="AZ19" s="591">
        <v>5647.3799999999992</v>
      </c>
      <c r="BA19" s="6084"/>
      <c r="BB19" s="102">
        <f t="shared" si="46"/>
        <v>8459.64</v>
      </c>
      <c r="BC19" s="6087"/>
      <c r="BD19" s="772">
        <f t="shared" si="42"/>
        <v>23706.989999999998</v>
      </c>
      <c r="BE19" s="6052"/>
      <c r="BF19" s="635">
        <f>+AX19+AZ19</f>
        <v>58464.989999999991</v>
      </c>
      <c r="BG19" s="6093"/>
      <c r="BH19" s="2953">
        <v>86754.520000000019</v>
      </c>
      <c r="BI19" s="6090"/>
      <c r="BJ19" s="2953">
        <v>408982.57999999996</v>
      </c>
      <c r="BK19" s="6069"/>
      <c r="BL19" s="2953">
        <v>662096.97799999977</v>
      </c>
      <c r="BM19" s="6069"/>
      <c r="BN19" s="2953">
        <v>536611.97599999979</v>
      </c>
      <c r="BO19" s="26"/>
      <c r="BP19" s="26"/>
      <c r="BQ19" s="26"/>
      <c r="BR19" s="26"/>
    </row>
    <row r="20" spans="2:70" ht="15" customHeight="1" thickBot="1" x14ac:dyDescent="0.3">
      <c r="B20" s="344" t="s">
        <v>1582</v>
      </c>
      <c r="C20" s="133" t="s">
        <v>51</v>
      </c>
      <c r="D20" s="2961"/>
      <c r="E20" s="2961"/>
      <c r="F20" s="139">
        <f>+((F16+F18+F15+F19)/F12)*100</f>
        <v>56.894846319569659</v>
      </c>
      <c r="G20" s="2961"/>
      <c r="H20" s="139">
        <f>+((H16+H18+H15+H19)/H12)*100</f>
        <v>58.857476095461237</v>
      </c>
      <c r="I20" s="6053"/>
      <c r="J20" s="2966">
        <f>+((+J15+J16+J18+J19)/J12)*100</f>
        <v>57.80527836924346</v>
      </c>
      <c r="K20" s="2968"/>
      <c r="L20" s="2967">
        <f>+((L16+L18+L15+L19)/L12)*100</f>
        <v>72.21896461825358</v>
      </c>
      <c r="M20" s="2973"/>
      <c r="N20" s="100">
        <f>+((+N15+N16+N18+N19)/N12)*100</f>
        <v>61.928103177891046</v>
      </c>
      <c r="O20" s="2961"/>
      <c r="P20" s="2996">
        <f>+((P16+P18+P15+P19)/P12)*100</f>
        <v>56.523652822466573</v>
      </c>
      <c r="Q20" s="6082"/>
      <c r="R20" s="2991">
        <f>+((R16+R18+R15+R19)/R12)*100</f>
        <v>60.287695960683465</v>
      </c>
      <c r="S20" s="2962"/>
      <c r="T20" s="139">
        <f>+((T16+T18+T15+T19)/T12)*100</f>
        <v>75.537953316046242</v>
      </c>
      <c r="U20" s="2963"/>
      <c r="V20" s="56">
        <f>+((V16+V18+V15+V19)/V12)*100</f>
        <v>63.986700631813498</v>
      </c>
      <c r="W20" s="6050"/>
      <c r="X20" s="139">
        <f>+((X16+X18+X15+X19)/X12)*100</f>
        <v>83.028933914572889</v>
      </c>
      <c r="Y20" s="6085"/>
      <c r="Z20" s="2182">
        <f>+((Z16+Z18+Z15+Z19)/Z12)*100</f>
        <v>71.303989199880618</v>
      </c>
      <c r="AA20" s="6088"/>
      <c r="AB20" s="2183">
        <f>+((AB16+AB18+AB15+AB19)/AB12)*100</f>
        <v>67.189843760580032</v>
      </c>
      <c r="AC20" s="6050"/>
      <c r="AD20" s="139">
        <f>+((AD16+AD18+AD15+AD19)/AD12)*100</f>
        <v>65.922590910898521</v>
      </c>
      <c r="AE20" s="6053"/>
      <c r="AF20" s="2966">
        <f>+((+AF15+AF16+AF18+AF19)/AF12)*100</f>
        <v>67.00131172820852</v>
      </c>
      <c r="AG20" s="6050"/>
      <c r="AH20" s="139">
        <f>+((AH16+AH18+AH15+AH19)/AH12)*100</f>
        <v>50.953704845295476</v>
      </c>
      <c r="AI20" s="6053"/>
      <c r="AJ20" s="2966">
        <f>+((+AJ15+AJ16+AJ18+AJ19)/AJ12)*100</f>
        <v>65.123326870086046</v>
      </c>
      <c r="AK20" s="6050"/>
      <c r="AL20" s="139">
        <f>+((AL16+AL18+AL15+AL19)/AL12)*100</f>
        <v>56.240396051553276</v>
      </c>
      <c r="AM20" s="6085"/>
      <c r="AN20" s="2182">
        <f>+((AN16+AN18+AN15+AN19)/AN12)*100</f>
        <v>57.958870043905911</v>
      </c>
      <c r="AO20" s="6053"/>
      <c r="AP20" s="2966">
        <f>+((+AP15+AP16+AP18+AP19)/AP12)*100</f>
        <v>64.089498990355921</v>
      </c>
      <c r="AQ20" s="6050"/>
      <c r="AR20" s="139">
        <f>+((AR16+AR18+AR15+AR19)/AR12)*100</f>
        <v>62.361158193260302</v>
      </c>
      <c r="AS20" s="6053"/>
      <c r="AT20" s="2966">
        <f>+((+AT15+AT16+AT18+AT19)/AT12)*100</f>
        <v>63.916181024139107</v>
      </c>
      <c r="AU20" s="6050"/>
      <c r="AV20" s="139">
        <f>+((AV16+AV18+AV15+AV19)/AV12)*100</f>
        <v>62.316618372683827</v>
      </c>
      <c r="AW20" s="6053"/>
      <c r="AX20" s="2966">
        <f>+((+AX15+AX16+AX18+AX19)/AX12)*100</f>
        <v>63.776632757347038</v>
      </c>
      <c r="AY20" s="6050"/>
      <c r="AZ20" s="139">
        <f>+((AZ16+AZ18+AZ15+AZ19)/AZ12)*100</f>
        <v>76.450434371784169</v>
      </c>
      <c r="BA20" s="6085"/>
      <c r="BB20" s="2182">
        <f>+((BB16+BB18+BB15+BB19)/BB12)*100</f>
        <v>67.400138439659358</v>
      </c>
      <c r="BC20" s="6088"/>
      <c r="BD20" s="2183">
        <f>+((BD16+BD18+BD15+BD19)/BD12)*100</f>
        <v>62.704348434200327</v>
      </c>
      <c r="BE20" s="6053"/>
      <c r="BF20" s="2966">
        <f>+((+BF15+BF16+BF18+BF19)/BF12)*100</f>
        <v>64.928436927079929</v>
      </c>
      <c r="BG20" s="2964"/>
      <c r="BH20" s="2960">
        <v>64.796113088206639</v>
      </c>
      <c r="BI20" s="6070"/>
      <c r="BJ20" s="2954">
        <v>70.665579215426476</v>
      </c>
      <c r="BK20" s="6070"/>
      <c r="BL20" s="2954">
        <f>+((BL16+BL18+BL15+BL19)/BL12)*100</f>
        <v>74.478558013193179</v>
      </c>
      <c r="BM20" s="6070"/>
      <c r="BN20" s="2972">
        <f>+((BN16+BN18+BN15+BN19)/BN12)*100</f>
        <v>55.629429892273293</v>
      </c>
      <c r="BO20" s="26"/>
      <c r="BP20" s="26"/>
      <c r="BQ20" s="26"/>
      <c r="BR20" s="26"/>
    </row>
    <row r="21" spans="2:70" ht="15" customHeight="1" thickBot="1" x14ac:dyDescent="0.3">
      <c r="B21" s="2982" t="s">
        <v>145</v>
      </c>
      <c r="C21" s="2969"/>
      <c r="D21" s="223"/>
      <c r="E21" s="224"/>
      <c r="F21" s="223"/>
      <c r="G21" s="224"/>
      <c r="H21" s="223"/>
      <c r="I21" s="3000"/>
      <c r="J21" s="3000"/>
      <c r="K21" s="3002"/>
      <c r="L21" s="223"/>
      <c r="M21" s="3000"/>
      <c r="N21" s="3000"/>
      <c r="O21" s="224"/>
      <c r="P21" s="223"/>
      <c r="Q21" s="3000"/>
      <c r="R21" s="3000"/>
      <c r="S21" s="224"/>
      <c r="T21" s="223"/>
      <c r="U21" s="3000"/>
      <c r="V21" s="3000"/>
      <c r="W21" s="224"/>
      <c r="X21" s="223"/>
      <c r="Y21" s="3000"/>
      <c r="Z21" s="3000"/>
      <c r="AA21" s="3000"/>
      <c r="AB21" s="3000"/>
      <c r="AC21" s="224"/>
      <c r="AD21" s="223"/>
      <c r="AE21" s="3000"/>
      <c r="AF21" s="3000"/>
      <c r="AG21" s="224"/>
      <c r="AH21" s="223"/>
      <c r="AI21" s="3000"/>
      <c r="AJ21" s="3000"/>
      <c r="AK21" s="224"/>
      <c r="AL21" s="223"/>
      <c r="AM21" s="3000"/>
      <c r="AN21" s="3000"/>
      <c r="AO21" s="3000"/>
      <c r="AP21" s="3000"/>
      <c r="AQ21" s="224"/>
      <c r="AR21" s="223"/>
      <c r="AS21" s="3000"/>
      <c r="AT21" s="3000"/>
      <c r="AU21" s="224"/>
      <c r="AV21" s="223"/>
      <c r="AW21" s="3000"/>
      <c r="AX21" s="3000"/>
      <c r="AY21" s="224"/>
      <c r="AZ21" s="223"/>
      <c r="BA21" s="3000"/>
      <c r="BB21" s="3000"/>
      <c r="BC21" s="3000"/>
      <c r="BD21" s="3000"/>
      <c r="BE21" s="3000"/>
      <c r="BF21" s="3000"/>
      <c r="BG21" s="295"/>
      <c r="BH21" s="295"/>
      <c r="BI21" s="223"/>
      <c r="BJ21" s="224"/>
      <c r="BK21" s="223"/>
      <c r="BL21" s="224"/>
      <c r="BM21" s="223"/>
      <c r="BN21" s="224"/>
      <c r="BO21" s="26"/>
      <c r="BP21" s="26"/>
      <c r="BQ21" s="26"/>
      <c r="BR21" s="26"/>
    </row>
    <row r="22" spans="2:70" ht="15" customHeight="1" x14ac:dyDescent="0.25">
      <c r="B22" s="3004" t="s">
        <v>24</v>
      </c>
      <c r="C22" s="921" t="s">
        <v>361</v>
      </c>
      <c r="D22" s="6104">
        <f>+D12</f>
        <v>2524999.9164131829</v>
      </c>
      <c r="E22" s="6106">
        <f>+E12</f>
        <v>213500.48687222725</v>
      </c>
      <c r="F22" s="877">
        <v>159666.08000000005</v>
      </c>
      <c r="G22" s="6094">
        <f>+G12</f>
        <v>178000.44144996407</v>
      </c>
      <c r="H22" s="343">
        <v>141426.82</v>
      </c>
      <c r="I22" s="6057">
        <f>+I12</f>
        <v>391500.92832219135</v>
      </c>
      <c r="J22" s="57">
        <f>+F22+H22</f>
        <v>301092.90000000002</v>
      </c>
      <c r="K22" s="6094">
        <f>+K12</f>
        <v>173500.27133862226</v>
      </c>
      <c r="L22" s="343">
        <v>112183.96</v>
      </c>
      <c r="M22" s="6101">
        <f>+M12</f>
        <v>565001.19966081355</v>
      </c>
      <c r="N22" s="862">
        <f>+F22+H22+L22</f>
        <v>413276.86000000004</v>
      </c>
      <c r="O22" s="6094">
        <f>+O12</f>
        <v>216500.37423437473</v>
      </c>
      <c r="P22" s="2252">
        <v>172985.62</v>
      </c>
      <c r="Q22" s="6080">
        <f>+Q12</f>
        <v>781501.57389518828</v>
      </c>
      <c r="R22" s="861">
        <f>+N22+P22</f>
        <v>586262.48</v>
      </c>
      <c r="S22" s="6094">
        <f>+S12</f>
        <v>216500.37396437474</v>
      </c>
      <c r="T22" s="2252">
        <v>178397.70000000007</v>
      </c>
      <c r="U22" s="6080">
        <f>+U12</f>
        <v>998001.94785956305</v>
      </c>
      <c r="V22" s="861">
        <f>+R22+T22</f>
        <v>764660.18</v>
      </c>
      <c r="W22" s="6054">
        <f>+W12</f>
        <v>210000</v>
      </c>
      <c r="X22" s="2252">
        <v>154561.70000000001</v>
      </c>
      <c r="Y22" s="6083">
        <f>+Y12</f>
        <v>643000.7481987495</v>
      </c>
      <c r="Z22" s="102">
        <f>+P22+T22+X22</f>
        <v>505945.02000000008</v>
      </c>
      <c r="AA22" s="6086">
        <f>+AA12</f>
        <v>1208001.9478595629</v>
      </c>
      <c r="AB22" s="772">
        <f>+N22+Z22</f>
        <v>919221.88000000012</v>
      </c>
      <c r="AC22" s="6054">
        <f>+AC12</f>
        <v>222499.1475492545</v>
      </c>
      <c r="AD22" s="2252">
        <v>164873.26</v>
      </c>
      <c r="AE22" s="6057">
        <f>+AE12</f>
        <v>1430501.0954088175</v>
      </c>
      <c r="AF22" s="57">
        <f>+AB22+AD22</f>
        <v>1084095.1400000001</v>
      </c>
      <c r="AG22" s="6054">
        <f>+AG12</f>
        <v>215500.27932503153</v>
      </c>
      <c r="AH22" s="2252">
        <v>154044.05000000002</v>
      </c>
      <c r="AI22" s="6057">
        <f>+AI12</f>
        <v>1646001.374733849</v>
      </c>
      <c r="AJ22" s="57">
        <f>+AF22+AH22</f>
        <v>1238139.1900000002</v>
      </c>
      <c r="AK22" s="6054">
        <f>+AK12</f>
        <v>223499.54377566959</v>
      </c>
      <c r="AL22" s="2252">
        <v>166233.31999999992</v>
      </c>
      <c r="AM22" s="6083">
        <f>+AM12</f>
        <v>661498.97064995556</v>
      </c>
      <c r="AN22" s="102">
        <f>+AD22+AH22+AL22</f>
        <v>485150.63</v>
      </c>
      <c r="AO22" s="6057">
        <f>AI22+AK22</f>
        <v>1869500.9185095185</v>
      </c>
      <c r="AP22" s="524">
        <f t="shared" ref="AP22:AP23" si="47">AJ22+AL22</f>
        <v>1404372.51</v>
      </c>
      <c r="AQ22" s="6054">
        <f>+AQ12</f>
        <v>223499.54377566959</v>
      </c>
      <c r="AR22" s="2252">
        <v>151596.9</v>
      </c>
      <c r="AS22" s="6057">
        <f>+AS12</f>
        <v>2093000.4622851883</v>
      </c>
      <c r="AT22" s="57">
        <f>+AP22+AR22</f>
        <v>1555969.41</v>
      </c>
      <c r="AU22" s="6054">
        <f>+AU12</f>
        <v>207999.61215936887</v>
      </c>
      <c r="AV22" s="2252">
        <v>133782.46</v>
      </c>
      <c r="AW22" s="6057">
        <f>+AW12</f>
        <v>2301000.0744445571</v>
      </c>
      <c r="AX22" s="57">
        <f>+AT22+AV22</f>
        <v>1689751.8699999999</v>
      </c>
      <c r="AY22" s="6054">
        <f>+AY12</f>
        <v>223999.94000208468</v>
      </c>
      <c r="AZ22" s="2252">
        <v>158752.39999999994</v>
      </c>
      <c r="BA22" s="6083">
        <f>+BA12</f>
        <v>655499.09593712306</v>
      </c>
      <c r="BB22" s="102">
        <f>+AR22+AV22+AZ22</f>
        <v>444131.75999999989</v>
      </c>
      <c r="BC22" s="6086">
        <f>+BC12</f>
        <v>1316998.0665870789</v>
      </c>
      <c r="BD22" s="772">
        <f t="shared" ref="BD22:BD23" si="48">AN22+BB22</f>
        <v>929282.3899999999</v>
      </c>
      <c r="BE22" s="6057">
        <f>+BE12</f>
        <v>2525000.0144466418</v>
      </c>
      <c r="BF22" s="57">
        <f>+AX22+AZ22</f>
        <v>1848504.2699999998</v>
      </c>
      <c r="BG22" s="6091">
        <v>2410000.013871755</v>
      </c>
      <c r="BH22" s="3005">
        <v>1959110.71</v>
      </c>
      <c r="BI22" s="6068">
        <v>2369500.1509075612</v>
      </c>
      <c r="BJ22" s="2955">
        <v>1882591.37</v>
      </c>
      <c r="BK22" s="6071">
        <v>2234474.8024697341</v>
      </c>
      <c r="BL22" s="2955">
        <v>1557181.9489999996</v>
      </c>
      <c r="BM22" s="6071">
        <f>+BM12</f>
        <v>2406999.7409326425</v>
      </c>
      <c r="BN22" s="2955">
        <v>1655527.3639999998</v>
      </c>
      <c r="BO22" s="26"/>
      <c r="BP22" s="26"/>
      <c r="BQ22" s="26"/>
      <c r="BR22" s="26"/>
    </row>
    <row r="23" spans="2:70" ht="15" customHeight="1" thickBot="1" x14ac:dyDescent="0.3">
      <c r="B23" s="2979" t="s">
        <v>25</v>
      </c>
      <c r="C23" s="198" t="s">
        <v>361</v>
      </c>
      <c r="D23" s="6105"/>
      <c r="E23" s="6107"/>
      <c r="F23" s="622">
        <v>37283.85</v>
      </c>
      <c r="G23" s="6095"/>
      <c r="H23" s="304">
        <v>28987.470000000008</v>
      </c>
      <c r="I23" s="6058"/>
      <c r="J23" s="53">
        <f>+F23+H23</f>
        <v>66271.320000000007</v>
      </c>
      <c r="K23" s="6095"/>
      <c r="L23" s="304">
        <v>34993.060000000005</v>
      </c>
      <c r="M23" s="6102"/>
      <c r="N23" s="97">
        <f>+F23+H23+L23</f>
        <v>101264.38</v>
      </c>
      <c r="O23" s="6095"/>
      <c r="P23" s="166">
        <v>51256.540000000015</v>
      </c>
      <c r="Q23" s="6081"/>
      <c r="R23" s="524">
        <f>+N23+P23</f>
        <v>152520.92000000001</v>
      </c>
      <c r="S23" s="6095"/>
      <c r="T23" s="166">
        <v>58179.519999999997</v>
      </c>
      <c r="U23" s="6081"/>
      <c r="V23" s="524">
        <f>+R23+T23</f>
        <v>210700.44</v>
      </c>
      <c r="W23" s="6055"/>
      <c r="X23" s="166">
        <v>42685.720000000016</v>
      </c>
      <c r="Y23" s="6084"/>
      <c r="Z23" s="98">
        <f>+P23+T23+X23</f>
        <v>152121.78000000003</v>
      </c>
      <c r="AA23" s="6087"/>
      <c r="AB23" s="772">
        <f>+N23+Z23</f>
        <v>253386.16000000003</v>
      </c>
      <c r="AC23" s="6055"/>
      <c r="AD23" s="166">
        <v>40067.789999999994</v>
      </c>
      <c r="AE23" s="6058"/>
      <c r="AF23" s="53">
        <f>+AB23+AD23</f>
        <v>293453.95</v>
      </c>
      <c r="AG23" s="6055"/>
      <c r="AH23" s="166">
        <v>28530.78</v>
      </c>
      <c r="AI23" s="6058"/>
      <c r="AJ23" s="53">
        <f>+AF23+AH23</f>
        <v>321984.73</v>
      </c>
      <c r="AK23" s="6055"/>
      <c r="AL23" s="166">
        <v>39255.08</v>
      </c>
      <c r="AM23" s="6084"/>
      <c r="AN23" s="98">
        <f>+AD23+AH23+AL23</f>
        <v>107853.65</v>
      </c>
      <c r="AO23" s="6058"/>
      <c r="AP23" s="524">
        <f t="shared" si="47"/>
        <v>361239.81</v>
      </c>
      <c r="AQ23" s="6055"/>
      <c r="AR23" s="166">
        <v>45192.71</v>
      </c>
      <c r="AS23" s="6058"/>
      <c r="AT23" s="53">
        <f>+AP23+AR23</f>
        <v>406432.52</v>
      </c>
      <c r="AU23" s="6055"/>
      <c r="AV23" s="166">
        <v>53784.039999999964</v>
      </c>
      <c r="AW23" s="6058"/>
      <c r="AX23" s="53">
        <f>+AT23+AV23</f>
        <v>460216.56</v>
      </c>
      <c r="AY23" s="6055"/>
      <c r="AZ23" s="166">
        <v>56170.330000000024</v>
      </c>
      <c r="BA23" s="6084"/>
      <c r="BB23" s="98">
        <f>+AR23+AV23+AZ23</f>
        <v>155147.07999999999</v>
      </c>
      <c r="BC23" s="6087"/>
      <c r="BD23" s="772">
        <f t="shared" si="48"/>
        <v>263000.73</v>
      </c>
      <c r="BE23" s="6058"/>
      <c r="BF23" s="53">
        <f>+AX23+AZ23</f>
        <v>516386.89</v>
      </c>
      <c r="BG23" s="6092"/>
      <c r="BH23" s="2952">
        <v>338946.25000000006</v>
      </c>
      <c r="BI23" s="6069"/>
      <c r="BJ23" s="2956">
        <v>295664.13</v>
      </c>
      <c r="BK23" s="6072"/>
      <c r="BL23" s="2956">
        <v>320472.90000000002</v>
      </c>
      <c r="BM23" s="6072"/>
      <c r="BN23" s="2956">
        <v>394405.53999999992</v>
      </c>
      <c r="BO23" s="26"/>
      <c r="BP23" s="26"/>
      <c r="BQ23" s="26"/>
      <c r="BR23" s="26"/>
    </row>
    <row r="24" spans="2:70" ht="15" customHeight="1" thickBot="1" x14ac:dyDescent="0.3">
      <c r="B24" s="2980" t="s">
        <v>2</v>
      </c>
      <c r="C24" s="590" t="s">
        <v>361</v>
      </c>
      <c r="D24" s="6105"/>
      <c r="E24" s="6107"/>
      <c r="F24" s="121">
        <f>SUM(F22:F23)</f>
        <v>196949.93000000005</v>
      </c>
      <c r="G24" s="6096"/>
      <c r="H24" s="31">
        <f>SUM(H22:H23)</f>
        <v>170414.29</v>
      </c>
      <c r="I24" s="6058"/>
      <c r="J24" s="55">
        <f>SUM(J22:J23)</f>
        <v>367364.22000000003</v>
      </c>
      <c r="K24" s="6096"/>
      <c r="L24" s="31">
        <f>SUM(L22:L23)</f>
        <v>147177.02000000002</v>
      </c>
      <c r="M24" s="6103"/>
      <c r="N24" s="1958">
        <f>SUM(N22:N23)</f>
        <v>514541.24000000005</v>
      </c>
      <c r="O24" s="6096"/>
      <c r="P24" s="28">
        <f>SUM(P22:P23)</f>
        <v>224242.16</v>
      </c>
      <c r="Q24" s="6082"/>
      <c r="R24" s="2999">
        <f>SUM(R22:R23)</f>
        <v>738783.4</v>
      </c>
      <c r="S24" s="6096"/>
      <c r="T24" s="28">
        <f>SUM(T22:T23)</f>
        <v>236577.22000000006</v>
      </c>
      <c r="U24" s="6082"/>
      <c r="V24" s="2999">
        <f>SUM(V22:V23)</f>
        <v>975360.62000000011</v>
      </c>
      <c r="W24" s="6055"/>
      <c r="X24" s="28">
        <f>SUM(X22:X23)</f>
        <v>197247.42000000004</v>
      </c>
      <c r="Y24" s="6084"/>
      <c r="Z24" s="96">
        <f>SUM(Z22:Z23)</f>
        <v>658066.80000000005</v>
      </c>
      <c r="AA24" s="6087"/>
      <c r="AB24" s="552">
        <f>SUM(AB22:AB23)</f>
        <v>1172608.04</v>
      </c>
      <c r="AC24" s="6055"/>
      <c r="AD24" s="28">
        <f>SUM(AD22:AD23)</f>
        <v>204941.05</v>
      </c>
      <c r="AE24" s="6058"/>
      <c r="AF24" s="55">
        <f>SUM(AF22:AF23)</f>
        <v>1377549.09</v>
      </c>
      <c r="AG24" s="6055"/>
      <c r="AH24" s="28">
        <f>SUM(AH22:AH23)</f>
        <v>182574.83000000002</v>
      </c>
      <c r="AI24" s="6058"/>
      <c r="AJ24" s="55">
        <f>SUM(AJ22:AJ23)</f>
        <v>1560123.9200000002</v>
      </c>
      <c r="AK24" s="6055"/>
      <c r="AL24" s="28">
        <f>SUM(AL22:AL23)</f>
        <v>205488.39999999991</v>
      </c>
      <c r="AM24" s="6084"/>
      <c r="AN24" s="96">
        <f>SUM(AN22:AN23)</f>
        <v>593004.28</v>
      </c>
      <c r="AO24" s="6058"/>
      <c r="AP24" s="55">
        <f>SUM(AP22:AP23)</f>
        <v>1765612.32</v>
      </c>
      <c r="AQ24" s="6055"/>
      <c r="AR24" s="28">
        <f>SUM(AR22:AR23)</f>
        <v>196789.61</v>
      </c>
      <c r="AS24" s="6058"/>
      <c r="AT24" s="55">
        <f>SUM(AT22:AT23)</f>
        <v>1962401.93</v>
      </c>
      <c r="AU24" s="6055"/>
      <c r="AV24" s="28">
        <f>SUM(AV22:AV23)</f>
        <v>187566.49999999994</v>
      </c>
      <c r="AW24" s="6058"/>
      <c r="AX24" s="55">
        <f>SUM(AX22:AX23)</f>
        <v>2149968.4299999997</v>
      </c>
      <c r="AY24" s="6055"/>
      <c r="AZ24" s="28">
        <f>SUM(AZ22:AZ23)</f>
        <v>214922.72999999995</v>
      </c>
      <c r="BA24" s="6084"/>
      <c r="BB24" s="96">
        <f>SUM(BB22:BB23)</f>
        <v>599278.83999999985</v>
      </c>
      <c r="BC24" s="6087"/>
      <c r="BD24" s="552">
        <f>SUM(BD22:BD23)</f>
        <v>1192283.1199999999</v>
      </c>
      <c r="BE24" s="6058"/>
      <c r="BF24" s="55">
        <f>SUM(BF22:BF23)</f>
        <v>2364891.1599999997</v>
      </c>
      <c r="BG24" s="6093"/>
      <c r="BH24" s="3001">
        <v>2298056.96</v>
      </c>
      <c r="BI24" s="6072"/>
      <c r="BJ24" s="2957">
        <f>SUM(BJ22:BJ23)</f>
        <v>2178255.5</v>
      </c>
      <c r="BK24" s="6072"/>
      <c r="BL24" s="2957">
        <v>1877654.8489999995</v>
      </c>
      <c r="BM24" s="6072"/>
      <c r="BN24" s="2957">
        <f>SUM(BN22:BN23)</f>
        <v>2049932.9039999996</v>
      </c>
      <c r="BO24" s="26"/>
      <c r="BP24" s="26"/>
      <c r="BQ24" s="26"/>
      <c r="BR24" s="26"/>
    </row>
    <row r="25" spans="2:70" ht="15" customHeight="1" thickBot="1" x14ac:dyDescent="0.3">
      <c r="B25" s="2978" t="s">
        <v>678</v>
      </c>
      <c r="C25" s="590" t="s">
        <v>51</v>
      </c>
      <c r="D25" s="2989"/>
      <c r="E25" s="2989"/>
      <c r="F25" s="2799">
        <f>+F23/F24*100</f>
        <v>18.930623636169859</v>
      </c>
      <c r="G25" s="2989"/>
      <c r="H25" s="2799">
        <f>+H23/H24*100</f>
        <v>17.009999572218977</v>
      </c>
      <c r="I25" s="6053"/>
      <c r="J25" s="2966">
        <f>+J23/J24*100</f>
        <v>18.039677353445036</v>
      </c>
      <c r="K25" s="2989"/>
      <c r="L25" s="2988">
        <f>+L23/L24*100</f>
        <v>23.776171035396697</v>
      </c>
      <c r="M25" s="2997"/>
      <c r="N25" s="2990">
        <f>+N23/N24*100</f>
        <v>19.680517736537499</v>
      </c>
      <c r="O25" s="2989"/>
      <c r="P25" s="2799">
        <f>+P23/P24*100</f>
        <v>22.857673151204043</v>
      </c>
      <c r="Q25" s="2998"/>
      <c r="R25" s="2800">
        <f>+R23/R24*100</f>
        <v>20.644876427921908</v>
      </c>
      <c r="S25" s="2992"/>
      <c r="T25" s="2799">
        <f>+T23/T24*100</f>
        <v>24.59219023708199</v>
      </c>
      <c r="U25" s="2998"/>
      <c r="V25" s="2991">
        <f>+V23/V24*100</f>
        <v>21.602311563491252</v>
      </c>
      <c r="W25" s="6056"/>
      <c r="X25" s="2799">
        <f>+X23/X24*100</f>
        <v>21.640698773144919</v>
      </c>
      <c r="Y25" s="6085"/>
      <c r="Z25" s="100">
        <f>+Z23/Z24*100</f>
        <v>23.116464772269321</v>
      </c>
      <c r="AA25" s="6088"/>
      <c r="AB25" s="553">
        <f>+AB23/AB24*100</f>
        <v>21.608768774943758</v>
      </c>
      <c r="AC25" s="6056"/>
      <c r="AD25" s="2799">
        <f>+AD23/AD24*100</f>
        <v>19.550885486338633</v>
      </c>
      <c r="AE25" s="6053"/>
      <c r="AF25" s="2966">
        <f>+AF23/AF24*100</f>
        <v>21.302612889098565</v>
      </c>
      <c r="AG25" s="6056"/>
      <c r="AH25" s="2799">
        <f>+AH23/AH24*100</f>
        <v>15.626896653826815</v>
      </c>
      <c r="AI25" s="6053"/>
      <c r="AJ25" s="2966">
        <f>+AJ23/AJ24*100</f>
        <v>20.638407364461148</v>
      </c>
      <c r="AK25" s="6056"/>
      <c r="AL25" s="2799">
        <f>+AL23/AL24*100</f>
        <v>19.103307047989095</v>
      </c>
      <c r="AM25" s="6085"/>
      <c r="AN25" s="100">
        <f>+AN23/AN24*100</f>
        <v>18.187668055279467</v>
      </c>
      <c r="AO25" s="6053"/>
      <c r="AP25" s="2966">
        <f>+AP23/AP24*100</f>
        <v>20.459746791979789</v>
      </c>
      <c r="AQ25" s="6056"/>
      <c r="AR25" s="2799">
        <f>+AR23/AR24*100</f>
        <v>22.964987836502139</v>
      </c>
      <c r="AS25" s="6053"/>
      <c r="AT25" s="2966">
        <f>+AT23/AT24*100</f>
        <v>20.710972293020525</v>
      </c>
      <c r="AU25" s="6056"/>
      <c r="AV25" s="2799">
        <f>+AV23/AV24*100</f>
        <v>28.674651390306892</v>
      </c>
      <c r="AW25" s="6053"/>
      <c r="AX25" s="2966">
        <f>+AX23/AX24*100</f>
        <v>21.405735711198329</v>
      </c>
      <c r="AY25" s="6056"/>
      <c r="AZ25" s="2799">
        <f>+AZ23/AZ24*100</f>
        <v>26.135127727067321</v>
      </c>
      <c r="BA25" s="6085"/>
      <c r="BB25" s="100">
        <f>+BB23/BB24*100</f>
        <v>25.888963474832522</v>
      </c>
      <c r="BC25" s="6088"/>
      <c r="BD25" s="553">
        <f>+BD23/BD24*100</f>
        <v>22.058580347929443</v>
      </c>
      <c r="BE25" s="6053"/>
      <c r="BF25" s="2966">
        <f>+BF23/BF24*100</f>
        <v>21.835545700124317</v>
      </c>
      <c r="BG25" s="2993"/>
      <c r="BH25" s="2995">
        <v>14.749253647742485</v>
      </c>
      <c r="BI25" s="6070"/>
      <c r="BJ25" s="2958">
        <v>13.573437879389068</v>
      </c>
      <c r="BK25" s="6073"/>
      <c r="BL25" s="2994">
        <f>+BL23/BL24*100</f>
        <v>17.06772148090355</v>
      </c>
      <c r="BM25" s="6073"/>
      <c r="BN25" s="2994">
        <f>+BN23/BN24*100</f>
        <v>19.239924352177724</v>
      </c>
      <c r="BO25" s="26"/>
      <c r="BP25" s="26"/>
      <c r="BQ25" s="26"/>
      <c r="BR25" s="26"/>
    </row>
    <row r="26" spans="2:70" x14ac:dyDescent="0.25">
      <c r="B26" s="2594" t="s">
        <v>656</v>
      </c>
      <c r="C26" s="16" t="s">
        <v>361</v>
      </c>
      <c r="D26" s="2985">
        <v>21561.099796334009</v>
      </c>
      <c r="E26" s="1398">
        <f>+'Maj Production Summ'!E24</f>
        <v>1160.8961303462322</v>
      </c>
      <c r="F26" s="166">
        <v>549.29</v>
      </c>
      <c r="G26" s="1398">
        <f>+'Maj Production Summ'!G24</f>
        <v>1160.8961303462299</v>
      </c>
      <c r="H26" s="166">
        <v>599.23</v>
      </c>
      <c r="I26" s="864">
        <f t="shared" ref="I26:J27" si="49">+E26+G26</f>
        <v>2321.7922606924622</v>
      </c>
      <c r="J26" s="89">
        <f t="shared" si="49"/>
        <v>1148.52</v>
      </c>
      <c r="K26" s="1398">
        <f>+'Maj Production Summ'!K24</f>
        <v>8791.2423625254596</v>
      </c>
      <c r="L26" s="166">
        <v>778.25</v>
      </c>
      <c r="M26" s="548">
        <f t="shared" ref="M26:N27" si="50">+E26+G26+K26</f>
        <v>11113.034623217922</v>
      </c>
      <c r="N26" s="548">
        <f t="shared" si="50"/>
        <v>1926.77</v>
      </c>
      <c r="O26" s="1398">
        <f>+'Maj Production Summ'!O24</f>
        <v>1160.8961303462299</v>
      </c>
      <c r="P26" s="166">
        <v>4016.72</v>
      </c>
      <c r="Q26" s="1403">
        <f t="shared" ref="Q26:R27" si="51">+M26+O26</f>
        <v>12273.930753564151</v>
      </c>
      <c r="R26" s="1403">
        <f t="shared" si="51"/>
        <v>5943.49</v>
      </c>
      <c r="S26" s="1398">
        <f>+'Maj Production Summ'!S24</f>
        <v>1160.8961303462322</v>
      </c>
      <c r="T26" s="1633">
        <v>272.59000000000003</v>
      </c>
      <c r="U26" s="1403">
        <f t="shared" ref="U26:V27" si="52">+Q26+S26</f>
        <v>13434.826883910384</v>
      </c>
      <c r="V26" s="1403">
        <f t="shared" si="52"/>
        <v>6216.08</v>
      </c>
      <c r="W26" s="1398">
        <f>+'Maj Production Summ'!W24</f>
        <v>1160.8961303462322</v>
      </c>
      <c r="X26" s="1633">
        <v>226.35999999999999</v>
      </c>
      <c r="Y26" s="1399">
        <f t="shared" ref="Y26:Z27" si="53">+O26+S26+W26</f>
        <v>3482.6883910386941</v>
      </c>
      <c r="Z26" s="113">
        <f t="shared" si="53"/>
        <v>4515.6699999999992</v>
      </c>
      <c r="AA26" s="963">
        <f t="shared" ref="AA26:AB27" si="54">+M26+Y26</f>
        <v>14595.723014256615</v>
      </c>
      <c r="AB26" s="963">
        <f t="shared" si="54"/>
        <v>6442.4399999999987</v>
      </c>
      <c r="AC26" s="1398">
        <f>+'Maj Production Summ'!AC24</f>
        <v>1160.8961303462299</v>
      </c>
      <c r="AD26" s="1633">
        <v>199.6</v>
      </c>
      <c r="AE26" s="864">
        <f t="shared" ref="AE26:AE27" si="55">+AA26+AC26</f>
        <v>15756.619144602844</v>
      </c>
      <c r="AF26" s="89">
        <f t="shared" ref="AF26:AF27" si="56">+AB26+AD26</f>
        <v>6642.0399999999991</v>
      </c>
      <c r="AG26" s="1398">
        <f>+'Maj Production Summ'!AG24</f>
        <v>1160.8961303462322</v>
      </c>
      <c r="AH26" s="1633">
        <v>199.59</v>
      </c>
      <c r="AI26" s="864">
        <f t="shared" ref="AI26:AI27" si="57">+AE26+AG26</f>
        <v>16917.515274949077</v>
      </c>
      <c r="AJ26" s="89">
        <f t="shared" ref="AJ26:AJ27" si="58">+AF26+AH26</f>
        <v>6841.6299999999992</v>
      </c>
      <c r="AK26" s="1398">
        <f>+'Maj Production Summ'!AK24</f>
        <v>1160.8961303462299</v>
      </c>
      <c r="AL26" s="1633">
        <v>198.96</v>
      </c>
      <c r="AM26" s="4268">
        <f t="shared" ref="AM26:AM27" si="59">+AC26+AG26+AK26</f>
        <v>3482.6883910386923</v>
      </c>
      <c r="AN26" s="113">
        <f t="shared" ref="AN26:AN27" si="60">+AD26+AH26+AL26</f>
        <v>598.15</v>
      </c>
      <c r="AO26" s="524">
        <f t="shared" ref="AO26:AO27" si="61">AI26+AK26</f>
        <v>18078.411405295308</v>
      </c>
      <c r="AP26" s="524">
        <f t="shared" ref="AP26:AP28" si="62">AJ26+AL26</f>
        <v>7040.5899999999992</v>
      </c>
      <c r="AQ26" s="1398">
        <f>+'Maj Production Summ'!AQ24</f>
        <v>1160.8961303462299</v>
      </c>
      <c r="AR26" s="1633">
        <v>198.86</v>
      </c>
      <c r="AS26" s="864">
        <f t="shared" ref="AS26:AS27" si="63">+AO26+AQ26</f>
        <v>19239.307535641539</v>
      </c>
      <c r="AT26" s="89">
        <f t="shared" ref="AT26:AT27" si="64">+AP26+AR26</f>
        <v>7239.4499999999989</v>
      </c>
      <c r="AU26" s="1398">
        <f>+'Maj Production Summ'!AU24</f>
        <v>1160.8961303462299</v>
      </c>
      <c r="AV26" s="1633">
        <v>199.92</v>
      </c>
      <c r="AW26" s="864">
        <f t="shared" ref="AW26:AW27" si="65">+AS26+AU26</f>
        <v>20400.20366598777</v>
      </c>
      <c r="AX26" s="89">
        <f t="shared" ref="AX26:AX27" si="66">+AT26+AV26</f>
        <v>7439.369999999999</v>
      </c>
      <c r="AY26" s="1398">
        <f>+'Maj Production Summ'!AY24</f>
        <v>1160.8961303462299</v>
      </c>
      <c r="AZ26" s="1633">
        <v>97.73</v>
      </c>
      <c r="BA26" s="5029">
        <f t="shared" ref="BA26:BA27" si="67">+AQ26+AU26+AY26</f>
        <v>3482.6883910386896</v>
      </c>
      <c r="BB26" s="113">
        <f t="shared" ref="BB26:BB27" si="68">+AR26+AV26+AZ26</f>
        <v>496.51</v>
      </c>
      <c r="BC26" s="772">
        <f t="shared" ref="BC26:BD28" si="69">AM26+BA26</f>
        <v>6965.3767820773819</v>
      </c>
      <c r="BD26" s="772">
        <f t="shared" ref="BD26:BD27" si="70">AN26+BB26</f>
        <v>1094.6599999999999</v>
      </c>
      <c r="BE26" s="864">
        <f t="shared" ref="BE26:BE27" si="71">+AW26+AY26</f>
        <v>21561.099796334001</v>
      </c>
      <c r="BF26" s="89">
        <f t="shared" ref="BF26:BF27" si="72">+AX26+AZ26</f>
        <v>7537.0999999999985</v>
      </c>
      <c r="BG26" s="1487">
        <v>16929.735234215885</v>
      </c>
      <c r="BH26" s="2959">
        <v>8801.7400000000016</v>
      </c>
      <c r="BI26" s="3003">
        <v>19251.63543788188</v>
      </c>
      <c r="BJ26" s="2956">
        <v>20488.86</v>
      </c>
      <c r="BK26" s="3003">
        <v>20754.644854293481</v>
      </c>
      <c r="BL26" s="2956">
        <v>80002.179999999993</v>
      </c>
      <c r="BM26" s="3003">
        <v>29958.27154308611</v>
      </c>
      <c r="BN26" s="2956">
        <v>124050.80000000006</v>
      </c>
      <c r="BO26" s="26"/>
      <c r="BP26" s="26"/>
      <c r="BQ26" s="26"/>
      <c r="BR26" s="26"/>
    </row>
    <row r="27" spans="2:70" ht="15" customHeight="1" thickBot="1" x14ac:dyDescent="0.3">
      <c r="B27" s="2975" t="s">
        <v>1446</v>
      </c>
      <c r="C27" s="13" t="s">
        <v>361</v>
      </c>
      <c r="D27" s="1698">
        <f>+'Maj Production Summ'!D25</f>
        <v>2377.8720000000003</v>
      </c>
      <c r="E27" s="189">
        <f>+'Maj Production Summ'!E25</f>
        <v>141.12</v>
      </c>
      <c r="F27" s="166">
        <v>483.57999999999987</v>
      </c>
      <c r="G27" s="189">
        <f>+'Maj Production Summ'!G25</f>
        <v>141.12</v>
      </c>
      <c r="H27" s="166">
        <v>652.80999999999995</v>
      </c>
      <c r="I27" s="88">
        <f t="shared" si="49"/>
        <v>282.24</v>
      </c>
      <c r="J27" s="53">
        <f t="shared" si="49"/>
        <v>1136.3899999999999</v>
      </c>
      <c r="K27" s="189">
        <f>+'Maj Production Summ'!K25</f>
        <v>825.55200000000002</v>
      </c>
      <c r="L27" s="166">
        <v>922.14</v>
      </c>
      <c r="M27" s="97">
        <f t="shared" si="50"/>
        <v>1107.7919999999999</v>
      </c>
      <c r="N27" s="97">
        <f t="shared" si="50"/>
        <v>2058.5299999999997</v>
      </c>
      <c r="O27" s="189">
        <f>+'Maj Production Summ'!O25</f>
        <v>141.12</v>
      </c>
      <c r="P27" s="166">
        <v>935.92</v>
      </c>
      <c r="Q27" s="524">
        <f t="shared" si="51"/>
        <v>1248.9119999999998</v>
      </c>
      <c r="R27" s="524">
        <f t="shared" si="51"/>
        <v>2994.45</v>
      </c>
      <c r="S27" s="189">
        <f>+'Maj Production Summ'!S25</f>
        <v>141.12</v>
      </c>
      <c r="T27" s="2766">
        <v>1061.5700000000002</v>
      </c>
      <c r="U27" s="524">
        <f t="shared" si="52"/>
        <v>1390.0319999999997</v>
      </c>
      <c r="V27" s="524">
        <f t="shared" si="52"/>
        <v>4056.02</v>
      </c>
      <c r="W27" s="189">
        <f>+'Maj Production Summ'!W25</f>
        <v>141.12</v>
      </c>
      <c r="X27" s="3391">
        <v>800.25</v>
      </c>
      <c r="Y27" s="101">
        <f t="shared" si="53"/>
        <v>423.36</v>
      </c>
      <c r="Z27" s="98">
        <f t="shared" si="53"/>
        <v>2797.7400000000002</v>
      </c>
      <c r="AA27" s="772">
        <f t="shared" si="54"/>
        <v>1531.152</v>
      </c>
      <c r="AB27" s="772">
        <f t="shared" si="54"/>
        <v>4856.2700000000004</v>
      </c>
      <c r="AC27" s="4041">
        <f>+'Maj Production Summ'!AC25</f>
        <v>141.12</v>
      </c>
      <c r="AD27" s="3616">
        <v>698.44</v>
      </c>
      <c r="AE27" s="4040">
        <f t="shared" si="55"/>
        <v>1672.2719999999999</v>
      </c>
      <c r="AF27" s="53">
        <f t="shared" si="56"/>
        <v>5554.7100000000009</v>
      </c>
      <c r="AG27" s="4154">
        <f>+'Maj Production Summ'!AG25</f>
        <v>141.12</v>
      </c>
      <c r="AH27" s="3616">
        <v>0</v>
      </c>
      <c r="AI27" s="4153">
        <f t="shared" si="57"/>
        <v>1813.3919999999998</v>
      </c>
      <c r="AJ27" s="53">
        <f t="shared" si="58"/>
        <v>5554.7100000000009</v>
      </c>
      <c r="AK27" s="4262">
        <f>+'Maj Production Summ'!AK25</f>
        <v>141.12</v>
      </c>
      <c r="AL27" s="3616">
        <v>0</v>
      </c>
      <c r="AM27" s="4263">
        <f t="shared" si="59"/>
        <v>423.36</v>
      </c>
      <c r="AN27" s="98">
        <f t="shared" si="60"/>
        <v>698.44</v>
      </c>
      <c r="AO27" s="524">
        <f t="shared" si="61"/>
        <v>1954.5119999999997</v>
      </c>
      <c r="AP27" s="524">
        <f t="shared" si="62"/>
        <v>5554.7100000000009</v>
      </c>
      <c r="AQ27" s="4387">
        <f>+'Maj Production Summ'!AQ25</f>
        <v>141.12</v>
      </c>
      <c r="AR27" s="3616">
        <v>197.33</v>
      </c>
      <c r="AS27" s="4386">
        <f t="shared" si="63"/>
        <v>2095.6319999999996</v>
      </c>
      <c r="AT27" s="53">
        <f t="shared" si="64"/>
        <v>5752.0400000000009</v>
      </c>
      <c r="AU27" s="4621">
        <f>+'Maj Production Summ'!AU25</f>
        <v>141.12</v>
      </c>
      <c r="AV27" s="3616">
        <v>0</v>
      </c>
      <c r="AW27" s="4620">
        <f t="shared" si="65"/>
        <v>2236.7519999999995</v>
      </c>
      <c r="AX27" s="53">
        <f t="shared" si="66"/>
        <v>5752.0400000000009</v>
      </c>
      <c r="AY27" s="5019">
        <f>+'Maj Production Summ'!AY25</f>
        <v>141.12</v>
      </c>
      <c r="AZ27" s="3616">
        <v>239.8</v>
      </c>
      <c r="BA27" s="5021">
        <f t="shared" si="67"/>
        <v>423.36</v>
      </c>
      <c r="BB27" s="98">
        <f t="shared" si="68"/>
        <v>437.13</v>
      </c>
      <c r="BC27" s="772">
        <f t="shared" si="69"/>
        <v>846.72</v>
      </c>
      <c r="BD27" s="772">
        <f t="shared" si="70"/>
        <v>1135.5700000000002</v>
      </c>
      <c r="BE27" s="5018">
        <f t="shared" si="71"/>
        <v>2377.8719999999994</v>
      </c>
      <c r="BF27" s="53">
        <f t="shared" si="72"/>
        <v>5991.8400000000011</v>
      </c>
      <c r="BG27" s="1370">
        <v>2057.5999999999995</v>
      </c>
      <c r="BH27" s="1368">
        <v>5429.83</v>
      </c>
      <c r="BI27" s="1370">
        <v>2163.56</v>
      </c>
      <c r="BJ27" s="1369">
        <v>17862.580000000002</v>
      </c>
      <c r="BK27" s="1370">
        <v>6973.7102305913804</v>
      </c>
      <c r="BL27" s="1369">
        <v>29483.779999999995</v>
      </c>
      <c r="BM27" s="1370">
        <v>8472.5250501001919</v>
      </c>
      <c r="BN27" s="1369">
        <v>59555.1</v>
      </c>
      <c r="BO27" s="26"/>
      <c r="BP27" s="26"/>
      <c r="BQ27" s="26"/>
      <c r="BR27" s="26"/>
    </row>
    <row r="28" spans="2:70" ht="15" customHeight="1" thickBot="1" x14ac:dyDescent="0.3">
      <c r="B28" s="2974" t="s">
        <v>359</v>
      </c>
      <c r="C28" s="15" t="s">
        <v>361</v>
      </c>
      <c r="D28" s="652">
        <f t="shared" ref="D28:AB28" si="73">SUM(D26:D27)</f>
        <v>23938.971796334008</v>
      </c>
      <c r="E28" s="652">
        <f t="shared" si="73"/>
        <v>1302.0161303462323</v>
      </c>
      <c r="F28" s="28">
        <f t="shared" si="73"/>
        <v>1032.8699999999999</v>
      </c>
      <c r="G28" s="652">
        <f t="shared" ref="G28:H28" si="74">SUM(G26:G27)</f>
        <v>1302.0161303462301</v>
      </c>
      <c r="H28" s="28">
        <f t="shared" si="74"/>
        <v>1252.04</v>
      </c>
      <c r="I28" s="874">
        <f t="shared" si="73"/>
        <v>2604.0322606924619</v>
      </c>
      <c r="J28" s="55">
        <f t="shared" si="73"/>
        <v>2284.91</v>
      </c>
      <c r="K28" s="652">
        <f t="shared" ref="K28:L28" si="75">SUM(K26:K27)</f>
        <v>9616.7943625254593</v>
      </c>
      <c r="L28" s="28">
        <f t="shared" si="75"/>
        <v>1700.3899999999999</v>
      </c>
      <c r="M28" s="875">
        <f t="shared" si="73"/>
        <v>12220.826623217921</v>
      </c>
      <c r="N28" s="96">
        <f t="shared" si="73"/>
        <v>3985.2999999999997</v>
      </c>
      <c r="O28" s="652">
        <f t="shared" ref="O28:P28" si="76">SUM(O26:O27)</f>
        <v>1302.0161303462301</v>
      </c>
      <c r="P28" s="28">
        <f t="shared" si="76"/>
        <v>4952.6399999999994</v>
      </c>
      <c r="Q28" s="874">
        <f t="shared" si="73"/>
        <v>13522.842753564151</v>
      </c>
      <c r="R28" s="55">
        <f t="shared" si="73"/>
        <v>8937.9399999999987</v>
      </c>
      <c r="S28" s="547">
        <f t="shared" si="73"/>
        <v>1302.0161303462323</v>
      </c>
      <c r="T28" s="2773">
        <f t="shared" si="73"/>
        <v>1334.1600000000003</v>
      </c>
      <c r="U28" s="874">
        <f t="shared" si="73"/>
        <v>14824.858883910383</v>
      </c>
      <c r="V28" s="55">
        <f t="shared" si="73"/>
        <v>10272.1</v>
      </c>
      <c r="W28" s="547">
        <f t="shared" si="73"/>
        <v>1302.0161303462323</v>
      </c>
      <c r="X28" s="2773">
        <f t="shared" ref="X28" si="77">SUM(X26:X27)</f>
        <v>1026.6099999999999</v>
      </c>
      <c r="Y28" s="428">
        <f t="shared" si="73"/>
        <v>3906.0483910386943</v>
      </c>
      <c r="Z28" s="96">
        <f t="shared" si="73"/>
        <v>7313.41</v>
      </c>
      <c r="AA28" s="876">
        <f t="shared" si="73"/>
        <v>16126.875014256615</v>
      </c>
      <c r="AB28" s="552">
        <f t="shared" si="73"/>
        <v>11298.71</v>
      </c>
      <c r="AC28" s="547">
        <f t="shared" ref="AC28:AD28" si="78">SUM(AC26:AC27)</f>
        <v>1302.0161303462301</v>
      </c>
      <c r="AD28" s="2773">
        <f t="shared" si="78"/>
        <v>898.04000000000008</v>
      </c>
      <c r="AE28" s="874">
        <f t="shared" ref="AE28:AH28" si="79">SUM(AE26:AE27)</f>
        <v>17428.891144602843</v>
      </c>
      <c r="AF28" s="55">
        <f t="shared" si="79"/>
        <v>12196.75</v>
      </c>
      <c r="AG28" s="547">
        <f t="shared" si="79"/>
        <v>1302.0161303462323</v>
      </c>
      <c r="AH28" s="2773">
        <f t="shared" si="79"/>
        <v>199.59</v>
      </c>
      <c r="AI28" s="874">
        <f t="shared" ref="AI28:AJ28" si="80">SUM(AI26:AI27)</f>
        <v>18730.907274949077</v>
      </c>
      <c r="AJ28" s="55">
        <f t="shared" si="80"/>
        <v>12396.34</v>
      </c>
      <c r="AK28" s="547">
        <f t="shared" ref="AK28" si="81">SUM(AK26:AK27)</f>
        <v>1302.0161303462301</v>
      </c>
      <c r="AL28" s="2773">
        <f t="shared" ref="AL28" si="82">SUM(AL26:AL27)</f>
        <v>198.96</v>
      </c>
      <c r="AM28" s="428">
        <f t="shared" ref="AM28:AN28" si="83">SUM(AM26:AM27)</f>
        <v>3906.0483910386924</v>
      </c>
      <c r="AN28" s="96">
        <f t="shared" si="83"/>
        <v>1296.5900000000001</v>
      </c>
      <c r="AO28" s="874">
        <f t="shared" ref="AO28" si="84">SUM(AO26:AO27)</f>
        <v>20032.923405295307</v>
      </c>
      <c r="AP28" s="55">
        <f t="shared" si="62"/>
        <v>12595.3</v>
      </c>
      <c r="AQ28" s="547">
        <f t="shared" ref="AQ28:AT28" si="85">SUM(AQ26:AQ27)</f>
        <v>1302.0161303462301</v>
      </c>
      <c r="AR28" s="2773">
        <f t="shared" si="85"/>
        <v>396.19000000000005</v>
      </c>
      <c r="AS28" s="874">
        <f t="shared" si="85"/>
        <v>21334.939535641541</v>
      </c>
      <c r="AT28" s="55">
        <f t="shared" si="85"/>
        <v>12991.49</v>
      </c>
      <c r="AU28" s="547">
        <f t="shared" ref="AU28:AX28" si="86">SUM(AU26:AU27)</f>
        <v>1302.0161303462301</v>
      </c>
      <c r="AV28" s="2773">
        <f t="shared" si="86"/>
        <v>199.92</v>
      </c>
      <c r="AW28" s="874">
        <f t="shared" si="86"/>
        <v>22636.955665987771</v>
      </c>
      <c r="AX28" s="55">
        <f t="shared" si="86"/>
        <v>13191.41</v>
      </c>
      <c r="AY28" s="547">
        <f t="shared" ref="AY28:BF28" si="87">SUM(AY26:AY27)</f>
        <v>1302.0161303462301</v>
      </c>
      <c r="AZ28" s="2773">
        <f t="shared" si="87"/>
        <v>337.53000000000003</v>
      </c>
      <c r="BA28" s="428">
        <f t="shared" ref="BA28:BB28" si="88">SUM(BA26:BA27)</f>
        <v>3906.0483910386897</v>
      </c>
      <c r="BB28" s="96">
        <f t="shared" si="88"/>
        <v>933.64</v>
      </c>
      <c r="BC28" s="772">
        <f t="shared" si="69"/>
        <v>7812.0967820773822</v>
      </c>
      <c r="BD28" s="772">
        <f t="shared" si="69"/>
        <v>2230.23</v>
      </c>
      <c r="BE28" s="874">
        <f t="shared" si="87"/>
        <v>23938.971796334001</v>
      </c>
      <c r="BF28" s="55">
        <f t="shared" si="87"/>
        <v>13528.939999999999</v>
      </c>
      <c r="BG28" s="1365">
        <v>18987.335234215883</v>
      </c>
      <c r="BH28" s="3911">
        <v>14231.570000000002</v>
      </c>
      <c r="BI28" s="1365">
        <v>21415.195437881881</v>
      </c>
      <c r="BJ28" s="1366">
        <v>38351.440000000002</v>
      </c>
      <c r="BK28" s="1365">
        <v>27728.355084884861</v>
      </c>
      <c r="BL28" s="1366">
        <v>109485.95999999999</v>
      </c>
      <c r="BM28" s="1365">
        <f>SUM(BM26:BM27)</f>
        <v>38430.7965931863</v>
      </c>
      <c r="BN28" s="1366">
        <f>SUM(BN26:BN27)</f>
        <v>183605.90000000005</v>
      </c>
      <c r="BO28" s="26"/>
      <c r="BP28" s="26"/>
      <c r="BQ28" s="26"/>
      <c r="BR28" s="26"/>
    </row>
    <row r="29" spans="2:70" ht="15" customHeight="1" x14ac:dyDescent="0.25">
      <c r="B29" s="345"/>
      <c r="D29" s="776"/>
      <c r="I29" s="116"/>
      <c r="J29" s="122"/>
      <c r="O29" s="183"/>
      <c r="BO29" s="26"/>
      <c r="BP29" s="26"/>
      <c r="BQ29" s="26"/>
      <c r="BR29" s="26"/>
    </row>
    <row r="30" spans="2:70" ht="15" customHeight="1" x14ac:dyDescent="0.25">
      <c r="E30" s="1518"/>
      <c r="F30" s="1518"/>
      <c r="G30" s="1518"/>
      <c r="H30" s="1518"/>
      <c r="I30" s="1518">
        <f t="shared" ref="I30:AT30" si="89">I12-I24</f>
        <v>391500.92832219135</v>
      </c>
      <c r="J30" s="1518">
        <f t="shared" si="89"/>
        <v>0</v>
      </c>
      <c r="K30" s="1518"/>
      <c r="L30" s="1518"/>
      <c r="M30" s="1518"/>
      <c r="N30" s="1518"/>
      <c r="O30" s="1518"/>
      <c r="P30" s="1518"/>
      <c r="Q30" s="1518">
        <f t="shared" si="89"/>
        <v>781501.57389518828</v>
      </c>
      <c r="R30" s="1518">
        <f t="shared" si="89"/>
        <v>0</v>
      </c>
      <c r="S30" s="1518"/>
      <c r="T30" s="1518"/>
      <c r="U30" s="1518">
        <f t="shared" si="89"/>
        <v>998001.94785956305</v>
      </c>
      <c r="V30" s="1518">
        <f t="shared" si="89"/>
        <v>0</v>
      </c>
      <c r="W30" s="1518"/>
      <c r="X30" s="1518"/>
      <c r="Y30" s="1518"/>
      <c r="Z30" s="1518"/>
      <c r="AA30" s="1518"/>
      <c r="AB30" s="1518"/>
      <c r="AC30" s="1518"/>
      <c r="AD30" s="1518"/>
      <c r="AE30" s="1518"/>
      <c r="AF30" s="1518"/>
      <c r="AG30" s="1518"/>
      <c r="AH30" s="1518"/>
      <c r="AI30" s="1518">
        <f t="shared" si="89"/>
        <v>1646001.374733849</v>
      </c>
      <c r="AJ30" s="1518">
        <f t="shared" si="89"/>
        <v>0</v>
      </c>
      <c r="AK30" s="1518"/>
      <c r="AL30" s="1518"/>
      <c r="AM30" s="1518"/>
      <c r="AN30" s="1518"/>
      <c r="AO30" s="1518"/>
      <c r="AP30" s="1518"/>
      <c r="AQ30" s="1518"/>
      <c r="AR30" s="1518"/>
      <c r="AS30" s="1518">
        <f t="shared" si="89"/>
        <v>2093000.4622851883</v>
      </c>
      <c r="AT30" s="1518">
        <f t="shared" si="89"/>
        <v>0</v>
      </c>
      <c r="AU30" s="1518"/>
      <c r="AV30" s="1518"/>
      <c r="BO30" s="26"/>
      <c r="BP30" s="26"/>
      <c r="BQ30" s="26"/>
      <c r="BR30" s="26"/>
    </row>
    <row r="31" spans="2:70" ht="15" customHeight="1" x14ac:dyDescent="0.25">
      <c r="BO31" s="26"/>
      <c r="BP31" s="26"/>
      <c r="BQ31" s="26"/>
      <c r="BR31" s="26"/>
    </row>
    <row r="32" spans="2:70" ht="15" customHeight="1" x14ac:dyDescent="0.25">
      <c r="BF32" s="26"/>
      <c r="BO32" s="26"/>
      <c r="BP32" s="26"/>
      <c r="BQ32" s="26"/>
      <c r="BR32" s="26"/>
    </row>
    <row r="33" ht="15" customHeight="1" x14ac:dyDescent="0.25"/>
    <row r="34" ht="15" customHeight="1" x14ac:dyDescent="0.25"/>
    <row r="35" ht="15" customHeight="1" x14ac:dyDescent="0.25"/>
    <row r="36" ht="15" customHeight="1" x14ac:dyDescent="0.25"/>
    <row r="37" ht="15" customHeight="1" x14ac:dyDescent="0.25"/>
    <row r="38" ht="15" customHeight="1" x14ac:dyDescent="0.25"/>
    <row r="39" ht="15" customHeight="1" x14ac:dyDescent="0.25"/>
    <row r="40" ht="15" customHeight="1" x14ac:dyDescent="0.25"/>
    <row r="41" ht="15" customHeight="1" x14ac:dyDescent="0.25"/>
    <row r="42" ht="15" customHeight="1" x14ac:dyDescent="0.25"/>
    <row r="43" ht="15" customHeight="1" x14ac:dyDescent="0.25"/>
    <row r="44" ht="15" customHeight="1" x14ac:dyDescent="0.25"/>
    <row r="45" ht="15" customHeight="1" x14ac:dyDescent="0.25"/>
    <row r="46" ht="15" customHeight="1" x14ac:dyDescent="0.25"/>
  </sheetData>
  <mergeCells count="98">
    <mergeCell ref="AY3:AZ3"/>
    <mergeCell ref="BE3:BF3"/>
    <mergeCell ref="AY15:AY20"/>
    <mergeCell ref="BE15:BE20"/>
    <mergeCell ref="AY22:AY25"/>
    <mergeCell ref="BE22:BE25"/>
    <mergeCell ref="BA3:BB3"/>
    <mergeCell ref="BA15:BA20"/>
    <mergeCell ref="BA22:BA25"/>
    <mergeCell ref="BC3:BD3"/>
    <mergeCell ref="BC15:BC20"/>
    <mergeCell ref="BC22:BC25"/>
    <mergeCell ref="AU3:AV3"/>
    <mergeCell ref="AW3:AX3"/>
    <mergeCell ref="AU15:AU20"/>
    <mergeCell ref="AW15:AW20"/>
    <mergeCell ref="AU22:AU25"/>
    <mergeCell ref="AW22:AW25"/>
    <mergeCell ref="AO3:AP3"/>
    <mergeCell ref="AO15:AO20"/>
    <mergeCell ref="AO22:AO25"/>
    <mergeCell ref="AK3:AL3"/>
    <mergeCell ref="AM3:AN3"/>
    <mergeCell ref="AK15:AK20"/>
    <mergeCell ref="AM15:AM20"/>
    <mergeCell ref="AK22:AK25"/>
    <mergeCell ref="AM22:AM25"/>
    <mergeCell ref="D15:D19"/>
    <mergeCell ref="E15:E19"/>
    <mergeCell ref="G15:G19"/>
    <mergeCell ref="D22:D24"/>
    <mergeCell ref="E22:E24"/>
    <mergeCell ref="G22:G24"/>
    <mergeCell ref="BG22:BG24"/>
    <mergeCell ref="K15:K19"/>
    <mergeCell ref="M15:M19"/>
    <mergeCell ref="M22:M24"/>
    <mergeCell ref="Q22:Q24"/>
    <mergeCell ref="U22:U24"/>
    <mergeCell ref="K22:K24"/>
    <mergeCell ref="O22:O24"/>
    <mergeCell ref="S22:S24"/>
    <mergeCell ref="AA22:AA25"/>
    <mergeCell ref="AE22:AE25"/>
    <mergeCell ref="AC15:AC20"/>
    <mergeCell ref="AC22:AC25"/>
    <mergeCell ref="AI15:AI20"/>
    <mergeCell ref="AG22:AG25"/>
    <mergeCell ref="AI22:AI25"/>
    <mergeCell ref="Q3:R3"/>
    <mergeCell ref="Q15:Q20"/>
    <mergeCell ref="O3:P3"/>
    <mergeCell ref="BG15:BG19"/>
    <mergeCell ref="BG3:BH3"/>
    <mergeCell ref="O15:O19"/>
    <mergeCell ref="S15:S19"/>
    <mergeCell ref="W15:W20"/>
    <mergeCell ref="Y3:Z3"/>
    <mergeCell ref="Y15:Y20"/>
    <mergeCell ref="AC3:AD3"/>
    <mergeCell ref="AE3:AF3"/>
    <mergeCell ref="AE15:AE20"/>
    <mergeCell ref="AG3:AH3"/>
    <mergeCell ref="AI3:AJ3"/>
    <mergeCell ref="AG15:AG20"/>
    <mergeCell ref="BI3:BJ3"/>
    <mergeCell ref="BI15:BI20"/>
    <mergeCell ref="BI22:BI25"/>
    <mergeCell ref="BK3:BL3"/>
    <mergeCell ref="BK15:BK20"/>
    <mergeCell ref="BM3:BN3"/>
    <mergeCell ref="BM15:BM20"/>
    <mergeCell ref="BM22:BM25"/>
    <mergeCell ref="I22:I25"/>
    <mergeCell ref="S3:T3"/>
    <mergeCell ref="U3:V3"/>
    <mergeCell ref="AA3:AB3"/>
    <mergeCell ref="K3:L3"/>
    <mergeCell ref="M3:N3"/>
    <mergeCell ref="U15:U19"/>
    <mergeCell ref="I15:I20"/>
    <mergeCell ref="W3:X3"/>
    <mergeCell ref="Y22:Y25"/>
    <mergeCell ref="AA15:AA20"/>
    <mergeCell ref="W22:W25"/>
    <mergeCell ref="BK22:BK25"/>
    <mergeCell ref="B3:B4"/>
    <mergeCell ref="C3:C4"/>
    <mergeCell ref="E3:F3"/>
    <mergeCell ref="G3:H3"/>
    <mergeCell ref="I3:J3"/>
    <mergeCell ref="D3:D4"/>
    <mergeCell ref="AQ3:AR3"/>
    <mergeCell ref="AS3:AT3"/>
    <mergeCell ref="AQ15:AQ20"/>
    <mergeCell ref="AS15:AS20"/>
    <mergeCell ref="AQ22:AQ25"/>
    <mergeCell ref="AS22:AS25"/>
  </mergeCells>
  <printOptions horizontalCentered="1" verticalCentered="1"/>
  <pageMargins left="0" right="0" top="0" bottom="0" header="0" footer="0"/>
  <pageSetup scale="42" orientation="landscape" verticalDpi="300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3">
    <tabColor theme="3" tint="0.39997558519241921"/>
    <pageSetUpPr fitToPage="1"/>
  </sheetPr>
  <dimension ref="A1:CA80"/>
  <sheetViews>
    <sheetView workbookViewId="0">
      <pane xSplit="4" topLeftCell="BD1" activePane="topRight" state="frozen"/>
      <selection pane="topRight" activeCell="AW2" sqref="AW1:AX1048576"/>
    </sheetView>
  </sheetViews>
  <sheetFormatPr defaultRowHeight="15" x14ac:dyDescent="0.25"/>
  <cols>
    <col min="1" max="1" width="3.85546875" style="122" customWidth="1"/>
    <col min="2" max="2" width="38" style="122" bestFit="1" customWidth="1"/>
    <col min="3" max="3" width="18.5703125" style="4972" bestFit="1" customWidth="1"/>
    <col min="4" max="4" width="18.42578125" style="419" bestFit="1" customWidth="1"/>
    <col min="5" max="8" width="10.7109375" style="122" customWidth="1"/>
    <col min="9" max="10" width="10.7109375" style="122" hidden="1" customWidth="1"/>
    <col min="11" max="15" width="10.7109375" style="188" customWidth="1"/>
    <col min="16" max="16" width="10.7109375" style="122" customWidth="1"/>
    <col min="17" max="18" width="10.7109375" style="122" hidden="1" customWidth="1"/>
    <col min="19" max="20" width="10.7109375" style="122" customWidth="1"/>
    <col min="21" max="22" width="10.7109375" style="122" hidden="1" customWidth="1"/>
    <col min="23" max="26" width="10.7109375" style="122" customWidth="1"/>
    <col min="27" max="27" width="11.28515625" style="122" bestFit="1" customWidth="1"/>
    <col min="28" max="28" width="12" style="122" bestFit="1" customWidth="1"/>
    <col min="29" max="30" width="10.7109375" style="122" customWidth="1"/>
    <col min="31" max="32" width="10.7109375" style="122" hidden="1" customWidth="1"/>
    <col min="33" max="34" width="10.7109375" style="122" customWidth="1"/>
    <col min="35" max="36" width="10.7109375" style="122" hidden="1" customWidth="1"/>
    <col min="37" max="40" width="10.7109375" style="122" customWidth="1"/>
    <col min="41" max="42" width="10.7109375" style="122" hidden="1" customWidth="1"/>
    <col min="43" max="44" width="10.7109375" style="122" customWidth="1"/>
    <col min="45" max="46" width="10.7109375" style="122" hidden="1" customWidth="1"/>
    <col min="47" max="48" width="10.7109375" style="122" customWidth="1"/>
    <col min="49" max="49" width="11.28515625" style="122" hidden="1" customWidth="1"/>
    <col min="50" max="50" width="12" style="122" hidden="1" customWidth="1"/>
    <col min="51" max="54" width="10.7109375" style="122" customWidth="1"/>
    <col min="55" max="58" width="11.28515625" style="122" bestFit="1" customWidth="1"/>
    <col min="59" max="59" width="11.28515625" style="122" hidden="1" customWidth="1"/>
    <col min="60" max="60" width="11.28515625" style="122" bestFit="1" customWidth="1"/>
    <col min="61" max="61" width="10.7109375" style="122" hidden="1" customWidth="1"/>
    <col min="62" max="62" width="11.28515625" style="122" bestFit="1" customWidth="1"/>
    <col min="63" max="63" width="10.7109375" style="122" hidden="1" customWidth="1"/>
    <col min="64" max="64" width="10.7109375" style="122" customWidth="1"/>
    <col min="65" max="66" width="8.28515625" style="122" hidden="1" customWidth="1"/>
    <col min="67" max="67" width="8.28515625" hidden="1" customWidth="1"/>
    <col min="68" max="68" width="11.85546875" customWidth="1"/>
    <col min="69" max="69" width="11.7109375" bestFit="1" customWidth="1"/>
    <col min="70" max="70" width="14.85546875" customWidth="1"/>
  </cols>
  <sheetData>
    <row r="1" spans="1:72" ht="22.5" x14ac:dyDescent="0.25">
      <c r="B1" s="6138" t="s">
        <v>1516</v>
      </c>
      <c r="C1" s="6138"/>
      <c r="D1" s="6138"/>
      <c r="E1" s="6138"/>
      <c r="F1" s="6138"/>
      <c r="G1" s="6138"/>
      <c r="H1" s="6138"/>
      <c r="I1" s="6138"/>
      <c r="J1" s="6138"/>
      <c r="K1" s="6138"/>
      <c r="L1" s="6138"/>
      <c r="M1" s="6138"/>
      <c r="N1" s="6138"/>
      <c r="O1" s="6138"/>
      <c r="P1" s="6138"/>
      <c r="Q1" s="6138"/>
      <c r="R1" s="6138"/>
      <c r="S1" s="6138"/>
      <c r="T1" s="6138"/>
      <c r="U1" s="6138"/>
      <c r="V1" s="6138"/>
      <c r="W1" s="6138"/>
      <c r="X1" s="6138"/>
      <c r="Y1" s="6138"/>
      <c r="Z1" s="6138"/>
      <c r="AA1" s="6138"/>
      <c r="AB1" s="6138"/>
      <c r="AC1" s="6138"/>
      <c r="AD1" s="6138"/>
      <c r="AE1" s="6138"/>
      <c r="AF1" s="6138"/>
      <c r="AG1" s="6138"/>
      <c r="AH1" s="6138"/>
      <c r="AI1" s="6138"/>
      <c r="AJ1" s="6138"/>
      <c r="AK1" s="6138"/>
      <c r="AL1" s="6138"/>
      <c r="AM1" s="6138"/>
      <c r="AN1" s="6138"/>
      <c r="AO1" s="6138"/>
      <c r="AP1" s="6138"/>
      <c r="AQ1" s="6138"/>
      <c r="AR1" s="6138"/>
      <c r="AS1" s="6138"/>
      <c r="AT1" s="6138"/>
      <c r="AU1" s="6138"/>
      <c r="AV1" s="6138"/>
      <c r="AW1" s="6138"/>
      <c r="AX1" s="6138"/>
      <c r="AY1" s="6138"/>
      <c r="AZ1" s="6138"/>
      <c r="BA1" s="6138"/>
      <c r="BB1" s="6138"/>
      <c r="BC1" s="6138"/>
      <c r="BD1" s="6138"/>
      <c r="BE1" s="6138"/>
      <c r="BF1" s="6138"/>
      <c r="BG1" s="6138"/>
      <c r="BH1" s="6138"/>
      <c r="BI1" s="6138"/>
      <c r="BJ1" s="6138"/>
      <c r="BK1" s="6138"/>
      <c r="BL1" s="6138"/>
      <c r="BM1" s="6138"/>
      <c r="BN1" s="6138"/>
      <c r="BO1" s="6138"/>
    </row>
    <row r="2" spans="1:72" ht="19.5" thickBot="1" x14ac:dyDescent="0.35">
      <c r="B2" s="3518"/>
      <c r="C2" s="4962"/>
      <c r="D2" s="4835"/>
      <c r="E2" s="4835">
        <v>30</v>
      </c>
      <c r="F2" s="4835">
        <v>30</v>
      </c>
      <c r="G2" s="4835">
        <v>31</v>
      </c>
      <c r="H2" s="4835">
        <v>31</v>
      </c>
      <c r="I2" s="4835">
        <f>+E2+G2</f>
        <v>61</v>
      </c>
      <c r="J2" s="4835">
        <f>+F2+H2</f>
        <v>61</v>
      </c>
      <c r="K2" s="4836">
        <v>30</v>
      </c>
      <c r="L2" s="4836">
        <v>30</v>
      </c>
      <c r="M2" s="4837">
        <f>+I2+K2</f>
        <v>91</v>
      </c>
      <c r="N2" s="4837">
        <f>+J2+L2</f>
        <v>91</v>
      </c>
      <c r="O2" s="4836">
        <v>31</v>
      </c>
      <c r="P2" s="4835">
        <v>31</v>
      </c>
      <c r="Q2" s="4838">
        <f>+M2+O2</f>
        <v>122</v>
      </c>
      <c r="R2" s="4838">
        <f>+N2+P2</f>
        <v>122</v>
      </c>
      <c r="S2" s="4838">
        <v>31</v>
      </c>
      <c r="T2" s="4838">
        <v>31</v>
      </c>
      <c r="U2" s="4838">
        <f>+Q2+S2</f>
        <v>153</v>
      </c>
      <c r="V2" s="4838">
        <f>+R2+T2</f>
        <v>153</v>
      </c>
      <c r="W2" s="4838">
        <v>30</v>
      </c>
      <c r="X2" s="4838">
        <v>30</v>
      </c>
      <c r="Y2" s="4838">
        <f>+O2+S2+W2</f>
        <v>92</v>
      </c>
      <c r="Z2" s="4838">
        <f>+P2+T2+X2</f>
        <v>92</v>
      </c>
      <c r="AA2" s="4838">
        <f>+U2+W2</f>
        <v>183</v>
      </c>
      <c r="AB2" s="4838">
        <f>+V2+X2</f>
        <v>183</v>
      </c>
      <c r="AC2" s="4838">
        <v>31</v>
      </c>
      <c r="AD2" s="4838">
        <v>31</v>
      </c>
      <c r="AE2" s="4838">
        <f>+AA2+AC2</f>
        <v>214</v>
      </c>
      <c r="AF2" s="4838">
        <f>+AB2+AD2</f>
        <v>214</v>
      </c>
      <c r="AG2" s="4838">
        <v>30</v>
      </c>
      <c r="AH2" s="4838">
        <v>30</v>
      </c>
      <c r="AI2" s="4838">
        <f>+AE2+AG2</f>
        <v>244</v>
      </c>
      <c r="AJ2" s="4838">
        <f>+AF2+AH2</f>
        <v>244</v>
      </c>
      <c r="AK2" s="4838">
        <v>31</v>
      </c>
      <c r="AL2" s="4838">
        <v>31</v>
      </c>
      <c r="AM2" s="4838">
        <f>+AC2+AG2+AK2</f>
        <v>92</v>
      </c>
      <c r="AN2" s="4838">
        <f>+AD2+AH2+AL2</f>
        <v>92</v>
      </c>
      <c r="AO2" s="4838">
        <f>+AI2+AK2</f>
        <v>275</v>
      </c>
      <c r="AP2" s="4838">
        <f>+AJ2+AL2</f>
        <v>275</v>
      </c>
      <c r="AQ2" s="4838">
        <v>31</v>
      </c>
      <c r="AR2" s="4838">
        <v>31</v>
      </c>
      <c r="AS2" s="4838">
        <f>+AO2+AQ2</f>
        <v>306</v>
      </c>
      <c r="AT2" s="4838">
        <f>+AP2+AR2</f>
        <v>306</v>
      </c>
      <c r="AU2" s="4838">
        <v>29</v>
      </c>
      <c r="AV2" s="4838">
        <v>29</v>
      </c>
      <c r="AW2" s="4838">
        <f>+AS2+AU2</f>
        <v>335</v>
      </c>
      <c r="AX2" s="4838">
        <f>+AT2+AV2</f>
        <v>335</v>
      </c>
      <c r="AY2" s="4838">
        <v>31</v>
      </c>
      <c r="AZ2" s="4838">
        <v>31</v>
      </c>
      <c r="BA2" s="4838">
        <f>+AQ2+AU2+AY2</f>
        <v>91</v>
      </c>
      <c r="BB2" s="4838">
        <f>+AR2+AV2+AZ2</f>
        <v>91</v>
      </c>
      <c r="BC2" s="4838">
        <f>+AM2+BA2</f>
        <v>183</v>
      </c>
      <c r="BD2" s="4838">
        <f>+AN2+BB2</f>
        <v>183</v>
      </c>
      <c r="BE2" s="4838">
        <f>+AW2+AY2</f>
        <v>366</v>
      </c>
      <c r="BF2" s="4838">
        <f>+AX2+AZ2</f>
        <v>366</v>
      </c>
      <c r="BG2" s="4838"/>
      <c r="BH2" s="4838"/>
      <c r="BI2" s="4838"/>
      <c r="BJ2" s="4838"/>
      <c r="BK2" s="4838">
        <v>365</v>
      </c>
      <c r="BL2" s="4839">
        <v>365</v>
      </c>
      <c r="BM2" s="182">
        <v>366</v>
      </c>
      <c r="BN2" s="182">
        <v>366</v>
      </c>
      <c r="BO2" s="182">
        <v>365</v>
      </c>
      <c r="BP2" s="141"/>
    </row>
    <row r="3" spans="1:72" s="122" customFormat="1" ht="19.5" thickBot="1" x14ac:dyDescent="0.3">
      <c r="B3" s="6128" t="s">
        <v>175</v>
      </c>
      <c r="C3" s="6130" t="s">
        <v>176</v>
      </c>
      <c r="D3" s="6122" t="s">
        <v>1471</v>
      </c>
      <c r="E3" s="6132" t="s">
        <v>1470</v>
      </c>
      <c r="F3" s="6126"/>
      <c r="G3" s="6126" t="s">
        <v>1526</v>
      </c>
      <c r="H3" s="6133"/>
      <c r="I3" s="6119" t="s">
        <v>15</v>
      </c>
      <c r="J3" s="6127"/>
      <c r="K3" s="6139" t="s">
        <v>1620</v>
      </c>
      <c r="L3" s="6139"/>
      <c r="M3" s="6125" t="s">
        <v>658</v>
      </c>
      <c r="N3" s="6125"/>
      <c r="O3" s="6126" t="s">
        <v>1688</v>
      </c>
      <c r="P3" s="6126"/>
      <c r="Q3" s="6127" t="s">
        <v>18</v>
      </c>
      <c r="R3" s="6127"/>
      <c r="S3" s="6126" t="s">
        <v>1731</v>
      </c>
      <c r="T3" s="6126"/>
      <c r="U3" s="6127" t="s">
        <v>19</v>
      </c>
      <c r="V3" s="6127"/>
      <c r="W3" s="6126" t="s">
        <v>1766</v>
      </c>
      <c r="X3" s="6126"/>
      <c r="Y3" s="6125" t="s">
        <v>682</v>
      </c>
      <c r="Z3" s="6125"/>
      <c r="AA3" s="6112" t="s">
        <v>679</v>
      </c>
      <c r="AB3" s="6113"/>
      <c r="AC3" s="6126" t="s">
        <v>1831</v>
      </c>
      <c r="AD3" s="6126"/>
      <c r="AE3" s="6127" t="s">
        <v>26</v>
      </c>
      <c r="AF3" s="6127"/>
      <c r="AG3" s="6126" t="s">
        <v>1863</v>
      </c>
      <c r="AH3" s="6126"/>
      <c r="AI3" s="6127" t="s">
        <v>29</v>
      </c>
      <c r="AJ3" s="6127"/>
      <c r="AK3" s="6122" t="s">
        <v>1888</v>
      </c>
      <c r="AL3" s="6123"/>
      <c r="AM3" s="6120" t="s">
        <v>684</v>
      </c>
      <c r="AN3" s="6121"/>
      <c r="AO3" s="6118" t="s">
        <v>951</v>
      </c>
      <c r="AP3" s="6119"/>
      <c r="AQ3" s="6126" t="s">
        <v>1918</v>
      </c>
      <c r="AR3" s="6126"/>
      <c r="AS3" s="6127" t="s">
        <v>30</v>
      </c>
      <c r="AT3" s="6127"/>
      <c r="AU3" s="6110" t="s">
        <v>1940</v>
      </c>
      <c r="AV3" s="6110"/>
      <c r="AW3" s="6108" t="s">
        <v>32</v>
      </c>
      <c r="AX3" s="6109"/>
      <c r="AY3" s="6110" t="s">
        <v>1965</v>
      </c>
      <c r="AZ3" s="6110"/>
      <c r="BA3" s="6116" t="s">
        <v>685</v>
      </c>
      <c r="BB3" s="6117"/>
      <c r="BC3" s="6112" t="s">
        <v>693</v>
      </c>
      <c r="BD3" s="6113"/>
      <c r="BE3" s="6108" t="s">
        <v>1513</v>
      </c>
      <c r="BF3" s="6111"/>
      <c r="BG3" s="6114" t="s">
        <v>1316</v>
      </c>
      <c r="BH3" s="6115"/>
      <c r="BI3" s="6114" t="s">
        <v>991</v>
      </c>
      <c r="BJ3" s="6115"/>
      <c r="BK3" s="6114" t="s">
        <v>701</v>
      </c>
      <c r="BL3" s="6115"/>
      <c r="BM3" s="6066" t="s">
        <v>691</v>
      </c>
      <c r="BN3" s="6067"/>
      <c r="BO3" s="1482" t="s">
        <v>648</v>
      </c>
    </row>
    <row r="4" spans="1:72" s="122" customFormat="1" ht="19.5" thickBot="1" x14ac:dyDescent="0.3">
      <c r="B4" s="6129"/>
      <c r="C4" s="6131"/>
      <c r="D4" s="6134"/>
      <c r="E4" s="4840" t="s">
        <v>177</v>
      </c>
      <c r="F4" s="4841" t="s">
        <v>178</v>
      </c>
      <c r="G4" s="4841" t="s">
        <v>177</v>
      </c>
      <c r="H4" s="1235" t="s">
        <v>178</v>
      </c>
      <c r="I4" s="4842" t="s">
        <v>177</v>
      </c>
      <c r="J4" s="4843" t="s">
        <v>178</v>
      </c>
      <c r="K4" s="3983" t="s">
        <v>177</v>
      </c>
      <c r="L4" s="3983" t="s">
        <v>178</v>
      </c>
      <c r="M4" s="4844" t="s">
        <v>177</v>
      </c>
      <c r="N4" s="4844" t="s">
        <v>178</v>
      </c>
      <c r="O4" s="3983" t="s">
        <v>177</v>
      </c>
      <c r="P4" s="4841" t="s">
        <v>178</v>
      </c>
      <c r="Q4" s="4843" t="s">
        <v>177</v>
      </c>
      <c r="R4" s="4843" t="s">
        <v>178</v>
      </c>
      <c r="S4" s="4841" t="s">
        <v>177</v>
      </c>
      <c r="T4" s="4841" t="s">
        <v>178</v>
      </c>
      <c r="U4" s="4843" t="s">
        <v>177</v>
      </c>
      <c r="V4" s="4843" t="s">
        <v>178</v>
      </c>
      <c r="W4" s="4841" t="s">
        <v>177</v>
      </c>
      <c r="X4" s="4841" t="s">
        <v>178</v>
      </c>
      <c r="Y4" s="4844" t="s">
        <v>177</v>
      </c>
      <c r="Z4" s="4844" t="s">
        <v>178</v>
      </c>
      <c r="AA4" s="4845" t="s">
        <v>177</v>
      </c>
      <c r="AB4" s="4845" t="s">
        <v>178</v>
      </c>
      <c r="AC4" s="4841" t="s">
        <v>177</v>
      </c>
      <c r="AD4" s="4841" t="s">
        <v>178</v>
      </c>
      <c r="AE4" s="4843" t="s">
        <v>177</v>
      </c>
      <c r="AF4" s="4843" t="s">
        <v>178</v>
      </c>
      <c r="AG4" s="4841" t="s">
        <v>177</v>
      </c>
      <c r="AH4" s="4841" t="s">
        <v>178</v>
      </c>
      <c r="AI4" s="4843" t="s">
        <v>177</v>
      </c>
      <c r="AJ4" s="4843" t="s">
        <v>178</v>
      </c>
      <c r="AK4" s="4841" t="s">
        <v>177</v>
      </c>
      <c r="AL4" s="4841" t="s">
        <v>178</v>
      </c>
      <c r="AM4" s="4844" t="s">
        <v>177</v>
      </c>
      <c r="AN4" s="4844" t="s">
        <v>178</v>
      </c>
      <c r="AO4" s="4843" t="s">
        <v>177</v>
      </c>
      <c r="AP4" s="4843" t="s">
        <v>178</v>
      </c>
      <c r="AQ4" s="4841" t="s">
        <v>177</v>
      </c>
      <c r="AR4" s="4841" t="s">
        <v>178</v>
      </c>
      <c r="AS4" s="4843" t="s">
        <v>177</v>
      </c>
      <c r="AT4" s="4843" t="s">
        <v>178</v>
      </c>
      <c r="AU4" s="3177" t="s">
        <v>177</v>
      </c>
      <c r="AV4" s="246" t="s">
        <v>178</v>
      </c>
      <c r="AW4" s="4793" t="s">
        <v>177</v>
      </c>
      <c r="AX4" s="249" t="s">
        <v>178</v>
      </c>
      <c r="AY4" s="3177" t="s">
        <v>177</v>
      </c>
      <c r="AZ4" s="246" t="s">
        <v>178</v>
      </c>
      <c r="BA4" s="4846" t="s">
        <v>177</v>
      </c>
      <c r="BB4" s="4847" t="s">
        <v>178</v>
      </c>
      <c r="BC4" s="4845" t="s">
        <v>177</v>
      </c>
      <c r="BD4" s="4845" t="s">
        <v>178</v>
      </c>
      <c r="BE4" s="4793" t="s">
        <v>177</v>
      </c>
      <c r="BF4" s="3193" t="s">
        <v>178</v>
      </c>
      <c r="BG4" s="4848" t="s">
        <v>177</v>
      </c>
      <c r="BH4" s="4849" t="s">
        <v>178</v>
      </c>
      <c r="BI4" s="4850" t="s">
        <v>177</v>
      </c>
      <c r="BJ4" s="4849" t="s">
        <v>178</v>
      </c>
      <c r="BK4" s="4850" t="s">
        <v>177</v>
      </c>
      <c r="BL4" s="4849" t="s">
        <v>178</v>
      </c>
      <c r="BM4" s="1362" t="s">
        <v>177</v>
      </c>
      <c r="BN4" s="1363" t="s">
        <v>178</v>
      </c>
      <c r="BO4" s="1363" t="s">
        <v>178</v>
      </c>
    </row>
    <row r="5" spans="1:72" ht="18.75" x14ac:dyDescent="0.25">
      <c r="B5" s="4998" t="s">
        <v>368</v>
      </c>
      <c r="C5" s="4955" t="s">
        <v>51</v>
      </c>
      <c r="D5" s="5289">
        <v>69.500000000000028</v>
      </c>
      <c r="E5" s="4851">
        <f>+$D$5</f>
        <v>69.500000000000028</v>
      </c>
      <c r="F5" s="4852">
        <f>('Maj Production Summ'!F14*100)/('Maj Production Summ'!F10*31.55)</f>
        <v>69.415591419212731</v>
      </c>
      <c r="G5" s="4851">
        <f>+$D$5</f>
        <v>69.500000000000028</v>
      </c>
      <c r="H5" s="4852">
        <f>('Maj Production Summ'!H14*100)/('Maj Production Summ'!H10*31.55)</f>
        <v>68.896667164199783</v>
      </c>
      <c r="I5" s="3190">
        <f>+$D$5</f>
        <v>69.500000000000028</v>
      </c>
      <c r="J5" s="4853">
        <f>('Maj Production Summ'!J14*100)/('Maj Production Summ'!J10*31.55)</f>
        <v>69.160170757866794</v>
      </c>
      <c r="K5" s="4851">
        <f>+$D$5</f>
        <v>69.500000000000028</v>
      </c>
      <c r="L5" s="4852">
        <f>('Maj Production Summ'!L14*100)/('Maj Production Summ'!L10*31.55)</f>
        <v>69.391251476390337</v>
      </c>
      <c r="M5" s="485">
        <f>+$D$5</f>
        <v>69.500000000000028</v>
      </c>
      <c r="N5" s="485">
        <f>('Maj Production Summ'!N14*100)/('Maj Production Summ'!N10*31.55)</f>
        <v>69.235834832038222</v>
      </c>
      <c r="O5" s="4851">
        <f>+$D$5</f>
        <v>69.500000000000028</v>
      </c>
      <c r="P5" s="4852">
        <f>('Maj Production Summ'!P14*100)/('Maj Production Summ'!P10*31.55)</f>
        <v>69.415356426198059</v>
      </c>
      <c r="Q5" s="4853">
        <f>+$D$5</f>
        <v>69.500000000000028</v>
      </c>
      <c r="R5" s="4853">
        <f>('Maj Production Summ'!R14*100)/('Maj Production Summ'!R10*31.55)</f>
        <v>69.281895884883838</v>
      </c>
      <c r="S5" s="4854">
        <f>+$D$5</f>
        <v>69.500000000000028</v>
      </c>
      <c r="T5" s="4852">
        <f>('Maj Production Summ'!T14*100)/('Maj Production Summ'!T10*31.55)</f>
        <v>69.400838328344562</v>
      </c>
      <c r="U5" s="4853">
        <f>+$D$5</f>
        <v>69.500000000000028</v>
      </c>
      <c r="V5" s="4853">
        <f>('Maj Production Summ'!V14*100)/('Maj Production Summ'!V10*31.55)</f>
        <v>69.306084510846134</v>
      </c>
      <c r="W5" s="4854">
        <f>+$D$5</f>
        <v>69.500000000000028</v>
      </c>
      <c r="X5" s="4854">
        <f>('Maj Production Summ'!X14*100)/('Maj Production Summ'!X10*31.55)</f>
        <v>69.384090190185219</v>
      </c>
      <c r="Y5" s="485">
        <f>+$D$5</f>
        <v>69.500000000000028</v>
      </c>
      <c r="Z5" s="485">
        <f>('Maj Production Summ'!Z14*100)/('Maj Production Summ'!Z10*31.55)</f>
        <v>69.400246556413975</v>
      </c>
      <c r="AA5" s="596">
        <f>+$D$5</f>
        <v>69.500000000000028</v>
      </c>
      <c r="AB5" s="596">
        <f>('Maj Production Summ'!AB14*100)/('Maj Production Summ'!AB10*31.55)</f>
        <v>69.319009935713908</v>
      </c>
      <c r="AC5" s="4854">
        <f>+$D$5</f>
        <v>69.500000000000028</v>
      </c>
      <c r="AD5" s="4854">
        <f>('Maj Production Summ'!AD14*100)/('Maj Production Summ'!AD10*31.55)</f>
        <v>69.402611365522247</v>
      </c>
      <c r="AE5" s="4853">
        <f>+$D$5</f>
        <v>69.500000000000028</v>
      </c>
      <c r="AF5" s="4853">
        <f>('Maj Production Summ'!AF14*100)/('Maj Production Summ'!AF10*31.55)</f>
        <v>69.331423841153878</v>
      </c>
      <c r="AG5" s="4854">
        <f>+$D$5</f>
        <v>69.500000000000028</v>
      </c>
      <c r="AH5" s="4854">
        <f>('Maj Production Summ'!AH14*100)/('Maj Production Summ'!AH10*31.55)</f>
        <v>69.880571416294245</v>
      </c>
      <c r="AI5" s="4853">
        <f>+$D$5</f>
        <v>69.500000000000028</v>
      </c>
      <c r="AJ5" s="4853">
        <f>('Maj Production Summ'!AJ14*100)/('Maj Production Summ'!AJ10*31.55)</f>
        <v>69.40012905214877</v>
      </c>
      <c r="AK5" s="4854">
        <f>+$D$5</f>
        <v>69.500000000000028</v>
      </c>
      <c r="AL5" s="4854">
        <f>('Maj Production Summ'!AL14*100)/('Maj Production Summ'!AL10*31.55)</f>
        <v>69.394648812986517</v>
      </c>
      <c r="AM5" s="485">
        <f>+$D$5</f>
        <v>69.500000000000028</v>
      </c>
      <c r="AN5" s="485">
        <f>('Maj Production Summ'!AN14*100)/('Maj Production Summ'!AN10*31.55)</f>
        <v>69.554701659143021</v>
      </c>
      <c r="AO5" s="4853">
        <f>+$D$5</f>
        <v>69.500000000000028</v>
      </c>
      <c r="AP5" s="4853">
        <f>('Maj Production Summ'!AP14*100)/('Maj Production Summ'!AP10*31.55)</f>
        <v>69.399493084539287</v>
      </c>
      <c r="AQ5" s="4854">
        <f>+$D$5</f>
        <v>69.500000000000028</v>
      </c>
      <c r="AR5" s="4854">
        <f>('Maj Production Summ'!AR14*100)/('Maj Production Summ'!AR10*31.55)</f>
        <v>69.388274921065303</v>
      </c>
      <c r="AS5" s="4853">
        <f>+$D$5</f>
        <v>69.500000000000028</v>
      </c>
      <c r="AT5" s="4853">
        <f>('Maj Production Summ'!AT14*100)/('Maj Production Summ'!AT10*31.55)</f>
        <v>69.398329000162505</v>
      </c>
      <c r="AU5" s="4854">
        <f>+$D$5</f>
        <v>69.500000000000028</v>
      </c>
      <c r="AV5" s="4854">
        <f>('Maj Production Summ'!AV14*100)/('Maj Production Summ'!AV10*31.55)</f>
        <v>69.39593347201658</v>
      </c>
      <c r="AW5" s="4853">
        <f>+$D$5</f>
        <v>69.500000000000028</v>
      </c>
      <c r="AX5" s="4853">
        <f>('Maj Production Summ'!AX14*100)/('Maj Production Summ'!AX10*31.55)</f>
        <v>69.398116749432091</v>
      </c>
      <c r="AY5" s="4854">
        <f>+$D$5</f>
        <v>69.500000000000028</v>
      </c>
      <c r="AZ5" s="4854">
        <f>('Maj Production Summ'!AZ14*100)/('Maj Production Summ'!AZ10*31.55)</f>
        <v>69.397095888100608</v>
      </c>
      <c r="BA5" s="485">
        <f>+$D$5</f>
        <v>69.500000000000028</v>
      </c>
      <c r="BB5" s="485">
        <f>('Maj Production Summ'!BB14*100)/('Maj Production Summ'!BB10*31.55)</f>
        <v>69.393721920410272</v>
      </c>
      <c r="BC5" s="596">
        <f>+$D$5</f>
        <v>69.500000000000028</v>
      </c>
      <c r="BD5" s="596">
        <f>('Maj Production Summ'!BD14*100)/('Maj Production Summ'!BD10*31.55)</f>
        <v>69.474377287146282</v>
      </c>
      <c r="BE5" s="4853">
        <f>+$D$5</f>
        <v>69.500000000000028</v>
      </c>
      <c r="BF5" s="4853">
        <f>('Maj Production Summ'!BF14*100)/('Maj Production Summ'!BF10*31.55)</f>
        <v>69.398028518298972</v>
      </c>
      <c r="BG5" s="4855">
        <v>69.5</v>
      </c>
      <c r="BH5" s="4856">
        <v>69.459875135267765</v>
      </c>
      <c r="BI5" s="4855">
        <v>70.500002850729032</v>
      </c>
      <c r="BJ5" s="4856">
        <v>69.798394297532738</v>
      </c>
      <c r="BK5" s="4855">
        <v>70.99978732308368</v>
      </c>
      <c r="BL5" s="4856">
        <v>72.813877092165015</v>
      </c>
      <c r="BM5" s="1483">
        <v>66.5</v>
      </c>
      <c r="BN5" s="1484">
        <v>67.485669750420143</v>
      </c>
      <c r="BO5" s="1484">
        <v>67.015011462089603</v>
      </c>
      <c r="BP5" s="648"/>
      <c r="BR5" s="2258"/>
      <c r="BS5" s="2258"/>
      <c r="BT5" s="648"/>
    </row>
    <row r="6" spans="1:72" s="183" customFormat="1" ht="15" customHeight="1" x14ac:dyDescent="0.25">
      <c r="A6" s="188"/>
      <c r="B6" s="637" t="s">
        <v>366</v>
      </c>
      <c r="C6" s="3243"/>
      <c r="D6" s="1042"/>
      <c r="E6" s="1702"/>
      <c r="F6" s="4787"/>
      <c r="G6" s="1702"/>
      <c r="H6" s="4787"/>
      <c r="I6" s="4973"/>
      <c r="J6" s="4787"/>
      <c r="K6" s="1702"/>
      <c r="L6" s="4787"/>
      <c r="M6" s="4787"/>
      <c r="N6" s="748"/>
      <c r="O6" s="1702"/>
      <c r="P6" s="4787"/>
      <c r="Q6" s="4787"/>
      <c r="R6" s="748"/>
      <c r="S6" s="4787"/>
      <c r="T6" s="4787"/>
      <c r="U6" s="4787"/>
      <c r="V6" s="748"/>
      <c r="W6" s="4787"/>
      <c r="X6" s="4787"/>
      <c r="Y6" s="4787"/>
      <c r="Z6" s="748"/>
      <c r="AA6" s="4787"/>
      <c r="AB6" s="748"/>
      <c r="AC6" s="4787"/>
      <c r="AD6" s="4787"/>
      <c r="AE6" s="4787"/>
      <c r="AF6" s="748"/>
      <c r="AG6" s="4787"/>
      <c r="AH6" s="4787"/>
      <c r="AI6" s="4787"/>
      <c r="AJ6" s="748"/>
      <c r="AK6" s="4787"/>
      <c r="AL6" s="4787"/>
      <c r="AM6" s="4787"/>
      <c r="AN6" s="748"/>
      <c r="AO6" s="4787"/>
      <c r="AP6" s="748"/>
      <c r="AQ6" s="4787"/>
      <c r="AR6" s="4787"/>
      <c r="AS6" s="4787"/>
      <c r="AT6" s="748"/>
      <c r="AU6" s="4787"/>
      <c r="AV6" s="4787"/>
      <c r="AW6" s="4787"/>
      <c r="AX6" s="748"/>
      <c r="AY6" s="5035"/>
      <c r="AZ6" s="5035"/>
      <c r="BA6" s="4787"/>
      <c r="BB6" s="748"/>
      <c r="BC6" s="4787"/>
      <c r="BD6" s="748"/>
      <c r="BE6" s="4787"/>
      <c r="BF6" s="4974"/>
      <c r="BG6" s="4975"/>
      <c r="BH6" s="4974"/>
      <c r="BI6" s="4974"/>
      <c r="BJ6" s="4974"/>
      <c r="BK6" s="4974"/>
      <c r="BL6" s="4974"/>
      <c r="BM6" s="2303"/>
      <c r="BN6" s="2303"/>
      <c r="BO6" s="2304"/>
      <c r="BP6" s="2244"/>
      <c r="BR6" s="2285"/>
      <c r="BS6" s="2285"/>
    </row>
    <row r="7" spans="1:72" ht="18.75" x14ac:dyDescent="0.25">
      <c r="B7" s="987" t="s">
        <v>356</v>
      </c>
      <c r="C7" s="2385" t="s">
        <v>51</v>
      </c>
      <c r="D7" s="5290">
        <v>92</v>
      </c>
      <c r="E7" s="3181">
        <f>+$D$7</f>
        <v>92</v>
      </c>
      <c r="F7" s="4857">
        <f>'COKE OVENS'!F142</f>
        <v>90.000178855681355</v>
      </c>
      <c r="G7" s="3181">
        <f>+$D$7</f>
        <v>92</v>
      </c>
      <c r="H7" s="4857">
        <f>'COKE OVENS'!H142</f>
        <v>90.000692592720853</v>
      </c>
      <c r="I7" s="3189">
        <f>+$D$7</f>
        <v>92</v>
      </c>
      <c r="J7" s="4858">
        <f>'COKE OVENS'!J142</f>
        <v>90.000439889147927</v>
      </c>
      <c r="K7" s="3181">
        <f>+$D$7</f>
        <v>92</v>
      </c>
      <c r="L7" s="4857">
        <f>'COKE OVENS'!L142</f>
        <v>90</v>
      </c>
      <c r="M7" s="484">
        <f>+$D$7</f>
        <v>92</v>
      </c>
      <c r="N7" s="484">
        <f>'COKE OVENS'!N142</f>
        <v>90.000294852697493</v>
      </c>
      <c r="O7" s="3181">
        <f>+$D$7</f>
        <v>92</v>
      </c>
      <c r="P7" s="4857">
        <f>'COKE OVENS'!P142</f>
        <v>89.991702365850855</v>
      </c>
      <c r="Q7" s="4858">
        <f>+$D$7</f>
        <v>92</v>
      </c>
      <c r="R7" s="4858">
        <f>'COKE OVENS'!R142</f>
        <v>89.998086536437881</v>
      </c>
      <c r="S7" s="4859">
        <f>+$D$7</f>
        <v>92</v>
      </c>
      <c r="T7" s="4859">
        <f>'COKE OVENS'!T142</f>
        <v>89.806451612903231</v>
      </c>
      <c r="U7" s="4858">
        <f>+$D$7</f>
        <v>92</v>
      </c>
      <c r="V7" s="4858">
        <f>'COKE OVENS'!V142</f>
        <v>89.95805152594906</v>
      </c>
      <c r="W7" s="4859">
        <f>+$D$7</f>
        <v>92</v>
      </c>
      <c r="X7" s="4859">
        <f>'COKE OVENS'!X142</f>
        <v>90.000070704042159</v>
      </c>
      <c r="Y7" s="484">
        <f>+$D$7</f>
        <v>92</v>
      </c>
      <c r="Z7" s="484">
        <f>'COKE OVENS'!Z142</f>
        <v>89.931385979455456</v>
      </c>
      <c r="AA7" s="595">
        <f>+$D$7</f>
        <v>92</v>
      </c>
      <c r="AB7" s="594">
        <f>'COKE OVENS'!AB142</f>
        <v>89.965097285652377</v>
      </c>
      <c r="AC7" s="4859">
        <f>+$D$7</f>
        <v>92</v>
      </c>
      <c r="AD7" s="4859">
        <f>'COKE OVENS'!AD142</f>
        <v>90.000000000000014</v>
      </c>
      <c r="AE7" s="4858">
        <f>+$D$7</f>
        <v>92</v>
      </c>
      <c r="AF7" s="4858">
        <f>'COKE OVENS'!AF142</f>
        <v>89.970188506127045</v>
      </c>
      <c r="AG7" s="4859">
        <f>+$D$7</f>
        <v>92</v>
      </c>
      <c r="AH7" s="4859">
        <f>'COKE OVENS'!AH142</f>
        <v>91.200000000000017</v>
      </c>
      <c r="AI7" s="4858">
        <f>+$D$7</f>
        <v>92</v>
      </c>
      <c r="AJ7" s="4858">
        <f>'COKE OVENS'!AJ142</f>
        <v>90.121011239235344</v>
      </c>
      <c r="AK7" s="4859">
        <f>+$D$7</f>
        <v>92</v>
      </c>
      <c r="AL7" s="4859">
        <f>'COKE OVENS'!AL142</f>
        <v>90</v>
      </c>
      <c r="AM7" s="484">
        <f>+$D$7</f>
        <v>92</v>
      </c>
      <c r="AN7" s="484">
        <f>'COKE OVENS'!AN142</f>
        <v>90.391381515967765</v>
      </c>
      <c r="AO7" s="4858">
        <f>+$D$7</f>
        <v>92</v>
      </c>
      <c r="AP7" s="4858">
        <f>'COKE OVENS'!AP142</f>
        <v>90.107527325132594</v>
      </c>
      <c r="AQ7" s="4859">
        <f>+$D$7</f>
        <v>92</v>
      </c>
      <c r="AR7" s="4859">
        <f>'COKE OVENS'!AR142</f>
        <v>90.645161290322577</v>
      </c>
      <c r="AS7" s="4858">
        <f>+$D$7</f>
        <v>92</v>
      </c>
      <c r="AT7" s="4858">
        <f>'COKE OVENS'!AT142</f>
        <v>90.161428228067905</v>
      </c>
      <c r="AU7" s="4859">
        <f>+$D$7</f>
        <v>92</v>
      </c>
      <c r="AV7" s="4859">
        <f>'COKE OVENS'!AV142</f>
        <v>95</v>
      </c>
      <c r="AW7" s="4858">
        <f>+$D$7</f>
        <v>92</v>
      </c>
      <c r="AX7" s="4858">
        <f>'COKE OVENS'!AX142</f>
        <v>90.576315221010987</v>
      </c>
      <c r="AY7" s="4859">
        <f>+$D$7</f>
        <v>92</v>
      </c>
      <c r="AZ7" s="4859">
        <f>'COKE OVENS'!AZ142</f>
        <v>94.903690431067147</v>
      </c>
      <c r="BA7" s="485">
        <f>+$D$7</f>
        <v>92</v>
      </c>
      <c r="BB7" s="485">
        <f>'COKE OVENS'!BB142</f>
        <v>93.483990769664388</v>
      </c>
      <c r="BC7" s="596">
        <f>+$D$7</f>
        <v>92</v>
      </c>
      <c r="BD7" s="596">
        <f>'COKE OVENS'!BD142</f>
        <v>91.921422917093338</v>
      </c>
      <c r="BE7" s="4853">
        <f>+$D$7</f>
        <v>92</v>
      </c>
      <c r="BF7" s="4853">
        <f>'COKE OVENS'!BF142</f>
        <v>90.939873157833944</v>
      </c>
      <c r="BG7" s="4860">
        <v>92</v>
      </c>
      <c r="BH7" s="4861">
        <v>89.651305773130588</v>
      </c>
      <c r="BI7" s="4860">
        <v>95</v>
      </c>
      <c r="BJ7" s="4861">
        <v>93.865971705137753</v>
      </c>
      <c r="BK7" s="4860">
        <v>94.377234802612818</v>
      </c>
      <c r="BL7" s="4861">
        <v>95.478511315335126</v>
      </c>
      <c r="BM7" s="1370">
        <v>90</v>
      </c>
      <c r="BN7" s="1485">
        <v>91.425994537590384</v>
      </c>
      <c r="BO7" s="1485">
        <v>91.808305695910761</v>
      </c>
      <c r="BP7" s="648"/>
      <c r="BR7" s="2258"/>
      <c r="BS7" s="2258"/>
    </row>
    <row r="8" spans="1:72" ht="19.5" thickBot="1" x14ac:dyDescent="0.3">
      <c r="B8" s="4946" t="s">
        <v>367</v>
      </c>
      <c r="C8" s="4956" t="s">
        <v>51</v>
      </c>
      <c r="D8" s="5291">
        <v>94</v>
      </c>
      <c r="E8" s="4862">
        <f>+$D$8</f>
        <v>94</v>
      </c>
      <c r="F8" s="4863">
        <f>'COKE OVENS'!F167</f>
        <v>91.999842710104886</v>
      </c>
      <c r="G8" s="4862">
        <f>+$D$8</f>
        <v>94</v>
      </c>
      <c r="H8" s="4863">
        <f>'COKE OVENS'!H167</f>
        <v>92.000162268513819</v>
      </c>
      <c r="I8" s="4864">
        <f>+$D$8</f>
        <v>94</v>
      </c>
      <c r="J8" s="4865">
        <f>'COKE OVENS'!J167</f>
        <v>92</v>
      </c>
      <c r="K8" s="4862">
        <f>+$D$8</f>
        <v>94</v>
      </c>
      <c r="L8" s="4863">
        <f>'COKE OVENS'!L167</f>
        <v>91.333329573715787</v>
      </c>
      <c r="M8" s="4866">
        <f>+$D$8</f>
        <v>94</v>
      </c>
      <c r="N8" s="4866">
        <f>'COKE OVENS'!N167</f>
        <v>91.781708170130415</v>
      </c>
      <c r="O8" s="4862">
        <f>+$D$8</f>
        <v>94</v>
      </c>
      <c r="P8" s="4863">
        <f>'COKE OVENS'!P167</f>
        <v>92</v>
      </c>
      <c r="Q8" s="4865">
        <f>+$D$8</f>
        <v>94</v>
      </c>
      <c r="R8" s="4865">
        <f>'COKE OVENS'!R167</f>
        <v>91.838111743551536</v>
      </c>
      <c r="S8" s="4867">
        <f>+$D$8</f>
        <v>94</v>
      </c>
      <c r="T8" s="4867">
        <f>'COKE OVENS'!T167</f>
        <v>92</v>
      </c>
      <c r="U8" s="4865">
        <f>+$D$8</f>
        <v>94</v>
      </c>
      <c r="V8" s="4865">
        <f>'COKE OVENS'!V167</f>
        <v>91.871856851646641</v>
      </c>
      <c r="W8" s="4867">
        <f>+$D$8</f>
        <v>94</v>
      </c>
      <c r="X8" s="4867">
        <f>'COKE OVENS'!X167</f>
        <v>92</v>
      </c>
      <c r="Y8" s="4866">
        <f>+$D$8</f>
        <v>94</v>
      </c>
      <c r="Z8" s="4866">
        <f>'COKE OVENS'!Z167</f>
        <v>92</v>
      </c>
      <c r="AA8" s="4868">
        <f>+$D$8</f>
        <v>94</v>
      </c>
      <c r="AB8" s="4869">
        <f>'COKE OVENS'!AB167</f>
        <v>91.893529755727897</v>
      </c>
      <c r="AC8" s="4867">
        <f>+$D$8</f>
        <v>94</v>
      </c>
      <c r="AD8" s="4867">
        <f>'COKE OVENS'!AD167</f>
        <v>91.56</v>
      </c>
      <c r="AE8" s="4865">
        <f>+$D$8</f>
        <v>94</v>
      </c>
      <c r="AF8" s="4865">
        <f>'COKE OVENS'!AF167</f>
        <v>91.843133436544036</v>
      </c>
      <c r="AG8" s="4867">
        <f>+$D$8</f>
        <v>94</v>
      </c>
      <c r="AH8" s="4867">
        <f>'COKE OVENS'!AH167</f>
        <v>93.199998866524794</v>
      </c>
      <c r="AI8" s="4865">
        <f>+$D$8</f>
        <v>94</v>
      </c>
      <c r="AJ8" s="4865">
        <f>'COKE OVENS'!AJ167</f>
        <v>92.012124027009108</v>
      </c>
      <c r="AK8" s="4867">
        <f>+$D$8</f>
        <v>94</v>
      </c>
      <c r="AL8" s="4867">
        <f>'COKE OVENS'!AL167</f>
        <v>95</v>
      </c>
      <c r="AM8" s="4866">
        <f>+$D$8</f>
        <v>94</v>
      </c>
      <c r="AN8" s="4866">
        <f>'COKE OVENS'!AN167</f>
        <v>93.240812603396989</v>
      </c>
      <c r="AO8" s="4865">
        <f>+$D$8</f>
        <v>94</v>
      </c>
      <c r="AP8" s="4865">
        <f>'COKE OVENS'!AP167</f>
        <v>92.354169887526211</v>
      </c>
      <c r="AQ8" s="4867">
        <f>+$D$8</f>
        <v>94</v>
      </c>
      <c r="AR8" s="4867">
        <f>'COKE OVENS'!AR167</f>
        <v>95.649999716944279</v>
      </c>
      <c r="AS8" s="4865">
        <f>+$D$8</f>
        <v>94</v>
      </c>
      <c r="AT8" s="4865">
        <f>'COKE OVENS'!AT167</f>
        <v>92.692019731602343</v>
      </c>
      <c r="AU8" s="4867">
        <f>+$D$8</f>
        <v>94</v>
      </c>
      <c r="AV8" s="4867">
        <f>'COKE OVENS'!AV167</f>
        <v>100</v>
      </c>
      <c r="AW8" s="4865">
        <f>+$D$8</f>
        <v>94</v>
      </c>
      <c r="AX8" s="4865">
        <f>'COKE OVENS'!AX167</f>
        <v>93.332362520859263</v>
      </c>
      <c r="AY8" s="4867">
        <f>+$D$8</f>
        <v>94</v>
      </c>
      <c r="AZ8" s="4867">
        <f>'COKE OVENS'!AZ167</f>
        <v>99.838712522237159</v>
      </c>
      <c r="BA8" s="485">
        <f>+$D$8</f>
        <v>94</v>
      </c>
      <c r="BB8" s="485">
        <f>'COKE OVENS'!BB167</f>
        <v>98.464073110813771</v>
      </c>
      <c r="BC8" s="596">
        <f>+$D$8</f>
        <v>94</v>
      </c>
      <c r="BD8" s="596">
        <f>'COKE OVENS'!BD167</f>
        <v>95.827670120288417</v>
      </c>
      <c r="BE8" s="4853">
        <f>+$D$8</f>
        <v>94</v>
      </c>
      <c r="BF8" s="4853">
        <f>'COKE OVENS'!BF167</f>
        <v>93.889003787888356</v>
      </c>
      <c r="BG8" s="4870">
        <v>94</v>
      </c>
      <c r="BH8" s="4871">
        <v>92.198587038217795</v>
      </c>
      <c r="BI8" s="4870">
        <v>95</v>
      </c>
      <c r="BJ8" s="4871">
        <v>94.753433109833978</v>
      </c>
      <c r="BK8" s="4870">
        <v>94.836589147670892</v>
      </c>
      <c r="BL8" s="4871">
        <v>95.080612657941344</v>
      </c>
      <c r="BM8" s="2298">
        <v>90</v>
      </c>
      <c r="BN8" s="1498">
        <v>96.370934540963361</v>
      </c>
      <c r="BO8" s="1498">
        <v>94.117212910536992</v>
      </c>
      <c r="BP8" s="648"/>
      <c r="BR8" s="2258"/>
      <c r="BS8" s="2258"/>
    </row>
    <row r="9" spans="1:72" ht="19.5" thickBot="1" x14ac:dyDescent="0.3">
      <c r="B9" s="4997" t="s">
        <v>365</v>
      </c>
      <c r="C9" s="4957" t="s">
        <v>51</v>
      </c>
      <c r="D9" s="5292">
        <v>93.289715727782763</v>
      </c>
      <c r="E9" s="1822">
        <f>+$D$9</f>
        <v>93.289715727782763</v>
      </c>
      <c r="F9" s="4872">
        <f>'COKE OVENS'!F207</f>
        <v>91.290584518568323</v>
      </c>
      <c r="G9" s="1822">
        <f>+$D$9</f>
        <v>93.289715727782763</v>
      </c>
      <c r="H9" s="4872">
        <f>'COKE OVENS'!H207</f>
        <v>91.261608125047971</v>
      </c>
      <c r="I9" s="4873">
        <f>+$D$9</f>
        <v>93.289715727782763</v>
      </c>
      <c r="J9" s="728">
        <f>'COKE OVENS'!J207</f>
        <v>91.276155291569808</v>
      </c>
      <c r="K9" s="1822">
        <f>+$D$9</f>
        <v>93.289715727782763</v>
      </c>
      <c r="L9" s="4872">
        <f>'COKE OVENS'!L207</f>
        <v>90.847480934587267</v>
      </c>
      <c r="M9" s="729">
        <f>+$D$9</f>
        <v>93.289715727782763</v>
      </c>
      <c r="N9" s="729">
        <f>'COKE OVENS'!N207</f>
        <v>91.135438045811668</v>
      </c>
      <c r="O9" s="1822">
        <f>+$D$9</f>
        <v>93.289715727782763</v>
      </c>
      <c r="P9" s="4872">
        <f>'COKE OVENS'!P207</f>
        <v>91.274767084134311</v>
      </c>
      <c r="Q9" s="728">
        <f>+$D$9</f>
        <v>93.289715727782763</v>
      </c>
      <c r="R9" s="728">
        <f>'COKE OVENS'!R207</f>
        <v>91.171369029667716</v>
      </c>
      <c r="S9" s="4874">
        <f>+$D$9</f>
        <v>93.289715727782763</v>
      </c>
      <c r="T9" s="4874">
        <f>'COKE OVENS'!T207</f>
        <v>91.203725519303589</v>
      </c>
      <c r="U9" s="728">
        <f>+$D$9</f>
        <v>93.289715727782763</v>
      </c>
      <c r="V9" s="728">
        <f>'COKE OVENS'!V207</f>
        <v>91.17811910586002</v>
      </c>
      <c r="W9" s="4874">
        <f>+$D$9</f>
        <v>93.289715727782763</v>
      </c>
      <c r="X9" s="4874">
        <f>'COKE OVENS'!X207</f>
        <v>91.279824068227327</v>
      </c>
      <c r="Y9" s="729">
        <f>+$D$9</f>
        <v>93.289715727782763</v>
      </c>
      <c r="Z9" s="729">
        <f>'COKE OVENS'!Z207</f>
        <v>91.252354671356628</v>
      </c>
      <c r="AA9" s="1823">
        <f>+$D$9</f>
        <v>93.289715727782763</v>
      </c>
      <c r="AB9" s="1823">
        <f>'COKE OVENS'!AB207</f>
        <v>91.195267081145246</v>
      </c>
      <c r="AC9" s="4874">
        <f>+$D$9</f>
        <v>93.289715727782763</v>
      </c>
      <c r="AD9" s="4874">
        <f>'COKE OVENS'!AD207</f>
        <v>91.009964775519904</v>
      </c>
      <c r="AE9" s="728">
        <f>+$D$9</f>
        <v>93.289715727782763</v>
      </c>
      <c r="AF9" s="728">
        <f>'COKE OVENS'!AF207</f>
        <v>91.167617522927685</v>
      </c>
      <c r="AG9" s="4874">
        <f>+$D$9</f>
        <v>93.289715727782763</v>
      </c>
      <c r="AH9" s="4874">
        <f>'COKE OVENS'!AH207</f>
        <v>92.486753234310569</v>
      </c>
      <c r="AI9" s="728">
        <f>+$D$9</f>
        <v>93.289715727782763</v>
      </c>
      <c r="AJ9" s="728">
        <f>'COKE OVENS'!AJ207</f>
        <v>91.331003537359393</v>
      </c>
      <c r="AK9" s="4874">
        <f>+$D$9</f>
        <v>93.289715727782763</v>
      </c>
      <c r="AL9" s="4874">
        <f>'COKE OVENS'!AL207</f>
        <v>93.234090984648759</v>
      </c>
      <c r="AM9" s="729">
        <f>+$D$9</f>
        <v>93.289715727782763</v>
      </c>
      <c r="AN9" s="729">
        <f>'COKE OVENS'!AN207</f>
        <v>92.231849630465263</v>
      </c>
      <c r="AO9" s="728">
        <f>+$D$9</f>
        <v>93.289715727782763</v>
      </c>
      <c r="AP9" s="728">
        <f>'COKE OVENS'!AP207</f>
        <v>91.546778411468694</v>
      </c>
      <c r="AQ9" s="4874">
        <f>+$D$9</f>
        <v>93.289715727782763</v>
      </c>
      <c r="AR9" s="4874">
        <f>'COKE OVENS'!AR207</f>
        <v>93.879766059333974</v>
      </c>
      <c r="AS9" s="728">
        <f>+$D$9</f>
        <v>93.289715727782763</v>
      </c>
      <c r="AT9" s="728">
        <f>'COKE OVENS'!AT207</f>
        <v>91.784043432487479</v>
      </c>
      <c r="AU9" s="4874">
        <f>+$D$9</f>
        <v>93.289715727782763</v>
      </c>
      <c r="AV9" s="4874">
        <f>'COKE OVENS'!AV207</f>
        <v>98.233175657542688</v>
      </c>
      <c r="AW9" s="728">
        <f>+$D$9</f>
        <v>93.289715727782763</v>
      </c>
      <c r="AX9" s="728">
        <f>'COKE OVENS'!AX207</f>
        <v>92.344795147378889</v>
      </c>
      <c r="AY9" s="4874">
        <f>+$D$9</f>
        <v>93.289715727782763</v>
      </c>
      <c r="AZ9" s="4874">
        <f>'COKE OVENS'!AZ207</f>
        <v>98.092815925895195</v>
      </c>
      <c r="BA9" s="3276">
        <f>+$D$9</f>
        <v>93.289715727782763</v>
      </c>
      <c r="BB9" s="3276">
        <f>'COKE OVENS'!BB207</f>
        <v>96.703012184832318</v>
      </c>
      <c r="BC9" s="3277">
        <f>+$D$9</f>
        <v>93.289715727782763</v>
      </c>
      <c r="BD9" s="3277">
        <f>'COKE OVENS'!BD207</f>
        <v>94.44540885768464</v>
      </c>
      <c r="BE9" s="5120">
        <f>+$D$9</f>
        <v>93.289715727782763</v>
      </c>
      <c r="BF9" s="5120">
        <f>'COKE OVENS'!BF207</f>
        <v>92.833390112642292</v>
      </c>
      <c r="BG9" s="4875">
        <v>93.294358974358971</v>
      </c>
      <c r="BH9" s="4876">
        <v>91.262623548364061</v>
      </c>
      <c r="BI9" s="4875">
        <v>95</v>
      </c>
      <c r="BJ9" s="4876">
        <v>94.439236826010074</v>
      </c>
      <c r="BK9" s="4875">
        <v>94.673168200952773</v>
      </c>
      <c r="BL9" s="4876">
        <v>94.712020160218685</v>
      </c>
      <c r="BM9" s="1365">
        <v>90</v>
      </c>
      <c r="BN9" s="1486">
        <v>94.617132782598674</v>
      </c>
      <c r="BO9" s="1486">
        <v>93.297277602628242</v>
      </c>
      <c r="BP9" s="648"/>
      <c r="BR9" s="2258"/>
      <c r="BS9" s="2258"/>
    </row>
    <row r="10" spans="1:72" ht="18.75" x14ac:dyDescent="0.25">
      <c r="B10" s="4999" t="s">
        <v>362</v>
      </c>
      <c r="C10" s="4955" t="s">
        <v>371</v>
      </c>
      <c r="D10" s="5293">
        <v>380.42</v>
      </c>
      <c r="E10" s="4877">
        <v>380</v>
      </c>
      <c r="F10" s="4778">
        <f>+('B-FCE'!F22/'Maj Production Summ'!F$17)*1000</f>
        <v>394.49</v>
      </c>
      <c r="G10" s="4877">
        <v>382</v>
      </c>
      <c r="H10" s="4778">
        <f>+('B-FCE'!H22/'Maj Production Summ'!H$17)*1000</f>
        <v>404.39415236503544</v>
      </c>
      <c r="I10" s="4792">
        <f>+('B-FCE'!I22/'Maj Production Summ'!I$17)*1000</f>
        <v>380.90993071593533</v>
      </c>
      <c r="J10" s="4780">
        <f>+('B-FCE'!J22/'Maj Production Summ'!J$17)*1000</f>
        <v>398.90449331495188</v>
      </c>
      <c r="K10" s="4877">
        <v>400</v>
      </c>
      <c r="L10" s="4778">
        <f>+('B-FCE'!L22/'Maj Production Summ'!L$17)*1000</f>
        <v>415.90322036360908</v>
      </c>
      <c r="M10" s="482">
        <f>+('B-FCE'!M22/'Maj Production Summ'!M$17)*1000</f>
        <v>386.96214511041012</v>
      </c>
      <c r="N10" s="482">
        <f>+('B-FCE'!N22/'Maj Production Summ'!N$17)*1000</f>
        <v>404.64874050291189</v>
      </c>
      <c r="O10" s="4877">
        <v>387</v>
      </c>
      <c r="P10" s="4778">
        <f>+('B-FCE'!P22/'Maj Production Summ'!P$17)*1000</f>
        <v>388.83615828423478</v>
      </c>
      <c r="Q10" s="4780">
        <f>+('B-FCE'!Q22/'Maj Production Summ'!Q$17)*1000</f>
        <v>386.97250859106532</v>
      </c>
      <c r="R10" s="4780">
        <f>+('B-FCE'!R22/'Maj Production Summ'!R$17)*1000</f>
        <v>400.22493055633981</v>
      </c>
      <c r="S10" s="4778">
        <v>387</v>
      </c>
      <c r="T10" s="4778">
        <f>+('B-FCE'!T22/'Maj Production Summ'!T$17)*1000</f>
        <v>399.04896685186344</v>
      </c>
      <c r="U10" s="4780">
        <f>+('B-FCE'!U22/'Maj Production Summ'!U$17)*1000</f>
        <v>386.97841726618702</v>
      </c>
      <c r="V10" s="4780">
        <f>+('B-FCE'!V22/'Maj Production Summ'!V$17)*1000</f>
        <v>399.97194584732142</v>
      </c>
      <c r="W10" s="4778">
        <v>383</v>
      </c>
      <c r="X10" s="4778">
        <f>+('B-FCE'!X22/'Maj Production Summ'!X$17)*1000</f>
        <v>385.23412622206718</v>
      </c>
      <c r="Y10" s="482">
        <f>+('B-FCE'!Y22/'Maj Production Summ'!Y$17)*1000</f>
        <v>385.6929577464789</v>
      </c>
      <c r="Z10" s="482">
        <f>+('B-FCE'!Z22/'Maj Production Summ'!Z$17)*1000</f>
        <v>391.11512607393729</v>
      </c>
      <c r="AA10" s="1495">
        <f>+('B-FCE'!AA22/'Maj Production Summ'!AA$17)*1000</f>
        <v>386.29166666666663</v>
      </c>
      <c r="AB10" s="1495">
        <f>+('B-FCE'!AB22/'Maj Production Summ'!AB$17)*1000</f>
        <v>397.46332657256869</v>
      </c>
      <c r="AC10" s="4778">
        <v>375</v>
      </c>
      <c r="AD10" s="4778">
        <f>+('B-FCE'!AD22/'Maj Production Summ'!AD$17)*1000</f>
        <v>384.15685081828423</v>
      </c>
      <c r="AE10" s="4780">
        <f>+('B-FCE'!AE22/'Maj Production Summ'!AE$17)*1000</f>
        <v>384.54465408805032</v>
      </c>
      <c r="AF10" s="4780">
        <f>+('B-FCE'!AF22/'Maj Production Summ'!AF$17)*1000</f>
        <v>395.42625387662707</v>
      </c>
      <c r="AG10" s="4778">
        <v>375</v>
      </c>
      <c r="AH10" s="4778">
        <f>+('B-FCE'!AH22/'Maj Production Summ'!AH$17)*1000</f>
        <v>410.63355556202515</v>
      </c>
      <c r="AI10" s="4780">
        <f>+('B-FCE'!AI22/'Maj Production Summ'!AI$17)*1000</f>
        <v>383.30196936542671</v>
      </c>
      <c r="AJ10" s="4780">
        <f>+('B-FCE'!AJ22/'Maj Production Summ'!AJ$17)*1000</f>
        <v>397.1718430591755</v>
      </c>
      <c r="AK10" s="4778">
        <v>375</v>
      </c>
      <c r="AL10" s="4778">
        <f>+('B-FCE'!AL22/'Maj Production Summ'!AL$17)*1000</f>
        <v>390.56687730349796</v>
      </c>
      <c r="AM10" s="482">
        <f>+('B-FCE'!AM22/'Maj Production Summ'!AM$17)*1000</f>
        <v>375</v>
      </c>
      <c r="AN10" s="482">
        <f>+('B-FCE'!AN22/'Maj Production Summ'!AN$17)*1000</f>
        <v>394.36837392954493</v>
      </c>
      <c r="AO10" s="4780">
        <f>+('B-FCE'!AO22/'Maj Production Summ'!AO$17)*1000</f>
        <v>382.313734939759</v>
      </c>
      <c r="AP10" s="4780">
        <f>+('B-FCE'!AP22/'Maj Production Summ'!AP$17)*1000</f>
        <v>396.42699045141512</v>
      </c>
      <c r="AQ10" s="4778">
        <v>375</v>
      </c>
      <c r="AR10" s="4778">
        <f>+('B-FCE'!AR22/'Maj Production Summ'!AR$17)*1000</f>
        <v>372.42692555473548</v>
      </c>
      <c r="AS10" s="4780">
        <f>+('B-FCE'!AS22/'Maj Production Summ'!AS$17)*1000</f>
        <v>381.53574504737298</v>
      </c>
      <c r="AT10" s="4780">
        <f>+('B-FCE'!AT22/'Maj Production Summ'!AT$17)*1000</f>
        <v>393.95352719230874</v>
      </c>
      <c r="AU10" s="4778">
        <v>375</v>
      </c>
      <c r="AV10" s="4778">
        <f>+('B-FCE'!AV22/'Maj Production Summ'!AV$17)*1000</f>
        <v>371.85846041167815</v>
      </c>
      <c r="AW10" s="4780">
        <f>+('B-FCE'!AW22/'Maj Production Summ'!AW$17)*1000</f>
        <v>380.94670846394985</v>
      </c>
      <c r="AX10" s="4780">
        <f>+('B-FCE'!AX22/'Maj Production Summ'!AX$17)*1000</f>
        <v>391.90788896861159</v>
      </c>
      <c r="AY10" s="5034">
        <v>375</v>
      </c>
      <c r="AZ10" s="5034">
        <f>+('B-FCE'!AZ22/'Maj Production Summ'!AZ$17)*1000</f>
        <v>375.73761570659087</v>
      </c>
      <c r="BA10" s="5099">
        <f>+('B-FCE'!BA22/'Maj Production Summ'!BA$17)*1000</f>
        <v>375</v>
      </c>
      <c r="BB10" s="5099">
        <f>+('B-FCE'!BB22/'Maj Production Summ'!BB$17)*1000</f>
        <v>373.35400664997593</v>
      </c>
      <c r="BC10" s="595">
        <f>+('B-FCE'!BC22/'Maj Production Summ'!BC$17)*1000</f>
        <v>375</v>
      </c>
      <c r="BD10" s="595">
        <f>+('B-FCE'!BD22/'Maj Production Summ'!BD$17)*1000</f>
        <v>383.70856756300009</v>
      </c>
      <c r="BE10" s="5098">
        <f>+('B-FCE'!BE22/'Maj Production Summ'!BE$17)*1000</f>
        <v>380.41999999999996</v>
      </c>
      <c r="BF10" s="1874">
        <f>+('B-FCE'!BF22/'Maj Production Summ'!BF$17)*1000</f>
        <v>390.51223594984998</v>
      </c>
      <c r="BG10" s="4878">
        <v>389.92559291044773</v>
      </c>
      <c r="BH10" s="4879">
        <v>400.04040555458937</v>
      </c>
      <c r="BI10" s="4878">
        <v>377.88521420805364</v>
      </c>
      <c r="BJ10" s="4879">
        <v>396.71458967036409</v>
      </c>
      <c r="BK10" s="4878">
        <v>373.8786504081541</v>
      </c>
      <c r="BL10" s="4879">
        <v>423.66105089932233</v>
      </c>
      <c r="BM10" s="1487">
        <v>370.47898148148147</v>
      </c>
      <c r="BN10" s="1367">
        <v>381.58770716890342</v>
      </c>
      <c r="BO10" s="1367">
        <v>388.39310872643784</v>
      </c>
      <c r="BP10" s="648"/>
      <c r="BR10" s="2258"/>
      <c r="BS10" s="2258"/>
    </row>
    <row r="11" spans="1:72" ht="18.75" x14ac:dyDescent="0.25">
      <c r="B11" s="987" t="s">
        <v>363</v>
      </c>
      <c r="C11" s="2385" t="s">
        <v>371</v>
      </c>
      <c r="D11" s="5294">
        <v>32.204285714285717</v>
      </c>
      <c r="E11" s="888">
        <v>30</v>
      </c>
      <c r="F11" s="4782">
        <f>+('B-FCE'!F23/'Maj Production Summ'!F$17)*1000</f>
        <v>37.49</v>
      </c>
      <c r="G11" s="888">
        <v>33</v>
      </c>
      <c r="H11" s="4782">
        <f>+('B-FCE'!H23/'Maj Production Summ'!H$17)*1000</f>
        <v>40.719195341041377</v>
      </c>
      <c r="I11" s="423">
        <f>+('B-FCE'!I23/'Maj Production Summ'!I$17)*1000</f>
        <v>31.364896073903004</v>
      </c>
      <c r="J11" s="4783">
        <f>+('B-FCE'!J23/'Maj Production Summ'!J$17)*1000</f>
        <v>38.929321682492088</v>
      </c>
      <c r="K11" s="888">
        <v>40</v>
      </c>
      <c r="L11" s="4782">
        <f>+('B-FCE'!L23/'Maj Production Summ'!L$17)*1000</f>
        <v>42.650207863667681</v>
      </c>
      <c r="M11" s="4785">
        <f>+('B-FCE'!M23/'Maj Production Summ'!M$17)*1000</f>
        <v>34.102523659305994</v>
      </c>
      <c r="N11" s="4785">
        <f>+('B-FCE'!N23/'Maj Production Summ'!N$17)*1000</f>
        <v>40.18669171506906</v>
      </c>
      <c r="O11" s="888">
        <v>40</v>
      </c>
      <c r="P11" s="4782">
        <f>+('B-FCE'!P23/'Maj Production Summ'!P$17)*1000</f>
        <v>48.366092434404997</v>
      </c>
      <c r="Q11" s="4783">
        <f>+('B-FCE'!Q23/'Maj Production Summ'!Q$17)*1000</f>
        <v>35.717067583046962</v>
      </c>
      <c r="R11" s="4783">
        <f>+('B-FCE'!R23/'Maj Production Summ'!R$17)*1000</f>
        <v>42.475003248175796</v>
      </c>
      <c r="S11" s="4782">
        <v>33</v>
      </c>
      <c r="T11" s="4782">
        <f>+('B-FCE'!T23/'Maj Production Summ'!T$17)*1000</f>
        <v>51.637359801901916</v>
      </c>
      <c r="U11" s="4783">
        <f>+('B-FCE'!U23/'Maj Production Summ'!U$17)*1000</f>
        <v>35.133093525179852</v>
      </c>
      <c r="V11" s="4783">
        <f>+('B-FCE'!V23/'Maj Production Summ'!V$17)*1000</f>
        <v>44.446098187452776</v>
      </c>
      <c r="W11" s="4782">
        <v>32</v>
      </c>
      <c r="X11" s="4782">
        <f>+('B-FCE'!X23/'Maj Production Summ'!X$17)*1000</f>
        <v>50.589062499999997</v>
      </c>
      <c r="Y11" s="4785">
        <f>+('B-FCE'!Y23/'Maj Production Summ'!Y$17)*1000</f>
        <v>35.029577464788737</v>
      </c>
      <c r="Z11" s="4785">
        <f>+('B-FCE'!Z23/'Maj Production Summ'!Z$17)*1000</f>
        <v>50.17865138667338</v>
      </c>
      <c r="AA11" s="595">
        <f>+('B-FCE'!AA23/'Maj Production Summ'!AA$17)*1000</f>
        <v>34.592261904761905</v>
      </c>
      <c r="AB11" s="595">
        <f>+('B-FCE'!AB23/'Maj Production Summ'!AB$17)*1000</f>
        <v>45.491731739119224</v>
      </c>
      <c r="AC11" s="4782">
        <v>30</v>
      </c>
      <c r="AD11" s="4782">
        <f>+('B-FCE'!AD23/'Maj Production Summ'!AD$17)*1000</f>
        <v>49.194103093122465</v>
      </c>
      <c r="AE11" s="4783">
        <f>+('B-FCE'!AE23/'Maj Production Summ'!AE$17)*1000</f>
        <v>33.881761006289302</v>
      </c>
      <c r="AF11" s="4783">
        <f>+('B-FCE'!AF23/'Maj Production Summ'!AF$17)*1000</f>
        <v>46.058523407683154</v>
      </c>
      <c r="AG11" s="4782">
        <v>30</v>
      </c>
      <c r="AH11" s="4782">
        <f>+('B-FCE'!AH23/'Maj Production Summ'!AH$17)*1000</f>
        <v>50.76057041932323</v>
      </c>
      <c r="AI11" s="4783">
        <f>+('B-FCE'!AI23/'Maj Production Summ'!AI$17)*1000</f>
        <v>33.376367614879648</v>
      </c>
      <c r="AJ11" s="4783">
        <f>+('B-FCE'!AJ23/'Maj Production Summ'!AJ$17)*1000</f>
        <v>46.598253766766817</v>
      </c>
      <c r="AK11" s="4782">
        <v>30</v>
      </c>
      <c r="AL11" s="4782">
        <f>+('B-FCE'!AL23/'Maj Production Summ'!AL$17)*1000</f>
        <v>51.847824419938078</v>
      </c>
      <c r="AM11" s="4785">
        <f>+('B-FCE'!AM23/'Maj Production Summ'!AM$17)*1000</f>
        <v>30</v>
      </c>
      <c r="AN11" s="4785">
        <f>+('B-FCE'!AN23/'Maj Production Summ'!AN$17)*1000</f>
        <v>50.564268476450032</v>
      </c>
      <c r="AO11" s="4783">
        <f>+('B-FCE'!AO23/'Maj Production Summ'!AO$17)*1000</f>
        <v>32.974457831325296</v>
      </c>
      <c r="AP11" s="4783">
        <f>+('B-FCE'!AP23/'Maj Production Summ'!AP$17)*1000</f>
        <v>47.190256289607461</v>
      </c>
      <c r="AQ11" s="4782">
        <v>30</v>
      </c>
      <c r="AR11" s="4782">
        <f>+('B-FCE'!AR23/'Maj Production Summ'!AR$17)*1000</f>
        <v>53.092167644625192</v>
      </c>
      <c r="AS11" s="4783">
        <f>+('B-FCE'!AS23/'Maj Production Summ'!AS$17)*1000</f>
        <v>32.658053402239446</v>
      </c>
      <c r="AT11" s="4783">
        <f>+('B-FCE'!AT23/'Maj Production Summ'!AT$17)*1000</f>
        <v>47.79851134883269</v>
      </c>
      <c r="AU11" s="4782">
        <v>30</v>
      </c>
      <c r="AV11" s="4782">
        <f>+('B-FCE'!AV23/'Maj Production Summ'!AV$17)*1000</f>
        <v>44.050116594671024</v>
      </c>
      <c r="AW11" s="4783">
        <f>+('B-FCE'!AW23/'Maj Production Summ'!AW$17)*1000</f>
        <v>32.418495297805642</v>
      </c>
      <c r="AX11" s="4783">
        <f>+('B-FCE'!AX23/'Maj Production Summ'!AX$17)*1000</f>
        <v>47.451471909542967</v>
      </c>
      <c r="AY11" s="5032">
        <v>30</v>
      </c>
      <c r="AZ11" s="5032">
        <f>+('B-FCE'!AZ23/'Maj Production Summ'!AZ$17)*1000</f>
        <v>45.244039458071008</v>
      </c>
      <c r="BA11" s="5099">
        <f>+('B-FCE'!BA23/'Maj Production Summ'!BA$17)*1000</f>
        <v>30</v>
      </c>
      <c r="BB11" s="5099">
        <f>+('B-FCE'!BB23/'Maj Production Summ'!BB$17)*1000</f>
        <v>47.466022349596074</v>
      </c>
      <c r="BC11" s="595">
        <f>+('B-FCE'!BC23/'Maj Production Summ'!BC$17)*1000</f>
        <v>30</v>
      </c>
      <c r="BD11" s="595">
        <f>+('B-FCE'!BD23/'Maj Production Summ'!BD$17)*1000</f>
        <v>48.99264353296337</v>
      </c>
      <c r="BE11" s="5098">
        <f>+('B-FCE'!BE23/'Maj Production Summ'!BE$17)*1000</f>
        <v>32.20428571428571</v>
      </c>
      <c r="BF11" s="1874">
        <f>+('B-FCE'!BF23/'Maj Production Summ'!BF$17)*1000</f>
        <v>47.260948860569819</v>
      </c>
      <c r="BG11" s="4860">
        <v>30</v>
      </c>
      <c r="BH11" s="4879">
        <v>36.610035455154154</v>
      </c>
      <c r="BI11" s="4860">
        <v>23.75142504193121</v>
      </c>
      <c r="BJ11" s="4879">
        <v>37.043769455668603</v>
      </c>
      <c r="BK11" s="4860">
        <v>34.857516027392144</v>
      </c>
      <c r="BL11" s="4879">
        <v>41.208946109466851</v>
      </c>
      <c r="BM11" s="1370">
        <v>25</v>
      </c>
      <c r="BN11" s="1367">
        <v>44.993877243288374</v>
      </c>
      <c r="BO11" s="1367">
        <v>29.180384193772984</v>
      </c>
      <c r="BP11" s="648"/>
      <c r="BR11" s="2258"/>
      <c r="BS11" s="2258"/>
    </row>
    <row r="12" spans="1:72" ht="19.5" thickBot="1" x14ac:dyDescent="0.3">
      <c r="B12" s="4946" t="s">
        <v>364</v>
      </c>
      <c r="C12" s="4956" t="s">
        <v>371</v>
      </c>
      <c r="D12" s="5295">
        <v>139.64750000000001</v>
      </c>
      <c r="E12" s="4880">
        <v>140</v>
      </c>
      <c r="F12" s="4777">
        <f>+('B-FCE'!F24/'Maj Production Summ'!F$17)*1000</f>
        <v>129.13437344899768</v>
      </c>
      <c r="G12" s="4880">
        <v>135</v>
      </c>
      <c r="H12" s="4777">
        <f>+('B-FCE'!H24/'Maj Production Summ'!H$17)*1000</f>
        <v>124.44230481272233</v>
      </c>
      <c r="I12" s="4881">
        <f>+('B-FCE'!I24/'Maj Production Summ'!I$17)*1000</f>
        <v>137.72517321016167</v>
      </c>
      <c r="J12" s="4779">
        <f>+('B-FCE'!J24/'Maj Production Summ'!J$17)*1000</f>
        <v>127.04301773629112</v>
      </c>
      <c r="K12" s="4880">
        <v>125</v>
      </c>
      <c r="L12" s="4777">
        <f>+('B-FCE'!L24/'Maj Production Summ'!L$17)*1000</f>
        <v>111.23054353888485</v>
      </c>
      <c r="M12" s="4882">
        <f>+('B-FCE'!M24/'Maj Production Summ'!M$17)*1000</f>
        <v>133.69085173501577</v>
      </c>
      <c r="N12" s="4882">
        <f>+('B-FCE'!N24/'Maj Production Summ'!N$17)*1000</f>
        <v>121.69963171784707</v>
      </c>
      <c r="O12" s="4880">
        <v>132</v>
      </c>
      <c r="P12" s="4777">
        <f>+('B-FCE'!P24/'Maj Production Summ'!P$17)*1000</f>
        <v>126.53245886934006</v>
      </c>
      <c r="Q12" s="4779">
        <f>+('B-FCE'!Q24/'Maj Production Summ'!Q$17)*1000</f>
        <v>133.22794959908362</v>
      </c>
      <c r="R12" s="4779">
        <f>+('B-FCE'!R24/'Maj Production Summ'!R$17)*1000</f>
        <v>123.0516884867653</v>
      </c>
      <c r="S12" s="4777">
        <v>135</v>
      </c>
      <c r="T12" s="4777">
        <f>+('B-FCE'!T24/'Maj Production Summ'!T$17)*1000</f>
        <v>122.95134527748297</v>
      </c>
      <c r="U12" s="4779">
        <f>+('B-FCE'!U24/'Maj Production Summ'!U$17)*1000</f>
        <v>133.60881294964028</v>
      </c>
      <c r="V12" s="4779">
        <f>+('B-FCE'!V24/'Maj Production Summ'!V$17)*1000</f>
        <v>123.03010168310324</v>
      </c>
      <c r="W12" s="4777">
        <v>135</v>
      </c>
      <c r="X12" s="4777">
        <f>+('B-FCE'!X24/'Maj Production Summ'!X$17)*1000</f>
        <v>133.70807437150839</v>
      </c>
      <c r="Y12" s="4882">
        <f>+('B-FCE'!Y24/'Maj Production Summ'!Y$17)*1000</f>
        <v>133.99014084507041</v>
      </c>
      <c r="Z12" s="4882">
        <f>+('B-FCE'!Z24/'Maj Production Summ'!Z$17)*1000</f>
        <v>127.62890913161503</v>
      </c>
      <c r="AA12" s="4868">
        <f>+('B-FCE'!AA24/'Maj Production Summ'!AA$17)*1000</f>
        <v>133.84895833333331</v>
      </c>
      <c r="AB12" s="4868">
        <f>+('B-FCE'!AB24/'Maj Production Summ'!AB$17)*1000</f>
        <v>124.84766824196619</v>
      </c>
      <c r="AC12" s="4777">
        <v>145</v>
      </c>
      <c r="AD12" s="4777">
        <f>+('B-FCE'!AD24/'Maj Production Summ'!AD$17)*1000</f>
        <v>132.87580657093304</v>
      </c>
      <c r="AE12" s="4779">
        <f>+('B-FCE'!AE24/'Maj Production Summ'!AE$17)*1000</f>
        <v>135.57421383647801</v>
      </c>
      <c r="AF12" s="4779">
        <f>+('B-FCE'!AF24/'Maj Production Summ'!AF$17)*1000</f>
        <v>126.07668648024125</v>
      </c>
      <c r="AG12" s="4777">
        <v>145</v>
      </c>
      <c r="AH12" s="4777">
        <f>+('B-FCE'!AH24/'Maj Production Summ'!AH$17)*1000</f>
        <v>112.08720777897466</v>
      </c>
      <c r="AI12" s="4779">
        <f>+('B-FCE'!AI24/'Maj Production Summ'!AI$17)*1000</f>
        <v>136.80142231947485</v>
      </c>
      <c r="AJ12" s="4779">
        <f>+('B-FCE'!AJ24/'Maj Production Summ'!AJ$17)*1000</f>
        <v>124.4708866351661</v>
      </c>
      <c r="AK12" s="4777">
        <v>145</v>
      </c>
      <c r="AL12" s="4777">
        <f>+('B-FCE'!AL24/'Maj Production Summ'!AL$17)*1000</f>
        <v>120.35507314010134</v>
      </c>
      <c r="AM12" s="4882">
        <f>+('B-FCE'!AM24/'Maj Production Summ'!AM$17)*1000</f>
        <v>145</v>
      </c>
      <c r="AN12" s="4882">
        <f>+('B-FCE'!AN24/'Maj Production Summ'!AN$17)*1000</f>
        <v>122.33628813287436</v>
      </c>
      <c r="AO12" s="4779">
        <f>+('B-FCE'!AO24/'Maj Production Summ'!AO$17)*1000</f>
        <v>137.77734939759037</v>
      </c>
      <c r="AP12" s="4779">
        <f>+('B-FCE'!AP24/'Maj Production Summ'!AP$17)*1000</f>
        <v>124.00673972990479</v>
      </c>
      <c r="AQ12" s="4777">
        <v>145</v>
      </c>
      <c r="AR12" s="4777">
        <f>+('B-FCE'!AR24/'Maj Production Summ'!AR$17)*1000</f>
        <v>132.05397823547727</v>
      </c>
      <c r="AS12" s="4779">
        <f>+('B-FCE'!AS24/'Maj Production Summ'!AS$17)*1000</f>
        <v>138.54565030146426</v>
      </c>
      <c r="AT12" s="4779">
        <f>+('B-FCE'!AT24/'Maj Production Summ'!AT$17)*1000</f>
        <v>124.83609368650821</v>
      </c>
      <c r="AU12" s="4777">
        <v>145</v>
      </c>
      <c r="AV12" s="4777">
        <f>+('B-FCE'!AV24/'Maj Production Summ'!AV$17)*1000</f>
        <v>134.28032417141324</v>
      </c>
      <c r="AW12" s="4779">
        <f>+('B-FCE'!AW24/'Maj Production Summ'!AW$17)*1000</f>
        <v>139.12735109717869</v>
      </c>
      <c r="AX12" s="4779">
        <f>+('B-FCE'!AX24/'Maj Production Summ'!AX$17)*1000</f>
        <v>125.71047343222882</v>
      </c>
      <c r="AY12" s="5033">
        <v>145</v>
      </c>
      <c r="AZ12" s="5033">
        <f>+('B-FCE'!AZ24/'Maj Production Summ'!AZ$17)*1000</f>
        <v>128.40564937257341</v>
      </c>
      <c r="BA12" s="5099">
        <f>+('B-FCE'!BA24/'Maj Production Summ'!BA$17)*1000</f>
        <v>145</v>
      </c>
      <c r="BB12" s="5099">
        <f>+('B-FCE'!BB24/'Maj Production Summ'!BB$17)*1000</f>
        <v>131.56030086160121</v>
      </c>
      <c r="BC12" s="595">
        <f>+('B-FCE'!BC24/'Maj Production Summ'!BC$17)*1000</f>
        <v>145</v>
      </c>
      <c r="BD12" s="595">
        <f>+('B-FCE'!BD24/'Maj Production Summ'!BD$17)*1000</f>
        <v>127.0152864725659</v>
      </c>
      <c r="BE12" s="5098">
        <f>+('B-FCE'!BE24/'Maj Production Summ'!BE$17)*1000</f>
        <v>139.64750000000001</v>
      </c>
      <c r="BF12" s="1874">
        <f>+('B-FCE'!BF24/'Maj Production Summ'!BF$17)*1000</f>
        <v>125.94309352319971</v>
      </c>
      <c r="BG12" s="4883">
        <v>129.6457817164179</v>
      </c>
      <c r="BH12" s="4884">
        <v>122.58808331992087</v>
      </c>
      <c r="BI12" s="4883">
        <v>133.64291547787624</v>
      </c>
      <c r="BJ12" s="4884">
        <v>118.07599367903838</v>
      </c>
      <c r="BK12" s="4883">
        <v>128.5773179329438</v>
      </c>
      <c r="BL12" s="4884">
        <v>89.175352805191892</v>
      </c>
      <c r="BM12" s="2299">
        <v>139.85351851851851</v>
      </c>
      <c r="BN12" s="1499">
        <v>118.98027062075417</v>
      </c>
      <c r="BO12" s="1499">
        <v>123.03826485628637</v>
      </c>
      <c r="BP12" s="648"/>
      <c r="BR12" s="2258"/>
      <c r="BS12" s="2258"/>
    </row>
    <row r="13" spans="1:72" ht="19.5" thickBot="1" x14ac:dyDescent="0.3">
      <c r="B13" s="4798" t="s">
        <v>245</v>
      </c>
      <c r="C13" s="4958" t="s">
        <v>371</v>
      </c>
      <c r="D13" s="5296">
        <f t="shared" ref="D13:X13" si="0">SUM(D10:D12)</f>
        <v>552.27178571428578</v>
      </c>
      <c r="E13" s="4885">
        <f t="shared" si="0"/>
        <v>550</v>
      </c>
      <c r="F13" s="4886">
        <f t="shared" si="0"/>
        <v>561.11437344899764</v>
      </c>
      <c r="G13" s="4885">
        <f t="shared" ref="G13:H13" si="1">SUM(G10:G12)</f>
        <v>550</v>
      </c>
      <c r="H13" s="4886">
        <f t="shared" si="1"/>
        <v>569.55565251879909</v>
      </c>
      <c r="I13" s="4887">
        <f t="shared" si="0"/>
        <v>550</v>
      </c>
      <c r="J13" s="4888">
        <f t="shared" si="0"/>
        <v>564.876832733735</v>
      </c>
      <c r="K13" s="4885">
        <f t="shared" ref="K13:L13" si="2">SUM(K10:K12)</f>
        <v>565</v>
      </c>
      <c r="L13" s="4886">
        <f t="shared" si="2"/>
        <v>569.78397176616159</v>
      </c>
      <c r="M13" s="483">
        <f t="shared" si="0"/>
        <v>554.75552050473186</v>
      </c>
      <c r="N13" s="483">
        <f t="shared" si="0"/>
        <v>566.53506393582802</v>
      </c>
      <c r="O13" s="4885">
        <f t="shared" ref="O13:P13" si="3">SUM(O10:O12)</f>
        <v>559</v>
      </c>
      <c r="P13" s="4886">
        <f t="shared" si="3"/>
        <v>563.73470958797986</v>
      </c>
      <c r="Q13" s="4888">
        <f t="shared" si="0"/>
        <v>555.91752577319585</v>
      </c>
      <c r="R13" s="4888">
        <f t="shared" si="0"/>
        <v>565.75162229128091</v>
      </c>
      <c r="S13" s="4889">
        <f t="shared" si="0"/>
        <v>555</v>
      </c>
      <c r="T13" s="4889">
        <f t="shared" si="0"/>
        <v>573.63767193124841</v>
      </c>
      <c r="U13" s="4888">
        <f t="shared" ref="U13:V13" si="4">SUM(U10:U12)</f>
        <v>555.72032374100718</v>
      </c>
      <c r="V13" s="4888">
        <f t="shared" si="4"/>
        <v>567.44814571787742</v>
      </c>
      <c r="W13" s="4889">
        <f t="shared" si="0"/>
        <v>550</v>
      </c>
      <c r="X13" s="4889">
        <f t="shared" si="0"/>
        <v>569.5312630935756</v>
      </c>
      <c r="Y13" s="483">
        <f t="shared" ref="Y13:Z13" si="5">SUM(Y10:Y12)</f>
        <v>554.71267605633807</v>
      </c>
      <c r="Z13" s="483">
        <f t="shared" si="5"/>
        <v>568.92268659222566</v>
      </c>
      <c r="AA13" s="593">
        <f t="shared" ref="AA13:AF13" si="6">SUM(AA10:AA12)</f>
        <v>554.73288690476193</v>
      </c>
      <c r="AB13" s="593">
        <f t="shared" si="6"/>
        <v>567.80272655365411</v>
      </c>
      <c r="AC13" s="4889">
        <f t="shared" si="6"/>
        <v>550</v>
      </c>
      <c r="AD13" s="4889">
        <f t="shared" si="6"/>
        <v>566.22676048233973</v>
      </c>
      <c r="AE13" s="4888">
        <f t="shared" si="6"/>
        <v>554.00062893081758</v>
      </c>
      <c r="AF13" s="4888">
        <f t="shared" si="6"/>
        <v>567.56146376455149</v>
      </c>
      <c r="AG13" s="4889">
        <f t="shared" ref="AG13:AJ13" si="7">SUM(AG10:AG12)</f>
        <v>550</v>
      </c>
      <c r="AH13" s="4889">
        <f t="shared" si="7"/>
        <v>573.48133376032308</v>
      </c>
      <c r="AI13" s="4888">
        <f t="shared" si="7"/>
        <v>553.47975929978122</v>
      </c>
      <c r="AJ13" s="4888">
        <f t="shared" si="7"/>
        <v>568.2409834611085</v>
      </c>
      <c r="AK13" s="4889">
        <f t="shared" ref="AK13:AL13" si="8">SUM(AK10:AK12)</f>
        <v>550</v>
      </c>
      <c r="AL13" s="4889">
        <f t="shared" si="8"/>
        <v>562.76977486353735</v>
      </c>
      <c r="AM13" s="483">
        <f t="shared" ref="AM13:AT13" si="9">SUM(AM10:AM12)</f>
        <v>550</v>
      </c>
      <c r="AN13" s="483">
        <f t="shared" si="9"/>
        <v>567.26893053886931</v>
      </c>
      <c r="AO13" s="4888">
        <f t="shared" si="9"/>
        <v>553.06554216867471</v>
      </c>
      <c r="AP13" s="4888">
        <f t="shared" si="9"/>
        <v>567.62398647092743</v>
      </c>
      <c r="AQ13" s="4889">
        <f t="shared" si="9"/>
        <v>550</v>
      </c>
      <c r="AR13" s="4889">
        <f t="shared" si="9"/>
        <v>557.57307143483797</v>
      </c>
      <c r="AS13" s="4888">
        <f t="shared" si="9"/>
        <v>552.73944875107668</v>
      </c>
      <c r="AT13" s="4888">
        <f t="shared" si="9"/>
        <v>566.58813222764957</v>
      </c>
      <c r="AU13" s="4889">
        <f t="shared" ref="AU13:AX13" si="10">SUM(AU10:AU12)</f>
        <v>550</v>
      </c>
      <c r="AV13" s="4889">
        <f t="shared" si="10"/>
        <v>550.18890117776243</v>
      </c>
      <c r="AW13" s="4888">
        <f t="shared" si="10"/>
        <v>552.49255485893423</v>
      </c>
      <c r="AX13" s="4888">
        <f t="shared" si="10"/>
        <v>565.06983431038338</v>
      </c>
      <c r="AY13" s="4889">
        <f t="shared" ref="AY13:AZ13" si="11">SUM(AY10:AY12)</f>
        <v>550</v>
      </c>
      <c r="AZ13" s="4889">
        <f t="shared" si="11"/>
        <v>549.38730453723531</v>
      </c>
      <c r="BA13" s="3275">
        <f t="shared" ref="BA13:BD13" si="12">SUM(BA10:BA12)</f>
        <v>550</v>
      </c>
      <c r="BB13" s="3275">
        <f t="shared" si="12"/>
        <v>552.38032986117321</v>
      </c>
      <c r="BC13" s="4902">
        <f t="shared" si="12"/>
        <v>550</v>
      </c>
      <c r="BD13" s="4902">
        <f t="shared" si="12"/>
        <v>559.71649756852935</v>
      </c>
      <c r="BE13" s="5097">
        <f t="shared" ref="BE13:BF13" si="13">SUM(BE10:BE12)</f>
        <v>552.27178571428567</v>
      </c>
      <c r="BF13" s="5740">
        <f t="shared" si="13"/>
        <v>563.71627833361958</v>
      </c>
      <c r="BG13" s="4875">
        <v>549.57137462686569</v>
      </c>
      <c r="BH13" s="4891">
        <v>559.23852432966441</v>
      </c>
      <c r="BI13" s="4875">
        <v>535.27955472786107</v>
      </c>
      <c r="BJ13" s="4891">
        <v>551.83435280507103</v>
      </c>
      <c r="BK13" s="4875">
        <v>537.31348436848998</v>
      </c>
      <c r="BL13" s="4891">
        <v>554.04534981398115</v>
      </c>
      <c r="BM13" s="1365">
        <v>535.33249999999998</v>
      </c>
      <c r="BN13" s="1366">
        <v>545.56185503294591</v>
      </c>
      <c r="BO13" s="1366">
        <v>540.61175777649714</v>
      </c>
      <c r="BP13" s="648"/>
      <c r="BR13" s="2258"/>
      <c r="BS13" s="2258"/>
    </row>
    <row r="14" spans="1:72" ht="19.5" thickBot="1" x14ac:dyDescent="0.3">
      <c r="B14" s="4996" t="s">
        <v>369</v>
      </c>
      <c r="C14" s="4959" t="s">
        <v>378</v>
      </c>
      <c r="D14" s="5297">
        <v>2.2723639158348869</v>
      </c>
      <c r="E14" s="4892">
        <v>2.2917293817186031</v>
      </c>
      <c r="F14" s="4893">
        <v>2.2197238936696642</v>
      </c>
      <c r="G14" s="4892">
        <v>2.2190932131793861</v>
      </c>
      <c r="H14" s="4893">
        <v>2.0635912519983002</v>
      </c>
      <c r="I14" s="4894">
        <f>+('Maj Production Summ'!I17/3551)/('B-FCE'!E49+'B-FCE'!G49)</f>
        <v>2.2581015259134101</v>
      </c>
      <c r="J14" s="4895">
        <f>+('Maj Production Summ'!J17/3551)/('B-FCE'!F49+'B-FCE'!H49)</f>
        <v>2.1473089633409925</v>
      </c>
      <c r="K14" s="4892">
        <v>2.0964360587002098</v>
      </c>
      <c r="L14" s="4893">
        <v>2.0914203865399426</v>
      </c>
      <c r="M14" s="4896">
        <f>+('Maj Production Summ'!M17/3551)/('B-FCE'!E49+'B-FCE'!G49+'B-FCE'!K49)</f>
        <v>2.2042130368423432</v>
      </c>
      <c r="N14" s="4896">
        <f>+('Maj Production Summ'!N17/3551)/('B-FCE'!F49+'B-FCE'!H49+'B-FCE'!L49)</f>
        <v>2.1280918214861995</v>
      </c>
      <c r="O14" s="4892">
        <v>2.2434994837135078</v>
      </c>
      <c r="P14" s="4893">
        <v>2.2642163373700752</v>
      </c>
      <c r="Q14" s="4895">
        <f>+('Maj Production Summ'!Q17/3551)/('B-FCE'!M49+'B-FCE'!O49)</f>
        <v>2.2148309954561713</v>
      </c>
      <c r="R14" s="4895">
        <f>+('Maj Production Summ'!R17/3551)/('B-FCE'!N49+'B-FCE'!P49)</f>
        <v>2.1644975043904813</v>
      </c>
      <c r="S14" s="4897">
        <v>2.2434994837135078</v>
      </c>
      <c r="T14" s="4897">
        <v>2.1828017550712659</v>
      </c>
      <c r="U14" s="4895">
        <f>+('Maj Production Summ'!U17/3551)/('B-FCE'!Q49+'B-FCE'!S49)</f>
        <v>2.2209306738087964</v>
      </c>
      <c r="V14" s="4895">
        <f>+('Maj Production Summ'!V17/3551)/('B-FCE'!R49+'B-FCE'!T49)</f>
        <v>2.1684093281667649</v>
      </c>
      <c r="W14" s="4897">
        <v>2.2528865108420164</v>
      </c>
      <c r="X14" s="4897">
        <v>2.2661620567205385</v>
      </c>
      <c r="Y14" s="4896">
        <f>+('Maj Production Summ'!Y17/3551)/('B-FCE'!P49+'B-FCE'!T49+'B-FCE'!X49)</f>
        <v>2.2221965506549584</v>
      </c>
      <c r="Z14" s="4896">
        <f>+('Maj Production Summ'!Z17/3551)/('B-FCE'!P49+'B-FCE'!T49+'B-FCE'!X49)</f>
        <v>2.2367816716775666</v>
      </c>
      <c r="AA14" s="4898">
        <f>+('Maj Production Summ'!AA17/3551)/('B-FCE'!M49+'B-FCE'!Y49)</f>
        <v>2.2263819636556397</v>
      </c>
      <c r="AB14" s="4898">
        <f>+('Maj Production Summ'!AB17/3551)/('B-FCE'!N49+'B-FCE'!Z49)</f>
        <v>2.1844484744397947</v>
      </c>
      <c r="AC14" s="4897">
        <v>2.3092086736130666</v>
      </c>
      <c r="AD14" s="4897">
        <v>2.2465525758156328</v>
      </c>
      <c r="AE14" s="4895">
        <f>+('Maj Production Summ'!AE17/3551)/('B-FCE'!AA49+'B-FCE'!AC49)</f>
        <v>2.2388059701492535</v>
      </c>
      <c r="AF14" s="4895">
        <f>+('Maj Production Summ'!AF17/3551)/('B-FCE'!AB49+'B-FCE'!AD49)</f>
        <v>2.1937323823105466</v>
      </c>
      <c r="AG14" s="4897">
        <v>2.311150817156896</v>
      </c>
      <c r="AH14" s="4897">
        <v>2.0003626295305268</v>
      </c>
      <c r="AI14" s="4895">
        <f>+('Maj Production Summ'!AI17/3551)/('B-FCE'!AE49+'B-FCE'!AG49)</f>
        <v>2.2479675446611385</v>
      </c>
      <c r="AJ14" s="4895">
        <f>+('Maj Production Summ'!AJ17/3551)/('B-FCE'!AF49+'B-FCE'!AH49)</f>
        <v>2.1696576809840393</v>
      </c>
      <c r="AK14" s="4897">
        <v>2.3185957007415752</v>
      </c>
      <c r="AL14" s="4897">
        <v>2.1309999999999998</v>
      </c>
      <c r="AM14" s="4896">
        <f>+('Maj Production Summ'!AM17/3551)/('B-FCE'!AC49+'B-FCE'!AG49+'B-FCE'!AK49)</f>
        <v>2.3130056733504407</v>
      </c>
      <c r="AN14" s="4896">
        <f>+('Maj Production Summ'!AN17/3551)/('B-FCE'!AD49+'B-FCE'!AH49+'B-FCE'!AL49)</f>
        <v>2.1280342551755305</v>
      </c>
      <c r="AO14" s="4895">
        <f>+('Maj Production Summ'!AO17/3551)/('B-FCE'!AK49+'B-FCE'!AI49)</f>
        <v>2.2561484121608029</v>
      </c>
      <c r="AP14" s="4895">
        <f>+('Maj Production Summ'!AP17/3551)/('B-FCE'!AL49+'B-FCE'!AJ49)</f>
        <v>2.1652281699376883</v>
      </c>
      <c r="AQ14" s="4897">
        <v>2.3185957007415752</v>
      </c>
      <c r="AR14" s="4897">
        <v>2.2280000000000002</v>
      </c>
      <c r="AS14" s="4895">
        <f>+('Maj Production Summ'!AS17/3551)/('B-FCE'!AO49+'B-FCE'!AQ49)</f>
        <v>2.2626308296605369</v>
      </c>
      <c r="AT14" s="4895">
        <f>+('Maj Production Summ'!AT17/3551)/('B-FCE'!AP49+'B-FCE'!AR49)</f>
        <v>2.1715335197991088</v>
      </c>
      <c r="AU14" s="4897">
        <v>2.31323168523957</v>
      </c>
      <c r="AV14" s="4897">
        <v>2.2353994503733778</v>
      </c>
      <c r="AW14" s="4895">
        <f>+('Maj Production Summ'!AW17/3551)/('B-FCE'!AS49+'B-FCE'!AU49)</f>
        <v>2.2671003058631016</v>
      </c>
      <c r="AX14" s="4895">
        <f>+('Maj Production Summ'!AX17/3551)/('B-FCE'!AT49+'B-FCE'!AV49)</f>
        <v>2.1772927500637205</v>
      </c>
      <c r="AY14" s="4897">
        <v>2.3279827278700833</v>
      </c>
      <c r="AZ14" s="4897">
        <v>2.2212041384180203</v>
      </c>
      <c r="BA14" s="4896">
        <f>+('Maj Production Summ'!BA17/3551)/('B-FCE'!AQ49+'B-FCE'!AU49+'B-FCE'!AY49)</f>
        <v>2.3200890914211105</v>
      </c>
      <c r="BB14" s="4896">
        <f>+('Maj Production Summ'!BB17/3551)/('B-FCE'!AR49+'B-FCE'!AV49+'B-FCE'!AZ49)</f>
        <v>2.2281385808077601</v>
      </c>
      <c r="BC14" s="5088">
        <f>+('Maj Production Summ'!BC17/3551)/('B-FCE'!AM49+'B-FCE'!BA49)</f>
        <v>2.3165273727302087</v>
      </c>
      <c r="BD14" s="5088">
        <f>+('Maj Production Summ'!BD17/3551)/('B-FCE'!AN49+'B-FCE'!BB49)</f>
        <v>2.1776631197362066</v>
      </c>
      <c r="BE14" s="5089">
        <f>+('Maj Production Summ'!BE17/3551)/('B-FCE'!AW49+'B-FCE'!AY49)</f>
        <v>2.2723639158348869</v>
      </c>
      <c r="BF14" s="5090">
        <f>+('Maj Production Summ'!BF17/3551)/('B-FCE'!AX49+'B-FCE'!AZ49)</f>
        <v>2.1810141580001829</v>
      </c>
      <c r="BG14" s="4899">
        <v>2.2132462789796934</v>
      </c>
      <c r="BH14" s="4900">
        <v>2.086254508453981</v>
      </c>
      <c r="BI14" s="4899">
        <v>2.2066158005423167</v>
      </c>
      <c r="BJ14" s="4900">
        <v>2.0192262714625757</v>
      </c>
      <c r="BK14" s="4899">
        <v>2.0565754006373806</v>
      </c>
      <c r="BL14" s="4900">
        <v>1.7450412546954082</v>
      </c>
      <c r="BM14" s="1501">
        <v>2.1585498861864605</v>
      </c>
      <c r="BN14" s="1502">
        <v>2.0057992136444116</v>
      </c>
      <c r="BO14" s="1502">
        <v>1.7419241961288634</v>
      </c>
      <c r="BP14" s="648"/>
      <c r="BR14" s="2258"/>
      <c r="BS14" s="2258"/>
    </row>
    <row r="15" spans="1:72" ht="19.5" thickBot="1" x14ac:dyDescent="0.3">
      <c r="B15" s="4999" t="s">
        <v>370</v>
      </c>
      <c r="C15" s="4955" t="s">
        <v>371</v>
      </c>
      <c r="D15" s="5293">
        <v>900.75553765627922</v>
      </c>
      <c r="E15" s="4877">
        <v>893.55021521564606</v>
      </c>
      <c r="F15" s="4778">
        <f>+'Coal to Hot Metal'!F20</f>
        <v>925.18269548073226</v>
      </c>
      <c r="G15" s="4877">
        <v>905.15064104284124</v>
      </c>
      <c r="H15" s="4778">
        <f>+'Coal to Hot Metal'!H20</f>
        <v>937.47512995675788</v>
      </c>
      <c r="I15" s="4901">
        <f>+'Coal to Hot Metal'!I20</f>
        <v>898.82800710469292</v>
      </c>
      <c r="J15" s="4776">
        <f>+'Coal to Hot Metal'!J20</f>
        <v>930.88043371530398</v>
      </c>
      <c r="K15" s="4877">
        <v>962.86201357853236</v>
      </c>
      <c r="L15" s="4778">
        <f>+'Coal to Hot Metal'!L20</f>
        <v>954.82611311812116</v>
      </c>
      <c r="M15" s="3275">
        <f>+'Coal to Hot Metal'!M20</f>
        <v>919.12900915712453</v>
      </c>
      <c r="N15" s="3275">
        <f>+'Coal to Hot Metal'!N20</f>
        <v>939.040029778438</v>
      </c>
      <c r="O15" s="4877">
        <v>915.20980471947564</v>
      </c>
      <c r="P15" s="4778">
        <f>+'Coal to Hot Metal'!P20</f>
        <v>910.832315903682</v>
      </c>
      <c r="Q15" s="4780">
        <f>+((M15*'Maj Production Summ'!M$17)+('Maj Production Summ'!O$17*O15))/('Maj Production Summ'!Q$17)</f>
        <v>918.0560539903455</v>
      </c>
      <c r="R15" s="4780">
        <f>+'Coal to Hot Metal'!R20</f>
        <v>931.14038451220381</v>
      </c>
      <c r="S15" s="4778">
        <v>905.96325986443298</v>
      </c>
      <c r="T15" s="4778">
        <f>+'Coal to Hot Metal'!T20</f>
        <v>944.9130727501888</v>
      </c>
      <c r="U15" s="4780">
        <f>+((Q15*'Maj Production Summ'!Q$17)+('Maj Production Summ'!S$17*S15))/('Maj Production Summ'!U$17)</f>
        <v>915.45697323846321</v>
      </c>
      <c r="V15" s="4780">
        <f>+'Coal to Hot Metal'!V20</f>
        <v>934.02493824453018</v>
      </c>
      <c r="W15" s="4778">
        <v>896.96966953558024</v>
      </c>
      <c r="X15" s="4778">
        <f>+'Coal to Hot Metal'!X20</f>
        <v>929.11390782018748</v>
      </c>
      <c r="Y15" s="3275">
        <f>+'Coal to Hot Metal'!Y20</f>
        <v>906.13707854620907</v>
      </c>
      <c r="Z15" s="3275">
        <f>+'Coal to Hot Metal'!Z20</f>
        <v>928.27267112523339</v>
      </c>
      <c r="AA15" s="4902">
        <f>+((M15*'Maj Production Summ'!M$17)+('Maj Production Summ'!Y$17*Y15))/('Maj Production Summ'!AA$17)</f>
        <v>912.26571248022719</v>
      </c>
      <c r="AB15" s="4902">
        <f>+'Coal to Hot Metal'!AB20</f>
        <v>933.20938738379959</v>
      </c>
      <c r="AC15" s="4778">
        <v>890.13076089571189</v>
      </c>
      <c r="AD15" s="4778">
        <f>+'Coal to Hot Metal'!AD20</f>
        <v>937.64450401565978</v>
      </c>
      <c r="AE15" s="4780">
        <f>+((AA15*'Maj Production Summ'!AA$17)+('Maj Production Summ'!AC$17*AC15))/('Maj Production Summ'!AE$17)</f>
        <v>908.84105959356623</v>
      </c>
      <c r="AF15" s="4780">
        <f>+'Coal to Hot Metal'!AF20</f>
        <v>933.87596774901999</v>
      </c>
      <c r="AG15" s="4778">
        <v>890.13076089571211</v>
      </c>
      <c r="AH15" s="4778">
        <f>+'Coal to Hot Metal'!AH20</f>
        <v>997.38834668652316</v>
      </c>
      <c r="AI15" s="4780">
        <f>+((AE15*'Maj Production Summ'!AE$17)+('Maj Production Summ'!AG$17*AG15))/('Maj Production Summ'!AI$17)</f>
        <v>906.4050360213073</v>
      </c>
      <c r="AJ15" s="4780">
        <f>+'Coal to Hot Metal'!AJ20</f>
        <v>941.15458030327852</v>
      </c>
      <c r="AK15" s="4778">
        <v>890.130760895712</v>
      </c>
      <c r="AL15" s="4778">
        <f>+'Coal to Hot Metal'!AL20</f>
        <v>934.24823608505187</v>
      </c>
      <c r="AM15" s="3275">
        <f>+'Coal to Hot Metal'!AM20</f>
        <v>890.13076089571166</v>
      </c>
      <c r="AN15" s="3275">
        <f>+'Coal to Hot Metal'!AN20</f>
        <v>954.63213936924615</v>
      </c>
      <c r="AO15" s="4780">
        <f>+'Coal to Hot Metal'!AO20</f>
        <v>904.46780905454966</v>
      </c>
      <c r="AP15" s="4780">
        <f>+'Coal to Hot Metal'!AP20</f>
        <v>940.37590325458189</v>
      </c>
      <c r="AQ15" s="4778">
        <v>890.130760895712</v>
      </c>
      <c r="AR15" s="4778">
        <f>+'Coal to Hot Metal'!AR20</f>
        <v>925.34688147002328</v>
      </c>
      <c r="AS15" s="4780">
        <f>+((AO15*'Maj Production Summ'!AO$17)+('Maj Production Summ'!AQ$17*AQ15))/('Maj Production Summ'!AS$17)</f>
        <v>902.94272253636154</v>
      </c>
      <c r="AT15" s="4780">
        <f>+'Coal to Hot Metal'!AT20</f>
        <v>938.81777437112078</v>
      </c>
      <c r="AU15" s="4778">
        <v>890.130760895712</v>
      </c>
      <c r="AV15" s="4778">
        <f>+'Coal to Hot Metal'!AV20</f>
        <v>904.46031560195399</v>
      </c>
      <c r="AW15" s="4780">
        <f>+((AS15*'Maj Production Summ'!AS$17)+('Maj Production Summ'!AU$17*AU15))/('Maj Production Summ'!AW$17)</f>
        <v>901.78803947313679</v>
      </c>
      <c r="AX15" s="4780">
        <f>+'Coal to Hot Metal'!AX20</f>
        <v>935.6374761508913</v>
      </c>
      <c r="AY15" s="5034">
        <v>890.13076089571189</v>
      </c>
      <c r="AZ15" s="5034">
        <f>+'Coal to Hot Metal'!AZ20</f>
        <v>894.04149157997995</v>
      </c>
      <c r="BA15" s="5136">
        <f>+'Coal to Hot Metal'!BA20</f>
        <v>890.13076089571166</v>
      </c>
      <c r="BB15" s="5136">
        <f>+'Coal to Hot Metal'!BB20</f>
        <v>907.90589273008982</v>
      </c>
      <c r="BC15" s="595">
        <f>+'Coal to Hot Metal'!BC20</f>
        <v>890.13076089571166</v>
      </c>
      <c r="BD15" s="595">
        <f>+'Coal to Hot Metal'!BD20</f>
        <v>930.90930796468081</v>
      </c>
      <c r="BE15" s="5127">
        <f>+'Coal to Hot Metal'!BE20</f>
        <v>900.75553765627933</v>
      </c>
      <c r="BF15" s="1874">
        <f>+'Coal to Hot Metal'!BF20</f>
        <v>932.0378517640504</v>
      </c>
      <c r="BG15" s="4878">
        <v>910.43802076736529</v>
      </c>
      <c r="BH15" s="4879">
        <v>930.8611107215944</v>
      </c>
      <c r="BI15" s="4878">
        <v>908.37669886703623</v>
      </c>
      <c r="BJ15" s="4879">
        <v>935.21205199417307</v>
      </c>
      <c r="BK15" s="4878">
        <v>907.5085368428455</v>
      </c>
      <c r="BL15" s="4879">
        <v>991.44637124749988</v>
      </c>
      <c r="BM15" s="1487">
        <v>886.42711546488033</v>
      </c>
      <c r="BN15" s="1367">
        <v>931.68362998699263</v>
      </c>
      <c r="BO15" s="1367">
        <v>905.60969999999998</v>
      </c>
      <c r="BP15" s="648"/>
      <c r="BR15" s="2258"/>
      <c r="BS15" s="2258"/>
    </row>
    <row r="16" spans="1:72" ht="19.5" thickBot="1" x14ac:dyDescent="0.3">
      <c r="B16" s="987" t="s">
        <v>372</v>
      </c>
      <c r="C16" s="2385" t="s">
        <v>277</v>
      </c>
      <c r="D16" s="5294">
        <v>1060</v>
      </c>
      <c r="E16" s="888">
        <f>+$D$16</f>
        <v>1060</v>
      </c>
      <c r="F16" s="245">
        <f>+(F38/'Maj Production Summ'!F18)*1000</f>
        <v>1071.4673446568834</v>
      </c>
      <c r="G16" s="888">
        <f>+$D$16</f>
        <v>1060</v>
      </c>
      <c r="H16" s="245">
        <f>+(H38/'Maj Production Summ'!H18)*1000</f>
        <v>1063.2422752210125</v>
      </c>
      <c r="I16" s="3274">
        <f>+$D$16</f>
        <v>1060</v>
      </c>
      <c r="J16" s="4781">
        <f>+(J38/'Maj Production Summ'!J18)*1000</f>
        <v>1067.7713228794637</v>
      </c>
      <c r="K16" s="888">
        <f>+$D$16</f>
        <v>1060</v>
      </c>
      <c r="L16" s="245">
        <f>+(L38/'Maj Production Summ'!L18)*1000</f>
        <v>1068.46891154317</v>
      </c>
      <c r="M16" s="4785">
        <f>+$D$16</f>
        <v>1060</v>
      </c>
      <c r="N16" s="5256">
        <f>+(N38/'Maj Production Summ'!N18)*1000</f>
        <v>1067.9968954030876</v>
      </c>
      <c r="O16" s="888">
        <f>+$D$16</f>
        <v>1060</v>
      </c>
      <c r="P16" s="245">
        <f>+(P38/'Maj Production Summ'!P18)*1000</f>
        <v>1061.4143942158958</v>
      </c>
      <c r="Q16" s="4783">
        <f>+$D$16</f>
        <v>1060</v>
      </c>
      <c r="R16" s="4783">
        <f>+(R38/'Maj Production Summ'!R18)*1000</f>
        <v>1066.1234534313576</v>
      </c>
      <c r="S16" s="4782">
        <f>+$D$16</f>
        <v>1060</v>
      </c>
      <c r="T16" s="4782">
        <f>+(T38/'Maj Production Summ'!T18)*1000</f>
        <v>1063.9466350904995</v>
      </c>
      <c r="U16" s="4783">
        <f>+$D$16</f>
        <v>1060</v>
      </c>
      <c r="V16" s="4783">
        <f>+(V38/'Maj Production Summ'!V18)*1000</f>
        <v>1065.6502017348519</v>
      </c>
      <c r="W16" s="4782">
        <f>$D$16</f>
        <v>1060</v>
      </c>
      <c r="X16" s="4782">
        <f>+(X38/'Maj Production Summ'!X18)*1000</f>
        <v>1078.7197176015106</v>
      </c>
      <c r="Y16" s="4785">
        <f>+$D$16</f>
        <v>1060</v>
      </c>
      <c r="Z16" s="4784">
        <f>+(Z38/'Maj Production Summ'!Z18)*1000</f>
        <v>1067.7492803009814</v>
      </c>
      <c r="AA16" s="595">
        <f>+$D$16</f>
        <v>1060</v>
      </c>
      <c r="AB16" s="784">
        <f>+(AB38/'Maj Production Summ'!AB18)*1000</f>
        <v>1067.8644237825881</v>
      </c>
      <c r="AC16" s="4782">
        <f>$D$16</f>
        <v>1060</v>
      </c>
      <c r="AD16" s="4782">
        <f>+(AD38/'Maj Production Summ'!AD18)*1000</f>
        <v>1086.2346322710002</v>
      </c>
      <c r="AE16" s="4783">
        <f>+$D$16</f>
        <v>1060</v>
      </c>
      <c r="AF16" s="4783">
        <f>+(AF38/'Maj Production Summ'!AF18)*1000</f>
        <v>1070.6614550539286</v>
      </c>
      <c r="AG16" s="4782">
        <f>$D$16</f>
        <v>1060</v>
      </c>
      <c r="AH16" s="4782">
        <f>+(AH38/'Maj Production Summ'!AH18)*1000</f>
        <v>1062.7648777647219</v>
      </c>
      <c r="AI16" s="4783">
        <f>+$D$16</f>
        <v>1060</v>
      </c>
      <c r="AJ16" s="4783">
        <f>+(AJ38/'Maj Production Summ'!AJ18)*1000</f>
        <v>1069.7464312524326</v>
      </c>
      <c r="AK16" s="4782">
        <f>$D$16</f>
        <v>1060</v>
      </c>
      <c r="AL16" s="4782">
        <f>+(AL38/'Maj Production Summ'!AL18)*1000</f>
        <v>1045.1988877909785</v>
      </c>
      <c r="AM16" s="4785">
        <f>+$D$16</f>
        <v>1060</v>
      </c>
      <c r="AN16" s="4784">
        <f>+(AN38/'Maj Production Summ'!AN18)*1000</f>
        <v>1065.0099943475886</v>
      </c>
      <c r="AO16" s="4783">
        <f>+$D$16</f>
        <v>1060</v>
      </c>
      <c r="AP16" s="4783">
        <f>+(AP38/'Maj Production Summ'!AP18)*1000</f>
        <v>1066.9014616405252</v>
      </c>
      <c r="AQ16" s="4782">
        <f>$D$16</f>
        <v>1060</v>
      </c>
      <c r="AR16" s="4782">
        <f>+(AR38/'Maj Production Summ'!AR18)*1000</f>
        <v>1059.626008939769</v>
      </c>
      <c r="AS16" s="4783">
        <f>+$D$16</f>
        <v>1060</v>
      </c>
      <c r="AT16" s="4783">
        <f>+(AT38/'Maj Production Summ'!AT18)*1000</f>
        <v>1066.1455450601168</v>
      </c>
      <c r="AU16" s="4782">
        <f>$D$16</f>
        <v>1060</v>
      </c>
      <c r="AV16" s="4782">
        <f>+(AV38/'Maj Production Summ'!AV18)*1000</f>
        <v>1066.2530782433491</v>
      </c>
      <c r="AW16" s="4783">
        <f>+$D$16</f>
        <v>1060</v>
      </c>
      <c r="AX16" s="4783">
        <f>+(AX38/'Maj Production Summ'!AX18)*1000</f>
        <v>1066.1555281710571</v>
      </c>
      <c r="AY16" s="5032">
        <f>$D$16</f>
        <v>1060</v>
      </c>
      <c r="AZ16" s="5032">
        <f>+(AZ38/'Maj Production Summ'!AZ18)*1000</f>
        <v>1064.4942053621478</v>
      </c>
      <c r="BA16" s="483">
        <f>+$D$16</f>
        <v>1060</v>
      </c>
      <c r="BB16" s="483">
        <f>+(BB38/'Maj Production Summ'!BB18)*1000</f>
        <v>1063.4465107426702</v>
      </c>
      <c r="BC16" s="593">
        <f>+$D$16</f>
        <v>1060</v>
      </c>
      <c r="BD16" s="593">
        <f>+(BD38/'Maj Production Summ'!BD18)*1000</f>
        <v>1064.217206071889</v>
      </c>
      <c r="BE16" s="701">
        <f>+$D$16</f>
        <v>1060</v>
      </c>
      <c r="BF16" s="4890">
        <f>+(BF38/'Maj Production Summ'!BF18)*1000</f>
        <v>1066.0113803295867</v>
      </c>
      <c r="BG16" s="4860">
        <v>1061.9999999999998</v>
      </c>
      <c r="BH16" s="4903">
        <v>1062.9741019163143</v>
      </c>
      <c r="BI16" s="4860">
        <v>1064.9999163858361</v>
      </c>
      <c r="BJ16" s="4903">
        <v>1062.0576596902831</v>
      </c>
      <c r="BK16" s="4860">
        <v>1077.0434194075694</v>
      </c>
      <c r="BL16" s="4903">
        <v>1071.1760588881978</v>
      </c>
      <c r="BM16" s="1370">
        <v>1065</v>
      </c>
      <c r="BN16" s="1488">
        <v>1093.6626453647993</v>
      </c>
      <c r="BO16" s="1488">
        <v>1078.3300007201833</v>
      </c>
      <c r="BP16" s="648"/>
      <c r="BR16" s="2258"/>
      <c r="BS16" s="2258"/>
    </row>
    <row r="17" spans="1:79" ht="19.5" thickBot="1" x14ac:dyDescent="0.3">
      <c r="B17" s="4946" t="s">
        <v>373</v>
      </c>
      <c r="C17" s="4956" t="s">
        <v>277</v>
      </c>
      <c r="D17" s="5295">
        <v>39.999999999999993</v>
      </c>
      <c r="E17" s="4880">
        <f>+$D$17</f>
        <v>39.999999999999993</v>
      </c>
      <c r="F17" s="4904">
        <f>+(F39/'Maj Production Summ'!F18)*1000</f>
        <v>31.793782099759209</v>
      </c>
      <c r="G17" s="4880">
        <f>+$D$17</f>
        <v>39.999999999999993</v>
      </c>
      <c r="H17" s="4904">
        <f>+(H39/'Maj Production Summ'!H18)*1000</f>
        <v>42.99724267318571</v>
      </c>
      <c r="I17" s="4794">
        <f>+$D$17</f>
        <v>39.999999999999993</v>
      </c>
      <c r="J17" s="4775">
        <f>+(J39/'Maj Production Summ'!J18)*1000</f>
        <v>36.828175375669971</v>
      </c>
      <c r="K17" s="4880">
        <f>+$D$17</f>
        <v>39.999999999999993</v>
      </c>
      <c r="L17" s="4904">
        <f>+(L39/'Maj Production Summ'!L18)*1000</f>
        <v>36.034918717223611</v>
      </c>
      <c r="M17" s="4882">
        <f>+$D$17</f>
        <v>39.999999999999993</v>
      </c>
      <c r="N17" s="3940">
        <f>+(N39/'Maj Production Summ'!N18)*1000</f>
        <v>36.571667614525225</v>
      </c>
      <c r="O17" s="4880">
        <f>+$D$17</f>
        <v>39.999999999999993</v>
      </c>
      <c r="P17" s="4904">
        <f>+(P39/'Maj Production Summ'!P18)*1000</f>
        <v>38.166744877209446</v>
      </c>
      <c r="Q17" s="4779">
        <f>+$D$17</f>
        <v>39.999999999999993</v>
      </c>
      <c r="R17" s="4779">
        <f>+(R39/'Maj Production Summ'!R18)*1000</f>
        <v>37.025641659813637</v>
      </c>
      <c r="S17" s="4777">
        <f>+$D$17</f>
        <v>39.999999999999993</v>
      </c>
      <c r="T17" s="4777">
        <f>+(T39/'Maj Production Summ'!T18)*1000</f>
        <v>34.125408427631527</v>
      </c>
      <c r="U17" s="4779">
        <f>+$D$17</f>
        <v>39.999999999999993</v>
      </c>
      <c r="V17" s="4779">
        <f>+(V39/'Maj Production Summ'!V18)*1000</f>
        <v>36.395115780997919</v>
      </c>
      <c r="W17" s="4777">
        <f>$D$17</f>
        <v>39.999999999999993</v>
      </c>
      <c r="X17" s="4777">
        <f>+(X39/'Maj Production Summ'!X18)*1000</f>
        <v>22.128094664224779</v>
      </c>
      <c r="Y17" s="4882">
        <f>+$D$17</f>
        <v>39.999999999999993</v>
      </c>
      <c r="Z17" s="3940">
        <f>+(Z39/'Maj Production Summ'!Z18)*1000</f>
        <v>31.723626561852043</v>
      </c>
      <c r="AA17" s="4868">
        <f>+$D$17</f>
        <v>39.999999999999993</v>
      </c>
      <c r="AB17" s="3941">
        <f>+(AB39/'Maj Production Summ'!AB18)*1000</f>
        <v>33.978013798447492</v>
      </c>
      <c r="AC17" s="4777">
        <f>$D$17</f>
        <v>39.999999999999993</v>
      </c>
      <c r="AD17" s="4777">
        <f>+(AD39/'Maj Production Summ'!AD18)*1000</f>
        <v>14.188033422992405</v>
      </c>
      <c r="AE17" s="4779">
        <f>+$D$17</f>
        <v>39.999999999999993</v>
      </c>
      <c r="AF17" s="4779">
        <f>+(AF39/'Maj Production Summ'!AF18)*1000</f>
        <v>30.964809348194063</v>
      </c>
      <c r="AG17" s="4777">
        <f>$D$17</f>
        <v>39.999999999999993</v>
      </c>
      <c r="AH17" s="4777">
        <f>+(AH39/'Maj Production Summ'!AH18)*1000</f>
        <v>32.06562542244221</v>
      </c>
      <c r="AI17" s="4779">
        <f>+$D$17</f>
        <v>39.999999999999993</v>
      </c>
      <c r="AJ17" s="4779">
        <f>+(AJ39/'Maj Production Summ'!AJ18)*1000</f>
        <v>31.092367513221262</v>
      </c>
      <c r="AK17" s="4777">
        <f>$D$17</f>
        <v>39.999999999999993</v>
      </c>
      <c r="AL17" s="4777">
        <f>+(AL39/'Maj Production Summ'!AL18)*1000</f>
        <v>54.232185123055359</v>
      </c>
      <c r="AM17" s="4882">
        <f>+$D$17</f>
        <v>39.999999999999993</v>
      </c>
      <c r="AN17" s="3940">
        <f>+(AN39/'Maj Production Summ'!AN18)*1000</f>
        <v>33.37382649307343</v>
      </c>
      <c r="AO17" s="4779">
        <f>+$D$17</f>
        <v>39.999999999999993</v>
      </c>
      <c r="AP17" s="4779">
        <f>+(AP39/'Maj Production Summ'!AP18)*1000</f>
        <v>33.774186898872969</v>
      </c>
      <c r="AQ17" s="4777">
        <f>$D$17</f>
        <v>39.999999999999993</v>
      </c>
      <c r="AR17" s="4777">
        <f>+(AR39/'Maj Production Summ'!AR18)*1000</f>
        <v>40.278070002159133</v>
      </c>
      <c r="AS17" s="4779">
        <f>+$D$17</f>
        <v>39.999999999999993</v>
      </c>
      <c r="AT17" s="4779">
        <f>+(AT39/'Maj Production Summ'!AT18)*1000</f>
        <v>34.449937711506429</v>
      </c>
      <c r="AU17" s="4777">
        <f>$D$17</f>
        <v>39.999999999999993</v>
      </c>
      <c r="AV17" s="4777">
        <f>+(AV39/'Maj Production Summ'!AV18)*1000</f>
        <v>33.453509197418008</v>
      </c>
      <c r="AW17" s="4779">
        <f>+$D$17</f>
        <v>39.999999999999993</v>
      </c>
      <c r="AX17" s="4779">
        <f>+(AX39/'Maj Production Summ'!AX18)*1000</f>
        <v>34.357431788206789</v>
      </c>
      <c r="AY17" s="5033">
        <f>$D$17</f>
        <v>39.999999999999993</v>
      </c>
      <c r="AZ17" s="5033">
        <f>+(AZ39/'Maj Production Summ'!AZ18)*1000</f>
        <v>35.205785978936049</v>
      </c>
      <c r="BA17" s="483">
        <f>+(BA39/'Maj Production Summ'!BA18)*1000</f>
        <v>39.999999999999993</v>
      </c>
      <c r="BB17" s="483">
        <f>+(BB39/'Maj Production Summ'!BB18)*1000</f>
        <v>36.32383954911176</v>
      </c>
      <c r="BC17" s="593">
        <f>+(BC39/'Maj Production Summ'!BC18)*1000</f>
        <v>39.999999999999993</v>
      </c>
      <c r="BD17" s="593">
        <f>+(BD39/'Maj Production Summ'!BD18)*1000</f>
        <v>34.869675734236566</v>
      </c>
      <c r="BE17" s="701">
        <f>+(BE39/'Maj Production Summ'!BE18)*1000</f>
        <v>40</v>
      </c>
      <c r="BF17" s="4890">
        <f>+(BF39/'Maj Production Summ'!BF18)*1000</f>
        <v>34.431040857281253</v>
      </c>
      <c r="BG17" s="4870">
        <v>46</v>
      </c>
      <c r="BH17" s="4905">
        <v>38.506404738512508</v>
      </c>
      <c r="BI17" s="4870">
        <v>49.999999999999993</v>
      </c>
      <c r="BJ17" s="4905">
        <v>45.611232627441403</v>
      </c>
      <c r="BK17" s="4870">
        <v>40.465027848474861</v>
      </c>
      <c r="BL17" s="4905">
        <v>41.122433127480129</v>
      </c>
      <c r="BM17" s="2298">
        <v>50</v>
      </c>
      <c r="BN17" s="1503">
        <v>25.53216575879436</v>
      </c>
      <c r="BO17" s="1503">
        <v>41.130412495604766</v>
      </c>
      <c r="BP17" s="648"/>
      <c r="BR17" s="2258"/>
      <c r="BS17" s="2258"/>
    </row>
    <row r="18" spans="1:79" ht="19.5" thickBot="1" x14ac:dyDescent="0.3">
      <c r="B18" s="4798" t="s">
        <v>294</v>
      </c>
      <c r="C18" s="4958" t="s">
        <v>277</v>
      </c>
      <c r="D18" s="5296">
        <f>SUM(D16:D17)</f>
        <v>1100</v>
      </c>
      <c r="E18" s="4885">
        <f>+$D$18</f>
        <v>1100</v>
      </c>
      <c r="F18" s="4886">
        <f>SUM(F16:F17)</f>
        <v>1103.2611267566426</v>
      </c>
      <c r="G18" s="4885">
        <f>+$D$18</f>
        <v>1100</v>
      </c>
      <c r="H18" s="4886">
        <f>SUM(H16:H17)</f>
        <v>1106.2395178941981</v>
      </c>
      <c r="I18" s="4887">
        <f>+$D$18</f>
        <v>1100</v>
      </c>
      <c r="J18" s="4888">
        <f>SUM(J16:J17)</f>
        <v>1104.5994982551338</v>
      </c>
      <c r="K18" s="4885">
        <f>+$D$18</f>
        <v>1100</v>
      </c>
      <c r="L18" s="4886">
        <f>SUM(L16:L17)</f>
        <v>1104.5038302603937</v>
      </c>
      <c r="M18" s="483">
        <f>+$D$18</f>
        <v>1100</v>
      </c>
      <c r="N18" s="483">
        <f>SUM(N16:N17)</f>
        <v>1104.5685630176129</v>
      </c>
      <c r="O18" s="4885">
        <f>+$D$18</f>
        <v>1100</v>
      </c>
      <c r="P18" s="4886">
        <f>SUM(P16:P17)</f>
        <v>1099.5811390931051</v>
      </c>
      <c r="Q18" s="4888">
        <f>+$D$18</f>
        <v>1100</v>
      </c>
      <c r="R18" s="4888">
        <f>SUM(R16:R17)</f>
        <v>1103.1490950911711</v>
      </c>
      <c r="S18" s="4889">
        <f>+$D$18</f>
        <v>1100</v>
      </c>
      <c r="T18" s="4889">
        <f>SUM(T16:T17)</f>
        <v>1098.0720435181311</v>
      </c>
      <c r="U18" s="4888">
        <f>+$D$18</f>
        <v>1100</v>
      </c>
      <c r="V18" s="4888">
        <f>SUM(V16:V17)</f>
        <v>1102.0453175158498</v>
      </c>
      <c r="W18" s="4889">
        <f>+$D$18</f>
        <v>1100</v>
      </c>
      <c r="X18" s="4889">
        <f>SUM(X16:X17)</f>
        <v>1100.8478122657355</v>
      </c>
      <c r="Y18" s="483">
        <f>+$D$18</f>
        <v>1100</v>
      </c>
      <c r="Z18" s="483">
        <f>SUM(Z16:Z17)</f>
        <v>1099.4729068628335</v>
      </c>
      <c r="AA18" s="593">
        <f>+$D$18</f>
        <v>1100</v>
      </c>
      <c r="AB18" s="593">
        <f>SUM(AB16:AB17)</f>
        <v>1101.8424375810357</v>
      </c>
      <c r="AC18" s="4889">
        <f>+$D$18</f>
        <v>1100</v>
      </c>
      <c r="AD18" s="4889">
        <f>SUM(AD16:AD17)</f>
        <v>1100.4226656939927</v>
      </c>
      <c r="AE18" s="4888">
        <f>+$D$18</f>
        <v>1100</v>
      </c>
      <c r="AF18" s="4888">
        <f>SUM(AF16:AF17)</f>
        <v>1101.6262644021226</v>
      </c>
      <c r="AG18" s="4889">
        <f>+$D$18</f>
        <v>1100</v>
      </c>
      <c r="AH18" s="4889">
        <f>SUM(AH16:AH17)</f>
        <v>1094.8305031871641</v>
      </c>
      <c r="AI18" s="4888">
        <f>+$D$18</f>
        <v>1100</v>
      </c>
      <c r="AJ18" s="4888">
        <f>SUM(AJ16:AJ17)</f>
        <v>1100.8387987656538</v>
      </c>
      <c r="AK18" s="4889">
        <f>+$D$18</f>
        <v>1100</v>
      </c>
      <c r="AL18" s="4889">
        <f>SUM(AL16:AL17)</f>
        <v>1099.4310729140338</v>
      </c>
      <c r="AM18" s="483">
        <f>+$D$18</f>
        <v>1100</v>
      </c>
      <c r="AN18" s="483">
        <f>SUM(AN16:AN17)</f>
        <v>1098.3838208406621</v>
      </c>
      <c r="AO18" s="4888">
        <f>+$D$18</f>
        <v>1100</v>
      </c>
      <c r="AP18" s="4888">
        <f>SUM(AP16:AP17)</f>
        <v>1100.6756485393983</v>
      </c>
      <c r="AQ18" s="4889">
        <f>+$D$18</f>
        <v>1100</v>
      </c>
      <c r="AR18" s="4889">
        <f>SUM(AR16:AR17)</f>
        <v>1099.9040789419282</v>
      </c>
      <c r="AS18" s="4888">
        <f>+$D$18</f>
        <v>1100</v>
      </c>
      <c r="AT18" s="4888">
        <f>SUM(AT16:AT17)</f>
        <v>1100.5954827716232</v>
      </c>
      <c r="AU18" s="4889">
        <f>+$D$18</f>
        <v>1100</v>
      </c>
      <c r="AV18" s="4889">
        <f>SUM(AV16:AV17)</f>
        <v>1099.7065874407672</v>
      </c>
      <c r="AW18" s="4888">
        <f>+$D$18</f>
        <v>1100</v>
      </c>
      <c r="AX18" s="4888">
        <f>SUM(AX16:AX17)</f>
        <v>1100.512959959264</v>
      </c>
      <c r="AY18" s="4889">
        <f>+$D$18</f>
        <v>1100</v>
      </c>
      <c r="AZ18" s="4889">
        <f>SUM(AZ16:AZ17)</f>
        <v>1099.6999913410839</v>
      </c>
      <c r="BA18" s="483">
        <f>+$D$18</f>
        <v>1100</v>
      </c>
      <c r="BB18" s="483">
        <f>SUM(BB16:BB17)</f>
        <v>1099.7703502917818</v>
      </c>
      <c r="BC18" s="593">
        <f>+$D$18</f>
        <v>1100</v>
      </c>
      <c r="BD18" s="593">
        <f>SUM(BD16:BD17)</f>
        <v>1099.0868818061256</v>
      </c>
      <c r="BE18" s="4888">
        <f>+$D$18</f>
        <v>1100</v>
      </c>
      <c r="BF18" s="3196">
        <f t="shared" ref="BF18" si="14">SUM(BF16:BF17)</f>
        <v>1100.4424211868679</v>
      </c>
      <c r="BG18" s="4875">
        <v>1107.9999999999998</v>
      </c>
      <c r="BH18" s="4906">
        <v>1101.4805066548267</v>
      </c>
      <c r="BI18" s="4875">
        <v>1114.9999163858361</v>
      </c>
      <c r="BJ18" s="4906">
        <v>1107.6688923177246</v>
      </c>
      <c r="BK18" s="4875">
        <v>1117.5084472560443</v>
      </c>
      <c r="BL18" s="4906">
        <v>1112.298492015678</v>
      </c>
      <c r="BM18" s="1489">
        <v>1115</v>
      </c>
      <c r="BN18" s="1373">
        <v>1119.1948111235938</v>
      </c>
      <c r="BO18" s="1373">
        <v>1119.4604132157881</v>
      </c>
      <c r="BP18" s="648"/>
      <c r="BR18" s="2258"/>
      <c r="BS18" s="2258"/>
    </row>
    <row r="19" spans="1:79" s="183" customFormat="1" ht="19.5" thickBot="1" x14ac:dyDescent="0.3">
      <c r="A19" s="188"/>
      <c r="B19" s="5000" t="s">
        <v>1922</v>
      </c>
      <c r="C19" s="4960" t="s">
        <v>277</v>
      </c>
      <c r="D19" s="5291">
        <f>+D50+D51+D54</f>
        <v>21.173676902697167</v>
      </c>
      <c r="E19" s="4790">
        <f>+$D$19</f>
        <v>21.173676902697167</v>
      </c>
      <c r="F19" s="4746">
        <f>F50+F53+F54</f>
        <v>24.269389762409585</v>
      </c>
      <c r="G19" s="4790">
        <f>+$D$19</f>
        <v>21.173676902697167</v>
      </c>
      <c r="H19" s="4746">
        <f>H50+H53+H54</f>
        <v>23.571448875749738</v>
      </c>
      <c r="I19" s="4794">
        <f>+$D$19</f>
        <v>21.173676902697167</v>
      </c>
      <c r="J19" s="4775">
        <f>J50+J53+J54</f>
        <v>23.955762657306209</v>
      </c>
      <c r="K19" s="4790">
        <f>+$D$19</f>
        <v>21.173676902697167</v>
      </c>
      <c r="L19" s="4746">
        <f>L50+L53+L54</f>
        <v>22.90137547243442</v>
      </c>
      <c r="M19" s="3940">
        <f>+$D$19</f>
        <v>21.173676902697167</v>
      </c>
      <c r="N19" s="3940">
        <f>N50+N53+N54</f>
        <v>23.614815634307529</v>
      </c>
      <c r="O19" s="4790">
        <f>+$D$19</f>
        <v>21.173676902697167</v>
      </c>
      <c r="P19" s="4746">
        <f>+P50+P53+P54</f>
        <v>22.624572014529782</v>
      </c>
      <c r="Q19" s="4775">
        <f>+$D$19</f>
        <v>21.173676902697167</v>
      </c>
      <c r="R19" s="4775">
        <f>R50+R53+R54</f>
        <v>23.332982952964528</v>
      </c>
      <c r="S19" s="4746">
        <f>+$D$19</f>
        <v>21.173676902697167</v>
      </c>
      <c r="T19" s="4746">
        <f>+T50+T53+T54</f>
        <v>23.204552131836433</v>
      </c>
      <c r="U19" s="4775">
        <f>+$D$19</f>
        <v>21.173676902697167</v>
      </c>
      <c r="V19" s="4775">
        <f>V50+V53+V54</f>
        <v>23.305061420495949</v>
      </c>
      <c r="W19" s="4746">
        <f>+$D$19</f>
        <v>21.173676902697167</v>
      </c>
      <c r="X19" s="4746">
        <f>X50+X51+X54</f>
        <v>22.921154265868307</v>
      </c>
      <c r="Y19" s="3940">
        <f>+$D$19</f>
        <v>21.173676902697167</v>
      </c>
      <c r="Z19" s="3940">
        <f>Z50+Z53+Z54</f>
        <v>22.914250641568852</v>
      </c>
      <c r="AA19" s="3941">
        <f>+$D$19</f>
        <v>21.173676902697167</v>
      </c>
      <c r="AB19" s="3941">
        <f>AB50+AB53+AB54</f>
        <v>23.240020320677658</v>
      </c>
      <c r="AC19" s="4746">
        <f>+$D$19</f>
        <v>21.173676902697167</v>
      </c>
      <c r="AD19" s="4746">
        <f>AD50+AD53+AD54</f>
        <v>23.482919275506958</v>
      </c>
      <c r="AE19" s="4775">
        <f>+$D$19</f>
        <v>21.173676902697167</v>
      </c>
      <c r="AF19" s="4775">
        <f>AF50+AF53+AF54</f>
        <v>23.27700389508086</v>
      </c>
      <c r="AG19" s="4746">
        <f>+$D$19</f>
        <v>21.173676902697167</v>
      </c>
      <c r="AH19" s="4746">
        <f>AH50+AH53+AH54</f>
        <v>23.745151663252468</v>
      </c>
      <c r="AI19" s="4775">
        <f>+$D$19</f>
        <v>21.173676902697167</v>
      </c>
      <c r="AJ19" s="4775">
        <f>AJ50+AJ53+AJ54</f>
        <v>23.33125098654919</v>
      </c>
      <c r="AK19" s="4746">
        <f>+$D$19</f>
        <v>21.173676902697167</v>
      </c>
      <c r="AL19" s="4746">
        <f>AL50+AL53+AL54</f>
        <v>22.648620079509158</v>
      </c>
      <c r="AM19" s="3940">
        <f>+$D$19</f>
        <v>21.173676902697167</v>
      </c>
      <c r="AN19" s="3940">
        <f>AN50+AN53+AN54</f>
        <v>23.275935568825211</v>
      </c>
      <c r="AO19" s="4775">
        <f>+$D$19</f>
        <v>21.173676902697167</v>
      </c>
      <c r="AP19" s="4775">
        <f>AP50+AP53+AP54</f>
        <v>23.252136585968657</v>
      </c>
      <c r="AQ19" s="4746">
        <f>+$D$19</f>
        <v>21.173676902697167</v>
      </c>
      <c r="AR19" s="4746">
        <f>AR50+AR53+AR54</f>
        <v>21.097666747825926</v>
      </c>
      <c r="AS19" s="4775">
        <f>+$D$19</f>
        <v>21.173676902697167</v>
      </c>
      <c r="AT19" s="4775">
        <f>AT50+AT53+AT54</f>
        <v>23.02828804490499</v>
      </c>
      <c r="AU19" s="4746">
        <f>+$D$19</f>
        <v>21.173676902697167</v>
      </c>
      <c r="AV19" s="4746">
        <f>AV50+AV53+AV54</f>
        <v>21.056952165963956</v>
      </c>
      <c r="AW19" s="4775">
        <f>+$D$19</f>
        <v>21.173676902697167</v>
      </c>
      <c r="AX19" s="4775">
        <f>AX50+AX53+AX54</f>
        <v>22.84527416780616</v>
      </c>
      <c r="AY19" s="4746">
        <f>+$D$19</f>
        <v>21.173676902697167</v>
      </c>
      <c r="AZ19" s="4746">
        <f>AZ50+AZ53+AZ54</f>
        <v>21.191558012459726</v>
      </c>
      <c r="BA19" s="3940">
        <f>+$D$19</f>
        <v>21.173676902697167</v>
      </c>
      <c r="BB19" s="3940">
        <f>BB50+BB53+BB54</f>
        <v>21.115890065294067</v>
      </c>
      <c r="BC19" s="3941">
        <f>+$D$19</f>
        <v>21.173676902697167</v>
      </c>
      <c r="BD19" s="3941">
        <f>BD50+BD53+BD54</f>
        <v>22.180651457888413</v>
      </c>
      <c r="BE19" s="4775">
        <f>+$D$19</f>
        <v>21.173676902697167</v>
      </c>
      <c r="BF19" s="3197">
        <f>BF50+BF53+BF54</f>
        <v>22.701786332137168</v>
      </c>
      <c r="BG19" s="4907">
        <v>20.999999999999996</v>
      </c>
      <c r="BH19" s="4908">
        <v>22.930617482833931</v>
      </c>
      <c r="BI19" s="4907">
        <v>21.957789999999999</v>
      </c>
      <c r="BJ19" s="4908">
        <v>20.936321602680948</v>
      </c>
      <c r="BK19" s="4907">
        <v>20.938577554449214</v>
      </c>
      <c r="BL19" s="4908">
        <v>20.212673477197818</v>
      </c>
      <c r="BM19" s="2312">
        <v>21</v>
      </c>
      <c r="BN19" s="2313">
        <v>21.832464031742681</v>
      </c>
      <c r="BO19" s="2313">
        <v>23.120676252165847</v>
      </c>
      <c r="BP19" s="648"/>
      <c r="BQ19"/>
      <c r="BR19" s="2258"/>
      <c r="BS19" s="2258"/>
      <c r="BT19"/>
      <c r="BU19"/>
      <c r="BV19"/>
      <c r="BW19"/>
      <c r="BX19"/>
      <c r="BY19"/>
      <c r="BZ19"/>
      <c r="CA19"/>
    </row>
    <row r="20" spans="1:79" s="183" customFormat="1" ht="18.75" x14ac:dyDescent="0.25">
      <c r="B20" s="5001" t="s">
        <v>374</v>
      </c>
      <c r="C20" s="4963"/>
      <c r="D20" s="4980"/>
      <c r="E20" s="4981"/>
      <c r="F20" s="4976"/>
      <c r="G20" s="4981"/>
      <c r="H20" s="4976"/>
      <c r="I20" s="4982"/>
      <c r="J20" s="4976"/>
      <c r="K20" s="4981"/>
      <c r="L20" s="4976"/>
      <c r="M20" s="4976"/>
      <c r="N20" s="4976"/>
      <c r="O20" s="4981"/>
      <c r="P20" s="4976"/>
      <c r="Q20" s="4976"/>
      <c r="R20" s="4976"/>
      <c r="S20" s="4976"/>
      <c r="T20" s="4976"/>
      <c r="U20" s="4976"/>
      <c r="V20" s="4976"/>
      <c r="W20" s="4976"/>
      <c r="X20" s="4976"/>
      <c r="Y20" s="4976"/>
      <c r="Z20" s="4976"/>
      <c r="AA20" s="4976"/>
      <c r="AB20" s="4976"/>
      <c r="AC20" s="4976"/>
      <c r="AD20" s="4976"/>
      <c r="AE20" s="4976"/>
      <c r="AF20" s="4976"/>
      <c r="AG20" s="4976"/>
      <c r="AH20" s="4976"/>
      <c r="AI20" s="4976"/>
      <c r="AJ20" s="4976"/>
      <c r="AK20" s="4976"/>
      <c r="AL20" s="4976"/>
      <c r="AM20" s="4976"/>
      <c r="AN20" s="4976"/>
      <c r="AO20" s="4976"/>
      <c r="AP20" s="4976"/>
      <c r="AQ20" s="4976"/>
      <c r="AR20" s="4976"/>
      <c r="AS20" s="4976"/>
      <c r="AT20" s="4976"/>
      <c r="AU20" s="4976"/>
      <c r="AV20" s="4976"/>
      <c r="AW20" s="4976"/>
      <c r="AX20" s="4976"/>
      <c r="AY20" s="4976"/>
      <c r="AZ20" s="4976"/>
      <c r="BA20" s="4976"/>
      <c r="BB20" s="4976"/>
      <c r="BC20" s="4976"/>
      <c r="BD20" s="4976"/>
      <c r="BE20" s="4976"/>
      <c r="BF20" s="4980"/>
      <c r="BG20" s="4981"/>
      <c r="BH20" s="4976"/>
      <c r="BI20" s="4976"/>
      <c r="BJ20" s="4976"/>
      <c r="BK20" s="4976"/>
      <c r="BL20" s="4976"/>
      <c r="BM20" s="2070"/>
      <c r="BN20" s="2284"/>
      <c r="BO20" s="2284"/>
      <c r="BP20" s="2244"/>
      <c r="BR20" s="2285"/>
      <c r="BS20" s="2285"/>
    </row>
    <row r="21" spans="1:79" ht="18.75" x14ac:dyDescent="0.25">
      <c r="B21" s="987" t="s">
        <v>17</v>
      </c>
      <c r="C21" s="2385" t="s">
        <v>51</v>
      </c>
      <c r="D21" s="5298">
        <v>96</v>
      </c>
      <c r="E21" s="3181">
        <f>+$D$21</f>
        <v>96</v>
      </c>
      <c r="F21" s="4909">
        <f>+WRM!F127</f>
        <v>95.511559232649461</v>
      </c>
      <c r="G21" s="3181">
        <f>+$D$21</f>
        <v>96</v>
      </c>
      <c r="H21" s="4909">
        <f>+WRM!H127</f>
        <v>95.428893252507081</v>
      </c>
      <c r="I21" s="3189">
        <f>+$D$21</f>
        <v>96</v>
      </c>
      <c r="J21" s="4858">
        <f>+WRM!J127</f>
        <v>95.474536459714741</v>
      </c>
      <c r="K21" s="3181">
        <f>+$D$21</f>
        <v>96</v>
      </c>
      <c r="L21" s="4909">
        <f>+WRM!L127</f>
        <v>95.378901285987027</v>
      </c>
      <c r="M21" s="484">
        <f>+$D$21</f>
        <v>96</v>
      </c>
      <c r="N21" s="3604">
        <f>+WRM!N127</f>
        <v>95.443958064910717</v>
      </c>
      <c r="O21" s="3181">
        <f>+$D$21</f>
        <v>96</v>
      </c>
      <c r="P21" s="4909">
        <f>+WRM!P127</f>
        <v>96.122203486909754</v>
      </c>
      <c r="Q21" s="4797">
        <f>+$D$21</f>
        <v>96</v>
      </c>
      <c r="R21" s="4797">
        <f>+WRM!R127</f>
        <v>95.637199700444384</v>
      </c>
      <c r="S21" s="4859">
        <f>+$D$21</f>
        <v>96</v>
      </c>
      <c r="T21" s="4909">
        <f>+WRM!T127</f>
        <v>95.912174777353783</v>
      </c>
      <c r="U21" s="4797">
        <f>+$D$21</f>
        <v>96</v>
      </c>
      <c r="V21" s="4797">
        <f>+WRM!V127</f>
        <v>95.703545892920232</v>
      </c>
      <c r="W21" s="4859">
        <f>+$D$21</f>
        <v>96</v>
      </c>
      <c r="X21" s="4859">
        <f>+WRM!X127</f>
        <v>96.332563487208901</v>
      </c>
      <c r="Y21" s="484">
        <f>+$D$21</f>
        <v>96</v>
      </c>
      <c r="Z21" s="3604">
        <f>+WRM!Z127</f>
        <v>96.120080286073232</v>
      </c>
      <c r="AA21" s="594">
        <f>+$D$21</f>
        <v>96</v>
      </c>
      <c r="AB21" s="4800">
        <f>+WRM!AB127</f>
        <v>95.822792785944003</v>
      </c>
      <c r="AC21" s="4859">
        <f>+$D$21</f>
        <v>96</v>
      </c>
      <c r="AD21" s="4909">
        <f>+WRM!AD127</f>
        <v>95.789459373094132</v>
      </c>
      <c r="AE21" s="4797">
        <f>+$D$21</f>
        <v>96</v>
      </c>
      <c r="AF21" s="4797">
        <f>+WRM!AF127</f>
        <v>95.817670910217899</v>
      </c>
      <c r="AG21" s="4859">
        <f>+$D$21</f>
        <v>96</v>
      </c>
      <c r="AH21" s="4909">
        <f>+WRM!AH127</f>
        <v>96.219044909947257</v>
      </c>
      <c r="AI21" s="4797">
        <f>+$D$21</f>
        <v>96</v>
      </c>
      <c r="AJ21" s="4797">
        <f>+WRM!AJ127</f>
        <v>95.868201008318906</v>
      </c>
      <c r="AK21" s="4859">
        <f>+$D$21</f>
        <v>96</v>
      </c>
      <c r="AL21" s="4909">
        <f>+WRM!AL127</f>
        <v>96.179583627596031</v>
      </c>
      <c r="AM21" s="484">
        <f>+$D$21</f>
        <v>96</v>
      </c>
      <c r="AN21" s="3604">
        <f>+WRM!AN127</f>
        <v>96.05801007231419</v>
      </c>
      <c r="AO21" s="4797">
        <f>+$D$21</f>
        <v>96</v>
      </c>
      <c r="AP21" s="4797">
        <f>+WRM!AP127</f>
        <v>95.904007379346396</v>
      </c>
      <c r="AQ21" s="4859">
        <f>+$D$21</f>
        <v>96</v>
      </c>
      <c r="AR21" s="4909">
        <f>+WRM!AR127</f>
        <v>96.114071129795875</v>
      </c>
      <c r="AS21" s="4797">
        <f>+$D$21</f>
        <v>96</v>
      </c>
      <c r="AT21" s="4797">
        <f>+WRM!AT127</f>
        <v>95.926718024256942</v>
      </c>
      <c r="AU21" s="4859">
        <f>+$D$21</f>
        <v>96</v>
      </c>
      <c r="AV21" s="4909">
        <f>+WRM!AV127</f>
        <v>95.658422188417418</v>
      </c>
      <c r="AW21" s="4797">
        <f>+$D$21</f>
        <v>96</v>
      </c>
      <c r="AX21" s="4797">
        <f>+WRM!AX127</f>
        <v>95.904476830076064</v>
      </c>
      <c r="AY21" s="4859">
        <f>+$D$21</f>
        <v>96</v>
      </c>
      <c r="AZ21" s="4909">
        <f>+WRM!AZ127</f>
        <v>95.620502693121551</v>
      </c>
      <c r="BA21" s="484">
        <f>+$D$21</f>
        <v>96</v>
      </c>
      <c r="BB21" s="485">
        <f>+WRM!BB127</f>
        <v>95.81418718852612</v>
      </c>
      <c r="BC21" s="596">
        <f>+$D$21</f>
        <v>96</v>
      </c>
      <c r="BD21" s="596">
        <f>+WRM!BD127</f>
        <v>95.939088550129867</v>
      </c>
      <c r="BE21" s="4853">
        <f>+$D$21</f>
        <v>96</v>
      </c>
      <c r="BF21" s="5277">
        <f>+WRM!BF127</f>
        <v>95.88178499213079</v>
      </c>
      <c r="BG21" s="4910">
        <v>96</v>
      </c>
      <c r="BH21" s="4911">
        <v>95.450038252944893</v>
      </c>
      <c r="BI21" s="4911">
        <v>95.999999938560009</v>
      </c>
      <c r="BJ21" s="4911">
        <v>95.505335593423183</v>
      </c>
      <c r="BK21" s="4911">
        <v>96.222984019632065</v>
      </c>
      <c r="BL21" s="4911">
        <v>94.958654249153824</v>
      </c>
      <c r="BM21" s="1506">
        <v>96.5</v>
      </c>
      <c r="BN21" s="1490">
        <v>96.195270984402612</v>
      </c>
      <c r="BO21" s="1490">
        <v>96.032658515622913</v>
      </c>
      <c r="BP21" s="648"/>
      <c r="BR21" s="2258"/>
      <c r="BS21" s="2258"/>
    </row>
    <row r="22" spans="1:79" ht="18.75" x14ac:dyDescent="0.25">
      <c r="B22" s="987" t="s">
        <v>93</v>
      </c>
      <c r="C22" s="2385" t="s">
        <v>51</v>
      </c>
      <c r="D22" s="5298">
        <v>96.5</v>
      </c>
      <c r="E22" s="3181">
        <f>+$D$22</f>
        <v>96.5</v>
      </c>
      <c r="F22" s="4909">
        <f>+BM!F54</f>
        <v>95.688196506497718</v>
      </c>
      <c r="G22" s="3181">
        <f>+$D$22</f>
        <v>96.5</v>
      </c>
      <c r="H22" s="4909">
        <f>+BM!H54</f>
        <v>95.843255905811219</v>
      </c>
      <c r="I22" s="3189">
        <f>+$D$22</f>
        <v>96.5</v>
      </c>
      <c r="J22" s="4858">
        <f>+BM!J54</f>
        <v>95.757067356541015</v>
      </c>
      <c r="K22" s="3181">
        <f>+$D$22</f>
        <v>96.5</v>
      </c>
      <c r="L22" s="4909">
        <f>+BM!L54</f>
        <v>95.747583268874223</v>
      </c>
      <c r="M22" s="484">
        <f>+$D$22</f>
        <v>96.5</v>
      </c>
      <c r="N22" s="3604">
        <f>+BM!N54</f>
        <v>95.754216526960008</v>
      </c>
      <c r="O22" s="3181">
        <f>+$D$22</f>
        <v>96.5</v>
      </c>
      <c r="P22" s="4909">
        <f>+BM!P54</f>
        <v>95.984317544469334</v>
      </c>
      <c r="Q22" s="4797">
        <f>+$D$22</f>
        <v>96.5</v>
      </c>
      <c r="R22" s="4797">
        <f>+BM!R54</f>
        <v>95.821059288419647</v>
      </c>
      <c r="S22" s="4859">
        <f>+$D$22</f>
        <v>96.5</v>
      </c>
      <c r="T22" s="4909">
        <f>+BM!T54</f>
        <v>96.282520735717824</v>
      </c>
      <c r="U22" s="4797">
        <f>+$D$22</f>
        <v>96.5</v>
      </c>
      <c r="V22" s="4797">
        <f>+BM!V54</f>
        <v>95.932704944146579</v>
      </c>
      <c r="W22" s="4859">
        <f>+$D$22</f>
        <v>96.5</v>
      </c>
      <c r="X22" s="4859">
        <f>+BM!X54</f>
        <v>96.220522655162881</v>
      </c>
      <c r="Y22" s="484">
        <f>+$D$22</f>
        <v>96.5</v>
      </c>
      <c r="Z22" s="3604">
        <f>+BM!Z54</f>
        <v>96.164318670794245</v>
      </c>
      <c r="AA22" s="594">
        <f>+$D$22</f>
        <v>96.5</v>
      </c>
      <c r="AB22" s="4800">
        <f>+BM!AB54</f>
        <v>95.979960425703709</v>
      </c>
      <c r="AC22" s="4859">
        <f>+$D$22</f>
        <v>96.5</v>
      </c>
      <c r="AD22" s="4909">
        <f>+BM!AD54</f>
        <v>96.155345222550608</v>
      </c>
      <c r="AE22" s="4797">
        <f>+$D$22</f>
        <v>96.5</v>
      </c>
      <c r="AF22" s="4797">
        <f>+BM!AF54</f>
        <v>96.0030331853077</v>
      </c>
      <c r="AG22" s="4859">
        <f>+$D$22</f>
        <v>96.5</v>
      </c>
      <c r="AH22" s="4909">
        <f>+BM!AH54</f>
        <v>95.971529279348573</v>
      </c>
      <c r="AI22" s="4797">
        <f>+$D$22</f>
        <v>96.5</v>
      </c>
      <c r="AJ22" s="4797">
        <f>+BM!AJ54</f>
        <v>95.999468635984158</v>
      </c>
      <c r="AK22" s="4859">
        <f>+$D$22</f>
        <v>96.5</v>
      </c>
      <c r="AL22" s="4909">
        <f>+BM!AL54</f>
        <v>96.1511508761361</v>
      </c>
      <c r="AM22" s="484">
        <f>+$D$22</f>
        <v>96.5</v>
      </c>
      <c r="AN22" s="3604">
        <f>+BM!AN54</f>
        <v>96.095900612075141</v>
      </c>
      <c r="AO22" s="4797">
        <f>+$D$22</f>
        <v>96.5</v>
      </c>
      <c r="AP22" s="4797">
        <f>+BM!AP54</f>
        <v>96.016820280085554</v>
      </c>
      <c r="AQ22" s="4859">
        <f>+$D$22</f>
        <v>96.5</v>
      </c>
      <c r="AR22" s="4909">
        <f>+BM!AR54</f>
        <v>96.359158538156947</v>
      </c>
      <c r="AS22" s="4797">
        <f>+$D$22</f>
        <v>96.5</v>
      </c>
      <c r="AT22" s="4797">
        <f>+BM!AT54</f>
        <v>96.053452289952389</v>
      </c>
      <c r="AU22" s="4859">
        <f>+$D$22</f>
        <v>96.5</v>
      </c>
      <c r="AV22" s="4909">
        <f>+BM!AV54</f>
        <v>96.199129897119747</v>
      </c>
      <c r="AW22" s="4797">
        <f>+$D$22</f>
        <v>96.5</v>
      </c>
      <c r="AX22" s="4797">
        <f>+BM!AX54</f>
        <v>96.066527718534189</v>
      </c>
      <c r="AY22" s="4859">
        <f>+$D$22</f>
        <v>96.5</v>
      </c>
      <c r="AZ22" s="4909">
        <f>+BM!AZ54</f>
        <v>96.320741507202996</v>
      </c>
      <c r="BA22" s="484">
        <f>+$D$22</f>
        <v>96.5</v>
      </c>
      <c r="BB22" s="485">
        <f>+BM!BB54</f>
        <v>96.295370741214143</v>
      </c>
      <c r="BC22" s="596">
        <f>+$D$22</f>
        <v>96.5</v>
      </c>
      <c r="BD22" s="596">
        <f>+BM!BD54</f>
        <v>96.200119022404422</v>
      </c>
      <c r="BE22" s="4853">
        <f>+$D$22</f>
        <v>96.5</v>
      </c>
      <c r="BF22" s="5277">
        <f>+BM!BF54</f>
        <v>96.088707842896071</v>
      </c>
      <c r="BG22" s="4910">
        <v>96.5</v>
      </c>
      <c r="BH22" s="4911">
        <v>95.450022221864671</v>
      </c>
      <c r="BI22" s="4911">
        <v>96.499981924910045</v>
      </c>
      <c r="BJ22" s="4911">
        <v>95.423965808878961</v>
      </c>
      <c r="BK22" s="4911">
        <v>96.209843463927712</v>
      </c>
      <c r="BL22" s="4911">
        <v>95.175924318366739</v>
      </c>
      <c r="BM22" s="1506">
        <v>96.5</v>
      </c>
      <c r="BN22" s="1490">
        <v>96.065592581466589</v>
      </c>
      <c r="BO22" s="1490">
        <v>96.054939695674079</v>
      </c>
      <c r="BP22" s="648"/>
      <c r="BR22" s="2258"/>
      <c r="BS22" s="2258"/>
    </row>
    <row r="23" spans="1:79" ht="18.75" x14ac:dyDescent="0.25">
      <c r="B23" s="987" t="s">
        <v>112</v>
      </c>
      <c r="C23" s="2385" t="s">
        <v>51</v>
      </c>
      <c r="D23" s="5298">
        <v>94.5</v>
      </c>
      <c r="E23" s="3181">
        <f>+$D$23</f>
        <v>94.5</v>
      </c>
      <c r="F23" s="4909">
        <f>+USM!G75</f>
        <v>93.240057194215652</v>
      </c>
      <c r="G23" s="3181">
        <f>+$D$23</f>
        <v>94.5</v>
      </c>
      <c r="H23" s="4909">
        <f>+USM!I75</f>
        <v>93.172235359216458</v>
      </c>
      <c r="I23" s="3189">
        <f>+$D$23</f>
        <v>94.5</v>
      </c>
      <c r="J23" s="4858">
        <f>+USM!K75</f>
        <v>86.307689710791664</v>
      </c>
      <c r="K23" s="3181">
        <f>+$D$23</f>
        <v>94.5</v>
      </c>
      <c r="L23" s="4909">
        <f>+USM!M75</f>
        <v>93.333161558090254</v>
      </c>
      <c r="M23" s="484">
        <f>+$D$23</f>
        <v>94.5</v>
      </c>
      <c r="N23" s="3604">
        <f>+USM!O75</f>
        <v>93.247931453128047</v>
      </c>
      <c r="O23" s="3181">
        <f>+$D$23</f>
        <v>94.5</v>
      </c>
      <c r="P23" s="4909">
        <f>+USM!Q75</f>
        <v>93.234016125098975</v>
      </c>
      <c r="Q23" s="4797">
        <f>+$D$23</f>
        <v>94.5</v>
      </c>
      <c r="R23" s="4797">
        <f>+USM!S75</f>
        <v>86.31257886834635</v>
      </c>
      <c r="S23" s="4859">
        <f>+$D$23</f>
        <v>94.5</v>
      </c>
      <c r="T23" s="4909">
        <f>+USM!U75</f>
        <v>93.989717136792336</v>
      </c>
      <c r="U23" s="4797">
        <f>+$D$23</f>
        <v>94.5</v>
      </c>
      <c r="V23" s="4797">
        <f>+USM!W75</f>
        <v>88.301363942490099</v>
      </c>
      <c r="W23" s="4859">
        <f>+$D$23</f>
        <v>94.5</v>
      </c>
      <c r="X23" s="4859">
        <f>+USM!Y75</f>
        <v>94.27443723927226</v>
      </c>
      <c r="Y23" s="484">
        <f>+$D$23</f>
        <v>94.5</v>
      </c>
      <c r="Z23" s="3604">
        <f>+USM!AA75</f>
        <v>93.862674685616255</v>
      </c>
      <c r="AA23" s="594">
        <f>+$D$23</f>
        <v>94.5</v>
      </c>
      <c r="AB23" s="4800">
        <f>+USM!AC75</f>
        <v>93.587745622722622</v>
      </c>
      <c r="AC23" s="4859">
        <f>+$D$23</f>
        <v>94.5</v>
      </c>
      <c r="AD23" s="4909">
        <f>+USM!AE75</f>
        <v>94.011322588621695</v>
      </c>
      <c r="AE23" s="4797">
        <f>+$D$23</f>
        <v>94.5</v>
      </c>
      <c r="AF23" s="4797">
        <f>+USM!AG75</f>
        <v>93.654014367677405</v>
      </c>
      <c r="AG23" s="4859">
        <f>+$D$23</f>
        <v>94.5</v>
      </c>
      <c r="AH23" s="4909">
        <f>+USM!AI75</f>
        <v>94.749412344581103</v>
      </c>
      <c r="AI23" s="4797">
        <f>+$D$23</f>
        <v>94.5</v>
      </c>
      <c r="AJ23" s="4797">
        <f>+USM!AK75</f>
        <v>93.810843577174012</v>
      </c>
      <c r="AK23" s="4859">
        <f>+$D$23</f>
        <v>94.5</v>
      </c>
      <c r="AL23" s="4909">
        <f>+USM!AM75</f>
        <v>95.116565080010588</v>
      </c>
      <c r="AM23" s="484">
        <f>+$D$23</f>
        <v>94.5</v>
      </c>
      <c r="AN23" s="3604">
        <f>+USM!AO75</f>
        <v>94.636165546201539</v>
      </c>
      <c r="AO23" s="4797">
        <f>+$D$23</f>
        <v>94.5</v>
      </c>
      <c r="AP23" s="4797">
        <f>+USM!AQ75</f>
        <v>93.971804310573006</v>
      </c>
      <c r="AQ23" s="4859">
        <f>+$D$23</f>
        <v>94.5</v>
      </c>
      <c r="AR23" s="4909">
        <f>+USM!AS75</f>
        <v>95.22292406320868</v>
      </c>
      <c r="AS23" s="4797">
        <f>+$D$23</f>
        <v>94.5</v>
      </c>
      <c r="AT23" s="4797">
        <f>+USM!AU75</f>
        <v>94.109506009676764</v>
      </c>
      <c r="AU23" s="4859">
        <f>+$D$23</f>
        <v>94.5</v>
      </c>
      <c r="AV23" s="4909">
        <f>+USM!AW75</f>
        <v>94.47748348827885</v>
      </c>
      <c r="AW23" s="4797">
        <f>+$D$23</f>
        <v>94.5</v>
      </c>
      <c r="AX23" s="4797">
        <f>+USM!AY75</f>
        <v>94.147359430017033</v>
      </c>
      <c r="AY23" s="4859">
        <f>+$D$23</f>
        <v>94.5</v>
      </c>
      <c r="AZ23" s="4909">
        <f>+USM!BA75</f>
        <v>94.357689149629067</v>
      </c>
      <c r="BA23" s="484">
        <f>+$D$23</f>
        <v>94.5</v>
      </c>
      <c r="BB23" s="485">
        <f>+USM!BC75</f>
        <v>94.668830174026652</v>
      </c>
      <c r="BC23" s="596">
        <f>+$D$23</f>
        <v>94.5</v>
      </c>
      <c r="BD23" s="596">
        <f>+USM!BE75</f>
        <v>94.653082638272409</v>
      </c>
      <c r="BE23" s="4853">
        <f>+$D$23</f>
        <v>94.5</v>
      </c>
      <c r="BF23" s="5277">
        <f>+USM!BG75</f>
        <v>94.168642194921944</v>
      </c>
      <c r="BG23" s="4910">
        <v>94.5</v>
      </c>
      <c r="BH23" s="4911">
        <v>93.371871065542948</v>
      </c>
      <c r="BI23" s="4911">
        <v>95.700065288711201</v>
      </c>
      <c r="BJ23" s="4911">
        <v>93.445480895587224</v>
      </c>
      <c r="BK23" s="4911">
        <v>95.699819475340547</v>
      </c>
      <c r="BL23" s="4911">
        <v>95.266762287385887</v>
      </c>
      <c r="BM23" s="1506">
        <v>95.7</v>
      </c>
      <c r="BN23" s="1490">
        <v>95.476013180662989</v>
      </c>
      <c r="BO23" s="1490">
        <v>95.486332877569964</v>
      </c>
      <c r="BP23" s="648"/>
      <c r="BR23" s="2258"/>
      <c r="BS23" s="2258"/>
    </row>
    <row r="24" spans="1:79" ht="18.75" x14ac:dyDescent="0.25">
      <c r="B24" s="4799" t="s">
        <v>1514</v>
      </c>
      <c r="C24" s="2385" t="s">
        <v>331</v>
      </c>
      <c r="D24" s="5299">
        <v>5.950106223617726</v>
      </c>
      <c r="E24" s="3182">
        <f>+EMD!D123</f>
        <v>5.9143822283279146</v>
      </c>
      <c r="F24" s="3182">
        <f>+EMD!E123</f>
        <v>6.0968115739280559</v>
      </c>
      <c r="G24" s="3182">
        <f>+EMD!F123</f>
        <v>6.1808714585621685</v>
      </c>
      <c r="H24" s="3182">
        <f>+EMD!G123</f>
        <v>6.3183195538888874</v>
      </c>
      <c r="I24" s="3182">
        <f>+EMD!H123</f>
        <v>6.035558705986686</v>
      </c>
      <c r="J24" s="3182">
        <f>+EMD!I123</f>
        <v>6.1978563431418312</v>
      </c>
      <c r="K24" s="3182">
        <f>+EMD!J123</f>
        <v>6.0720788055654129</v>
      </c>
      <c r="L24" s="3182">
        <f>+EMD!K123</f>
        <v>6.3149177732184221</v>
      </c>
      <c r="M24" s="3182">
        <f>+EMD!L123</f>
        <v>6.0467998143125197</v>
      </c>
      <c r="N24" s="3182">
        <f>+EMD!M123</f>
        <v>6.2351670552735978</v>
      </c>
      <c r="O24" s="3182">
        <f>+EMD!N123</f>
        <v>6.0152482368724547</v>
      </c>
      <c r="P24" s="3182">
        <f>+EMD!O123</f>
        <v>5.8838941694890767</v>
      </c>
      <c r="Q24" s="3182">
        <f>+EMD!P123</f>
        <v>6.0380742187465701</v>
      </c>
      <c r="R24" s="3182">
        <f>+EMD!Q123</f>
        <v>6.1359441409281841</v>
      </c>
      <c r="S24" s="3182">
        <f>+EMD!R123</f>
        <v>5.9733636889687629</v>
      </c>
      <c r="T24" s="3182">
        <f>+EMD!S123</f>
        <v>6.0500469798965497</v>
      </c>
      <c r="U24" s="3182">
        <f>+EMD!T123</f>
        <v>6.0240554118254623</v>
      </c>
      <c r="V24" s="3182">
        <f>+EMD!U123</f>
        <v>6.1187588840862865</v>
      </c>
      <c r="W24" s="3182">
        <f>+EMD!V123</f>
        <v>5.9309414202934763</v>
      </c>
      <c r="X24" s="3182">
        <f>+EMD!W123</f>
        <v>6.1760627567734172</v>
      </c>
      <c r="Y24" s="3182">
        <f>+EMD!X123</f>
        <v>5.9736030517678032</v>
      </c>
      <c r="Z24" s="3182">
        <f>+EMD!Y123</f>
        <v>6.03249795209884</v>
      </c>
      <c r="AA24" s="3182">
        <f>+EMD!Z123</f>
        <v>6.007878495917371</v>
      </c>
      <c r="AB24" s="3182">
        <f>+EMD!AA123</f>
        <v>6.1286045094844148</v>
      </c>
      <c r="AC24" s="3182">
        <f>+EMD!AB123</f>
        <v>5.9004368116482926</v>
      </c>
      <c r="AD24" s="3182">
        <f>+EMD!AC123</f>
        <v>6.1695582025783215</v>
      </c>
      <c r="AE24" s="3182">
        <f>+EMD!AD123</f>
        <v>5.9911607315594226</v>
      </c>
      <c r="AF24" s="3182">
        <f>+EMD!AE123</f>
        <v>6.1348401515668138</v>
      </c>
      <c r="AG24" s="3182">
        <f>+EMD!AF123</f>
        <v>5.8998206418045784</v>
      </c>
      <c r="AH24" s="3182">
        <f>+EMD!AG123</f>
        <v>6.425784841340243</v>
      </c>
      <c r="AI24" s="3182">
        <f>+EMD!AH123</f>
        <v>5.9792113518336949</v>
      </c>
      <c r="AJ24" s="3182">
        <f>+EMD!AI123</f>
        <v>6.1686789868340011</v>
      </c>
      <c r="AK24" s="3182">
        <f>+EMD!AJ123</f>
        <v>5.8956844735941329</v>
      </c>
      <c r="AL24" s="3182">
        <f>+EMD!AK123</f>
        <v>6.2687582675246007</v>
      </c>
      <c r="AM24" s="3182">
        <f>+EMD!AL123</f>
        <v>5.8986303314273627</v>
      </c>
      <c r="AN24" s="3182">
        <f>+EMD!AM123</f>
        <v>6.2814464397521483</v>
      </c>
      <c r="AO24" s="3182">
        <f>+EMD!AN123</f>
        <v>5.9692249194196982</v>
      </c>
      <c r="AP24" s="3182">
        <f>+EMD!AO123</f>
        <v>6.1801908561695962</v>
      </c>
      <c r="AQ24" s="3182">
        <f>+EMD!AP123</f>
        <v>5.8950877615972912</v>
      </c>
      <c r="AR24" s="3182">
        <f>+EMD!AQ123</f>
        <v>6.2965609290634514</v>
      </c>
      <c r="AS24" s="3182">
        <f>+EMD!AR123</f>
        <v>5.9613076966116854</v>
      </c>
      <c r="AT24" s="3182">
        <f>+EMD!AS123</f>
        <v>6.1921377754670353</v>
      </c>
      <c r="AU24" s="3182">
        <f>+EMD!AT123</f>
        <v>5.8972032723485617</v>
      </c>
      <c r="AV24" s="3182">
        <f>+EMD!AU123</f>
        <v>6.1977894365816137</v>
      </c>
      <c r="AW24" s="3182">
        <f>+EMD!AV123</f>
        <v>5.955511526607812</v>
      </c>
      <c r="AX24" s="3182">
        <f>+EMD!AW123</f>
        <v>6.1921637303082955</v>
      </c>
      <c r="AY24" s="3182">
        <f>+EMD!AX123</f>
        <v>5.8912713620202481</v>
      </c>
      <c r="AZ24" s="3182">
        <f>+EMD!AY123</f>
        <v>6.1937231293367878</v>
      </c>
      <c r="BA24" s="3182">
        <f>+EMD!AZ123</f>
        <v>5.8944530810376508</v>
      </c>
      <c r="BB24" s="3182">
        <f>+EMD!BA123</f>
        <v>6.2294206577805422</v>
      </c>
      <c r="BC24" s="3182">
        <f>+EMD!BB123</f>
        <v>5.896550355977932</v>
      </c>
      <c r="BD24" s="3182">
        <f>+EMD!BC123</f>
        <v>6.2550659615169106</v>
      </c>
      <c r="BE24" s="3182">
        <f>+EMD!BD123</f>
        <v>5.9498028934774796</v>
      </c>
      <c r="BF24" s="3182">
        <f>+EMD!BE123</f>
        <v>6.1924446176470314</v>
      </c>
      <c r="BG24" s="4915">
        <v>5.989203092506215</v>
      </c>
      <c r="BH24" s="4917">
        <v>6.2012037687729737</v>
      </c>
      <c r="BI24" s="4917">
        <v>5.9854778159958535</v>
      </c>
      <c r="BJ24" s="4916">
        <v>6.3006370372485003</v>
      </c>
      <c r="BK24" s="4917">
        <v>6.1969869203763626</v>
      </c>
      <c r="BL24" s="4916">
        <v>6.4827565550935358</v>
      </c>
      <c r="BM24" s="1507">
        <v>5.95</v>
      </c>
      <c r="BN24" s="1491">
        <v>6.1800190917369466</v>
      </c>
      <c r="BO24" s="1491">
        <v>6.3116941199196104</v>
      </c>
      <c r="BP24" s="648"/>
      <c r="BR24" s="2258"/>
      <c r="BS24" s="2258"/>
    </row>
    <row r="25" spans="1:79" ht="18.75" x14ac:dyDescent="0.25">
      <c r="B25" s="6124" t="s">
        <v>315</v>
      </c>
      <c r="C25" s="2385" t="s">
        <v>375</v>
      </c>
      <c r="D25" s="5294">
        <v>491.86960781478848</v>
      </c>
      <c r="E25" s="888">
        <v>483.19685622478522</v>
      </c>
      <c r="F25" s="245">
        <f>+'POWER DISTRIBUTION'!J18/('Maj Production Summ'!F35+0.25*'Maj Production Summ'!F24)</f>
        <v>489.61447510408107</v>
      </c>
      <c r="G25" s="888">
        <v>555.34525437993739</v>
      </c>
      <c r="H25" s="245">
        <f>+'POWER DISTRIBUTION'!L18/('Maj Production Summ'!H35+0.25*'Maj Production Summ'!H24)</f>
        <v>565.21867890921999</v>
      </c>
      <c r="I25" s="423">
        <f>+'POWER DISTRIBUTION'!M18/('Maj Production Summ'!I35+0.25*'Maj Production Summ'!I24)</f>
        <v>516.00480553139403</v>
      </c>
      <c r="J25" s="4783">
        <f>+'POWER DISTRIBUTION'!N18/('Maj Production Summ'!J35+0.25*'Maj Production Summ'!J24)</f>
        <v>523.03724703087323</v>
      </c>
      <c r="K25" s="888">
        <v>535.82413718870134</v>
      </c>
      <c r="L25" s="245">
        <f>+'POWER DISTRIBUTION'!P18/('Maj Production Summ'!L35+0.25*'Maj Production Summ'!L24)</f>
        <v>507.59125351635743</v>
      </c>
      <c r="M25" s="4785">
        <f>+'POWER DISTRIBUTION'!Q18/('Maj Production Summ'!M35+0.25*'Maj Production Summ'!M24)</f>
        <v>522.13785333068017</v>
      </c>
      <c r="N25" s="4785">
        <f>+'POWER DISTRIBUTION'!R18/('Maj Production Summ'!N35+0.25*'Maj Production Summ'!N24)</f>
        <v>517.94360074171357</v>
      </c>
      <c r="O25" s="888">
        <v>488.48180136583608</v>
      </c>
      <c r="P25" s="245">
        <f>+'POWER DISTRIBUTION'!T18/('Maj Production Summ'!P35+0.25*'Maj Production Summ'!P24)</f>
        <v>486.9995207310314</v>
      </c>
      <c r="Q25" s="4783">
        <f>+'POWER DISTRIBUTION'!U18/('Maj Production Summ'!Q35+0.25*'Maj Production Summ'!Q24)</f>
        <v>512.83809025721507</v>
      </c>
      <c r="R25" s="4783">
        <f>+'POWER DISTRIBUTION'!V18/('Maj Production Summ'!R35+0.25*'Maj Production Summ'!R24)</f>
        <v>509.24526959083641</v>
      </c>
      <c r="S25" s="4782">
        <v>488.0148135474833</v>
      </c>
      <c r="T25" s="4782">
        <f>+'POWER DISTRIBUTION'!X18/('Maj Production Summ'!T35+0.25*'Maj Production Summ'!T24)</f>
        <v>489.8359315594019</v>
      </c>
      <c r="U25" s="4783">
        <f>+'POWER DISTRIBUTION'!Y18/('Maj Production Summ'!U35+0.25*'Maj Production Summ'!U24)</f>
        <v>507.46394960416421</v>
      </c>
      <c r="V25" s="4783">
        <f>+'POWER DISTRIBUTION'!Z18/('Maj Production Summ'!V35+0.25*'Maj Production Summ'!V24)</f>
        <v>504.97204502769642</v>
      </c>
      <c r="W25" s="4782">
        <v>488.05175507359507</v>
      </c>
      <c r="X25" s="4782">
        <f>+'POWER DISTRIBUTION'!AB18/('Maj Production Summ'!X35+0.25*'Maj Production Summ'!X24)</f>
        <v>485.68392731048829</v>
      </c>
      <c r="Y25" s="4785">
        <f>+'POWER DISTRIBUTION'!AC18/('Maj Production Summ'!Y35+0.25*'Maj Production Summ'!Y24)</f>
        <v>488.18411291357648</v>
      </c>
      <c r="Z25" s="4785">
        <f>+'POWER DISTRIBUTION'!AD18/('Maj Production Summ'!Z35+0.25*'Maj Production Summ'!Z24)</f>
        <v>487.53706901030046</v>
      </c>
      <c r="AA25" s="595">
        <f>+'POWER DISTRIBUTION'!AE18/('Maj Production Summ'!AA35+0.25*'Maj Production Summ'!AA24)</f>
        <v>504.09483294185327</v>
      </c>
      <c r="AB25" s="595">
        <f>+'POWER DISTRIBUTION'!AF18/('Maj Production Summ'!AB35+0.25*'Maj Production Summ'!AB24)</f>
        <v>501.63071427671952</v>
      </c>
      <c r="AC25" s="4782">
        <v>480.77609220543809</v>
      </c>
      <c r="AD25" s="4782">
        <f>+'POWER DISTRIBUTION'!AH18/('Maj Production Summ'!AD35+0.25*'Maj Production Summ'!AD24)</f>
        <v>494.44382954063377</v>
      </c>
      <c r="AE25" s="4783">
        <f>+'POWER DISTRIBUTION'!AI18/('Maj Production Summ'!AE35+0.25*'Maj Production Summ'!AE24)</f>
        <v>500.47309411439693</v>
      </c>
      <c r="AF25" s="4783">
        <f>+'POWER DISTRIBUTION'!AJ18/('Maj Production Summ'!AF35+0.25*'Maj Production Summ'!AF24)</f>
        <v>500.55096956441201</v>
      </c>
      <c r="AG25" s="4782">
        <v>481.19179163150199</v>
      </c>
      <c r="AH25" s="4782">
        <f>+'POWER DISTRIBUTION'!AL18/('Maj Production Summ'!AH35+0.25*'Maj Production Summ'!AH24)</f>
        <v>530.33803929049759</v>
      </c>
      <c r="AI25" s="4783">
        <f>+'POWER DISTRIBUTION'!AM18/('Maj Production Summ'!AI35+0.25*'Maj Production Summ'!AI24)</f>
        <v>497.95179689193952</v>
      </c>
      <c r="AJ25" s="4783">
        <f>+'POWER DISTRIBUTION'!AN18/('Maj Production Summ'!AJ35+0.25*'Maj Production Summ'!AJ24)</f>
        <v>504.03020987765672</v>
      </c>
      <c r="AK25" s="4782">
        <v>479.98441619286115</v>
      </c>
      <c r="AL25" s="4782">
        <f>+'POWER DISTRIBUTION'!AP18/('Maj Production Summ'!AL35+0.25*'Maj Production Summ'!AL24)</f>
        <v>499.38184480261151</v>
      </c>
      <c r="AM25" s="4785">
        <f>+'POWER DISTRIBUTION'!AQ18/('Maj Production Summ'!AM35+0.25*'Maj Production Summ'!AM24)</f>
        <v>480.64404357731053</v>
      </c>
      <c r="AN25" s="4785">
        <f>+'POWER DISTRIBUTION'!AR18/('Maj Production Summ'!AN35+0.25*'Maj Production Summ'!AN24)</f>
        <v>507.17280936439607</v>
      </c>
      <c r="AO25" s="4783">
        <f>+'POWER DISTRIBUTION'!AS18/('Maj Production Summ'!AO35+0.25*'Maj Production Summ'!AO24)</f>
        <v>495.80618742860713</v>
      </c>
      <c r="AP25" s="4783">
        <f>+'POWER DISTRIBUTION'!AT18/('Maj Production Summ'!AP35+0.25*'Maj Production Summ'!AP24)</f>
        <v>503.49359586673319</v>
      </c>
      <c r="AQ25" s="4782">
        <v>480.51810507099913</v>
      </c>
      <c r="AR25" s="4782">
        <f>+'POWER DISTRIBUTION'!AV18/('Maj Production Summ'!AR35+0.25*'Maj Production Summ'!AR24)</f>
        <v>494.11668969769664</v>
      </c>
      <c r="AS25" s="4783">
        <f>+'POWER DISTRIBUTION'!AW18/('Maj Production Summ'!AS35+0.25*'Maj Production Summ'!AS24)</f>
        <v>494.17528849623494</v>
      </c>
      <c r="AT25" s="4783">
        <f>+'POWER DISTRIBUTION'!AX18/('Maj Production Summ'!AT35+0.25*'Maj Production Summ'!AT24)</f>
        <v>502.51349190666667</v>
      </c>
      <c r="AU25" s="4782">
        <v>481.09641426042771</v>
      </c>
      <c r="AV25" s="4782">
        <f>+'POWER DISTRIBUTION'!AZ18/('Maj Production Summ'!AV35+0.25*'Maj Production Summ'!AV24)</f>
        <v>471.21666350379951</v>
      </c>
      <c r="AW25" s="4783">
        <f>+'POWER DISTRIBUTION'!BA18/('Maj Production Summ'!AW35+0.25*'Maj Production Summ'!AW24)</f>
        <v>492.99398823177575</v>
      </c>
      <c r="AX25" s="4783">
        <f>+'POWER DISTRIBUTION'!BB18/('Maj Production Summ'!AX35+0.25*'Maj Production Summ'!AX24)</f>
        <v>499.60242653404947</v>
      </c>
      <c r="AY25" s="5135">
        <f>+'POWER DISTRIBUTION'!BC18/('Maj Production Summ'!AY35+0.25*'Maj Production Summ'!AY24)</f>
        <v>480.26804524557411</v>
      </c>
      <c r="AZ25" s="5032">
        <f>+'POWER DISTRIBUTION'!BD18/('Maj Production Summ'!AZ35+0.25*'Maj Production Summ'!AZ24)</f>
        <v>493.9928801430047</v>
      </c>
      <c r="BA25" s="5115">
        <f>+'POWER DISTRIBUTION'!BE18/('Maj Production Summ'!BA35+0.25*'Maj Production Summ'!BA24)</f>
        <v>480.61617474179462</v>
      </c>
      <c r="BB25" s="5115">
        <f>+'POWER DISTRIBUTION'!BF18/('Maj Production Summ'!BB35+0.25*'Maj Production Summ'!BB24)</f>
        <v>486.51729105608723</v>
      </c>
      <c r="BC25" s="595">
        <f>+'POWER DISTRIBUTION'!BG18/('Maj Production Summ'!BC35+0.25*'Maj Production Summ'!BC24)</f>
        <v>480.63017255703653</v>
      </c>
      <c r="BD25" s="595">
        <f>+'POWER DISTRIBUTION'!BH18/('Maj Production Summ'!BD35+0.25*'Maj Production Summ'!BD24)</f>
        <v>496.68087004214829</v>
      </c>
      <c r="BE25" s="5114">
        <f>+'POWER DISTRIBUTION'!BI18/('Maj Production Summ'!BE35+0.25*'Maj Production Summ'!BE24)</f>
        <v>491.86597886404491</v>
      </c>
      <c r="BF25" s="1874">
        <f>+'POWER DISTRIBUTION'!BJ18/('Maj Production Summ'!BF35+0.25*'Maj Production Summ'!BF24)</f>
        <v>499.12040640635269</v>
      </c>
      <c r="BG25" s="4860">
        <v>499.14522665560133</v>
      </c>
      <c r="BH25" s="4918">
        <v>516.74946439793155</v>
      </c>
      <c r="BI25" s="4918">
        <v>501.08847615207304</v>
      </c>
      <c r="BJ25" s="4918">
        <v>528.34198170405227</v>
      </c>
      <c r="BK25" s="4916">
        <v>500.04339220311806</v>
      </c>
      <c r="BL25" s="4911">
        <v>579.80533013641912</v>
      </c>
      <c r="BM25" s="1508">
        <v>483.42299975438647</v>
      </c>
      <c r="BN25" s="1490">
        <v>525.26172798809614</v>
      </c>
      <c r="BO25" s="1369">
        <v>552.0369062994705</v>
      </c>
      <c r="BP25" s="648"/>
      <c r="BR25" s="2258"/>
      <c r="BS25" s="2258"/>
    </row>
    <row r="26" spans="1:79" ht="18.75" x14ac:dyDescent="0.25">
      <c r="B26" s="6124"/>
      <c r="C26" s="2385" t="s">
        <v>280</v>
      </c>
      <c r="D26" s="5294">
        <v>475.03289294070828</v>
      </c>
      <c r="E26" s="888">
        <v>466.35936696432714</v>
      </c>
      <c r="F26" s="245">
        <f>+'POWER DISTRIBUTION'!J18/'Maj Production Summ'!F18</f>
        <v>468.23522153206574</v>
      </c>
      <c r="G26" s="888">
        <v>536.02475727545425</v>
      </c>
      <c r="H26" s="245">
        <f>+'POWER DISTRIBUTION'!L18/'Maj Production Summ'!H18</f>
        <v>524.83145057562774</v>
      </c>
      <c r="I26" s="423">
        <f>+'POWER DISTRIBUTION'!M18/'Maj Production Summ'!I18</f>
        <v>498.03721978113845</v>
      </c>
      <c r="J26" s="4783">
        <f>+'POWER DISTRIBUTION'!N18/'Maj Production Summ'!J18</f>
        <v>493.66733450032433</v>
      </c>
      <c r="K26" s="888">
        <v>521.1607977061791</v>
      </c>
      <c r="L26" s="245">
        <f>+'POWER DISTRIBUTION'!P18/'Maj Production Summ'!L18</f>
        <v>493.26069241271665</v>
      </c>
      <c r="M26" s="4785">
        <f>+'POWER DISTRIBUTION'!Q18/'Maj Production Summ'!M18</f>
        <v>505.15479742563269</v>
      </c>
      <c r="N26" s="4785">
        <f>+'POWER DISTRIBUTION'!R18/'Maj Production Summ'!N18</f>
        <v>493.53584256720427</v>
      </c>
      <c r="O26" s="888">
        <v>472.04439730134521</v>
      </c>
      <c r="P26" s="245">
        <f>+'POWER DISTRIBUTION'!T18/'Maj Production Summ'!P18</f>
        <v>456.08687433130001</v>
      </c>
      <c r="Q26" s="4783">
        <f>+'POWER DISTRIBUTION'!U18/'Maj Production Summ'!Q18</f>
        <v>495.99810910917535</v>
      </c>
      <c r="R26" s="4783">
        <f>+'POWER DISTRIBUTION'!V18/'Maj Production Summ'!R18</f>
        <v>482.87751271719975</v>
      </c>
      <c r="S26" s="4782">
        <v>471.59312302756331</v>
      </c>
      <c r="T26" s="4782">
        <f>+'POWER DISTRIBUTION'!X18/'Maj Production Summ'!T18</f>
        <v>472.02924522395637</v>
      </c>
      <c r="U26" s="4783">
        <f>+'POWER DISTRIBUTION'!Y18/'Maj Production Summ'!U18</f>
        <v>490.71104394427545</v>
      </c>
      <c r="V26" s="4783">
        <f>+'POWER DISTRIBUTION'!Z18/'Maj Production Summ'!V18</f>
        <v>480.5190426055878</v>
      </c>
      <c r="W26" s="4782">
        <v>471.36227457813231</v>
      </c>
      <c r="X26" s="4782">
        <f>+'POWER DISTRIBUTION'!AB18/'Maj Production Summ'!X18</f>
        <v>474.74859208126549</v>
      </c>
      <c r="Y26" s="4785">
        <f>+'POWER DISTRIBUTION'!AC18/'Maj Production Summ'!Y18</f>
        <v>471.66961396779107</v>
      </c>
      <c r="Z26" s="4785">
        <f>+'POWER DISTRIBUTION'!AD18/'Maj Production Summ'!Z18</f>
        <v>467.37755713689018</v>
      </c>
      <c r="AA26" s="595">
        <f>+'POWER DISTRIBUTION'!AE18/'Maj Production Summ'!AA18</f>
        <v>487.34953607836405</v>
      </c>
      <c r="AB26" s="595">
        <f>+'POWER DISTRIBUTION'!AF18/'Maj Production Summ'!AB18</f>
        <v>479.5414196464298</v>
      </c>
      <c r="AC26" s="4782">
        <v>463.8011097273864</v>
      </c>
      <c r="AD26" s="4782">
        <f>+'POWER DISTRIBUTION'!AH18/'Maj Production Summ'!AD18</f>
        <v>465.28824241515593</v>
      </c>
      <c r="AE26" s="4783">
        <f>+'POWER DISTRIBUTION'!AI18/'Maj Production Summ'!AE18</f>
        <v>483.68543638173082</v>
      </c>
      <c r="AF26" s="4783">
        <f>+'POWER DISTRIBUTION'!AJ18/'Maj Production Summ'!AF18</f>
        <v>477.37124381761532</v>
      </c>
      <c r="AG26" s="4782">
        <v>464.80918945683635</v>
      </c>
      <c r="AH26" s="4782">
        <f>+'POWER DISTRIBUTION'!AL18/'Maj Production Summ'!AH18</f>
        <v>510.3637432903181</v>
      </c>
      <c r="AI26" s="4783">
        <f>+'POWER DISTRIBUTION'!AM18/'Maj Production Summ'!AI18</f>
        <v>481.21599012973377</v>
      </c>
      <c r="AJ26" s="4783">
        <f>+'POWER DISTRIBUTION'!AN18/'Maj Production Summ'!AJ18</f>
        <v>481.19428273469629</v>
      </c>
      <c r="AK26" s="4782">
        <v>463.22431698317615</v>
      </c>
      <c r="AL26" s="4782">
        <f>+'POWER DISTRIBUTION'!AP18/'Maj Production Summ'!AL18</f>
        <v>474.64121368017038</v>
      </c>
      <c r="AM26" s="4785">
        <f>+'POWER DISTRIBUTION'!AQ18/'Maj Production Summ'!AM18</f>
        <v>463.93437563803684</v>
      </c>
      <c r="AN26" s="4785">
        <f>+'POWER DISTRIBUTION'!AR18/'Maj Production Summ'!AN18</f>
        <v>482.18961200079565</v>
      </c>
      <c r="AO26" s="4783">
        <f>+'POWER DISTRIBUTION'!AS18/'Maj Production Summ'!AO18</f>
        <v>479.06491455167281</v>
      </c>
      <c r="AP26" s="4783">
        <f>+'POWER DISTRIBUTION'!AT18/'Maj Production Summ'!AP18</f>
        <v>480.43480623741948</v>
      </c>
      <c r="AQ26" s="4782">
        <v>463.73937050932568</v>
      </c>
      <c r="AR26" s="4782">
        <f>+'POWER DISTRIBUTION'!AV18/'Maj Production Summ'!AR18</f>
        <v>474.64737213879187</v>
      </c>
      <c r="AS26" s="4783">
        <f>+'POWER DISTRIBUTION'!AW18/'Maj Production Summ'!AS18</f>
        <v>477.42827578103191</v>
      </c>
      <c r="AT26" s="4783">
        <f>+'POWER DISTRIBUTION'!AX18/'Maj Production Summ'!AT18</f>
        <v>479.83349418535715</v>
      </c>
      <c r="AU26" s="4782">
        <v>464.24800226386418</v>
      </c>
      <c r="AV26" s="4782">
        <f>+'POWER DISTRIBUTION'!AZ18/'Maj Production Summ'!AV18</f>
        <v>450.89618113876304</v>
      </c>
      <c r="AW26" s="4783">
        <f>+'POWER DISTRIBUTION'!BA18/'Maj Production Summ'!AW18</f>
        <v>476.23654670957978</v>
      </c>
      <c r="AX26" s="4783">
        <f>+'POWER DISTRIBUTION'!BB18/'Maj Production Summ'!AX18</f>
        <v>477.14702664319248</v>
      </c>
      <c r="AY26" s="5135">
        <f>+'POWER DISTRIBUTION'!BC18/'Maj Production Summ'!AY18</f>
        <v>462.65219841031319</v>
      </c>
      <c r="AZ26" s="5032">
        <f>+'POWER DISTRIBUTION'!BD18/'Maj Production Summ'!AZ18</f>
        <v>466.80250428251804</v>
      </c>
      <c r="BA26" s="5115">
        <f>+'POWER DISTRIBUTION'!BE18/'Maj Production Summ'!BA18</f>
        <v>463.52875347495086</v>
      </c>
      <c r="BB26" s="5115">
        <f>+'POWER DISTRIBUTION'!BF18/'Maj Production Summ'!BB18</f>
        <v>464.18893044907713</v>
      </c>
      <c r="BC26" s="595">
        <f>+'POWER DISTRIBUTION'!BG18/'Maj Production Summ'!BC18</f>
        <v>463.73240446986296</v>
      </c>
      <c r="BD26" s="595">
        <f>+'POWER DISTRIBUTION'!BH18/'Maj Production Summ'!BD18</f>
        <v>473.06209109561104</v>
      </c>
      <c r="BE26" s="5114">
        <f>+'POWER DISTRIBUTION'!BI18/'Maj Production Summ'!BE18</f>
        <v>475.02938820908332</v>
      </c>
      <c r="BF26" s="1874">
        <f>+'POWER DISTRIBUTION'!BJ18/'Maj Production Summ'!BF18</f>
        <v>476.2494644347301</v>
      </c>
      <c r="BG26" s="4860">
        <v>482.32052805467174</v>
      </c>
      <c r="BH26" s="4918">
        <v>494.76973868424994</v>
      </c>
      <c r="BI26" s="4918">
        <v>486.14726114397098</v>
      </c>
      <c r="BJ26" s="4918">
        <v>514.38475747997404</v>
      </c>
      <c r="BK26" s="4916">
        <v>487.7465843305942</v>
      </c>
      <c r="BL26" s="4911">
        <v>580.20285834899937</v>
      </c>
      <c r="BM26" s="1508">
        <v>448.29125296551734</v>
      </c>
      <c r="BN26" s="1490">
        <v>538.52023832812074</v>
      </c>
      <c r="BO26" s="1369">
        <v>565.51993685574621</v>
      </c>
      <c r="BP26" s="648"/>
      <c r="BR26" s="2258"/>
      <c r="BS26" s="2258"/>
    </row>
    <row r="27" spans="1:79" ht="18.75" x14ac:dyDescent="0.25">
      <c r="B27" s="4799" t="s">
        <v>1515</v>
      </c>
      <c r="C27" s="2385" t="s">
        <v>31</v>
      </c>
      <c r="D27" s="5300">
        <v>2.85</v>
      </c>
      <c r="E27" s="3180">
        <f>+$D$27</f>
        <v>2.85</v>
      </c>
      <c r="F27" s="4919">
        <v>2.95</v>
      </c>
      <c r="G27" s="3180">
        <f>+$D$27</f>
        <v>2.85</v>
      </c>
      <c r="H27" s="4919">
        <v>3.15</v>
      </c>
      <c r="I27" s="3191">
        <f>+$D$27</f>
        <v>2.85</v>
      </c>
      <c r="J27" s="4797">
        <f>+((F27*F32)+(H27*H32))/J32</f>
        <v>3.0398721112626905</v>
      </c>
      <c r="K27" s="3180">
        <f>+$D$27</f>
        <v>2.85</v>
      </c>
      <c r="L27" s="4919">
        <v>3.07</v>
      </c>
      <c r="M27" s="484">
        <f>+$D$27</f>
        <v>2.85</v>
      </c>
      <c r="N27" s="3604">
        <f>+((F32*F27)+(H32*H27)+(L32*L27))/N32</f>
        <v>3.0496142763056677</v>
      </c>
      <c r="O27" s="3180">
        <f>+$D$27</f>
        <v>2.85</v>
      </c>
      <c r="P27" s="4919">
        <v>3.02</v>
      </c>
      <c r="Q27" s="4797">
        <f>+$D$27</f>
        <v>2.85</v>
      </c>
      <c r="R27" s="4797">
        <f>+(((N27*N32)+(P27*P32))/R32)</f>
        <v>3.041185773732602</v>
      </c>
      <c r="S27" s="4909">
        <f>+$D$27</f>
        <v>2.85</v>
      </c>
      <c r="T27" s="4909">
        <v>3.04</v>
      </c>
      <c r="U27" s="4797">
        <f>+$D$27</f>
        <v>2.85</v>
      </c>
      <c r="V27" s="4797">
        <f>+(((R27*R32)+(T27*T32))/V32)</f>
        <v>3.0409279803191178</v>
      </c>
      <c r="W27" s="4909">
        <f>+$D$27</f>
        <v>2.85</v>
      </c>
      <c r="X27" s="4909">
        <v>3.1</v>
      </c>
      <c r="Y27" s="484">
        <f>+$D$27</f>
        <v>2.85</v>
      </c>
      <c r="Z27" s="3604">
        <f>+((P32*P27)+(T32*T27)+(X32*X27))/Z32</f>
        <v>3.052084632998576</v>
      </c>
      <c r="AA27" s="594">
        <f>+$D$27</f>
        <v>2.85</v>
      </c>
      <c r="AB27" s="4800">
        <f>+((N27*N32)+(Z27*Z32))/AB32</f>
        <v>3.0509358926026464</v>
      </c>
      <c r="AC27" s="4909">
        <f>+$D$27</f>
        <v>2.85</v>
      </c>
      <c r="AD27" s="4909">
        <v>3.08</v>
      </c>
      <c r="AE27" s="4797">
        <f>+$D$27</f>
        <v>2.85</v>
      </c>
      <c r="AF27" s="4797">
        <f>+(((AB27*AB32)+(AD27*AD32))/AF32)</f>
        <v>3.0553611672159033</v>
      </c>
      <c r="AG27" s="4909">
        <f>+$D$27</f>
        <v>2.85</v>
      </c>
      <c r="AH27" s="4909">
        <v>3.26</v>
      </c>
      <c r="AI27" s="4797">
        <f>+$D$27</f>
        <v>2.85</v>
      </c>
      <c r="AJ27" s="4797">
        <f>+(((AF27*AF32)+(AH27*AH32))/AJ32)</f>
        <v>3.0790738969024467</v>
      </c>
      <c r="AK27" s="4909">
        <f>+$D$27</f>
        <v>2.85</v>
      </c>
      <c r="AL27" s="4909">
        <v>3.09</v>
      </c>
      <c r="AM27" s="484">
        <f>+$D$27</f>
        <v>2.85</v>
      </c>
      <c r="AN27" s="3604">
        <f>+((AD32*AD27)+(AH32*AH27)+(AL32*AL27))/AN32</f>
        <v>3.1380966372888635</v>
      </c>
      <c r="AO27" s="4797">
        <f>+$D$27</f>
        <v>2.85</v>
      </c>
      <c r="AP27" s="4797">
        <f>+(((AL27*AL32)+(AJ27*AJ32))/AP32)</f>
        <v>3.0803401918919193</v>
      </c>
      <c r="AQ27" s="4909">
        <f>+$D$27</f>
        <v>2.85</v>
      </c>
      <c r="AR27" s="4909">
        <v>3.06</v>
      </c>
      <c r="AS27" s="4797">
        <f>+$D$27</f>
        <v>2.85</v>
      </c>
      <c r="AT27" s="4797">
        <f>+(((AP27*AP32)+(AR27*AR32))/AT32)</f>
        <v>3.0782268542162869</v>
      </c>
      <c r="AU27" s="4909">
        <f>+$D$27</f>
        <v>2.85</v>
      </c>
      <c r="AV27" s="4909">
        <v>3.07</v>
      </c>
      <c r="AW27" s="4797">
        <f>+$D$27</f>
        <v>2.85</v>
      </c>
      <c r="AX27" s="4797">
        <f>+(((AT27*AT32)+(AV27*AV32))/AX32)</f>
        <v>3.0774630937112741</v>
      </c>
      <c r="AY27" s="4909">
        <f>+$D$27</f>
        <v>2.85</v>
      </c>
      <c r="AZ27" s="4909">
        <v>3.14</v>
      </c>
      <c r="BA27" s="3604">
        <f>+$D$27</f>
        <v>2.85</v>
      </c>
      <c r="BB27" s="3604">
        <f>+((AR27*AR32)+(AV27*AV32)+(AZ27*AZ32))/BB32</f>
        <v>3.0902345613448059</v>
      </c>
      <c r="BC27" s="5177">
        <f>+$D$27</f>
        <v>2.85</v>
      </c>
      <c r="BD27" s="4800">
        <f>+((AN27*AN32)+(BB27*BB32))/BD32</f>
        <v>3.1138274396204442</v>
      </c>
      <c r="BE27" s="5176">
        <f>+$D$27</f>
        <v>2.85</v>
      </c>
      <c r="BF27" s="3198">
        <f>+((AX27*AX32)+(AZ27*AZ32))/BF32</f>
        <v>3.0828892276362487</v>
      </c>
      <c r="BG27" s="4920">
        <v>3.3</v>
      </c>
      <c r="BH27" s="4916">
        <v>3.0186531588909742</v>
      </c>
      <c r="BI27" s="4916">
        <v>4.2999999999999989</v>
      </c>
      <c r="BJ27" s="4916">
        <v>3.3197103856374044</v>
      </c>
      <c r="BK27" s="4916">
        <v>4.3000000000000007</v>
      </c>
      <c r="BL27" s="4916">
        <v>5.0407393881131286</v>
      </c>
      <c r="BM27" s="1508">
        <v>4.5999999999999988</v>
      </c>
      <c r="BN27" s="1491">
        <v>5.0056729201905341</v>
      </c>
      <c r="BO27" s="1491">
        <v>5.0192042238753487</v>
      </c>
      <c r="BP27" s="648"/>
      <c r="BR27" s="2258"/>
      <c r="BS27" s="2258"/>
    </row>
    <row r="28" spans="1:79" ht="18.75" x14ac:dyDescent="0.25">
      <c r="B28" s="4799" t="s">
        <v>376</v>
      </c>
      <c r="C28" s="2385" t="s">
        <v>432</v>
      </c>
      <c r="D28" s="5301">
        <v>2.375</v>
      </c>
      <c r="E28" s="4921">
        <f>+$D$28</f>
        <v>2.375</v>
      </c>
      <c r="F28" s="4914">
        <v>2.4119364624527146</v>
      </c>
      <c r="G28" s="4921">
        <f>+$D$28</f>
        <v>2.375</v>
      </c>
      <c r="H28" s="4914">
        <v>2.4220973692342853</v>
      </c>
      <c r="I28" s="3192">
        <f>+$D$28</f>
        <v>2.375</v>
      </c>
      <c r="J28" s="4913">
        <f>+((F28*F32)+(H28*H32))/J32</f>
        <v>2.4165023731767303</v>
      </c>
      <c r="K28" s="4921">
        <f>+$D$28</f>
        <v>2.375</v>
      </c>
      <c r="L28" s="4914">
        <v>2.4593055127540779</v>
      </c>
      <c r="M28" s="2386">
        <f>+$D$28</f>
        <v>2.375</v>
      </c>
      <c r="N28" s="2386">
        <f>+((F32*F28)+(H32*H28)+(L32*L28))/N32</f>
        <v>2.4303432119343338</v>
      </c>
      <c r="O28" s="4921">
        <f>+$D$28</f>
        <v>2.375</v>
      </c>
      <c r="P28" s="4914">
        <v>2.3670535152382737</v>
      </c>
      <c r="Q28" s="4913">
        <f>+$D$28</f>
        <v>2.375</v>
      </c>
      <c r="R28" s="4913">
        <f>+((N28*N32)+(P28*P32))/R32</f>
        <v>2.4123303668475469</v>
      </c>
      <c r="S28" s="4912">
        <f>+$D$28</f>
        <v>2.375</v>
      </c>
      <c r="T28" s="4912">
        <v>2.423815865094864</v>
      </c>
      <c r="U28" s="4913">
        <f>+$D$28</f>
        <v>2.375</v>
      </c>
      <c r="V28" s="4913">
        <f>+((R28*R32)+(T28*T32))/V32</f>
        <v>2.414827374259112</v>
      </c>
      <c r="W28" s="4912">
        <f>+$D$28</f>
        <v>2.375</v>
      </c>
      <c r="X28" s="4912">
        <v>2.4517133805476963</v>
      </c>
      <c r="Y28" s="2386">
        <f>+$D$28</f>
        <v>2.375</v>
      </c>
      <c r="Z28" s="2386">
        <f>+((P32*P28)+(T32*T28)+(X32*X28))/Z32</f>
        <v>2.413022042256721</v>
      </c>
      <c r="AA28" s="2387">
        <f>+$D$28</f>
        <v>2.375</v>
      </c>
      <c r="AB28" s="2387">
        <f>+((N28*N32)+(Z28*Z32))/AB32</f>
        <v>2.4210765581776585</v>
      </c>
      <c r="AC28" s="4912">
        <f>+$D$28</f>
        <v>2.375</v>
      </c>
      <c r="AD28" s="4912">
        <v>2.4494083825126194</v>
      </c>
      <c r="AE28" s="4913">
        <f>+$D$28</f>
        <v>2.375</v>
      </c>
      <c r="AF28" s="4913">
        <f>+((AB28*AB32)+(AD28*AD32))/AF32</f>
        <v>2.4253903360364673</v>
      </c>
      <c r="AG28" s="4912">
        <f>+$D$28</f>
        <v>2.375</v>
      </c>
      <c r="AH28" s="4912">
        <v>2.5126795179660841</v>
      </c>
      <c r="AI28" s="4913">
        <f>+$D$28</f>
        <v>2.375</v>
      </c>
      <c r="AJ28" s="4913">
        <f>+((AF28*AF32)+(AH28*AH32))/AJ32</f>
        <v>2.4355050574092201</v>
      </c>
      <c r="AK28" s="4912">
        <f>+$D$28</f>
        <v>2.375</v>
      </c>
      <c r="AL28" s="4912">
        <v>2.4288937934317434</v>
      </c>
      <c r="AM28" s="2386">
        <f>+$D$28</f>
        <v>2.375</v>
      </c>
      <c r="AN28" s="2386">
        <f>+((AD32*AD28)+(AH32*AH28)+(AL32*AL28))/AN32</f>
        <v>2.4615745250436118</v>
      </c>
      <c r="AO28" s="4913">
        <f>+$D$28</f>
        <v>2.375</v>
      </c>
      <c r="AP28" s="4913">
        <f>+((AL28*AL32)+(AJ28*AJ32))/AP32</f>
        <v>2.4347388363353373</v>
      </c>
      <c r="AQ28" s="4912">
        <f>+$D$28</f>
        <v>2.375</v>
      </c>
      <c r="AR28" s="4912">
        <v>2.4203245468385148</v>
      </c>
      <c r="AS28" s="4913">
        <f>+$D$28</f>
        <v>2.375</v>
      </c>
      <c r="AT28" s="4913">
        <f>+((AP28*AP32)+(AR28*AR32))/AT32</f>
        <v>2.433241197511526</v>
      </c>
      <c r="AU28" s="4912">
        <f>+$D$28</f>
        <v>2.375</v>
      </c>
      <c r="AV28" s="4912">
        <v>2.4305683705785919</v>
      </c>
      <c r="AW28" s="4913">
        <f>+$D$28</f>
        <v>2.375</v>
      </c>
      <c r="AX28" s="4913">
        <f>+((AT28*AT32)+(AV28*AV32))/AX32</f>
        <v>2.4329930589649518</v>
      </c>
      <c r="AY28" s="4912">
        <f>+$D$28</f>
        <v>2.375</v>
      </c>
      <c r="AZ28" s="4912">
        <v>2.3704818643653831</v>
      </c>
      <c r="BA28" s="2386">
        <f>+$D$28</f>
        <v>2.375</v>
      </c>
      <c r="BB28" s="2386">
        <f>+((AR28*AR32)+(AV28*AV32)+(AZ28*AZ32))/BB32</f>
        <v>2.4069089141328948</v>
      </c>
      <c r="BC28" s="2387">
        <f>+$D$28</f>
        <v>2.375</v>
      </c>
      <c r="BD28" s="2387">
        <f>+((AN28*AN32)+(BB28*BB32))/BD32</f>
        <v>2.4338554909087837</v>
      </c>
      <c r="BE28" s="4913">
        <f>+$D$28</f>
        <v>2.375</v>
      </c>
      <c r="BF28" s="5741">
        <f>+((AX28*AX32)+(AZ28*AZ32))/BF32</f>
        <v>2.4275691559637163</v>
      </c>
      <c r="BG28" s="4915">
        <v>2.35</v>
      </c>
      <c r="BH28" s="4917">
        <v>2.4470555125122435</v>
      </c>
      <c r="BI28" s="4917">
        <v>2.4499999999999997</v>
      </c>
      <c r="BJ28" s="4917">
        <v>2.4734991631008487</v>
      </c>
      <c r="BK28" s="4917">
        <v>2.4499999999999997</v>
      </c>
      <c r="BL28" s="4917">
        <v>2.6211067789738518</v>
      </c>
      <c r="BM28" s="1507">
        <v>2.456658</v>
      </c>
      <c r="BN28" s="1491">
        <v>2.4355941599645199</v>
      </c>
      <c r="BO28" s="1491">
        <v>2.6099530027409332</v>
      </c>
      <c r="BP28" s="648"/>
      <c r="BR28" s="2258"/>
      <c r="BS28" s="2258"/>
    </row>
    <row r="29" spans="1:79" ht="18.75" x14ac:dyDescent="0.25">
      <c r="B29" s="4799" t="s">
        <v>377</v>
      </c>
      <c r="C29" s="2385" t="s">
        <v>433</v>
      </c>
      <c r="D29" s="5300">
        <v>0.53</v>
      </c>
      <c r="E29" s="3180">
        <f>+$D$29</f>
        <v>0.53</v>
      </c>
      <c r="F29" s="4919">
        <v>0.54</v>
      </c>
      <c r="G29" s="3180">
        <f>+$D$29</f>
        <v>0.53</v>
      </c>
      <c r="H29" s="4919">
        <v>0.61</v>
      </c>
      <c r="I29" s="3191">
        <f>+$D$29</f>
        <v>0.53</v>
      </c>
      <c r="J29" s="4797">
        <f>+((F29*F32)+(H29*H32))/J32</f>
        <v>0.57145523894194172</v>
      </c>
      <c r="K29" s="3180">
        <f>+$D$29</f>
        <v>0.53</v>
      </c>
      <c r="L29" s="4919">
        <v>0.56000000000000005</v>
      </c>
      <c r="M29" s="3604">
        <f>+$D$29</f>
        <v>0.53</v>
      </c>
      <c r="N29" s="3604">
        <f>+((F32*F29)+(H32*H29)+(L32*L29))/N32</f>
        <v>0.56775106871772896</v>
      </c>
      <c r="O29" s="3180">
        <f>+$D$29</f>
        <v>0.53</v>
      </c>
      <c r="P29" s="4919">
        <v>0.53</v>
      </c>
      <c r="Q29" s="4797">
        <f>+$D$29</f>
        <v>0.53</v>
      </c>
      <c r="R29" s="4797">
        <f>+((N29*N32)+(P29*P32))/R32</f>
        <v>0.55700675821899603</v>
      </c>
      <c r="S29" s="4909">
        <f>+$D$29</f>
        <v>0.53</v>
      </c>
      <c r="T29" s="4909">
        <v>0.52</v>
      </c>
      <c r="U29" s="4797">
        <f>+$D$29</f>
        <v>0.53</v>
      </c>
      <c r="V29" s="4797">
        <f>+((R29*R32)+(T29*T32))/V32</f>
        <v>0.54896129536130822</v>
      </c>
      <c r="W29" s="4909">
        <f>+$D$29</f>
        <v>0.53</v>
      </c>
      <c r="X29" s="4909">
        <v>0.51</v>
      </c>
      <c r="Y29" s="3604">
        <f>+$D$29</f>
        <v>0.53</v>
      </c>
      <c r="Z29" s="3604">
        <f>+((P32*P29)+(T32*T29)+(X32*X29))/Z32</f>
        <v>0.52029121516446408</v>
      </c>
      <c r="AA29" s="4800">
        <f>+$D$29</f>
        <v>0.53</v>
      </c>
      <c r="AB29" s="4800">
        <f>+((N29*N32)+(Z29*Z32))/AB32</f>
        <v>0.54236051840235111</v>
      </c>
      <c r="AC29" s="4909">
        <f>+$D$29</f>
        <v>0.53</v>
      </c>
      <c r="AD29" s="4909">
        <v>0.49</v>
      </c>
      <c r="AE29" s="4797">
        <f>+$D$29</f>
        <v>0.53</v>
      </c>
      <c r="AF29" s="4797">
        <f>+((AB29*AB32)+(AD29*AD32))/AF32</f>
        <v>0.53438815339368129</v>
      </c>
      <c r="AG29" s="4909">
        <f>+$D$29</f>
        <v>0.53</v>
      </c>
      <c r="AH29" s="4909">
        <v>0.59</v>
      </c>
      <c r="AI29" s="4797">
        <f>+$D$29</f>
        <v>0.53</v>
      </c>
      <c r="AJ29" s="4797">
        <f>+((AF29*AF32)+(AH29*AH32))/AJ32</f>
        <v>0.54083223181225026</v>
      </c>
      <c r="AK29" s="4909">
        <f>+$D$29</f>
        <v>0.53</v>
      </c>
      <c r="AL29" s="4909">
        <v>0.55000000000000004</v>
      </c>
      <c r="AM29" s="3604">
        <f>+$D$29</f>
        <v>0.53</v>
      </c>
      <c r="AN29" s="3604">
        <f>+((AD32*AD29)+(AH32*AH29)+(AL32*AL29))/AN32</f>
        <v>0.54097985657400705</v>
      </c>
      <c r="AO29" s="4797">
        <f>+$D$29</f>
        <v>0.53</v>
      </c>
      <c r="AP29" s="4797">
        <f>+((AL29*AL32)+(AJ29*AJ32))/AP32</f>
        <v>0.54189474228072598</v>
      </c>
      <c r="AQ29" s="4909">
        <f>+$D$29</f>
        <v>0.53</v>
      </c>
      <c r="AR29" s="4909">
        <v>0.54</v>
      </c>
      <c r="AS29" s="4797">
        <f>+$D$29</f>
        <v>0.53</v>
      </c>
      <c r="AT29" s="4797">
        <f>+((AP29*AP32)+(AR29*AR32))/AT32</f>
        <v>0.54169787932737978</v>
      </c>
      <c r="AU29" s="4909">
        <f>+$D$29</f>
        <v>0.53</v>
      </c>
      <c r="AV29" s="4909">
        <v>0.52</v>
      </c>
      <c r="AW29" s="4797">
        <f>+$D$29</f>
        <v>0.53</v>
      </c>
      <c r="AX29" s="4797">
        <f>+((AT29*AT32)+(AV29*AV32))/AX32</f>
        <v>0.53968350264862752</v>
      </c>
      <c r="AY29" s="4909">
        <f>+$D$29</f>
        <v>0.53</v>
      </c>
      <c r="AZ29" s="4909">
        <v>0.48</v>
      </c>
      <c r="BA29" s="3604">
        <f>+$D$29</f>
        <v>0.53</v>
      </c>
      <c r="BB29" s="3604">
        <f>+((AR29*AR32)+(AV29*AV32)+(AZ29*AZ32))/BB32</f>
        <v>0.51321042986029464</v>
      </c>
      <c r="BC29" s="4800">
        <f>+$D$29</f>
        <v>0.53</v>
      </c>
      <c r="BD29" s="4800">
        <f>+((AN29*AN32)+(BB29*BB32))/BD32</f>
        <v>0.52689894401932635</v>
      </c>
      <c r="BE29" s="4797">
        <f>+$D$29</f>
        <v>0.53</v>
      </c>
      <c r="BF29" s="3198">
        <f>+((AX29*AX32)+(AZ29*AZ32))/BF32</f>
        <v>0.53450494973160534</v>
      </c>
      <c r="BG29" s="4920">
        <v>0.53</v>
      </c>
      <c r="BH29" s="4916">
        <v>0.52806819520607939</v>
      </c>
      <c r="BI29" s="4916">
        <v>0.55000000000000004</v>
      </c>
      <c r="BJ29" s="4916">
        <v>0.5391608296186442</v>
      </c>
      <c r="BK29" s="4922">
        <v>0.55000000000000004</v>
      </c>
      <c r="BL29" s="4916">
        <v>0.6232821487978184</v>
      </c>
      <c r="BM29" s="1509">
        <v>0.55112399999999995</v>
      </c>
      <c r="BN29" s="1491">
        <v>0.57147495070586141</v>
      </c>
      <c r="BO29" s="1491">
        <v>0.55061804440565798</v>
      </c>
      <c r="BP29" s="648"/>
      <c r="BR29" s="2258"/>
      <c r="BS29" s="2258"/>
    </row>
    <row r="30" spans="1:79" ht="18.75" x14ac:dyDescent="0.25">
      <c r="B30" s="4799" t="s">
        <v>554</v>
      </c>
      <c r="C30" s="2385" t="s">
        <v>555</v>
      </c>
      <c r="D30" s="5294">
        <v>729.20663969962038</v>
      </c>
      <c r="E30" s="888">
        <f t="shared" ref="E30:AJ30" si="15">+E36</f>
        <v>733.68441937035834</v>
      </c>
      <c r="F30" s="4782">
        <f t="shared" si="15"/>
        <v>706.87214862261612</v>
      </c>
      <c r="G30" s="888">
        <f t="shared" si="15"/>
        <v>593.83961232700108</v>
      </c>
      <c r="H30" s="4782">
        <f t="shared" si="15"/>
        <v>561.06798598529622</v>
      </c>
      <c r="I30" s="423">
        <f t="shared" si="15"/>
        <v>662.68777751067148</v>
      </c>
      <c r="J30" s="4783">
        <f t="shared" si="15"/>
        <v>632.86743278009408</v>
      </c>
      <c r="K30" s="888">
        <f t="shared" si="15"/>
        <v>614.6074036225815</v>
      </c>
      <c r="L30" s="4782">
        <f t="shared" si="15"/>
        <v>632.8211948793753</v>
      </c>
      <c r="M30" s="4785">
        <f t="shared" si="15"/>
        <v>646.89178771838408</v>
      </c>
      <c r="N30" s="4785">
        <f t="shared" si="15"/>
        <v>632.85438233681828</v>
      </c>
      <c r="O30" s="888">
        <f t="shared" si="15"/>
        <v>727.93528825910494</v>
      </c>
      <c r="P30" s="4782">
        <f t="shared" si="15"/>
        <v>737.45225160957762</v>
      </c>
      <c r="Q30" s="4783">
        <f t="shared" si="15"/>
        <v>667.31080082726248</v>
      </c>
      <c r="R30" s="4783">
        <f t="shared" si="15"/>
        <v>659.24828209504551</v>
      </c>
      <c r="S30" s="888">
        <f t="shared" si="15"/>
        <v>731.74646777878741</v>
      </c>
      <c r="T30" s="4782">
        <f t="shared" si="15"/>
        <v>724.05812263876783</v>
      </c>
      <c r="U30" s="4783">
        <f t="shared" si="15"/>
        <v>680.21508583660193</v>
      </c>
      <c r="V30" s="4783">
        <f t="shared" si="15"/>
        <v>672.22846574976836</v>
      </c>
      <c r="W30" s="4782">
        <f t="shared" si="15"/>
        <v>736.37235965874424</v>
      </c>
      <c r="X30" s="4782">
        <f t="shared" si="15"/>
        <v>705.44449931412896</v>
      </c>
      <c r="Y30" s="4785">
        <f t="shared" si="15"/>
        <v>730.21398676958313</v>
      </c>
      <c r="Z30" s="4785">
        <f t="shared" si="15"/>
        <v>722.60278427290382</v>
      </c>
      <c r="AA30" s="595">
        <f t="shared" si="15"/>
        <v>689.34426560793918</v>
      </c>
      <c r="AB30" s="595">
        <f t="shared" si="15"/>
        <v>677.63375626066932</v>
      </c>
      <c r="AC30" s="4782">
        <f t="shared" si="15"/>
        <v>759.08777141404482</v>
      </c>
      <c r="AD30" s="4782">
        <f t="shared" si="15"/>
        <v>724.73124778447368</v>
      </c>
      <c r="AE30" s="4783">
        <f t="shared" si="15"/>
        <v>699.29230706960789</v>
      </c>
      <c r="AF30" s="4783">
        <f t="shared" si="15"/>
        <v>684.35750582447099</v>
      </c>
      <c r="AG30" s="4782">
        <f t="shared" si="15"/>
        <v>761.14635895801075</v>
      </c>
      <c r="AH30" s="4782">
        <f t="shared" si="15"/>
        <v>652.02347908520676</v>
      </c>
      <c r="AI30" s="4783">
        <f t="shared" si="15"/>
        <v>706.81231473358093</v>
      </c>
      <c r="AJ30" s="4783">
        <f t="shared" si="15"/>
        <v>680.48869254474914</v>
      </c>
      <c r="AK30" s="4782">
        <f t="shared" ref="AK30:BF30" si="16">+AK36</f>
        <v>770.30963422984564</v>
      </c>
      <c r="AL30" s="4782">
        <f t="shared" si="16"/>
        <v>713.26261071580143</v>
      </c>
      <c r="AM30" s="4785">
        <f t="shared" si="16"/>
        <v>763.50619759307415</v>
      </c>
      <c r="AN30" s="4785">
        <f t="shared" si="16"/>
        <v>697.27869811651669</v>
      </c>
      <c r="AO30" s="4783">
        <f t="shared" si="16"/>
        <v>713.80726305820349</v>
      </c>
      <c r="AP30" s="4783">
        <f t="shared" si="16"/>
        <v>684.0991894715936</v>
      </c>
      <c r="AQ30" s="4782">
        <f t="shared" si="16"/>
        <v>774.8766873972163</v>
      </c>
      <c r="AR30" s="4782">
        <f t="shared" si="16"/>
        <v>734.08071426597019</v>
      </c>
      <c r="AS30" s="4783">
        <f t="shared" si="16"/>
        <v>719.83058851208557</v>
      </c>
      <c r="AT30" s="4783">
        <f t="shared" si="16"/>
        <v>688.91700717704009</v>
      </c>
      <c r="AU30" s="4782">
        <f t="shared" si="16"/>
        <v>773.79309083554392</v>
      </c>
      <c r="AV30" s="4782">
        <f t="shared" si="16"/>
        <v>742.78803941427577</v>
      </c>
      <c r="AW30" s="4783">
        <f t="shared" si="16"/>
        <v>724.47281716238444</v>
      </c>
      <c r="AX30" s="4783">
        <f t="shared" si="16"/>
        <v>693.57841682601168</v>
      </c>
      <c r="AY30" s="5032">
        <f t="shared" ref="AY30:AZ30" si="17">+AY36</f>
        <v>781.99528622585251</v>
      </c>
      <c r="AZ30" s="5032">
        <f t="shared" si="17"/>
        <v>712.3621125806452</v>
      </c>
      <c r="BA30" s="484">
        <f t="shared" si="16"/>
        <v>776.96072886787294</v>
      </c>
      <c r="BB30" s="4785">
        <f t="shared" si="16"/>
        <v>729.18411324534043</v>
      </c>
      <c r="BC30" s="595">
        <f t="shared" si="16"/>
        <v>770.17806532340603</v>
      </c>
      <c r="BD30" s="595">
        <f t="shared" si="16"/>
        <v>713.10911836053458</v>
      </c>
      <c r="BE30" s="4783">
        <f t="shared" si="16"/>
        <v>729.20663969961981</v>
      </c>
      <c r="BF30" s="1874">
        <f t="shared" si="16"/>
        <v>695.16314963675404</v>
      </c>
      <c r="BG30" s="4860">
        <v>656.40621199671705</v>
      </c>
      <c r="BH30" s="4918">
        <v>639.11266207165545</v>
      </c>
      <c r="BI30" s="4918">
        <v>615.77607331821741</v>
      </c>
      <c r="BJ30" s="4918">
        <v>561.88093987319337</v>
      </c>
      <c r="BK30" s="4918">
        <v>549.90657676580804</v>
      </c>
      <c r="BL30" s="4918">
        <v>459.24950351799106</v>
      </c>
      <c r="BM30" s="1954">
        <v>562.64319308862753</v>
      </c>
      <c r="BN30" s="1369">
        <v>490.34382042747291</v>
      </c>
      <c r="BO30" s="1369">
        <v>421.02863329539394</v>
      </c>
      <c r="BP30" s="648"/>
      <c r="BR30" s="2258"/>
      <c r="BS30" s="2258"/>
    </row>
    <row r="31" spans="1:79" ht="19.5" thickBot="1" x14ac:dyDescent="0.3">
      <c r="B31" s="4714" t="s">
        <v>562</v>
      </c>
      <c r="C31" s="4714" t="s">
        <v>179</v>
      </c>
      <c r="D31" s="5302">
        <v>3607.8333333333335</v>
      </c>
      <c r="E31" s="4753">
        <v>3693</v>
      </c>
      <c r="F31" s="4753">
        <v>3723</v>
      </c>
      <c r="G31" s="4753">
        <v>3684</v>
      </c>
      <c r="H31" s="4753">
        <v>3712</v>
      </c>
      <c r="I31" s="4750">
        <f>+AVERAGE(E31,G31)</f>
        <v>3688.5</v>
      </c>
      <c r="J31" s="4750">
        <f>+AVERAGE(F31,H31)</f>
        <v>3717.5</v>
      </c>
      <c r="K31" s="4753">
        <v>3673</v>
      </c>
      <c r="L31" s="4753">
        <v>3714</v>
      </c>
      <c r="M31" s="4751">
        <f>+AVERAGE(E31,G31,K31)</f>
        <v>3683.3333333333335</v>
      </c>
      <c r="N31" s="4751">
        <f>+AVERAGE(F31,H31,L31)</f>
        <v>3716.3333333333335</v>
      </c>
      <c r="O31" s="4753">
        <v>3648</v>
      </c>
      <c r="P31" s="4753">
        <v>3686</v>
      </c>
      <c r="Q31" s="4750">
        <f>+AVERAGE(E31,G31,K31,O31)</f>
        <v>3674.5</v>
      </c>
      <c r="R31" s="4750">
        <f>+AVERAGE(F31,H31,L31,P31)</f>
        <v>3708.75</v>
      </c>
      <c r="S31" s="4753">
        <v>3629</v>
      </c>
      <c r="T31" s="4749">
        <v>3663</v>
      </c>
      <c r="U31" s="4750">
        <f>+AVERAGE(E31,G31,K31,O31,S31)</f>
        <v>3665.4</v>
      </c>
      <c r="V31" s="4750">
        <f>+AVERAGE(F31,H31,L31,P31,T31)</f>
        <v>3699.6</v>
      </c>
      <c r="W31" s="4753">
        <v>3617</v>
      </c>
      <c r="X31" s="4753">
        <v>3645</v>
      </c>
      <c r="Y31" s="4751">
        <f>+AVERAGE(Q31,S31,W31)</f>
        <v>3640.1666666666665</v>
      </c>
      <c r="Z31" s="4751">
        <f>+AVERAGE(P31,T31,X31)</f>
        <v>3664.6666666666665</v>
      </c>
      <c r="AA31" s="4953">
        <f>+AVERAGE(E31,G31,K31,O31,S31,W31)</f>
        <v>3657.3333333333335</v>
      </c>
      <c r="AB31" s="4953">
        <f>+AVERAGE(X31,P31,L31,H31,T31,F31)</f>
        <v>3690.5</v>
      </c>
      <c r="AC31" s="4753">
        <v>3601</v>
      </c>
      <c r="AD31" s="4753">
        <v>3640</v>
      </c>
      <c r="AE31" s="4750">
        <f>+AVERAGE(E31,G31,K31,O31,S31,W31,AC31)</f>
        <v>3649.2857142857142</v>
      </c>
      <c r="AF31" s="4750">
        <f>+AVERAGE(F31,H31,L31,P31,T31,X31,AD31)</f>
        <v>3683.2857142857142</v>
      </c>
      <c r="AG31" s="4753">
        <v>3590</v>
      </c>
      <c r="AH31" s="4753">
        <v>3603</v>
      </c>
      <c r="AI31" s="4750">
        <f>+AVERAGE(E31,G31,K31,O31,S31,W31,AC31,AG31)</f>
        <v>3641.875</v>
      </c>
      <c r="AJ31" s="4750">
        <f>+AVERAGE(F31,H31,L31,P31,T31,X31,AD31,AH31)</f>
        <v>3673.25</v>
      </c>
      <c r="AK31" s="4753">
        <v>3563</v>
      </c>
      <c r="AL31" s="4753">
        <v>3603</v>
      </c>
      <c r="AM31" s="4751">
        <f>+AVERAGE(AC31,AG31,AK31)</f>
        <v>3584.6666666666665</v>
      </c>
      <c r="AN31" s="4751">
        <f>+AVERAGE(AD31,AH31,AL31)</f>
        <v>3615.3333333333335</v>
      </c>
      <c r="AO31" s="4750">
        <f>+AVERAGE(E31,G31,K31,O31,S31,W31,AC31,AG31,AK31)</f>
        <v>3633.1111111111113</v>
      </c>
      <c r="AP31" s="4750">
        <f>+AVERAGE(F31,H31,L31,P31,T31,X31,AD31,AH31,AL31)</f>
        <v>3665.4444444444443</v>
      </c>
      <c r="AQ31" s="4753">
        <v>3542</v>
      </c>
      <c r="AR31" s="4753">
        <v>3501</v>
      </c>
      <c r="AS31" s="4750">
        <f>+AVERAGE(E31,G31,K31,O31,S31,W31,AC31,AG31,AK31,AQ31)</f>
        <v>3624</v>
      </c>
      <c r="AT31" s="4750">
        <f>+AVERAGE(F31,H31,L31,P31,T31,X31,AD31,AH31,AL31,AR31)</f>
        <v>3649</v>
      </c>
      <c r="AU31" s="4753">
        <v>3530</v>
      </c>
      <c r="AV31" s="4753">
        <v>3643</v>
      </c>
      <c r="AW31" s="4750">
        <f>+AVERAGE(E31,G31,K31,O31,S31,W31,AC31,AG31,AK31,AQ31,AU31)</f>
        <v>3615.4545454545455</v>
      </c>
      <c r="AX31" s="4750">
        <f>+AVERAGE(F31,H31,L31,P31,T31,X31,AD31,AH31,AL31,AR31,AV31)</f>
        <v>3648.4545454545455</v>
      </c>
      <c r="AY31" s="4753">
        <v>3524</v>
      </c>
      <c r="AZ31" s="4753">
        <v>3639</v>
      </c>
      <c r="BA31" s="4751">
        <f>+AVERAGE(AQ31,AU31,AY31)</f>
        <v>3532</v>
      </c>
      <c r="BB31" s="4751">
        <f>+AVERAGE(AR31,AV31,AZ31)</f>
        <v>3594.3333333333335</v>
      </c>
      <c r="BC31" s="4953">
        <f>+AVERAGE(AC31,AG31,AK31,AQ31,AU31,AY31)</f>
        <v>3558.3333333333335</v>
      </c>
      <c r="BD31" s="4953">
        <f>+AVERAGE(AD31,AH31,AL31,AR31,AV31,AZ31)</f>
        <v>3604.8333333333335</v>
      </c>
      <c r="BE31" s="4750">
        <f>+AVERAGE(E31,G31,K31,O31,S31,W31,AC31,AG31,AK31,AQ31,AU31,AY31)</f>
        <v>3607.8333333333335</v>
      </c>
      <c r="BF31" s="4750">
        <f>+AVERAGE(F31,H31,L31,P31,T31,X31,AD31,AH31,AL31,AR31,AV31,AZ31)</f>
        <v>3647.6666666666665</v>
      </c>
      <c r="BG31" s="4954">
        <v>3826.0833333333335</v>
      </c>
      <c r="BH31" s="4954">
        <v>3802.9166666666665</v>
      </c>
      <c r="BI31" s="4954">
        <v>4009.5833333333335</v>
      </c>
      <c r="BJ31" s="4954">
        <v>3995.5833333333335</v>
      </c>
      <c r="BK31" s="4954">
        <v>4196.5983072916661</v>
      </c>
      <c r="BL31" s="4954">
        <v>4090.302734375</v>
      </c>
      <c r="BM31" s="1423">
        <v>4470.8032786885242</v>
      </c>
      <c r="BN31" s="1371">
        <v>4421.333333333333</v>
      </c>
      <c r="BO31" s="1371">
        <v>4614.4191780821911</v>
      </c>
      <c r="BP31" s="648"/>
      <c r="BR31" s="2258"/>
      <c r="BS31" s="2258"/>
    </row>
    <row r="32" spans="1:79" s="183" customFormat="1" ht="15" hidden="1" customHeight="1" x14ac:dyDescent="0.25">
      <c r="A32" s="188"/>
      <c r="B32" s="6135" t="s">
        <v>1960</v>
      </c>
      <c r="C32" s="4493" t="s">
        <v>603</v>
      </c>
      <c r="D32" s="5303"/>
      <c r="E32" s="4951">
        <f>'Maj Production Summ'!E18</f>
        <v>221509.43396226401</v>
      </c>
      <c r="F32" s="4951">
        <f>'Maj Production Summ'!F18</f>
        <v>215539</v>
      </c>
      <c r="G32" s="4951">
        <f>'Maj Production Summ'!G18</f>
        <v>184716.98113207502</v>
      </c>
      <c r="H32" s="4951">
        <f>'Maj Production Summ'!H18</f>
        <v>175895</v>
      </c>
      <c r="I32" s="4952">
        <f t="shared" ref="I32:J35" si="18">+E32+G32</f>
        <v>406226.41509433906</v>
      </c>
      <c r="J32" s="4952">
        <f t="shared" si="18"/>
        <v>391434</v>
      </c>
      <c r="K32" s="4951">
        <f>'Maj Production Summ'!K18</f>
        <v>180641.509433962</v>
      </c>
      <c r="L32" s="4951">
        <f>'Maj Production Summ'!L18</f>
        <v>187063</v>
      </c>
      <c r="M32" s="4951">
        <f t="shared" ref="M32:N35" si="19">+E32+G32+K32</f>
        <v>586867.924528301</v>
      </c>
      <c r="N32" s="4951">
        <f t="shared" si="19"/>
        <v>578497</v>
      </c>
      <c r="O32" s="4951">
        <f>'Maj Production Summ'!O18</f>
        <v>224339.62264150902</v>
      </c>
      <c r="P32" s="4951">
        <f>'Maj Production Summ'!P18</f>
        <v>230148</v>
      </c>
      <c r="Q32" s="4951">
        <f t="shared" ref="Q32:R35" si="20">+M32+O32</f>
        <v>811207.54716981004</v>
      </c>
      <c r="R32" s="4951">
        <f t="shared" si="20"/>
        <v>808645</v>
      </c>
      <c r="S32" s="4951">
        <f>'Maj Production Summ'!S18</f>
        <v>224339.62264150943</v>
      </c>
      <c r="T32" s="4951">
        <f>'Maj Production Summ'!T18</f>
        <v>224642</v>
      </c>
      <c r="U32" s="4951">
        <f t="shared" ref="U32:U35" si="21">+Q32+S32</f>
        <v>1035547.1698113194</v>
      </c>
      <c r="V32" s="4951">
        <f t="shared" ref="V32:V35" si="22">+R32+T32</f>
        <v>1033287</v>
      </c>
      <c r="W32" s="4951">
        <f>'Maj Production Summ'!W18</f>
        <v>217735.84905660377</v>
      </c>
      <c r="X32" s="4951">
        <f>'Maj Production Summ'!X18</f>
        <v>210766</v>
      </c>
      <c r="Y32" s="4951">
        <f t="shared" ref="Y32:Z35" si="23">+O32+S32+W32</f>
        <v>666415.09433962218</v>
      </c>
      <c r="Z32" s="4951">
        <f t="shared" si="23"/>
        <v>665556</v>
      </c>
      <c r="AA32" s="4951">
        <f>+M32+Y32</f>
        <v>1253283.0188679232</v>
      </c>
      <c r="AB32" s="4951">
        <f>+N32+Z32</f>
        <v>1244053</v>
      </c>
      <c r="AC32" s="4951">
        <f>'Maj Production Summ'!AC18</f>
        <v>230943.396226415</v>
      </c>
      <c r="AD32" s="4951">
        <f>'Maj Production Summ'!AD18</f>
        <v>223439</v>
      </c>
      <c r="AE32" s="4951">
        <f t="shared" ref="AE32:AE35" si="24">+AA32+AC32</f>
        <v>1484226.4150943381</v>
      </c>
      <c r="AF32" s="4951">
        <f t="shared" ref="AF32:AF35" si="25">+AB32+AD32</f>
        <v>1467492</v>
      </c>
      <c r="AG32" s="4951">
        <f>'Maj Production Summ'!AG18</f>
        <v>223396.22641509399</v>
      </c>
      <c r="AH32" s="4951">
        <f>'Maj Production Summ'!AH18</f>
        <v>192334</v>
      </c>
      <c r="AI32" s="4951">
        <f t="shared" ref="AI32:AI35" si="26">+AE32+AG32</f>
        <v>1707622.6415094321</v>
      </c>
      <c r="AJ32" s="4951">
        <f t="shared" ref="AJ32:AJ35" si="27">+AF32+AH32</f>
        <v>1659826</v>
      </c>
      <c r="AK32" s="4951">
        <f>'Maj Production Summ'!AK18</f>
        <v>231886.79245283001</v>
      </c>
      <c r="AL32" s="4951">
        <f>'Maj Production Summ'!AL18</f>
        <v>217585</v>
      </c>
      <c r="AM32" s="4951">
        <f t="shared" ref="AM32:AM35" si="28">+AC32+AG32+AK32</f>
        <v>686226.41509433906</v>
      </c>
      <c r="AN32" s="4951">
        <f t="shared" ref="AN32:AN35" si="29">+AD32+AH32+AL32</f>
        <v>633358</v>
      </c>
      <c r="AO32" s="4951">
        <f>AI32+AK32</f>
        <v>1939509.4339622622</v>
      </c>
      <c r="AP32" s="4951">
        <f>AJ32+AL32</f>
        <v>1877411</v>
      </c>
      <c r="AQ32" s="4951">
        <f>'Maj Production Summ'!AQ18</f>
        <v>231886.79245283001</v>
      </c>
      <c r="AR32" s="4951">
        <f>'Maj Production Summ'!AR18</f>
        <v>217679</v>
      </c>
      <c r="AS32" s="4951">
        <f t="shared" ref="AS32:AS35" si="30">+AO32+AQ32</f>
        <v>2171396.2264150921</v>
      </c>
      <c r="AT32" s="4951">
        <f t="shared" ref="AT32:AT35" si="31">+AP32+AR32</f>
        <v>2095090</v>
      </c>
      <c r="AU32" s="4951">
        <f>'Maj Production Summ'!AU18</f>
        <v>215849.05660377399</v>
      </c>
      <c r="AV32" s="4951">
        <f>'Maj Production Summ'!AV18</f>
        <v>214408</v>
      </c>
      <c r="AW32" s="4951">
        <f t="shared" ref="AW32:AW35" si="32">+AS32+AU32</f>
        <v>2387245.2830188661</v>
      </c>
      <c r="AX32" s="4951">
        <f t="shared" ref="AX32:AX35" si="33">+AT32+AV32</f>
        <v>2309498</v>
      </c>
      <c r="AY32" s="4951">
        <f>'Maj Production Summ'!AY18</f>
        <v>232830.18867924501</v>
      </c>
      <c r="AZ32" s="4951">
        <f>'Maj Production Summ'!AZ18</f>
        <v>219427</v>
      </c>
      <c r="BA32" s="4951">
        <f t="shared" ref="BA32:BA35" si="34">+AQ32+AU32+AY32</f>
        <v>680566.03773584892</v>
      </c>
      <c r="BB32" s="4951">
        <f t="shared" ref="BB32:BB35" si="35">+AR32+AV32+AZ32</f>
        <v>651514</v>
      </c>
      <c r="BC32" s="4951">
        <f>+AM32+BA32</f>
        <v>1366792.452830188</v>
      </c>
      <c r="BD32" s="4951">
        <f>+AN32+BB32</f>
        <v>1284872</v>
      </c>
      <c r="BE32" s="4951">
        <f t="shared" ref="BE32:BF35" si="36">+AW32+AY32</f>
        <v>2620075.4716981109</v>
      </c>
      <c r="BF32" s="4951">
        <f t="shared" si="36"/>
        <v>2528925</v>
      </c>
      <c r="BG32" s="4951">
        <v>2499999.9999999981</v>
      </c>
      <c r="BH32" s="4951">
        <v>2422324.3024999998</v>
      </c>
      <c r="BI32" s="4983">
        <v>2573000.7983342619</v>
      </c>
      <c r="BJ32" s="4983">
        <v>2322716</v>
      </c>
      <c r="BK32" s="4983"/>
      <c r="BL32" s="4984"/>
      <c r="BM32" s="188"/>
      <c r="BN32" s="188"/>
      <c r="BQ32"/>
      <c r="BR32"/>
      <c r="BS32"/>
      <c r="BT32"/>
      <c r="BU32"/>
      <c r="BV32"/>
      <c r="BW32"/>
    </row>
    <row r="33" spans="1:75" s="183" customFormat="1" ht="15" hidden="1" customHeight="1" x14ac:dyDescent="0.25">
      <c r="A33" s="188"/>
      <c r="B33" s="6136"/>
      <c r="C33" s="4961" t="s">
        <v>606</v>
      </c>
      <c r="D33" s="4719"/>
      <c r="E33" s="4947">
        <f>'Maj Production Summ'!E24</f>
        <v>1160.8961303462322</v>
      </c>
      <c r="F33" s="4947">
        <f>'Maj Production Summ'!F24</f>
        <v>345.77202</v>
      </c>
      <c r="G33" s="4947">
        <f>'Maj Production Summ'!G24</f>
        <v>1160.8961303462299</v>
      </c>
      <c r="H33" s="4947">
        <f>'Maj Production Summ'!H24</f>
        <v>1014.4551</v>
      </c>
      <c r="I33" s="4948">
        <f t="shared" si="18"/>
        <v>2321.7922606924622</v>
      </c>
      <c r="J33" s="4948">
        <f t="shared" si="18"/>
        <v>1360.22712</v>
      </c>
      <c r="K33" s="4947">
        <f>'Maj Production Summ'!K24</f>
        <v>8791.2423625254596</v>
      </c>
      <c r="L33" s="4947">
        <f>'Maj Production Summ'!L24</f>
        <v>11168.74062</v>
      </c>
      <c r="M33" s="4947">
        <f t="shared" si="19"/>
        <v>11113.034623217922</v>
      </c>
      <c r="N33" s="4947">
        <f t="shared" si="19"/>
        <v>12528.96774</v>
      </c>
      <c r="O33" s="4947">
        <f>'Maj Production Summ'!O24</f>
        <v>1160.8961303462299</v>
      </c>
      <c r="P33" s="4947">
        <f>'Maj Production Summ'!P24</f>
        <v>172.40974</v>
      </c>
      <c r="Q33" s="4947">
        <f t="shared" si="20"/>
        <v>12273.930753564151</v>
      </c>
      <c r="R33" s="4947">
        <f t="shared" si="20"/>
        <v>12701.377479999999</v>
      </c>
      <c r="S33" s="4947">
        <f>'Maj Production Summ'!S24</f>
        <v>1160.8961303462322</v>
      </c>
      <c r="T33" s="4947">
        <f>'Maj Production Summ'!T24</f>
        <v>0</v>
      </c>
      <c r="U33" s="4947">
        <f t="shared" si="21"/>
        <v>13434.826883910384</v>
      </c>
      <c r="V33" s="4947">
        <f t="shared" si="22"/>
        <v>12701.377479999999</v>
      </c>
      <c r="W33" s="4947">
        <f>'Maj Production Summ'!W24</f>
        <v>1160.8961303462322</v>
      </c>
      <c r="X33" s="4947">
        <f>'Maj Production Summ'!X24</f>
        <v>0</v>
      </c>
      <c r="Y33" s="4947">
        <f t="shared" si="23"/>
        <v>3482.6883910386941</v>
      </c>
      <c r="Z33" s="4947">
        <f t="shared" si="23"/>
        <v>172.40974</v>
      </c>
      <c r="AA33" s="4947">
        <f t="shared" ref="AA33:AB35" si="37">+M33+Y33</f>
        <v>14595.723014256615</v>
      </c>
      <c r="AB33" s="4947">
        <f t="shared" si="37"/>
        <v>12701.377479999999</v>
      </c>
      <c r="AC33" s="4947">
        <f>'Maj Production Summ'!AC24</f>
        <v>1160.8961303462299</v>
      </c>
      <c r="AD33" s="4947">
        <f>'Maj Production Summ'!AD24</f>
        <v>0</v>
      </c>
      <c r="AE33" s="4947">
        <f t="shared" si="24"/>
        <v>15756.619144602844</v>
      </c>
      <c r="AF33" s="4947">
        <f t="shared" si="25"/>
        <v>12701.377479999999</v>
      </c>
      <c r="AG33" s="4947">
        <f>'Maj Production Summ'!AG24</f>
        <v>1160.8961303462322</v>
      </c>
      <c r="AH33" s="4947">
        <f>'Maj Production Summ'!AH24</f>
        <v>453.40903999999995</v>
      </c>
      <c r="AI33" s="4947">
        <f t="shared" si="26"/>
        <v>16917.515274949077</v>
      </c>
      <c r="AJ33" s="4947">
        <f t="shared" si="27"/>
        <v>13154.78652</v>
      </c>
      <c r="AK33" s="4947">
        <f>'Maj Production Summ'!AK24</f>
        <v>1160.8961303462299</v>
      </c>
      <c r="AL33" s="4947">
        <f>'Maj Production Summ'!AL24</f>
        <v>165.74196000000001</v>
      </c>
      <c r="AM33" s="4947">
        <f t="shared" si="28"/>
        <v>3482.6883910386923</v>
      </c>
      <c r="AN33" s="4947">
        <f t="shared" si="29"/>
        <v>619.15099999999995</v>
      </c>
      <c r="AO33" s="4947">
        <f t="shared" ref="AO33:AO35" si="38">AI33+AK33</f>
        <v>18078.411405295308</v>
      </c>
      <c r="AP33" s="4947">
        <f t="shared" ref="AP33:AP35" si="39">AJ33+AL33</f>
        <v>13320.528479999999</v>
      </c>
      <c r="AQ33" s="4947">
        <f>'Maj Production Summ'!AQ24</f>
        <v>1160.8961303462299</v>
      </c>
      <c r="AR33" s="4947">
        <f>'Maj Production Summ'!AR24</f>
        <v>0</v>
      </c>
      <c r="AS33" s="4947">
        <f t="shared" si="30"/>
        <v>19239.307535641539</v>
      </c>
      <c r="AT33" s="4947">
        <f t="shared" si="31"/>
        <v>13320.528479999999</v>
      </c>
      <c r="AU33" s="4947">
        <f>'Maj Production Summ'!AU24</f>
        <v>1160.8961303462299</v>
      </c>
      <c r="AV33" s="4947">
        <f>'Maj Production Summ'!AV24</f>
        <v>0</v>
      </c>
      <c r="AW33" s="4947">
        <f t="shared" si="32"/>
        <v>20400.20366598777</v>
      </c>
      <c r="AX33" s="4947">
        <f t="shared" si="33"/>
        <v>13320.528479999999</v>
      </c>
      <c r="AY33" s="4947">
        <f>'Maj Production Summ'!AY24</f>
        <v>1160.8961303462299</v>
      </c>
      <c r="AZ33" s="4947">
        <f>'Maj Production Summ'!AZ24</f>
        <v>276.36916999999994</v>
      </c>
      <c r="BA33" s="4947">
        <f t="shared" si="34"/>
        <v>3482.6883910386896</v>
      </c>
      <c r="BB33" s="4947">
        <f t="shared" si="35"/>
        <v>276.36916999999994</v>
      </c>
      <c r="BC33" s="4947">
        <f t="shared" ref="BC33:BC35" si="40">+AM33+BA33</f>
        <v>6965.3767820773819</v>
      </c>
      <c r="BD33" s="4947">
        <f t="shared" ref="BD33:BD35" si="41">+AN33+BB33</f>
        <v>895.52016999999989</v>
      </c>
      <c r="BE33" s="4947">
        <f t="shared" si="36"/>
        <v>21561.099796334001</v>
      </c>
      <c r="BF33" s="4947">
        <f t="shared" si="36"/>
        <v>13596.897649999999</v>
      </c>
      <c r="BG33" s="4947">
        <v>22929.735234215885</v>
      </c>
      <c r="BH33" s="4947">
        <v>16335.783939999999</v>
      </c>
      <c r="BI33" s="4985">
        <v>34051.635437881865</v>
      </c>
      <c r="BJ33" s="4947">
        <v>32547.079289999998</v>
      </c>
      <c r="BK33" s="4985"/>
      <c r="BL33" s="4986"/>
      <c r="BM33" s="188"/>
      <c r="BN33" s="188"/>
      <c r="BQ33"/>
      <c r="BR33"/>
      <c r="BS33"/>
      <c r="BT33"/>
      <c r="BU33"/>
      <c r="BV33"/>
      <c r="BW33"/>
    </row>
    <row r="34" spans="1:75" s="183" customFormat="1" ht="15" hidden="1" customHeight="1" x14ac:dyDescent="0.25">
      <c r="A34" s="188"/>
      <c r="B34" s="6136"/>
      <c r="C34" s="4961" t="s">
        <v>604</v>
      </c>
      <c r="D34" s="4719"/>
      <c r="E34" s="4947">
        <f>+E33/2</f>
        <v>580.44806517311611</v>
      </c>
      <c r="F34" s="4947">
        <f>+F33/2</f>
        <v>172.88601</v>
      </c>
      <c r="G34" s="4947">
        <f>+G33/2</f>
        <v>580.44806517311497</v>
      </c>
      <c r="H34" s="4947">
        <f>+H33/2</f>
        <v>507.22755000000001</v>
      </c>
      <c r="I34" s="4948">
        <f t="shared" si="18"/>
        <v>1160.8961303462311</v>
      </c>
      <c r="J34" s="4948">
        <f t="shared" si="18"/>
        <v>680.11356000000001</v>
      </c>
      <c r="K34" s="4947">
        <f>+K33/2</f>
        <v>4395.6211812627298</v>
      </c>
      <c r="L34" s="4947">
        <f>+L33/2</f>
        <v>5584.3703100000002</v>
      </c>
      <c r="M34" s="4947">
        <f t="shared" si="19"/>
        <v>5556.5173116089609</v>
      </c>
      <c r="N34" s="4947">
        <f t="shared" si="19"/>
        <v>6264.48387</v>
      </c>
      <c r="O34" s="4947">
        <f>+O33/2</f>
        <v>580.44806517311497</v>
      </c>
      <c r="P34" s="4947">
        <f>+P33/2</f>
        <v>86.20487</v>
      </c>
      <c r="Q34" s="4947">
        <f t="shared" si="20"/>
        <v>6136.9653767820755</v>
      </c>
      <c r="R34" s="4947">
        <f t="shared" si="20"/>
        <v>6350.6887399999996</v>
      </c>
      <c r="S34" s="4947">
        <f>+S33/2</f>
        <v>580.44806517311611</v>
      </c>
      <c r="T34" s="4947">
        <f>+T33/2</f>
        <v>0</v>
      </c>
      <c r="U34" s="4947">
        <f t="shared" si="21"/>
        <v>6717.413441955192</v>
      </c>
      <c r="V34" s="4947">
        <f t="shared" si="22"/>
        <v>6350.6887399999996</v>
      </c>
      <c r="W34" s="4947">
        <f>+W33/2</f>
        <v>580.44806517311611</v>
      </c>
      <c r="X34" s="4947">
        <f>+X33/2</f>
        <v>0</v>
      </c>
      <c r="Y34" s="4947">
        <f t="shared" si="23"/>
        <v>1741.3441955193471</v>
      </c>
      <c r="Z34" s="4947">
        <f t="shared" si="23"/>
        <v>86.20487</v>
      </c>
      <c r="AA34" s="4947">
        <f t="shared" si="37"/>
        <v>7297.8615071283075</v>
      </c>
      <c r="AB34" s="4947">
        <f t="shared" si="37"/>
        <v>6350.6887399999996</v>
      </c>
      <c r="AC34" s="4947">
        <f>+AC33/2</f>
        <v>580.44806517311497</v>
      </c>
      <c r="AD34" s="4947">
        <f>+AD33/2</f>
        <v>0</v>
      </c>
      <c r="AE34" s="4947">
        <f t="shared" si="24"/>
        <v>7878.3095723014221</v>
      </c>
      <c r="AF34" s="4947">
        <f t="shared" si="25"/>
        <v>6350.6887399999996</v>
      </c>
      <c r="AG34" s="4947">
        <f>+AG33/2</f>
        <v>580.44806517311611</v>
      </c>
      <c r="AH34" s="4947">
        <f>+AH33/2</f>
        <v>226.70451999999997</v>
      </c>
      <c r="AI34" s="4947">
        <f t="shared" si="26"/>
        <v>8458.7576374745386</v>
      </c>
      <c r="AJ34" s="4947">
        <f t="shared" si="27"/>
        <v>6577.3932599999998</v>
      </c>
      <c r="AK34" s="4947">
        <f>+AK33/2</f>
        <v>580.44806517311497</v>
      </c>
      <c r="AL34" s="4947">
        <f>+AL33/2</f>
        <v>82.870980000000003</v>
      </c>
      <c r="AM34" s="4947">
        <f t="shared" si="28"/>
        <v>1741.3441955193462</v>
      </c>
      <c r="AN34" s="4947">
        <f t="shared" si="29"/>
        <v>309.57549999999998</v>
      </c>
      <c r="AO34" s="4947">
        <f t="shared" si="38"/>
        <v>9039.2057026476541</v>
      </c>
      <c r="AP34" s="4947">
        <f t="shared" si="39"/>
        <v>6660.2642399999995</v>
      </c>
      <c r="AQ34" s="4947">
        <f>+AQ33/2</f>
        <v>580.44806517311497</v>
      </c>
      <c r="AR34" s="4947">
        <f>+AR33/2</f>
        <v>0</v>
      </c>
      <c r="AS34" s="4947">
        <f t="shared" si="30"/>
        <v>9619.6537678207696</v>
      </c>
      <c r="AT34" s="4947">
        <f t="shared" si="31"/>
        <v>6660.2642399999995</v>
      </c>
      <c r="AU34" s="4947">
        <f>+AU33/2</f>
        <v>580.44806517311497</v>
      </c>
      <c r="AV34" s="4947">
        <f>+AV33/2</f>
        <v>0</v>
      </c>
      <c r="AW34" s="4947">
        <f t="shared" si="32"/>
        <v>10200.101832993885</v>
      </c>
      <c r="AX34" s="4947">
        <f t="shared" si="33"/>
        <v>6660.2642399999995</v>
      </c>
      <c r="AY34" s="4947">
        <f>+AY33/2</f>
        <v>580.44806517311497</v>
      </c>
      <c r="AZ34" s="4947">
        <f>+AZ33/2</f>
        <v>138.18458499999997</v>
      </c>
      <c r="BA34" s="4947">
        <f t="shared" si="34"/>
        <v>1741.3441955193448</v>
      </c>
      <c r="BB34" s="4947">
        <f t="shared" si="35"/>
        <v>138.18458499999997</v>
      </c>
      <c r="BC34" s="4947">
        <f t="shared" si="40"/>
        <v>3482.688391038691</v>
      </c>
      <c r="BD34" s="4947">
        <f t="shared" si="41"/>
        <v>447.76008499999995</v>
      </c>
      <c r="BE34" s="4947">
        <f t="shared" si="36"/>
        <v>10780.549898167001</v>
      </c>
      <c r="BF34" s="4947">
        <f t="shared" si="36"/>
        <v>6798.4488249999995</v>
      </c>
      <c r="BG34" s="4947">
        <v>11464.867617107942</v>
      </c>
      <c r="BH34" s="4947">
        <v>8167.8919699999997</v>
      </c>
      <c r="BI34" s="4985">
        <v>17025.817718940933</v>
      </c>
      <c r="BJ34" s="4947">
        <v>16273.539644999999</v>
      </c>
      <c r="BK34" s="4985"/>
      <c r="BL34" s="4986"/>
      <c r="BM34" s="188"/>
      <c r="BN34" s="188"/>
      <c r="BQ34"/>
      <c r="BR34"/>
      <c r="BS34"/>
      <c r="BT34"/>
      <c r="BU34"/>
      <c r="BV34"/>
      <c r="BW34"/>
    </row>
    <row r="35" spans="1:75" s="183" customFormat="1" ht="15" hidden="1" customHeight="1" x14ac:dyDescent="0.25">
      <c r="A35" s="188"/>
      <c r="B35" s="6136"/>
      <c r="C35" s="4961" t="s">
        <v>605</v>
      </c>
      <c r="D35" s="4719"/>
      <c r="E35" s="4947">
        <f>+E32+E34</f>
        <v>222089.88202743712</v>
      </c>
      <c r="F35" s="4947">
        <f>+F32+F34</f>
        <v>215711.88600999999</v>
      </c>
      <c r="G35" s="4947">
        <f>+G32+G34</f>
        <v>185297.42919724813</v>
      </c>
      <c r="H35" s="4947">
        <f>+H32+H34</f>
        <v>176402.22755000001</v>
      </c>
      <c r="I35" s="4948">
        <f t="shared" si="18"/>
        <v>407387.31122468528</v>
      </c>
      <c r="J35" s="4948">
        <f t="shared" si="18"/>
        <v>392114.11355999997</v>
      </c>
      <c r="K35" s="4947">
        <f>+K32+K34</f>
        <v>185037.13061522471</v>
      </c>
      <c r="L35" s="4947">
        <f>+L32+L34</f>
        <v>192647.37031</v>
      </c>
      <c r="M35" s="4947">
        <f t="shared" si="19"/>
        <v>592424.44183991</v>
      </c>
      <c r="N35" s="4947">
        <f t="shared" si="19"/>
        <v>584761.48387</v>
      </c>
      <c r="O35" s="4947">
        <f>+O32+O34</f>
        <v>224920.07070668213</v>
      </c>
      <c r="P35" s="4947">
        <f>+P32+P34</f>
        <v>230234.20486999999</v>
      </c>
      <c r="Q35" s="4947">
        <f t="shared" si="20"/>
        <v>817344.51254659216</v>
      </c>
      <c r="R35" s="4947">
        <f t="shared" si="20"/>
        <v>814995.68874000001</v>
      </c>
      <c r="S35" s="4947">
        <f>+S32+S34</f>
        <v>224920.07070668254</v>
      </c>
      <c r="T35" s="4947">
        <f>+T32+T34</f>
        <v>224642</v>
      </c>
      <c r="U35" s="4947">
        <f t="shared" si="21"/>
        <v>1042264.5832532747</v>
      </c>
      <c r="V35" s="4947">
        <f t="shared" si="22"/>
        <v>1039637.68874</v>
      </c>
      <c r="W35" s="4947">
        <f>+W32+W34</f>
        <v>218316.29712177688</v>
      </c>
      <c r="X35" s="4947">
        <f>+X32+X34</f>
        <v>210766</v>
      </c>
      <c r="Y35" s="4947">
        <f t="shared" si="23"/>
        <v>668156.43853514153</v>
      </c>
      <c r="Z35" s="4947">
        <f t="shared" si="23"/>
        <v>665642.20487000002</v>
      </c>
      <c r="AA35" s="4947">
        <f t="shared" si="37"/>
        <v>1260580.8803750514</v>
      </c>
      <c r="AB35" s="4947">
        <f t="shared" si="37"/>
        <v>1250403.6887400001</v>
      </c>
      <c r="AC35" s="4947">
        <f>+AC32+AC34</f>
        <v>231523.84429158812</v>
      </c>
      <c r="AD35" s="4947">
        <f>+AD32+AD34</f>
        <v>223439</v>
      </c>
      <c r="AE35" s="4947">
        <f t="shared" si="24"/>
        <v>1492104.7246666395</v>
      </c>
      <c r="AF35" s="4947">
        <f t="shared" si="25"/>
        <v>1473842.6887400001</v>
      </c>
      <c r="AG35" s="4947">
        <f>+AG32+AG34</f>
        <v>223976.6744802671</v>
      </c>
      <c r="AH35" s="4947">
        <f>+AH32+AH34</f>
        <v>192560.70452</v>
      </c>
      <c r="AI35" s="4947">
        <f t="shared" si="26"/>
        <v>1716081.3991469066</v>
      </c>
      <c r="AJ35" s="4947">
        <f t="shared" si="27"/>
        <v>1666403.39326</v>
      </c>
      <c r="AK35" s="4947">
        <f>+AK32+AK34</f>
        <v>232467.24051800312</v>
      </c>
      <c r="AL35" s="4947">
        <f>+AL32+AL34</f>
        <v>217667.87098000001</v>
      </c>
      <c r="AM35" s="4947">
        <f t="shared" si="28"/>
        <v>687967.7592898584</v>
      </c>
      <c r="AN35" s="4947">
        <f t="shared" si="29"/>
        <v>633667.57550000004</v>
      </c>
      <c r="AO35" s="4947">
        <f t="shared" si="38"/>
        <v>1948548.6396649098</v>
      </c>
      <c r="AP35" s="4947">
        <f t="shared" si="39"/>
        <v>1884071.2642399999</v>
      </c>
      <c r="AQ35" s="4947">
        <f>+AQ32+AQ34</f>
        <v>232467.24051800312</v>
      </c>
      <c r="AR35" s="4947">
        <f>+AR32+AR34</f>
        <v>217679</v>
      </c>
      <c r="AS35" s="4947">
        <f t="shared" si="30"/>
        <v>2181015.880182913</v>
      </c>
      <c r="AT35" s="4947">
        <f t="shared" si="31"/>
        <v>2101750.2642399999</v>
      </c>
      <c r="AU35" s="4947">
        <f>+AU32+AU34</f>
        <v>216429.50466894711</v>
      </c>
      <c r="AV35" s="4947">
        <f>+AV32+AV34</f>
        <v>214408</v>
      </c>
      <c r="AW35" s="4947">
        <f t="shared" si="32"/>
        <v>2397445.3848518603</v>
      </c>
      <c r="AX35" s="4947">
        <f t="shared" si="33"/>
        <v>2316158.2642399999</v>
      </c>
      <c r="AY35" s="4947">
        <f>+AY32+AY34</f>
        <v>233410.63674441812</v>
      </c>
      <c r="AZ35" s="4947">
        <f>+AZ32+AZ34</f>
        <v>219565.18458500001</v>
      </c>
      <c r="BA35" s="4947">
        <f t="shared" si="34"/>
        <v>682307.38193136826</v>
      </c>
      <c r="BB35" s="4947">
        <f t="shared" si="35"/>
        <v>651652.18458500004</v>
      </c>
      <c r="BC35" s="4947">
        <f t="shared" si="40"/>
        <v>1370275.1412212267</v>
      </c>
      <c r="BD35" s="4947">
        <f t="shared" si="41"/>
        <v>1285319.7600850002</v>
      </c>
      <c r="BE35" s="4947">
        <f t="shared" si="36"/>
        <v>2630856.0215962785</v>
      </c>
      <c r="BF35" s="4947">
        <f t="shared" si="36"/>
        <v>2535723.4488249999</v>
      </c>
      <c r="BG35" s="4947">
        <v>2511464.8676171061</v>
      </c>
      <c r="BH35" s="4947">
        <v>2430492.1944699995</v>
      </c>
      <c r="BI35" s="4985">
        <v>2590026.6160532027</v>
      </c>
      <c r="BJ35" s="4947">
        <v>2338989.5396449999</v>
      </c>
      <c r="BK35" s="4985"/>
      <c r="BL35" s="4986"/>
      <c r="BM35" s="188"/>
      <c r="BN35" s="188"/>
      <c r="BQ35"/>
      <c r="BR35"/>
      <c r="BS35"/>
      <c r="BT35"/>
      <c r="BU35"/>
      <c r="BV35"/>
      <c r="BW35"/>
    </row>
    <row r="36" spans="1:75" s="183" customFormat="1" ht="15" hidden="1" customHeight="1" thickBot="1" x14ac:dyDescent="0.3">
      <c r="A36" s="188"/>
      <c r="B36" s="6137"/>
      <c r="C36" s="4964"/>
      <c r="D36" s="4977"/>
      <c r="E36" s="4949">
        <f t="shared" ref="E36:AX36" si="42">+E35/(E31/366*E2)</f>
        <v>733.68441937035834</v>
      </c>
      <c r="F36" s="4949">
        <f t="shared" si="42"/>
        <v>706.87214862261612</v>
      </c>
      <c r="G36" s="4949">
        <f t="shared" si="42"/>
        <v>593.83961232700108</v>
      </c>
      <c r="H36" s="4949">
        <f t="shared" si="42"/>
        <v>561.06798598529622</v>
      </c>
      <c r="I36" s="4950">
        <f t="shared" si="42"/>
        <v>662.68777751067148</v>
      </c>
      <c r="J36" s="4950">
        <f t="shared" si="42"/>
        <v>632.86743278009408</v>
      </c>
      <c r="K36" s="4949">
        <f t="shared" si="42"/>
        <v>614.6074036225815</v>
      </c>
      <c r="L36" s="4949">
        <f t="shared" si="42"/>
        <v>632.8211948793753</v>
      </c>
      <c r="M36" s="4949">
        <f t="shared" si="42"/>
        <v>646.89178771838408</v>
      </c>
      <c r="N36" s="4949">
        <f t="shared" si="42"/>
        <v>632.85438233681828</v>
      </c>
      <c r="O36" s="4949">
        <f t="shared" si="42"/>
        <v>727.93528825910494</v>
      </c>
      <c r="P36" s="4949">
        <f t="shared" si="42"/>
        <v>737.45225160957762</v>
      </c>
      <c r="Q36" s="4949">
        <f t="shared" si="42"/>
        <v>667.31080082726248</v>
      </c>
      <c r="R36" s="4949">
        <f t="shared" si="42"/>
        <v>659.24828209504551</v>
      </c>
      <c r="S36" s="4949">
        <f t="shared" si="42"/>
        <v>731.74646777878741</v>
      </c>
      <c r="T36" s="4949">
        <f t="shared" si="42"/>
        <v>724.05812263876783</v>
      </c>
      <c r="U36" s="4949">
        <f t="shared" si="42"/>
        <v>680.21508583660193</v>
      </c>
      <c r="V36" s="4949">
        <f t="shared" si="42"/>
        <v>672.22846574976836</v>
      </c>
      <c r="W36" s="4949">
        <f t="shared" si="42"/>
        <v>736.37235965874424</v>
      </c>
      <c r="X36" s="4949">
        <f t="shared" si="42"/>
        <v>705.44449931412896</v>
      </c>
      <c r="Y36" s="4949">
        <f t="shared" si="42"/>
        <v>730.21398676958313</v>
      </c>
      <c r="Z36" s="4949">
        <f t="shared" si="42"/>
        <v>722.60278427290382</v>
      </c>
      <c r="AA36" s="4949">
        <f t="shared" si="42"/>
        <v>689.34426560793918</v>
      </c>
      <c r="AB36" s="4949">
        <f t="shared" si="42"/>
        <v>677.63375626066932</v>
      </c>
      <c r="AC36" s="4949">
        <f t="shared" si="42"/>
        <v>759.08777141404482</v>
      </c>
      <c r="AD36" s="4949">
        <f t="shared" si="42"/>
        <v>724.73124778447368</v>
      </c>
      <c r="AE36" s="4949">
        <f t="shared" si="42"/>
        <v>699.29230706960789</v>
      </c>
      <c r="AF36" s="4949">
        <f t="shared" si="42"/>
        <v>684.35750582447099</v>
      </c>
      <c r="AG36" s="4949">
        <f t="shared" si="42"/>
        <v>761.14635895801075</v>
      </c>
      <c r="AH36" s="4949">
        <f t="shared" si="42"/>
        <v>652.02347908520676</v>
      </c>
      <c r="AI36" s="4949">
        <f t="shared" si="42"/>
        <v>706.81231473358093</v>
      </c>
      <c r="AJ36" s="4949">
        <f t="shared" si="42"/>
        <v>680.48869254474914</v>
      </c>
      <c r="AK36" s="4949">
        <f t="shared" si="42"/>
        <v>770.30963422984564</v>
      </c>
      <c r="AL36" s="4949">
        <f t="shared" si="42"/>
        <v>713.26261071580143</v>
      </c>
      <c r="AM36" s="4949">
        <f t="shared" si="42"/>
        <v>763.50619759307415</v>
      </c>
      <c r="AN36" s="4949">
        <f t="shared" si="42"/>
        <v>697.27869811651669</v>
      </c>
      <c r="AO36" s="4949">
        <f t="shared" si="42"/>
        <v>713.80726305820349</v>
      </c>
      <c r="AP36" s="4949">
        <f t="shared" si="42"/>
        <v>684.0991894715936</v>
      </c>
      <c r="AQ36" s="4949">
        <f t="shared" si="42"/>
        <v>774.8766873972163</v>
      </c>
      <c r="AR36" s="4949">
        <f t="shared" si="42"/>
        <v>734.08071426597019</v>
      </c>
      <c r="AS36" s="4949">
        <f t="shared" si="42"/>
        <v>719.83058851208557</v>
      </c>
      <c r="AT36" s="4949">
        <f t="shared" si="42"/>
        <v>688.91700717704009</v>
      </c>
      <c r="AU36" s="4949">
        <f t="shared" si="42"/>
        <v>773.79309083554392</v>
      </c>
      <c r="AV36" s="4949">
        <f t="shared" si="42"/>
        <v>742.78803941427577</v>
      </c>
      <c r="AW36" s="4949">
        <f t="shared" si="42"/>
        <v>724.47281716238444</v>
      </c>
      <c r="AX36" s="4949">
        <f t="shared" si="42"/>
        <v>693.57841682601168</v>
      </c>
      <c r="AY36" s="4949">
        <f t="shared" ref="AY36:AZ36" si="43">+AY35/(AY31/366*AY2)</f>
        <v>781.99528622585251</v>
      </c>
      <c r="AZ36" s="4949">
        <f t="shared" si="43"/>
        <v>712.3621125806452</v>
      </c>
      <c r="BA36" s="4949">
        <f t="shared" ref="BA36:BF36" si="44">+BA35/(BA31/366*BA2)</f>
        <v>776.96072886787294</v>
      </c>
      <c r="BB36" s="4949">
        <f t="shared" si="44"/>
        <v>729.18411324534043</v>
      </c>
      <c r="BC36" s="4949">
        <f t="shared" si="44"/>
        <v>770.17806532340603</v>
      </c>
      <c r="BD36" s="4949">
        <f t="shared" si="44"/>
        <v>713.10911836053458</v>
      </c>
      <c r="BE36" s="4949">
        <f t="shared" si="44"/>
        <v>729.20663969961981</v>
      </c>
      <c r="BF36" s="4949">
        <f t="shared" si="44"/>
        <v>695.16314963675404</v>
      </c>
      <c r="BG36" s="4949">
        <v>656.40621199671705</v>
      </c>
      <c r="BH36" s="4949">
        <v>639.11266207165545</v>
      </c>
      <c r="BI36" s="4977">
        <v>645.95904380418642</v>
      </c>
      <c r="BJ36" s="4949">
        <v>585.39375718480824</v>
      </c>
      <c r="BK36" s="4977"/>
      <c r="BL36" s="4987"/>
      <c r="BM36" s="188"/>
      <c r="BN36" s="188"/>
      <c r="BQ36"/>
      <c r="BR36"/>
      <c r="BS36"/>
      <c r="BT36"/>
      <c r="BU36"/>
      <c r="BV36"/>
      <c r="BW36"/>
    </row>
    <row r="37" spans="1:75" s="183" customFormat="1" ht="15" customHeight="1" x14ac:dyDescent="0.25">
      <c r="A37" s="188"/>
      <c r="B37" s="5002"/>
      <c r="C37" s="4965"/>
      <c r="D37" s="4978"/>
      <c r="E37" s="4978"/>
      <c r="F37" s="4978"/>
      <c r="G37" s="4978"/>
      <c r="H37" s="4978"/>
      <c r="I37" s="4978"/>
      <c r="J37" s="4978"/>
      <c r="K37" s="4978"/>
      <c r="L37" s="4978"/>
      <c r="M37" s="4978"/>
      <c r="N37" s="4978"/>
      <c r="O37" s="4978"/>
      <c r="P37" s="4978"/>
      <c r="Q37" s="4978"/>
      <c r="R37" s="4978"/>
      <c r="S37" s="4978"/>
      <c r="T37" s="4978"/>
      <c r="U37" s="4978"/>
      <c r="V37" s="4978"/>
      <c r="W37" s="4978"/>
      <c r="X37" s="4978"/>
      <c r="Y37" s="4978"/>
      <c r="Z37" s="4978"/>
      <c r="AA37" s="4978"/>
      <c r="AB37" s="4978"/>
      <c r="AC37" s="4978"/>
      <c r="AD37" s="4978"/>
      <c r="AE37" s="4978"/>
      <c r="AF37" s="4978"/>
      <c r="AG37" s="4978"/>
      <c r="AH37" s="4978"/>
      <c r="AI37" s="4978"/>
      <c r="AJ37" s="4978"/>
      <c r="AK37" s="4978"/>
      <c r="AL37" s="4978"/>
      <c r="AM37" s="4978"/>
      <c r="AN37" s="4978"/>
      <c r="AO37" s="4978"/>
      <c r="AP37" s="4978"/>
      <c r="AQ37" s="4978"/>
      <c r="AR37" s="4978"/>
      <c r="AS37" s="4978"/>
      <c r="AT37" s="4978"/>
      <c r="AU37" s="4978"/>
      <c r="AV37" s="4978"/>
      <c r="AW37" s="4978"/>
      <c r="AX37" s="4978"/>
      <c r="AY37" s="4978"/>
      <c r="AZ37" s="4978"/>
      <c r="BA37" s="4978"/>
      <c r="BB37" s="4978"/>
      <c r="BC37" s="4978"/>
      <c r="BD37" s="4978"/>
      <c r="BE37" s="4978"/>
      <c r="BF37" s="4978"/>
      <c r="BG37" s="4978"/>
      <c r="BH37" s="4978"/>
      <c r="BI37" s="4978"/>
      <c r="BJ37" s="4978"/>
      <c r="BK37" s="4978"/>
      <c r="BL37" s="4988"/>
      <c r="BM37" s="188"/>
      <c r="BN37" s="188"/>
      <c r="BQ37"/>
      <c r="BR37"/>
      <c r="BS37"/>
      <c r="BT37"/>
      <c r="BU37"/>
      <c r="BV37"/>
      <c r="BW37"/>
    </row>
    <row r="38" spans="1:75" ht="15" hidden="1" customHeight="1" thickBot="1" x14ac:dyDescent="0.3">
      <c r="B38" s="5003" t="s">
        <v>734</v>
      </c>
      <c r="C38" s="4966" t="s">
        <v>361</v>
      </c>
      <c r="D38" s="3174"/>
      <c r="E38" s="897">
        <f>+(E16*E32)/1000</f>
        <v>234799.99999999985</v>
      </c>
      <c r="F38" s="48">
        <f>+SMS!F15</f>
        <v>230943</v>
      </c>
      <c r="G38" s="897">
        <f>+(G16*G32)/1000</f>
        <v>195799.99999999953</v>
      </c>
      <c r="H38" s="48">
        <f>+SMS!H15</f>
        <v>187019</v>
      </c>
      <c r="I38" s="1406">
        <f>+(I16*I32)/1000</f>
        <v>430599.99999999942</v>
      </c>
      <c r="J38" s="2340">
        <f>+SMS!J15</f>
        <v>417962</v>
      </c>
      <c r="K38" s="897">
        <f>+(K16*K32)/1000</f>
        <v>191479.99999999974</v>
      </c>
      <c r="L38" s="48">
        <f>+SMS!L15</f>
        <v>199871</v>
      </c>
      <c r="M38" s="1408">
        <f>+(M16*M32)/1000</f>
        <v>622079.99999999907</v>
      </c>
      <c r="N38" s="4930">
        <f>+SMS!N15</f>
        <v>617833</v>
      </c>
      <c r="O38" s="897">
        <f>+(O16*O32)/1000</f>
        <v>237799.99999999956</v>
      </c>
      <c r="P38" s="48">
        <f>+SMS!P15</f>
        <v>244282.4</v>
      </c>
      <c r="Q38" s="1406">
        <f>+(Q16*Q32)/1000</f>
        <v>859879.99999999872</v>
      </c>
      <c r="R38" s="2340">
        <f>+SMS!R15</f>
        <v>862115.4</v>
      </c>
      <c r="S38" s="897">
        <f>+(S16*S32)/1000</f>
        <v>237800</v>
      </c>
      <c r="T38" s="48">
        <f>+SMS!T15</f>
        <v>239007.1</v>
      </c>
      <c r="U38" s="1406">
        <f>+(U16*U32)/1000</f>
        <v>1097679.9999999986</v>
      </c>
      <c r="V38" s="2340">
        <f>+SMS!V15</f>
        <v>1101122.5</v>
      </c>
      <c r="W38" s="897">
        <f>+(W16*W32)/1000</f>
        <v>230800</v>
      </c>
      <c r="X38" s="48">
        <f>+SMS!X15</f>
        <v>227357.44</v>
      </c>
      <c r="Y38" s="4507">
        <f>+O38+S38+W38</f>
        <v>706399.99999999953</v>
      </c>
      <c r="Z38" s="4507">
        <f>+P38+T38+X38</f>
        <v>710646.94</v>
      </c>
      <c r="AA38" s="4931">
        <f>+M38+Y38</f>
        <v>1328479.9999999986</v>
      </c>
      <c r="AB38" s="4931">
        <f>+N38+Z38</f>
        <v>1328479.94</v>
      </c>
      <c r="AC38" s="897">
        <f>+(AC16*AC32)/1000</f>
        <v>244799.99999999991</v>
      </c>
      <c r="AD38" s="48">
        <f>+SMS!AD15</f>
        <v>242707.18</v>
      </c>
      <c r="AE38" s="1406">
        <f>+(AE16*AE32)/1000</f>
        <v>1573279.9999999984</v>
      </c>
      <c r="AF38" s="2340">
        <f>+SMS!AF15</f>
        <v>1571187.1199999999</v>
      </c>
      <c r="AG38" s="897">
        <f>+(AG16*AG32)/1000</f>
        <v>236799.99999999965</v>
      </c>
      <c r="AH38" s="48">
        <f>+SMS!AH15</f>
        <v>204405.82</v>
      </c>
      <c r="AI38" s="1406">
        <f>+(AI16*AI32)/1000</f>
        <v>1810079.9999999981</v>
      </c>
      <c r="AJ38" s="2340">
        <f>+SMS!AJ15</f>
        <v>1775592.94</v>
      </c>
      <c r="AK38" s="897">
        <f>+(AK16*AK32)/1000</f>
        <v>245799.99999999983</v>
      </c>
      <c r="AL38" s="48">
        <f>+SMS!AL15</f>
        <v>227419.6</v>
      </c>
      <c r="AM38" s="4507">
        <f>+AC38+AG38+AK38</f>
        <v>727399.9999999993</v>
      </c>
      <c r="AN38" s="4507">
        <f>+AD38+AH38+AL38</f>
        <v>674532.6</v>
      </c>
      <c r="AO38" s="1406">
        <f>+(AO16*AO32)/1000</f>
        <v>2055879.9999999979</v>
      </c>
      <c r="AP38" s="2340">
        <f>+SMS!AP15</f>
        <v>2003012.54</v>
      </c>
      <c r="AQ38" s="897">
        <f>+(AQ16*AQ32)/1000</f>
        <v>245799.99999999983</v>
      </c>
      <c r="AR38" s="48">
        <f>+SMS!AR15</f>
        <v>230658.33</v>
      </c>
      <c r="AS38" s="1406">
        <f>+(AS16*AS32)/1000</f>
        <v>2301679.9999999977</v>
      </c>
      <c r="AT38" s="2340">
        <f>+SMS!AT15</f>
        <v>2233670.87</v>
      </c>
      <c r="AU38" s="897">
        <f>+(AU16*AU32)/1000</f>
        <v>228800.00000000041</v>
      </c>
      <c r="AV38" s="48">
        <f>+SMS!AV15</f>
        <v>228613.19</v>
      </c>
      <c r="AW38" s="1406">
        <f>+(AW16*AW32)/1000</f>
        <v>2530479.9999999981</v>
      </c>
      <c r="AX38" s="2340">
        <f>+SMS!AX15</f>
        <v>2462284.06</v>
      </c>
      <c r="AY38" s="897">
        <f>+(AY16*AY32)/1000</f>
        <v>246799.99999999971</v>
      </c>
      <c r="AZ38" s="48">
        <f>+SMS!AZ15</f>
        <v>233578.77</v>
      </c>
      <c r="BA38" s="4507">
        <f t="shared" ref="BA38:BA41" si="45">+AQ38+AU38+AY38</f>
        <v>721400</v>
      </c>
      <c r="BB38" s="4507">
        <f t="shared" ref="BB38:BB41" si="46">+AR38+AV38+AZ38</f>
        <v>692850.29</v>
      </c>
      <c r="BC38" s="4931">
        <f>+AM38+BA38</f>
        <v>1448799.9999999993</v>
      </c>
      <c r="BD38" s="4931">
        <f>+AN38+BB38</f>
        <v>1367382.8900000001</v>
      </c>
      <c r="BE38" s="4505">
        <f t="shared" ref="BE38:BF41" si="47">+AW38+AY38</f>
        <v>2777279.9999999977</v>
      </c>
      <c r="BF38" s="4505">
        <f t="shared" si="47"/>
        <v>2695862.83</v>
      </c>
      <c r="BG38" s="4932">
        <v>2655000</v>
      </c>
      <c r="BH38" s="4932">
        <v>2574868</v>
      </c>
      <c r="BI38" s="4932">
        <v>2611100.4700000002</v>
      </c>
      <c r="BJ38" s="4932">
        <v>2366123.2121212119</v>
      </c>
      <c r="BK38" s="4932"/>
      <c r="BL38" s="4933"/>
      <c r="BM38" s="4473"/>
      <c r="BN38" s="2761"/>
      <c r="BO38" s="2761"/>
      <c r="BP38" s="26"/>
      <c r="BQ38" s="26"/>
      <c r="BR38" s="26"/>
      <c r="BS38" s="26"/>
    </row>
    <row r="39" spans="1:75" ht="15" hidden="1" customHeight="1" thickBot="1" x14ac:dyDescent="0.3">
      <c r="B39" s="5004" t="s">
        <v>287</v>
      </c>
      <c r="C39" s="4967" t="s">
        <v>361</v>
      </c>
      <c r="D39" s="3172"/>
      <c r="E39" s="897">
        <f>+(E17*E32)/1000</f>
        <v>8860.3773584905575</v>
      </c>
      <c r="F39" s="247">
        <f>+SMS!F19</f>
        <v>6852.8</v>
      </c>
      <c r="G39" s="897">
        <f>+(G17*G32)/1000</f>
        <v>7388.6792452829995</v>
      </c>
      <c r="H39" s="247">
        <f>+SMS!H19</f>
        <v>7563</v>
      </c>
      <c r="I39" s="1406">
        <f>+(I17*I32)/1000</f>
        <v>16249.056603773559</v>
      </c>
      <c r="J39" s="250">
        <f>+SMS!J19</f>
        <v>14415.8</v>
      </c>
      <c r="K39" s="897">
        <f>+(K17*K32)/1000</f>
        <v>7225.6603773584784</v>
      </c>
      <c r="L39" s="247">
        <f>+SMS!L19</f>
        <v>6740.8</v>
      </c>
      <c r="M39" s="1408">
        <f>+(M17*M32)/1000</f>
        <v>23474.716981132035</v>
      </c>
      <c r="N39" s="296">
        <f>+SMS!N19</f>
        <v>21156.6</v>
      </c>
      <c r="O39" s="897">
        <f>+(O17*O32)/1000</f>
        <v>8973.5849056603583</v>
      </c>
      <c r="P39" s="247">
        <f>+SMS!P19</f>
        <v>8784</v>
      </c>
      <c r="Q39" s="1406">
        <f>+(Q17*Q32)/1000</f>
        <v>32448.301886792397</v>
      </c>
      <c r="R39" s="250">
        <f>+SMS!R19</f>
        <v>29940.6</v>
      </c>
      <c r="S39" s="897">
        <f>+(S17*S32)/1000</f>
        <v>8973.5849056603765</v>
      </c>
      <c r="T39" s="247">
        <f>+SMS!T19</f>
        <v>7666</v>
      </c>
      <c r="U39" s="1406">
        <f>+(U17*U32)/1000</f>
        <v>41421.886792452766</v>
      </c>
      <c r="V39" s="250">
        <f>+SMS!V19</f>
        <v>37606.6</v>
      </c>
      <c r="W39" s="897">
        <f>+(W17*W32)/1000</f>
        <v>8709.4339622641492</v>
      </c>
      <c r="X39" s="247">
        <f>+SMS!X19</f>
        <v>4663.8500000000004</v>
      </c>
      <c r="Y39" s="4785">
        <f t="shared" ref="Y39:Y46" si="48">+O39+S39+W39</f>
        <v>26656.603773584884</v>
      </c>
      <c r="Z39" s="4785">
        <f t="shared" ref="Z39:Z46" si="49">+P39+T39+X39</f>
        <v>21113.85</v>
      </c>
      <c r="AA39" s="595">
        <f t="shared" ref="AA39:AB46" si="50">+M39+Y39</f>
        <v>50131.320754716915</v>
      </c>
      <c r="AB39" s="595">
        <f t="shared" si="50"/>
        <v>42270.45</v>
      </c>
      <c r="AC39" s="897">
        <f>+(AC17*AC32)/1000</f>
        <v>9237.7358490565985</v>
      </c>
      <c r="AD39" s="247">
        <f>+SMS!AD19</f>
        <v>3170.16</v>
      </c>
      <c r="AE39" s="1406">
        <f>+(AE17*AE32)/1000</f>
        <v>59369.056603773512</v>
      </c>
      <c r="AF39" s="250">
        <f>+SMS!AF19</f>
        <v>45440.61</v>
      </c>
      <c r="AG39" s="897">
        <f>+(AG17*AG32)/1000</f>
        <v>8935.8490566037581</v>
      </c>
      <c r="AH39" s="247">
        <f>+SMS!AH19</f>
        <v>6167.3099999999995</v>
      </c>
      <c r="AI39" s="1406">
        <f>+(AI17*AI32)/1000</f>
        <v>68304.905660377277</v>
      </c>
      <c r="AJ39" s="250">
        <f>+SMS!AJ19</f>
        <v>51607.92</v>
      </c>
      <c r="AK39" s="897">
        <f>+(AK17*AK32)/1000</f>
        <v>9275.4716981131987</v>
      </c>
      <c r="AL39" s="247">
        <f>+SMS!AL19</f>
        <v>11800.11</v>
      </c>
      <c r="AM39" s="4785">
        <f t="shared" ref="AM39:AM41" si="51">+AC39+AG39+AK39</f>
        <v>27449.056603773555</v>
      </c>
      <c r="AN39" s="4785">
        <f t="shared" ref="AN39:AN41" si="52">+AD39+AH39+AL39</f>
        <v>21137.58</v>
      </c>
      <c r="AO39" s="1406">
        <f>+(AO17*AO32)/1000</f>
        <v>77580.377358490485</v>
      </c>
      <c r="AP39" s="250">
        <f>+SMS!AP19</f>
        <v>63408.03</v>
      </c>
      <c r="AQ39" s="897">
        <f>+(AQ17*AQ32)/1000</f>
        <v>9275.4716981131987</v>
      </c>
      <c r="AR39" s="247">
        <f>+SMS!AR19</f>
        <v>8767.6899999999987</v>
      </c>
      <c r="AS39" s="1406">
        <f>+(AS17*AS32)/1000</f>
        <v>86855.849056603663</v>
      </c>
      <c r="AT39" s="250">
        <f>+SMS!AT19</f>
        <v>72175.72</v>
      </c>
      <c r="AU39" s="897">
        <f>+(AU17*AU32)/1000</f>
        <v>8633.9622641509577</v>
      </c>
      <c r="AV39" s="247">
        <f>+SMS!AV19</f>
        <v>7172.7</v>
      </c>
      <c r="AW39" s="1406">
        <f>+(AW17*AW32)/1000</f>
        <v>95489.811320754627</v>
      </c>
      <c r="AX39" s="250">
        <f>+SMS!AX19</f>
        <v>79348.42</v>
      </c>
      <c r="AY39" s="897">
        <f>+(AY17*AY32)/1000</f>
        <v>9313.207547169799</v>
      </c>
      <c r="AZ39" s="247">
        <f>+SMS!AZ19</f>
        <v>7725.1</v>
      </c>
      <c r="BA39" s="4785">
        <f t="shared" si="45"/>
        <v>27222.641509433954</v>
      </c>
      <c r="BB39" s="4785">
        <f t="shared" si="46"/>
        <v>23665.489999999998</v>
      </c>
      <c r="BC39" s="4931">
        <f t="shared" ref="BC39:BC46" si="53">+AM39+BA39</f>
        <v>54671.698113207509</v>
      </c>
      <c r="BD39" s="4931">
        <f t="shared" ref="BD39:BD46" si="54">+AN39+BB39</f>
        <v>44803.07</v>
      </c>
      <c r="BE39" s="4783">
        <f t="shared" si="47"/>
        <v>104803.01886792443</v>
      </c>
      <c r="BF39" s="4783">
        <f t="shared" si="47"/>
        <v>87073.52</v>
      </c>
      <c r="BG39" s="4918">
        <v>121081.638418079</v>
      </c>
      <c r="BH39" s="4918">
        <v>93275</v>
      </c>
      <c r="BI39" s="4918">
        <v>128650.03991671308</v>
      </c>
      <c r="BJ39" s="4918">
        <v>101615.76000000001</v>
      </c>
      <c r="BK39" s="4918"/>
      <c r="BL39" s="4934"/>
      <c r="BM39" s="1368"/>
      <c r="BN39" s="2760"/>
      <c r="BO39" s="2760"/>
      <c r="BP39" s="26"/>
      <c r="BQ39" s="26"/>
      <c r="BR39" s="26"/>
      <c r="BS39" s="26"/>
    </row>
    <row r="40" spans="1:75" ht="15" hidden="1" customHeight="1" thickBot="1" x14ac:dyDescent="0.3">
      <c r="B40" s="5004" t="s">
        <v>85</v>
      </c>
      <c r="C40" s="4967" t="s">
        <v>361</v>
      </c>
      <c r="D40" s="3172"/>
      <c r="E40" s="888">
        <f>+(E48*'Maj Production Summ'!E$18)/1000</f>
        <v>286.18653199636668</v>
      </c>
      <c r="F40" s="3178">
        <f>+SMS!F55</f>
        <v>361</v>
      </c>
      <c r="G40" s="888">
        <f>+(G48*'Maj Production Summ'!G$18)/1000</f>
        <v>238.65129031042798</v>
      </c>
      <c r="H40" s="3178">
        <f>+SMS!H55</f>
        <v>259</v>
      </c>
      <c r="I40" s="1406">
        <f>+(I48*'Maj Production Summ'!I$18)/1000</f>
        <v>524.83782230679469</v>
      </c>
      <c r="J40" s="250">
        <f>+SMS!J55</f>
        <v>620</v>
      </c>
      <c r="K40" s="888">
        <f>+(K48*'Maj Production Summ'!K$18)/1000</f>
        <v>233.38584815444736</v>
      </c>
      <c r="L40" s="3178">
        <f>+SMS!L55</f>
        <v>313</v>
      </c>
      <c r="M40" s="1408">
        <f>+(M48*'Maj Production Summ'!M$18)/1000</f>
        <v>758.22367046124202</v>
      </c>
      <c r="N40" s="296">
        <f>+SMS!N55</f>
        <v>933</v>
      </c>
      <c r="O40" s="888">
        <f>+(O48*'Maj Production Summ'!O$18)/1000</f>
        <v>289.84308904913081</v>
      </c>
      <c r="P40" s="3178">
        <f>+SMS!P55</f>
        <v>465</v>
      </c>
      <c r="Q40" s="1406">
        <f>+(Q48*'Maj Production Summ'!Q$18)/1000</f>
        <v>1048.0667595103728</v>
      </c>
      <c r="R40" s="250">
        <f>+SMS!R55</f>
        <v>1398</v>
      </c>
      <c r="S40" s="888">
        <f>+(S48*'Maj Production Summ'!S$18)/1000</f>
        <v>289.84308904913132</v>
      </c>
      <c r="T40" s="3178">
        <f>+SMS!T55</f>
        <v>488</v>
      </c>
      <c r="U40" s="1406">
        <f>+(U48*'Maj Production Summ'!U$18)/1000</f>
        <v>1337.9098485595041</v>
      </c>
      <c r="V40" s="250">
        <f>+SMS!V55</f>
        <v>1886</v>
      </c>
      <c r="W40" s="888">
        <f>+(W48*'Maj Production Summ'!W$18)/1000</f>
        <v>281.31112259268087</v>
      </c>
      <c r="X40" s="3178">
        <f>+SMS!X55</f>
        <v>460</v>
      </c>
      <c r="Y40" s="4785">
        <f t="shared" si="48"/>
        <v>860.99730069094312</v>
      </c>
      <c r="Z40" s="4785">
        <f t="shared" si="49"/>
        <v>1413</v>
      </c>
      <c r="AA40" s="595">
        <f t="shared" si="50"/>
        <v>1619.220971152185</v>
      </c>
      <c r="AB40" s="595">
        <f t="shared" si="50"/>
        <v>2346</v>
      </c>
      <c r="AC40" s="888">
        <f>+(AC48*'Maj Production Summ'!AC$18)/1000</f>
        <v>298.37505550558166</v>
      </c>
      <c r="AD40" s="3178">
        <f>+SMS!AD55</f>
        <v>438</v>
      </c>
      <c r="AE40" s="1406">
        <f>+(AE48*'Maj Production Summ'!AE$18)/1000</f>
        <v>1917.5960266577665</v>
      </c>
      <c r="AF40" s="250">
        <f>+SMS!AF55</f>
        <v>2784</v>
      </c>
      <c r="AG40" s="888">
        <f>+(AG48*'Maj Production Summ'!AG$18)/1000</f>
        <v>288.62423669820936</v>
      </c>
      <c r="AH40" s="3178">
        <f>+SMS!AH55</f>
        <v>383</v>
      </c>
      <c r="AI40" s="1406">
        <f>+(AI48*'Maj Production Summ'!AI$18)/1000</f>
        <v>2206.2202633559759</v>
      </c>
      <c r="AJ40" s="250">
        <f>+SMS!AJ55</f>
        <v>3167</v>
      </c>
      <c r="AK40" s="888">
        <f>+(AK48*'Maj Production Summ'!AK$18)/1000</f>
        <v>299.59390785650305</v>
      </c>
      <c r="AL40" s="3178">
        <f>+SMS!AL55</f>
        <v>468</v>
      </c>
      <c r="AM40" s="4785">
        <f t="shared" si="51"/>
        <v>886.59320006029407</v>
      </c>
      <c r="AN40" s="4785">
        <f t="shared" si="52"/>
        <v>1289</v>
      </c>
      <c r="AO40" s="1406">
        <f>+(AO48*'Maj Production Summ'!AO$18)/1000</f>
        <v>2505.8141712124789</v>
      </c>
      <c r="AP40" s="250">
        <f>+SMS!AP55</f>
        <v>3635</v>
      </c>
      <c r="AQ40" s="888">
        <f>+(AQ48*'Maj Production Summ'!AQ$18)/1000</f>
        <v>299.59390785650305</v>
      </c>
      <c r="AR40" s="3178">
        <f>+SMS!AR55</f>
        <v>509</v>
      </c>
      <c r="AS40" s="1406">
        <f>+(AS48*'Maj Production Summ'!AS$18)/1000</f>
        <v>2805.4080790689823</v>
      </c>
      <c r="AT40" s="250">
        <f>+SMS!AT55</f>
        <v>4144</v>
      </c>
      <c r="AU40" s="888">
        <f>+(AU48*'Maj Production Summ'!AU$18)/1000</f>
        <v>278.87341789083843</v>
      </c>
      <c r="AV40" s="3178">
        <f>+SMS!AV55</f>
        <v>351</v>
      </c>
      <c r="AW40" s="1406">
        <f>+(AW48*'Maj Production Summ'!AW$18)/1000</f>
        <v>3084.2814969598203</v>
      </c>
      <c r="AX40" s="250">
        <f>+SMS!AX55</f>
        <v>4495</v>
      </c>
      <c r="AY40" s="888">
        <f>+(AY48*'Maj Production Summ'!AY$18)/1000</f>
        <v>300.81276020742439</v>
      </c>
      <c r="AZ40" s="3178">
        <f>+SMS!AZ55</f>
        <v>232</v>
      </c>
      <c r="BA40" s="4785">
        <f t="shared" si="45"/>
        <v>879.28008595476581</v>
      </c>
      <c r="BB40" s="4785">
        <f t="shared" si="46"/>
        <v>1092</v>
      </c>
      <c r="BC40" s="4931">
        <f t="shared" si="53"/>
        <v>1765.8732860150599</v>
      </c>
      <c r="BD40" s="4931">
        <f t="shared" si="54"/>
        <v>2381</v>
      </c>
      <c r="BE40" s="4783">
        <f t="shared" si="47"/>
        <v>3385.0942571672449</v>
      </c>
      <c r="BF40" s="4783">
        <f t="shared" si="47"/>
        <v>4727</v>
      </c>
      <c r="BG40" s="4918">
        <v>4499.9999999999973</v>
      </c>
      <c r="BH40" s="4918">
        <v>4569.84</v>
      </c>
      <c r="BI40" s="4918">
        <v>6693.3528167707818</v>
      </c>
      <c r="BJ40" s="4918">
        <v>4136</v>
      </c>
      <c r="BK40" s="4918"/>
      <c r="BL40" s="4934"/>
      <c r="BM40" s="1368"/>
      <c r="BN40" s="2760"/>
      <c r="BO40" s="2760"/>
      <c r="BP40" s="26"/>
      <c r="BQ40" s="26"/>
      <c r="BR40" s="26"/>
      <c r="BS40" s="26"/>
    </row>
    <row r="41" spans="1:75" ht="15" hidden="1" customHeight="1" x14ac:dyDescent="0.25">
      <c r="B41" s="5004" t="s">
        <v>869</v>
      </c>
      <c r="C41" s="4967" t="s">
        <v>361</v>
      </c>
      <c r="D41" s="3172"/>
      <c r="E41" s="888">
        <v>0</v>
      </c>
      <c r="F41" s="3178">
        <f>+SMS!F56</f>
        <v>172</v>
      </c>
      <c r="G41" s="888">
        <v>0</v>
      </c>
      <c r="H41" s="3178">
        <f>+SMS!H56</f>
        <v>132.1</v>
      </c>
      <c r="I41" s="1406">
        <v>0</v>
      </c>
      <c r="J41" s="250">
        <f>+SMS!J56</f>
        <v>304.10000000000002</v>
      </c>
      <c r="K41" s="888">
        <v>0</v>
      </c>
      <c r="L41" s="3178">
        <f>+SMS!L56</f>
        <v>115</v>
      </c>
      <c r="M41" s="1408">
        <v>0</v>
      </c>
      <c r="N41" s="296">
        <f>+SMS!N56</f>
        <v>419.1</v>
      </c>
      <c r="O41" s="888">
        <v>0</v>
      </c>
      <c r="P41" s="3178">
        <f>+SMS!P56</f>
        <v>53</v>
      </c>
      <c r="Q41" s="1406">
        <v>0</v>
      </c>
      <c r="R41" s="250">
        <f>+SMS!R56</f>
        <v>472.1</v>
      </c>
      <c r="S41" s="888">
        <v>0</v>
      </c>
      <c r="T41" s="3178">
        <f>+SMS!T56</f>
        <v>161.90700000000001</v>
      </c>
      <c r="U41" s="1406">
        <v>0</v>
      </c>
      <c r="V41" s="250">
        <f>+SMS!V56</f>
        <v>634.00700000000006</v>
      </c>
      <c r="W41" s="888">
        <v>0</v>
      </c>
      <c r="X41" s="3178">
        <f>+SMS!X56</f>
        <v>138</v>
      </c>
      <c r="Y41" s="4785">
        <f t="shared" si="48"/>
        <v>0</v>
      </c>
      <c r="Z41" s="4785">
        <f t="shared" si="49"/>
        <v>352.90700000000004</v>
      </c>
      <c r="AA41" s="595">
        <f t="shared" si="50"/>
        <v>0</v>
      </c>
      <c r="AB41" s="595">
        <f t="shared" si="50"/>
        <v>772.00700000000006</v>
      </c>
      <c r="AC41" s="888"/>
      <c r="AD41" s="3178">
        <f>+SMS!AD56</f>
        <v>141</v>
      </c>
      <c r="AE41" s="1406">
        <v>0</v>
      </c>
      <c r="AF41" s="250">
        <f>+SMS!AF56</f>
        <v>913.00700000000006</v>
      </c>
      <c r="AG41" s="888"/>
      <c r="AH41" s="3178">
        <f>+SMS!AH56</f>
        <v>180</v>
      </c>
      <c r="AI41" s="1406">
        <v>0</v>
      </c>
      <c r="AJ41" s="250">
        <f>+SMS!AJ56</f>
        <v>1093.0070000000001</v>
      </c>
      <c r="AK41" s="888"/>
      <c r="AL41" s="3178">
        <f>+SMS!AL56</f>
        <v>154</v>
      </c>
      <c r="AM41" s="4785">
        <f t="shared" si="51"/>
        <v>0</v>
      </c>
      <c r="AN41" s="4785">
        <f t="shared" si="52"/>
        <v>475</v>
      </c>
      <c r="AO41" s="1406">
        <v>0</v>
      </c>
      <c r="AP41" s="250">
        <f>+SMS!AP56</f>
        <v>1247.0070000000001</v>
      </c>
      <c r="AQ41" s="888"/>
      <c r="AR41" s="3178">
        <f>+SMS!AR56</f>
        <v>147.51900000000001</v>
      </c>
      <c r="AS41" s="1406">
        <v>0</v>
      </c>
      <c r="AT41" s="250">
        <f>+SMS!AT56</f>
        <v>1394.5260000000001</v>
      </c>
      <c r="AU41" s="888"/>
      <c r="AV41" s="3178">
        <f>+SMS!AV56</f>
        <v>149.779</v>
      </c>
      <c r="AW41" s="1406">
        <v>0</v>
      </c>
      <c r="AX41" s="250">
        <f>+SMS!AX56</f>
        <v>1544.3050000000001</v>
      </c>
      <c r="AY41" s="888"/>
      <c r="AZ41" s="3178">
        <f>+SMS!AZ56</f>
        <v>124</v>
      </c>
      <c r="BA41" s="4785">
        <f t="shared" si="45"/>
        <v>0</v>
      </c>
      <c r="BB41" s="4785">
        <f t="shared" si="46"/>
        <v>421.298</v>
      </c>
      <c r="BC41" s="4931">
        <f t="shared" si="53"/>
        <v>0</v>
      </c>
      <c r="BD41" s="4931">
        <f t="shared" si="54"/>
        <v>896.298</v>
      </c>
      <c r="BE41" s="4783">
        <f t="shared" si="47"/>
        <v>0</v>
      </c>
      <c r="BF41" s="4783">
        <f t="shared" si="47"/>
        <v>1668.3050000000001</v>
      </c>
      <c r="BG41" s="4918">
        <v>0</v>
      </c>
      <c r="BH41" s="4918">
        <v>1122.0419999999999</v>
      </c>
      <c r="BI41" s="4918">
        <v>0</v>
      </c>
      <c r="BJ41" s="4918">
        <v>968.33999999999992</v>
      </c>
      <c r="BK41" s="4918"/>
      <c r="BL41" s="4934"/>
      <c r="BM41" s="1368"/>
      <c r="BN41" s="2760"/>
      <c r="BO41" s="2760"/>
      <c r="BP41" s="26"/>
      <c r="BQ41" s="26"/>
      <c r="BR41" s="26"/>
      <c r="BS41" s="26"/>
    </row>
    <row r="42" spans="1:75" s="34" customFormat="1" ht="15.75" hidden="1" customHeight="1" thickBot="1" x14ac:dyDescent="0.3">
      <c r="A42" s="1015"/>
      <c r="B42" s="5005" t="s">
        <v>911</v>
      </c>
      <c r="C42" s="4968" t="s">
        <v>361</v>
      </c>
      <c r="D42" s="1016"/>
      <c r="E42" s="887">
        <f>SUM(E40:E41)</f>
        <v>286.18653199636668</v>
      </c>
      <c r="F42" s="306">
        <f t="shared" ref="F42:G42" si="55">SUM(F40:F41)</f>
        <v>533</v>
      </c>
      <c r="G42" s="887">
        <f t="shared" si="55"/>
        <v>238.65129031042798</v>
      </c>
      <c r="H42" s="306">
        <f t="shared" ref="H42:V42" si="56">SUM(H40:H41)</f>
        <v>391.1</v>
      </c>
      <c r="I42" s="3059">
        <f t="shared" si="56"/>
        <v>524.83782230679469</v>
      </c>
      <c r="J42" s="2346">
        <f t="shared" si="56"/>
        <v>924.1</v>
      </c>
      <c r="K42" s="887">
        <f t="shared" si="56"/>
        <v>233.38584815444736</v>
      </c>
      <c r="L42" s="306">
        <f t="shared" si="56"/>
        <v>428</v>
      </c>
      <c r="M42" s="4791">
        <f t="shared" si="56"/>
        <v>758.22367046124202</v>
      </c>
      <c r="N42" s="3069">
        <f t="shared" si="56"/>
        <v>1352.1</v>
      </c>
      <c r="O42" s="887">
        <f t="shared" si="56"/>
        <v>289.84308904913081</v>
      </c>
      <c r="P42" s="306">
        <f t="shared" si="56"/>
        <v>518</v>
      </c>
      <c r="Q42" s="3059">
        <f t="shared" si="56"/>
        <v>1048.0667595103728</v>
      </c>
      <c r="R42" s="2346">
        <f t="shared" si="56"/>
        <v>1870.1</v>
      </c>
      <c r="S42" s="887">
        <f t="shared" si="56"/>
        <v>289.84308904913132</v>
      </c>
      <c r="T42" s="306">
        <f t="shared" si="56"/>
        <v>649.90700000000004</v>
      </c>
      <c r="U42" s="3059">
        <f t="shared" si="56"/>
        <v>1337.9098485595041</v>
      </c>
      <c r="V42" s="2346">
        <f t="shared" si="56"/>
        <v>2520.0070000000001</v>
      </c>
      <c r="W42" s="887">
        <f t="shared" ref="W42:X42" si="57">SUM(W40:W41)</f>
        <v>281.31112259268087</v>
      </c>
      <c r="X42" s="306">
        <f t="shared" si="57"/>
        <v>598</v>
      </c>
      <c r="Y42" s="4784">
        <f t="shared" ref="Y42:AF42" si="58">SUM(Y40:Y41)</f>
        <v>860.99730069094312</v>
      </c>
      <c r="Z42" s="4784">
        <f t="shared" si="58"/>
        <v>1765.9070000000002</v>
      </c>
      <c r="AA42" s="784">
        <f t="shared" si="58"/>
        <v>1619.220971152185</v>
      </c>
      <c r="AB42" s="784">
        <f t="shared" si="58"/>
        <v>3118.0070000000001</v>
      </c>
      <c r="AC42" s="887">
        <f t="shared" si="58"/>
        <v>298.37505550558166</v>
      </c>
      <c r="AD42" s="306">
        <f t="shared" si="58"/>
        <v>579</v>
      </c>
      <c r="AE42" s="3059">
        <f t="shared" si="58"/>
        <v>1917.5960266577665</v>
      </c>
      <c r="AF42" s="2346">
        <f t="shared" si="58"/>
        <v>3697.0070000000001</v>
      </c>
      <c r="AG42" s="887">
        <f t="shared" ref="AG42:AH42" si="59">SUM(AG40:AG41)</f>
        <v>288.62423669820936</v>
      </c>
      <c r="AH42" s="306">
        <f t="shared" si="59"/>
        <v>563</v>
      </c>
      <c r="AI42" s="3059">
        <f t="shared" ref="AI42:AN42" si="60">SUM(AI40:AI41)</f>
        <v>2206.2202633559759</v>
      </c>
      <c r="AJ42" s="2346">
        <f t="shared" si="60"/>
        <v>4260.0069999999996</v>
      </c>
      <c r="AK42" s="887">
        <f t="shared" si="60"/>
        <v>299.59390785650305</v>
      </c>
      <c r="AL42" s="306">
        <f t="shared" si="60"/>
        <v>622</v>
      </c>
      <c r="AM42" s="4784">
        <f t="shared" si="60"/>
        <v>886.59320006029407</v>
      </c>
      <c r="AN42" s="4784">
        <f t="shared" si="60"/>
        <v>1764</v>
      </c>
      <c r="AO42" s="3059">
        <f t="shared" ref="AO42:AT42" si="61">SUM(AO40:AO41)</f>
        <v>2505.8141712124789</v>
      </c>
      <c r="AP42" s="2346">
        <f t="shared" si="61"/>
        <v>4882.0069999999996</v>
      </c>
      <c r="AQ42" s="887">
        <f t="shared" si="61"/>
        <v>299.59390785650305</v>
      </c>
      <c r="AR42" s="306">
        <f t="shared" si="61"/>
        <v>656.51900000000001</v>
      </c>
      <c r="AS42" s="3059">
        <f t="shared" si="61"/>
        <v>2805.4080790689823</v>
      </c>
      <c r="AT42" s="2346">
        <f t="shared" si="61"/>
        <v>5538.5259999999998</v>
      </c>
      <c r="AU42" s="887">
        <f t="shared" ref="AU42:AX42" si="62">SUM(AU40:AU41)</f>
        <v>278.87341789083843</v>
      </c>
      <c r="AV42" s="306">
        <f t="shared" si="62"/>
        <v>500.779</v>
      </c>
      <c r="AW42" s="3059">
        <f t="shared" si="62"/>
        <v>3084.2814969598203</v>
      </c>
      <c r="AX42" s="2346">
        <f t="shared" si="62"/>
        <v>6039.3050000000003</v>
      </c>
      <c r="AY42" s="887">
        <f t="shared" ref="AY42:AZ42" si="63">SUM(AY40:AY41)</f>
        <v>300.81276020742439</v>
      </c>
      <c r="AZ42" s="306">
        <f t="shared" si="63"/>
        <v>356</v>
      </c>
      <c r="BA42" s="4784">
        <f t="shared" ref="BA42:BD42" si="64">SUM(BA40:BA41)</f>
        <v>879.28008595476581</v>
      </c>
      <c r="BB42" s="4784">
        <f t="shared" si="64"/>
        <v>1513.298</v>
      </c>
      <c r="BC42" s="784">
        <f t="shared" si="64"/>
        <v>1765.8732860150599</v>
      </c>
      <c r="BD42" s="784">
        <f t="shared" si="64"/>
        <v>3277.2979999999998</v>
      </c>
      <c r="BE42" s="4781">
        <f t="shared" ref="BE42:BF42" si="65">SUM(BE40:BE41)</f>
        <v>3385.0942571672449</v>
      </c>
      <c r="BF42" s="4781">
        <f t="shared" si="65"/>
        <v>6395.3050000000003</v>
      </c>
      <c r="BG42" s="1419">
        <v>4499.9999999999973</v>
      </c>
      <c r="BH42" s="1419">
        <v>5691.8819999999996</v>
      </c>
      <c r="BI42" s="1419">
        <v>6693.3528167707818</v>
      </c>
      <c r="BJ42" s="1419">
        <v>5104.34</v>
      </c>
      <c r="BK42" s="1419"/>
      <c r="BL42" s="3079"/>
      <c r="BM42" s="4474"/>
      <c r="BN42" s="1957"/>
      <c r="BO42" s="1957"/>
      <c r="BP42" s="26"/>
      <c r="BQ42" s="26"/>
      <c r="BR42" s="26"/>
      <c r="BS42" s="26"/>
      <c r="BT42"/>
      <c r="BU42"/>
      <c r="BV42"/>
      <c r="BW42"/>
    </row>
    <row r="43" spans="1:75" ht="15" hidden="1" customHeight="1" thickBot="1" x14ac:dyDescent="0.3">
      <c r="B43" s="5004" t="s">
        <v>86</v>
      </c>
      <c r="C43" s="4967" t="s">
        <v>361</v>
      </c>
      <c r="D43" s="3172"/>
      <c r="E43" s="888">
        <f>+(E51*'Maj Production Summ'!E$18)/1000</f>
        <v>3726.3306677317023</v>
      </c>
      <c r="F43" s="3178">
        <f>+SMS!F58</f>
        <v>4210</v>
      </c>
      <c r="G43" s="888">
        <f>+(G51*'Maj Production Summ'!G$18)/1000</f>
        <v>3107.3915874866525</v>
      </c>
      <c r="H43" s="3178">
        <f>+SMS!H58</f>
        <v>3389</v>
      </c>
      <c r="I43" s="1406">
        <f>+(I51*'Maj Production Summ'!I$18)/1000</f>
        <v>6833.7222552183548</v>
      </c>
      <c r="J43" s="250">
        <f>+SMS!J58</f>
        <v>7599</v>
      </c>
      <c r="K43" s="888">
        <f>+(K51*'Maj Production Summ'!K$18)/1000</f>
        <v>3038.8321816748967</v>
      </c>
      <c r="L43" s="3178">
        <f>+SMS!L58</f>
        <v>3467</v>
      </c>
      <c r="M43" s="1408">
        <f>+(M51*'Maj Production Summ'!M$18)/1000</f>
        <v>9872.5544368932515</v>
      </c>
      <c r="N43" s="296">
        <f>+SMS!N58</f>
        <v>11066</v>
      </c>
      <c r="O43" s="888">
        <f>+(O51*'Maj Production Summ'!O$18)/1000</f>
        <v>3773.941366212086</v>
      </c>
      <c r="P43" s="3178">
        <f>+SMS!P58</f>
        <v>4239</v>
      </c>
      <c r="Q43" s="1406">
        <f>+(Q51*'Maj Production Summ'!Q$18)/1000</f>
        <v>13646.495803105337</v>
      </c>
      <c r="R43" s="250">
        <f>+SMS!R58</f>
        <v>15305</v>
      </c>
      <c r="S43" s="888">
        <f>+(S51*'Maj Production Summ'!S$18)/1000</f>
        <v>3773.9413662120928</v>
      </c>
      <c r="T43" s="3178">
        <f>+SMS!T58</f>
        <v>4070</v>
      </c>
      <c r="U43" s="1406">
        <f>+(U51*'Maj Production Summ'!U$18)/1000</f>
        <v>17420.437169317429</v>
      </c>
      <c r="V43" s="250">
        <f>+SMS!V58</f>
        <v>19375</v>
      </c>
      <c r="W43" s="888">
        <f>+(W51*'Maj Production Summ'!W$18)/1000</f>
        <v>3662.8497364245204</v>
      </c>
      <c r="X43" s="3178">
        <f>+SMS!X58</f>
        <v>3797</v>
      </c>
      <c r="Y43" s="4785">
        <f t="shared" si="48"/>
        <v>11210.732468848699</v>
      </c>
      <c r="Z43" s="4785">
        <f t="shared" si="49"/>
        <v>12106</v>
      </c>
      <c r="AA43" s="595">
        <f t="shared" si="50"/>
        <v>21083.286905741952</v>
      </c>
      <c r="AB43" s="595">
        <f t="shared" si="50"/>
        <v>23172</v>
      </c>
      <c r="AC43" s="888">
        <f>+(AC51*'Maj Production Summ'!AC$18)/1000</f>
        <v>3885.0329959996634</v>
      </c>
      <c r="AD43" s="3178">
        <f>+SMS!AD58</f>
        <v>4187</v>
      </c>
      <c r="AE43" s="1406">
        <f>+(AE51*'Maj Production Summ'!AE$18)/1000</f>
        <v>24968.319901741612</v>
      </c>
      <c r="AF43" s="250">
        <f>+SMS!AF58</f>
        <v>27359</v>
      </c>
      <c r="AG43" s="888">
        <f>+(AG51*'Maj Production Summ'!AG$18)/1000</f>
        <v>3758.071133385291</v>
      </c>
      <c r="AH43" s="3178">
        <f>+SMS!AH58</f>
        <v>3639</v>
      </c>
      <c r="AI43" s="1406">
        <f>+(AI51*'Maj Production Summ'!AI$18)/1000</f>
        <v>28726.391035126901</v>
      </c>
      <c r="AJ43" s="250">
        <f>+SMS!AJ58</f>
        <v>30998</v>
      </c>
      <c r="AK43" s="888">
        <f>+(AK51*'Maj Production Summ'!AK$18)/1000</f>
        <v>3900.9032288264575</v>
      </c>
      <c r="AL43" s="3178">
        <f>+SMS!AL58</f>
        <v>3809</v>
      </c>
      <c r="AM43" s="4785">
        <f t="shared" ref="AM43" si="66">+AC43+AG43+AK43</f>
        <v>11544.007358211411</v>
      </c>
      <c r="AN43" s="4785">
        <f t="shared" ref="AN43" si="67">+AD43+AH43+AL43</f>
        <v>11635</v>
      </c>
      <c r="AO43" s="1406">
        <f>+(AO51*'Maj Production Summ'!AO$18)/1000</f>
        <v>32627.294263953361</v>
      </c>
      <c r="AP43" s="250">
        <f>+SMS!AP58</f>
        <v>34807</v>
      </c>
      <c r="AQ43" s="888">
        <f>+(AQ51*'Maj Production Summ'!AQ$18)/1000</f>
        <v>3900.9032288264575</v>
      </c>
      <c r="AR43" s="3178">
        <f>+SMS!AR58</f>
        <v>3467</v>
      </c>
      <c r="AS43" s="1406">
        <f>+(AS51*'Maj Production Summ'!AS$18)/1000</f>
        <v>36528.197492779822</v>
      </c>
      <c r="AT43" s="250">
        <f>+SMS!AT58</f>
        <v>38274</v>
      </c>
      <c r="AU43" s="888">
        <f>+(AU51*'Maj Production Summ'!AU$18)/1000</f>
        <v>3631.1092707709354</v>
      </c>
      <c r="AV43" s="3178">
        <f>+SMS!AV58</f>
        <v>3544</v>
      </c>
      <c r="AW43" s="1406">
        <f>+(AW51*'Maj Production Summ'!AW$18)/1000</f>
        <v>40159.306763550754</v>
      </c>
      <c r="AX43" s="250">
        <f>+SMS!AX58</f>
        <v>41818</v>
      </c>
      <c r="AY43" s="888">
        <f>+(AY51*'Maj Production Summ'!AY$18)/1000</f>
        <v>3916.7734616532521</v>
      </c>
      <c r="AZ43" s="3178">
        <f>+SMS!AZ58</f>
        <v>3862</v>
      </c>
      <c r="BA43" s="4785">
        <f>+AQ43+AU43+AY43</f>
        <v>11448.785961250645</v>
      </c>
      <c r="BB43" s="4785">
        <f>+AR43+AV43+AZ43</f>
        <v>10873</v>
      </c>
      <c r="BC43" s="4931">
        <f t="shared" si="53"/>
        <v>22992.793319462056</v>
      </c>
      <c r="BD43" s="4931">
        <f t="shared" si="54"/>
        <v>22508</v>
      </c>
      <c r="BE43" s="4783">
        <f>+AW43+AY43</f>
        <v>44076.080225204008</v>
      </c>
      <c r="BF43" s="4783">
        <f>+AX43+AZ43</f>
        <v>45680</v>
      </c>
      <c r="BG43" s="4918">
        <v>39999.999999999971</v>
      </c>
      <c r="BH43" s="4918">
        <v>44647.62</v>
      </c>
      <c r="BI43" s="4918">
        <v>42007.865963932476</v>
      </c>
      <c r="BJ43" s="4918">
        <v>36347</v>
      </c>
      <c r="BK43" s="4918"/>
      <c r="BL43" s="4934"/>
      <c r="BM43" s="1368"/>
      <c r="BN43" s="2760"/>
      <c r="BO43" s="2760"/>
      <c r="BP43" s="26"/>
      <c r="BQ43" s="26"/>
      <c r="BR43" s="26"/>
      <c r="BS43" s="26"/>
    </row>
    <row r="44" spans="1:75" s="2758" customFormat="1" ht="15" hidden="1" customHeight="1" x14ac:dyDescent="0.25">
      <c r="A44" s="122"/>
      <c r="B44" s="5004" t="s">
        <v>1753</v>
      </c>
      <c r="C44" s="4967" t="s">
        <v>361</v>
      </c>
      <c r="D44" s="3172"/>
      <c r="E44" s="888"/>
      <c r="F44" s="3178">
        <f>+SMS!F59</f>
        <v>0</v>
      </c>
      <c r="G44" s="888"/>
      <c r="H44" s="3178">
        <f>+SMS!H59</f>
        <v>0</v>
      </c>
      <c r="I44" s="1406"/>
      <c r="J44" s="250">
        <f>+SMS!J59</f>
        <v>0</v>
      </c>
      <c r="K44" s="888"/>
      <c r="L44" s="3178">
        <f>+SMS!L59</f>
        <v>0</v>
      </c>
      <c r="M44" s="1408"/>
      <c r="N44" s="296">
        <f>+SMS!N59</f>
        <v>0</v>
      </c>
      <c r="O44" s="888"/>
      <c r="P44" s="3178">
        <f>+SMS!P59</f>
        <v>0</v>
      </c>
      <c r="Q44" s="1406"/>
      <c r="R44" s="250">
        <f>+SMS!R59</f>
        <v>0</v>
      </c>
      <c r="S44" s="888"/>
      <c r="T44" s="3178">
        <f>+SMS!T59</f>
        <v>25.81</v>
      </c>
      <c r="U44" s="1406"/>
      <c r="V44" s="250">
        <f>+SMS!V59</f>
        <v>25.81</v>
      </c>
      <c r="W44" s="888"/>
      <c r="X44" s="3178">
        <f>+SMS!X59</f>
        <v>0</v>
      </c>
      <c r="Y44" s="4785"/>
      <c r="Z44" s="4785">
        <f>P44+T44+X44</f>
        <v>25.81</v>
      </c>
      <c r="AA44" s="595"/>
      <c r="AB44" s="595">
        <f t="shared" si="50"/>
        <v>25.81</v>
      </c>
      <c r="AC44" s="888"/>
      <c r="AD44" s="3178">
        <f>+SMS!AD59</f>
        <v>0</v>
      </c>
      <c r="AE44" s="1406"/>
      <c r="AF44" s="250">
        <f>+SMS!AF59</f>
        <v>25.81</v>
      </c>
      <c r="AG44" s="888"/>
      <c r="AH44" s="3178">
        <f>+SMS!AH59</f>
        <v>0</v>
      </c>
      <c r="AI44" s="1406"/>
      <c r="AJ44" s="250">
        <f>+SMS!AJ59</f>
        <v>25.81</v>
      </c>
      <c r="AK44" s="888"/>
      <c r="AL44" s="3178">
        <f>+SMS!AL59</f>
        <v>0</v>
      </c>
      <c r="AM44" s="4785"/>
      <c r="AN44" s="4785">
        <f>AD44+AH44+AL44</f>
        <v>0</v>
      </c>
      <c r="AO44" s="1406"/>
      <c r="AP44" s="250">
        <f>+SMS!AP59</f>
        <v>25.81</v>
      </c>
      <c r="AQ44" s="888"/>
      <c r="AR44" s="3178">
        <f>+SMS!AR59</f>
        <v>0</v>
      </c>
      <c r="AS44" s="1406"/>
      <c r="AT44" s="250">
        <f>+SMS!AT59</f>
        <v>25.81</v>
      </c>
      <c r="AU44" s="888"/>
      <c r="AV44" s="3178">
        <f>+SMS!AV59</f>
        <v>0</v>
      </c>
      <c r="AW44" s="1406"/>
      <c r="AX44" s="250">
        <f>+SMS!AX59</f>
        <v>25.81</v>
      </c>
      <c r="AY44" s="888"/>
      <c r="AZ44" s="3178">
        <f>+SMS!AZ59</f>
        <v>0</v>
      </c>
      <c r="BA44" s="5074"/>
      <c r="BB44" s="5074">
        <f>+SMS!BB59</f>
        <v>0</v>
      </c>
      <c r="BC44" s="4931"/>
      <c r="BD44" s="4931">
        <f>+SMS!BD59</f>
        <v>0</v>
      </c>
      <c r="BE44" s="5072"/>
      <c r="BF44" s="5072">
        <f>+SMS!BF59</f>
        <v>25.81</v>
      </c>
      <c r="BG44" s="4918"/>
      <c r="BH44" s="4918"/>
      <c r="BI44" s="4918"/>
      <c r="BJ44" s="4918"/>
      <c r="BK44" s="4918"/>
      <c r="BL44" s="4934"/>
      <c r="BM44" s="1368"/>
      <c r="BN44" s="2760"/>
      <c r="BO44" s="2760"/>
      <c r="BP44" s="26"/>
      <c r="BQ44" s="26"/>
      <c r="BR44" s="26"/>
      <c r="BS44" s="26"/>
    </row>
    <row r="45" spans="1:75" s="34" customFormat="1" ht="15.75" hidden="1" customHeight="1" x14ac:dyDescent="0.25">
      <c r="A45" s="1015"/>
      <c r="B45" s="5005" t="s">
        <v>1754</v>
      </c>
      <c r="C45" s="4967" t="s">
        <v>361</v>
      </c>
      <c r="D45" s="1016"/>
      <c r="E45" s="3939">
        <f>SUM(E43:E44)</f>
        <v>3726.3306677317023</v>
      </c>
      <c r="F45" s="306">
        <f>SUM(F43:F44)</f>
        <v>4210</v>
      </c>
      <c r="G45" s="3939">
        <f t="shared" ref="G45:V45" si="68">SUM(G43:G44)</f>
        <v>3107.3915874866525</v>
      </c>
      <c r="H45" s="306">
        <f t="shared" si="68"/>
        <v>3389</v>
      </c>
      <c r="I45" s="3059">
        <f t="shared" si="68"/>
        <v>6833.7222552183548</v>
      </c>
      <c r="J45" s="2346">
        <f t="shared" si="68"/>
        <v>7599</v>
      </c>
      <c r="K45" s="3939">
        <f t="shared" si="68"/>
        <v>3038.8321816748967</v>
      </c>
      <c r="L45" s="306">
        <f t="shared" si="68"/>
        <v>3467</v>
      </c>
      <c r="M45" s="4791">
        <f t="shared" si="68"/>
        <v>9872.5544368932515</v>
      </c>
      <c r="N45" s="3069">
        <f t="shared" si="68"/>
        <v>11066</v>
      </c>
      <c r="O45" s="3939">
        <f t="shared" si="68"/>
        <v>3773.941366212086</v>
      </c>
      <c r="P45" s="306">
        <f t="shared" si="68"/>
        <v>4239</v>
      </c>
      <c r="Q45" s="3059">
        <f t="shared" si="68"/>
        <v>13646.495803105337</v>
      </c>
      <c r="R45" s="2346">
        <f t="shared" si="68"/>
        <v>15305</v>
      </c>
      <c r="S45" s="3939">
        <f t="shared" si="68"/>
        <v>3773.9413662120928</v>
      </c>
      <c r="T45" s="306">
        <f t="shared" si="68"/>
        <v>4095.81</v>
      </c>
      <c r="U45" s="3059">
        <f t="shared" si="68"/>
        <v>17420.437169317429</v>
      </c>
      <c r="V45" s="2346">
        <f t="shared" si="68"/>
        <v>19400.810000000001</v>
      </c>
      <c r="W45" s="3939">
        <f t="shared" ref="W45:X45" si="69">SUM(W43:W44)</f>
        <v>3662.8497364245204</v>
      </c>
      <c r="X45" s="306">
        <f t="shared" si="69"/>
        <v>3797</v>
      </c>
      <c r="Y45" s="4784">
        <f>SUM(Y43:Y44)</f>
        <v>11210.732468848699</v>
      </c>
      <c r="Z45" s="4784">
        <f>SUM(Z43:Z44)</f>
        <v>12131.81</v>
      </c>
      <c r="AA45" s="784">
        <f>SUM(AA43:AA44)</f>
        <v>21083.286905741952</v>
      </c>
      <c r="AB45" s="784">
        <f>SUM(AB43:AB44)</f>
        <v>23197.81</v>
      </c>
      <c r="AC45" s="3939">
        <f t="shared" ref="AC45:AF45" si="70">SUM(AC43:AC44)</f>
        <v>3885.0329959996634</v>
      </c>
      <c r="AD45" s="306">
        <f t="shared" si="70"/>
        <v>4187</v>
      </c>
      <c r="AE45" s="3059">
        <f t="shared" si="70"/>
        <v>24968.319901741612</v>
      </c>
      <c r="AF45" s="2346">
        <f t="shared" si="70"/>
        <v>27384.81</v>
      </c>
      <c r="AG45" s="3939">
        <f t="shared" ref="AG45:AH45" si="71">SUM(AG43:AG44)</f>
        <v>3758.071133385291</v>
      </c>
      <c r="AH45" s="306">
        <f t="shared" si="71"/>
        <v>3639</v>
      </c>
      <c r="AI45" s="3059">
        <f t="shared" ref="AI45:AL45" si="72">SUM(AI43:AI44)</f>
        <v>28726.391035126901</v>
      </c>
      <c r="AJ45" s="2346">
        <f t="shared" si="72"/>
        <v>31023.81</v>
      </c>
      <c r="AK45" s="3939">
        <f t="shared" si="72"/>
        <v>3900.9032288264575</v>
      </c>
      <c r="AL45" s="306">
        <f t="shared" si="72"/>
        <v>3809</v>
      </c>
      <c r="AM45" s="4784">
        <f>SUM(AM43:AM44)</f>
        <v>11544.007358211411</v>
      </c>
      <c r="AN45" s="4784">
        <f>SUM(AN43:AN44)</f>
        <v>11635</v>
      </c>
      <c r="AO45" s="3059">
        <f t="shared" ref="AO45:AT45" si="73">SUM(AO43:AO44)</f>
        <v>32627.294263953361</v>
      </c>
      <c r="AP45" s="2346">
        <f t="shared" si="73"/>
        <v>34832.81</v>
      </c>
      <c r="AQ45" s="3939">
        <f t="shared" si="73"/>
        <v>3900.9032288264575</v>
      </c>
      <c r="AR45" s="306">
        <f t="shared" si="73"/>
        <v>3467</v>
      </c>
      <c r="AS45" s="3059">
        <f t="shared" si="73"/>
        <v>36528.197492779822</v>
      </c>
      <c r="AT45" s="2346">
        <f t="shared" si="73"/>
        <v>38299.81</v>
      </c>
      <c r="AU45" s="3939">
        <f t="shared" ref="AU45:AX45" si="74">SUM(AU43:AU44)</f>
        <v>3631.1092707709354</v>
      </c>
      <c r="AV45" s="306">
        <f t="shared" si="74"/>
        <v>3544</v>
      </c>
      <c r="AW45" s="3059">
        <f t="shared" si="74"/>
        <v>40159.306763550754</v>
      </c>
      <c r="AX45" s="2346">
        <f t="shared" si="74"/>
        <v>41843.81</v>
      </c>
      <c r="AY45" s="3939">
        <f t="shared" ref="AY45:BF45" si="75">SUM(AY43:AY44)</f>
        <v>3916.7734616532521</v>
      </c>
      <c r="AZ45" s="306">
        <f t="shared" si="75"/>
        <v>3862</v>
      </c>
      <c r="BA45" s="5073">
        <f t="shared" si="75"/>
        <v>11448.785961250645</v>
      </c>
      <c r="BB45" s="5073">
        <f t="shared" si="75"/>
        <v>10873</v>
      </c>
      <c r="BC45" s="784">
        <f t="shared" si="75"/>
        <v>22992.793319462056</v>
      </c>
      <c r="BD45" s="784">
        <f t="shared" si="75"/>
        <v>22508</v>
      </c>
      <c r="BE45" s="5071">
        <f t="shared" si="75"/>
        <v>44076.080225204008</v>
      </c>
      <c r="BF45" s="5071">
        <f t="shared" si="75"/>
        <v>45705.81</v>
      </c>
      <c r="BG45" s="1419"/>
      <c r="BH45" s="1419"/>
      <c r="BI45" s="1419"/>
      <c r="BJ45" s="1419"/>
      <c r="BK45" s="1419"/>
      <c r="BL45" s="3079"/>
      <c r="BM45" s="4474"/>
      <c r="BN45" s="1957"/>
      <c r="BO45" s="1957"/>
      <c r="BP45" s="26"/>
      <c r="BQ45" s="26"/>
      <c r="BR45" s="26"/>
      <c r="BS45" s="26"/>
    </row>
    <row r="46" spans="1:75" ht="15" hidden="1" customHeight="1" x14ac:dyDescent="0.25">
      <c r="B46" s="5005" t="s">
        <v>87</v>
      </c>
      <c r="C46" s="4968" t="s">
        <v>361</v>
      </c>
      <c r="D46" s="1016"/>
      <c r="E46" s="3939">
        <f>+(E54*'Maj Production Summ'!E$18)/1000</f>
        <v>624.48972173730033</v>
      </c>
      <c r="F46" s="306">
        <f>+SMS!F61</f>
        <v>488</v>
      </c>
      <c r="G46" s="3939">
        <f>+(G54*'Maj Production Summ'!G$18)/1000</f>
        <v>520.76272366338662</v>
      </c>
      <c r="H46" s="306">
        <f>+SMS!H61</f>
        <v>366</v>
      </c>
      <c r="I46" s="3059">
        <f>+(I54*'Maj Production Summ'!I$18)/1000</f>
        <v>1145.2524454006868</v>
      </c>
      <c r="J46" s="2346">
        <f>+SMS!J61</f>
        <v>854</v>
      </c>
      <c r="K46" s="3939">
        <f>+(K54*'Maj Production Summ'!K$18)/1000</f>
        <v>509.27296387673834</v>
      </c>
      <c r="L46" s="306">
        <f>+SMS!L61</f>
        <v>389</v>
      </c>
      <c r="M46" s="4791">
        <f>+(M54*'Maj Production Summ'!M$18)/1000</f>
        <v>1654.5254092774251</v>
      </c>
      <c r="N46" s="3069">
        <f>+SMS!N61</f>
        <v>1243</v>
      </c>
      <c r="O46" s="3939">
        <f>+(O54*'Maj Production Summ'!O$18)/1000</f>
        <v>632.46872158913891</v>
      </c>
      <c r="P46" s="306">
        <f>+SMS!P61</f>
        <v>450</v>
      </c>
      <c r="Q46" s="3059">
        <f>+(Q54*'Maj Production Summ'!Q$18)/1000</f>
        <v>2286.9941308665643</v>
      </c>
      <c r="R46" s="2346">
        <f>+SMS!R61</f>
        <v>1693</v>
      </c>
      <c r="S46" s="3939">
        <f>+(S54*'Maj Production Summ'!S$18)/1000</f>
        <v>632.46872158914016</v>
      </c>
      <c r="T46" s="306">
        <f>+SMS!T61</f>
        <v>467</v>
      </c>
      <c r="U46" s="3059">
        <f>+(U54*'Maj Production Summ'!U$18)/1000</f>
        <v>2919.4628524557038</v>
      </c>
      <c r="V46" s="2346">
        <f>+SMS!V61</f>
        <v>2160</v>
      </c>
      <c r="W46" s="3939">
        <f>+(W54*'Maj Production Summ'!W$18)/1000</f>
        <v>613.85105526818143</v>
      </c>
      <c r="X46" s="306">
        <f>+SMS!X61</f>
        <v>436</v>
      </c>
      <c r="Y46" s="4784">
        <f t="shared" si="48"/>
        <v>1878.7884984464604</v>
      </c>
      <c r="Z46" s="4784">
        <f t="shared" si="49"/>
        <v>1353</v>
      </c>
      <c r="AA46" s="784">
        <f t="shared" si="50"/>
        <v>3533.3139077238857</v>
      </c>
      <c r="AB46" s="784">
        <f t="shared" si="50"/>
        <v>2596</v>
      </c>
      <c r="AC46" s="3939">
        <f>+(AC54*'Maj Production Summ'!AC$18)/1000</f>
        <v>651.08638791009855</v>
      </c>
      <c r="AD46" s="306">
        <f>+SMS!AD61</f>
        <v>481</v>
      </c>
      <c r="AE46" s="3059">
        <f>+(AE54*'Maj Production Summ'!AE$18)/1000</f>
        <v>4184.4002956339837</v>
      </c>
      <c r="AF46" s="2346">
        <f>+SMS!AF61</f>
        <v>3077</v>
      </c>
      <c r="AG46" s="3939">
        <f>+(AG54*'Maj Production Summ'!AG$18)/1000</f>
        <v>629.80905497185927</v>
      </c>
      <c r="AH46" s="306">
        <f>+SMS!AH61</f>
        <v>365</v>
      </c>
      <c r="AI46" s="3059">
        <f>+(AI54*'Maj Production Summ'!AI$18)/1000</f>
        <v>4814.2093506058436</v>
      </c>
      <c r="AJ46" s="2346">
        <f>+SMS!AJ61</f>
        <v>3442</v>
      </c>
      <c r="AK46" s="3939">
        <f>+(AK54*'Maj Production Summ'!AK$18)/1000</f>
        <v>653.74605452737819</v>
      </c>
      <c r="AL46" s="306">
        <f>+SMS!AL61</f>
        <v>497</v>
      </c>
      <c r="AM46" s="4784">
        <f t="shared" ref="AM46" si="76">+AC46+AG46+AK46</f>
        <v>1934.6414974093361</v>
      </c>
      <c r="AN46" s="4784">
        <f t="shared" ref="AN46" si="77">+AD46+AH46+AL46</f>
        <v>1343</v>
      </c>
      <c r="AO46" s="3059">
        <f>+(AO54*'Maj Production Summ'!AO$18)/1000</f>
        <v>5467.9554051332216</v>
      </c>
      <c r="AP46" s="2346">
        <f>+SMS!AP61</f>
        <v>3939</v>
      </c>
      <c r="AQ46" s="3939">
        <f>+(AQ54*'Maj Production Summ'!AQ$18)/1000</f>
        <v>653.74605452737819</v>
      </c>
      <c r="AR46" s="306">
        <f>+SMS!AR61</f>
        <v>469</v>
      </c>
      <c r="AS46" s="3059">
        <f>+(AS54*'Maj Production Summ'!AS$18)/1000</f>
        <v>6121.7014596605986</v>
      </c>
      <c r="AT46" s="2346">
        <f>+SMS!AT61</f>
        <v>4408</v>
      </c>
      <c r="AU46" s="3939">
        <f>+(AU54*'Maj Production Summ'!AU$18)/1000</f>
        <v>608.53172203362294</v>
      </c>
      <c r="AV46" s="306">
        <f>+SMS!AV61</f>
        <v>470</v>
      </c>
      <c r="AW46" s="3059">
        <f>+(AW54*'Maj Production Summ'!AW$18)/1000</f>
        <v>6730.2331816942224</v>
      </c>
      <c r="AX46" s="2346">
        <f>+SMS!AX61</f>
        <v>4878</v>
      </c>
      <c r="AY46" s="3939">
        <f>+(AY54*'Maj Production Summ'!AY$18)/1000</f>
        <v>656.40572114465772</v>
      </c>
      <c r="AZ46" s="306">
        <f>+SMS!AZ61</f>
        <v>432</v>
      </c>
      <c r="BA46" s="5073">
        <f>+AQ46+AU46+AY46</f>
        <v>1918.683497705659</v>
      </c>
      <c r="BB46" s="5073">
        <f>+AR46+AV46+AZ46</f>
        <v>1371</v>
      </c>
      <c r="BC46" s="784">
        <f t="shared" si="53"/>
        <v>3853.3249951149951</v>
      </c>
      <c r="BD46" s="784">
        <f t="shared" si="54"/>
        <v>2714</v>
      </c>
      <c r="BE46" s="5071">
        <f>+AW46+AY46</f>
        <v>7386.6389028388803</v>
      </c>
      <c r="BF46" s="5071">
        <f>+AX46+AZ46</f>
        <v>5310</v>
      </c>
      <c r="BG46" s="4918">
        <v>7999.9999999999945</v>
      </c>
      <c r="BH46" s="4918">
        <v>5205.8899999999994</v>
      </c>
      <c r="BI46" s="4918">
        <v>7796.1924189528136</v>
      </c>
      <c r="BJ46" s="4918">
        <v>5192</v>
      </c>
      <c r="BK46" s="4918"/>
      <c r="BL46" s="4934"/>
      <c r="BM46" s="1368"/>
      <c r="BN46" s="2760"/>
      <c r="BO46" s="2760"/>
      <c r="BP46" s="26"/>
      <c r="BQ46" s="26"/>
      <c r="BR46" s="26"/>
      <c r="BS46" s="26"/>
    </row>
    <row r="47" spans="1:75" s="183" customFormat="1" ht="15" customHeight="1" thickBot="1" x14ac:dyDescent="0.3">
      <c r="A47" s="188"/>
      <c r="B47" s="5006" t="s">
        <v>1961</v>
      </c>
      <c r="C47" s="4969"/>
      <c r="D47" s="5304"/>
      <c r="E47" s="4989"/>
      <c r="F47" s="4986"/>
      <c r="G47" s="4989"/>
      <c r="H47" s="4986"/>
      <c r="I47" s="4990"/>
      <c r="J47" s="4991"/>
      <c r="K47" s="4989"/>
      <c r="L47" s="4986"/>
      <c r="M47" s="4992"/>
      <c r="N47" s="4993"/>
      <c r="O47" s="4989"/>
      <c r="P47" s="4986"/>
      <c r="Q47" s="4990"/>
      <c r="R47" s="4991"/>
      <c r="S47" s="4989"/>
      <c r="T47" s="4986"/>
      <c r="U47" s="4990"/>
      <c r="V47" s="4991"/>
      <c r="W47" s="4989"/>
      <c r="X47" s="4986"/>
      <c r="Y47" s="4979"/>
      <c r="Z47" s="4979"/>
      <c r="AA47" s="4979"/>
      <c r="AB47" s="4979"/>
      <c r="AC47" s="4989"/>
      <c r="AD47" s="4986"/>
      <c r="AE47" s="4990"/>
      <c r="AF47" s="4991"/>
      <c r="AG47" s="4989"/>
      <c r="AH47" s="4986"/>
      <c r="AI47" s="4990"/>
      <c r="AJ47" s="4991"/>
      <c r="AK47" s="4989"/>
      <c r="AL47" s="4986"/>
      <c r="AM47" s="4979"/>
      <c r="AN47" s="4979"/>
      <c r="AO47" s="4990"/>
      <c r="AP47" s="4991"/>
      <c r="AQ47" s="4989"/>
      <c r="AR47" s="4986"/>
      <c r="AS47" s="4990"/>
      <c r="AT47" s="4991"/>
      <c r="AU47" s="4989"/>
      <c r="AV47" s="4986"/>
      <c r="AW47" s="4990"/>
      <c r="AX47" s="4991"/>
      <c r="AY47" s="4989"/>
      <c r="AZ47" s="4986"/>
      <c r="BA47" s="4979"/>
      <c r="BB47" s="4979"/>
      <c r="BC47" s="4979"/>
      <c r="BD47" s="4979"/>
      <c r="BE47" s="4979"/>
      <c r="BF47" s="4979"/>
      <c r="BG47" s="4994"/>
      <c r="BH47" s="4994"/>
      <c r="BI47" s="4994"/>
      <c r="BJ47" s="4994"/>
      <c r="BK47" s="4994"/>
      <c r="BL47" s="4995"/>
      <c r="BM47" s="4475"/>
      <c r="BN47" s="2762"/>
      <c r="BO47" s="2762"/>
      <c r="BP47" s="26"/>
      <c r="BQ47" s="26"/>
      <c r="BR47"/>
      <c r="BS47"/>
      <c r="BT47"/>
      <c r="BU47"/>
      <c r="BV47"/>
      <c r="BW47"/>
    </row>
    <row r="48" spans="1:75" ht="15" customHeight="1" thickBot="1" x14ac:dyDescent="0.3">
      <c r="B48" s="5004" t="s">
        <v>85</v>
      </c>
      <c r="C48" s="4967" t="s">
        <v>540</v>
      </c>
      <c r="D48" s="5305">
        <v>1.2919834919767839</v>
      </c>
      <c r="E48" s="4935">
        <f>+$D$48</f>
        <v>1.2919834919767839</v>
      </c>
      <c r="F48" s="598">
        <f>+(F40/'Maj Production Summ'!F$18)*1000</f>
        <v>1.6748709050334276</v>
      </c>
      <c r="G48" s="4935">
        <f t="shared" ref="G48" si="78">+$D$48</f>
        <v>1.2919834919767839</v>
      </c>
      <c r="H48" s="598">
        <f>+(H40/'Maj Production Summ'!H$18)*1000</f>
        <v>1.4724693709315217</v>
      </c>
      <c r="I48" s="3204">
        <f t="shared" ref="I48" si="79">+$D$48</f>
        <v>1.2919834919767839</v>
      </c>
      <c r="J48" s="543">
        <f>+(J40/'Maj Production Summ'!J$18)*1000</f>
        <v>1.5839196390706989</v>
      </c>
      <c r="K48" s="4935">
        <f t="shared" ref="K48" si="80">+$D$48</f>
        <v>1.2919834919767839</v>
      </c>
      <c r="L48" s="598">
        <f>+(L40/'Maj Production Summ'!L$18)*1000</f>
        <v>1.6732330819028884</v>
      </c>
      <c r="M48" s="3203">
        <f t="shared" ref="M48" si="81">+$D$48</f>
        <v>1.2919834919767839</v>
      </c>
      <c r="N48" s="3201">
        <f>+(N40/'Maj Production Summ'!N$18)*1000</f>
        <v>1.6128000663789095</v>
      </c>
      <c r="O48" s="4935">
        <f t="shared" ref="O48" si="82">+$D$48</f>
        <v>1.2919834919767839</v>
      </c>
      <c r="P48" s="598">
        <f>+(P40/'Maj Production Summ'!P$18)*1000</f>
        <v>2.0204390218468116</v>
      </c>
      <c r="Q48" s="3204">
        <f t="shared" ref="Q48" si="83">+$D$48</f>
        <v>1.2919834919767839</v>
      </c>
      <c r="R48" s="543">
        <f>+(R40/'Maj Production Summ'!R$18)*1000</f>
        <v>1.7288179609099172</v>
      </c>
      <c r="S48" s="4935">
        <f t="shared" ref="S48" si="84">+$D$48</f>
        <v>1.2919834919767839</v>
      </c>
      <c r="T48" s="598">
        <f>+(T40/'Maj Production Summ'!T$18)*1000</f>
        <v>2.1723453316833008</v>
      </c>
      <c r="U48" s="3204">
        <f t="shared" ref="U48" si="85">+$D$48</f>
        <v>1.2919834919767839</v>
      </c>
      <c r="V48" s="543">
        <f>+(V40/'Maj Production Summ'!V$18)*1000</f>
        <v>1.8252431318694611</v>
      </c>
      <c r="W48" s="4935">
        <f t="shared" ref="W48" si="86">+$D$48</f>
        <v>1.2919834919767839</v>
      </c>
      <c r="X48" s="598">
        <f>+(X40/'Maj Production Summ'!X$18)*1000</f>
        <v>2.1825152064374707</v>
      </c>
      <c r="Y48" s="484">
        <f>+$D$48</f>
        <v>1.2919834919767839</v>
      </c>
      <c r="Z48" s="484">
        <f>+(Z40/'Maj Production Summ'!Z$18)*1000</f>
        <v>2.1230369796080271</v>
      </c>
      <c r="AA48" s="594">
        <f>+$D$48</f>
        <v>1.2919834919767839</v>
      </c>
      <c r="AB48" s="594">
        <f>+(AB40/'Maj Production Summ'!AB$18)*1000</f>
        <v>1.8857717476666991</v>
      </c>
      <c r="AC48" s="4935">
        <f t="shared" ref="AC48" si="87">+$D$48</f>
        <v>1.2919834919767839</v>
      </c>
      <c r="AD48" s="598">
        <f>+(AD40/'Maj Production Summ'!AD$18)*1000</f>
        <v>1.9602665604482654</v>
      </c>
      <c r="AE48" s="3204">
        <f t="shared" ref="AE48" si="88">+$D$48</f>
        <v>1.2919834919767839</v>
      </c>
      <c r="AF48" s="543">
        <f>+(AF40/'Maj Production Summ'!AF$18)*1000</f>
        <v>1.8971142602480968</v>
      </c>
      <c r="AG48" s="4935">
        <f t="shared" ref="AG48" si="89">+$D$48</f>
        <v>1.2919834919767839</v>
      </c>
      <c r="AH48" s="598">
        <f>+(AH40/'Maj Production Summ'!AH$18)*1000</f>
        <v>1.9913275863861823</v>
      </c>
      <c r="AI48" s="3204">
        <f t="shared" ref="AI48" si="90">+$D$48</f>
        <v>1.2919834919767839</v>
      </c>
      <c r="AJ48" s="543">
        <f>+(AJ40/'Maj Production Summ'!AJ$18)*1000</f>
        <v>1.9080313237652622</v>
      </c>
      <c r="AK48" s="4935">
        <f t="shared" ref="AK48" si="91">+$D$48</f>
        <v>1.2919834919767839</v>
      </c>
      <c r="AL48" s="598">
        <f>+(AL40/'Maj Production Summ'!AL$18)*1000</f>
        <v>2.1508835627455936</v>
      </c>
      <c r="AM48" s="484">
        <f>+$D$48</f>
        <v>1.2919834919767839</v>
      </c>
      <c r="AN48" s="484">
        <f>+(AN40/'Maj Production Summ'!AN$18)*1000</f>
        <v>2.0351838928378578</v>
      </c>
      <c r="AO48" s="3204">
        <f t="shared" ref="AO48" si="92">+$D$48</f>
        <v>1.2919834919767839</v>
      </c>
      <c r="AP48" s="543">
        <f>+(AP40/'Maj Production Summ'!AP$18)*1000</f>
        <v>1.9361770012000568</v>
      </c>
      <c r="AQ48" s="4935">
        <f t="shared" ref="AQ48" si="93">+$D$48</f>
        <v>1.2919834919767839</v>
      </c>
      <c r="AR48" s="598">
        <f>+(AR40/'Maj Production Summ'!AR$18)*1000</f>
        <v>2.3383054865191406</v>
      </c>
      <c r="AS48" s="3204">
        <f t="shared" ref="AS48" si="94">+$D$48</f>
        <v>1.2919834919767839</v>
      </c>
      <c r="AT48" s="543">
        <f>+(AT40/'Maj Production Summ'!AT$18)*1000</f>
        <v>1.9779579874850246</v>
      </c>
      <c r="AU48" s="4935">
        <f t="shared" ref="AU48" si="95">+$D$48</f>
        <v>1.2919834919767839</v>
      </c>
      <c r="AV48" s="598">
        <f>+(AV40/'Maj Production Summ'!AV$18)*1000</f>
        <v>1.6370657811275697</v>
      </c>
      <c r="AW48" s="3204">
        <f t="shared" ref="AW48" si="96">+$D$48</f>
        <v>1.2919834919767839</v>
      </c>
      <c r="AX48" s="543">
        <f>+(AX40/'Maj Production Summ'!AX$18)*1000</f>
        <v>1.9463104103142761</v>
      </c>
      <c r="AY48" s="4935">
        <f t="shared" ref="AY48" si="97">+$D$48</f>
        <v>1.2919834919767839</v>
      </c>
      <c r="AZ48" s="598">
        <f>+(AZ40/'Maj Production Summ'!AZ$18)*1000</f>
        <v>1.0572992384711088</v>
      </c>
      <c r="BA48" s="5091">
        <f>+$D$48</f>
        <v>1.2919834919767839</v>
      </c>
      <c r="BB48" s="5091">
        <f>+(BB40/'Maj Production Summ'!BB$18)*1000</f>
        <v>1.6760959856580211</v>
      </c>
      <c r="BC48" s="5092">
        <f>+$D$48</f>
        <v>1.2919834919767839</v>
      </c>
      <c r="BD48" s="5092">
        <f>+(BD40/'Maj Production Summ'!BD$18)*1000</f>
        <v>1.8531028771737574</v>
      </c>
      <c r="BE48" s="5093">
        <f>+$D$48</f>
        <v>1.2919834919767839</v>
      </c>
      <c r="BF48" s="5093">
        <f>+(BF40/'Maj Production Summ'!BF$18)*1000</f>
        <v>1.8691736607451781</v>
      </c>
      <c r="BG48" s="4911">
        <v>1.8</v>
      </c>
      <c r="BH48" s="4911">
        <v>1.8865516872714447</v>
      </c>
      <c r="BI48" s="4911">
        <v>2.6013799999999998</v>
      </c>
      <c r="BJ48" s="4911">
        <v>1.7806740040538749</v>
      </c>
      <c r="BK48" s="4911"/>
      <c r="BL48" s="4929"/>
      <c r="BM48" s="4476"/>
      <c r="BN48" s="1506"/>
      <c r="BO48" s="1506"/>
      <c r="BP48" s="26"/>
      <c r="BQ48" s="26"/>
    </row>
    <row r="49" spans="1:75" ht="15" customHeight="1" x14ac:dyDescent="0.25">
      <c r="B49" s="5004" t="s">
        <v>869</v>
      </c>
      <c r="C49" s="4967" t="s">
        <v>540</v>
      </c>
      <c r="D49" s="5306">
        <v>0.24</v>
      </c>
      <c r="E49" s="4935">
        <f>+$D$49</f>
        <v>0.24</v>
      </c>
      <c r="F49" s="598">
        <f>+(F41/'Maj Production Summ'!F$18)*1000</f>
        <v>0.79799943397714568</v>
      </c>
      <c r="G49" s="4935">
        <f t="shared" ref="G49" si="98">+$D$49</f>
        <v>0.24</v>
      </c>
      <c r="H49" s="598">
        <f>+(H41/'Maj Production Summ'!H$18)*1000</f>
        <v>0.75101623127433981</v>
      </c>
      <c r="I49" s="3204">
        <f t="shared" ref="I49" si="99">+$D$49</f>
        <v>0.24</v>
      </c>
      <c r="J49" s="543">
        <f>+(J41/'Maj Production Summ'!J$18)*1000</f>
        <v>0.77688703587322516</v>
      </c>
      <c r="K49" s="4935">
        <f t="shared" ref="K49" si="100">+$D$49</f>
        <v>0.24</v>
      </c>
      <c r="L49" s="598">
        <f>+(L41/'Maj Production Summ'!L$18)*1000</f>
        <v>0.61476614830297815</v>
      </c>
      <c r="M49" s="3203">
        <f t="shared" ref="M49" si="101">+$D$49</f>
        <v>0.24</v>
      </c>
      <c r="N49" s="3201">
        <f>+(N41/'Maj Production Summ'!N$18)*1000</f>
        <v>0.72446356679464197</v>
      </c>
      <c r="O49" s="4935">
        <f t="shared" ref="O49" si="102">+$D$49</f>
        <v>0.24</v>
      </c>
      <c r="P49" s="598">
        <f>+(P41/'Maj Production Summ'!P$18)*1000</f>
        <v>0.23028659818899144</v>
      </c>
      <c r="Q49" s="3204">
        <f t="shared" ref="Q49" si="103">+$D$49</f>
        <v>0.24</v>
      </c>
      <c r="R49" s="543">
        <f>+(R41/'Maj Production Summ'!R$18)*1000</f>
        <v>0.58381613687093847</v>
      </c>
      <c r="S49" s="4935">
        <f t="shared" ref="S49" si="104">+$D$49</f>
        <v>0.24</v>
      </c>
      <c r="T49" s="598">
        <f>+(T41/'Maj Production Summ'!T$18)*1000</f>
        <v>0.72073343364108233</v>
      </c>
      <c r="U49" s="3204">
        <f t="shared" ref="U49" si="105">+$D$49</f>
        <v>0.24</v>
      </c>
      <c r="V49" s="543">
        <f>+(V41/'Maj Production Summ'!V$18)*1000</f>
        <v>0.61358267354568485</v>
      </c>
      <c r="W49" s="4935">
        <f t="shared" ref="W49" si="106">+$D$49</f>
        <v>0.24</v>
      </c>
      <c r="X49" s="598">
        <f>+(X41/'Maj Production Summ'!X$18)*1000</f>
        <v>0.65475456193124126</v>
      </c>
      <c r="Y49" s="484">
        <f>+$D$49</f>
        <v>0.24</v>
      </c>
      <c r="Z49" s="484">
        <f>+(Z41/'Maj Production Summ'!Z$18)*1000</f>
        <v>0.53024388631460018</v>
      </c>
      <c r="AA49" s="594">
        <f>+$D$49</f>
        <v>0.24</v>
      </c>
      <c r="AB49" s="594">
        <f>+(AB41/'Maj Production Summ'!AB$18)*1000</f>
        <v>0.62055796658180973</v>
      </c>
      <c r="AC49" s="4935">
        <f t="shared" ref="AC49" si="107">+$D$49</f>
        <v>0.24</v>
      </c>
      <c r="AD49" s="598">
        <f>+(AD41/'Maj Production Summ'!AD$18)*1000</f>
        <v>0.63104471466485257</v>
      </c>
      <c r="AE49" s="3204">
        <f t="shared" ref="AE49" si="108">+$D$49</f>
        <v>0.24</v>
      </c>
      <c r="AF49" s="543">
        <f>+(AF41/'Maj Production Summ'!AF$18)*1000</f>
        <v>0.62215466932698782</v>
      </c>
      <c r="AG49" s="4935">
        <f t="shared" ref="AG49" si="109">+$D$49</f>
        <v>0.24</v>
      </c>
      <c r="AH49" s="598">
        <f>+(AH41/'Maj Production Summ'!AH$18)*1000</f>
        <v>0.93587197271413269</v>
      </c>
      <c r="AI49" s="3204">
        <f t="shared" ref="AI49" si="110">+$D$49</f>
        <v>0.24</v>
      </c>
      <c r="AJ49" s="543">
        <f>+(AJ41/'Maj Production Summ'!AJ$18)*1000</f>
        <v>0.65850697603242747</v>
      </c>
      <c r="AK49" s="4935">
        <f t="shared" ref="AK49" si="111">+$D$49</f>
        <v>0.24</v>
      </c>
      <c r="AL49" s="598">
        <f>+(AL41/'Maj Production Summ'!AL$18)*1000</f>
        <v>0.70776937748466118</v>
      </c>
      <c r="AM49" s="484">
        <f>+$D$49</f>
        <v>0.24</v>
      </c>
      <c r="AN49" s="484">
        <f>+(AN41/'Maj Production Summ'!AN$18)*1000</f>
        <v>0.749970790611313</v>
      </c>
      <c r="AO49" s="3204">
        <f t="shared" ref="AO49" si="112">+$D$49</f>
        <v>0.24</v>
      </c>
      <c r="AP49" s="543">
        <f>+(AP41/'Maj Production Summ'!AP$18)*1000</f>
        <v>0.6642163063921539</v>
      </c>
      <c r="AQ49" s="4935">
        <f t="shared" ref="AQ49" si="113">+$D$49</f>
        <v>0.24</v>
      </c>
      <c r="AR49" s="598">
        <f>+(AR41/'Maj Production Summ'!AR$18)*1000</f>
        <v>0.67769054433362896</v>
      </c>
      <c r="AS49" s="3204">
        <f t="shared" ref="AS49" si="114">+$D$49</f>
        <v>0.24</v>
      </c>
      <c r="AT49" s="543">
        <f>+(AT41/'Maj Production Summ'!AT$18)*1000</f>
        <v>0.66561627424120207</v>
      </c>
      <c r="AU49" s="4935">
        <f t="shared" ref="AU49" si="115">+$D$49</f>
        <v>0.24</v>
      </c>
      <c r="AV49" s="598">
        <f>+(AV41/'Maj Production Summ'!AV$18)*1000</f>
        <v>0.69857001604417746</v>
      </c>
      <c r="AW49" s="3204">
        <f t="shared" ref="AW49" si="116">+$D$49</f>
        <v>0.24</v>
      </c>
      <c r="AX49" s="543">
        <f>+(AX41/'Maj Production Summ'!AX$18)*1000</f>
        <v>0.66867561695225541</v>
      </c>
      <c r="AY49" s="4935">
        <f t="shared" ref="AY49" si="117">+$D$49</f>
        <v>0.24</v>
      </c>
      <c r="AZ49" s="598">
        <f>+(AZ41/'Maj Production Summ'!AZ$18)*1000</f>
        <v>0.56510821366559261</v>
      </c>
      <c r="BA49" s="484">
        <f>+$D$49</f>
        <v>0.24</v>
      </c>
      <c r="BB49" s="484">
        <f>+(BB41/'Maj Production Summ'!BB$18)*1000</f>
        <v>0.64664458476717313</v>
      </c>
      <c r="BC49" s="5092">
        <f>+$D$49</f>
        <v>0.24</v>
      </c>
      <c r="BD49" s="5092">
        <f>+(BD41/'Maj Production Summ'!BD$18)*1000</f>
        <v>0.69757765754098466</v>
      </c>
      <c r="BE49" s="4858">
        <f>+$D$49</f>
        <v>0.24</v>
      </c>
      <c r="BF49" s="4858">
        <f>+(BF41/'Maj Production Summ'!BF$18)*1000</f>
        <v>0.6596893937147208</v>
      </c>
      <c r="BG49" s="4911">
        <v>0</v>
      </c>
      <c r="BH49" s="4911">
        <v>0.46320882750587022</v>
      </c>
      <c r="BI49" s="4911">
        <v>0</v>
      </c>
      <c r="BJ49" s="4911">
        <v>0.4168998706686482</v>
      </c>
      <c r="BK49" s="4911"/>
      <c r="BL49" s="4929"/>
      <c r="BM49" s="4476"/>
      <c r="BN49" s="1506"/>
      <c r="BO49" s="1506"/>
      <c r="BP49" s="26"/>
      <c r="BQ49" s="26"/>
    </row>
    <row r="50" spans="1:75" s="34" customFormat="1" ht="15.75" customHeight="1" thickBot="1" x14ac:dyDescent="0.3">
      <c r="A50" s="1015"/>
      <c r="B50" s="5005" t="s">
        <v>911</v>
      </c>
      <c r="C50" s="4968" t="s">
        <v>540</v>
      </c>
      <c r="D50" s="5307">
        <f>SUM(D48:D49)</f>
        <v>1.5319834919767839</v>
      </c>
      <c r="E50" s="4923">
        <f>SUM(E48:E49)</f>
        <v>1.5319834919767839</v>
      </c>
      <c r="F50" s="4924">
        <f>SUM(F48:F49)</f>
        <v>2.4728703390105733</v>
      </c>
      <c r="G50" s="4923">
        <f t="shared" ref="G50:V50" si="118">SUM(G48:G49)</f>
        <v>1.5319834919767839</v>
      </c>
      <c r="H50" s="4924">
        <f t="shared" si="118"/>
        <v>2.2234856022058613</v>
      </c>
      <c r="I50" s="1219">
        <f t="shared" si="118"/>
        <v>1.5319834919767839</v>
      </c>
      <c r="J50" s="4925">
        <f t="shared" si="118"/>
        <v>2.360806674943924</v>
      </c>
      <c r="K50" s="4923">
        <f t="shared" si="118"/>
        <v>1.5319834919767839</v>
      </c>
      <c r="L50" s="4924">
        <f t="shared" si="118"/>
        <v>2.2879992302058665</v>
      </c>
      <c r="M50" s="108">
        <f t="shared" si="118"/>
        <v>1.5319834919767839</v>
      </c>
      <c r="N50" s="4926">
        <f t="shared" si="118"/>
        <v>2.3372636331735515</v>
      </c>
      <c r="O50" s="4923">
        <f t="shared" si="118"/>
        <v>1.5319834919767839</v>
      </c>
      <c r="P50" s="4924">
        <f t="shared" si="118"/>
        <v>2.2507256200358032</v>
      </c>
      <c r="Q50" s="1219">
        <f t="shared" si="118"/>
        <v>1.5319834919767839</v>
      </c>
      <c r="R50" s="4925">
        <f t="shared" si="118"/>
        <v>2.3126340977808555</v>
      </c>
      <c r="S50" s="4923">
        <f t="shared" si="118"/>
        <v>1.5319834919767839</v>
      </c>
      <c r="T50" s="4924">
        <f t="shared" si="118"/>
        <v>2.893078765324383</v>
      </c>
      <c r="U50" s="1219">
        <f t="shared" si="118"/>
        <v>1.5319834919767839</v>
      </c>
      <c r="V50" s="4925">
        <f t="shared" si="118"/>
        <v>2.4388258054151457</v>
      </c>
      <c r="W50" s="4923">
        <f t="shared" ref="W50:X50" si="119">SUM(W48:W49)</f>
        <v>1.5319834919767839</v>
      </c>
      <c r="X50" s="4924">
        <f t="shared" si="119"/>
        <v>2.8372697683687118</v>
      </c>
      <c r="Y50" s="2481">
        <f>SUM(Y48:Y49)</f>
        <v>1.5319834919767839</v>
      </c>
      <c r="Z50" s="2481">
        <f t="shared" ref="Z50:AF50" si="120">SUM(Z48:Z49)</f>
        <v>2.6532808659226275</v>
      </c>
      <c r="AA50" s="4927">
        <f>SUM(AA48:AA49)</f>
        <v>1.5319834919767839</v>
      </c>
      <c r="AB50" s="4927">
        <f t="shared" si="120"/>
        <v>2.5063297142485088</v>
      </c>
      <c r="AC50" s="4923">
        <f t="shared" si="120"/>
        <v>1.5319834919767839</v>
      </c>
      <c r="AD50" s="4924">
        <f t="shared" si="120"/>
        <v>2.5913112751131182</v>
      </c>
      <c r="AE50" s="1219">
        <f t="shared" si="120"/>
        <v>1.5319834919767839</v>
      </c>
      <c r="AF50" s="4925">
        <f t="shared" si="120"/>
        <v>2.5192689295750847</v>
      </c>
      <c r="AG50" s="4923">
        <f t="shared" ref="AG50:AH50" si="121">SUM(AG48:AG49)</f>
        <v>1.5319834919767839</v>
      </c>
      <c r="AH50" s="4924">
        <f t="shared" si="121"/>
        <v>2.9271995591003153</v>
      </c>
      <c r="AI50" s="1219">
        <f t="shared" ref="AI50:AL50" si="122">SUM(AI48:AI49)</f>
        <v>1.5319834919767839</v>
      </c>
      <c r="AJ50" s="4925">
        <f t="shared" si="122"/>
        <v>2.5665382997976898</v>
      </c>
      <c r="AK50" s="4923">
        <f t="shared" si="122"/>
        <v>1.5319834919767839</v>
      </c>
      <c r="AL50" s="4924">
        <f t="shared" si="122"/>
        <v>2.8586529402302547</v>
      </c>
      <c r="AM50" s="2481">
        <f>SUM(AM48:AM49)</f>
        <v>1.5319834919767839</v>
      </c>
      <c r="AN50" s="2481">
        <f t="shared" ref="AN50:AT50" si="123">SUM(AN48:AN49)</f>
        <v>2.7851546834491709</v>
      </c>
      <c r="AO50" s="1219">
        <f t="shared" si="123"/>
        <v>1.5319834919767839</v>
      </c>
      <c r="AP50" s="4925">
        <f t="shared" si="123"/>
        <v>2.6003933075922108</v>
      </c>
      <c r="AQ50" s="4923">
        <f t="shared" si="123"/>
        <v>1.5319834919767839</v>
      </c>
      <c r="AR50" s="4924">
        <f t="shared" si="123"/>
        <v>3.0159960308527696</v>
      </c>
      <c r="AS50" s="1219">
        <f t="shared" si="123"/>
        <v>1.5319834919767839</v>
      </c>
      <c r="AT50" s="4925">
        <f t="shared" si="123"/>
        <v>2.6435742617262266</v>
      </c>
      <c r="AU50" s="4923">
        <f t="shared" ref="AU50:AX50" si="124">SUM(AU48:AU49)</f>
        <v>1.5319834919767839</v>
      </c>
      <c r="AV50" s="4924">
        <f t="shared" si="124"/>
        <v>2.3356357971717472</v>
      </c>
      <c r="AW50" s="1219">
        <f t="shared" si="124"/>
        <v>1.5319834919767839</v>
      </c>
      <c r="AX50" s="4925">
        <f t="shared" si="124"/>
        <v>2.6149860272665313</v>
      </c>
      <c r="AY50" s="4923">
        <f t="shared" ref="AY50:AZ50" si="125">SUM(AY48:AY49)</f>
        <v>1.5319834919767839</v>
      </c>
      <c r="AZ50" s="4924">
        <f t="shared" si="125"/>
        <v>1.6224074521367013</v>
      </c>
      <c r="BA50" s="2481">
        <f t="shared" ref="BA50:BB50" si="126">SUM(BA48:BA49)</f>
        <v>1.5319834919767839</v>
      </c>
      <c r="BB50" s="2481">
        <f t="shared" si="126"/>
        <v>2.3227405704251942</v>
      </c>
      <c r="BC50" s="4927">
        <f>SUM(BC48:BC49)</f>
        <v>1.5319834919767839</v>
      </c>
      <c r="BD50" s="4927">
        <f t="shared" ref="BD50" si="127">SUM(BD48:BD49)</f>
        <v>2.5506805347147421</v>
      </c>
      <c r="BE50" s="2480">
        <f>SUM(BE48:BE49)</f>
        <v>1.5319834919767839</v>
      </c>
      <c r="BF50" s="2480">
        <f t="shared" ref="BF50" si="128">SUM(BF48:BF49)</f>
        <v>2.5288630544598991</v>
      </c>
      <c r="BG50" s="4928">
        <v>1.8</v>
      </c>
      <c r="BH50" s="4928">
        <v>2.3497605147773148</v>
      </c>
      <c r="BI50" s="4928">
        <v>2.6013799999999998</v>
      </c>
      <c r="BJ50" s="4928">
        <v>2.1975738747225231</v>
      </c>
      <c r="BK50" s="4928"/>
      <c r="BL50" s="4936"/>
      <c r="BM50" s="4477"/>
      <c r="BN50" s="2763"/>
      <c r="BO50" s="2763"/>
      <c r="BP50" s="26"/>
      <c r="BQ50" s="26"/>
      <c r="BR50"/>
      <c r="BS50"/>
      <c r="BT50"/>
      <c r="BU50"/>
      <c r="BV50"/>
      <c r="BW50"/>
    </row>
    <row r="51" spans="1:75" ht="15" customHeight="1" thickBot="1" x14ac:dyDescent="0.3">
      <c r="B51" s="5004" t="s">
        <v>86</v>
      </c>
      <c r="C51" s="4967" t="s">
        <v>540</v>
      </c>
      <c r="D51" s="5305">
        <v>16.822446796403778</v>
      </c>
      <c r="E51" s="4935">
        <f>+$D$51</f>
        <v>16.822446796403778</v>
      </c>
      <c r="F51" s="2148">
        <f>+(F43/'Maj Production Summ'!F$18)*1000</f>
        <v>19.532428006068507</v>
      </c>
      <c r="G51" s="4935">
        <f t="shared" ref="G51" si="129">+$D$51</f>
        <v>16.822446796403778</v>
      </c>
      <c r="H51" s="2148">
        <f>+(H43/'Maj Production Summ'!H$18)*1000</f>
        <v>19.267176440490065</v>
      </c>
      <c r="I51" s="3204">
        <f t="shared" ref="I51" si="130">+$D$51</f>
        <v>16.822446796403778</v>
      </c>
      <c r="J51" s="543">
        <f>+(J43/'Maj Production Summ'!J$18)*1000</f>
        <v>19.413234414997163</v>
      </c>
      <c r="K51" s="4935">
        <f t="shared" ref="K51" si="131">+$D$51</f>
        <v>16.822446796403778</v>
      </c>
      <c r="L51" s="2148">
        <f>+(L43/'Maj Production Summ'!L$18)*1000</f>
        <v>18.533862923186305</v>
      </c>
      <c r="M51" s="3203">
        <f t="shared" ref="M51" si="132">+$D$51</f>
        <v>16.822446796403778</v>
      </c>
      <c r="N51" s="3201">
        <f>+(N43/'Maj Production Summ'!N$18)*1000</f>
        <v>19.128880530063253</v>
      </c>
      <c r="O51" s="4935">
        <f t="shared" ref="O51" si="133">+$D$51</f>
        <v>16.822446796403778</v>
      </c>
      <c r="P51" s="2148">
        <f>+(P43/'Maj Production Summ'!P$18)*1000</f>
        <v>18.418582824964805</v>
      </c>
      <c r="Q51" s="3204">
        <f t="shared" ref="Q51" si="134">+$D$51</f>
        <v>16.822446796403778</v>
      </c>
      <c r="R51" s="543">
        <f>+(R43/'Maj Production Summ'!R$18)*1000</f>
        <v>18.926723098516657</v>
      </c>
      <c r="S51" s="4935">
        <f t="shared" ref="S51" si="135">+$D$51</f>
        <v>16.822446796403778</v>
      </c>
      <c r="T51" s="2148">
        <f>+(T43/'Maj Production Summ'!T$18)*1000</f>
        <v>18.117716188424247</v>
      </c>
      <c r="U51" s="3204">
        <f t="shared" ref="U51" si="136">+$D$51</f>
        <v>16.822446796403778</v>
      </c>
      <c r="V51" s="543">
        <f>+(V43/'Maj Production Summ'!V$18)*1000</f>
        <v>18.750840763505202</v>
      </c>
      <c r="W51" s="4935">
        <f t="shared" ref="W51" si="137">+$D$51</f>
        <v>16.822446796403778</v>
      </c>
      <c r="X51" s="2148">
        <f>+(X43/'Maj Production Summ'!X$18)*1000</f>
        <v>18.015239649658863</v>
      </c>
      <c r="Y51" s="484">
        <f>+$D$51</f>
        <v>16.822446796403778</v>
      </c>
      <c r="Z51" s="484">
        <f>+(Z43/'Maj Production Summ'!Z$18)*1000</f>
        <v>18.189303379430129</v>
      </c>
      <c r="AA51" s="594">
        <f>+$D$51</f>
        <v>16.822446796403778</v>
      </c>
      <c r="AB51" s="594">
        <f>+(AB43/'Maj Production Summ'!AB$18)*1000</f>
        <v>18.626216085649084</v>
      </c>
      <c r="AC51" s="4935">
        <f t="shared" ref="AC51" si="138">+$D$51</f>
        <v>16.822446796403778</v>
      </c>
      <c r="AD51" s="2148">
        <f>+(AD43/'Maj Production Summ'!AD$18)*1000</f>
        <v>18.738895179444949</v>
      </c>
      <c r="AE51" s="3204">
        <f t="shared" ref="AE51" si="139">+$D$51</f>
        <v>16.822446796403778</v>
      </c>
      <c r="AF51" s="543">
        <f>+(AF43/'Maj Production Summ'!AF$18)*1000</f>
        <v>18.643372502201032</v>
      </c>
      <c r="AG51" s="4935">
        <f t="shared" ref="AG51" si="140">+$D$51</f>
        <v>16.822446796403778</v>
      </c>
      <c r="AH51" s="2148">
        <f>+(AH43/'Maj Production Summ'!AH$18)*1000</f>
        <v>18.920211715037382</v>
      </c>
      <c r="AI51" s="3204">
        <f t="shared" ref="AI51" si="141">+$D$51</f>
        <v>16.822446796403778</v>
      </c>
      <c r="AJ51" s="543">
        <f>+(AJ43/'Maj Production Summ'!AJ$18)*1000</f>
        <v>18.675451523231953</v>
      </c>
      <c r="AK51" s="4935">
        <f t="shared" ref="AK51" si="142">+$D$51</f>
        <v>16.822446796403778</v>
      </c>
      <c r="AL51" s="2148">
        <f>+(AL43/'Maj Production Summ'!AL$18)*1000</f>
        <v>17.50580233012386</v>
      </c>
      <c r="AM51" s="484">
        <f>+$D$51</f>
        <v>16.822446796403778</v>
      </c>
      <c r="AN51" s="484">
        <f>+(AN43/'Maj Production Summ'!AN$18)*1000</f>
        <v>18.370337155289739</v>
      </c>
      <c r="AO51" s="3204">
        <f t="shared" ref="AO51" si="143">+$D$51</f>
        <v>16.822446796403778</v>
      </c>
      <c r="AP51" s="543">
        <f>+(AP43/'Maj Production Summ'!AP$18)*1000</f>
        <v>18.539893502275209</v>
      </c>
      <c r="AQ51" s="4935">
        <f t="shared" ref="AQ51" si="144">+$D$51</f>
        <v>16.822446796403778</v>
      </c>
      <c r="AR51" s="2148">
        <f>+(AR43/'Maj Production Summ'!AR$18)*1000</f>
        <v>15.927122046683419</v>
      </c>
      <c r="AS51" s="3204">
        <f t="shared" ref="AS51" si="145">+$D$51</f>
        <v>16.822446796403778</v>
      </c>
      <c r="AT51" s="543">
        <f>+(AT43/'Maj Production Summ'!AT$18)*1000</f>
        <v>18.268427609315111</v>
      </c>
      <c r="AU51" s="4935">
        <f t="shared" ref="AU51" si="146">+$D$51</f>
        <v>16.822446796403778</v>
      </c>
      <c r="AV51" s="2148">
        <f>+(AV43/'Maj Production Summ'!AV$18)*1000</f>
        <v>16.529233983806574</v>
      </c>
      <c r="AW51" s="3204">
        <f t="shared" ref="AW51" si="147">+$D$51</f>
        <v>16.822446796403778</v>
      </c>
      <c r="AX51" s="543">
        <f>+(AX43/'Maj Production Summ'!AX$18)*1000</f>
        <v>18.106965236601198</v>
      </c>
      <c r="AY51" s="4935">
        <f t="shared" ref="AY51" si="148">+$D$51</f>
        <v>16.822446796403778</v>
      </c>
      <c r="AZ51" s="2148">
        <f>+(AZ43/'Maj Production Summ'!AZ$18)*1000</f>
        <v>17.60038646110096</v>
      </c>
      <c r="BA51" s="484">
        <f>+$D$51</f>
        <v>16.822446796403778</v>
      </c>
      <c r="BB51" s="484">
        <f>+(BB43/'Maj Production Summ'!BB$18)*1000</f>
        <v>16.688820194193831</v>
      </c>
      <c r="BC51" s="5092">
        <f>+$D$51</f>
        <v>16.822446796403778</v>
      </c>
      <c r="BD51" s="5092">
        <f>+(BD43/'Maj Production Summ'!BD$18)*1000</f>
        <v>17.517698260994091</v>
      </c>
      <c r="BE51" s="4858">
        <f>+$D$51</f>
        <v>16.822446796403778</v>
      </c>
      <c r="BF51" s="4858">
        <f>+(BF43/'Maj Production Summ'!BF$18)*1000</f>
        <v>18.06301096315628</v>
      </c>
      <c r="BG51" s="4911">
        <v>16</v>
      </c>
      <c r="BH51" s="4911">
        <v>18.431726897146138</v>
      </c>
      <c r="BI51" s="4911">
        <v>16.326409999999999</v>
      </c>
      <c r="BJ51" s="4911">
        <v>15.648490818507298</v>
      </c>
      <c r="BK51" s="4911"/>
      <c r="BL51" s="4929"/>
      <c r="BM51" s="4476"/>
      <c r="BN51" s="1506"/>
      <c r="BO51" s="1506"/>
      <c r="BP51" s="26"/>
      <c r="BQ51" s="26"/>
    </row>
    <row r="52" spans="1:75" s="2758" customFormat="1" ht="15" customHeight="1" x14ac:dyDescent="0.25">
      <c r="A52" s="122"/>
      <c r="B52" s="5004" t="s">
        <v>1753</v>
      </c>
      <c r="C52" s="4967" t="s">
        <v>540</v>
      </c>
      <c r="D52" s="5308">
        <v>0</v>
      </c>
      <c r="E52" s="4935">
        <f>D52</f>
        <v>0</v>
      </c>
      <c r="F52" s="2148">
        <f>+(F44/'Maj Production Summ'!F$18)*1000</f>
        <v>0</v>
      </c>
      <c r="G52" s="4935">
        <f>D52</f>
        <v>0</v>
      </c>
      <c r="H52" s="2148">
        <f>+(H44/'Maj Production Summ'!H$18)*1000</f>
        <v>0</v>
      </c>
      <c r="I52" s="3204"/>
      <c r="J52" s="543">
        <f>+(J44/'Maj Production Summ'!J$18)*1000</f>
        <v>0</v>
      </c>
      <c r="K52" s="4935">
        <f>D52</f>
        <v>0</v>
      </c>
      <c r="L52" s="2148">
        <f>+(L44/'Maj Production Summ'!L$18)*1000</f>
        <v>0</v>
      </c>
      <c r="M52" s="3203">
        <f>D52</f>
        <v>0</v>
      </c>
      <c r="N52" s="3201">
        <f>+(N44/'Maj Production Summ'!N$18)*1000</f>
        <v>0</v>
      </c>
      <c r="O52" s="4935">
        <f>D52</f>
        <v>0</v>
      </c>
      <c r="P52" s="2148">
        <f>+(P44/'Maj Production Summ'!P$18)*1000</f>
        <v>0</v>
      </c>
      <c r="Q52" s="3204"/>
      <c r="R52" s="543">
        <f>+(R44/'Maj Production Summ'!R$18)*1000</f>
        <v>0</v>
      </c>
      <c r="S52" s="4935">
        <f>D52</f>
        <v>0</v>
      </c>
      <c r="T52" s="2148">
        <f>+(T44/'Maj Production Summ'!T$18)*1000</f>
        <v>0.11489392010398768</v>
      </c>
      <c r="U52" s="3204"/>
      <c r="V52" s="543">
        <f>+(V44/'Maj Production Summ'!V$18)*1000</f>
        <v>2.4978539360313252E-2</v>
      </c>
      <c r="W52" s="4935">
        <f>D52</f>
        <v>0</v>
      </c>
      <c r="X52" s="2148">
        <f>+(X44/'Maj Production Summ'!X$18)*1000</f>
        <v>0</v>
      </c>
      <c r="Y52" s="4866">
        <f>D52</f>
        <v>0</v>
      </c>
      <c r="Z52" s="484">
        <f>+(Z44/'Maj Production Summ'!Z$18)*1000</f>
        <v>3.8779606824970399E-2</v>
      </c>
      <c r="AA52" s="4869">
        <f>D52</f>
        <v>0</v>
      </c>
      <c r="AB52" s="4869">
        <f>+(AB44/'Maj Production Summ'!AB$18)*1000</f>
        <v>2.074670452143116E-2</v>
      </c>
      <c r="AC52" s="4935">
        <f>D52</f>
        <v>0</v>
      </c>
      <c r="AD52" s="2148">
        <f>+(AD44/'Maj Production Summ'!AD$18)*1000</f>
        <v>0</v>
      </c>
      <c r="AE52" s="3204"/>
      <c r="AF52" s="543">
        <f>+(AF44/'Maj Production Summ'!AF$18)*1000</f>
        <v>1.7587830121050061E-2</v>
      </c>
      <c r="AG52" s="4935">
        <f>D52</f>
        <v>0</v>
      </c>
      <c r="AH52" s="2148">
        <f>+(AH44/'Maj Production Summ'!AH$18)*1000</f>
        <v>0</v>
      </c>
      <c r="AI52" s="3204">
        <f>D52</f>
        <v>0</v>
      </c>
      <c r="AJ52" s="543">
        <f>+(AJ44/'Maj Production Summ'!AJ$18)*1000</f>
        <v>1.5549822692258105E-2</v>
      </c>
      <c r="AK52" s="4935">
        <v>0</v>
      </c>
      <c r="AL52" s="2148">
        <f>+(AL44/'Maj Production Summ'!AL$18)*1000</f>
        <v>0</v>
      </c>
      <c r="AM52" s="4866">
        <v>0</v>
      </c>
      <c r="AN52" s="484">
        <f>+(AN44/'Maj Production Summ'!AN$18)*1000</f>
        <v>0</v>
      </c>
      <c r="AO52" s="3204">
        <f>D52</f>
        <v>0</v>
      </c>
      <c r="AP52" s="543">
        <f>+(AP44/'Maj Production Summ'!AP$18)*1000</f>
        <v>1.3747655681148134E-2</v>
      </c>
      <c r="AQ52" s="4935">
        <f>D52</f>
        <v>0</v>
      </c>
      <c r="AR52" s="2148">
        <f>+(AR44/'Maj Production Summ'!AR$18)*1000</f>
        <v>0</v>
      </c>
      <c r="AS52" s="3204">
        <f>D52</f>
        <v>0</v>
      </c>
      <c r="AT52" s="543">
        <f>+(AT44/'Maj Production Summ'!AT$18)*1000</f>
        <v>1.2319279840006874E-2</v>
      </c>
      <c r="AU52" s="4935">
        <f>H52</f>
        <v>0</v>
      </c>
      <c r="AV52" s="2148">
        <f>+(AV44/'Maj Production Summ'!AV$18)*1000</f>
        <v>0</v>
      </c>
      <c r="AW52" s="3204">
        <f>H52</f>
        <v>0</v>
      </c>
      <c r="AX52" s="543">
        <f>+(AX44/'Maj Production Summ'!AX$18)*1000</f>
        <v>1.1175588807611004E-2</v>
      </c>
      <c r="AY52" s="4935">
        <f>L52</f>
        <v>0</v>
      </c>
      <c r="AZ52" s="2148">
        <f>+(AZ44/'Maj Production Summ'!AZ$18)*1000</f>
        <v>0</v>
      </c>
      <c r="BA52" s="5091">
        <f>L52</f>
        <v>0</v>
      </c>
      <c r="BB52" s="5091">
        <f>+(BB44/'Maj Production Summ'!BB$18)*1000</f>
        <v>0</v>
      </c>
      <c r="BC52" s="5092">
        <f>N52</f>
        <v>0</v>
      </c>
      <c r="BD52" s="5092">
        <f>+(BD44/'Maj Production Summ'!BD$18)*1000</f>
        <v>0</v>
      </c>
      <c r="BE52" s="5093">
        <f>P52</f>
        <v>0</v>
      </c>
      <c r="BF52" s="5093">
        <f>+(BF44/'Maj Production Summ'!BF$18)*1000</f>
        <v>1.0205917534130115E-2</v>
      </c>
      <c r="BG52" s="4937"/>
      <c r="BH52" s="4937"/>
      <c r="BI52" s="4937"/>
      <c r="BJ52" s="4937"/>
      <c r="BK52" s="4937"/>
      <c r="BL52" s="4871"/>
      <c r="BM52" s="4478"/>
      <c r="BN52" s="2764"/>
      <c r="BO52" s="2764"/>
      <c r="BP52" s="26"/>
      <c r="BQ52" s="26"/>
    </row>
    <row r="53" spans="1:75" s="2758" customFormat="1" ht="15.75" customHeight="1" x14ac:dyDescent="0.25">
      <c r="A53" s="122"/>
      <c r="B53" s="5005" t="s">
        <v>1754</v>
      </c>
      <c r="C53" s="4968" t="s">
        <v>540</v>
      </c>
      <c r="D53" s="5309">
        <f>SUM(D51:D52)</f>
        <v>16.822446796403778</v>
      </c>
      <c r="E53" s="4923">
        <f t="shared" ref="E53:W53" si="149">+$D$51</f>
        <v>16.822446796403778</v>
      </c>
      <c r="F53" s="2161">
        <f>SUM(F51:F52)</f>
        <v>19.532428006068507</v>
      </c>
      <c r="G53" s="4923">
        <f t="shared" si="149"/>
        <v>16.822446796403778</v>
      </c>
      <c r="H53" s="2161">
        <f t="shared" ref="H53" si="150">SUM(H51:H52)</f>
        <v>19.267176440490065</v>
      </c>
      <c r="I53" s="1219">
        <f t="shared" si="149"/>
        <v>16.822446796403778</v>
      </c>
      <c r="J53" s="4925">
        <f t="shared" ref="J53" si="151">SUM(J51:J52)</f>
        <v>19.413234414997163</v>
      </c>
      <c r="K53" s="4923">
        <f t="shared" si="149"/>
        <v>16.822446796403778</v>
      </c>
      <c r="L53" s="2161">
        <f t="shared" ref="L53" si="152">SUM(L51:L52)</f>
        <v>18.533862923186305</v>
      </c>
      <c r="M53" s="108">
        <f t="shared" si="149"/>
        <v>16.822446796403778</v>
      </c>
      <c r="N53" s="4926">
        <f t="shared" ref="N53" si="153">SUM(N51:N52)</f>
        <v>19.128880530063253</v>
      </c>
      <c r="O53" s="4923">
        <f t="shared" si="149"/>
        <v>16.822446796403778</v>
      </c>
      <c r="P53" s="2161">
        <f t="shared" ref="P53" si="154">SUM(P51:P52)</f>
        <v>18.418582824964805</v>
      </c>
      <c r="Q53" s="1219">
        <f t="shared" si="149"/>
        <v>16.822446796403778</v>
      </c>
      <c r="R53" s="4925">
        <f t="shared" ref="R53" si="155">SUM(R51:R52)</f>
        <v>18.926723098516657</v>
      </c>
      <c r="S53" s="4923">
        <f t="shared" si="149"/>
        <v>16.822446796403778</v>
      </c>
      <c r="T53" s="2161">
        <f t="shared" ref="T53" si="156">SUM(T51:T52)</f>
        <v>18.232610108528235</v>
      </c>
      <c r="U53" s="1219">
        <f t="shared" si="149"/>
        <v>16.822446796403778</v>
      </c>
      <c r="V53" s="4925">
        <f t="shared" ref="V53" si="157">SUM(V51:V52)</f>
        <v>18.775819302865514</v>
      </c>
      <c r="W53" s="4923">
        <f t="shared" si="149"/>
        <v>16.822446796403778</v>
      </c>
      <c r="X53" s="2161">
        <f t="shared" ref="X53" si="158">SUM(X51:X52)</f>
        <v>18.015239649658863</v>
      </c>
      <c r="Y53" s="4866">
        <f>SUM(Y51:Y52)</f>
        <v>16.822446796403778</v>
      </c>
      <c r="Z53" s="4866">
        <f>SUM(Z51:Z52)</f>
        <v>18.228082986255099</v>
      </c>
      <c r="AA53" s="4869">
        <f>SUM(AA51:AA52)</f>
        <v>16.822446796403778</v>
      </c>
      <c r="AB53" s="4869">
        <f>SUM(AB51:AB52)</f>
        <v>18.646962790170516</v>
      </c>
      <c r="AC53" s="4923">
        <f t="shared" ref="AC53" si="159">+$D$51</f>
        <v>16.822446796403778</v>
      </c>
      <c r="AD53" s="2161">
        <f t="shared" ref="AD53" si="160">SUM(AD51:AD52)</f>
        <v>18.738895179444949</v>
      </c>
      <c r="AE53" s="1219">
        <f t="shared" ref="AE53" si="161">+$D$51</f>
        <v>16.822446796403778</v>
      </c>
      <c r="AF53" s="4925">
        <f t="shared" ref="AF53" si="162">SUM(AF51:AF52)</f>
        <v>18.660960332322084</v>
      </c>
      <c r="AG53" s="4923">
        <f t="shared" ref="AG53" si="163">+$D$51</f>
        <v>16.822446796403778</v>
      </c>
      <c r="AH53" s="2161">
        <f t="shared" ref="AH53" si="164">SUM(AH51:AH52)</f>
        <v>18.920211715037382</v>
      </c>
      <c r="AI53" s="1219">
        <f t="shared" ref="AI53" si="165">+$D$51</f>
        <v>16.822446796403778</v>
      </c>
      <c r="AJ53" s="4925">
        <f t="shared" ref="AJ53" si="166">SUM(AJ51:AJ52)</f>
        <v>18.69100134592421</v>
      </c>
      <c r="AK53" s="4923">
        <f t="shared" ref="AK53" si="167">+$D$51</f>
        <v>16.822446796403778</v>
      </c>
      <c r="AL53" s="2161">
        <f t="shared" ref="AL53" si="168">SUM(AL51:AL52)</f>
        <v>17.50580233012386</v>
      </c>
      <c r="AM53" s="4866">
        <f>SUM(AM51:AM52)</f>
        <v>16.822446796403778</v>
      </c>
      <c r="AN53" s="4866">
        <f>SUM(AN51:AN52)</f>
        <v>18.370337155289739</v>
      </c>
      <c r="AO53" s="1219">
        <f t="shared" ref="AO53" si="169">+$D$51</f>
        <v>16.822446796403778</v>
      </c>
      <c r="AP53" s="4925">
        <f t="shared" ref="AP53" si="170">SUM(AP51:AP52)</f>
        <v>18.553641157956356</v>
      </c>
      <c r="AQ53" s="4923">
        <f t="shared" ref="AQ53" si="171">+$D$51</f>
        <v>16.822446796403778</v>
      </c>
      <c r="AR53" s="2161">
        <f t="shared" ref="AR53" si="172">SUM(AR51:AR52)</f>
        <v>15.927122046683419</v>
      </c>
      <c r="AS53" s="1219">
        <f t="shared" ref="AS53" si="173">+$D$51</f>
        <v>16.822446796403778</v>
      </c>
      <c r="AT53" s="4925">
        <f t="shared" ref="AT53" si="174">SUM(AT51:AT52)</f>
        <v>18.280746889155118</v>
      </c>
      <c r="AU53" s="4923">
        <f t="shared" ref="AU53" si="175">+$D$51</f>
        <v>16.822446796403778</v>
      </c>
      <c r="AV53" s="2161">
        <f t="shared" ref="AV53" si="176">SUM(AV51:AV52)</f>
        <v>16.529233983806574</v>
      </c>
      <c r="AW53" s="1219">
        <f t="shared" ref="AW53" si="177">+$D$51</f>
        <v>16.822446796403778</v>
      </c>
      <c r="AX53" s="4925">
        <f t="shared" ref="AX53" si="178">SUM(AX51:AX52)</f>
        <v>18.118140825408808</v>
      </c>
      <c r="AY53" s="4923">
        <f t="shared" ref="AY53" si="179">+$D$51</f>
        <v>16.822446796403778</v>
      </c>
      <c r="AZ53" s="2161">
        <f t="shared" ref="AZ53" si="180">SUM(AZ51:AZ52)</f>
        <v>17.60038646110096</v>
      </c>
      <c r="BA53" s="2481">
        <f t="shared" ref="BA53" si="181">+$D$51</f>
        <v>16.822446796403778</v>
      </c>
      <c r="BB53" s="2481">
        <f t="shared" ref="BB53" si="182">SUM(BB51:BB52)</f>
        <v>16.688820194193831</v>
      </c>
      <c r="BC53" s="4927">
        <f t="shared" ref="BC53" si="183">+$D$51</f>
        <v>16.822446796403778</v>
      </c>
      <c r="BD53" s="4927">
        <f t="shared" ref="BD53" si="184">SUM(BD51:BD52)</f>
        <v>17.517698260994091</v>
      </c>
      <c r="BE53" s="2480">
        <f t="shared" ref="BE53" si="185">+$D$51</f>
        <v>16.822446796403778</v>
      </c>
      <c r="BF53" s="2480">
        <f t="shared" ref="BF53" si="186">SUM(BF51:BF52)</f>
        <v>18.07321688069041</v>
      </c>
      <c r="BG53" s="4928">
        <f t="shared" ref="BG53:BH53" si="187">SUM(BG51:BG52)</f>
        <v>16</v>
      </c>
      <c r="BH53" s="4928">
        <f t="shared" si="187"/>
        <v>18.431726897146138</v>
      </c>
      <c r="BI53" s="4928"/>
      <c r="BJ53" s="4928">
        <f t="shared" ref="BJ53" si="188">SUM(BJ51:BJ52)</f>
        <v>15.648490818507298</v>
      </c>
      <c r="BK53" s="4937"/>
      <c r="BL53" s="4871"/>
      <c r="BM53" s="4478"/>
      <c r="BN53" s="2764"/>
      <c r="BO53" s="2764"/>
      <c r="BP53" s="26"/>
      <c r="BQ53" s="26"/>
    </row>
    <row r="54" spans="1:75" ht="15.75" customHeight="1" thickBot="1" x14ac:dyDescent="0.3">
      <c r="B54" s="5007" t="s">
        <v>87</v>
      </c>
      <c r="C54" s="4970" t="s">
        <v>540</v>
      </c>
      <c r="D54" s="5310">
        <v>2.8192466143166044</v>
      </c>
      <c r="E54" s="1237">
        <f>+$D$54</f>
        <v>2.8192466143166044</v>
      </c>
      <c r="F54" s="4938">
        <f>+(F46/'Maj Production Summ'!F$18)*1000</f>
        <v>2.2640914173305062</v>
      </c>
      <c r="G54" s="1237">
        <f t="shared" ref="G54" si="189">+$D$54</f>
        <v>2.8192466143166044</v>
      </c>
      <c r="H54" s="4938">
        <f>+(H46/'Maj Production Summ'!H$18)*1000</f>
        <v>2.0807868330538106</v>
      </c>
      <c r="I54" s="4939">
        <f t="shared" ref="I54" si="190">+$D$54</f>
        <v>2.8192466143166044</v>
      </c>
      <c r="J54" s="4940">
        <f>+(J46/'Maj Production Summ'!J$18)*1000</f>
        <v>2.1817215673651242</v>
      </c>
      <c r="K54" s="1237">
        <f t="shared" ref="K54" si="191">+$D$54</f>
        <v>2.8192466143166044</v>
      </c>
      <c r="L54" s="4938">
        <f>+(L46/'Maj Production Summ'!L$18)*1000</f>
        <v>2.0795133190422477</v>
      </c>
      <c r="M54" s="2054">
        <f t="shared" ref="M54" si="192">+$D$54</f>
        <v>2.8192466143166044</v>
      </c>
      <c r="N54" s="4941">
        <f>+(N46/'Maj Production Summ'!N$18)*1000</f>
        <v>2.1486714710707226</v>
      </c>
      <c r="O54" s="1237">
        <f t="shared" ref="O54" si="193">+$D$54</f>
        <v>2.8192466143166044</v>
      </c>
      <c r="P54" s="4938">
        <f>+(P46/'Maj Production Summ'!P$18)*1000</f>
        <v>1.9552635695291727</v>
      </c>
      <c r="Q54" s="4939">
        <f t="shared" ref="Q54" si="194">+$D$54</f>
        <v>2.8192466143166044</v>
      </c>
      <c r="R54" s="4940">
        <f>+(R46/'Maj Production Summ'!R$18)*1000</f>
        <v>2.0936257566670173</v>
      </c>
      <c r="S54" s="1237">
        <f t="shared" ref="S54" si="195">+$D$54</f>
        <v>2.8192466143166044</v>
      </c>
      <c r="T54" s="4938">
        <f>+(T46/'Maj Production Summ'!T$18)*1000</f>
        <v>2.0788632579838144</v>
      </c>
      <c r="U54" s="4939">
        <f t="shared" ref="U54" si="196">+$D$54</f>
        <v>2.8192466143166044</v>
      </c>
      <c r="V54" s="4940">
        <f>+(V46/'Maj Production Summ'!V$18)*1000</f>
        <v>2.0904163122152895</v>
      </c>
      <c r="W54" s="1237">
        <f t="shared" ref="W54" si="197">+$D$54</f>
        <v>2.8192466143166044</v>
      </c>
      <c r="X54" s="4938">
        <f>+(X46/'Maj Production Summ'!X$18)*1000</f>
        <v>2.0686448478407335</v>
      </c>
      <c r="Y54" s="4942">
        <f>+$D$54</f>
        <v>2.8192466143166044</v>
      </c>
      <c r="Z54" s="4942">
        <f>+(Z46/'Maj Production Summ'!Z$18)*1000</f>
        <v>2.0328867893911258</v>
      </c>
      <c r="AA54" s="4943">
        <f>+$D$54</f>
        <v>2.8192466143166044</v>
      </c>
      <c r="AB54" s="4943">
        <f>+(AB46/'Maj Production Summ'!AB$18)*1000</f>
        <v>2.086727816258632</v>
      </c>
      <c r="AC54" s="1237">
        <f t="shared" ref="AC54" si="198">+$D$54</f>
        <v>2.8192466143166044</v>
      </c>
      <c r="AD54" s="4938">
        <f>+(AD46/'Maj Production Summ'!AD$18)*1000</f>
        <v>2.1527128209488939</v>
      </c>
      <c r="AE54" s="4939">
        <f t="shared" ref="AE54" si="199">+$D$54</f>
        <v>2.8192466143166044</v>
      </c>
      <c r="AF54" s="4940">
        <f>+(AF46/'Maj Production Summ'!AF$18)*1000</f>
        <v>2.0967746331836903</v>
      </c>
      <c r="AG54" s="1237">
        <f t="shared" ref="AG54" si="200">+$D$54</f>
        <v>2.8192466143166044</v>
      </c>
      <c r="AH54" s="4938">
        <f>+(AH46/'Maj Production Summ'!AH$18)*1000</f>
        <v>1.8977403891147691</v>
      </c>
      <c r="AI54" s="4939">
        <f t="shared" ref="AI54" si="201">+$D$54</f>
        <v>2.8192466143166044</v>
      </c>
      <c r="AJ54" s="4940">
        <f>+(AJ46/'Maj Production Summ'!AJ$18)*1000</f>
        <v>2.0737113408272916</v>
      </c>
      <c r="AK54" s="1237">
        <f t="shared" ref="AK54" si="202">+$D$54</f>
        <v>2.8192466143166044</v>
      </c>
      <c r="AL54" s="4938">
        <f>+(AL46/'Maj Production Summ'!AL$18)*1000</f>
        <v>2.2841648091550431</v>
      </c>
      <c r="AM54" s="4942">
        <f>+$D$54</f>
        <v>2.8192466143166044</v>
      </c>
      <c r="AN54" s="4942">
        <f>+(AN46/'Maj Production Summ'!AN$18)*1000</f>
        <v>2.1204437300863019</v>
      </c>
      <c r="AO54" s="4939">
        <f t="shared" ref="AO54" si="203">+$D$54</f>
        <v>2.8192466143166044</v>
      </c>
      <c r="AP54" s="4940">
        <f>+(AP46/'Maj Production Summ'!AP$18)*1000</f>
        <v>2.0981021204200889</v>
      </c>
      <c r="AQ54" s="1237">
        <f t="shared" ref="AQ54" si="204">+$D$54</f>
        <v>2.8192466143166044</v>
      </c>
      <c r="AR54" s="4938">
        <f>+(AR46/'Maj Production Summ'!AR$18)*1000</f>
        <v>2.1545486702897385</v>
      </c>
      <c r="AS54" s="4939">
        <f t="shared" ref="AS54" si="205">+$D$54</f>
        <v>2.8192466143166044</v>
      </c>
      <c r="AT54" s="4940">
        <f>+(AT46/'Maj Production Summ'!AT$18)*1000</f>
        <v>2.1039668940236456</v>
      </c>
      <c r="AU54" s="1237">
        <f t="shared" ref="AU54" si="206">+$D$54</f>
        <v>2.8192466143166044</v>
      </c>
      <c r="AV54" s="4938">
        <f>+(AV46/'Maj Production Summ'!AV$18)*1000</f>
        <v>2.1920823849856346</v>
      </c>
      <c r="AW54" s="4939">
        <f t="shared" ref="AW54" si="207">+$D$54</f>
        <v>2.8192466143166044</v>
      </c>
      <c r="AX54" s="4940">
        <f>+(AX46/'Maj Production Summ'!AX$18)*1000</f>
        <v>2.1121473151308208</v>
      </c>
      <c r="AY54" s="1237">
        <f t="shared" ref="AY54" si="208">+$D$54</f>
        <v>2.8192466143166044</v>
      </c>
      <c r="AZ54" s="4938">
        <f>+(AZ46/'Maj Production Summ'!AZ$18)*1000</f>
        <v>1.9687640992220645</v>
      </c>
      <c r="BA54" s="2481">
        <f t="shared" ref="BA54" si="209">+$D$54</f>
        <v>2.8192466143166044</v>
      </c>
      <c r="BB54" s="2481">
        <f>+(BB46/'Maj Production Summ'!BB$18)*1000</f>
        <v>2.104329300675043</v>
      </c>
      <c r="BC54" s="4927">
        <f t="shared" ref="BC54" si="210">+$D$54</f>
        <v>2.8192466143166044</v>
      </c>
      <c r="BD54" s="4927">
        <f>+(BD46/'Maj Production Summ'!BD$18)*1000</f>
        <v>2.1122726621795791</v>
      </c>
      <c r="BE54" s="2480">
        <f t="shared" ref="BE54" si="211">+$D$54</f>
        <v>2.8192466143166044</v>
      </c>
      <c r="BF54" s="2480">
        <f>+(BF46/'Maj Production Summ'!BF$18)*1000</f>
        <v>2.0997063969868619</v>
      </c>
      <c r="BG54" s="4928">
        <v>3.2</v>
      </c>
      <c r="BH54" s="4928">
        <v>2.1491300709104784</v>
      </c>
      <c r="BI54" s="4928">
        <v>3.0300000000000002</v>
      </c>
      <c r="BJ54" s="4928">
        <v>2.235314175301673</v>
      </c>
      <c r="BK54" s="4944"/>
      <c r="BL54" s="4945"/>
      <c r="BM54" s="4479"/>
      <c r="BN54" s="2765"/>
      <c r="BO54" s="2765"/>
      <c r="BP54" s="26"/>
      <c r="BQ54" s="26"/>
    </row>
    <row r="55" spans="1:75" s="183" customFormat="1" ht="15" customHeight="1" x14ac:dyDescent="0.25">
      <c r="A55" s="188"/>
      <c r="B55" s="188"/>
      <c r="C55" s="4971"/>
      <c r="D55" s="700"/>
      <c r="E55" s="188"/>
      <c r="F55" s="188"/>
      <c r="G55" s="188"/>
      <c r="H55" s="188"/>
      <c r="I55" s="188"/>
      <c r="J55" s="188"/>
      <c r="K55" s="188"/>
      <c r="L55" s="188"/>
      <c r="M55" s="188"/>
      <c r="N55" s="188"/>
      <c r="O55" s="188"/>
      <c r="P55" s="188"/>
      <c r="Q55" s="188"/>
      <c r="R55" s="188"/>
      <c r="S55" s="188"/>
      <c r="T55" s="188"/>
      <c r="U55" s="188"/>
      <c r="V55" s="188"/>
      <c r="W55" s="188"/>
      <c r="X55" s="188"/>
      <c r="Y55" s="188"/>
      <c r="Z55" s="188"/>
      <c r="AA55" s="188"/>
      <c r="AB55" s="188"/>
      <c r="AC55" s="188"/>
      <c r="AD55" s="188"/>
      <c r="AE55" s="188"/>
      <c r="AF55" s="188"/>
      <c r="AG55" s="188"/>
      <c r="AH55" s="188"/>
      <c r="AI55" s="188"/>
      <c r="AJ55" s="188"/>
      <c r="AK55" s="188"/>
      <c r="AL55" s="188"/>
      <c r="AM55" s="188"/>
      <c r="AN55" s="188"/>
      <c r="AO55" s="188"/>
      <c r="AP55" s="188"/>
      <c r="AQ55" s="188"/>
      <c r="AR55" s="188"/>
      <c r="AS55" s="188"/>
      <c r="AT55" s="188"/>
      <c r="AU55" s="188"/>
      <c r="AV55" s="188"/>
      <c r="AW55" s="188"/>
      <c r="AX55" s="188"/>
      <c r="AY55" s="188"/>
      <c r="AZ55" s="188"/>
      <c r="BA55" s="188"/>
      <c r="BB55" s="188"/>
      <c r="BC55" s="188"/>
      <c r="BD55" s="188"/>
      <c r="BE55" s="188"/>
      <c r="BF55" s="188"/>
      <c r="BG55" s="188"/>
      <c r="BH55" s="188"/>
      <c r="BI55" s="188"/>
      <c r="BJ55" s="188"/>
      <c r="BK55" s="188"/>
      <c r="BL55" s="188"/>
      <c r="BM55" s="188"/>
      <c r="BN55" s="188"/>
      <c r="BQ55"/>
      <c r="BR55"/>
      <c r="BS55"/>
      <c r="BT55"/>
      <c r="BU55"/>
      <c r="BV55"/>
      <c r="BW55"/>
    </row>
    <row r="56" spans="1:75" s="183" customFormat="1" ht="15" customHeight="1" x14ac:dyDescent="0.25">
      <c r="A56" s="188"/>
      <c r="B56" s="188"/>
      <c r="C56" s="4971"/>
      <c r="D56" s="700"/>
      <c r="E56" s="188"/>
      <c r="F56" s="188"/>
      <c r="G56" s="188"/>
      <c r="H56" s="188"/>
      <c r="I56" s="188"/>
      <c r="J56" s="188"/>
      <c r="K56" s="188"/>
      <c r="L56" s="188"/>
      <c r="M56" s="188"/>
      <c r="N56" s="188"/>
      <c r="O56" s="188"/>
      <c r="P56" s="188"/>
      <c r="Q56" s="188"/>
      <c r="R56" s="188"/>
      <c r="S56" s="188"/>
      <c r="T56" s="188"/>
      <c r="U56" s="188"/>
      <c r="V56" s="188"/>
      <c r="W56" s="188"/>
      <c r="X56" s="188"/>
      <c r="Y56" s="188"/>
      <c r="Z56" s="188"/>
      <c r="AA56" s="188"/>
      <c r="AB56" s="188"/>
      <c r="AC56" s="188"/>
      <c r="AD56" s="188"/>
      <c r="AE56" s="188"/>
      <c r="AF56" s="188"/>
      <c r="AG56" s="188"/>
      <c r="AH56" s="188"/>
      <c r="AI56" s="188"/>
      <c r="AJ56" s="188"/>
      <c r="AK56" s="188"/>
      <c r="AL56" s="188"/>
      <c r="AM56" s="188"/>
      <c r="AN56" s="188"/>
      <c r="AO56" s="188"/>
      <c r="AP56" s="188"/>
      <c r="AQ56" s="188"/>
      <c r="AR56" s="188"/>
      <c r="AS56" s="188"/>
      <c r="AT56" s="188"/>
      <c r="AU56" s="188"/>
      <c r="AV56" s="188"/>
      <c r="AW56" s="188"/>
      <c r="AX56" s="188"/>
      <c r="AY56" s="188"/>
      <c r="AZ56" s="188"/>
      <c r="BA56" s="188"/>
      <c r="BB56" s="188"/>
      <c r="BC56" s="188"/>
      <c r="BD56" s="188"/>
      <c r="BE56" s="188"/>
      <c r="BF56" s="188"/>
      <c r="BG56" s="188"/>
      <c r="BH56" s="188"/>
      <c r="BI56" s="188"/>
      <c r="BJ56" s="188"/>
      <c r="BK56" s="188"/>
      <c r="BL56" s="188"/>
      <c r="BM56" s="188"/>
      <c r="BN56" s="188"/>
      <c r="BQ56"/>
      <c r="BR56"/>
      <c r="BS56"/>
      <c r="BT56"/>
      <c r="BU56"/>
      <c r="BV56"/>
      <c r="BW56"/>
    </row>
    <row r="57" spans="1:75" s="183" customFormat="1" ht="15" customHeight="1" x14ac:dyDescent="0.25">
      <c r="A57" s="188"/>
      <c r="B57" s="188"/>
      <c r="C57" s="4971"/>
      <c r="D57" s="700"/>
      <c r="E57" s="188"/>
      <c r="F57" s="188"/>
      <c r="G57" s="188"/>
      <c r="H57" s="188"/>
      <c r="I57" s="188"/>
      <c r="J57" s="188"/>
      <c r="K57" s="188"/>
      <c r="L57" s="188"/>
      <c r="M57" s="188"/>
      <c r="N57" s="188"/>
      <c r="O57" s="188"/>
      <c r="P57" s="188"/>
      <c r="Q57" s="188"/>
      <c r="R57" s="188"/>
      <c r="S57" s="188"/>
      <c r="T57" s="188"/>
      <c r="U57" s="188"/>
      <c r="V57" s="188"/>
      <c r="W57" s="188"/>
      <c r="X57" s="188"/>
      <c r="Y57" s="188"/>
      <c r="Z57" s="188"/>
      <c r="AA57" s="188"/>
      <c r="AB57" s="188"/>
      <c r="AC57" s="188"/>
      <c r="AD57" s="188"/>
      <c r="AE57" s="188"/>
      <c r="AF57" s="188"/>
      <c r="AG57" s="188"/>
      <c r="AH57" s="188"/>
      <c r="AI57" s="188"/>
      <c r="AJ57" s="188"/>
      <c r="AK57" s="188"/>
      <c r="AL57" s="188"/>
      <c r="AM57" s="188"/>
      <c r="AN57" s="188"/>
      <c r="AO57" s="188"/>
      <c r="AP57" s="188"/>
      <c r="AQ57" s="188"/>
      <c r="AR57" s="188"/>
      <c r="AS57" s="188"/>
      <c r="AT57" s="188"/>
      <c r="AU57" s="188"/>
      <c r="AV57" s="188"/>
      <c r="AW57" s="188"/>
      <c r="AX57" s="188"/>
      <c r="AY57" s="188"/>
      <c r="AZ57" s="188"/>
      <c r="BA57" s="188"/>
      <c r="BB57" s="188"/>
      <c r="BC57" s="188"/>
      <c r="BD57" s="188"/>
      <c r="BE57" s="188"/>
      <c r="BF57" s="188"/>
      <c r="BG57" s="188"/>
      <c r="BH57" s="188"/>
      <c r="BI57" s="188"/>
      <c r="BJ57" s="188"/>
      <c r="BK57" s="188"/>
      <c r="BL57" s="188"/>
      <c r="BM57" s="188"/>
      <c r="BN57" s="188"/>
      <c r="BQ57"/>
      <c r="BR57"/>
      <c r="BS57"/>
      <c r="BT57"/>
      <c r="BU57"/>
      <c r="BV57"/>
      <c r="BW57"/>
    </row>
    <row r="58" spans="1:75" s="183" customFormat="1" ht="15" customHeight="1" x14ac:dyDescent="0.25">
      <c r="A58" s="188"/>
      <c r="B58" s="188"/>
      <c r="C58" s="4971"/>
      <c r="D58" s="700"/>
      <c r="E58" s="188"/>
      <c r="F58" s="188"/>
      <c r="G58" s="188"/>
      <c r="H58" s="188"/>
      <c r="I58" s="188"/>
      <c r="J58" s="188"/>
      <c r="K58" s="188"/>
      <c r="L58" s="188"/>
      <c r="M58" s="188"/>
      <c r="N58" s="188"/>
      <c r="O58" s="188"/>
      <c r="P58" s="188"/>
      <c r="Q58" s="188"/>
      <c r="R58" s="188"/>
      <c r="S58" s="188"/>
      <c r="T58" s="188"/>
      <c r="U58" s="188"/>
      <c r="V58" s="188"/>
      <c r="W58" s="188"/>
      <c r="X58" s="188"/>
      <c r="Y58" s="188"/>
      <c r="Z58" s="188"/>
      <c r="AA58" s="188"/>
      <c r="AB58" s="188"/>
      <c r="AC58" s="188"/>
      <c r="AD58" s="188"/>
      <c r="AE58" s="188"/>
      <c r="AF58" s="188"/>
      <c r="AG58" s="188"/>
      <c r="AH58" s="188"/>
      <c r="AI58" s="188"/>
      <c r="AJ58" s="188"/>
      <c r="AK58" s="188"/>
      <c r="AL58" s="188"/>
      <c r="AM58" s="188"/>
      <c r="AN58" s="188"/>
      <c r="AO58" s="188"/>
      <c r="AP58" s="188"/>
      <c r="AQ58" s="188"/>
      <c r="AR58" s="188"/>
      <c r="AS58" s="188"/>
      <c r="AT58" s="188"/>
      <c r="AU58" s="188"/>
      <c r="AV58" s="188"/>
      <c r="AW58" s="188"/>
      <c r="AX58" s="188"/>
      <c r="AY58" s="188"/>
      <c r="AZ58" s="188"/>
      <c r="BA58" s="188"/>
      <c r="BB58" s="188"/>
      <c r="BC58" s="188"/>
      <c r="BD58" s="188"/>
      <c r="BE58" s="188"/>
      <c r="BF58" s="188"/>
      <c r="BG58" s="188"/>
      <c r="BH58" s="188"/>
      <c r="BI58" s="188"/>
      <c r="BJ58" s="188"/>
      <c r="BK58" s="188"/>
      <c r="BL58" s="188"/>
      <c r="BM58" s="188"/>
      <c r="BN58" s="188"/>
      <c r="BQ58"/>
      <c r="BR58"/>
      <c r="BS58"/>
      <c r="BT58"/>
      <c r="BU58"/>
      <c r="BV58"/>
      <c r="BW58"/>
    </row>
    <row r="59" spans="1:75" s="183" customFormat="1" ht="15" customHeight="1" x14ac:dyDescent="0.25">
      <c r="A59" s="188"/>
      <c r="B59" s="188"/>
      <c r="C59" s="4971"/>
      <c r="D59" s="700"/>
      <c r="E59" s="188"/>
      <c r="F59" s="188"/>
      <c r="G59" s="188"/>
      <c r="H59" s="188"/>
      <c r="I59" s="188"/>
      <c r="J59" s="188"/>
      <c r="K59" s="188"/>
      <c r="L59" s="188"/>
      <c r="M59" s="188"/>
      <c r="N59" s="188"/>
      <c r="O59" s="188"/>
      <c r="P59" s="188"/>
      <c r="Q59" s="188"/>
      <c r="R59" s="188"/>
      <c r="S59" s="188"/>
      <c r="T59" s="188"/>
      <c r="U59" s="188"/>
      <c r="V59" s="188"/>
      <c r="W59" s="188"/>
      <c r="X59" s="188"/>
      <c r="Y59" s="188"/>
      <c r="Z59" s="188"/>
      <c r="AA59" s="188"/>
      <c r="AB59" s="188"/>
      <c r="AC59" s="188"/>
      <c r="AD59" s="188"/>
      <c r="AE59" s="188"/>
      <c r="AF59" s="188"/>
      <c r="AG59" s="188"/>
      <c r="AH59" s="188"/>
      <c r="AI59" s="188"/>
      <c r="AJ59" s="188"/>
      <c r="AK59" s="188"/>
      <c r="AL59" s="188"/>
      <c r="AM59" s="188"/>
      <c r="AN59" s="188"/>
      <c r="AO59" s="188"/>
      <c r="AP59" s="188"/>
      <c r="AQ59" s="188"/>
      <c r="AR59" s="188"/>
      <c r="AS59" s="188"/>
      <c r="AT59" s="188"/>
      <c r="AU59" s="188"/>
      <c r="AV59" s="188"/>
      <c r="AW59" s="188"/>
      <c r="AX59" s="188"/>
      <c r="AY59" s="188"/>
      <c r="AZ59" s="188"/>
      <c r="BA59" s="188"/>
      <c r="BB59" s="188"/>
      <c r="BC59" s="188"/>
      <c r="BD59" s="188"/>
      <c r="BE59" s="188"/>
      <c r="BF59" s="188"/>
      <c r="BG59" s="188"/>
      <c r="BH59" s="188"/>
      <c r="BI59" s="188"/>
      <c r="BJ59" s="188"/>
      <c r="BK59" s="188"/>
      <c r="BL59" s="188"/>
      <c r="BM59" s="188"/>
      <c r="BN59" s="188"/>
      <c r="BQ59"/>
      <c r="BR59"/>
      <c r="BS59"/>
      <c r="BT59"/>
      <c r="BU59"/>
      <c r="BV59"/>
      <c r="BW59"/>
    </row>
    <row r="60" spans="1:75" s="183" customFormat="1" ht="15" customHeight="1" x14ac:dyDescent="0.25">
      <c r="A60" s="188"/>
      <c r="B60" s="188"/>
      <c r="C60" s="4971"/>
      <c r="D60" s="700"/>
      <c r="E60" s="188"/>
      <c r="F60" s="188"/>
      <c r="G60" s="188"/>
      <c r="H60" s="188"/>
      <c r="I60" s="188"/>
      <c r="J60" s="188"/>
      <c r="K60" s="188"/>
      <c r="L60" s="188"/>
      <c r="M60" s="188"/>
      <c r="N60" s="188"/>
      <c r="O60" s="188"/>
      <c r="P60" s="188"/>
      <c r="Q60" s="188"/>
      <c r="R60" s="188"/>
      <c r="S60" s="188"/>
      <c r="T60" s="188"/>
      <c r="U60" s="188"/>
      <c r="V60" s="188"/>
      <c r="W60" s="188"/>
      <c r="X60" s="188"/>
      <c r="Y60" s="188"/>
      <c r="Z60" s="188"/>
      <c r="AA60" s="188"/>
      <c r="AB60" s="188"/>
      <c r="AC60" s="188"/>
      <c r="AD60" s="188"/>
      <c r="AE60" s="188"/>
      <c r="AF60" s="188"/>
      <c r="AG60" s="188"/>
      <c r="AH60" s="188"/>
      <c r="AI60" s="188"/>
      <c r="AJ60" s="188"/>
      <c r="AK60" s="188"/>
      <c r="AL60" s="188"/>
      <c r="AM60" s="188"/>
      <c r="AN60" s="188"/>
      <c r="AO60" s="188"/>
      <c r="AP60" s="188"/>
      <c r="AQ60" s="188"/>
      <c r="AR60" s="188"/>
      <c r="AS60" s="188"/>
      <c r="AT60" s="188"/>
      <c r="AU60" s="188"/>
      <c r="AV60" s="188"/>
      <c r="AW60" s="188"/>
      <c r="AX60" s="188"/>
      <c r="AY60" s="188"/>
      <c r="AZ60" s="188"/>
      <c r="BA60" s="188"/>
      <c r="BB60" s="188"/>
      <c r="BC60" s="188"/>
      <c r="BD60" s="188"/>
      <c r="BE60" s="188"/>
      <c r="BF60" s="188"/>
      <c r="BG60" s="188"/>
      <c r="BH60" s="188"/>
      <c r="BI60" s="188"/>
      <c r="BJ60" s="188"/>
      <c r="BK60" s="188"/>
      <c r="BL60" s="188"/>
      <c r="BM60" s="188"/>
      <c r="BN60" s="188"/>
      <c r="BQ60"/>
      <c r="BR60"/>
      <c r="BS60"/>
      <c r="BT60"/>
      <c r="BU60"/>
      <c r="BV60"/>
      <c r="BW60"/>
    </row>
    <row r="61" spans="1:75" s="183" customFormat="1" ht="15" customHeight="1" x14ac:dyDescent="0.25">
      <c r="A61" s="188"/>
      <c r="B61" s="188"/>
      <c r="C61" s="4971"/>
      <c r="D61" s="700"/>
      <c r="E61" s="188"/>
      <c r="F61" s="188"/>
      <c r="G61" s="188"/>
      <c r="H61" s="188"/>
      <c r="I61" s="188"/>
      <c r="J61" s="188"/>
      <c r="K61" s="188"/>
      <c r="L61" s="188"/>
      <c r="M61" s="188"/>
      <c r="N61" s="188"/>
      <c r="O61" s="188"/>
      <c r="P61" s="188"/>
      <c r="Q61" s="188"/>
      <c r="R61" s="188"/>
      <c r="S61" s="188"/>
      <c r="T61" s="188"/>
      <c r="U61" s="188"/>
      <c r="V61" s="188"/>
      <c r="W61" s="188"/>
      <c r="X61" s="188"/>
      <c r="Y61" s="188"/>
      <c r="Z61" s="188"/>
      <c r="AA61" s="188"/>
      <c r="AB61" s="188"/>
      <c r="AC61" s="188"/>
      <c r="AD61" s="188"/>
      <c r="AE61" s="188"/>
      <c r="AF61" s="188"/>
      <c r="AG61" s="188"/>
      <c r="AH61" s="188"/>
      <c r="AI61" s="188"/>
      <c r="AJ61" s="188"/>
      <c r="AK61" s="188"/>
      <c r="AL61" s="188"/>
      <c r="AM61" s="188"/>
      <c r="AN61" s="188"/>
      <c r="AO61" s="188"/>
      <c r="AP61" s="188"/>
      <c r="AQ61" s="188"/>
      <c r="AR61" s="188"/>
      <c r="AS61" s="188"/>
      <c r="AT61" s="188"/>
      <c r="AU61" s="188"/>
      <c r="AV61" s="188"/>
      <c r="AW61" s="188"/>
      <c r="AX61" s="188"/>
      <c r="AY61" s="188"/>
      <c r="AZ61" s="188"/>
      <c r="BA61" s="188"/>
      <c r="BB61" s="188"/>
      <c r="BC61" s="188"/>
      <c r="BD61" s="188"/>
      <c r="BE61" s="188"/>
      <c r="BF61" s="188"/>
      <c r="BG61" s="188"/>
      <c r="BH61" s="188"/>
      <c r="BI61" s="188"/>
      <c r="BJ61" s="188"/>
      <c r="BK61" s="188"/>
      <c r="BL61" s="188"/>
      <c r="BM61" s="188"/>
      <c r="BN61" s="188"/>
      <c r="BQ61"/>
      <c r="BR61"/>
      <c r="BS61"/>
      <c r="BT61"/>
      <c r="BU61"/>
      <c r="BV61"/>
      <c r="BW61"/>
    </row>
    <row r="62" spans="1:75" s="183" customFormat="1" ht="15" customHeight="1" x14ac:dyDescent="0.25">
      <c r="A62" s="188"/>
      <c r="B62" s="188"/>
      <c r="C62" s="4971"/>
      <c r="D62" s="700"/>
      <c r="E62" s="188"/>
      <c r="F62" s="188"/>
      <c r="G62" s="188"/>
      <c r="H62" s="188"/>
      <c r="I62" s="188"/>
      <c r="J62" s="188"/>
      <c r="K62" s="188"/>
      <c r="L62" s="188"/>
      <c r="M62" s="188"/>
      <c r="N62" s="188"/>
      <c r="O62" s="188"/>
      <c r="P62" s="188"/>
      <c r="Q62" s="188"/>
      <c r="R62" s="188"/>
      <c r="S62" s="188"/>
      <c r="T62" s="188"/>
      <c r="U62" s="188"/>
      <c r="V62" s="188"/>
      <c r="W62" s="188"/>
      <c r="X62" s="188"/>
      <c r="Y62" s="188"/>
      <c r="Z62" s="188"/>
      <c r="AA62" s="188"/>
      <c r="AB62" s="188"/>
      <c r="AC62" s="188"/>
      <c r="AD62" s="188"/>
      <c r="AE62" s="188"/>
      <c r="AF62" s="188"/>
      <c r="AG62" s="188"/>
      <c r="AH62" s="188"/>
      <c r="AI62" s="188"/>
      <c r="AJ62" s="188"/>
      <c r="AK62" s="188"/>
      <c r="AL62" s="188"/>
      <c r="AM62" s="188"/>
      <c r="AN62" s="188"/>
      <c r="AO62" s="188"/>
      <c r="AP62" s="188"/>
      <c r="AQ62" s="188"/>
      <c r="AR62" s="188"/>
      <c r="AS62" s="188"/>
      <c r="AT62" s="188"/>
      <c r="AU62" s="188"/>
      <c r="AV62" s="188"/>
      <c r="AW62" s="188"/>
      <c r="AX62" s="188"/>
      <c r="AY62" s="188"/>
      <c r="AZ62" s="188"/>
      <c r="BA62" s="188"/>
      <c r="BB62" s="188"/>
      <c r="BC62" s="188"/>
      <c r="BD62" s="188"/>
      <c r="BE62" s="188"/>
      <c r="BF62" s="188"/>
      <c r="BG62" s="188"/>
      <c r="BH62" s="188"/>
      <c r="BI62" s="188"/>
      <c r="BJ62" s="188"/>
      <c r="BK62" s="188"/>
      <c r="BL62" s="188"/>
      <c r="BM62" s="188"/>
      <c r="BN62" s="188"/>
      <c r="BQ62"/>
      <c r="BR62"/>
      <c r="BS62"/>
      <c r="BT62"/>
      <c r="BU62"/>
      <c r="BV62"/>
      <c r="BW62"/>
    </row>
    <row r="63" spans="1:75" s="183" customFormat="1" ht="15" customHeight="1" x14ac:dyDescent="0.25">
      <c r="A63" s="188"/>
      <c r="B63" s="188"/>
      <c r="C63" s="4971"/>
      <c r="D63" s="700"/>
      <c r="E63" s="188"/>
      <c r="F63" s="188"/>
      <c r="G63" s="188"/>
      <c r="H63" s="188"/>
      <c r="I63" s="188"/>
      <c r="J63" s="188"/>
      <c r="K63" s="188"/>
      <c r="L63" s="188">
        <f>92*17.2</f>
        <v>1582.3999999999999</v>
      </c>
      <c r="M63" s="188"/>
      <c r="N63" s="188"/>
      <c r="O63" s="188"/>
      <c r="P63" s="188"/>
      <c r="Q63" s="188"/>
      <c r="R63" s="188"/>
      <c r="S63" s="188"/>
      <c r="T63" s="188"/>
      <c r="U63" s="188"/>
      <c r="V63" s="188"/>
      <c r="W63" s="188"/>
      <c r="X63" s="188"/>
      <c r="Y63" s="188"/>
      <c r="Z63" s="188"/>
      <c r="AA63" s="188"/>
      <c r="AB63" s="188"/>
      <c r="AC63" s="188"/>
      <c r="AD63" s="188"/>
      <c r="AE63" s="188"/>
      <c r="AF63" s="188"/>
      <c r="AG63" s="188"/>
      <c r="AH63" s="188"/>
      <c r="AI63" s="188"/>
      <c r="AJ63" s="188"/>
      <c r="AK63" s="188"/>
      <c r="AL63" s="188"/>
      <c r="AM63" s="188"/>
      <c r="AN63" s="188"/>
      <c r="AO63" s="188"/>
      <c r="AP63" s="188"/>
      <c r="AQ63" s="188"/>
      <c r="AR63" s="188"/>
      <c r="AS63" s="188"/>
      <c r="AT63" s="188"/>
      <c r="AU63" s="188"/>
      <c r="AV63" s="188"/>
      <c r="AW63" s="188"/>
      <c r="AX63" s="188"/>
      <c r="AY63" s="188"/>
      <c r="AZ63" s="188"/>
      <c r="BA63" s="188"/>
      <c r="BB63" s="188"/>
      <c r="BC63" s="188"/>
      <c r="BD63" s="188"/>
      <c r="BE63" s="188"/>
      <c r="BF63" s="188"/>
      <c r="BG63" s="188"/>
      <c r="BH63" s="188"/>
      <c r="BI63" s="188"/>
      <c r="BJ63" s="188"/>
      <c r="BK63" s="188"/>
      <c r="BL63" s="188"/>
      <c r="BM63" s="188"/>
      <c r="BN63" s="188"/>
      <c r="BQ63"/>
      <c r="BR63"/>
      <c r="BS63"/>
      <c r="BT63"/>
      <c r="BU63"/>
      <c r="BV63"/>
      <c r="BW63"/>
    </row>
    <row r="64" spans="1:75" s="183" customFormat="1" ht="15" customHeight="1" x14ac:dyDescent="0.25">
      <c r="A64" s="188"/>
      <c r="B64" s="188"/>
      <c r="C64" s="4971"/>
      <c r="D64" s="700"/>
      <c r="E64" s="188"/>
      <c r="F64" s="188"/>
      <c r="G64" s="188"/>
      <c r="H64" s="188"/>
      <c r="I64" s="188"/>
      <c r="J64" s="188"/>
      <c r="K64" s="188"/>
      <c r="L64" s="188">
        <f>95*31.55</f>
        <v>2997.25</v>
      </c>
      <c r="M64" s="188"/>
      <c r="N64" s="188"/>
      <c r="O64" s="188"/>
      <c r="P64" s="188"/>
      <c r="Q64" s="188"/>
      <c r="R64" s="188"/>
      <c r="S64" s="188"/>
      <c r="T64" s="188"/>
      <c r="U64" s="188"/>
      <c r="V64" s="188"/>
      <c r="W64" s="188"/>
      <c r="X64" s="188"/>
      <c r="Y64" s="188"/>
      <c r="Z64" s="188"/>
      <c r="AA64" s="188"/>
      <c r="AB64" s="188"/>
      <c r="AC64" s="188"/>
      <c r="AD64" s="188"/>
      <c r="AE64" s="188"/>
      <c r="AF64" s="188"/>
      <c r="AG64" s="188"/>
      <c r="AH64" s="188"/>
      <c r="AI64" s="188"/>
      <c r="AJ64" s="188"/>
      <c r="AK64" s="188"/>
      <c r="AL64" s="188"/>
      <c r="AM64" s="188"/>
      <c r="AN64" s="188"/>
      <c r="AO64" s="188"/>
      <c r="AP64" s="188"/>
      <c r="AQ64" s="188"/>
      <c r="AR64" s="188"/>
      <c r="AS64" s="188"/>
      <c r="AT64" s="188"/>
      <c r="AU64" s="188"/>
      <c r="AV64" s="188"/>
      <c r="AW64" s="188"/>
      <c r="AX64" s="188"/>
      <c r="AY64" s="188"/>
      <c r="AZ64" s="188"/>
      <c r="BA64" s="188"/>
      <c r="BB64" s="188"/>
      <c r="BC64" s="188"/>
      <c r="BD64" s="188"/>
      <c r="BE64" s="188"/>
      <c r="BF64" s="188"/>
      <c r="BG64" s="188"/>
      <c r="BH64" s="188"/>
      <c r="BI64" s="188"/>
      <c r="BJ64" s="188"/>
      <c r="BK64" s="188"/>
      <c r="BL64" s="188"/>
      <c r="BM64" s="188"/>
      <c r="BN64" s="188"/>
      <c r="BQ64"/>
      <c r="BR64"/>
      <c r="BS64"/>
      <c r="BT64"/>
      <c r="BU64"/>
      <c r="BV64"/>
      <c r="BW64"/>
    </row>
    <row r="65" spans="1:75" s="183" customFormat="1" ht="15" customHeight="1" x14ac:dyDescent="0.25">
      <c r="A65" s="188"/>
      <c r="B65" s="188"/>
      <c r="C65" s="4971"/>
      <c r="D65" s="700"/>
      <c r="E65" s="188"/>
      <c r="F65" s="188"/>
      <c r="G65" s="188"/>
      <c r="H65" s="188"/>
      <c r="I65" s="188"/>
      <c r="J65" s="188"/>
      <c r="K65" s="188"/>
      <c r="L65" s="188">
        <f>L63+L64</f>
        <v>4579.6499999999996</v>
      </c>
      <c r="M65" s="188"/>
      <c r="N65" s="188"/>
      <c r="O65" s="188"/>
      <c r="P65" s="188"/>
      <c r="Q65" s="188"/>
      <c r="R65" s="188"/>
      <c r="S65" s="188"/>
      <c r="T65" s="188"/>
      <c r="U65" s="188"/>
      <c r="V65" s="188"/>
      <c r="W65" s="188"/>
      <c r="X65" s="188"/>
      <c r="Y65" s="188"/>
      <c r="Z65" s="188"/>
      <c r="AA65" s="188"/>
      <c r="AB65" s="188"/>
      <c r="AC65" s="188"/>
      <c r="AD65" s="188"/>
      <c r="AE65" s="188"/>
      <c r="AF65" s="188"/>
      <c r="AG65" s="188"/>
      <c r="AH65" s="188"/>
      <c r="AI65" s="188"/>
      <c r="AJ65" s="188"/>
      <c r="AK65" s="188"/>
      <c r="AL65" s="188"/>
      <c r="AM65" s="188"/>
      <c r="AN65" s="188"/>
      <c r="AO65" s="188"/>
      <c r="AP65" s="188"/>
      <c r="AQ65" s="188"/>
      <c r="AR65" s="188"/>
      <c r="AS65" s="188"/>
      <c r="AT65" s="188"/>
      <c r="AU65" s="188"/>
      <c r="AV65" s="188"/>
      <c r="AW65" s="188"/>
      <c r="AX65" s="188"/>
      <c r="AY65" s="188"/>
      <c r="AZ65" s="188"/>
      <c r="BA65" s="188"/>
      <c r="BB65" s="188"/>
      <c r="BC65" s="188"/>
      <c r="BD65" s="188"/>
      <c r="BE65" s="188"/>
      <c r="BF65" s="188"/>
      <c r="BG65" s="188"/>
      <c r="BH65" s="188"/>
      <c r="BI65" s="188"/>
      <c r="BJ65" s="188"/>
      <c r="BK65" s="188"/>
      <c r="BL65" s="188"/>
      <c r="BM65" s="188"/>
      <c r="BN65" s="188"/>
      <c r="BQ65"/>
      <c r="BR65"/>
      <c r="BS65"/>
      <c r="BT65"/>
      <c r="BU65"/>
      <c r="BV65"/>
      <c r="BW65"/>
    </row>
    <row r="66" spans="1:75" s="183" customFormat="1" ht="15" customHeight="1" x14ac:dyDescent="0.25">
      <c r="A66" s="188"/>
      <c r="B66" s="188"/>
      <c r="C66" s="4971"/>
      <c r="D66" s="700"/>
      <c r="E66" s="188"/>
      <c r="F66" s="188"/>
      <c r="G66" s="188"/>
      <c r="H66" s="188"/>
      <c r="I66" s="188"/>
      <c r="J66" s="188"/>
      <c r="K66" s="188"/>
      <c r="L66" s="188">
        <f>L65/(17.2+31.55)</f>
        <v>93.941538461538457</v>
      </c>
      <c r="M66" s="188"/>
      <c r="N66" s="188"/>
      <c r="O66" s="188"/>
      <c r="P66" s="188"/>
      <c r="Q66" s="188"/>
      <c r="R66" s="188"/>
      <c r="S66" s="188"/>
      <c r="T66" s="188"/>
      <c r="U66" s="188"/>
      <c r="V66" s="188"/>
      <c r="W66" s="188"/>
      <c r="X66" s="188"/>
      <c r="Y66" s="188"/>
      <c r="Z66" s="188"/>
      <c r="AA66" s="188"/>
      <c r="AB66" s="188"/>
      <c r="AC66" s="188"/>
      <c r="AD66" s="188"/>
      <c r="AE66" s="188"/>
      <c r="AF66" s="188"/>
      <c r="AG66" s="188"/>
      <c r="AH66" s="188"/>
      <c r="AI66" s="188"/>
      <c r="AJ66" s="188"/>
      <c r="AK66" s="188"/>
      <c r="AL66" s="188"/>
      <c r="AM66" s="188"/>
      <c r="AN66" s="188"/>
      <c r="AO66" s="188"/>
      <c r="AP66" s="188"/>
      <c r="AQ66" s="188"/>
      <c r="AR66" s="188"/>
      <c r="AS66" s="188"/>
      <c r="AT66" s="188"/>
      <c r="AU66" s="188"/>
      <c r="AV66" s="188"/>
      <c r="AW66" s="188"/>
      <c r="AX66" s="188"/>
      <c r="AY66" s="188"/>
      <c r="AZ66" s="188"/>
      <c r="BA66" s="188"/>
      <c r="BB66" s="188"/>
      <c r="BC66" s="188"/>
      <c r="BD66" s="188"/>
      <c r="BE66" s="188"/>
      <c r="BF66" s="188"/>
      <c r="BG66" s="188"/>
      <c r="BH66" s="188"/>
      <c r="BI66" s="188"/>
      <c r="BJ66" s="188"/>
      <c r="BK66" s="188"/>
      <c r="BL66" s="188"/>
      <c r="BM66" s="188"/>
      <c r="BN66" s="188"/>
      <c r="BQ66"/>
      <c r="BR66"/>
      <c r="BS66"/>
      <c r="BT66"/>
      <c r="BU66"/>
      <c r="BV66"/>
      <c r="BW66"/>
    </row>
    <row r="67" spans="1:75" s="183" customFormat="1" ht="15" customHeight="1" x14ac:dyDescent="0.25">
      <c r="A67" s="188"/>
      <c r="B67" s="188"/>
      <c r="C67" s="4971"/>
      <c r="D67" s="700"/>
      <c r="E67" s="188"/>
      <c r="F67" s="188"/>
      <c r="G67" s="188"/>
      <c r="H67" s="188"/>
      <c r="I67" s="188"/>
      <c r="J67" s="188"/>
      <c r="K67" s="188"/>
      <c r="L67" s="188"/>
      <c r="M67" s="188"/>
      <c r="N67" s="188"/>
      <c r="O67" s="188"/>
      <c r="P67" s="188"/>
      <c r="Q67" s="188"/>
      <c r="R67" s="188"/>
      <c r="S67" s="188"/>
      <c r="T67" s="188"/>
      <c r="U67" s="188"/>
      <c r="V67" s="188"/>
      <c r="W67" s="188"/>
      <c r="X67" s="188"/>
      <c r="Y67" s="188"/>
      <c r="Z67" s="188"/>
      <c r="AA67" s="188"/>
      <c r="AB67" s="188"/>
      <c r="AC67" s="188"/>
      <c r="AD67" s="188"/>
      <c r="AE67" s="188"/>
      <c r="AF67" s="188"/>
      <c r="AG67" s="188"/>
      <c r="AH67" s="188"/>
      <c r="AI67" s="188"/>
      <c r="AJ67" s="188"/>
      <c r="AK67" s="188"/>
      <c r="AL67" s="188"/>
      <c r="AM67" s="188"/>
      <c r="AN67" s="188"/>
      <c r="AO67" s="188"/>
      <c r="AP67" s="188"/>
      <c r="AQ67" s="188"/>
      <c r="AR67" s="188"/>
      <c r="AS67" s="188"/>
      <c r="AT67" s="188"/>
      <c r="AU67" s="188"/>
      <c r="AV67" s="188"/>
      <c r="AW67" s="188"/>
      <c r="AX67" s="188"/>
      <c r="AY67" s="188"/>
      <c r="AZ67" s="188"/>
      <c r="BA67" s="188"/>
      <c r="BB67" s="188"/>
      <c r="BC67" s="188"/>
      <c r="BD67" s="188"/>
      <c r="BE67" s="188"/>
      <c r="BF67" s="188"/>
      <c r="BG67" s="188"/>
      <c r="BH67" s="188"/>
      <c r="BI67" s="188"/>
      <c r="BJ67" s="188"/>
      <c r="BK67" s="188"/>
      <c r="BL67" s="188"/>
      <c r="BM67" s="188"/>
      <c r="BN67" s="188"/>
      <c r="BQ67"/>
      <c r="BR67"/>
      <c r="BS67"/>
      <c r="BT67"/>
      <c r="BU67"/>
      <c r="BV67"/>
      <c r="BW67"/>
    </row>
    <row r="68" spans="1:75" s="183" customFormat="1" ht="15" customHeight="1" x14ac:dyDescent="0.25">
      <c r="A68" s="188"/>
      <c r="B68" s="188"/>
      <c r="C68" s="4971"/>
      <c r="D68" s="700"/>
      <c r="E68" s="188"/>
      <c r="F68" s="188"/>
      <c r="G68" s="188"/>
      <c r="H68" s="188"/>
      <c r="I68" s="188"/>
      <c r="J68" s="188"/>
      <c r="K68" s="188"/>
      <c r="L68" s="188"/>
      <c r="M68" s="188"/>
      <c r="N68" s="188"/>
      <c r="O68" s="188"/>
      <c r="P68" s="188"/>
      <c r="Q68" s="188"/>
      <c r="R68" s="188"/>
      <c r="S68" s="188"/>
      <c r="T68" s="188"/>
      <c r="U68" s="188"/>
      <c r="V68" s="188"/>
      <c r="W68" s="188"/>
      <c r="X68" s="188"/>
      <c r="Y68" s="188"/>
      <c r="Z68" s="188"/>
      <c r="AA68" s="188"/>
      <c r="AB68" s="188"/>
      <c r="AC68" s="188"/>
      <c r="AD68" s="188"/>
      <c r="AE68" s="188"/>
      <c r="AF68" s="188"/>
      <c r="AG68" s="188"/>
      <c r="AH68" s="188"/>
      <c r="AI68" s="188"/>
      <c r="AJ68" s="188"/>
      <c r="AK68" s="188"/>
      <c r="AL68" s="188"/>
      <c r="AM68" s="188"/>
      <c r="AN68" s="188"/>
      <c r="AO68" s="188"/>
      <c r="AP68" s="188"/>
      <c r="AQ68" s="188"/>
      <c r="AR68" s="188"/>
      <c r="AS68" s="188"/>
      <c r="AT68" s="188"/>
      <c r="AU68" s="188"/>
      <c r="AV68" s="188"/>
      <c r="AW68" s="188"/>
      <c r="AX68" s="188"/>
      <c r="AY68" s="188"/>
      <c r="AZ68" s="188"/>
      <c r="BA68" s="188"/>
      <c r="BB68" s="188"/>
      <c r="BC68" s="188"/>
      <c r="BD68" s="188"/>
      <c r="BE68" s="188"/>
      <c r="BF68" s="188"/>
      <c r="BG68" s="188"/>
      <c r="BH68" s="188"/>
      <c r="BI68" s="188"/>
      <c r="BJ68" s="188"/>
      <c r="BK68" s="188"/>
      <c r="BL68" s="188"/>
      <c r="BM68" s="188"/>
      <c r="BN68" s="188"/>
      <c r="BQ68"/>
      <c r="BR68"/>
      <c r="BS68"/>
      <c r="BT68"/>
      <c r="BU68"/>
      <c r="BV68"/>
      <c r="BW68"/>
    </row>
    <row r="69" spans="1:75" s="183" customFormat="1" ht="15" customHeight="1" x14ac:dyDescent="0.25">
      <c r="A69" s="188"/>
      <c r="B69" s="188"/>
      <c r="C69" s="4971"/>
      <c r="D69" s="700"/>
      <c r="E69" s="188"/>
      <c r="F69" s="188"/>
      <c r="G69" s="188"/>
      <c r="H69" s="188"/>
      <c r="I69" s="188"/>
      <c r="J69" s="188"/>
      <c r="K69" s="188"/>
      <c r="L69" s="188"/>
      <c r="M69" s="188"/>
      <c r="N69" s="188"/>
      <c r="O69" s="188"/>
      <c r="P69" s="188"/>
      <c r="Q69" s="188"/>
      <c r="R69" s="188"/>
      <c r="S69" s="188"/>
      <c r="T69" s="188"/>
      <c r="U69" s="188"/>
      <c r="V69" s="188"/>
      <c r="W69" s="188"/>
      <c r="X69" s="188"/>
      <c r="Y69" s="188"/>
      <c r="Z69" s="188"/>
      <c r="AA69" s="188"/>
      <c r="AB69" s="188"/>
      <c r="AC69" s="188"/>
      <c r="AD69" s="188"/>
      <c r="AE69" s="188"/>
      <c r="AF69" s="188"/>
      <c r="AG69" s="188"/>
      <c r="AH69" s="188"/>
      <c r="AI69" s="188"/>
      <c r="AJ69" s="188"/>
      <c r="AK69" s="188"/>
      <c r="AL69" s="188"/>
      <c r="AM69" s="188"/>
      <c r="AN69" s="188"/>
      <c r="AO69" s="188"/>
      <c r="AP69" s="188"/>
      <c r="AQ69" s="188"/>
      <c r="AR69" s="188"/>
      <c r="AS69" s="188"/>
      <c r="AT69" s="188"/>
      <c r="AU69" s="188"/>
      <c r="AV69" s="188"/>
      <c r="AW69" s="188"/>
      <c r="AX69" s="188"/>
      <c r="AY69" s="188"/>
      <c r="AZ69" s="188"/>
      <c r="BA69" s="188"/>
      <c r="BB69" s="188"/>
      <c r="BC69" s="188"/>
      <c r="BD69" s="188"/>
      <c r="BE69" s="188"/>
      <c r="BF69" s="188"/>
      <c r="BG69" s="188"/>
      <c r="BH69" s="188"/>
      <c r="BI69" s="188"/>
      <c r="BJ69" s="188"/>
      <c r="BK69" s="188"/>
      <c r="BL69" s="188"/>
      <c r="BM69" s="188"/>
      <c r="BN69" s="188"/>
      <c r="BQ69"/>
      <c r="BR69"/>
      <c r="BS69"/>
      <c r="BT69"/>
      <c r="BU69"/>
      <c r="BV69"/>
      <c r="BW69"/>
    </row>
    <row r="70" spans="1:75" s="183" customFormat="1" ht="15" customHeight="1" x14ac:dyDescent="0.25">
      <c r="A70" s="188"/>
      <c r="B70" s="188"/>
      <c r="C70" s="4971"/>
      <c r="D70" s="700"/>
      <c r="E70" s="188"/>
      <c r="F70" s="188"/>
      <c r="G70" s="188"/>
      <c r="H70" s="188"/>
      <c r="I70" s="188"/>
      <c r="J70" s="188"/>
      <c r="K70" s="188"/>
      <c r="L70" s="188"/>
      <c r="M70" s="188"/>
      <c r="N70" s="188"/>
      <c r="O70" s="188"/>
      <c r="P70" s="188"/>
      <c r="Q70" s="188"/>
      <c r="R70" s="188"/>
      <c r="S70" s="188"/>
      <c r="T70" s="188"/>
      <c r="U70" s="188"/>
      <c r="V70" s="188"/>
      <c r="W70" s="188"/>
      <c r="X70" s="188"/>
      <c r="Y70" s="188"/>
      <c r="Z70" s="188"/>
      <c r="AA70" s="188"/>
      <c r="AB70" s="188"/>
      <c r="AC70" s="188"/>
      <c r="AD70" s="188"/>
      <c r="AE70" s="188"/>
      <c r="AF70" s="188"/>
      <c r="AG70" s="188"/>
      <c r="AH70" s="188"/>
      <c r="AI70" s="188"/>
      <c r="AJ70" s="188"/>
      <c r="AK70" s="188"/>
      <c r="AL70" s="188"/>
      <c r="AM70" s="188"/>
      <c r="AN70" s="188"/>
      <c r="AO70" s="188"/>
      <c r="AP70" s="188"/>
      <c r="AQ70" s="188"/>
      <c r="AR70" s="188"/>
      <c r="AS70" s="188"/>
      <c r="AT70" s="188"/>
      <c r="AU70" s="188"/>
      <c r="AV70" s="188"/>
      <c r="AW70" s="188"/>
      <c r="AX70" s="188"/>
      <c r="AY70" s="188"/>
      <c r="AZ70" s="188"/>
      <c r="BA70" s="188"/>
      <c r="BB70" s="188"/>
      <c r="BC70" s="188"/>
      <c r="BD70" s="188"/>
      <c r="BE70" s="188"/>
      <c r="BF70" s="188"/>
      <c r="BG70" s="188"/>
      <c r="BH70" s="188"/>
      <c r="BI70" s="188"/>
      <c r="BJ70" s="188"/>
      <c r="BK70" s="188"/>
      <c r="BL70" s="188"/>
      <c r="BM70" s="188"/>
      <c r="BN70" s="188"/>
      <c r="BQ70"/>
      <c r="BR70"/>
      <c r="BS70"/>
      <c r="BT70"/>
      <c r="BU70"/>
      <c r="BV70"/>
      <c r="BW70"/>
    </row>
    <row r="71" spans="1:75" s="183" customFormat="1" ht="15" customHeight="1" x14ac:dyDescent="0.25">
      <c r="A71" s="188"/>
      <c r="B71" s="188"/>
      <c r="C71" s="4971"/>
      <c r="D71" s="700"/>
      <c r="E71" s="188"/>
      <c r="F71" s="188"/>
      <c r="G71" s="188"/>
      <c r="H71" s="188"/>
      <c r="I71" s="188"/>
      <c r="J71" s="188"/>
      <c r="K71" s="188"/>
      <c r="L71" s="188"/>
      <c r="M71" s="188"/>
      <c r="N71" s="188"/>
      <c r="O71" s="188"/>
      <c r="P71" s="188"/>
      <c r="Q71" s="188"/>
      <c r="R71" s="188"/>
      <c r="S71" s="188"/>
      <c r="T71" s="188"/>
      <c r="U71" s="188"/>
      <c r="V71" s="188"/>
      <c r="W71" s="188"/>
      <c r="X71" s="188"/>
      <c r="Y71" s="188"/>
      <c r="Z71" s="188"/>
      <c r="AA71" s="188"/>
      <c r="AB71" s="188"/>
      <c r="AC71" s="188"/>
      <c r="AD71" s="188"/>
      <c r="AE71" s="188"/>
      <c r="AF71" s="188"/>
      <c r="AG71" s="188"/>
      <c r="AH71" s="188"/>
      <c r="AI71" s="188"/>
      <c r="AJ71" s="188"/>
      <c r="AK71" s="188"/>
      <c r="AL71" s="188"/>
      <c r="AM71" s="188"/>
      <c r="AN71" s="188"/>
      <c r="AO71" s="188"/>
      <c r="AP71" s="188"/>
      <c r="AQ71" s="188"/>
      <c r="AR71" s="188"/>
      <c r="AS71" s="188"/>
      <c r="AT71" s="188"/>
      <c r="AU71" s="188"/>
      <c r="AV71" s="188"/>
      <c r="AW71" s="188"/>
      <c r="AX71" s="188"/>
      <c r="AY71" s="188"/>
      <c r="AZ71" s="188"/>
      <c r="BA71" s="188"/>
      <c r="BB71" s="188"/>
      <c r="BC71" s="188"/>
      <c r="BD71" s="188"/>
      <c r="BE71" s="188"/>
      <c r="BF71" s="188"/>
      <c r="BG71" s="188"/>
      <c r="BH71" s="188"/>
      <c r="BI71" s="188"/>
      <c r="BJ71" s="188"/>
      <c r="BK71" s="188"/>
      <c r="BL71" s="188"/>
      <c r="BM71" s="188"/>
      <c r="BN71" s="188"/>
      <c r="BQ71"/>
      <c r="BR71"/>
      <c r="BS71"/>
      <c r="BT71"/>
      <c r="BU71"/>
      <c r="BV71"/>
      <c r="BW71"/>
    </row>
    <row r="72" spans="1:75" s="183" customFormat="1" ht="15" customHeight="1" x14ac:dyDescent="0.25">
      <c r="A72" s="188"/>
      <c r="B72" s="188"/>
      <c r="C72" s="4971"/>
      <c r="D72" s="700"/>
      <c r="E72" s="188"/>
      <c r="F72" s="188"/>
      <c r="G72" s="188"/>
      <c r="H72" s="188"/>
      <c r="I72" s="188"/>
      <c r="J72" s="188"/>
      <c r="K72" s="188"/>
      <c r="L72" s="188"/>
      <c r="M72" s="188"/>
      <c r="N72" s="188"/>
      <c r="O72" s="188"/>
      <c r="P72" s="188"/>
      <c r="Q72" s="188"/>
      <c r="R72" s="188"/>
      <c r="S72" s="188"/>
      <c r="T72" s="188"/>
      <c r="U72" s="188"/>
      <c r="V72" s="188"/>
      <c r="W72" s="188"/>
      <c r="X72" s="188"/>
      <c r="Y72" s="188"/>
      <c r="Z72" s="188"/>
      <c r="AA72" s="188"/>
      <c r="AB72" s="188"/>
      <c r="AC72" s="188"/>
      <c r="AD72" s="188"/>
      <c r="AE72" s="188"/>
      <c r="AF72" s="188"/>
      <c r="AG72" s="188"/>
      <c r="AH72" s="188"/>
      <c r="AI72" s="188"/>
      <c r="AJ72" s="188"/>
      <c r="AK72" s="188"/>
      <c r="AL72" s="188"/>
      <c r="AM72" s="188"/>
      <c r="AN72" s="188"/>
      <c r="AO72" s="188"/>
      <c r="AP72" s="188"/>
      <c r="AQ72" s="188"/>
      <c r="AR72" s="188"/>
      <c r="AS72" s="188"/>
      <c r="AT72" s="188"/>
      <c r="AU72" s="188"/>
      <c r="AV72" s="188"/>
      <c r="AW72" s="188"/>
      <c r="AX72" s="188"/>
      <c r="AY72" s="188"/>
      <c r="AZ72" s="188"/>
      <c r="BA72" s="188"/>
      <c r="BB72" s="188"/>
      <c r="BC72" s="188"/>
      <c r="BD72" s="188"/>
      <c r="BE72" s="188"/>
      <c r="BF72" s="188"/>
      <c r="BG72" s="188"/>
      <c r="BH72" s="188"/>
      <c r="BI72" s="188"/>
      <c r="BJ72" s="188"/>
      <c r="BK72" s="188"/>
      <c r="BL72" s="188"/>
      <c r="BM72" s="188"/>
      <c r="BN72" s="188"/>
      <c r="BQ72"/>
      <c r="BR72"/>
      <c r="BS72"/>
      <c r="BT72"/>
      <c r="BU72"/>
      <c r="BV72"/>
      <c r="BW72"/>
    </row>
    <row r="73" spans="1:75" s="183" customFormat="1" x14ac:dyDescent="0.25">
      <c r="A73" s="188"/>
      <c r="B73" s="188"/>
      <c r="C73" s="4971"/>
      <c r="D73" s="700"/>
      <c r="E73" s="188"/>
      <c r="F73" s="188"/>
      <c r="G73" s="188"/>
      <c r="H73" s="188"/>
      <c r="I73" s="188"/>
      <c r="J73" s="188"/>
      <c r="K73" s="188"/>
      <c r="L73" s="188"/>
      <c r="M73" s="188"/>
      <c r="N73" s="188"/>
      <c r="O73" s="188"/>
      <c r="P73" s="188"/>
      <c r="Q73" s="188"/>
      <c r="R73" s="188"/>
      <c r="S73" s="188"/>
      <c r="T73" s="188"/>
      <c r="U73" s="188"/>
      <c r="V73" s="188"/>
      <c r="W73" s="188"/>
      <c r="X73" s="188"/>
      <c r="Y73" s="188"/>
      <c r="Z73" s="188"/>
      <c r="AA73" s="188"/>
      <c r="AB73" s="188"/>
      <c r="AC73" s="188"/>
      <c r="AD73" s="188"/>
      <c r="AE73" s="188"/>
      <c r="AF73" s="188"/>
      <c r="AG73" s="188"/>
      <c r="AH73" s="188"/>
      <c r="AI73" s="188"/>
      <c r="AJ73" s="188"/>
      <c r="AK73" s="188"/>
      <c r="AL73" s="188"/>
      <c r="AM73" s="188"/>
      <c r="AN73" s="188"/>
      <c r="AO73" s="188"/>
      <c r="AP73" s="188"/>
      <c r="AQ73" s="188"/>
      <c r="AR73" s="188"/>
      <c r="AS73" s="188"/>
      <c r="AT73" s="188"/>
      <c r="AU73" s="188"/>
      <c r="AV73" s="188"/>
      <c r="AW73" s="188"/>
      <c r="AX73" s="188"/>
      <c r="AY73" s="188"/>
      <c r="AZ73" s="188"/>
      <c r="BA73" s="188"/>
      <c r="BB73" s="188"/>
      <c r="BC73" s="188"/>
      <c r="BD73" s="188"/>
      <c r="BE73" s="188"/>
      <c r="BF73" s="188"/>
      <c r="BG73" s="188"/>
      <c r="BH73" s="188"/>
      <c r="BI73" s="188"/>
      <c r="BJ73" s="188"/>
      <c r="BK73" s="188"/>
      <c r="BL73" s="188"/>
      <c r="BM73" s="188"/>
      <c r="BN73" s="188"/>
    </row>
    <row r="74" spans="1:75" s="183" customFormat="1" x14ac:dyDescent="0.25">
      <c r="A74" s="188"/>
      <c r="B74" s="188"/>
      <c r="C74" s="4971"/>
      <c r="D74" s="700"/>
      <c r="E74" s="188"/>
      <c r="F74" s="188"/>
      <c r="G74" s="188"/>
      <c r="H74" s="188"/>
      <c r="I74" s="188"/>
      <c r="J74" s="188"/>
      <c r="K74" s="188"/>
      <c r="L74" s="188"/>
      <c r="M74" s="188"/>
      <c r="N74" s="188"/>
      <c r="O74" s="188"/>
      <c r="P74" s="188"/>
      <c r="Q74" s="188"/>
      <c r="R74" s="188"/>
      <c r="S74" s="188"/>
      <c r="T74" s="188"/>
      <c r="U74" s="188"/>
      <c r="V74" s="188"/>
      <c r="W74" s="188"/>
      <c r="X74" s="188"/>
      <c r="Y74" s="188"/>
      <c r="Z74" s="188"/>
      <c r="AA74" s="188"/>
      <c r="AB74" s="188"/>
      <c r="AC74" s="188"/>
      <c r="AD74" s="188"/>
      <c r="AE74" s="188"/>
      <c r="AF74" s="188"/>
      <c r="AG74" s="188"/>
      <c r="AH74" s="188"/>
      <c r="AI74" s="188"/>
      <c r="AJ74" s="188"/>
      <c r="AK74" s="188"/>
      <c r="AL74" s="188"/>
      <c r="AM74" s="188"/>
      <c r="AN74" s="188"/>
      <c r="AO74" s="188"/>
      <c r="AP74" s="188"/>
      <c r="AQ74" s="188"/>
      <c r="AR74" s="188"/>
      <c r="AS74" s="188"/>
      <c r="AT74" s="188"/>
      <c r="AU74" s="188"/>
      <c r="AV74" s="188"/>
      <c r="AW74" s="188"/>
      <c r="AX74" s="188"/>
      <c r="AY74" s="188"/>
      <c r="AZ74" s="188"/>
      <c r="BA74" s="188"/>
      <c r="BB74" s="188"/>
      <c r="BC74" s="188"/>
      <c r="BD74" s="188"/>
      <c r="BE74" s="188"/>
      <c r="BF74" s="188"/>
      <c r="BG74" s="188"/>
      <c r="BH74" s="188"/>
      <c r="BI74" s="188"/>
      <c r="BJ74" s="188"/>
      <c r="BK74" s="188"/>
      <c r="BL74" s="188"/>
      <c r="BM74" s="188"/>
      <c r="BN74" s="188"/>
    </row>
    <row r="75" spans="1:75" s="183" customFormat="1" x14ac:dyDescent="0.25">
      <c r="A75" s="188"/>
      <c r="B75" s="188"/>
      <c r="C75" s="4971"/>
      <c r="D75" s="700"/>
      <c r="E75" s="188"/>
      <c r="F75" s="188"/>
      <c r="G75" s="188"/>
      <c r="H75" s="188"/>
      <c r="I75" s="188"/>
      <c r="J75" s="188"/>
      <c r="K75" s="188"/>
      <c r="L75" s="188"/>
      <c r="M75" s="188"/>
      <c r="N75" s="188"/>
      <c r="O75" s="188"/>
      <c r="P75" s="188"/>
      <c r="Q75" s="188"/>
      <c r="R75" s="188"/>
      <c r="S75" s="188"/>
      <c r="T75" s="188"/>
      <c r="U75" s="188"/>
      <c r="V75" s="188"/>
      <c r="W75" s="188"/>
      <c r="X75" s="188"/>
      <c r="Y75" s="188"/>
      <c r="Z75" s="188"/>
      <c r="AA75" s="188"/>
      <c r="AB75" s="188"/>
      <c r="AC75" s="188"/>
      <c r="AD75" s="188"/>
      <c r="AE75" s="188"/>
      <c r="AF75" s="188"/>
      <c r="AG75" s="188"/>
      <c r="AH75" s="188"/>
      <c r="AI75" s="188"/>
      <c r="AJ75" s="188"/>
      <c r="AK75" s="188"/>
      <c r="AL75" s="188"/>
      <c r="AM75" s="188"/>
      <c r="AN75" s="188"/>
      <c r="AO75" s="188"/>
      <c r="AP75" s="188"/>
      <c r="AQ75" s="188"/>
      <c r="AR75" s="188"/>
      <c r="AS75" s="188"/>
      <c r="AT75" s="188"/>
      <c r="AU75" s="188"/>
      <c r="AV75" s="188"/>
      <c r="AW75" s="188"/>
      <c r="AX75" s="188"/>
      <c r="AY75" s="188"/>
      <c r="AZ75" s="188"/>
      <c r="BA75" s="188"/>
      <c r="BB75" s="188"/>
      <c r="BC75" s="188"/>
      <c r="BD75" s="188"/>
      <c r="BE75" s="188"/>
      <c r="BF75" s="188"/>
      <c r="BG75" s="188"/>
      <c r="BH75" s="188"/>
      <c r="BI75" s="188"/>
      <c r="BJ75" s="188"/>
      <c r="BK75" s="188"/>
      <c r="BL75" s="188"/>
      <c r="BM75" s="188"/>
      <c r="BN75" s="188"/>
    </row>
    <row r="76" spans="1:75" s="183" customFormat="1" x14ac:dyDescent="0.25">
      <c r="A76" s="188"/>
      <c r="B76" s="188"/>
      <c r="C76" s="4971"/>
      <c r="D76" s="700"/>
      <c r="E76" s="188"/>
      <c r="F76" s="188"/>
      <c r="G76" s="188"/>
      <c r="H76" s="188"/>
      <c r="I76" s="188"/>
      <c r="J76" s="188"/>
      <c r="K76" s="188"/>
      <c r="L76" s="188"/>
      <c r="M76" s="188"/>
      <c r="N76" s="188"/>
      <c r="O76" s="188"/>
      <c r="P76" s="188"/>
      <c r="Q76" s="188"/>
      <c r="R76" s="188"/>
      <c r="S76" s="188"/>
      <c r="T76" s="188"/>
      <c r="U76" s="188"/>
      <c r="V76" s="188"/>
      <c r="W76" s="188"/>
      <c r="X76" s="188"/>
      <c r="Y76" s="188"/>
      <c r="Z76" s="188"/>
      <c r="AA76" s="188"/>
      <c r="AB76" s="188"/>
      <c r="AC76" s="188"/>
      <c r="AD76" s="188"/>
      <c r="AE76" s="188"/>
      <c r="AF76" s="188"/>
      <c r="AG76" s="188"/>
      <c r="AH76" s="188"/>
      <c r="AI76" s="188"/>
      <c r="AJ76" s="188"/>
      <c r="AK76" s="188"/>
      <c r="AL76" s="188"/>
      <c r="AM76" s="188"/>
      <c r="AN76" s="188"/>
      <c r="AO76" s="188"/>
      <c r="AP76" s="188"/>
      <c r="AQ76" s="188"/>
      <c r="AR76" s="188"/>
      <c r="AS76" s="188"/>
      <c r="AT76" s="188"/>
      <c r="AU76" s="188"/>
      <c r="AV76" s="188"/>
      <c r="AW76" s="188"/>
      <c r="AX76" s="188"/>
      <c r="AY76" s="188"/>
      <c r="AZ76" s="188"/>
      <c r="BA76" s="188"/>
      <c r="BB76" s="188"/>
      <c r="BC76" s="188"/>
      <c r="BD76" s="188"/>
      <c r="BE76" s="188"/>
      <c r="BF76" s="188"/>
      <c r="BG76" s="188"/>
      <c r="BH76" s="188"/>
      <c r="BI76" s="188"/>
      <c r="BJ76" s="188"/>
      <c r="BK76" s="188"/>
      <c r="BL76" s="188"/>
      <c r="BM76" s="188"/>
      <c r="BN76" s="188"/>
    </row>
    <row r="77" spans="1:75" s="183" customFormat="1" x14ac:dyDescent="0.25">
      <c r="A77" s="188"/>
      <c r="B77" s="188"/>
      <c r="C77" s="4971"/>
      <c r="D77" s="700"/>
      <c r="E77" s="188"/>
      <c r="F77" s="188"/>
      <c r="G77" s="188"/>
      <c r="H77" s="188"/>
      <c r="I77" s="188"/>
      <c r="J77" s="188"/>
      <c r="K77" s="188"/>
      <c r="L77" s="188"/>
      <c r="M77" s="188"/>
      <c r="N77" s="188"/>
      <c r="O77" s="188"/>
      <c r="P77" s="188"/>
      <c r="Q77" s="188"/>
      <c r="R77" s="188"/>
      <c r="S77" s="188"/>
      <c r="T77" s="188"/>
      <c r="U77" s="188"/>
      <c r="V77" s="188"/>
      <c r="W77" s="188"/>
      <c r="X77" s="188"/>
      <c r="Y77" s="188"/>
      <c r="Z77" s="188"/>
      <c r="AA77" s="188"/>
      <c r="AB77" s="188"/>
      <c r="AC77" s="188"/>
      <c r="AD77" s="188"/>
      <c r="AE77" s="188"/>
      <c r="AF77" s="188"/>
      <c r="AG77" s="188"/>
      <c r="AH77" s="188"/>
      <c r="AI77" s="188"/>
      <c r="AJ77" s="188"/>
      <c r="AK77" s="188"/>
      <c r="AL77" s="188"/>
      <c r="AM77" s="188"/>
      <c r="AN77" s="188"/>
      <c r="AO77" s="188"/>
      <c r="AP77" s="188"/>
      <c r="AQ77" s="188"/>
      <c r="AR77" s="188"/>
      <c r="AS77" s="188"/>
      <c r="AT77" s="188"/>
      <c r="AU77" s="188"/>
      <c r="AV77" s="188"/>
      <c r="AW77" s="188"/>
      <c r="AX77" s="188"/>
      <c r="AY77" s="188"/>
      <c r="AZ77" s="188"/>
      <c r="BA77" s="188"/>
      <c r="BB77" s="188"/>
      <c r="BC77" s="188"/>
      <c r="BD77" s="188"/>
      <c r="BE77" s="188"/>
      <c r="BF77" s="188"/>
      <c r="BG77" s="188"/>
      <c r="BH77" s="188"/>
      <c r="BI77" s="188"/>
      <c r="BJ77" s="188"/>
      <c r="BK77" s="188"/>
      <c r="BL77" s="188"/>
      <c r="BM77" s="188"/>
      <c r="BN77" s="188"/>
    </row>
    <row r="78" spans="1:75" s="183" customFormat="1" x14ac:dyDescent="0.25">
      <c r="A78" s="188"/>
      <c r="B78" s="188"/>
      <c r="C78" s="4971"/>
      <c r="D78" s="700"/>
      <c r="E78" s="188"/>
      <c r="F78" s="188"/>
      <c r="G78" s="188"/>
      <c r="H78" s="188"/>
      <c r="I78" s="188"/>
      <c r="J78" s="188"/>
      <c r="K78" s="188"/>
      <c r="L78" s="188"/>
      <c r="M78" s="188"/>
      <c r="N78" s="188"/>
      <c r="O78" s="188"/>
      <c r="P78" s="188"/>
      <c r="Q78" s="188"/>
      <c r="R78" s="188"/>
      <c r="S78" s="188"/>
      <c r="T78" s="188"/>
      <c r="U78" s="188"/>
      <c r="V78" s="188"/>
      <c r="W78" s="188"/>
      <c r="X78" s="188"/>
      <c r="Y78" s="188"/>
      <c r="Z78" s="188"/>
      <c r="AA78" s="188"/>
      <c r="AB78" s="188"/>
      <c r="AC78" s="188"/>
      <c r="AD78" s="188"/>
      <c r="AE78" s="188"/>
      <c r="AF78" s="188"/>
      <c r="AG78" s="188"/>
      <c r="AH78" s="188"/>
      <c r="AI78" s="188"/>
      <c r="AJ78" s="188"/>
      <c r="AK78" s="188"/>
      <c r="AL78" s="188"/>
      <c r="AM78" s="188"/>
      <c r="AN78" s="188"/>
      <c r="AO78" s="188"/>
      <c r="AP78" s="188"/>
      <c r="AQ78" s="188"/>
      <c r="AR78" s="188"/>
      <c r="AS78" s="188"/>
      <c r="AT78" s="188"/>
      <c r="AU78" s="188"/>
      <c r="AV78" s="188"/>
      <c r="AW78" s="188"/>
      <c r="AX78" s="188"/>
      <c r="AY78" s="188"/>
      <c r="AZ78" s="188"/>
      <c r="BA78" s="188"/>
      <c r="BB78" s="188"/>
      <c r="BC78" s="188"/>
      <c r="BD78" s="188"/>
      <c r="BE78" s="188"/>
      <c r="BF78" s="188"/>
      <c r="BG78" s="188"/>
      <c r="BH78" s="188"/>
      <c r="BI78" s="188"/>
      <c r="BJ78" s="188"/>
      <c r="BK78" s="188"/>
      <c r="BL78" s="188"/>
      <c r="BM78" s="188"/>
      <c r="BN78" s="188"/>
    </row>
    <row r="79" spans="1:75" s="183" customFormat="1" x14ac:dyDescent="0.25">
      <c r="A79" s="188"/>
      <c r="B79" s="188"/>
      <c r="C79" s="4971"/>
      <c r="D79" s="700"/>
      <c r="E79" s="188"/>
      <c r="F79" s="188"/>
      <c r="G79" s="188"/>
      <c r="H79" s="188"/>
      <c r="I79" s="188"/>
      <c r="J79" s="188"/>
      <c r="K79" s="188"/>
      <c r="L79" s="188"/>
      <c r="M79" s="188"/>
      <c r="N79" s="188"/>
      <c r="O79" s="188"/>
      <c r="P79" s="188"/>
      <c r="Q79" s="188"/>
      <c r="R79" s="188"/>
      <c r="S79" s="188"/>
      <c r="T79" s="188"/>
      <c r="U79" s="188"/>
      <c r="V79" s="188"/>
      <c r="W79" s="188"/>
      <c r="X79" s="188"/>
      <c r="Y79" s="188"/>
      <c r="Z79" s="188"/>
      <c r="AA79" s="188"/>
      <c r="AB79" s="188"/>
      <c r="AC79" s="188"/>
      <c r="AD79" s="188"/>
      <c r="AE79" s="188"/>
      <c r="AF79" s="188"/>
      <c r="AG79" s="188"/>
      <c r="AH79" s="188"/>
      <c r="AI79" s="188"/>
      <c r="AJ79" s="188"/>
      <c r="AK79" s="188"/>
      <c r="AL79" s="188"/>
      <c r="AM79" s="188"/>
      <c r="AN79" s="188"/>
      <c r="AO79" s="188"/>
      <c r="AP79" s="188"/>
      <c r="AQ79" s="188"/>
      <c r="AR79" s="188"/>
      <c r="AS79" s="188"/>
      <c r="AT79" s="188"/>
      <c r="AU79" s="188"/>
      <c r="AV79" s="188"/>
      <c r="AW79" s="188"/>
      <c r="AX79" s="188"/>
      <c r="AY79" s="188"/>
      <c r="AZ79" s="188"/>
      <c r="BA79" s="188"/>
      <c r="BB79" s="188"/>
      <c r="BC79" s="188"/>
      <c r="BD79" s="188"/>
      <c r="BE79" s="188"/>
      <c r="BF79" s="188"/>
      <c r="BG79" s="188"/>
      <c r="BH79" s="188"/>
      <c r="BI79" s="188"/>
      <c r="BJ79" s="188"/>
      <c r="BK79" s="188"/>
      <c r="BL79" s="188"/>
      <c r="BM79" s="188"/>
      <c r="BN79" s="188"/>
    </row>
    <row r="80" spans="1:75" s="183" customFormat="1" x14ac:dyDescent="0.25">
      <c r="A80" s="188"/>
      <c r="B80" s="188"/>
      <c r="C80" s="4971"/>
      <c r="D80" s="700"/>
      <c r="E80" s="188"/>
      <c r="F80" s="188"/>
      <c r="G80" s="188"/>
      <c r="H80" s="188"/>
      <c r="I80" s="188"/>
      <c r="J80" s="188"/>
      <c r="K80" s="188"/>
      <c r="L80" s="188"/>
      <c r="M80" s="188"/>
      <c r="N80" s="188"/>
      <c r="O80" s="188"/>
      <c r="P80" s="188"/>
      <c r="Q80" s="188"/>
      <c r="R80" s="188"/>
      <c r="S80" s="188"/>
      <c r="T80" s="188"/>
      <c r="U80" s="188"/>
      <c r="V80" s="188"/>
      <c r="W80" s="188"/>
      <c r="X80" s="188"/>
      <c r="Y80" s="188"/>
      <c r="Z80" s="188"/>
      <c r="AA80" s="188"/>
      <c r="AB80" s="188"/>
      <c r="AC80" s="188"/>
      <c r="AD80" s="188"/>
      <c r="AE80" s="188"/>
      <c r="AF80" s="188"/>
      <c r="AG80" s="188"/>
      <c r="AH80" s="188"/>
      <c r="AI80" s="188"/>
      <c r="AJ80" s="188"/>
      <c r="AK80" s="188"/>
      <c r="AL80" s="188"/>
      <c r="AM80" s="188"/>
      <c r="AN80" s="188"/>
      <c r="AO80" s="188"/>
      <c r="AP80" s="188"/>
      <c r="AQ80" s="188"/>
      <c r="AR80" s="188"/>
      <c r="AS80" s="188"/>
      <c r="AT80" s="188"/>
      <c r="AU80" s="188"/>
      <c r="AV80" s="188"/>
      <c r="AW80" s="188"/>
      <c r="AX80" s="188"/>
      <c r="AY80" s="188"/>
      <c r="AZ80" s="188"/>
      <c r="BA80" s="188"/>
      <c r="BB80" s="188"/>
      <c r="BC80" s="188"/>
      <c r="BD80" s="188"/>
      <c r="BE80" s="188"/>
      <c r="BF80" s="188"/>
      <c r="BG80" s="188"/>
      <c r="BH80" s="188"/>
      <c r="BI80" s="188"/>
      <c r="BJ80" s="188"/>
      <c r="BK80" s="188"/>
      <c r="BL80" s="188"/>
      <c r="BM80" s="188"/>
      <c r="BN80" s="188"/>
    </row>
  </sheetData>
  <mergeCells count="37">
    <mergeCell ref="B32:B36"/>
    <mergeCell ref="B1:BO1"/>
    <mergeCell ref="AC3:AD3"/>
    <mergeCell ref="AE3:AF3"/>
    <mergeCell ref="S3:T3"/>
    <mergeCell ref="U3:V3"/>
    <mergeCell ref="W3:X3"/>
    <mergeCell ref="AA3:AB3"/>
    <mergeCell ref="Y3:Z3"/>
    <mergeCell ref="K3:L3"/>
    <mergeCell ref="BM3:BN3"/>
    <mergeCell ref="AG3:AH3"/>
    <mergeCell ref="AI3:AJ3"/>
    <mergeCell ref="AQ3:AR3"/>
    <mergeCell ref="AS3:AT3"/>
    <mergeCell ref="AU3:AV3"/>
    <mergeCell ref="AO3:AP3"/>
    <mergeCell ref="AM3:AN3"/>
    <mergeCell ref="AK3:AL3"/>
    <mergeCell ref="B25:B26"/>
    <mergeCell ref="M3:N3"/>
    <mergeCell ref="O3:P3"/>
    <mergeCell ref="Q3:R3"/>
    <mergeCell ref="B3:B4"/>
    <mergeCell ref="C3:C4"/>
    <mergeCell ref="E3:F3"/>
    <mergeCell ref="G3:H3"/>
    <mergeCell ref="I3:J3"/>
    <mergeCell ref="D3:D4"/>
    <mergeCell ref="AW3:AX3"/>
    <mergeCell ref="AY3:AZ3"/>
    <mergeCell ref="BE3:BF3"/>
    <mergeCell ref="BC3:BD3"/>
    <mergeCell ref="BK3:BL3"/>
    <mergeCell ref="BA3:BB3"/>
    <mergeCell ref="BI3:BJ3"/>
    <mergeCell ref="BG3:BH3"/>
  </mergeCells>
  <printOptions horizontalCentered="1" verticalCentered="1"/>
  <pageMargins left="0" right="0" top="0" bottom="0" header="0" footer="0"/>
  <pageSetup scale="46" orientation="landscape" verticalDpi="300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tabColor rgb="FFFFC000"/>
    <pageSetUpPr fitToPage="1"/>
  </sheetPr>
  <dimension ref="A3:BI74"/>
  <sheetViews>
    <sheetView zoomScale="115" zoomScaleNormal="115" workbookViewId="0">
      <pane xSplit="7" topLeftCell="BC1" activePane="topRight" state="frozen"/>
      <selection pane="topRight" activeCell="BI71" sqref="BI71"/>
    </sheetView>
  </sheetViews>
  <sheetFormatPr defaultColWidth="9.140625" defaultRowHeight="15" x14ac:dyDescent="0.25"/>
  <cols>
    <col min="1" max="1" width="2.28515625" customWidth="1"/>
    <col min="2" max="2" width="1.7109375" customWidth="1"/>
    <col min="3" max="3" width="22.5703125" hidden="1" customWidth="1"/>
    <col min="4" max="4" width="38.140625" customWidth="1"/>
    <col min="5" max="5" width="14" bestFit="1" customWidth="1"/>
    <col min="6" max="6" width="15.42578125" hidden="1" customWidth="1"/>
    <col min="7" max="7" width="15.140625" customWidth="1"/>
    <col min="8" max="8" width="9.140625" customWidth="1"/>
    <col min="9" max="9" width="10.5703125" bestFit="1" customWidth="1"/>
    <col min="10" max="10" width="9.140625" customWidth="1"/>
    <col min="11" max="11" width="10.5703125" customWidth="1"/>
    <col min="12" max="13" width="10.5703125" hidden="1" customWidth="1"/>
    <col min="14" max="14" width="9.140625" customWidth="1"/>
    <col min="15" max="15" width="10.5703125" customWidth="1"/>
    <col min="16" max="17" width="9.140625" customWidth="1"/>
    <col min="18" max="18" width="9.140625" style="183" customWidth="1"/>
    <col min="19" max="19" width="10.5703125" customWidth="1"/>
    <col min="20" max="21" width="10.5703125" hidden="1" customWidth="1"/>
    <col min="22" max="22" width="9.140625" customWidth="1"/>
    <col min="23" max="23" width="10.5703125" customWidth="1"/>
    <col min="24" max="24" width="9.140625" hidden="1" customWidth="1"/>
    <col min="25" max="25" width="8.42578125" hidden="1" customWidth="1"/>
    <col min="26" max="26" width="12.5703125" customWidth="1"/>
    <col min="27" max="32" width="9.140625" customWidth="1"/>
    <col min="34" max="35" width="9.140625" hidden="1" customWidth="1"/>
    <col min="38" max="39" width="9.140625" hidden="1" customWidth="1"/>
    <col min="44" max="45" width="9.140625" hidden="1" customWidth="1"/>
    <col min="48" max="49" width="9.140625" hidden="1" customWidth="1"/>
    <col min="52" max="53" width="9.140625" hidden="1" customWidth="1"/>
    <col min="56" max="59" width="9.140625" style="5241"/>
  </cols>
  <sheetData>
    <row r="3" spans="1:61" ht="19.5" thickBot="1" x14ac:dyDescent="0.3">
      <c r="C3" s="6140" t="s">
        <v>1516</v>
      </c>
      <c r="D3" s="6141"/>
      <c r="E3" s="6141"/>
      <c r="F3" s="6141"/>
      <c r="G3" s="6141"/>
      <c r="H3" s="6141"/>
      <c r="I3" s="6141"/>
      <c r="J3" s="6141"/>
      <c r="K3" s="6141"/>
      <c r="L3" s="6141"/>
      <c r="M3" s="6141"/>
      <c r="N3" s="6141"/>
      <c r="O3" s="6141"/>
      <c r="P3" s="6141"/>
      <c r="Q3" s="6141"/>
      <c r="R3" s="6141"/>
      <c r="S3" s="6141"/>
      <c r="T3" s="6141"/>
      <c r="U3" s="6141"/>
      <c r="V3" s="6141"/>
      <c r="W3" s="6141"/>
      <c r="X3" s="6141"/>
      <c r="Y3" s="6141"/>
      <c r="Z3" s="6141"/>
      <c r="AA3" s="6141"/>
      <c r="AB3" s="6141"/>
      <c r="AC3" s="6141"/>
      <c r="AD3" s="6141"/>
      <c r="AE3" s="6141"/>
      <c r="AF3" s="6141"/>
      <c r="AG3" s="6141"/>
      <c r="AH3" s="6141"/>
      <c r="AI3" s="6141"/>
      <c r="AJ3" s="6141"/>
      <c r="AK3" s="6141"/>
      <c r="AL3" s="6141"/>
      <c r="AM3" s="6141"/>
      <c r="AN3" s="6141"/>
      <c r="AO3" s="6141"/>
      <c r="AP3" s="6141"/>
      <c r="AQ3" s="6141"/>
      <c r="AR3" s="6141"/>
      <c r="AS3" s="6141"/>
      <c r="AT3" s="6141"/>
      <c r="AU3" s="6141"/>
      <c r="AV3" s="6141"/>
      <c r="AW3" s="6141"/>
      <c r="AX3" s="6141"/>
      <c r="AY3" s="6141"/>
      <c r="AZ3" s="6141"/>
      <c r="BA3" s="6141"/>
      <c r="BB3" s="6141"/>
      <c r="BC3" s="6141"/>
      <c r="BD3" s="6141"/>
      <c r="BE3" s="6141"/>
      <c r="BF3" s="6141"/>
      <c r="BG3" s="6141"/>
      <c r="BH3" s="6141"/>
      <c r="BI3" s="6141"/>
    </row>
    <row r="4" spans="1:61" ht="15.75" thickBot="1" x14ac:dyDescent="0.3">
      <c r="C4" s="6147" t="s">
        <v>1117</v>
      </c>
      <c r="D4" s="1642" t="s">
        <v>175</v>
      </c>
      <c r="E4" s="1643" t="s">
        <v>176</v>
      </c>
      <c r="F4" s="1643" t="s">
        <v>1583</v>
      </c>
      <c r="G4" s="1651" t="s">
        <v>1472</v>
      </c>
      <c r="H4" s="6011" t="s">
        <v>1470</v>
      </c>
      <c r="I4" s="6012"/>
      <c r="J4" s="6011" t="s">
        <v>1526</v>
      </c>
      <c r="K4" s="6012"/>
      <c r="L4" s="6142" t="s">
        <v>15</v>
      </c>
      <c r="M4" s="6014"/>
      <c r="N4" s="6045" t="s">
        <v>1620</v>
      </c>
      <c r="O4" s="6077"/>
      <c r="P4" s="6100" t="s">
        <v>658</v>
      </c>
      <c r="Q4" s="6079"/>
      <c r="R4" s="6076" t="s">
        <v>1688</v>
      </c>
      <c r="S4" s="6077"/>
      <c r="T4" s="6046" t="s">
        <v>18</v>
      </c>
      <c r="U4" s="6047"/>
      <c r="V4" s="6076" t="s">
        <v>1731</v>
      </c>
      <c r="W4" s="6077"/>
      <c r="X4" s="6046" t="s">
        <v>19</v>
      </c>
      <c r="Y4" s="6047"/>
      <c r="Z4" s="6045" t="s">
        <v>1766</v>
      </c>
      <c r="AA4" s="6077"/>
      <c r="AB4" s="6100" t="s">
        <v>682</v>
      </c>
      <c r="AC4" s="6079"/>
      <c r="AD4" s="6143" t="s">
        <v>679</v>
      </c>
      <c r="AE4" s="6075"/>
      <c r="AF4" s="6011" t="s">
        <v>1831</v>
      </c>
      <c r="AG4" s="6012"/>
      <c r="AH4" s="6142" t="s">
        <v>26</v>
      </c>
      <c r="AI4" s="6014"/>
      <c r="AJ4" s="6011" t="s">
        <v>1863</v>
      </c>
      <c r="AK4" s="6012"/>
      <c r="AL4" s="6142" t="s">
        <v>29</v>
      </c>
      <c r="AM4" s="6014"/>
      <c r="AN4" s="6045" t="s">
        <v>1888</v>
      </c>
      <c r="AO4" s="6077"/>
      <c r="AP4" s="6100" t="s">
        <v>684</v>
      </c>
      <c r="AQ4" s="6079"/>
      <c r="AR4" s="6142" t="s">
        <v>1890</v>
      </c>
      <c r="AS4" s="6014"/>
      <c r="AT4" s="6011" t="s">
        <v>1918</v>
      </c>
      <c r="AU4" s="6012"/>
      <c r="AV4" s="6142" t="s">
        <v>30</v>
      </c>
      <c r="AW4" s="6014"/>
      <c r="AX4" s="6011" t="s">
        <v>1940</v>
      </c>
      <c r="AY4" s="6012"/>
      <c r="AZ4" s="6142" t="s">
        <v>32</v>
      </c>
      <c r="BA4" s="6014"/>
      <c r="BB4" s="6011" t="s">
        <v>1965</v>
      </c>
      <c r="BC4" s="6012"/>
      <c r="BD4" s="6100" t="s">
        <v>685</v>
      </c>
      <c r="BE4" s="6079"/>
      <c r="BF4" s="6143" t="s">
        <v>693</v>
      </c>
      <c r="BG4" s="6075"/>
      <c r="BH4" s="6142" t="s">
        <v>1513</v>
      </c>
      <c r="BI4" s="6014"/>
    </row>
    <row r="5" spans="1:61" ht="15.75" thickBot="1" x14ac:dyDescent="0.3">
      <c r="C5" s="6148"/>
      <c r="D5" s="1647"/>
      <c r="E5" s="1648"/>
      <c r="F5" s="1648"/>
      <c r="G5" s="1722"/>
      <c r="H5" s="1427" t="s">
        <v>177</v>
      </c>
      <c r="I5" s="1428" t="s">
        <v>178</v>
      </c>
      <c r="J5" s="1427" t="s">
        <v>177</v>
      </c>
      <c r="K5" s="1428" t="s">
        <v>178</v>
      </c>
      <c r="L5" s="1734" t="s">
        <v>177</v>
      </c>
      <c r="M5" s="1735" t="s">
        <v>178</v>
      </c>
      <c r="N5" s="2772" t="s">
        <v>177</v>
      </c>
      <c r="O5" s="214" t="s">
        <v>178</v>
      </c>
      <c r="P5" s="2770" t="s">
        <v>177</v>
      </c>
      <c r="Q5" s="206" t="s">
        <v>178</v>
      </c>
      <c r="R5" s="1296" t="s">
        <v>177</v>
      </c>
      <c r="S5" s="214" t="s">
        <v>178</v>
      </c>
      <c r="T5" s="2771" t="s">
        <v>177</v>
      </c>
      <c r="U5" s="199" t="s">
        <v>178</v>
      </c>
      <c r="V5" s="1296" t="s">
        <v>177</v>
      </c>
      <c r="W5" s="214" t="s">
        <v>178</v>
      </c>
      <c r="X5" s="2771" t="s">
        <v>177</v>
      </c>
      <c r="Y5" s="199" t="s">
        <v>178</v>
      </c>
      <c r="Z5" s="2772" t="s">
        <v>177</v>
      </c>
      <c r="AA5" s="214" t="s">
        <v>178</v>
      </c>
      <c r="AB5" s="849" t="s">
        <v>177</v>
      </c>
      <c r="AC5" s="206" t="s">
        <v>178</v>
      </c>
      <c r="AD5" s="851" t="s">
        <v>177</v>
      </c>
      <c r="AE5" s="561" t="s">
        <v>178</v>
      </c>
      <c r="AF5" s="1427" t="s">
        <v>177</v>
      </c>
      <c r="AG5" s="1428" t="s">
        <v>178</v>
      </c>
      <c r="AH5" s="1734" t="s">
        <v>177</v>
      </c>
      <c r="AI5" s="1735" t="s">
        <v>178</v>
      </c>
      <c r="AJ5" s="1427" t="s">
        <v>177</v>
      </c>
      <c r="AK5" s="1428" t="s">
        <v>178</v>
      </c>
      <c r="AL5" s="1734" t="s">
        <v>177</v>
      </c>
      <c r="AM5" s="1735" t="s">
        <v>178</v>
      </c>
      <c r="AN5" s="4269" t="s">
        <v>177</v>
      </c>
      <c r="AO5" s="214" t="s">
        <v>178</v>
      </c>
      <c r="AP5" s="4270" t="s">
        <v>177</v>
      </c>
      <c r="AQ5" s="206" t="s">
        <v>178</v>
      </c>
      <c r="AR5" s="1734" t="s">
        <v>177</v>
      </c>
      <c r="AS5" s="1735" t="s">
        <v>178</v>
      </c>
      <c r="AT5" s="1427" t="s">
        <v>177</v>
      </c>
      <c r="AU5" s="1428" t="s">
        <v>178</v>
      </c>
      <c r="AV5" s="1734" t="s">
        <v>177</v>
      </c>
      <c r="AW5" s="1735" t="s">
        <v>178</v>
      </c>
      <c r="AX5" s="1427" t="s">
        <v>177</v>
      </c>
      <c r="AY5" s="1428" t="s">
        <v>178</v>
      </c>
      <c r="AZ5" s="1734" t="s">
        <v>177</v>
      </c>
      <c r="BA5" s="1735" t="s">
        <v>178</v>
      </c>
      <c r="BB5" s="1427" t="s">
        <v>177</v>
      </c>
      <c r="BC5" s="1428" t="s">
        <v>178</v>
      </c>
      <c r="BD5" s="5232" t="s">
        <v>177</v>
      </c>
      <c r="BE5" s="206" t="s">
        <v>178</v>
      </c>
      <c r="BF5" s="5233" t="s">
        <v>177</v>
      </c>
      <c r="BG5" s="561" t="s">
        <v>178</v>
      </c>
      <c r="BH5" s="1734" t="s">
        <v>177</v>
      </c>
      <c r="BI5" s="1735" t="s">
        <v>178</v>
      </c>
    </row>
    <row r="6" spans="1:61" x14ac:dyDescent="0.25">
      <c r="C6" s="6150" t="s">
        <v>4</v>
      </c>
      <c r="D6" s="5313" t="s">
        <v>368</v>
      </c>
      <c r="E6" s="1643" t="s">
        <v>51</v>
      </c>
      <c r="F6" s="1736">
        <v>69.459875135267765</v>
      </c>
      <c r="G6" s="1651">
        <v>69.5</v>
      </c>
      <c r="H6" s="1737">
        <f>+'Maj Techno Summ'!E5</f>
        <v>69.500000000000028</v>
      </c>
      <c r="I6" s="1738">
        <f>+'Maj Techno Summ'!F5</f>
        <v>69.415591419212731</v>
      </c>
      <c r="J6" s="1737">
        <f>+'Maj Techno Summ'!G5</f>
        <v>69.500000000000028</v>
      </c>
      <c r="K6" s="1738">
        <f>+'Maj Techno Summ'!H5</f>
        <v>68.896667164199783</v>
      </c>
      <c r="L6" s="1739">
        <f>+'Maj Techno Summ'!I5</f>
        <v>69.500000000000028</v>
      </c>
      <c r="M6" s="1740">
        <f>+'Maj Techno Summ'!J5</f>
        <v>69.160170757866794</v>
      </c>
      <c r="N6" s="1737">
        <f>+'Maj Techno Summ'!K5</f>
        <v>69.500000000000028</v>
      </c>
      <c r="O6" s="1738">
        <f>+'Maj Techno Summ'!L5</f>
        <v>69.391251476390337</v>
      </c>
      <c r="P6" s="1959">
        <f>+'Maj Techno Summ'!M5</f>
        <v>69.500000000000028</v>
      </c>
      <c r="Q6" s="1960">
        <f>+'Maj Techno Summ'!N5</f>
        <v>69.235834832038222</v>
      </c>
      <c r="R6" s="1737">
        <f>+'Maj Techno Summ'!O5</f>
        <v>69.500000000000028</v>
      </c>
      <c r="S6" s="1738">
        <f>+'Maj Techno Summ'!P5</f>
        <v>69.415356426198059</v>
      </c>
      <c r="T6" s="1739">
        <f>+'Maj Techno Summ'!Q5</f>
        <v>69.500000000000028</v>
      </c>
      <c r="U6" s="1740">
        <f>+'Maj Techno Summ'!R5</f>
        <v>69.281895884883838</v>
      </c>
      <c r="V6" s="1737">
        <f>+'Maj Techno Summ'!S5</f>
        <v>69.500000000000028</v>
      </c>
      <c r="W6" s="1738">
        <f>+'Maj Techno Summ'!T5</f>
        <v>69.400838328344562</v>
      </c>
      <c r="X6" s="1739">
        <f>+'Maj Techno Summ'!U5</f>
        <v>69.500000000000028</v>
      </c>
      <c r="Y6" s="1740">
        <f>+'Maj Techno Summ'!V5</f>
        <v>69.306084510846134</v>
      </c>
      <c r="Z6" s="2778">
        <f>+'Maj Techno Summ'!W5</f>
        <v>69.500000000000028</v>
      </c>
      <c r="AA6" s="1738">
        <f>+'Maj Techno Summ'!X5</f>
        <v>69.384090190185219</v>
      </c>
      <c r="AB6" s="3912">
        <f>+'Maj Techno Summ'!Y5</f>
        <v>69.500000000000028</v>
      </c>
      <c r="AC6" s="3912">
        <f>+'Maj Techno Summ'!Z5</f>
        <v>69.400246556413975</v>
      </c>
      <c r="AD6" s="3922">
        <f>+'Maj Techno Summ'!AA5</f>
        <v>69.500000000000028</v>
      </c>
      <c r="AE6" s="3923">
        <f>+'Maj Techno Summ'!AB5</f>
        <v>69.319009935713908</v>
      </c>
      <c r="AF6" s="1737">
        <f>+'Maj Techno Summ'!AC5</f>
        <v>69.500000000000028</v>
      </c>
      <c r="AG6" s="1738">
        <f>+'Maj Techno Summ'!AD5</f>
        <v>69.402611365522247</v>
      </c>
      <c r="AH6" s="1739">
        <f>+'Maj Techno Summ'!AE5</f>
        <v>69.500000000000028</v>
      </c>
      <c r="AI6" s="1740">
        <f>+'Maj Techno Summ'!AF5</f>
        <v>69.331423841153878</v>
      </c>
      <c r="AJ6" s="1737">
        <f>+'Maj Techno Summ'!AG5</f>
        <v>69.500000000000028</v>
      </c>
      <c r="AK6" s="1738">
        <f>+'Maj Techno Summ'!AH5</f>
        <v>69.880571416294245</v>
      </c>
      <c r="AL6" s="1739">
        <f>+'Maj Techno Summ'!AI5</f>
        <v>69.500000000000028</v>
      </c>
      <c r="AM6" s="1740">
        <f>+'Maj Techno Summ'!AJ5</f>
        <v>69.40012905214877</v>
      </c>
      <c r="AN6" s="2778">
        <f>+'Maj Techno Summ'!AK5</f>
        <v>69.500000000000028</v>
      </c>
      <c r="AO6" s="1738">
        <f>+'Maj Techno Summ'!AL5</f>
        <v>69.394648812986517</v>
      </c>
      <c r="AP6" s="3912">
        <f>+'Maj Techno Summ'!AM5</f>
        <v>69.500000000000028</v>
      </c>
      <c r="AQ6" s="3912">
        <f>+'Maj Techno Summ'!AN5</f>
        <v>69.554701659143021</v>
      </c>
      <c r="AR6" s="1739">
        <f>+'Maj Techno Summ'!AO5</f>
        <v>69.500000000000028</v>
      </c>
      <c r="AS6" s="1740">
        <f>+'Maj Techno Summ'!AP5</f>
        <v>69.399493084539287</v>
      </c>
      <c r="AT6" s="1737">
        <f>+'Maj Techno Summ'!AQ5</f>
        <v>69.500000000000028</v>
      </c>
      <c r="AU6" s="1738">
        <f>+'Maj Techno Summ'!AR5</f>
        <v>69.388274921065303</v>
      </c>
      <c r="AV6" s="1739">
        <f>+'Maj Techno Summ'!AS5</f>
        <v>69.500000000000028</v>
      </c>
      <c r="AW6" s="1740">
        <f>+'Maj Techno Summ'!AT5</f>
        <v>69.398329000162505</v>
      </c>
      <c r="AX6" s="1737">
        <f>+'Maj Techno Summ'!AU5</f>
        <v>69.500000000000028</v>
      </c>
      <c r="AY6" s="1738">
        <f>+'Maj Techno Summ'!AV5</f>
        <v>69.39593347201658</v>
      </c>
      <c r="AZ6" s="1739">
        <f>+'Maj Techno Summ'!AW5</f>
        <v>69.500000000000028</v>
      </c>
      <c r="BA6" s="1740">
        <f>+'Maj Techno Summ'!AX5</f>
        <v>69.398116749432091</v>
      </c>
      <c r="BB6" s="1737">
        <f>+'Maj Techno Summ'!AY5</f>
        <v>69.500000000000028</v>
      </c>
      <c r="BC6" s="1738">
        <f>+'Maj Techno Summ'!AZ5</f>
        <v>69.397095888100608</v>
      </c>
      <c r="BD6" s="3912">
        <f>+'Maj Techno Summ'!BA5</f>
        <v>69.500000000000028</v>
      </c>
      <c r="BE6" s="3912">
        <f>+'Maj Techno Summ'!BB5</f>
        <v>69.393721920410272</v>
      </c>
      <c r="BF6" s="3922">
        <f>+'Maj Techno Summ'!BC5</f>
        <v>69.500000000000028</v>
      </c>
      <c r="BG6" s="3923">
        <f>+'Maj Techno Summ'!BD5</f>
        <v>69.474377287146282</v>
      </c>
      <c r="BH6" s="1739">
        <f>+'Maj Techno Summ'!BE5</f>
        <v>69.500000000000028</v>
      </c>
      <c r="BI6" s="1740">
        <f>+'Maj Techno Summ'!BF5</f>
        <v>69.398028518298972</v>
      </c>
    </row>
    <row r="7" spans="1:61" s="183" customFormat="1" x14ac:dyDescent="0.25">
      <c r="A7"/>
      <c r="B7"/>
      <c r="C7" s="6151"/>
      <c r="D7" s="5314" t="s">
        <v>366</v>
      </c>
      <c r="E7" s="5315"/>
      <c r="F7" s="5315"/>
      <c r="G7" s="5316"/>
      <c r="H7" s="1473"/>
      <c r="I7" s="1729"/>
      <c r="J7" s="1473"/>
      <c r="K7" s="1729"/>
      <c r="L7" s="1473"/>
      <c r="M7" s="1729"/>
      <c r="N7" s="1473"/>
      <c r="O7" s="1729"/>
      <c r="P7" s="1473"/>
      <c r="Q7" s="1729"/>
      <c r="R7" s="1473"/>
      <c r="S7" s="1729"/>
      <c r="T7" s="1473"/>
      <c r="U7" s="1729"/>
      <c r="V7" s="1473"/>
      <c r="W7" s="1729"/>
      <c r="X7" s="1473"/>
      <c r="Y7" s="1729"/>
      <c r="Z7" s="1730"/>
      <c r="AA7" s="1729"/>
      <c r="AB7" s="3913"/>
      <c r="AC7" s="3913"/>
      <c r="AD7" s="1473"/>
      <c r="AE7" s="3913"/>
      <c r="AF7" s="1473"/>
      <c r="AG7" s="1729"/>
      <c r="AH7" s="1473"/>
      <c r="AI7" s="1729"/>
      <c r="AJ7" s="1473"/>
      <c r="AK7" s="1729"/>
      <c r="AL7" s="1473"/>
      <c r="AM7" s="1729"/>
      <c r="AN7" s="1730"/>
      <c r="AO7" s="1729"/>
      <c r="AP7" s="3913"/>
      <c r="AQ7" s="3913"/>
      <c r="AR7" s="1473"/>
      <c r="AS7" s="1729"/>
      <c r="AT7" s="1473"/>
      <c r="AU7" s="1729"/>
      <c r="AV7" s="1473"/>
      <c r="AW7" s="1729"/>
      <c r="AX7" s="1473"/>
      <c r="AY7" s="1729"/>
      <c r="AZ7" s="1473"/>
      <c r="BA7" s="1729"/>
      <c r="BB7" s="1473"/>
      <c r="BC7" s="1729"/>
      <c r="BD7" s="3913"/>
      <c r="BE7" s="3913"/>
      <c r="BF7" s="1473"/>
      <c r="BG7" s="3913"/>
      <c r="BH7" s="1473"/>
      <c r="BI7" s="1729"/>
    </row>
    <row r="8" spans="1:61" x14ac:dyDescent="0.25">
      <c r="C8" s="6151"/>
      <c r="D8" s="5317" t="s">
        <v>356</v>
      </c>
      <c r="E8" s="5318" t="s">
        <v>51</v>
      </c>
      <c r="F8" s="5319">
        <v>89.651305773130588</v>
      </c>
      <c r="G8" s="5320">
        <v>92</v>
      </c>
      <c r="H8" s="1279">
        <f>+'Maj Techno Summ'!E7</f>
        <v>92</v>
      </c>
      <c r="I8" s="1280">
        <f>+'Maj Techno Summ'!F7</f>
        <v>90.000178855681355</v>
      </c>
      <c r="J8" s="1279">
        <f>+'Maj Techno Summ'!G7</f>
        <v>92</v>
      </c>
      <c r="K8" s="1280">
        <f>+'Maj Techno Summ'!H7</f>
        <v>90.000692592720853</v>
      </c>
      <c r="L8" s="1290">
        <f>+'Maj Techno Summ'!I7</f>
        <v>92</v>
      </c>
      <c r="M8" s="1291">
        <f>+'Maj Techno Summ'!J7</f>
        <v>90.000439889147927</v>
      </c>
      <c r="N8" s="1279">
        <f>+'Maj Techno Summ'!K7</f>
        <v>92</v>
      </c>
      <c r="O8" s="1280">
        <f>+'Maj Techno Summ'!L7</f>
        <v>90</v>
      </c>
      <c r="P8" s="1285">
        <f>+'Maj Techno Summ'!M7</f>
        <v>92</v>
      </c>
      <c r="Q8" s="1961">
        <f>+'Maj Techno Summ'!N7</f>
        <v>90.000294852697493</v>
      </c>
      <c r="R8" s="1279">
        <f>+'Maj Techno Summ'!O7</f>
        <v>92</v>
      </c>
      <c r="S8" s="1280">
        <f>+'Maj Techno Summ'!P7</f>
        <v>89.991702365850855</v>
      </c>
      <c r="T8" s="1290">
        <f>+'Maj Techno Summ'!Q7</f>
        <v>92</v>
      </c>
      <c r="U8" s="1291">
        <f>+'Maj Techno Summ'!R7</f>
        <v>89.998086536437881</v>
      </c>
      <c r="V8" s="1279">
        <f>+'Maj Techno Summ'!S7</f>
        <v>92</v>
      </c>
      <c r="W8" s="1280">
        <f>+'Maj Techno Summ'!T7</f>
        <v>89.806451612903231</v>
      </c>
      <c r="X8" s="1290">
        <f>+'Maj Techno Summ'!U7</f>
        <v>92</v>
      </c>
      <c r="Y8" s="1291">
        <f>+'Maj Techno Summ'!V7</f>
        <v>89.95805152594906</v>
      </c>
      <c r="Z8" s="2779">
        <f>+'Maj Techno Summ'!W7</f>
        <v>92</v>
      </c>
      <c r="AA8" s="1280">
        <f>+'Maj Techno Summ'!X7</f>
        <v>90.000070704042159</v>
      </c>
      <c r="AB8" s="3914">
        <f>+'Maj Techno Summ'!Y7</f>
        <v>92</v>
      </c>
      <c r="AC8" s="3914">
        <f>+'Maj Techno Summ'!Z7</f>
        <v>89.931385979455456</v>
      </c>
      <c r="AD8" s="1431">
        <f>+'Maj Techno Summ'!AA7</f>
        <v>92</v>
      </c>
      <c r="AE8" s="3919">
        <f>+'Maj Techno Summ'!AB7</f>
        <v>89.965097285652377</v>
      </c>
      <c r="AF8" s="1279">
        <f>+'Maj Techno Summ'!AC7</f>
        <v>92</v>
      </c>
      <c r="AG8" s="1280">
        <f>+'Maj Techno Summ'!AD7</f>
        <v>90.000000000000014</v>
      </c>
      <c r="AH8" s="1290">
        <f>+'Maj Techno Summ'!AE7</f>
        <v>92</v>
      </c>
      <c r="AI8" s="1291">
        <f>+'Maj Techno Summ'!AF7</f>
        <v>89.970188506127045</v>
      </c>
      <c r="AJ8" s="1279">
        <f>+'Maj Techno Summ'!AG7</f>
        <v>92</v>
      </c>
      <c r="AK8" s="1280">
        <f>+'Maj Techno Summ'!AH7</f>
        <v>91.200000000000017</v>
      </c>
      <c r="AL8" s="1290">
        <f>+'Maj Techno Summ'!AI7</f>
        <v>92</v>
      </c>
      <c r="AM8" s="1291">
        <f>+'Maj Techno Summ'!AJ7</f>
        <v>90.121011239235344</v>
      </c>
      <c r="AN8" s="2779">
        <f>+'Maj Techno Summ'!AK7</f>
        <v>92</v>
      </c>
      <c r="AO8" s="1280">
        <f>+'Maj Techno Summ'!AL7</f>
        <v>90</v>
      </c>
      <c r="AP8" s="3914">
        <f>+'Maj Techno Summ'!AM7</f>
        <v>92</v>
      </c>
      <c r="AQ8" s="3914">
        <f>+'Maj Techno Summ'!AN7</f>
        <v>90.391381515967765</v>
      </c>
      <c r="AR8" s="1290">
        <f>+'Maj Techno Summ'!AO7</f>
        <v>92</v>
      </c>
      <c r="AS8" s="1291">
        <f>+'Maj Techno Summ'!AP7</f>
        <v>90.107527325132594</v>
      </c>
      <c r="AT8" s="1279">
        <f>+'Maj Techno Summ'!AQ7</f>
        <v>92</v>
      </c>
      <c r="AU8" s="1280">
        <f>+'Maj Techno Summ'!AR7</f>
        <v>90.645161290322577</v>
      </c>
      <c r="AV8" s="1290">
        <f>+'Maj Techno Summ'!AS7</f>
        <v>92</v>
      </c>
      <c r="AW8" s="1291">
        <f>+'Maj Techno Summ'!AT7</f>
        <v>90.161428228067905</v>
      </c>
      <c r="AX8" s="1279">
        <f>+'Maj Techno Summ'!AU7</f>
        <v>92</v>
      </c>
      <c r="AY8" s="1280">
        <f>+'Maj Techno Summ'!AV7</f>
        <v>95</v>
      </c>
      <c r="AZ8" s="1290">
        <f>+'Maj Techno Summ'!AW7</f>
        <v>92</v>
      </c>
      <c r="BA8" s="1291">
        <f>+'Maj Techno Summ'!AX7</f>
        <v>90.576315221010987</v>
      </c>
      <c r="BB8" s="1279">
        <f>+'Maj Techno Summ'!AY7</f>
        <v>92</v>
      </c>
      <c r="BC8" s="1280">
        <f>+'Maj Techno Summ'!AZ7</f>
        <v>94.903690431067147</v>
      </c>
      <c r="BD8" s="3914">
        <f>+'Maj Techno Summ'!BA7</f>
        <v>92</v>
      </c>
      <c r="BE8" s="3914">
        <f>+'Maj Techno Summ'!BB7</f>
        <v>93.483990769664388</v>
      </c>
      <c r="BF8" s="1431">
        <f>+'Maj Techno Summ'!BC7</f>
        <v>92</v>
      </c>
      <c r="BG8" s="3919">
        <f>+'Maj Techno Summ'!BD7</f>
        <v>91.921422917093338</v>
      </c>
      <c r="BH8" s="1290">
        <f>+'Maj Techno Summ'!BE7</f>
        <v>92</v>
      </c>
      <c r="BI8" s="1291">
        <f>+'Maj Techno Summ'!BF7</f>
        <v>90.939873157833944</v>
      </c>
    </row>
    <row r="9" spans="1:61" x14ac:dyDescent="0.25">
      <c r="C9" s="6151"/>
      <c r="D9" s="5317" t="s">
        <v>367</v>
      </c>
      <c r="E9" s="5318" t="s">
        <v>51</v>
      </c>
      <c r="F9" s="5319">
        <v>92.198587038217795</v>
      </c>
      <c r="G9" s="5320">
        <v>94</v>
      </c>
      <c r="H9" s="1279">
        <f>+'Maj Techno Summ'!E8</f>
        <v>94</v>
      </c>
      <c r="I9" s="1280">
        <f>+'Maj Techno Summ'!F8</f>
        <v>91.999842710104886</v>
      </c>
      <c r="J9" s="1279">
        <f>+'Maj Techno Summ'!G8</f>
        <v>94</v>
      </c>
      <c r="K9" s="1280">
        <f>+'Maj Techno Summ'!H8</f>
        <v>92.000162268513819</v>
      </c>
      <c r="L9" s="1290">
        <f>+'Maj Techno Summ'!I8</f>
        <v>94</v>
      </c>
      <c r="M9" s="1291">
        <f>+'Maj Techno Summ'!J8</f>
        <v>92</v>
      </c>
      <c r="N9" s="1279">
        <f>+'Maj Techno Summ'!K8</f>
        <v>94</v>
      </c>
      <c r="O9" s="1280">
        <f>+'Maj Techno Summ'!L8</f>
        <v>91.333329573715787</v>
      </c>
      <c r="P9" s="1285">
        <f>+'Maj Techno Summ'!M8</f>
        <v>94</v>
      </c>
      <c r="Q9" s="1961">
        <f>+'Maj Techno Summ'!N8</f>
        <v>91.781708170130415</v>
      </c>
      <c r="R9" s="1279">
        <f>+'Maj Techno Summ'!O8</f>
        <v>94</v>
      </c>
      <c r="S9" s="1280">
        <f>+'Maj Techno Summ'!P8</f>
        <v>92</v>
      </c>
      <c r="T9" s="1290">
        <f>+'Maj Techno Summ'!Q8</f>
        <v>94</v>
      </c>
      <c r="U9" s="1291">
        <f>+'Maj Techno Summ'!R8</f>
        <v>91.838111743551536</v>
      </c>
      <c r="V9" s="1279">
        <f>+'Maj Techno Summ'!S8</f>
        <v>94</v>
      </c>
      <c r="W9" s="1280">
        <f>+'Maj Techno Summ'!T8</f>
        <v>92</v>
      </c>
      <c r="X9" s="1290">
        <f>+'Maj Techno Summ'!U8</f>
        <v>94</v>
      </c>
      <c r="Y9" s="1291">
        <f>+'Maj Techno Summ'!V8</f>
        <v>91.871856851646641</v>
      </c>
      <c r="Z9" s="2779">
        <f>+'Maj Techno Summ'!W8</f>
        <v>94</v>
      </c>
      <c r="AA9" s="1280">
        <f>+'Maj Techno Summ'!X8</f>
        <v>92</v>
      </c>
      <c r="AB9" s="3914">
        <f>+'Maj Techno Summ'!Y8</f>
        <v>94</v>
      </c>
      <c r="AC9" s="3914">
        <f>+'Maj Techno Summ'!Z8</f>
        <v>92</v>
      </c>
      <c r="AD9" s="1431">
        <f>+'Maj Techno Summ'!AA8</f>
        <v>94</v>
      </c>
      <c r="AE9" s="3919">
        <f>+'Maj Techno Summ'!AB8</f>
        <v>91.893529755727897</v>
      </c>
      <c r="AF9" s="1279">
        <f>+'Maj Techno Summ'!AC8</f>
        <v>94</v>
      </c>
      <c r="AG9" s="1280">
        <f>+'Maj Techno Summ'!AD8</f>
        <v>91.56</v>
      </c>
      <c r="AH9" s="1290">
        <f>+'Maj Techno Summ'!AE8</f>
        <v>94</v>
      </c>
      <c r="AI9" s="1291">
        <f>+'Maj Techno Summ'!AF8</f>
        <v>91.843133436544036</v>
      </c>
      <c r="AJ9" s="1279">
        <f>+'Maj Techno Summ'!AG8</f>
        <v>94</v>
      </c>
      <c r="AK9" s="1280">
        <f>+'Maj Techno Summ'!AH8</f>
        <v>93.199998866524794</v>
      </c>
      <c r="AL9" s="1290">
        <f>+'Maj Techno Summ'!AI8</f>
        <v>94</v>
      </c>
      <c r="AM9" s="1291">
        <f>+'Maj Techno Summ'!AJ8</f>
        <v>92.012124027009108</v>
      </c>
      <c r="AN9" s="2779">
        <f>+'Maj Techno Summ'!AK8</f>
        <v>94</v>
      </c>
      <c r="AO9" s="1280">
        <f>+'Maj Techno Summ'!AL8</f>
        <v>95</v>
      </c>
      <c r="AP9" s="3914">
        <f>+'Maj Techno Summ'!AM8</f>
        <v>94</v>
      </c>
      <c r="AQ9" s="3914">
        <f>+'Maj Techno Summ'!AN8</f>
        <v>93.240812603396989</v>
      </c>
      <c r="AR9" s="1290">
        <f>+'Maj Techno Summ'!AO8</f>
        <v>94</v>
      </c>
      <c r="AS9" s="1291">
        <f>+'Maj Techno Summ'!AP8</f>
        <v>92.354169887526211</v>
      </c>
      <c r="AT9" s="1279">
        <f>+'Maj Techno Summ'!AQ8</f>
        <v>94</v>
      </c>
      <c r="AU9" s="1280">
        <f>+'Maj Techno Summ'!AR8</f>
        <v>95.649999716944279</v>
      </c>
      <c r="AV9" s="1290">
        <f>+'Maj Techno Summ'!AS8</f>
        <v>94</v>
      </c>
      <c r="AW9" s="1291">
        <f>+'Maj Techno Summ'!AT8</f>
        <v>92.692019731602343</v>
      </c>
      <c r="AX9" s="1279">
        <f>+'Maj Techno Summ'!AU8</f>
        <v>94</v>
      </c>
      <c r="AY9" s="1280">
        <f>+'Maj Techno Summ'!AV8</f>
        <v>100</v>
      </c>
      <c r="AZ9" s="1290">
        <f>+'Maj Techno Summ'!AW8</f>
        <v>94</v>
      </c>
      <c r="BA9" s="1291">
        <f>+'Maj Techno Summ'!AX8</f>
        <v>93.332362520859263</v>
      </c>
      <c r="BB9" s="1279">
        <f>+'Maj Techno Summ'!AY8</f>
        <v>94</v>
      </c>
      <c r="BC9" s="1280">
        <f>+'Maj Techno Summ'!AZ8</f>
        <v>99.838712522237159</v>
      </c>
      <c r="BD9" s="3914">
        <f>+'Maj Techno Summ'!BA8</f>
        <v>94</v>
      </c>
      <c r="BE9" s="3914">
        <f>+'Maj Techno Summ'!BB8</f>
        <v>98.464073110813771</v>
      </c>
      <c r="BF9" s="1431">
        <f>+'Maj Techno Summ'!BC8</f>
        <v>94</v>
      </c>
      <c r="BG9" s="3919">
        <f>+'Maj Techno Summ'!BD8</f>
        <v>95.827670120288417</v>
      </c>
      <c r="BH9" s="1290">
        <f>+'Maj Techno Summ'!BE8</f>
        <v>94</v>
      </c>
      <c r="BI9" s="1291">
        <f>+'Maj Techno Summ'!BF8</f>
        <v>93.889003787888356</v>
      </c>
    </row>
    <row r="10" spans="1:61" x14ac:dyDescent="0.25">
      <c r="C10" s="6151"/>
      <c r="D10" s="5321" t="s">
        <v>365</v>
      </c>
      <c r="E10" s="5318" t="s">
        <v>51</v>
      </c>
      <c r="F10" s="5319">
        <v>91.262623548364061</v>
      </c>
      <c r="G10" s="5320">
        <v>93.294358974358971</v>
      </c>
      <c r="H10" s="1279">
        <f>+'Maj Techno Summ'!E9</f>
        <v>93.289715727782763</v>
      </c>
      <c r="I10" s="1280">
        <f>+'Maj Techno Summ'!F9</f>
        <v>91.290584518568323</v>
      </c>
      <c r="J10" s="1279">
        <f>+'Maj Techno Summ'!G9</f>
        <v>93.289715727782763</v>
      </c>
      <c r="K10" s="1280">
        <f>+'Maj Techno Summ'!H9</f>
        <v>91.261608125047971</v>
      </c>
      <c r="L10" s="1290">
        <f>+'Maj Techno Summ'!I9</f>
        <v>93.289715727782763</v>
      </c>
      <c r="M10" s="1291">
        <f>+'Maj Techno Summ'!J9</f>
        <v>91.276155291569808</v>
      </c>
      <c r="N10" s="1279">
        <f>+'Maj Techno Summ'!K9</f>
        <v>93.289715727782763</v>
      </c>
      <c r="O10" s="1280">
        <f>+'Maj Techno Summ'!L9</f>
        <v>90.847480934587267</v>
      </c>
      <c r="P10" s="1285">
        <f>+'Maj Techno Summ'!M9</f>
        <v>93.289715727782763</v>
      </c>
      <c r="Q10" s="1961">
        <f>+'Maj Techno Summ'!N9</f>
        <v>91.135438045811668</v>
      </c>
      <c r="R10" s="1279">
        <f>+'Maj Techno Summ'!O9</f>
        <v>93.289715727782763</v>
      </c>
      <c r="S10" s="1280">
        <f>+'Maj Techno Summ'!P9</f>
        <v>91.274767084134311</v>
      </c>
      <c r="T10" s="1290">
        <f>+'Maj Techno Summ'!Q9</f>
        <v>93.289715727782763</v>
      </c>
      <c r="U10" s="1291">
        <f>+'Maj Techno Summ'!R9</f>
        <v>91.171369029667716</v>
      </c>
      <c r="V10" s="1279">
        <f>+'Maj Techno Summ'!S9</f>
        <v>93.289715727782763</v>
      </c>
      <c r="W10" s="1280">
        <f>+'Maj Techno Summ'!T9</f>
        <v>91.203725519303589</v>
      </c>
      <c r="X10" s="1290">
        <f>+'Maj Techno Summ'!U9</f>
        <v>93.289715727782763</v>
      </c>
      <c r="Y10" s="1291">
        <f>+'Maj Techno Summ'!V9</f>
        <v>91.17811910586002</v>
      </c>
      <c r="Z10" s="2779">
        <f>+'Maj Techno Summ'!W9</f>
        <v>93.289715727782763</v>
      </c>
      <c r="AA10" s="1280">
        <f>+'Maj Techno Summ'!X9</f>
        <v>91.279824068227327</v>
      </c>
      <c r="AB10" s="3914">
        <f>+'Maj Techno Summ'!Y9</f>
        <v>93.289715727782763</v>
      </c>
      <c r="AC10" s="3914">
        <f>+'Maj Techno Summ'!Z9</f>
        <v>91.252354671356628</v>
      </c>
      <c r="AD10" s="1431">
        <f>+'Maj Techno Summ'!AA9</f>
        <v>93.289715727782763</v>
      </c>
      <c r="AE10" s="3919">
        <f>+'Maj Techno Summ'!AB9</f>
        <v>91.195267081145246</v>
      </c>
      <c r="AF10" s="1279">
        <f>+'Maj Techno Summ'!AC9</f>
        <v>93.289715727782763</v>
      </c>
      <c r="AG10" s="1280">
        <f>+'Maj Techno Summ'!AD9</f>
        <v>91.009964775519904</v>
      </c>
      <c r="AH10" s="1290">
        <f>+'Maj Techno Summ'!AE9</f>
        <v>93.289715727782763</v>
      </c>
      <c r="AI10" s="1291">
        <f>+'Maj Techno Summ'!AF9</f>
        <v>91.167617522927685</v>
      </c>
      <c r="AJ10" s="1279">
        <f>+'Maj Techno Summ'!AG9</f>
        <v>93.289715727782763</v>
      </c>
      <c r="AK10" s="1280">
        <f>+'Maj Techno Summ'!AH9</f>
        <v>92.486753234310569</v>
      </c>
      <c r="AL10" s="1290">
        <f>+'Maj Techno Summ'!AI9</f>
        <v>93.289715727782763</v>
      </c>
      <c r="AM10" s="1291">
        <f>+'Maj Techno Summ'!AJ9</f>
        <v>91.331003537359393</v>
      </c>
      <c r="AN10" s="2779">
        <f>+'Maj Techno Summ'!AK9</f>
        <v>93.289715727782763</v>
      </c>
      <c r="AO10" s="1280">
        <f>+'Maj Techno Summ'!AL9</f>
        <v>93.234090984648759</v>
      </c>
      <c r="AP10" s="3914">
        <f>+'Maj Techno Summ'!AM9</f>
        <v>93.289715727782763</v>
      </c>
      <c r="AQ10" s="3914">
        <f>+'Maj Techno Summ'!AN9</f>
        <v>92.231849630465263</v>
      </c>
      <c r="AR10" s="1290">
        <f>+'Maj Techno Summ'!AO9</f>
        <v>93.289715727782763</v>
      </c>
      <c r="AS10" s="1291">
        <f>+'Maj Techno Summ'!AP9</f>
        <v>91.546778411468694</v>
      </c>
      <c r="AT10" s="1279">
        <f>+'Maj Techno Summ'!AQ9</f>
        <v>93.289715727782763</v>
      </c>
      <c r="AU10" s="1280">
        <f>+'Maj Techno Summ'!AR9</f>
        <v>93.879766059333974</v>
      </c>
      <c r="AV10" s="1290">
        <f>+'Maj Techno Summ'!AS9</f>
        <v>93.289715727782763</v>
      </c>
      <c r="AW10" s="1291">
        <f>+'Maj Techno Summ'!AT9</f>
        <v>91.784043432487479</v>
      </c>
      <c r="AX10" s="1279">
        <f>+'Maj Techno Summ'!AU9</f>
        <v>93.289715727782763</v>
      </c>
      <c r="AY10" s="1280">
        <f>+'Maj Techno Summ'!AV9</f>
        <v>98.233175657542688</v>
      </c>
      <c r="AZ10" s="1290">
        <f>+'Maj Techno Summ'!AW9</f>
        <v>93.289715727782763</v>
      </c>
      <c r="BA10" s="1291">
        <f>+'Maj Techno Summ'!AX9</f>
        <v>92.344795147378889</v>
      </c>
      <c r="BB10" s="1279">
        <f>+'Maj Techno Summ'!AY9</f>
        <v>93.289715727782763</v>
      </c>
      <c r="BC10" s="1280">
        <f>+'Maj Techno Summ'!AZ9</f>
        <v>98.092815925895195</v>
      </c>
      <c r="BD10" s="3914">
        <f>+'Maj Techno Summ'!BA9</f>
        <v>93.289715727782763</v>
      </c>
      <c r="BE10" s="3914">
        <f>+'Maj Techno Summ'!BB9</f>
        <v>96.703012184832318</v>
      </c>
      <c r="BF10" s="1431">
        <f>+'Maj Techno Summ'!BC9</f>
        <v>93.289715727782763</v>
      </c>
      <c r="BG10" s="3919">
        <f>+'Maj Techno Summ'!BD9</f>
        <v>94.44540885768464</v>
      </c>
      <c r="BH10" s="1290">
        <f>+'Maj Techno Summ'!BE9</f>
        <v>93.289715727782763</v>
      </c>
      <c r="BI10" s="1291">
        <f>+'Maj Techno Summ'!BF9</f>
        <v>92.833390112642292</v>
      </c>
    </row>
    <row r="11" spans="1:61" x14ac:dyDescent="0.25">
      <c r="C11" s="6151"/>
      <c r="D11" s="5321" t="s">
        <v>1584</v>
      </c>
      <c r="E11" s="5318" t="s">
        <v>51</v>
      </c>
      <c r="F11" s="5319">
        <v>23.372863219313984</v>
      </c>
      <c r="G11" s="5320">
        <f>+'COKE OVENS'!D206</f>
        <v>26.664201081206745</v>
      </c>
      <c r="H11" s="1279">
        <f>+$G$11</f>
        <v>26.664201081206745</v>
      </c>
      <c r="I11" s="1280">
        <f>+'COKE OVENS'!F206</f>
        <v>20.74171815725034</v>
      </c>
      <c r="J11" s="1279">
        <f>+$G$11</f>
        <v>26.664201081206745</v>
      </c>
      <c r="K11" s="1280">
        <f>+'COKE OVENS'!H206</f>
        <v>21.381334902402212</v>
      </c>
      <c r="L11" s="1290">
        <f>+$G$11</f>
        <v>26.664201081206745</v>
      </c>
      <c r="M11" s="1290">
        <f>+'COKE OVENS'!J206</f>
        <v>21.060224847925092</v>
      </c>
      <c r="N11" s="1279">
        <f>+$G$11</f>
        <v>26.664201081206745</v>
      </c>
      <c r="O11" s="1280">
        <f>+'COKE OVENS'!L206</f>
        <v>21.322912938932998</v>
      </c>
      <c r="P11" s="1285">
        <f>+$G$11</f>
        <v>26.664201081206745</v>
      </c>
      <c r="Q11" s="1961">
        <f>+'COKE OVENS'!N206</f>
        <v>21.146455209172476</v>
      </c>
      <c r="R11" s="1279">
        <f>+$G$11</f>
        <v>26.664201081206745</v>
      </c>
      <c r="S11" s="1280">
        <f>+'COKE OVENS'!P206</f>
        <v>18.576452483972851</v>
      </c>
      <c r="T11" s="1290">
        <f>+$G$11</f>
        <v>26.664201081206745</v>
      </c>
      <c r="U11" s="1291">
        <f>+'COKE OVENS'!R206</f>
        <v>20.483687938682362</v>
      </c>
      <c r="V11" s="1279">
        <f>+$G$11</f>
        <v>26.664201081206745</v>
      </c>
      <c r="W11" s="1280">
        <f>+'COKE OVENS'!T206</f>
        <v>18.534961627703211</v>
      </c>
      <c r="X11" s="1290">
        <f>+$G$11</f>
        <v>26.664201081206745</v>
      </c>
      <c r="Y11" s="1291">
        <f>+'COKE OVENS'!V206</f>
        <v>20.077152766755436</v>
      </c>
      <c r="Z11" s="1279">
        <f>+$G$11</f>
        <v>26.664201081206745</v>
      </c>
      <c r="AA11" s="1280">
        <f>+'COKE OVENS'!X206</f>
        <v>19.830313846650835</v>
      </c>
      <c r="AB11" s="3914">
        <f>+$G$11</f>
        <v>26.664201081206745</v>
      </c>
      <c r="AC11" s="3914">
        <f>+'COKE OVENS'!Z206</f>
        <v>18.975517573239099</v>
      </c>
      <c r="AD11" s="1431">
        <f>+$G$11</f>
        <v>26.664201081206745</v>
      </c>
      <c r="AE11" s="3919">
        <f>+'COKE OVENS'!AB206</f>
        <v>20.035534466105506</v>
      </c>
      <c r="AF11" s="1279">
        <f>+$G$11</f>
        <v>26.664201081206745</v>
      </c>
      <c r="AG11" s="1280">
        <f>+'COKE OVENS'!AD206</f>
        <v>22.370765607439669</v>
      </c>
      <c r="AH11" s="1290">
        <f>+$G$11</f>
        <v>26.664201081206745</v>
      </c>
      <c r="AI11" s="1290">
        <f>+'COKE OVENS'!AF206</f>
        <v>20.383981881133149</v>
      </c>
      <c r="AJ11" s="1279">
        <f>+$G$11</f>
        <v>26.664201081206745</v>
      </c>
      <c r="AK11" s="1280">
        <f>+'COKE OVENS'!AH206</f>
        <v>27.545459580492835</v>
      </c>
      <c r="AL11" s="1290">
        <f>+$G$11</f>
        <v>26.664201081206745</v>
      </c>
      <c r="AM11" s="1290">
        <f>+'COKE OVENS'!AJ206</f>
        <v>21.270990919432421</v>
      </c>
      <c r="AN11" s="1279">
        <f>+$G$11</f>
        <v>26.664201081206745</v>
      </c>
      <c r="AO11" s="1280">
        <f>+'COKE OVENS'!AL206</f>
        <v>27.330000000000002</v>
      </c>
      <c r="AP11" s="3914">
        <f>+$G$11</f>
        <v>26.664201081206745</v>
      </c>
      <c r="AQ11" s="3914">
        <f>+'COKE OVENS'!AN206</f>
        <v>25.704664626284021</v>
      </c>
      <c r="AR11" s="1290">
        <f>+$G$11</f>
        <v>26.664201081206745</v>
      </c>
      <c r="AS11" s="1290">
        <f>+'COKE OVENS'!AP206</f>
        <v>21.957970345127574</v>
      </c>
      <c r="AT11" s="1279">
        <f>+$G$11</f>
        <v>26.664201081206745</v>
      </c>
      <c r="AU11" s="1280">
        <f>+'COKE OVENS'!AR206</f>
        <v>26.379403537892173</v>
      </c>
      <c r="AV11" s="1290">
        <f>+$G$11</f>
        <v>26.664201081206745</v>
      </c>
      <c r="AW11" s="1290">
        <f>+'COKE OVENS'!AT206</f>
        <v>22.407630436716275</v>
      </c>
      <c r="AX11" s="1279">
        <f>+$G$11</f>
        <v>26.664201081206745</v>
      </c>
      <c r="AY11" s="1280">
        <f>+'COKE OVENS'!AV206</f>
        <v>25.353363240439048</v>
      </c>
      <c r="AZ11" s="1290">
        <f>+$G$11</f>
        <v>26.664201081206745</v>
      </c>
      <c r="BA11" s="1290">
        <f>+'COKE OVENS'!AX206</f>
        <v>22.663761752319019</v>
      </c>
      <c r="BB11" s="1279">
        <f>+$G$11</f>
        <v>26.664201081206745</v>
      </c>
      <c r="BC11" s="1280">
        <f>+'COKE OVENS'!AZ206</f>
        <v>25.353827140612985</v>
      </c>
      <c r="BD11" s="3914">
        <f>+'COKE OVENS'!BA206</f>
        <v>26.664976913252694</v>
      </c>
      <c r="BE11" s="3914">
        <f>+'COKE OVENS'!BB206</f>
        <v>25.702891091473909</v>
      </c>
      <c r="BF11" s="1431">
        <f>+'COKE OVENS'!BC206</f>
        <v>26.664975733963121</v>
      </c>
      <c r="BG11" s="3919">
        <f>+'COKE OVENS'!BD206</f>
        <v>25.703786594162402</v>
      </c>
      <c r="BH11" s="1290">
        <f>+'COKE OVENS'!BE206</f>
        <v>26.664201157752188</v>
      </c>
      <c r="BI11" s="1291">
        <f>+'COKE OVENS'!BF206</f>
        <v>22.892423487478744</v>
      </c>
    </row>
    <row r="12" spans="1:61" ht="15.75" thickBot="1" x14ac:dyDescent="0.3">
      <c r="C12" s="6151"/>
      <c r="D12" s="5321" t="s">
        <v>1585</v>
      </c>
      <c r="E12" s="5318" t="s">
        <v>226</v>
      </c>
      <c r="F12" s="5319"/>
      <c r="G12" s="5322">
        <v>18.395939086294415</v>
      </c>
      <c r="H12" s="1282">
        <f>+'COKE OVENS'!E58</f>
        <v>18.364864864864867</v>
      </c>
      <c r="I12" s="1282">
        <f>+'COKE OVENS'!F58</f>
        <v>18.63</v>
      </c>
      <c r="J12" s="1282">
        <f>+'COKE OVENS'!G58</f>
        <v>18.364864864864867</v>
      </c>
      <c r="K12" s="1282">
        <f>+'COKE OVENS'!H58</f>
        <v>19.25</v>
      </c>
      <c r="L12" s="1293">
        <f>+'COKE OVENS'!I58</f>
        <v>18.364864864864867</v>
      </c>
      <c r="M12" s="1293">
        <f>+'COKE OVENS'!J58</f>
        <v>18.945024809791597</v>
      </c>
      <c r="N12" s="1282">
        <f>+'COKE OVENS'!K58</f>
        <v>18.364864864864867</v>
      </c>
      <c r="O12" s="1282">
        <f>+'COKE OVENS'!L58</f>
        <v>19.350000000000001</v>
      </c>
      <c r="P12" s="1287">
        <f>+'COKE OVENS'!M58</f>
        <v>18.364864864864867</v>
      </c>
      <c r="Q12" s="1287">
        <f>+'COKE OVENS'!N58</f>
        <v>19.078549889135257</v>
      </c>
      <c r="R12" s="1282">
        <f>+'COKE OVENS'!O58</f>
        <v>18.364864864864867</v>
      </c>
      <c r="S12" s="1282">
        <f>+'COKE OVENS'!P58</f>
        <v>18.5</v>
      </c>
      <c r="T12" s="1293">
        <f>+'COKE OVENS'!Q58</f>
        <v>18.364864864864867</v>
      </c>
      <c r="U12" s="1293">
        <f>+'COKE OVENS'!R58</f>
        <v>18.931603672152843</v>
      </c>
      <c r="V12" s="1282">
        <f>+'COKE OVENS'!S58</f>
        <v>18.552901023890787</v>
      </c>
      <c r="W12" s="1282">
        <f>+'COKE OVENS'!T58</f>
        <v>18.383333333333333</v>
      </c>
      <c r="X12" s="1293">
        <f>+'COKE OVENS'!U58</f>
        <v>18.402963694471428</v>
      </c>
      <c r="Y12" s="2782">
        <f>+'COKE OVENS'!V58</f>
        <v>18.820208031281577</v>
      </c>
      <c r="Z12" s="2780">
        <f>+'COKE OVENS'!W58</f>
        <v>18.552901023890787</v>
      </c>
      <c r="AA12" s="1282">
        <f>+'COKE OVENS'!X58</f>
        <v>18.45</v>
      </c>
      <c r="AB12" s="3915">
        <f>+'COKE OVENS'!Y58</f>
        <v>18.489541013784226</v>
      </c>
      <c r="AC12" s="3915">
        <f>+'COKE OVENS'!Z58</f>
        <v>18.444304444687923</v>
      </c>
      <c r="AD12" s="1431">
        <f>+'COKE OVENS'!AA58</f>
        <v>18.427543584540174</v>
      </c>
      <c r="AE12" s="3919">
        <f>+'COKE OVENS'!AB58</f>
        <v>18.759553139895743</v>
      </c>
      <c r="AF12" s="1282">
        <f>+'COKE OVENS'!AC58</f>
        <v>18.364864864864867</v>
      </c>
      <c r="AG12" s="1282">
        <f>+'COKE OVENS'!AD58</f>
        <v>18.8</v>
      </c>
      <c r="AH12" s="1293">
        <f>+'COKE OVENS'!AE58</f>
        <v>18.418463956923659</v>
      </c>
      <c r="AI12" s="1293">
        <f>+'COKE OVENS'!AF58</f>
        <v>18.765336927429814</v>
      </c>
      <c r="AJ12" s="1282">
        <f>+'COKE OVENS'!AG58</f>
        <v>18.364864864864867</v>
      </c>
      <c r="AK12" s="1282">
        <f>+'COKE OVENS'!AH58</f>
        <v>18.3</v>
      </c>
      <c r="AL12" s="1293">
        <f>+'COKE OVENS'!AI58</f>
        <v>18.411873904621348</v>
      </c>
      <c r="AM12" s="1293">
        <f>+'COKE OVENS'!AJ58</f>
        <v>18.708097875663253</v>
      </c>
      <c r="AN12" s="2780">
        <f>+'COKE OVENS'!AK58</f>
        <v>18.364864864864867</v>
      </c>
      <c r="AO12" s="1282">
        <f>+'COKE OVENS'!AL58</f>
        <v>18.216666666666665</v>
      </c>
      <c r="AP12" s="3915">
        <f>+'COKE OVENS'!AM58</f>
        <v>18.36486486486487</v>
      </c>
      <c r="AQ12" s="3915">
        <f>+'COKE OVENS'!AN58</f>
        <v>18.438772471600306</v>
      </c>
      <c r="AR12" s="1293">
        <f>+'COKE OVENS'!AO58</f>
        <v>18.406574703776073</v>
      </c>
      <c r="AS12" s="1293">
        <f>+'COKE OVENS'!AP58</f>
        <v>18.652678273673882</v>
      </c>
      <c r="AT12" s="1282">
        <f>+'COKE OVENS'!AQ58</f>
        <v>18.364864864864867</v>
      </c>
      <c r="AU12" s="1282">
        <f>+'COKE OVENS'!AR58</f>
        <v>18.431185112634672</v>
      </c>
      <c r="AV12" s="1293">
        <f>+'COKE OVENS'!AS58</f>
        <v>18.40234919721971</v>
      </c>
      <c r="AW12" s="1293">
        <f>+'COKE OVENS'!AT58</f>
        <v>18.630231451649369</v>
      </c>
      <c r="AX12" s="1282">
        <f>+'COKE OVENS'!AU58</f>
        <v>18.364864864864867</v>
      </c>
      <c r="AY12" s="1282">
        <f>+'COKE OVENS'!AV58</f>
        <v>18.431185112634672</v>
      </c>
      <c r="AZ12" s="1293">
        <f>+'COKE OVENS'!AW58</f>
        <v>18.399104284866603</v>
      </c>
      <c r="BA12" s="1293">
        <f>+'COKE OVENS'!AX58</f>
        <v>18.612994982660254</v>
      </c>
      <c r="BB12" s="1282">
        <f>+'COKE OVENS'!AY58</f>
        <v>18.364864864864867</v>
      </c>
      <c r="BC12" s="1282">
        <f>+'COKE OVENS'!AZ58</f>
        <v>18.431185112634672</v>
      </c>
      <c r="BD12" s="5275">
        <f>+'COKE OVENS'!BA58</f>
        <v>18.364864864864867</v>
      </c>
      <c r="BE12" s="5275">
        <f>+'COKE OVENS'!BB58</f>
        <v>18.431185112634672</v>
      </c>
      <c r="BF12" s="1433">
        <f>+'COKE OVENS'!BC58</f>
        <v>18.396204224702522</v>
      </c>
      <c r="BG12" s="3927">
        <f>+'COKE OVENS'!BD58</f>
        <v>18.597582165705699</v>
      </c>
      <c r="BH12" s="1293">
        <f>+'COKE OVENS'!BE58</f>
        <v>18.396204224702522</v>
      </c>
      <c r="BI12" s="1723">
        <f>+'COKE OVENS'!BF58</f>
        <v>18.597582024673489</v>
      </c>
    </row>
    <row r="13" spans="1:61" x14ac:dyDescent="0.25">
      <c r="C13" s="6151"/>
      <c r="D13" s="5323"/>
      <c r="E13" s="2783"/>
      <c r="F13" s="2783"/>
      <c r="G13" s="2783"/>
      <c r="H13" s="2783"/>
      <c r="I13" s="2783"/>
      <c r="J13" s="2783"/>
      <c r="K13" s="2783"/>
      <c r="L13" s="2783"/>
      <c r="M13" s="2783"/>
      <c r="N13" s="2783"/>
      <c r="O13" s="2783"/>
      <c r="P13" s="2783"/>
      <c r="Q13" s="2783"/>
      <c r="R13" s="2783"/>
      <c r="S13" s="2783"/>
      <c r="T13" s="2783"/>
      <c r="U13" s="2783"/>
      <c r="V13" s="2783"/>
      <c r="W13" s="2783"/>
      <c r="X13" s="2783"/>
      <c r="Y13" s="2784"/>
      <c r="Z13" s="2783"/>
      <c r="AA13" s="2783"/>
      <c r="AB13" s="2783"/>
      <c r="AC13" s="2783"/>
      <c r="AD13" s="2783"/>
      <c r="AE13" s="2784"/>
      <c r="AF13" s="2783"/>
      <c r="AG13" s="2783"/>
      <c r="AH13" s="2783"/>
      <c r="AI13" s="2783"/>
      <c r="AJ13" s="2783"/>
      <c r="AK13" s="2783"/>
      <c r="AL13" s="2783"/>
      <c r="AM13" s="2783"/>
      <c r="AN13" s="2783"/>
      <c r="AO13" s="2783"/>
      <c r="AP13" s="2783"/>
      <c r="AQ13" s="2783"/>
      <c r="AR13" s="2783"/>
      <c r="AS13" s="2783"/>
      <c r="AT13" s="2783"/>
      <c r="AU13" s="2783"/>
      <c r="AV13" s="2783"/>
      <c r="AW13" s="2783"/>
      <c r="AX13" s="2783"/>
      <c r="AY13" s="2783"/>
      <c r="AZ13" s="2783"/>
      <c r="BA13" s="2783"/>
      <c r="BB13" s="2783"/>
      <c r="BC13" s="2783"/>
      <c r="BD13" s="2783"/>
      <c r="BE13" s="2783"/>
      <c r="BF13" s="2783"/>
      <c r="BG13" s="2784"/>
      <c r="BH13" s="2783"/>
      <c r="BI13" s="2784"/>
    </row>
    <row r="14" spans="1:61" s="183" customFormat="1" x14ac:dyDescent="0.25">
      <c r="A14"/>
      <c r="B14"/>
      <c r="C14" s="6151"/>
      <c r="D14" s="5324" t="s">
        <v>1099</v>
      </c>
      <c r="E14" s="2783"/>
      <c r="F14" s="2783"/>
      <c r="G14" s="2783"/>
      <c r="H14" s="2783"/>
      <c r="I14" s="2783"/>
      <c r="J14" s="2783"/>
      <c r="K14" s="2783"/>
      <c r="L14" s="2783"/>
      <c r="M14" s="2783"/>
      <c r="N14" s="2783"/>
      <c r="O14" s="2783"/>
      <c r="P14" s="2783"/>
      <c r="Q14" s="2783"/>
      <c r="R14" s="2783"/>
      <c r="S14" s="2783"/>
      <c r="T14" s="2783"/>
      <c r="U14" s="2783"/>
      <c r="V14" s="2783"/>
      <c r="W14" s="2783"/>
      <c r="X14" s="2783"/>
      <c r="Y14" s="2784"/>
      <c r="Z14" s="2783"/>
      <c r="AA14" s="2783"/>
      <c r="AB14" s="2783"/>
      <c r="AC14" s="2783"/>
      <c r="AD14" s="2783"/>
      <c r="AE14" s="2784"/>
      <c r="AF14" s="2783"/>
      <c r="AG14" s="2783"/>
      <c r="AH14" s="2783"/>
      <c r="AI14" s="2783"/>
      <c r="AJ14" s="2783"/>
      <c r="AK14" s="2783"/>
      <c r="AL14" s="2783"/>
      <c r="AM14" s="2783"/>
      <c r="AN14" s="2783"/>
      <c r="AO14" s="2783"/>
      <c r="AP14" s="2783"/>
      <c r="AQ14" s="2783"/>
      <c r="AR14" s="2783"/>
      <c r="AS14" s="2783"/>
      <c r="AT14" s="2783"/>
      <c r="AU14" s="2783"/>
      <c r="AV14" s="2783"/>
      <c r="AW14" s="2783"/>
      <c r="AX14" s="2783"/>
      <c r="AY14" s="2783"/>
      <c r="AZ14" s="2783"/>
      <c r="BA14" s="2783"/>
      <c r="BB14" s="2783"/>
      <c r="BC14" s="2783"/>
      <c r="BD14" s="2783"/>
      <c r="BE14" s="2783"/>
      <c r="BF14" s="2783"/>
      <c r="BG14" s="2784"/>
      <c r="BH14" s="2783"/>
      <c r="BI14" s="2784"/>
    </row>
    <row r="15" spans="1:61" s="183" customFormat="1" x14ac:dyDescent="0.25">
      <c r="A15"/>
      <c r="B15"/>
      <c r="C15" s="6151"/>
      <c r="D15" s="5325" t="s">
        <v>1584</v>
      </c>
      <c r="E15" s="5318" t="s">
        <v>51</v>
      </c>
      <c r="F15" s="5326">
        <v>23.078854449800236</v>
      </c>
      <c r="G15" s="5327">
        <v>26</v>
      </c>
      <c r="H15" s="1473">
        <f>+$G$15</f>
        <v>26</v>
      </c>
      <c r="I15" s="1729">
        <f>+'COKE OVENS'!F141</f>
        <v>19.999642288637297</v>
      </c>
      <c r="J15" s="1473">
        <f>+$G$15</f>
        <v>26</v>
      </c>
      <c r="K15" s="1729">
        <f>+'COKE OVENS'!H141</f>
        <v>21.096374277106346</v>
      </c>
      <c r="L15" s="1290">
        <f>+$G$15</f>
        <v>26</v>
      </c>
      <c r="M15" s="1290">
        <f>+'COKE OVENS'!J141</f>
        <v>20.556899661285357</v>
      </c>
      <c r="N15" s="1473">
        <f>+$G$15</f>
        <v>26</v>
      </c>
      <c r="O15" s="1729">
        <f>+'COKE OVENS'!L141</f>
        <v>20.200000000000003</v>
      </c>
      <c r="P15" s="1285">
        <f>+$G$15</f>
        <v>26</v>
      </c>
      <c r="Q15" s="1961">
        <f>+'COKE OVENS'!N141</f>
        <v>20.439225787581044</v>
      </c>
      <c r="R15" s="1473">
        <f>+$G$15</f>
        <v>26</v>
      </c>
      <c r="S15" s="1729">
        <f>+'COKE OVENS'!P141</f>
        <v>15.969487483946839</v>
      </c>
      <c r="T15" s="1290">
        <f>+$G$15</f>
        <v>26</v>
      </c>
      <c r="U15" s="1291">
        <f>+'COKE OVENS'!R141</f>
        <v>19.290478521706095</v>
      </c>
      <c r="V15" s="1473">
        <f>+$G$15</f>
        <v>26</v>
      </c>
      <c r="W15" s="1729">
        <f>+'COKE OVENS'!T141</f>
        <v>16.806451612903228</v>
      </c>
      <c r="X15" s="1290">
        <f>+$G$15</f>
        <v>26</v>
      </c>
      <c r="Y15" s="1291">
        <f>+'COKE OVENS'!V141</f>
        <v>18.771533219283519</v>
      </c>
      <c r="Z15" s="1473">
        <f>+$G$15</f>
        <v>26</v>
      </c>
      <c r="AA15" s="1729">
        <f>+'COKE OVENS'!X141</f>
        <v>19.59986142007736</v>
      </c>
      <c r="AB15" s="1285">
        <f>+$G$15</f>
        <v>26</v>
      </c>
      <c r="AC15" s="1285">
        <f>+'COKE OVENS'!Z141</f>
        <v>17.446183585193868</v>
      </c>
      <c r="AD15" s="1431">
        <f>+$G$15</f>
        <v>26</v>
      </c>
      <c r="AE15" s="3919">
        <f>+'COKE OVENS'!AB141</f>
        <v>18.910426975018837</v>
      </c>
      <c r="AF15" s="1473">
        <f>+$G$15</f>
        <v>26</v>
      </c>
      <c r="AG15" s="1729">
        <f>+'COKE OVENS'!AD141</f>
        <v>20.903225806451612</v>
      </c>
      <c r="AH15" s="1290">
        <f>+$G$15</f>
        <v>26</v>
      </c>
      <c r="AI15" s="1290">
        <f>+'COKE OVENS'!AF141</f>
        <v>19.201114344243123</v>
      </c>
      <c r="AJ15" s="1473">
        <f>+$G$15</f>
        <v>26</v>
      </c>
      <c r="AK15" s="1729">
        <f>+'COKE OVENS'!AH141</f>
        <v>27.266666666666666</v>
      </c>
      <c r="AL15" s="1290">
        <f>+$G$15</f>
        <v>26</v>
      </c>
      <c r="AM15" s="1290">
        <f>+'COKE OVENS'!AJ141</f>
        <v>20.19026483710844</v>
      </c>
      <c r="AN15" s="1473">
        <f>+$G$15</f>
        <v>26</v>
      </c>
      <c r="AO15" s="1729">
        <f>+'COKE OVENS'!AL141</f>
        <v>27.33</v>
      </c>
      <c r="AP15" s="1285">
        <f>+$G$15</f>
        <v>26</v>
      </c>
      <c r="AQ15" s="1285">
        <f>+'COKE OVENS'!AN141</f>
        <v>25.12196030181849</v>
      </c>
      <c r="AR15" s="1290">
        <f>+$G$15</f>
        <v>26</v>
      </c>
      <c r="AS15" s="1290">
        <f>+'COKE OVENS'!AP141</f>
        <v>20.985823797261418</v>
      </c>
      <c r="AT15" s="1473">
        <f>+$G$15</f>
        <v>26</v>
      </c>
      <c r="AU15" s="1729">
        <f>+'COKE OVENS'!AR141</f>
        <v>25.903225806451612</v>
      </c>
      <c r="AV15" s="1290">
        <f>+$G$15</f>
        <v>26</v>
      </c>
      <c r="AW15" s="1290">
        <f>+'COKE OVENS'!AT141</f>
        <v>21.478821683467626</v>
      </c>
      <c r="AX15" s="1473">
        <f>+$G$15</f>
        <v>26</v>
      </c>
      <c r="AY15" s="1729">
        <f>+'COKE OVENS'!AV141</f>
        <v>25.999999999999996</v>
      </c>
      <c r="AZ15" s="1290">
        <f>+$G$15</f>
        <v>26</v>
      </c>
      <c r="BA15" s="1290">
        <f>+'COKE OVENS'!AX141</f>
        <v>21.86649353473306</v>
      </c>
      <c r="BB15" s="1473">
        <f>+$G$15</f>
        <v>26</v>
      </c>
      <c r="BC15" s="1729">
        <f>+'COKE OVENS'!AZ141</f>
        <v>26.000137831225661</v>
      </c>
      <c r="BD15" s="3914">
        <f>+'COKE OVENS'!BA141</f>
        <v>26.022507349272423</v>
      </c>
      <c r="BE15" s="3914">
        <f>+'COKE OVENS'!BB141</f>
        <v>25.967087277168428</v>
      </c>
      <c r="BF15" s="1431">
        <f>+'COKE OVENS'!BC141</f>
        <v>26.02250664638926</v>
      </c>
      <c r="BG15" s="3919">
        <f>+'COKE OVENS'!BD141</f>
        <v>25.540079487081812</v>
      </c>
      <c r="BH15" s="1290">
        <f>+'COKE OVENS'!BE141</f>
        <v>26.022503663382707</v>
      </c>
      <c r="BI15" s="1291">
        <f>+'COKE OVENS'!BF141</f>
        <v>22.213775459466682</v>
      </c>
    </row>
    <row r="16" spans="1:61" s="183" customFormat="1" x14ac:dyDescent="0.25">
      <c r="A16"/>
      <c r="B16"/>
      <c r="C16" s="6151"/>
      <c r="D16" s="5325" t="s">
        <v>1585</v>
      </c>
      <c r="E16" s="5318" t="s">
        <v>226</v>
      </c>
      <c r="F16" s="5328"/>
      <c r="G16" s="5322">
        <v>18.787878787878789</v>
      </c>
      <c r="H16" s="1282">
        <f>+'COKE OVENS'!E56</f>
        <v>18.787878787878789</v>
      </c>
      <c r="I16" s="1282">
        <f>+'COKE OVENS'!F56</f>
        <v>18.829999999999998</v>
      </c>
      <c r="J16" s="1282">
        <f>+'COKE OVENS'!G56</f>
        <v>18.787878787878789</v>
      </c>
      <c r="K16" s="1282">
        <f>+'COKE OVENS'!H56</f>
        <v>18.783000000000001</v>
      </c>
      <c r="L16" s="1293">
        <f>+'COKE OVENS'!I56</f>
        <v>18.787878787878789</v>
      </c>
      <c r="M16" s="1293">
        <f>+'COKE OVENS'!J56</f>
        <v>18.806119086999669</v>
      </c>
      <c r="N16" s="1282">
        <f>+'COKE OVENS'!K56</f>
        <v>18.787878787878789</v>
      </c>
      <c r="O16" s="1282">
        <f>+'COKE OVENS'!L56</f>
        <v>18.8</v>
      </c>
      <c r="P16" s="1287">
        <f>+'COKE OVENS'!M56</f>
        <v>18.787878787878789</v>
      </c>
      <c r="Q16" s="1287">
        <f>+'COKE OVENS'!N56</f>
        <v>18.804101552106431</v>
      </c>
      <c r="R16" s="1282">
        <f>+'COKE OVENS'!O56</f>
        <v>18.787878787878789</v>
      </c>
      <c r="S16" s="1282">
        <f>+'COKE OVENS'!P56</f>
        <v>18.816666999999999</v>
      </c>
      <c r="T16" s="1293">
        <f>+'COKE OVENS'!Q56</f>
        <v>18.787878787878789</v>
      </c>
      <c r="U16" s="1293">
        <f>+'COKE OVENS'!R56</f>
        <v>18.807293057398066</v>
      </c>
      <c r="V16" s="1282">
        <f>+'COKE OVENS'!S56</f>
        <v>18.787878787878789</v>
      </c>
      <c r="W16" s="1282">
        <f>+'COKE OVENS'!T56</f>
        <v>18.733333333333334</v>
      </c>
      <c r="X16" s="1293">
        <f>+'COKE OVENS'!U56</f>
        <v>18.787878787878789</v>
      </c>
      <c r="Y16" s="2782">
        <f>+'COKE OVENS'!V56</f>
        <v>18.792266180550069</v>
      </c>
      <c r="Z16" s="2780">
        <f>+'COKE OVENS'!W56</f>
        <v>18.787878787878789</v>
      </c>
      <c r="AA16" s="1282">
        <f>+'COKE OVENS'!X56</f>
        <v>18.816666666666666</v>
      </c>
      <c r="AB16" s="1285">
        <f>+'COKE OVENS'!Y56</f>
        <v>18.787878787878789</v>
      </c>
      <c r="AC16" s="1285">
        <f>+'COKE OVENS'!Z56</f>
        <v>18.788517697344872</v>
      </c>
      <c r="AD16" s="1431">
        <f>+'COKE OVENS'!AA56</f>
        <v>18.787878787878789</v>
      </c>
      <c r="AE16" s="3919">
        <f>+'COKE OVENS'!AB56</f>
        <v>18.796263578569405</v>
      </c>
      <c r="AF16" s="1282">
        <f>+'COKE OVENS'!AC56</f>
        <v>18.787878787878789</v>
      </c>
      <c r="AG16" s="1282">
        <f>+'COKE OVENS'!AD56</f>
        <v>19.100000000000001</v>
      </c>
      <c r="AH16" s="1293">
        <f>+'COKE OVENS'!AE56</f>
        <v>18.787878787878789</v>
      </c>
      <c r="AI16" s="1293">
        <f>+'COKE OVENS'!AF56</f>
        <v>18.839697034797787</v>
      </c>
      <c r="AJ16" s="1282">
        <f>+'COKE OVENS'!AG56</f>
        <v>18.787878787878789</v>
      </c>
      <c r="AK16" s="1282">
        <f>+'COKE OVENS'!AH56</f>
        <v>18.8</v>
      </c>
      <c r="AL16" s="1293">
        <f>+'COKE OVENS'!AI56</f>
        <v>18.787878787878789</v>
      </c>
      <c r="AM16" s="1293">
        <f>+'COKE OVENS'!AJ56</f>
        <v>18.83481407688959</v>
      </c>
      <c r="AN16" s="2780">
        <f>+'COKE OVENS'!AK56</f>
        <v>18.787878787878789</v>
      </c>
      <c r="AO16" s="1282">
        <f>+'COKE OVENS'!AL56</f>
        <v>18.833333333333332</v>
      </c>
      <c r="AP16" s="1285">
        <f>+'COKE OVENS'!AM56</f>
        <v>18.787878787878789</v>
      </c>
      <c r="AQ16" s="1285">
        <f>+'COKE OVENS'!AN56</f>
        <v>18.911470166537995</v>
      </c>
      <c r="AR16" s="1293">
        <f>+'COKE OVENS'!AO56</f>
        <v>18.787878787878789</v>
      </c>
      <c r="AS16" s="1293">
        <f>+'COKE OVENS'!AP56</f>
        <v>18.834647090713226</v>
      </c>
      <c r="AT16" s="1282">
        <f>+'COKE OVENS'!AQ56</f>
        <v>18.787878787878789</v>
      </c>
      <c r="AU16" s="1282">
        <f>+'COKE OVENS'!AR56</f>
        <v>18.833333333333332</v>
      </c>
      <c r="AV16" s="1293">
        <f>+'COKE OVENS'!AS56</f>
        <v>18.787878787878789</v>
      </c>
      <c r="AW16" s="1293">
        <f>+'COKE OVENS'!AT56</f>
        <v>18.834513950358229</v>
      </c>
      <c r="AX16" s="1282">
        <f>+'COKE OVENS'!AU56</f>
        <v>18.787878787878789</v>
      </c>
      <c r="AY16" s="1282">
        <f>+'COKE OVENS'!AV56</f>
        <v>18.766666666666666</v>
      </c>
      <c r="AZ16" s="1293">
        <f>+'COKE OVENS'!AW56</f>
        <v>18.787878787878789</v>
      </c>
      <c r="BA16" s="1293">
        <f>+'COKE OVENS'!AX56</f>
        <v>18.828638697353654</v>
      </c>
      <c r="BB16" s="1282">
        <f>+'COKE OVENS'!AY56</f>
        <v>18.787878787878789</v>
      </c>
      <c r="BC16" s="1282">
        <f>+'COKE OVENS'!AZ56</f>
        <v>18.7</v>
      </c>
      <c r="BD16" s="5275">
        <f>+'COKE OVENS'!BA56</f>
        <v>18.787878787878789</v>
      </c>
      <c r="BE16" s="5275">
        <f>+'COKE OVENS'!BB56</f>
        <v>18.766651869936744</v>
      </c>
      <c r="BF16" s="1433">
        <f>+'COKE OVENS'!BC56</f>
        <v>18.787878787878789</v>
      </c>
      <c r="BG16" s="3927">
        <f>+'COKE OVENS'!BD56</f>
        <v>18.839284579864987</v>
      </c>
      <c r="BH16" s="1293">
        <f>+'COKE OVENS'!BE56</f>
        <v>18.787878787878789</v>
      </c>
      <c r="BI16" s="1723">
        <f>+'COKE OVENS'!BF56</f>
        <v>18.817733333208654</v>
      </c>
    </row>
    <row r="17" spans="1:61" x14ac:dyDescent="0.25">
      <c r="C17" s="6151"/>
      <c r="D17" s="5325" t="s">
        <v>1100</v>
      </c>
      <c r="E17" s="5318" t="s">
        <v>51</v>
      </c>
      <c r="F17" s="5319">
        <v>84.340172124348669</v>
      </c>
      <c r="G17" s="5320">
        <v>84</v>
      </c>
      <c r="H17" s="1279">
        <v>84</v>
      </c>
      <c r="I17" s="1280">
        <f>+'COKE OVENS'!F151</f>
        <v>84.88</v>
      </c>
      <c r="J17" s="1279">
        <f>+'COKE OVENS'!G151</f>
        <v>84</v>
      </c>
      <c r="K17" s="1280">
        <f>+'COKE OVENS'!H151</f>
        <v>84.900235294117664</v>
      </c>
      <c r="L17" s="1290">
        <f>+'COKE OVENS'!I151</f>
        <v>84</v>
      </c>
      <c r="M17" s="1291">
        <f>+'COKE OVENS'!J151</f>
        <v>84.890243692606759</v>
      </c>
      <c r="N17" s="1279">
        <f>+'COKE OVENS'!K151</f>
        <v>84</v>
      </c>
      <c r="O17" s="1280">
        <f>+'COKE OVENS'!L151</f>
        <v>84.840227272727262</v>
      </c>
      <c r="P17" s="1285">
        <f>+'COKE OVENS'!M151</f>
        <v>84</v>
      </c>
      <c r="Q17" s="1961">
        <f>+'COKE OVENS'!N151</f>
        <v>84.87371447897651</v>
      </c>
      <c r="R17" s="1279">
        <f>+'COKE OVENS'!O151</f>
        <v>84</v>
      </c>
      <c r="S17" s="1280">
        <f>+'COKE OVENS'!P151</f>
        <v>84.766813186813195</v>
      </c>
      <c r="T17" s="1290">
        <f>+'COKE OVENS'!Q151</f>
        <v>84</v>
      </c>
      <c r="U17" s="1291">
        <f>+'COKE OVENS'!R151</f>
        <v>84.846508607217487</v>
      </c>
      <c r="V17" s="1279">
        <f>+'COKE OVENS'!S151</f>
        <v>84</v>
      </c>
      <c r="W17" s="1280">
        <f>+'COKE OVENS'!T151</f>
        <v>84.855268817204291</v>
      </c>
      <c r="X17" s="1290">
        <f>+'COKE OVENS'!U151</f>
        <v>84</v>
      </c>
      <c r="Y17" s="1291">
        <f>+'COKE OVENS'!V151</f>
        <v>84.848290995854782</v>
      </c>
      <c r="Z17" s="2779">
        <f>+'COKE OVENS'!W151</f>
        <v>84</v>
      </c>
      <c r="AA17" s="1280">
        <f>+'COKE OVENS'!X151</f>
        <v>84.897411764705851</v>
      </c>
      <c r="AB17" s="1285">
        <f>+'COKE OVENS'!Y151</f>
        <v>84</v>
      </c>
      <c r="AC17" s="1285">
        <f>+'COKE OVENS'!Z151</f>
        <v>84.839223618989038</v>
      </c>
      <c r="AD17" s="1431">
        <f>+'COKE OVENS'!AA151</f>
        <v>84</v>
      </c>
      <c r="AE17" s="3919">
        <f>+'COKE OVENS'!AB151</f>
        <v>84.856346288418905</v>
      </c>
      <c r="AF17" s="1279">
        <f>+'COKE OVENS'!AC151</f>
        <v>84</v>
      </c>
      <c r="AG17" s="1280">
        <f>+'COKE OVENS'!AD151</f>
        <v>84.780659340659369</v>
      </c>
      <c r="AH17" s="1290">
        <f>+'COKE OVENS'!AE151</f>
        <v>84</v>
      </c>
      <c r="AI17" s="1291">
        <f>+'COKE OVENS'!AF151</f>
        <v>84.845511563186491</v>
      </c>
      <c r="AJ17" s="1279">
        <f>+'COKE OVENS'!AG151</f>
        <v>84</v>
      </c>
      <c r="AK17" s="1280">
        <f>+'COKE OVENS'!AH151</f>
        <v>84.710243902439018</v>
      </c>
      <c r="AL17" s="1290">
        <f>+'COKE OVENS'!AI151</f>
        <v>84</v>
      </c>
      <c r="AM17" s="1291">
        <f>+'COKE OVENS'!AJ151</f>
        <v>84.828756615873075</v>
      </c>
      <c r="AN17" s="2779">
        <f>+'COKE OVENS'!AK151</f>
        <v>84</v>
      </c>
      <c r="AO17" s="1280">
        <f>+'COKE OVENS'!AL151</f>
        <v>84.72</v>
      </c>
      <c r="AP17" s="1285">
        <f>+'COKE OVENS'!AM151</f>
        <v>84</v>
      </c>
      <c r="AQ17" s="1285">
        <f>+'COKE OVENS'!AN151</f>
        <v>84.737002266720836</v>
      </c>
      <c r="AR17" s="1290">
        <f>+'COKE OVENS'!AO151</f>
        <v>84</v>
      </c>
      <c r="AS17" s="1291">
        <f>+'COKE OVENS'!AP151</f>
        <v>84.816492089744173</v>
      </c>
      <c r="AT17" s="1279">
        <f>+'COKE OVENS'!AQ151</f>
        <v>84</v>
      </c>
      <c r="AU17" s="1280">
        <f>+'COKE OVENS'!AR151</f>
        <v>85.080459770114928</v>
      </c>
      <c r="AV17" s="1290">
        <f>+'COKE OVENS'!AS151</f>
        <v>84</v>
      </c>
      <c r="AW17" s="1291">
        <f>+'COKE OVENS'!AT151</f>
        <v>84.843240897708924</v>
      </c>
      <c r="AX17" s="1279">
        <f>+'COKE OVENS'!AU151</f>
        <v>84</v>
      </c>
      <c r="AY17" s="1280">
        <f>+'COKE OVENS'!AV151</f>
        <v>86.18012195121949</v>
      </c>
      <c r="AZ17" s="1290">
        <f>+'COKE OVENS'!AW151</f>
        <v>84</v>
      </c>
      <c r="BA17" s="1291">
        <f>+'COKE OVENS'!AX151</f>
        <v>84.959010177374211</v>
      </c>
      <c r="BB17" s="1279">
        <f>+'COKE OVENS'!AY151</f>
        <v>84</v>
      </c>
      <c r="BC17" s="1280">
        <f>+'COKE OVENS'!AZ151</f>
        <v>86.432808988764023</v>
      </c>
      <c r="BD17" s="3914">
        <f>+'COKE OVENS'!BA151</f>
        <v>84</v>
      </c>
      <c r="BE17" s="3914">
        <f>+'COKE OVENS'!BB151</f>
        <v>85.891745663361348</v>
      </c>
      <c r="BF17" s="1431">
        <f>+'COKE OVENS'!BC151</f>
        <v>84</v>
      </c>
      <c r="BG17" s="3919">
        <f>+'COKE OVENS'!BD151</f>
        <v>85.311909165110876</v>
      </c>
      <c r="BH17" s="1290">
        <f>+'COKE OVENS'!BE151</f>
        <v>84</v>
      </c>
      <c r="BI17" s="1291">
        <f>+'COKE OVENS'!BF151</f>
        <v>85.08395529933685</v>
      </c>
    </row>
    <row r="18" spans="1:61" x14ac:dyDescent="0.25">
      <c r="C18" s="6151"/>
      <c r="D18" s="5325" t="s">
        <v>209</v>
      </c>
      <c r="E18" s="5318" t="s">
        <v>51</v>
      </c>
      <c r="F18" s="5319">
        <v>7.9983421553617724</v>
      </c>
      <c r="G18" s="5320">
        <v>8</v>
      </c>
      <c r="H18" s="1279">
        <v>8</v>
      </c>
      <c r="I18" s="1280">
        <f>+'COKE OVENS'!F152</f>
        <v>7.8</v>
      </c>
      <c r="J18" s="1279">
        <f>+'COKE OVENS'!G152</f>
        <v>8</v>
      </c>
      <c r="K18" s="1280">
        <f>+'COKE OVENS'!H152</f>
        <v>7.8034117647058805</v>
      </c>
      <c r="L18" s="1290">
        <f>+'COKE OVENS'!I152</f>
        <v>8</v>
      </c>
      <c r="M18" s="1291">
        <f>+'COKE OVENS'!J152</f>
        <v>7.8017271342185817</v>
      </c>
      <c r="N18" s="1279">
        <f>+'COKE OVENS'!K152</f>
        <v>8</v>
      </c>
      <c r="O18" s="1280">
        <f>+'COKE OVENS'!L152</f>
        <v>7.8992045454545439</v>
      </c>
      <c r="P18" s="1285">
        <f>+'COKE OVENS'!M152</f>
        <v>8</v>
      </c>
      <c r="Q18" s="1961">
        <f>+'COKE OVENS'!N152</f>
        <v>7.8339410543337209</v>
      </c>
      <c r="R18" s="1279">
        <f>+'COKE OVENS'!O152</f>
        <v>8</v>
      </c>
      <c r="S18" s="1280">
        <f>+'COKE OVENS'!P152</f>
        <v>7.8956043956043915</v>
      </c>
      <c r="T18" s="1290">
        <f>+'COKE OVENS'!Q152</f>
        <v>8</v>
      </c>
      <c r="U18" s="1291">
        <f>+'COKE OVENS'!R152</f>
        <v>7.8496340821811383</v>
      </c>
      <c r="V18" s="1279">
        <f>+'COKE OVENS'!S152</f>
        <v>8</v>
      </c>
      <c r="W18" s="1280">
        <f>+'COKE OVENS'!T152</f>
        <v>7.8312903225806405</v>
      </c>
      <c r="X18" s="1290">
        <f>+'COKE OVENS'!U152</f>
        <v>8</v>
      </c>
      <c r="Y18" s="1291">
        <f>+'COKE OVENS'!V152</f>
        <v>7.8459017848131056</v>
      </c>
      <c r="Z18" s="2779">
        <f>+'COKE OVENS'!W152</f>
        <v>8</v>
      </c>
      <c r="AA18" s="1280">
        <f>+'COKE OVENS'!X152</f>
        <v>7.8359999999999994</v>
      </c>
      <c r="AB18" s="1285">
        <f>+'COKE OVENS'!Y152</f>
        <v>8</v>
      </c>
      <c r="AC18" s="1285">
        <f>+'COKE OVENS'!Z152</f>
        <v>7.854468811295499</v>
      </c>
      <c r="AD18" s="1431">
        <f>+'COKE OVENS'!AA152</f>
        <v>8</v>
      </c>
      <c r="AE18" s="3919">
        <f>+'COKE OVENS'!AB152</f>
        <v>7.8442779956208275</v>
      </c>
      <c r="AF18" s="1279">
        <f>+'COKE OVENS'!AC152</f>
        <v>8</v>
      </c>
      <c r="AG18" s="1280">
        <f>+'COKE OVENS'!AD152</f>
        <v>7.9206593406593413</v>
      </c>
      <c r="AH18" s="1290">
        <f>+'COKE OVENS'!AE152</f>
        <v>8</v>
      </c>
      <c r="AI18" s="1291">
        <f>+'COKE OVENS'!AF152</f>
        <v>7.855212125095882</v>
      </c>
      <c r="AJ18" s="1279">
        <f>+'COKE OVENS'!AG152</f>
        <v>8</v>
      </c>
      <c r="AK18" s="1280">
        <f>+'COKE OVENS'!AH152</f>
        <v>7.8074390243902432</v>
      </c>
      <c r="AL18" s="1290">
        <f>+'COKE OVENS'!AI152</f>
        <v>8</v>
      </c>
      <c r="AM18" s="1291">
        <f>+'COKE OVENS'!AJ152</f>
        <v>7.8492947034379714</v>
      </c>
      <c r="AN18" s="2779">
        <f>+'COKE OVENS'!AK152</f>
        <v>8</v>
      </c>
      <c r="AO18" s="1280">
        <f>+'COKE OVENS'!AL152</f>
        <v>7.88</v>
      </c>
      <c r="AP18" s="1285">
        <f>+'COKE OVENS'!AM152</f>
        <v>8</v>
      </c>
      <c r="AQ18" s="1285">
        <f>+'COKE OVENS'!AN152</f>
        <v>7.8696695602509878</v>
      </c>
      <c r="AR18" s="1290">
        <f>+'COKE OVENS'!AO152</f>
        <v>8</v>
      </c>
      <c r="AS18" s="1291">
        <f>+'COKE OVENS'!AP152</f>
        <v>7.8527573517463756</v>
      </c>
      <c r="AT18" s="1279">
        <f>+'COKE OVENS'!AQ152</f>
        <v>8</v>
      </c>
      <c r="AU18" s="1280">
        <f>+'COKE OVENS'!AR152</f>
        <v>7.8489655172413757</v>
      </c>
      <c r="AV18" s="1290">
        <f>+'COKE OVENS'!AS152</f>
        <v>8</v>
      </c>
      <c r="AW18" s="1291">
        <f>+'COKE OVENS'!AT152</f>
        <v>7.8523731113239643</v>
      </c>
      <c r="AX18" s="1279">
        <f>+'COKE OVENS'!AU152</f>
        <v>8</v>
      </c>
      <c r="AY18" s="1280">
        <f>+'COKE OVENS'!AV152</f>
        <v>7.658536585365856</v>
      </c>
      <c r="AZ18" s="1290">
        <f>+'COKE OVENS'!AW152</f>
        <v>8</v>
      </c>
      <c r="BA18" s="1291">
        <f>+'COKE OVENS'!AX152</f>
        <v>7.8355875379746633</v>
      </c>
      <c r="BB18" s="1279">
        <f>+'COKE OVENS'!AY152</f>
        <v>8</v>
      </c>
      <c r="BC18" s="1280">
        <f>+'COKE OVENS'!AZ152</f>
        <v>7.5823595505617973</v>
      </c>
      <c r="BD18" s="3914">
        <f>+'COKE OVENS'!BA152</f>
        <v>8</v>
      </c>
      <c r="BE18" s="3914">
        <f>+'COKE OVENS'!BB152</f>
        <v>7.6974256623919075</v>
      </c>
      <c r="BF18" s="1431">
        <f>+'COKE OVENS'!BC152</f>
        <v>8</v>
      </c>
      <c r="BG18" s="3919">
        <f>+'COKE OVENS'!BD152</f>
        <v>7.7839152659438122</v>
      </c>
      <c r="BH18" s="1290">
        <f>+'COKE OVENS'!BE152</f>
        <v>8</v>
      </c>
      <c r="BI18" s="1291">
        <f>+'COKE OVENS'!BF152</f>
        <v>7.8141194776619969</v>
      </c>
    </row>
    <row r="19" spans="1:61" x14ac:dyDescent="0.25">
      <c r="C19" s="6151"/>
      <c r="D19" s="5325" t="s">
        <v>1101</v>
      </c>
      <c r="E19" s="5318" t="s">
        <v>51</v>
      </c>
      <c r="F19" s="5319">
        <v>64.448248492385474</v>
      </c>
      <c r="G19" s="5320">
        <v>63.5</v>
      </c>
      <c r="H19" s="1279">
        <v>63.5</v>
      </c>
      <c r="I19" s="1280">
        <f>+'COKE OVENS'!F153</f>
        <v>65.180000000000007</v>
      </c>
      <c r="J19" s="1279">
        <f>+'COKE OVENS'!G153</f>
        <v>63.5</v>
      </c>
      <c r="K19" s="1280">
        <f>+'COKE OVENS'!H153</f>
        <v>65.206153846153853</v>
      </c>
      <c r="L19" s="1290">
        <f>+'COKE OVENS'!I153</f>
        <v>63.5</v>
      </c>
      <c r="M19" s="1291">
        <f>+'COKE OVENS'!J153</f>
        <v>65.193239835256506</v>
      </c>
      <c r="N19" s="1279">
        <f>+'COKE OVENS'!K153</f>
        <v>63.5</v>
      </c>
      <c r="O19" s="1280">
        <f>+'COKE OVENS'!L153</f>
        <v>64.903571428571425</v>
      </c>
      <c r="P19" s="1285">
        <f>+'COKE OVENS'!M153</f>
        <v>63.5</v>
      </c>
      <c r="Q19" s="1961">
        <f>+'COKE OVENS'!N153</f>
        <v>65.097511452705959</v>
      </c>
      <c r="R19" s="1279">
        <f>+'COKE OVENS'!O153</f>
        <v>63.5</v>
      </c>
      <c r="S19" s="1280">
        <f>+'COKE OVENS'!P153</f>
        <v>64.972499999999997</v>
      </c>
      <c r="T19" s="1290">
        <f>+'COKE OVENS'!Q153</f>
        <v>63.5</v>
      </c>
      <c r="U19" s="1291">
        <f>+'COKE OVENS'!R153</f>
        <v>65.065696630996101</v>
      </c>
      <c r="V19" s="1279">
        <f>+'COKE OVENS'!S153</f>
        <v>63.5</v>
      </c>
      <c r="W19" s="1280">
        <f>+'COKE OVENS'!T153</f>
        <v>65.085384615384612</v>
      </c>
      <c r="X19" s="1290">
        <f>+'COKE OVENS'!U153</f>
        <v>63.5</v>
      </c>
      <c r="Y19" s="1291">
        <f>+'COKE OVENS'!V153</f>
        <v>65.069702429911672</v>
      </c>
      <c r="Z19" s="2779">
        <f>+'COKE OVENS'!W153</f>
        <v>63.5</v>
      </c>
      <c r="AA19" s="1280">
        <f>+'COKE OVENS'!X153</f>
        <v>64.937499999999986</v>
      </c>
      <c r="AB19" s="1285">
        <f>+'COKE OVENS'!Y153</f>
        <v>63.5</v>
      </c>
      <c r="AC19" s="1285">
        <f>+'COKE OVENS'!Z153</f>
        <v>64.999233361025048</v>
      </c>
      <c r="AD19" s="1431">
        <f>+'COKE OVENS'!AA153</f>
        <v>63.5</v>
      </c>
      <c r="AE19" s="3919">
        <f>+'COKE OVENS'!AB153</f>
        <v>65.048022613501274</v>
      </c>
      <c r="AF19" s="1279">
        <f>+'COKE OVENS'!AC153</f>
        <v>63.5</v>
      </c>
      <c r="AG19" s="1280">
        <f>+'COKE OVENS'!AD153</f>
        <v>64.754615384615377</v>
      </c>
      <c r="AH19" s="1290">
        <f>+'COKE OVENS'!AE153</f>
        <v>63.5</v>
      </c>
      <c r="AI19" s="1291">
        <f>+'COKE OVENS'!AF153</f>
        <v>65.006020831155894</v>
      </c>
      <c r="AJ19" s="1279">
        <f>+'COKE OVENS'!AG153</f>
        <v>63.5</v>
      </c>
      <c r="AK19" s="1280">
        <f>+'COKE OVENS'!AH153</f>
        <v>65.13545454545455</v>
      </c>
      <c r="AL19" s="1290">
        <f>+'COKE OVENS'!AI153</f>
        <v>63.5</v>
      </c>
      <c r="AM19" s="1291">
        <f>+'COKE OVENS'!AJ153</f>
        <v>65.022053155893914</v>
      </c>
      <c r="AN19" s="2779">
        <f>+'COKE OVENS'!AK153</f>
        <v>63.5</v>
      </c>
      <c r="AO19" s="1280">
        <f>+'COKE OVENS'!AL153</f>
        <v>65.239999999999995</v>
      </c>
      <c r="AP19" s="1285">
        <f>+'COKE OVENS'!AM153</f>
        <v>63.5</v>
      </c>
      <c r="AQ19" s="1285">
        <f>+'COKE OVENS'!AN153</f>
        <v>65.043855724867242</v>
      </c>
      <c r="AR19" s="1290">
        <f>+'COKE OVENS'!AO153</f>
        <v>63.5</v>
      </c>
      <c r="AS19" s="1291">
        <f>+'COKE OVENS'!AP153</f>
        <v>65.046631106787217</v>
      </c>
      <c r="AT19" s="1279">
        <f>+'COKE OVENS'!AQ153</f>
        <v>63.5</v>
      </c>
      <c r="AU19" s="1280">
        <f>+'COKE OVENS'!AR153</f>
        <v>65.22782608695654</v>
      </c>
      <c r="AV19" s="1290">
        <f>+'COKE OVENS'!AS153</f>
        <v>63.5</v>
      </c>
      <c r="AW19" s="1291">
        <f>+'COKE OVENS'!AT153</f>
        <v>65.064992255098701</v>
      </c>
      <c r="AX19" s="1279">
        <f>+'COKE OVENS'!AU153</f>
        <v>63.5</v>
      </c>
      <c r="AY19" s="1280">
        <f>+'COKE OVENS'!AV153</f>
        <v>65.682692307692321</v>
      </c>
      <c r="AZ19" s="1290">
        <f>+'COKE OVENS'!AW153</f>
        <v>63.5</v>
      </c>
      <c r="BA19" s="1291">
        <f>+'COKE OVENS'!AX153</f>
        <v>65.118482945201748</v>
      </c>
      <c r="BB19" s="1279">
        <f>+'COKE OVENS'!AY153</f>
        <v>63.5</v>
      </c>
      <c r="BC19" s="1280">
        <f>+'COKE OVENS'!AZ153</f>
        <v>65.706666666666663</v>
      </c>
      <c r="BD19" s="3914">
        <f>+'COKE OVENS'!BA153</f>
        <v>63.5</v>
      </c>
      <c r="BE19" s="3914">
        <f>+'COKE OVENS'!BB153</f>
        <v>65.535955427048734</v>
      </c>
      <c r="BF19" s="1431">
        <f>+'COKE OVENS'!BC153</f>
        <v>63.5</v>
      </c>
      <c r="BG19" s="3919">
        <f>+'COKE OVENS'!BD153</f>
        <v>65.288855189079726</v>
      </c>
      <c r="BH19" s="1290">
        <f>+'COKE OVENS'!BE153</f>
        <v>63.5</v>
      </c>
      <c r="BI19" s="1291">
        <f>+'COKE OVENS'!BF153</f>
        <v>65.168347747810429</v>
      </c>
    </row>
    <row r="20" spans="1:61" x14ac:dyDescent="0.25">
      <c r="C20" s="6151"/>
      <c r="D20" s="5325" t="s">
        <v>1102</v>
      </c>
      <c r="E20" s="5318" t="s">
        <v>51</v>
      </c>
      <c r="F20" s="5319">
        <v>22.958247683476721</v>
      </c>
      <c r="G20" s="5320">
        <v>23</v>
      </c>
      <c r="H20" s="1279">
        <v>23</v>
      </c>
      <c r="I20" s="1280">
        <f>+'COKE OVENS'!F154</f>
        <v>22.86</v>
      </c>
      <c r="J20" s="1279">
        <f>+'COKE OVENS'!G154</f>
        <v>23</v>
      </c>
      <c r="K20" s="1280">
        <f>+'COKE OVENS'!H154</f>
        <v>22.902307692307694</v>
      </c>
      <c r="L20" s="1290">
        <f>+'COKE OVENS'!I154</f>
        <v>23</v>
      </c>
      <c r="M20" s="1291">
        <f>+'COKE OVENS'!J154</f>
        <v>22.881417380561984</v>
      </c>
      <c r="N20" s="1279">
        <f>+'COKE OVENS'!K154</f>
        <v>23</v>
      </c>
      <c r="O20" s="1280">
        <f>+'COKE OVENS'!L154</f>
        <v>23.267857142857142</v>
      </c>
      <c r="P20" s="1285">
        <f>+'COKE OVENS'!M154</f>
        <v>23</v>
      </c>
      <c r="Q20" s="1961">
        <f>+'COKE OVENS'!N154</f>
        <v>23.009126348968575</v>
      </c>
      <c r="R20" s="1279">
        <f>+'COKE OVENS'!O154</f>
        <v>23</v>
      </c>
      <c r="S20" s="1280">
        <f>+'COKE OVENS'!P154</f>
        <v>23.107500000000002</v>
      </c>
      <c r="T20" s="1290">
        <f>+'COKE OVENS'!Q154</f>
        <v>23</v>
      </c>
      <c r="U20" s="1291">
        <f>+'COKE OVENS'!R154</f>
        <v>23.034161976511236</v>
      </c>
      <c r="V20" s="1279">
        <f>+'COKE OVENS'!S154</f>
        <v>23</v>
      </c>
      <c r="W20" s="1280">
        <f>+'COKE OVENS'!T154</f>
        <v>23.066923076923079</v>
      </c>
      <c r="X20" s="1290">
        <f>+'COKE OVENS'!U154</f>
        <v>23</v>
      </c>
      <c r="Y20" s="1291">
        <f>+'COKE OVENS'!V154</f>
        <v>23.04082768580442</v>
      </c>
      <c r="Z20" s="2779">
        <f>+'COKE OVENS'!W154</f>
        <v>23</v>
      </c>
      <c r="AA20" s="1280">
        <f>+'COKE OVENS'!X154</f>
        <v>23.226666666666663</v>
      </c>
      <c r="AB20" s="1285">
        <f>+'COKE OVENS'!Y154</f>
        <v>23</v>
      </c>
      <c r="AC20" s="1285">
        <f>+'COKE OVENS'!Z154</f>
        <v>23.132601373110571</v>
      </c>
      <c r="AD20" s="1431">
        <f>+'COKE OVENS'!AA154</f>
        <v>23</v>
      </c>
      <c r="AE20" s="3919">
        <f>+'COKE OVENS'!AB154</f>
        <v>23.071303335833552</v>
      </c>
      <c r="AF20" s="1279">
        <f>+'COKE OVENS'!AC154</f>
        <v>23</v>
      </c>
      <c r="AG20" s="1280">
        <f>+'COKE OVENS'!AD154</f>
        <v>23.549999999999997</v>
      </c>
      <c r="AH20" s="1290">
        <f>+'COKE OVENS'!AE154</f>
        <v>23</v>
      </c>
      <c r="AI20" s="1291">
        <f>+'COKE OVENS'!AF154</f>
        <v>23.139829640294852</v>
      </c>
      <c r="AJ20" s="1279">
        <f>+'COKE OVENS'!AG154</f>
        <v>23</v>
      </c>
      <c r="AK20" s="1280">
        <f>+'COKE OVENS'!AH154</f>
        <v>23.201818181818179</v>
      </c>
      <c r="AL20" s="1290">
        <f>+'COKE OVENS'!AI154</f>
        <v>23</v>
      </c>
      <c r="AM20" s="1291">
        <f>+'COKE OVENS'!AJ154</f>
        <v>23.147507859475407</v>
      </c>
      <c r="AN20" s="2779">
        <f>+'COKE OVENS'!AK154</f>
        <v>23</v>
      </c>
      <c r="AO20" s="1280">
        <f>+'COKE OVENS'!AL154</f>
        <v>22.9</v>
      </c>
      <c r="AP20" s="1285">
        <f>+'COKE OVENS'!AM154</f>
        <v>23</v>
      </c>
      <c r="AQ20" s="1285">
        <f>+'COKE OVENS'!AN154</f>
        <v>23.215917376800956</v>
      </c>
      <c r="AR20" s="1290">
        <f>+'COKE OVENS'!AO154</f>
        <v>23</v>
      </c>
      <c r="AS20" s="1291">
        <f>+'COKE OVENS'!AP154</f>
        <v>23.119596301311564</v>
      </c>
      <c r="AT20" s="1279">
        <f>+'COKE OVENS'!AQ154</f>
        <v>23</v>
      </c>
      <c r="AU20" s="1280">
        <f>+'COKE OVENS'!AR154</f>
        <v>23.023043478260874</v>
      </c>
      <c r="AV20" s="1290">
        <f>+'COKE OVENS'!AS154</f>
        <v>23</v>
      </c>
      <c r="AW20" s="1291">
        <f>+'COKE OVENS'!AT154</f>
        <v>23.109812251542252</v>
      </c>
      <c r="AX20" s="1279">
        <f>+'COKE OVENS'!AU154</f>
        <v>23</v>
      </c>
      <c r="AY20" s="1280">
        <f>+'COKE OVENS'!AV154</f>
        <v>22.786923076923078</v>
      </c>
      <c r="AZ20" s="1290">
        <f>+'COKE OVENS'!AW154</f>
        <v>23</v>
      </c>
      <c r="BA20" s="1291">
        <f>+'COKE OVENS'!AX154</f>
        <v>23.081851164758035</v>
      </c>
      <c r="BB20" s="1279">
        <f>+'COKE OVENS'!AY154</f>
        <v>23</v>
      </c>
      <c r="BC20" s="1280">
        <f>+'COKE OVENS'!AZ154</f>
        <v>22.873333333333335</v>
      </c>
      <c r="BD20" s="3914">
        <f>+'COKE OVENS'!BA154</f>
        <v>23</v>
      </c>
      <c r="BE20" s="3914">
        <f>+'COKE OVENS'!BB154</f>
        <v>22.896786071029691</v>
      </c>
      <c r="BF20" s="1431">
        <f>+'COKE OVENS'!BC154</f>
        <v>23</v>
      </c>
      <c r="BG20" s="3919">
        <f>+'COKE OVENS'!BD154</f>
        <v>23.057032909728967</v>
      </c>
      <c r="BH20" s="1290">
        <f>+'COKE OVENS'!BE154</f>
        <v>23</v>
      </c>
      <c r="BI20" s="1291">
        <f>+'COKE OVENS'!BF154</f>
        <v>23.064173524039781</v>
      </c>
    </row>
    <row r="21" spans="1:61" s="183" customFormat="1" x14ac:dyDescent="0.25">
      <c r="A21"/>
      <c r="B21"/>
      <c r="C21" s="6151"/>
      <c r="D21" s="5324" t="s">
        <v>1103</v>
      </c>
      <c r="E21" s="5315"/>
      <c r="F21" s="5326"/>
      <c r="G21" s="5329"/>
      <c r="H21" s="1473"/>
      <c r="I21" s="1729"/>
      <c r="J21" s="1473"/>
      <c r="K21" s="1729"/>
      <c r="L21" s="1473"/>
      <c r="M21" s="1729"/>
      <c r="N21" s="1473"/>
      <c r="O21" s="1729"/>
      <c r="P21" s="1473"/>
      <c r="Q21" s="1729"/>
      <c r="R21" s="1473"/>
      <c r="S21" s="1729"/>
      <c r="T21" s="1473"/>
      <c r="U21" s="1729"/>
      <c r="V21" s="1473"/>
      <c r="W21" s="1729"/>
      <c r="X21" s="1473"/>
      <c r="Y21" s="1729"/>
      <c r="Z21" s="1730"/>
      <c r="AA21" s="1729"/>
      <c r="AB21" s="1473"/>
      <c r="AC21" s="1473"/>
      <c r="AD21" s="1473"/>
      <c r="AE21" s="3913"/>
      <c r="AF21" s="1473"/>
      <c r="AG21" s="1729"/>
      <c r="AH21" s="1473"/>
      <c r="AI21" s="1729"/>
      <c r="AJ21" s="1473"/>
      <c r="AK21" s="1729"/>
      <c r="AL21" s="1473"/>
      <c r="AM21" s="1729"/>
      <c r="AN21" s="1730"/>
      <c r="AO21" s="1729"/>
      <c r="AP21" s="1473"/>
      <c r="AQ21" s="1473"/>
      <c r="AR21" s="1473"/>
      <c r="AS21" s="1729"/>
      <c r="AT21" s="1473"/>
      <c r="AU21" s="1729"/>
      <c r="AV21" s="1473"/>
      <c r="AW21" s="1729"/>
      <c r="AX21" s="1473"/>
      <c r="AY21" s="1729"/>
      <c r="AZ21" s="1473"/>
      <c r="BA21" s="1729"/>
      <c r="BB21" s="1473"/>
      <c r="BC21" s="1729"/>
      <c r="BD21" s="1473"/>
      <c r="BE21" s="1473"/>
      <c r="BF21" s="1473"/>
      <c r="BG21" s="3913"/>
      <c r="BH21" s="1473"/>
      <c r="BI21" s="1729"/>
    </row>
    <row r="22" spans="1:61" s="183" customFormat="1" x14ac:dyDescent="0.25">
      <c r="A22"/>
      <c r="B22"/>
      <c r="C22" s="6151"/>
      <c r="D22" s="5325" t="s">
        <v>1584</v>
      </c>
      <c r="E22" s="5318" t="s">
        <v>51</v>
      </c>
      <c r="F22" s="5326">
        <v>23.543643606765379</v>
      </c>
      <c r="G22" s="5329">
        <v>27</v>
      </c>
      <c r="H22" s="1473">
        <f>+$G$22</f>
        <v>27</v>
      </c>
      <c r="I22" s="1729">
        <f>+'COKE OVENS'!F166</f>
        <v>21.149592520865486</v>
      </c>
      <c r="J22" s="1473">
        <f>+$G$22</f>
        <v>27</v>
      </c>
      <c r="K22" s="1729">
        <f>+'COKE OVENS'!H166</f>
        <v>21.548244457516073</v>
      </c>
      <c r="L22" s="1290">
        <f>+$G$22</f>
        <v>27</v>
      </c>
      <c r="M22" s="1290">
        <f>+'COKE OVENS'!J166</f>
        <v>21.345813053787595</v>
      </c>
      <c r="N22" s="1473">
        <f>+$G$22</f>
        <v>27</v>
      </c>
      <c r="O22" s="1729">
        <f>+'COKE OVENS'!L166</f>
        <v>21.966662787424902</v>
      </c>
      <c r="P22" s="1285">
        <f>+$G$22</f>
        <v>27</v>
      </c>
      <c r="Q22" s="1961">
        <f>+'COKE OVENS'!N166</f>
        <v>21.549101544001704</v>
      </c>
      <c r="R22" s="1473">
        <f>+$G$22</f>
        <v>27</v>
      </c>
      <c r="S22" s="1729">
        <f>+'COKE OVENS'!P166</f>
        <v>20.049999999999997</v>
      </c>
      <c r="T22" s="1290">
        <f>+$G$15</f>
        <v>26</v>
      </c>
      <c r="U22" s="1291">
        <f>+'COKE OVENS'!R166</f>
        <v>21.161754550514637</v>
      </c>
      <c r="V22" s="1473">
        <f>+$G$22</f>
        <v>27</v>
      </c>
      <c r="W22" s="1729">
        <f>+'COKE OVENS'!T166</f>
        <v>19.52</v>
      </c>
      <c r="X22" s="1290">
        <f>+$G$15</f>
        <v>26</v>
      </c>
      <c r="Y22" s="1291">
        <f>+'COKE OVENS'!V166</f>
        <v>20.819535874570015</v>
      </c>
      <c r="Z22" s="1473">
        <f>+$G$22</f>
        <v>27</v>
      </c>
      <c r="AA22" s="1729">
        <f>+'COKE OVENS'!X166</f>
        <v>19.96</v>
      </c>
      <c r="AB22" s="1285">
        <f>+$G$22</f>
        <v>27</v>
      </c>
      <c r="AC22" s="1285">
        <f>+'COKE OVENS'!Z166</f>
        <v>19.841094039288365</v>
      </c>
      <c r="AD22" s="1431">
        <f>+$G$22</f>
        <v>27</v>
      </c>
      <c r="AE22" s="3919">
        <f>+'COKE OVENS'!AB166</f>
        <v>20.674162213915196</v>
      </c>
      <c r="AF22" s="1473">
        <f>+$G$22</f>
        <v>27</v>
      </c>
      <c r="AG22" s="1729">
        <f>+'COKE OVENS'!AD166</f>
        <v>23.17</v>
      </c>
      <c r="AH22" s="1290">
        <f>+$G$22</f>
        <v>27</v>
      </c>
      <c r="AI22" s="1290">
        <f>+'COKE OVENS'!AF166</f>
        <v>21.051283102047542</v>
      </c>
      <c r="AJ22" s="1473">
        <f>+$G$22</f>
        <v>27</v>
      </c>
      <c r="AK22" s="1729">
        <f>+'COKE OVENS'!AH166</f>
        <v>27.699994127425864</v>
      </c>
      <c r="AL22" s="1290">
        <f>+$G$22</f>
        <v>27</v>
      </c>
      <c r="AM22" s="1290">
        <f>+'COKE OVENS'!AJ166</f>
        <v>21.879345765583889</v>
      </c>
      <c r="AN22" s="1473">
        <f>+$G$22</f>
        <v>27</v>
      </c>
      <c r="AO22" s="1729">
        <f>+'COKE OVENS'!AL166</f>
        <v>27.330000000000005</v>
      </c>
      <c r="AP22" s="1285">
        <f>+$G$22</f>
        <v>27</v>
      </c>
      <c r="AQ22" s="1285">
        <f>+'COKE OVENS'!AN166</f>
        <v>26.024108947498693</v>
      </c>
      <c r="AR22" s="1290">
        <f>+$G$22</f>
        <v>27</v>
      </c>
      <c r="AS22" s="1290">
        <f>+'COKE OVENS'!AP166</f>
        <v>22.503325386841663</v>
      </c>
      <c r="AT22" s="1473">
        <f>+$G$22</f>
        <v>27</v>
      </c>
      <c r="AU22" s="1729">
        <f>+'COKE OVENS'!AR166</f>
        <v>26.640005963040469</v>
      </c>
      <c r="AV22" s="1290">
        <f>+$G$22</f>
        <v>27</v>
      </c>
      <c r="AW22" s="1290">
        <f>+'COKE OVENS'!AT166</f>
        <v>22.92736939396454</v>
      </c>
      <c r="AX22" s="1473">
        <f>+$G$22</f>
        <v>27</v>
      </c>
      <c r="AY22" s="1729">
        <f>+'COKE OVENS'!AV166</f>
        <v>24.999997482270402</v>
      </c>
      <c r="AZ22" s="1290">
        <f>+$G$22</f>
        <v>27</v>
      </c>
      <c r="BA22" s="1290">
        <f>+'COKE OVENS'!AX166</f>
        <v>23.108978046754316</v>
      </c>
      <c r="BB22" s="1473">
        <f>+$G$22</f>
        <v>27</v>
      </c>
      <c r="BC22" s="1729">
        <f>+'COKE OVENS'!AZ166</f>
        <v>25.000002358004064</v>
      </c>
      <c r="BD22" s="3914">
        <f>+'COKE OVENS'!BA166</f>
        <v>27.017528058854701</v>
      </c>
      <c r="BE22" s="3914">
        <f>+'COKE OVENS'!BB166</f>
        <v>25.558354749706297</v>
      </c>
      <c r="BF22" s="1431">
        <f>+'COKE OVENS'!BC166</f>
        <v>27.017526608740202</v>
      </c>
      <c r="BG22" s="3919">
        <f>+'COKE OVENS'!BD166</f>
        <v>25.793440814850094</v>
      </c>
      <c r="BH22" s="1290">
        <f>+'COKE OVENS'!BE166</f>
        <v>27.017526375534988</v>
      </c>
      <c r="BI22" s="1291">
        <f>+'COKE OVENS'!BF166</f>
        <v>23.270761868462948</v>
      </c>
    </row>
    <row r="23" spans="1:61" s="183" customFormat="1" x14ac:dyDescent="0.25">
      <c r="A23"/>
      <c r="B23"/>
      <c r="C23" s="6151"/>
      <c r="D23" s="5325" t="s">
        <v>1585</v>
      </c>
      <c r="E23" s="5318" t="s">
        <v>226</v>
      </c>
      <c r="F23" s="5326"/>
      <c r="G23" s="5322">
        <v>18.000000000000004</v>
      </c>
      <c r="H23" s="1282">
        <f>+'COKE OVENS'!E57</f>
        <v>17.938983050847458</v>
      </c>
      <c r="I23" s="1282">
        <f>+'COKE OVENS'!F57</f>
        <v>17.78</v>
      </c>
      <c r="J23" s="1282">
        <f>+'COKE OVENS'!G57</f>
        <v>17.938983050847458</v>
      </c>
      <c r="K23" s="1282">
        <f>+'COKE OVENS'!H57</f>
        <v>19.07</v>
      </c>
      <c r="L23" s="1293">
        <f>+'COKE OVENS'!I57</f>
        <v>17.938983050847458</v>
      </c>
      <c r="M23" s="1293">
        <f>+'COKE OVENS'!J57</f>
        <v>18.435454846179294</v>
      </c>
      <c r="N23" s="1282">
        <f>+'COKE OVENS'!K57</f>
        <v>17.938983050847458</v>
      </c>
      <c r="O23" s="1282">
        <f>+'COKE OVENS'!L57</f>
        <v>18.899999999999999</v>
      </c>
      <c r="P23" s="1287">
        <f>+'COKE OVENS'!M57</f>
        <v>17.938983050847458</v>
      </c>
      <c r="Q23" s="1287">
        <f>+'COKE OVENS'!N57</f>
        <v>18.588620842572062</v>
      </c>
      <c r="R23" s="1282">
        <f>+'COKE OVENS'!O57</f>
        <v>17.938983050847458</v>
      </c>
      <c r="S23" s="1282">
        <f>+'COKE OVENS'!P57</f>
        <v>18.1666667</v>
      </c>
      <c r="T23" s="1293">
        <f>+'COKE OVENS'!Q57</f>
        <v>17.938983050847458</v>
      </c>
      <c r="U23" s="1293">
        <f>+'COKE OVENS'!R57</f>
        <v>18.481448468753619</v>
      </c>
      <c r="V23" s="1282">
        <f>+'COKE OVENS'!S57</f>
        <v>18.311418685121112</v>
      </c>
      <c r="W23" s="1282">
        <f>+'COKE OVENS'!T57</f>
        <v>18.033333333333335</v>
      </c>
      <c r="X23" s="1293">
        <f>+'COKE OVENS'!U57</f>
        <v>18.014443865634931</v>
      </c>
      <c r="Y23" s="2782">
        <f>+'COKE OVENS'!V57</f>
        <v>18.390402010173105</v>
      </c>
      <c r="Z23" s="1282">
        <f>+'COKE OVENS'!W57</f>
        <v>18.311418685121112</v>
      </c>
      <c r="AA23" s="1282">
        <f>+'COKE OVENS'!X57</f>
        <v>18.100000000000001</v>
      </c>
      <c r="AB23" s="1285">
        <f>+'COKE OVENS'!Y57</f>
        <v>18.185924069224551</v>
      </c>
      <c r="AC23" s="1285">
        <f>+'COKE OVENS'!Z57</f>
        <v>18.099912359194334</v>
      </c>
      <c r="AD23" s="1431">
        <f>+'COKE OVENS'!AA57</f>
        <v>18.063128262272006</v>
      </c>
      <c r="AE23" s="3919">
        <f>+'COKE OVENS'!AB57</f>
        <v>18.34282259697471</v>
      </c>
      <c r="AF23" s="1282">
        <f>+'COKE OVENS'!AC57</f>
        <v>17.938983050847458</v>
      </c>
      <c r="AG23" s="1282">
        <f>+'COKE OVENS'!AD57</f>
        <v>17.816666666666666</v>
      </c>
      <c r="AH23" s="1293">
        <f>+'COKE OVENS'!AE57</f>
        <v>18.045144610149759</v>
      </c>
      <c r="AI23" s="1293">
        <f>+'COKE OVENS'!AF57</f>
        <v>18.267583774904246</v>
      </c>
      <c r="AJ23" s="1282">
        <f>+'COKE OVENS'!AG57</f>
        <v>17.938983050847458</v>
      </c>
      <c r="AK23" s="1282">
        <f>+'COKE OVENS'!AH57</f>
        <v>17.850000000000001</v>
      </c>
      <c r="AL23" s="1293">
        <f>+'COKE OVENS'!AI57</f>
        <v>18.032091959415869</v>
      </c>
      <c r="AM23" s="1293">
        <f>+'COKE OVENS'!AJ57</f>
        <v>18.216218628706546</v>
      </c>
      <c r="AN23" s="1282">
        <f>+'COKE OVENS'!AK57</f>
        <v>17.938983050847458</v>
      </c>
      <c r="AO23" s="1282">
        <f>+'COKE OVENS'!AL57</f>
        <v>17.616666666666667</v>
      </c>
      <c r="AP23" s="1285">
        <f>+'COKE OVENS'!AM57</f>
        <v>17.938983050847462</v>
      </c>
      <c r="AQ23" s="1285">
        <f>+'COKE OVENS'!AN57</f>
        <v>17.759889342303591</v>
      </c>
      <c r="AR23" s="1293">
        <f>+'COKE OVENS'!AO57</f>
        <v>18.021596046086341</v>
      </c>
      <c r="AS23" s="1293">
        <f>+'COKE OVENS'!AP57</f>
        <v>18.148606050384462</v>
      </c>
      <c r="AT23" s="1282">
        <f>+'COKE OVENS'!AQ57</f>
        <v>17.938983050847458</v>
      </c>
      <c r="AU23" s="1282">
        <f>+'COKE OVENS'!AR57</f>
        <v>17.633333333333333</v>
      </c>
      <c r="AV23" s="1293">
        <f>+'COKE OVENS'!AS57</f>
        <v>18.013226755719003</v>
      </c>
      <c r="AW23" s="1293">
        <f>+'COKE OVENS'!AT57</f>
        <v>18.096386672957792</v>
      </c>
      <c r="AX23" s="1282">
        <f>+'COKE OVENS'!AU57</f>
        <v>17.938983050847458</v>
      </c>
      <c r="AY23" s="1282">
        <f>+'COKE OVENS'!AV57</f>
        <v>17.616666666666667</v>
      </c>
      <c r="AZ23" s="1293">
        <f>+'COKE OVENS'!AW57</f>
        <v>18.006799688730126</v>
      </c>
      <c r="BA23" s="1293">
        <f>+'COKE OVENS'!AX57</f>
        <v>18.054845195466541</v>
      </c>
      <c r="BB23" s="1282">
        <f>+'COKE OVENS'!AY57</f>
        <v>17.938983050847458</v>
      </c>
      <c r="BC23" s="1282">
        <f>+'COKE OVENS'!AZ57</f>
        <v>17.649999999999999</v>
      </c>
      <c r="BD23" s="5275">
        <f>+'COKE OVENS'!BA57</f>
        <v>17.938983050847458</v>
      </c>
      <c r="BE23" s="5275">
        <f>+'COKE OVENS'!BB57</f>
        <v>17.633703251581398</v>
      </c>
      <c r="BF23" s="1433">
        <f>+'COKE OVENS'!BC57</f>
        <v>17.938983050847458</v>
      </c>
      <c r="BG23" s="3927">
        <f>+'COKE OVENS'!BD57</f>
        <v>17.696991095310423</v>
      </c>
      <c r="BH23" s="1293">
        <f>+'COKE OVENS'!BE57</f>
        <v>18.001055656559735</v>
      </c>
      <c r="BI23" s="1723">
        <f>+'COKE OVENS'!BF57</f>
        <v>18.020524385556765</v>
      </c>
    </row>
    <row r="24" spans="1:61" x14ac:dyDescent="0.25">
      <c r="C24" s="6151"/>
      <c r="D24" s="5325" t="s">
        <v>1104</v>
      </c>
      <c r="E24" s="5318" t="s">
        <v>51</v>
      </c>
      <c r="F24" s="5319">
        <v>88.599749618194579</v>
      </c>
      <c r="G24" s="5320">
        <v>87</v>
      </c>
      <c r="H24" s="1279">
        <v>87</v>
      </c>
      <c r="I24" s="1280">
        <f>+'COKE OVENS'!F176</f>
        <v>89.61</v>
      </c>
      <c r="J24" s="1279">
        <f>+'COKE OVENS'!G176</f>
        <v>87</v>
      </c>
      <c r="K24" s="1280">
        <f>+'COKE OVENS'!H176</f>
        <v>89.547246376811572</v>
      </c>
      <c r="L24" s="1290">
        <f>+'COKE OVENS'!I176</f>
        <v>87</v>
      </c>
      <c r="M24" s="1291">
        <f>+'COKE OVENS'!J176</f>
        <v>89.579229608852302</v>
      </c>
      <c r="N24" s="1279">
        <f>+'COKE OVENS'!K176</f>
        <v>87</v>
      </c>
      <c r="O24" s="1280">
        <f>+'COKE OVENS'!L176</f>
        <v>89.087619047619071</v>
      </c>
      <c r="P24" s="1285">
        <f>+'COKE OVENS'!M176</f>
        <v>87</v>
      </c>
      <c r="Q24" s="1961">
        <f>+'COKE OVENS'!N176</f>
        <v>89.417897428109498</v>
      </c>
      <c r="R24" s="1279">
        <f>+'COKE OVENS'!O176</f>
        <v>87</v>
      </c>
      <c r="S24" s="1280">
        <f>+'COKE OVENS'!P176</f>
        <v>89.377142857142857</v>
      </c>
      <c r="T24" s="1290">
        <f>+'COKE OVENS'!Q176</f>
        <v>87</v>
      </c>
      <c r="U24" s="1291">
        <f>+'COKE OVENS'!R176</f>
        <v>89.407420612884479</v>
      </c>
      <c r="V24" s="1279">
        <f>+'COKE OVENS'!S176</f>
        <v>87</v>
      </c>
      <c r="W24" s="1280">
        <f>+'COKE OVENS'!T176</f>
        <v>89.392258064516128</v>
      </c>
      <c r="X24" s="1290">
        <f>+'COKE OVENS'!U176</f>
        <v>87</v>
      </c>
      <c r="Y24" s="1291">
        <f>+'COKE OVENS'!V176</f>
        <v>89.404332878778575</v>
      </c>
      <c r="Z24" s="2779">
        <f>+'COKE OVENS'!W176</f>
        <v>87</v>
      </c>
      <c r="AA24" s="1280">
        <f>+'COKE OVENS'!X176</f>
        <v>89.442656249999999</v>
      </c>
      <c r="AB24" s="1285">
        <f>+'COKE OVENS'!Y176</f>
        <v>87</v>
      </c>
      <c r="AC24" s="1285">
        <f>+'COKE OVENS'!Z176</f>
        <v>89.40366518401818</v>
      </c>
      <c r="AD24" s="1431">
        <f>+'COKE OVENS'!AA176</f>
        <v>87</v>
      </c>
      <c r="AE24" s="3919">
        <f>+'COKE OVENS'!AB176</f>
        <v>89.410688966127452</v>
      </c>
      <c r="AF24" s="1279">
        <f>+'COKE OVENS'!AC176</f>
        <v>87</v>
      </c>
      <c r="AG24" s="1280">
        <f>+'COKE OVENS'!AD176</f>
        <v>89.01873015873015</v>
      </c>
      <c r="AH24" s="1290">
        <f>+'COKE OVENS'!AE176</f>
        <v>87</v>
      </c>
      <c r="AI24" s="1291">
        <f>+'COKE OVENS'!AF176</f>
        <v>89.352427575324924</v>
      </c>
      <c r="AJ24" s="1279">
        <f>+'COKE OVENS'!AG176</f>
        <v>87</v>
      </c>
      <c r="AK24" s="1280">
        <f>+'COKE OVENS'!AH176</f>
        <v>88.46863636363635</v>
      </c>
      <c r="AL24" s="1290">
        <f>+'COKE OVENS'!AI176</f>
        <v>87</v>
      </c>
      <c r="AM24" s="1291">
        <f>+'COKE OVENS'!AJ176</f>
        <v>89.241088795978442</v>
      </c>
      <c r="AN24" s="2779">
        <f>+'COKE OVENS'!AK176</f>
        <v>87</v>
      </c>
      <c r="AO24" s="1280">
        <f>+'COKE OVENS'!AL176</f>
        <v>89.47</v>
      </c>
      <c r="AP24" s="1285">
        <f>+'COKE OVENS'!AM176</f>
        <v>87</v>
      </c>
      <c r="AQ24" s="1285">
        <f>+'COKE OVENS'!AN176</f>
        <v>88.992744096238823</v>
      </c>
      <c r="AR24" s="1290">
        <f>+'COKE OVENS'!AO176</f>
        <v>87</v>
      </c>
      <c r="AS24" s="1291">
        <f>+'COKE OVENS'!AP176</f>
        <v>89.267651496074436</v>
      </c>
      <c r="AT24" s="1279">
        <f>+'COKE OVENS'!AQ176</f>
        <v>87</v>
      </c>
      <c r="AU24" s="1280">
        <f>+'COKE OVENS'!AR176</f>
        <v>89.349365079365072</v>
      </c>
      <c r="AV24" s="1290">
        <f>+'COKE OVENS'!AS176</f>
        <v>87</v>
      </c>
      <c r="AW24" s="1291">
        <f>+'COKE OVENS'!AT176</f>
        <v>89.276129508110643</v>
      </c>
      <c r="AX24" s="1279">
        <f>+'COKE OVENS'!AU176</f>
        <v>87</v>
      </c>
      <c r="AY24" s="1280">
        <f>+'COKE OVENS'!AV176</f>
        <v>90.296964285714282</v>
      </c>
      <c r="AZ24" s="1290">
        <f>+'COKE OVENS'!AW176</f>
        <v>87</v>
      </c>
      <c r="BA24" s="1291">
        <f>+'COKE OVENS'!AX176</f>
        <v>89.366575579878969</v>
      </c>
      <c r="BB24" s="1279">
        <f>+'COKE OVENS'!AY176</f>
        <v>87</v>
      </c>
      <c r="BC24" s="1280">
        <f>+'COKE OVENS'!AZ176</f>
        <v>90.347096774193574</v>
      </c>
      <c r="BD24" s="3914">
        <f>+'COKE OVENS'!BA176</f>
        <v>87</v>
      </c>
      <c r="BE24" s="3914">
        <f>+'COKE OVENS'!BB176</f>
        <v>89.991443538679746</v>
      </c>
      <c r="BF24" s="1431">
        <f>+'COKE OVENS'!BC176</f>
        <v>87</v>
      </c>
      <c r="BG24" s="3919">
        <f>+'COKE OVENS'!BD176</f>
        <v>89.490488569621462</v>
      </c>
      <c r="BH24" s="1290">
        <f>+'COKE OVENS'!BE176</f>
        <v>87</v>
      </c>
      <c r="BI24" s="1291">
        <f>+'COKE OVENS'!BF176</f>
        <v>89.451319051607257</v>
      </c>
    </row>
    <row r="25" spans="1:61" x14ac:dyDescent="0.25">
      <c r="C25" s="6151"/>
      <c r="D25" s="5325" t="s">
        <v>209</v>
      </c>
      <c r="E25" s="5318" t="s">
        <v>51</v>
      </c>
      <c r="F25" s="5319">
        <v>5.948071105661457</v>
      </c>
      <c r="G25" s="5320">
        <v>6.3999999999999995</v>
      </c>
      <c r="H25" s="1279">
        <v>6.4</v>
      </c>
      <c r="I25" s="1280">
        <f>+'COKE OVENS'!F177</f>
        <v>5.65</v>
      </c>
      <c r="J25" s="1279">
        <f>+'COKE OVENS'!G177</f>
        <v>6.3999999999999995</v>
      </c>
      <c r="K25" s="1280">
        <f>+'COKE OVENS'!H177</f>
        <v>5.6581159420289859</v>
      </c>
      <c r="L25" s="1290">
        <f>+'COKE OVENS'!I177</f>
        <v>6.3999999999999995</v>
      </c>
      <c r="M25" s="1291">
        <f>+'COKE OVENS'!J177</f>
        <v>5.6539795425040875</v>
      </c>
      <c r="N25" s="1279">
        <f>+'COKE OVENS'!K177</f>
        <v>6.3999999999999995</v>
      </c>
      <c r="O25" s="1280">
        <f>+'COKE OVENS'!L177</f>
        <v>5.7982539682539658</v>
      </c>
      <c r="P25" s="1285">
        <f>+'COKE OVENS'!M177</f>
        <v>6.3999999999999995</v>
      </c>
      <c r="Q25" s="1961">
        <f>+'COKE OVENS'!N177</f>
        <v>5.7013261814234246</v>
      </c>
      <c r="R25" s="1279">
        <f>+'COKE OVENS'!O177</f>
        <v>6.3999999999999995</v>
      </c>
      <c r="S25" s="1280">
        <f>+'COKE OVENS'!P177</f>
        <v>5.7893650793650799</v>
      </c>
      <c r="T25" s="1290">
        <f>+'COKE OVENS'!Q177</f>
        <v>6.3999999999999995</v>
      </c>
      <c r="U25" s="1291">
        <f>+'COKE OVENS'!R177</f>
        <v>5.723958422285544</v>
      </c>
      <c r="V25" s="1279">
        <f>+'COKE OVENS'!S177</f>
        <v>6.3999999999999995</v>
      </c>
      <c r="W25" s="1280">
        <f>+'COKE OVENS'!T177</f>
        <v>5.7772580645161291</v>
      </c>
      <c r="X25" s="1290">
        <f>+'COKE OVENS'!U177</f>
        <v>6.3999999999999995</v>
      </c>
      <c r="Y25" s="1291">
        <f>+'COKE OVENS'!V177</f>
        <v>5.7348124765744002</v>
      </c>
      <c r="Z25" s="2779">
        <f>+'COKE OVENS'!W177</f>
        <v>6.3999999999999995</v>
      </c>
      <c r="AA25" s="1280">
        <f>+'COKE OVENS'!X177</f>
        <v>5.7423437499999999</v>
      </c>
      <c r="AB25" s="1285">
        <f>+'COKE OVENS'!Y177</f>
        <v>6.3999999999999995</v>
      </c>
      <c r="AC25" s="1285">
        <f>+'COKE OVENS'!Z177</f>
        <v>5.7699070403453492</v>
      </c>
      <c r="AD25" s="1431">
        <f>+'COKE OVENS'!AA177</f>
        <v>6.3999999999999995</v>
      </c>
      <c r="AE25" s="3919">
        <f>+'COKE OVENS'!AB177</f>
        <v>5.7360615689745647</v>
      </c>
      <c r="AF25" s="1279">
        <f>+'COKE OVENS'!AC177</f>
        <v>6.3999999999999995</v>
      </c>
      <c r="AG25" s="1280">
        <f>+'COKE OVENS'!AD177</f>
        <v>5.8439682539682511</v>
      </c>
      <c r="AH25" s="1290">
        <f>+'COKE OVENS'!AE177</f>
        <v>6.3999999999999995</v>
      </c>
      <c r="AI25" s="1291">
        <f>+'COKE OVENS'!AF177</f>
        <v>5.7521009930823439</v>
      </c>
      <c r="AJ25" s="1279">
        <f>+'COKE OVENS'!AG177</f>
        <v>6.3999999999999995</v>
      </c>
      <c r="AK25" s="1280">
        <f>+'COKE OVENS'!AH177</f>
        <v>5.967272727272726</v>
      </c>
      <c r="AL25" s="1290">
        <f>+'COKE OVENS'!AI177</f>
        <v>6.3999999999999995</v>
      </c>
      <c r="AM25" s="1291">
        <f>+'COKE OVENS'!AJ177</f>
        <v>5.7792080268679031</v>
      </c>
      <c r="AN25" s="2779">
        <f>+'COKE OVENS'!AK177</f>
        <v>6.3999999999999995</v>
      </c>
      <c r="AO25" s="1280">
        <f>+'COKE OVENS'!AL177</f>
        <v>5.86</v>
      </c>
      <c r="AP25" s="1285">
        <f>+'COKE OVENS'!AM177</f>
        <v>6.3999999999999995</v>
      </c>
      <c r="AQ25" s="1285">
        <f>+'COKE OVENS'!AN177</f>
        <v>5.889525503233779</v>
      </c>
      <c r="AR25" s="1290">
        <f>+'COKE OVENS'!AO177</f>
        <v>6.3999999999999995</v>
      </c>
      <c r="AS25" s="1291">
        <f>+'COKE OVENS'!AP177</f>
        <v>5.7885830723648874</v>
      </c>
      <c r="AT25" s="1279">
        <f>+'COKE OVENS'!AQ177</f>
        <v>6.3999999999999995</v>
      </c>
      <c r="AU25" s="1280">
        <f>+'COKE OVENS'!AR177</f>
        <v>5.8576190476190462</v>
      </c>
      <c r="AV25" s="1290">
        <f>+'COKE OVENS'!AS177</f>
        <v>6.3999999999999995</v>
      </c>
      <c r="AW25" s="1291">
        <f>+'COKE OVENS'!AT177</f>
        <v>5.79574574722953</v>
      </c>
      <c r="AX25" s="1279">
        <f>+'COKE OVENS'!AU177</f>
        <v>6.3999999999999995</v>
      </c>
      <c r="AY25" s="1280">
        <f>+'COKE OVENS'!AV177</f>
        <v>5.5628571428571432</v>
      </c>
      <c r="AZ25" s="1290">
        <f>+'COKE OVENS'!AW177</f>
        <v>6.3999999999999995</v>
      </c>
      <c r="BA25" s="1291">
        <f>+'COKE OVENS'!AX177</f>
        <v>5.7751117916794055</v>
      </c>
      <c r="BB25" s="1279">
        <f>+'COKE OVENS'!AY177</f>
        <v>6.3999999999999995</v>
      </c>
      <c r="BC25" s="1280">
        <f>+'COKE OVENS'!AZ177</f>
        <v>5.5590322580645184</v>
      </c>
      <c r="BD25" s="3914">
        <f>+'COKE OVENS'!BA177</f>
        <v>6.3999999999999995</v>
      </c>
      <c r="BE25" s="3914">
        <f>+'COKE OVENS'!BB177</f>
        <v>5.661901507087566</v>
      </c>
      <c r="BF25" s="1431">
        <f>+'COKE OVENS'!BC177</f>
        <v>6.3999999999999995</v>
      </c>
      <c r="BG25" s="3919">
        <f>+'COKE OVENS'!BD177</f>
        <v>5.7760793739217036</v>
      </c>
      <c r="BH25" s="1290">
        <f>+'COKE OVENS'!BE177</f>
        <v>6.3999999999999995</v>
      </c>
      <c r="BI25" s="1291">
        <f>+'COKE OVENS'!BF177</f>
        <v>5.7564366932173545</v>
      </c>
    </row>
    <row r="26" spans="1:61" x14ac:dyDescent="0.25">
      <c r="C26" s="6151"/>
      <c r="D26" s="5325" t="s">
        <v>1101</v>
      </c>
      <c r="E26" s="5318" t="s">
        <v>51</v>
      </c>
      <c r="F26" s="5319">
        <v>66.654886908615453</v>
      </c>
      <c r="G26" s="5320">
        <v>66</v>
      </c>
      <c r="H26" s="1279">
        <v>66</v>
      </c>
      <c r="I26" s="1280">
        <f>+'COKE OVENS'!F178</f>
        <v>67.209999999999994</v>
      </c>
      <c r="J26" s="1279">
        <f>+'COKE OVENS'!G178</f>
        <v>66</v>
      </c>
      <c r="K26" s="1280">
        <f>+'COKE OVENS'!H178</f>
        <v>67.205714285714294</v>
      </c>
      <c r="L26" s="1290">
        <f>+'COKE OVENS'!I178</f>
        <v>66</v>
      </c>
      <c r="M26" s="1291">
        <f>+'COKE OVENS'!J178</f>
        <v>67.207898557912387</v>
      </c>
      <c r="N26" s="1279">
        <f>+'COKE OVENS'!K178</f>
        <v>66</v>
      </c>
      <c r="O26" s="1280">
        <f>+'COKE OVENS'!L178</f>
        <v>67.036153846153837</v>
      </c>
      <c r="P26" s="1285">
        <f>+'COKE OVENS'!M178</f>
        <v>66</v>
      </c>
      <c r="Q26" s="1961">
        <f>+'COKE OVENS'!N178</f>
        <v>67.15153697607505</v>
      </c>
      <c r="R26" s="1279">
        <f>+'COKE OVENS'!O178</f>
        <v>66</v>
      </c>
      <c r="S26" s="1280">
        <f>+'COKE OVENS'!P178</f>
        <v>67.272307692307706</v>
      </c>
      <c r="T26" s="1290">
        <f>+'COKE OVENS'!Q178</f>
        <v>66</v>
      </c>
      <c r="U26" s="1291">
        <f>+'COKE OVENS'!R178</f>
        <v>67.182583615716993</v>
      </c>
      <c r="V26" s="1279">
        <f>+'COKE OVENS'!S178</f>
        <v>66</v>
      </c>
      <c r="W26" s="1280">
        <f>+'COKE OVENS'!T178</f>
        <v>67.02000000000001</v>
      </c>
      <c r="X26" s="1290">
        <f>+'COKE OVENS'!U178</f>
        <v>66</v>
      </c>
      <c r="Y26" s="1291">
        <f>+'COKE OVENS'!V178</f>
        <v>67.14947473697751</v>
      </c>
      <c r="Z26" s="2779">
        <f>+'COKE OVENS'!W178</f>
        <v>66</v>
      </c>
      <c r="AA26" s="1280">
        <f>+'COKE OVENS'!X178</f>
        <v>67.080666666666673</v>
      </c>
      <c r="AB26" s="1285">
        <f>+'COKE OVENS'!Y178</f>
        <v>66</v>
      </c>
      <c r="AC26" s="1285">
        <f>+'COKE OVENS'!Z178</f>
        <v>67.124933510757586</v>
      </c>
      <c r="AD26" s="1431">
        <f>+'COKE OVENS'!AA178</f>
        <v>66</v>
      </c>
      <c r="AE26" s="3919">
        <f>+'COKE OVENS'!AB178</f>
        <v>67.138062638008549</v>
      </c>
      <c r="AF26" s="1279">
        <f>+'COKE OVENS'!AC178</f>
        <v>66</v>
      </c>
      <c r="AG26" s="1280">
        <f>+'COKE OVENS'!AD178</f>
        <v>66.760000000000005</v>
      </c>
      <c r="AH26" s="1290">
        <f>+'COKE OVENS'!AE178</f>
        <v>66</v>
      </c>
      <c r="AI26" s="1291">
        <f>+'COKE OVENS'!AF178</f>
        <v>67.081866796289574</v>
      </c>
      <c r="AJ26" s="1279">
        <f>+'COKE OVENS'!AG178</f>
        <v>66</v>
      </c>
      <c r="AK26" s="1280">
        <f>+'COKE OVENS'!AH178</f>
        <v>66.539333333333332</v>
      </c>
      <c r="AL26" s="1290">
        <f>+'COKE OVENS'!AI178</f>
        <v>66</v>
      </c>
      <c r="AM26" s="1291">
        <f>+'COKE OVENS'!AJ178</f>
        <v>67.013519190292513</v>
      </c>
      <c r="AN26" s="2779">
        <f>+'COKE OVENS'!AK178</f>
        <v>66</v>
      </c>
      <c r="AO26" s="1280">
        <f>+'COKE OVENS'!AL178</f>
        <v>67.3</v>
      </c>
      <c r="AP26" s="1285">
        <f>+'COKE OVENS'!AM178</f>
        <v>66</v>
      </c>
      <c r="AQ26" s="1285">
        <f>+'COKE OVENS'!AN178</f>
        <v>66.871289617720251</v>
      </c>
      <c r="AR26" s="1290">
        <f>+'COKE OVENS'!AO178</f>
        <v>66</v>
      </c>
      <c r="AS26" s="1291">
        <f>+'COKE OVENS'!AP178</f>
        <v>67.04676222819468</v>
      </c>
      <c r="AT26" s="1279">
        <f>+'COKE OVENS'!AQ178</f>
        <v>66</v>
      </c>
      <c r="AU26" s="1280">
        <f>+'COKE OVENS'!AR178</f>
        <v>67.348260869565223</v>
      </c>
      <c r="AV26" s="1290">
        <f>+'COKE OVENS'!AS178</f>
        <v>66</v>
      </c>
      <c r="AW26" s="1291">
        <f>+'COKE OVENS'!AT178</f>
        <v>67.078043552639187</v>
      </c>
      <c r="AX26" s="1279">
        <f>+'COKE OVENS'!AU178</f>
        <v>66</v>
      </c>
      <c r="AY26" s="1280">
        <f>+'COKE OVENS'!AV178</f>
        <v>68.401739130434777</v>
      </c>
      <c r="AZ26" s="1290">
        <f>+'COKE OVENS'!AW178</f>
        <v>66</v>
      </c>
      <c r="BA26" s="1291">
        <f>+'COKE OVENS'!AX178</f>
        <v>67.195323124079508</v>
      </c>
      <c r="BB26" s="1279">
        <f>+'COKE OVENS'!AY178</f>
        <v>66</v>
      </c>
      <c r="BC26" s="1280">
        <f>+'COKE OVENS'!AZ178</f>
        <v>68.407333333333327</v>
      </c>
      <c r="BD26" s="3914">
        <f>+'COKE OVENS'!BA178</f>
        <v>66</v>
      </c>
      <c r="BE26" s="3914">
        <f>+'COKE OVENS'!BB178</f>
        <v>68.045004265720962</v>
      </c>
      <c r="BF26" s="1431">
        <f>+'COKE OVENS'!BC178</f>
        <v>66</v>
      </c>
      <c r="BG26" s="3919">
        <f>+'COKE OVENS'!BD178</f>
        <v>67.456260385244406</v>
      </c>
      <c r="BH26" s="1290">
        <f>+'COKE OVENS'!BE178</f>
        <v>66</v>
      </c>
      <c r="BI26" s="1291">
        <f>+'COKE OVENS'!BF178</f>
        <v>67.300073488985277</v>
      </c>
    </row>
    <row r="27" spans="1:61" ht="15.75" thickBot="1" x14ac:dyDescent="0.3">
      <c r="C27" s="6152"/>
      <c r="D27" s="5330" t="s">
        <v>1102</v>
      </c>
      <c r="E27" s="1648" t="s">
        <v>51</v>
      </c>
      <c r="F27" s="1742">
        <v>20.559439644635848</v>
      </c>
      <c r="G27" s="1743">
        <v>20.083333333333332</v>
      </c>
      <c r="H27" s="1744">
        <v>20</v>
      </c>
      <c r="I27" s="1745">
        <f>+'COKE OVENS'!F179</f>
        <v>19.98</v>
      </c>
      <c r="J27" s="1744">
        <f>+'COKE OVENS'!G179</f>
        <v>20</v>
      </c>
      <c r="K27" s="1745">
        <f>+'COKE OVENS'!H179</f>
        <v>19.965</v>
      </c>
      <c r="L27" s="1746">
        <f>+'COKE OVENS'!I179</f>
        <v>20</v>
      </c>
      <c r="M27" s="1747">
        <f>+'COKE OVENS'!J179</f>
        <v>19.972644952693337</v>
      </c>
      <c r="N27" s="1744">
        <f>+'COKE OVENS'!K179</f>
        <v>20</v>
      </c>
      <c r="O27" s="1745">
        <f>+'COKE OVENS'!L179</f>
        <v>20.39153846153846</v>
      </c>
      <c r="P27" s="1962">
        <f>+'COKE OVENS'!M179</f>
        <v>20</v>
      </c>
      <c r="Q27" s="1963">
        <f>+'COKE OVENS'!N179</f>
        <v>20.110113527639033</v>
      </c>
      <c r="R27" s="1744">
        <f>+'COKE OVENS'!O179</f>
        <v>20</v>
      </c>
      <c r="S27" s="1745">
        <f>+'COKE OVENS'!P179</f>
        <v>20.270769230769226</v>
      </c>
      <c r="T27" s="1746">
        <f>+'COKE OVENS'!Q179</f>
        <v>20</v>
      </c>
      <c r="U27" s="1747">
        <f>+'COKE OVENS'!R179</f>
        <v>20.151413437725655</v>
      </c>
      <c r="V27" s="1744">
        <f>+'COKE OVENS'!S179</f>
        <v>20</v>
      </c>
      <c r="W27" s="1745">
        <f>+'COKE OVENS'!T179</f>
        <v>20.331538461538461</v>
      </c>
      <c r="X27" s="1746">
        <f>+'COKE OVENS'!U179</f>
        <v>20</v>
      </c>
      <c r="Y27" s="1747">
        <f>+'COKE OVENS'!V179</f>
        <v>20.188094486705076</v>
      </c>
      <c r="Z27" s="2781">
        <f>+'COKE OVENS'!W179</f>
        <v>20</v>
      </c>
      <c r="AA27" s="1745">
        <f>+'COKE OVENS'!X179</f>
        <v>20.385333333333332</v>
      </c>
      <c r="AB27" s="1962">
        <f>+'COKE OVENS'!Y179</f>
        <v>20</v>
      </c>
      <c r="AC27" s="1962">
        <f>+'COKE OVENS'!Z179</f>
        <v>20.328665217712278</v>
      </c>
      <c r="AD27" s="3920">
        <f>+'COKE OVENS'!AA179</f>
        <v>20</v>
      </c>
      <c r="AE27" s="3921">
        <f>+'COKE OVENS'!AB179</f>
        <v>20.220807353496379</v>
      </c>
      <c r="AF27" s="1744">
        <f>+'COKE OVENS'!AC179</f>
        <v>20</v>
      </c>
      <c r="AG27" s="1745">
        <f>+'COKE OVENS'!AD179</f>
        <v>20.697499999999994</v>
      </c>
      <c r="AH27" s="1746">
        <f>+'COKE OVENS'!AE179</f>
        <v>20</v>
      </c>
      <c r="AI27" s="1747">
        <f>+'COKE OVENS'!AF179</f>
        <v>20.291663719130987</v>
      </c>
      <c r="AJ27" s="1744">
        <f>+'COKE OVENS'!AG179</f>
        <v>20</v>
      </c>
      <c r="AK27" s="1745">
        <f>+'COKE OVENS'!AH179</f>
        <v>20.878666666666668</v>
      </c>
      <c r="AL27" s="1746">
        <f>+'COKE OVENS'!AI179</f>
        <v>20</v>
      </c>
      <c r="AM27" s="1747">
        <f>+'COKE OVENS'!AJ179</f>
        <v>20.365613528528321</v>
      </c>
      <c r="AN27" s="2781">
        <f>+'COKE OVENS'!AK179</f>
        <v>20</v>
      </c>
      <c r="AO27" s="1745">
        <f>+'COKE OVENS'!AL179</f>
        <v>20.32</v>
      </c>
      <c r="AP27" s="1962">
        <f>+'COKE OVENS'!AM179</f>
        <v>20</v>
      </c>
      <c r="AQ27" s="1962">
        <f>+'COKE OVENS'!AN179</f>
        <v>20.628454603747791</v>
      </c>
      <c r="AR27" s="1746">
        <f>+'COKE OVENS'!AO179</f>
        <v>20</v>
      </c>
      <c r="AS27" s="1747">
        <f>+'COKE OVENS'!AP179</f>
        <v>20.360320565766642</v>
      </c>
      <c r="AT27" s="1744">
        <f>+'COKE OVENS'!AQ179</f>
        <v>20</v>
      </c>
      <c r="AU27" s="1745">
        <f>+'COKE OVENS'!AR179</f>
        <v>20.52304347826087</v>
      </c>
      <c r="AV27" s="1746">
        <f>+'COKE OVENS'!AS179</f>
        <v>20</v>
      </c>
      <c r="AW27" s="1747">
        <f>+'COKE OVENS'!AT179</f>
        <v>20.377203521514463</v>
      </c>
      <c r="AX27" s="1744">
        <f>+'COKE OVENS'!AU179</f>
        <v>20</v>
      </c>
      <c r="AY27" s="1745">
        <f>+'COKE OVENS'!AV179</f>
        <v>20.314347826086959</v>
      </c>
      <c r="AZ27" s="1746">
        <f>+'COKE OVENS'!AW179</f>
        <v>20</v>
      </c>
      <c r="BA27" s="1747">
        <f>+'COKE OVENS'!AX179</f>
        <v>20.371634500097471</v>
      </c>
      <c r="BB27" s="1744">
        <f>+'COKE OVENS'!AY179</f>
        <v>20</v>
      </c>
      <c r="BC27" s="1745">
        <f>+'COKE OVENS'!AZ179</f>
        <v>20.547333333333327</v>
      </c>
      <c r="BD27" s="3915">
        <f>+'COKE OVENS'!BA179</f>
        <v>20</v>
      </c>
      <c r="BE27" s="3915">
        <f>+'COKE OVENS'!BB179</f>
        <v>20.464747297376285</v>
      </c>
      <c r="BF27" s="3920">
        <f>+'COKE OVENS'!BC179</f>
        <v>20</v>
      </c>
      <c r="BG27" s="3921">
        <f>+'COKE OVENS'!BD179</f>
        <v>20.546864083581262</v>
      </c>
      <c r="BH27" s="1746">
        <f>+'COKE OVENS'!BE179</f>
        <v>20</v>
      </c>
      <c r="BI27" s="1747">
        <f>+'COKE OVENS'!BF179</f>
        <v>20.386819617148841</v>
      </c>
    </row>
    <row r="28" spans="1:61" x14ac:dyDescent="0.25">
      <c r="C28" s="6150" t="s">
        <v>114</v>
      </c>
      <c r="D28" s="5342" t="s">
        <v>1097</v>
      </c>
      <c r="E28" s="1643" t="s">
        <v>233</v>
      </c>
      <c r="F28" s="1748">
        <v>1.3306230266546284</v>
      </c>
      <c r="G28" s="1749">
        <v>1.3606680027062821</v>
      </c>
      <c r="H28" s="1750">
        <v>1.3568074696331072</v>
      </c>
      <c r="I28" s="1751">
        <f>+SINTER!F75</f>
        <v>1.4015348187114329</v>
      </c>
      <c r="J28" s="1750">
        <f>+SINTER!G75</f>
        <v>1.2922385616776821</v>
      </c>
      <c r="K28" s="1751">
        <f>+SINTER!H75</f>
        <v>1.407748145160066</v>
      </c>
      <c r="L28" s="1752">
        <f>+SINTER!I75</f>
        <v>1.3270790470411375</v>
      </c>
      <c r="M28" s="1753">
        <f>+SINTER!J75</f>
        <v>1.4043104992040052</v>
      </c>
      <c r="N28" s="1750">
        <f>+SINTER!K75</f>
        <v>1.3179677248087098</v>
      </c>
      <c r="O28" s="1751">
        <f>+SINTER!L75</f>
        <v>1.3852801418010834</v>
      </c>
      <c r="P28" s="1964">
        <f>+SINTER!M75</f>
        <v>1.324206587808995</v>
      </c>
      <c r="Q28" s="1965">
        <f>+SINTER!N75</f>
        <v>1.3981329073096371</v>
      </c>
      <c r="R28" s="1750">
        <f>+SINTER!O75</f>
        <v>1.3414411375187909</v>
      </c>
      <c r="S28" s="1751">
        <f>+SINTER!P75</f>
        <v>1.4071338561238222</v>
      </c>
      <c r="T28" s="1752">
        <f>+SINTER!Q75</f>
        <v>1.3289723492975956</v>
      </c>
      <c r="U28" s="1753">
        <f>+SINTER!R75</f>
        <v>1.4005872779008166</v>
      </c>
      <c r="V28" s="1750">
        <f>+SINTER!S75</f>
        <v>1.3414411375187909</v>
      </c>
      <c r="W28" s="1751">
        <f>+SINTER!T75</f>
        <v>1.396855997193063</v>
      </c>
      <c r="X28" s="1752">
        <f>+SINTER!U75</f>
        <v>1.3316733688503744</v>
      </c>
      <c r="Y28" s="1753">
        <f>+SINTER!V75</f>
        <v>1.3998057369064449</v>
      </c>
      <c r="Z28" s="1750">
        <f>+SINTER!W75</f>
        <v>1.3491587773960063</v>
      </c>
      <c r="AA28" s="1751">
        <f>+SINTER!X75</f>
        <v>1.4126864782731989</v>
      </c>
      <c r="AB28" s="1964">
        <f>+SINTER!Y75</f>
        <v>1.3439558741079958</v>
      </c>
      <c r="AC28" s="1964">
        <f>+SINTER!Z75</f>
        <v>1.4055509946697125</v>
      </c>
      <c r="AD28" s="3916">
        <f>+SINTER!AA75</f>
        <v>1.3347008777505014</v>
      </c>
      <c r="AE28" s="3917">
        <f>+SINTER!AB75</f>
        <v>1.4020184570373007</v>
      </c>
      <c r="AF28" s="1750">
        <f>+SINTER!AC75</f>
        <v>1.3648010102205537</v>
      </c>
      <c r="AG28" s="1751">
        <f>+SINTER!AD75</f>
        <v>1.4244914185067932</v>
      </c>
      <c r="AH28" s="1752">
        <f>+SINTER!AE75</f>
        <v>1.3392732860103935</v>
      </c>
      <c r="AI28" s="1753">
        <f>+SINTER!AF75</f>
        <v>1.4054500602741125</v>
      </c>
      <c r="AJ28" s="1750">
        <f>+SINTER!AG75</f>
        <v>1.3751759601505802</v>
      </c>
      <c r="AK28" s="1751">
        <f>+SINTER!AH75</f>
        <v>1.3836168846802022</v>
      </c>
      <c r="AL28" s="1752">
        <f>+SINTER!AI75</f>
        <v>1.3438907412086756</v>
      </c>
      <c r="AM28" s="1753">
        <f>+SINTER!AJ75</f>
        <v>1.4026345146563899</v>
      </c>
      <c r="AN28" s="1750">
        <f>+SINTER!AK75</f>
        <v>1.3840175025122978</v>
      </c>
      <c r="AO28" s="1751">
        <f>+SINTER!AL75</f>
        <v>1.3265806572754164</v>
      </c>
      <c r="AP28" s="1964">
        <f>+SINTER!AM75</f>
        <v>1.3746599390608043</v>
      </c>
      <c r="AQ28" s="1964">
        <f>+SINTER!AN75</f>
        <v>1.3776880073080133</v>
      </c>
      <c r="AR28" s="1752">
        <f>+SINTER!AO75</f>
        <v>1.3485814105087948</v>
      </c>
      <c r="AS28" s="1753">
        <f>+SINTER!AP75</f>
        <v>1.3934843278531988</v>
      </c>
      <c r="AT28" s="1750">
        <f>+SINTER!AQ75</f>
        <v>1.397911949179854</v>
      </c>
      <c r="AU28" s="1751">
        <f>+SINTER!AR75</f>
        <v>1.2798250801279312</v>
      </c>
      <c r="AV28" s="1752">
        <f>+SINTER!AS75</f>
        <v>1.3537444294544494</v>
      </c>
      <c r="AW28" s="1753">
        <f>+SINTER!AT75</f>
        <v>1.3814544124264752</v>
      </c>
      <c r="AX28" s="1750">
        <f>+SINTER!AU75</f>
        <v>1.3859386359654602</v>
      </c>
      <c r="AY28" s="1751">
        <f>+SINTER!AV75</f>
        <v>1.3638003822805971</v>
      </c>
      <c r="AZ28" s="1752">
        <f>+SINTER!AW75</f>
        <v>1.3566094314057122</v>
      </c>
      <c r="BA28" s="1753">
        <f>+SINTER!AX75</f>
        <v>1.3798067797336639</v>
      </c>
      <c r="BB28" s="1750">
        <f>+SINTER!AY75</f>
        <v>1.4032339948040418</v>
      </c>
      <c r="BC28" s="1751">
        <f>+SINTER!AZ75</f>
        <v>1.3775083356275428</v>
      </c>
      <c r="BD28" s="5343">
        <f>+SINTER!BA75</f>
        <v>1.3959165923471566</v>
      </c>
      <c r="BE28" s="5343">
        <f>+SINTER!BB75</f>
        <v>1.3392766928566284</v>
      </c>
      <c r="BF28" s="3916">
        <f>+SINTER!BC75</f>
        <v>1.3852193917229687</v>
      </c>
      <c r="BG28" s="3917">
        <f>+SINTER!BD75</f>
        <v>1.3586770892520292</v>
      </c>
      <c r="BH28" s="1752">
        <f>+SINTER!BE75</f>
        <v>1.3606680027062819</v>
      </c>
      <c r="BI28" s="1753">
        <f>+SINTER!BF75</f>
        <v>1.3796182360880551</v>
      </c>
    </row>
    <row r="29" spans="1:61" x14ac:dyDescent="0.25">
      <c r="C29" s="6151"/>
      <c r="D29" s="5323" t="s">
        <v>810</v>
      </c>
      <c r="E29" s="5318" t="s">
        <v>224</v>
      </c>
      <c r="F29" s="5344">
        <v>783.62841572321815</v>
      </c>
      <c r="G29" s="5327">
        <v>781.57203227015327</v>
      </c>
      <c r="H29" s="1474">
        <v>781.5720322701535</v>
      </c>
      <c r="I29" s="1645">
        <f>+SINTER!F81</f>
        <v>778.13207694510243</v>
      </c>
      <c r="J29" s="1474">
        <f>+SINTER!G81</f>
        <v>781.5720322701535</v>
      </c>
      <c r="K29" s="1645">
        <f>+SINTER!H81</f>
        <v>771.76731885174343</v>
      </c>
      <c r="L29" s="1292">
        <f>+SINTER!I81</f>
        <v>781.5720322701535</v>
      </c>
      <c r="M29" s="1724">
        <f>+SINTER!J81</f>
        <v>775.28178710951534</v>
      </c>
      <c r="N29" s="1474">
        <f>+SINTER!K81</f>
        <v>781.5720322701535</v>
      </c>
      <c r="O29" s="1645">
        <f>+SINTER!L81</f>
        <v>781.63518962015348</v>
      </c>
      <c r="P29" s="1286">
        <f>+SINTER!M81</f>
        <v>781.5720322701535</v>
      </c>
      <c r="Q29" s="1966">
        <f>+SINTER!N81</f>
        <v>777.32525487320697</v>
      </c>
      <c r="R29" s="1474">
        <f>+SINTER!O81</f>
        <v>781.5720322701535</v>
      </c>
      <c r="S29" s="1645">
        <f>+SINTER!P81</f>
        <v>789.64559349845592</v>
      </c>
      <c r="T29" s="1292">
        <f>+SINTER!Q81</f>
        <v>781.5720322701535</v>
      </c>
      <c r="U29" s="1724">
        <f>+SINTER!R81</f>
        <v>780.70045653631303</v>
      </c>
      <c r="V29" s="1474">
        <f>+SINTER!S81</f>
        <v>781.5720322701535</v>
      </c>
      <c r="W29" s="1645">
        <f>+SINTER!T81</f>
        <v>795</v>
      </c>
      <c r="X29" s="1292">
        <f>+SINTER!U81</f>
        <v>781.5720322701535</v>
      </c>
      <c r="Y29" s="1724">
        <f>+SINTER!V81</f>
        <v>783.68927735899558</v>
      </c>
      <c r="Z29" s="1474">
        <f>+SINTER!W81</f>
        <v>781.57203227015361</v>
      </c>
      <c r="AA29" s="1645">
        <f>+SINTER!X81</f>
        <v>792.98390160127974</v>
      </c>
      <c r="AB29" s="1286">
        <f>+SINTER!Y81</f>
        <v>781.5720322701535</v>
      </c>
      <c r="AC29" s="1286">
        <f>+SINTER!Z81</f>
        <v>792.50834594262869</v>
      </c>
      <c r="AD29" s="1432">
        <f>+SINTER!AA81</f>
        <v>781.5720322701535</v>
      </c>
      <c r="AE29" s="3918">
        <f>+SINTER!AB81</f>
        <v>785.29810500756594</v>
      </c>
      <c r="AF29" s="1474">
        <f>+SINTER!AC81</f>
        <v>781.57203227015339</v>
      </c>
      <c r="AG29" s="1645">
        <f>+SINTER!AD81</f>
        <v>785.89220012390797</v>
      </c>
      <c r="AH29" s="1292">
        <f>+SINTER!AE81</f>
        <v>781.5720322701535</v>
      </c>
      <c r="AI29" s="1724">
        <f>+SINTER!AF81</f>
        <v>785.39005192264881</v>
      </c>
      <c r="AJ29" s="1474">
        <f>+SINTER!AG81</f>
        <v>781.5720322701535</v>
      </c>
      <c r="AK29" s="1645">
        <f>+SINTER!AH81</f>
        <v>784.12291795892179</v>
      </c>
      <c r="AL29" s="1292">
        <f>+SINTER!AI81</f>
        <v>781.5720322701535</v>
      </c>
      <c r="AM29" s="1724">
        <f>+SINTER!AJ81</f>
        <v>785.22886139232776</v>
      </c>
      <c r="AN29" s="1474">
        <f>+SINTER!AK81</f>
        <v>781.5720322701535</v>
      </c>
      <c r="AO29" s="1645">
        <f>+SINTER!AL81</f>
        <v>780.36452749272473</v>
      </c>
      <c r="AP29" s="1286">
        <f>+SINTER!AM81</f>
        <v>781.5720322701535</v>
      </c>
      <c r="AQ29" s="1286">
        <f>+SINTER!AN81</f>
        <v>783.49183810882755</v>
      </c>
      <c r="AR29" s="1292">
        <f>+SINTER!AO81</f>
        <v>781.5720322701535</v>
      </c>
      <c r="AS29" s="1724">
        <f>+SINTER!AP81</f>
        <v>784.67172225851721</v>
      </c>
      <c r="AT29" s="1474">
        <f>+SINTER!AQ81</f>
        <v>781.5720322701535</v>
      </c>
      <c r="AU29" s="1645">
        <f>+SINTER!AR81</f>
        <v>778.1437792121078</v>
      </c>
      <c r="AV29" s="1292">
        <f>+SINTER!AS81</f>
        <v>781.5720322701535</v>
      </c>
      <c r="AW29" s="1724">
        <f>+SINTER!AT81</f>
        <v>784.03162169092775</v>
      </c>
      <c r="AX29" s="1474">
        <f>+SINTER!AU81</f>
        <v>781.57203227015361</v>
      </c>
      <c r="AY29" s="1645">
        <f>+SINTER!AV81</f>
        <v>772.4022034426107</v>
      </c>
      <c r="AZ29" s="1292">
        <f>+SINTER!AW81</f>
        <v>781.5720322701535</v>
      </c>
      <c r="BA29" s="1724">
        <f>+SINTER!AX81</f>
        <v>782.95885060329044</v>
      </c>
      <c r="BB29" s="1474">
        <f>+SINTER!AY81</f>
        <v>781.5720322701535</v>
      </c>
      <c r="BC29" s="1645">
        <f>+SINTER!AZ81</f>
        <v>777.02584543811781</v>
      </c>
      <c r="BD29" s="5274">
        <f>+SINTER!BA81</f>
        <v>781.5720322701535</v>
      </c>
      <c r="BE29" s="5274">
        <f>+SINTER!BB81</f>
        <v>775.81681094666294</v>
      </c>
      <c r="BF29" s="1432">
        <f>+SINTER!BC81</f>
        <v>781.5720322701535</v>
      </c>
      <c r="BG29" s="3918">
        <f>+SINTER!BD81</f>
        <v>779.74747549193683</v>
      </c>
      <c r="BH29" s="1292">
        <f>+SINTER!BE81</f>
        <v>781.5720322701535</v>
      </c>
      <c r="BI29" s="1724">
        <f>+SINTER!BF81</f>
        <v>782.47290462879494</v>
      </c>
    </row>
    <row r="30" spans="1:61" x14ac:dyDescent="0.25">
      <c r="C30" s="6151"/>
      <c r="D30" s="5323" t="s">
        <v>812</v>
      </c>
      <c r="E30" s="5318" t="s">
        <v>224</v>
      </c>
      <c r="F30" s="5344">
        <v>102.61678267110892</v>
      </c>
      <c r="G30" s="5327">
        <v>96.999999999999986</v>
      </c>
      <c r="H30" s="1474">
        <v>97</v>
      </c>
      <c r="I30" s="1645">
        <f>+SINTER!F82</f>
        <v>102.47026056173048</v>
      </c>
      <c r="J30" s="1474">
        <f>+SINTER!G82</f>
        <v>97</v>
      </c>
      <c r="K30" s="1645">
        <f>+SINTER!H82</f>
        <v>102.26339033533611</v>
      </c>
      <c r="L30" s="1292">
        <f>+SINTER!I82</f>
        <v>96.999999999999986</v>
      </c>
      <c r="M30" s="1724">
        <f>+SINTER!J82</f>
        <v>102.37761916123598</v>
      </c>
      <c r="N30" s="1474">
        <f>+SINTER!K82</f>
        <v>97</v>
      </c>
      <c r="O30" s="1645">
        <f>+SINTER!L82</f>
        <v>62.821717646345533</v>
      </c>
      <c r="P30" s="1286">
        <f>+SINTER!M82</f>
        <v>96.999999999999986</v>
      </c>
      <c r="Q30" s="1966">
        <f>+SINTER!N82</f>
        <v>89.65511189460301</v>
      </c>
      <c r="R30" s="1474">
        <f>+SINTER!O82</f>
        <v>97.000000000000014</v>
      </c>
      <c r="S30" s="1645">
        <f>+SINTER!P82</f>
        <v>89.528017881830039</v>
      </c>
      <c r="T30" s="1292">
        <f>+SINTER!Q82</f>
        <v>96.999999999999986</v>
      </c>
      <c r="U30" s="1724">
        <f>+SINTER!R82</f>
        <v>89.620294026658769</v>
      </c>
      <c r="V30" s="1474">
        <f>+SINTER!S82</f>
        <v>97.000000000000014</v>
      </c>
      <c r="W30" s="1645">
        <f>+SINTER!T82</f>
        <v>103.39617384595189</v>
      </c>
      <c r="X30" s="1292">
        <f>+SINTER!U82</f>
        <v>96.999999999999986</v>
      </c>
      <c r="Y30" s="1724">
        <f>+SINTER!V82</f>
        <v>92.499661228782003</v>
      </c>
      <c r="Z30" s="1474">
        <f>+SINTER!W82</f>
        <v>97</v>
      </c>
      <c r="AA30" s="1645">
        <f>+SINTER!X82</f>
        <v>75.476291108697637</v>
      </c>
      <c r="AB30" s="1286">
        <f>+SINTER!Y82</f>
        <v>96.999999999999986</v>
      </c>
      <c r="AC30" s="1286">
        <f>+SINTER!Z82</f>
        <v>89.460745412156427</v>
      </c>
      <c r="AD30" s="1432">
        <f>+SINTER!AA82</f>
        <v>96.999999999999986</v>
      </c>
      <c r="AE30" s="3918">
        <f>+SINTER!AB82</f>
        <v>89.553047378978121</v>
      </c>
      <c r="AF30" s="1474">
        <f>+SINTER!AC82</f>
        <v>97</v>
      </c>
      <c r="AG30" s="1645">
        <f>+SINTER!AD82</f>
        <v>94.170006701141716</v>
      </c>
      <c r="AH30" s="1292">
        <f>+SINTER!AE82</f>
        <v>96.999999999999986</v>
      </c>
      <c r="AI30" s="1724">
        <f>+SINTER!AF82</f>
        <v>90.267604955800977</v>
      </c>
      <c r="AJ30" s="1474">
        <f>+SINTER!AG82</f>
        <v>96.999999999999986</v>
      </c>
      <c r="AK30" s="1645">
        <f>+SINTER!AH82</f>
        <v>69.119870250878733</v>
      </c>
      <c r="AL30" s="1292">
        <f>+SINTER!AI82</f>
        <v>96.999999999999986</v>
      </c>
      <c r="AM30" s="1724">
        <f>+SINTER!AJ82</f>
        <v>87.577428013381791</v>
      </c>
      <c r="AN30" s="1474">
        <f>+SINTER!AK82</f>
        <v>97</v>
      </c>
      <c r="AO30" s="1645">
        <f>+SINTER!AL82</f>
        <v>78.179052608785213</v>
      </c>
      <c r="AP30" s="1286">
        <f>+SINTER!AM82</f>
        <v>96.999999999999986</v>
      </c>
      <c r="AQ30" s="1286">
        <f>+SINTER!AN82</f>
        <v>80.751961540205912</v>
      </c>
      <c r="AR30" s="1292">
        <f>+SINTER!AO82</f>
        <v>96.999999999999986</v>
      </c>
      <c r="AS30" s="1724">
        <f>+SINTER!AP82</f>
        <v>86.500979965156802</v>
      </c>
      <c r="AT30" s="1474">
        <f>+SINTER!AQ82</f>
        <v>97</v>
      </c>
      <c r="AU30" s="1645">
        <f>+SINTER!AR82</f>
        <v>60.135210327175606</v>
      </c>
      <c r="AV30" s="1292">
        <f>+SINTER!AS82</f>
        <v>96.999999999999986</v>
      </c>
      <c r="AW30" s="1724">
        <f>+SINTER!AT82</f>
        <v>83.915671853516955</v>
      </c>
      <c r="AX30" s="1474">
        <f>+SINTER!AU82</f>
        <v>97</v>
      </c>
      <c r="AY30" s="1645">
        <f>+SINTER!AV82</f>
        <v>82.964661161639484</v>
      </c>
      <c r="AZ30" s="1292">
        <f>+SINTER!AW82</f>
        <v>96.999999999999986</v>
      </c>
      <c r="BA30" s="1724">
        <f>+SINTER!AX82</f>
        <v>83.827944612781778</v>
      </c>
      <c r="BB30" s="1474">
        <f>+SINTER!AY82</f>
        <v>97</v>
      </c>
      <c r="BC30" s="1645">
        <f>+SINTER!AZ82</f>
        <v>82.102499049289804</v>
      </c>
      <c r="BD30" s="5274">
        <f>+SINTER!BA82</f>
        <v>96.999999999999986</v>
      </c>
      <c r="BE30" s="5274">
        <f>+SINTER!BB82</f>
        <v>75.167207621279886</v>
      </c>
      <c r="BF30" s="1432">
        <f>+SINTER!BC82</f>
        <v>96.999999999999986</v>
      </c>
      <c r="BG30" s="3918">
        <f>+SINTER!BD82</f>
        <v>78.02736612748258</v>
      </c>
      <c r="BH30" s="1292">
        <f>+SINTER!BE82</f>
        <v>96.999999999999986</v>
      </c>
      <c r="BI30" s="1724">
        <f>+SINTER!BF82</f>
        <v>83.68662106721807</v>
      </c>
    </row>
    <row r="31" spans="1:61" x14ac:dyDescent="0.25">
      <c r="C31" s="6151"/>
      <c r="D31" s="5323" t="s">
        <v>811</v>
      </c>
      <c r="E31" s="5318" t="s">
        <v>224</v>
      </c>
      <c r="F31" s="5344">
        <v>101.93133462172391</v>
      </c>
      <c r="G31" s="5327">
        <v>89.571519882284875</v>
      </c>
      <c r="H31" s="1474">
        <v>89.571519882284903</v>
      </c>
      <c r="I31" s="1645">
        <f>+SINTER!F83</f>
        <v>84.18668818491814</v>
      </c>
      <c r="J31" s="1474">
        <f>+SINTER!G83</f>
        <v>89.571519882284903</v>
      </c>
      <c r="K31" s="1645">
        <f>+SINTER!H83</f>
        <v>87.181610434961229</v>
      </c>
      <c r="L31" s="1292">
        <f>+SINTER!I83</f>
        <v>89.571519882284903</v>
      </c>
      <c r="M31" s="1724">
        <f>+SINTER!J83</f>
        <v>85.527885497126789</v>
      </c>
      <c r="N31" s="1474">
        <f>+SINTER!K83</f>
        <v>89.571519882284917</v>
      </c>
      <c r="O31" s="1645">
        <f>+SINTER!L83</f>
        <v>112.83232788674327</v>
      </c>
      <c r="P31" s="1286">
        <f>+SINTER!M83</f>
        <v>89.571519882284903</v>
      </c>
      <c r="Q31" s="1966">
        <f>+SINTER!N83</f>
        <v>94.309911779159293</v>
      </c>
      <c r="R31" s="1474">
        <f>+SINTER!O83</f>
        <v>89.571519882284917</v>
      </c>
      <c r="S31" s="1645">
        <f>+SINTER!P83</f>
        <v>91.305864568394128</v>
      </c>
      <c r="T31" s="1292">
        <f>+SINTER!Q83</f>
        <v>89.571519882284903</v>
      </c>
      <c r="U31" s="1724">
        <f>+SINTER!R83</f>
        <v>93.486942098679521</v>
      </c>
      <c r="V31" s="1474">
        <f>+SINTER!S83</f>
        <v>89.571519882284917</v>
      </c>
      <c r="W31" s="1645">
        <f>+SINTER!T83</f>
        <v>112.11633308597193</v>
      </c>
      <c r="X31" s="1292">
        <f>+SINTER!U83</f>
        <v>89.571519882284903</v>
      </c>
      <c r="Y31" s="1724">
        <f>+SINTER!V83</f>
        <v>97.380766530075604</v>
      </c>
      <c r="Z31" s="1474">
        <f>+SINTER!W83</f>
        <v>89.571519882284903</v>
      </c>
      <c r="AA31" s="1645">
        <f>+SINTER!X83</f>
        <v>92.572480244819786</v>
      </c>
      <c r="AB31" s="1286">
        <f>+SINTER!Y83</f>
        <v>89.571519882284903</v>
      </c>
      <c r="AC31" s="1286">
        <f>+SINTER!Z83</f>
        <v>98.572945213934773</v>
      </c>
      <c r="AD31" s="1432">
        <f>+SINTER!AA83</f>
        <v>89.571519882284903</v>
      </c>
      <c r="AE31" s="3918">
        <f>+SINTER!AB83</f>
        <v>96.548489321625482</v>
      </c>
      <c r="AF31" s="1474">
        <f>+SINTER!AC83</f>
        <v>89.571519882284903</v>
      </c>
      <c r="AG31" s="1645">
        <f>+SINTER!AD83</f>
        <v>85.450936263291652</v>
      </c>
      <c r="AH31" s="1292">
        <f>+SINTER!AE83</f>
        <v>89.571519882284903</v>
      </c>
      <c r="AI31" s="1724">
        <f>+SINTER!AF83</f>
        <v>94.830943190352656</v>
      </c>
      <c r="AJ31" s="1474">
        <f>+SINTER!AG83</f>
        <v>89.571519882284903</v>
      </c>
      <c r="AK31" s="1645">
        <f>+SINTER!AH83</f>
        <v>109.02202136886396</v>
      </c>
      <c r="AL31" s="1292">
        <f>+SINTER!AI83</f>
        <v>89.571519882284903</v>
      </c>
      <c r="AM31" s="1724">
        <f>+SINTER!AJ83</f>
        <v>96.636172536974513</v>
      </c>
      <c r="AN31" s="1474">
        <f>+SINTER!AK83</f>
        <v>89.571519882284903</v>
      </c>
      <c r="AO31" s="1645">
        <f>+SINTER!AL83</f>
        <v>99.138591219017542</v>
      </c>
      <c r="AP31" s="1286">
        <f>+SINTER!AM83</f>
        <v>89.571519882284903</v>
      </c>
      <c r="AQ31" s="1286">
        <f>+SINTER!AN83</f>
        <v>97.62783590394821</v>
      </c>
      <c r="AR31" s="1292">
        <f>+SINTER!AO83</f>
        <v>89.571519882284903</v>
      </c>
      <c r="AS31" s="1724">
        <f>+SINTER!AP83</f>
        <v>96.922788424312813</v>
      </c>
      <c r="AT31" s="1474">
        <f>+SINTER!AQ83</f>
        <v>89.571519882284903</v>
      </c>
      <c r="AU31" s="1645">
        <f>+SINTER!AR83</f>
        <v>84.464722902292465</v>
      </c>
      <c r="AV31" s="1292">
        <f>+SINTER!AS83</f>
        <v>89.571519882284903</v>
      </c>
      <c r="AW31" s="1724">
        <f>+SINTER!AT83</f>
        <v>95.70120687021236</v>
      </c>
      <c r="AX31" s="1474">
        <f>+SINTER!AU83</f>
        <v>89.571519882284903</v>
      </c>
      <c r="AY31" s="1645">
        <f>+SINTER!AV83</f>
        <v>88.306828309727564</v>
      </c>
      <c r="AZ31" s="1292">
        <f>+SINTER!AW83</f>
        <v>89.571519882284903</v>
      </c>
      <c r="BA31" s="1724">
        <f>+SINTER!AX83</f>
        <v>95.019102627217961</v>
      </c>
      <c r="BB31" s="1474">
        <f>+SINTER!AY83</f>
        <v>89.571519882284917</v>
      </c>
      <c r="BC31" s="1645">
        <f>+SINTER!AZ83</f>
        <v>89.583269721337814</v>
      </c>
      <c r="BD31" s="5274">
        <f>+SINTER!BA83</f>
        <v>89.571519882284903</v>
      </c>
      <c r="BE31" s="5274">
        <f>+SINTER!BB83</f>
        <v>87.463434062286836</v>
      </c>
      <c r="BF31" s="1432">
        <f>+SINTER!BC83</f>
        <v>89.571519882284903</v>
      </c>
      <c r="BG31" s="3918">
        <f>+SINTER!BD83</f>
        <v>92.668999215188109</v>
      </c>
      <c r="BH31" s="1292">
        <f>+SINTER!BE83</f>
        <v>89.571519882284903</v>
      </c>
      <c r="BI31" s="1724">
        <f>+SINTER!BF83</f>
        <v>94.5738778136364</v>
      </c>
    </row>
    <row r="32" spans="1:61" x14ac:dyDescent="0.25">
      <c r="C32" s="6151"/>
      <c r="D32" s="5323" t="s">
        <v>28</v>
      </c>
      <c r="E32" s="5318" t="s">
        <v>224</v>
      </c>
      <c r="F32" s="5319">
        <v>74.095728405144612</v>
      </c>
      <c r="G32" s="5329">
        <v>74.999999999999986</v>
      </c>
      <c r="H32" s="1473">
        <v>75</v>
      </c>
      <c r="I32" s="1280">
        <f>+SINTER!F93</f>
        <v>75.979384126818857</v>
      </c>
      <c r="J32" s="1473">
        <f>+SINTER!G93</f>
        <v>75</v>
      </c>
      <c r="K32" s="1280">
        <f>+SINTER!H93</f>
        <v>76.914188876906479</v>
      </c>
      <c r="L32" s="1290">
        <f>+SINTER!I93</f>
        <v>75</v>
      </c>
      <c r="M32" s="1291">
        <f>+SINTER!J93</f>
        <v>76.398011895282423</v>
      </c>
      <c r="N32" s="1473">
        <f>+SINTER!K93</f>
        <v>75</v>
      </c>
      <c r="O32" s="1280">
        <f>+SINTER!L93</f>
        <v>65.798647952223604</v>
      </c>
      <c r="P32" s="1285">
        <f>+SINTER!M93</f>
        <v>75</v>
      </c>
      <c r="Q32" s="1973">
        <f>+SINTER!N93</f>
        <v>72.988900242587818</v>
      </c>
      <c r="R32" s="1473">
        <f>+SINTER!O93</f>
        <v>75.000000000000014</v>
      </c>
      <c r="S32" s="1280">
        <f>+SINTER!P93</f>
        <v>68.638319314702116</v>
      </c>
      <c r="T32" s="1290">
        <f>+SINTER!Q93</f>
        <v>75</v>
      </c>
      <c r="U32" s="1291">
        <f>+SINTER!R93</f>
        <v>71.79704274338043</v>
      </c>
      <c r="V32" s="1473">
        <f>+SINTER!S93</f>
        <v>75.000000000000014</v>
      </c>
      <c r="W32" s="1280">
        <f>+SINTER!T93</f>
        <v>71.70087308752575</v>
      </c>
      <c r="X32" s="1290">
        <f>+SINTER!U93</f>
        <v>75</v>
      </c>
      <c r="Y32" s="1291">
        <f>+SINTER!V93</f>
        <v>71.776941831022043</v>
      </c>
      <c r="Z32" s="1473">
        <f>+SINTER!W93</f>
        <v>75</v>
      </c>
      <c r="AA32" s="1280">
        <f>+SINTER!X93</f>
        <v>65.666914553829855</v>
      </c>
      <c r="AB32" s="1286">
        <f>+SINTER!Y93</f>
        <v>75</v>
      </c>
      <c r="AC32" s="1286">
        <f>+SINTER!Z93</f>
        <v>68.666871237051225</v>
      </c>
      <c r="AD32" s="1432">
        <f>+SINTER!AA93</f>
        <v>75</v>
      </c>
      <c r="AE32" s="3918">
        <f>+SINTER!AB93</f>
        <v>70.719343313768817</v>
      </c>
      <c r="AF32" s="1473">
        <f>+SINTER!AC93</f>
        <v>75</v>
      </c>
      <c r="AG32" s="1280">
        <f>+SINTER!AD93</f>
        <v>70.996700003793094</v>
      </c>
      <c r="AH32" s="1290">
        <f>+SINTER!AE93</f>
        <v>75</v>
      </c>
      <c r="AI32" s="1291">
        <f>+SINTER!AF93</f>
        <v>70.76226925495871</v>
      </c>
      <c r="AJ32" s="1473">
        <f>+SINTER!AG93</f>
        <v>75</v>
      </c>
      <c r="AK32" s="1280">
        <f>+SINTER!AH93</f>
        <v>74.619170754891769</v>
      </c>
      <c r="AL32" s="1290">
        <f>+SINTER!AI93</f>
        <v>75</v>
      </c>
      <c r="AM32" s="1291">
        <f>+SINTER!AJ93</f>
        <v>71.252900881895414</v>
      </c>
      <c r="AN32" s="1473">
        <f>+SINTER!AK93</f>
        <v>75</v>
      </c>
      <c r="AO32" s="1280">
        <f>+SINTER!AL93</f>
        <v>81.432441996186782</v>
      </c>
      <c r="AP32" s="1286">
        <f>+SINTER!AM93</f>
        <v>75</v>
      </c>
      <c r="AQ32" s="1286">
        <f>+SINTER!AN93</f>
        <v>75.620035096655357</v>
      </c>
      <c r="AR32" s="1290">
        <f>+SINTER!AO93</f>
        <v>75</v>
      </c>
      <c r="AS32" s="1291">
        <f>+SINTER!AP93</f>
        <v>72.41882017034456</v>
      </c>
      <c r="AT32" s="1473">
        <f>+SINTER!AQ93</f>
        <v>75</v>
      </c>
      <c r="AU32" s="1280">
        <f>+SINTER!AR93</f>
        <v>74.32116625862453</v>
      </c>
      <c r="AV32" s="1290">
        <f>+SINTER!AS93</f>
        <v>75</v>
      </c>
      <c r="AW32" s="1291">
        <f>+SINTER!AT93</f>
        <v>72.605355622967636</v>
      </c>
      <c r="AX32" s="1473">
        <f>+SINTER!AU93</f>
        <v>75</v>
      </c>
      <c r="AY32" s="1280">
        <f>+SINTER!AV93</f>
        <v>78.575493680672622</v>
      </c>
      <c r="AZ32" s="1290">
        <f>+SINTER!AW93</f>
        <v>75</v>
      </c>
      <c r="BA32" s="1291">
        <f>+SINTER!AX93</f>
        <v>73.15607891460229</v>
      </c>
      <c r="BB32" s="1473">
        <f>+SINTER!AY93</f>
        <v>75</v>
      </c>
      <c r="BC32" s="1280">
        <f>+SINTER!AZ93</f>
        <v>77.236528367248937</v>
      </c>
      <c r="BD32" s="3914">
        <f>+SINTER!BA93</f>
        <v>75</v>
      </c>
      <c r="BE32" s="3914">
        <f>+SINTER!BB93</f>
        <v>76.733763350286807</v>
      </c>
      <c r="BF32" s="1431">
        <f>+SINTER!BC93</f>
        <v>75</v>
      </c>
      <c r="BG32" s="3919">
        <f>+SINTER!BD93</f>
        <v>76.163382025618716</v>
      </c>
      <c r="BH32" s="1290">
        <f>+SINTER!BE93</f>
        <v>75</v>
      </c>
      <c r="BI32" s="1291">
        <f>+SINTER!BF93</f>
        <v>73.49029031851029</v>
      </c>
    </row>
    <row r="33" spans="3:61" x14ac:dyDescent="0.25">
      <c r="C33" s="6153"/>
      <c r="D33" s="5345" t="s">
        <v>43</v>
      </c>
      <c r="E33" s="2315" t="s">
        <v>224</v>
      </c>
      <c r="F33" s="2316">
        <v>6.4308813342236046</v>
      </c>
      <c r="G33" s="2317">
        <f>+SINTER!D87</f>
        <v>6</v>
      </c>
      <c r="H33" s="1473">
        <f>+SINTER!E87</f>
        <v>6</v>
      </c>
      <c r="I33" s="1280">
        <f>+SINTER!F87</f>
        <v>7.6010002743645737</v>
      </c>
      <c r="J33" s="1473">
        <f>+SINTER!G87</f>
        <v>5.9999999999999991</v>
      </c>
      <c r="K33" s="1280">
        <f>+SINTER!H87</f>
        <v>6.7425310081831702</v>
      </c>
      <c r="L33" s="1290">
        <f>+SINTER!I87</f>
        <v>6</v>
      </c>
      <c r="M33" s="1291">
        <f>+SINTER!J87</f>
        <v>7.2165573485424863</v>
      </c>
      <c r="N33" s="1473">
        <f>+SINTER!K87</f>
        <v>6</v>
      </c>
      <c r="O33" s="1280">
        <f>+SINTER!L87</f>
        <v>8.879255464273804</v>
      </c>
      <c r="P33" s="1285">
        <f>+SINTER!M87</f>
        <v>6</v>
      </c>
      <c r="Q33" s="1961">
        <f>+SINTER!N87</f>
        <v>7.7513369401957197</v>
      </c>
      <c r="R33" s="1473">
        <f>+SINTER!O87</f>
        <v>6.0000000000000009</v>
      </c>
      <c r="S33" s="1280">
        <f>+SINTER!P87</f>
        <v>7.1040019352190988</v>
      </c>
      <c r="T33" s="1290">
        <f>+SINTER!Q87</f>
        <v>6</v>
      </c>
      <c r="U33" s="1291">
        <f>+SINTER!R87</f>
        <v>7.5739971566197886</v>
      </c>
      <c r="V33" s="1473">
        <f>+SINTER!S87</f>
        <v>6.0000000000000009</v>
      </c>
      <c r="W33" s="1280">
        <f>+SINTER!T87</f>
        <v>9.140762926865861</v>
      </c>
      <c r="X33" s="1290">
        <f>+SINTER!U87</f>
        <v>6</v>
      </c>
      <c r="Y33" s="1291">
        <f>+SINTER!V87</f>
        <v>7.9014748953510594</v>
      </c>
      <c r="Z33" s="1473">
        <f>+SINTER!W87</f>
        <v>5.9999999999999991</v>
      </c>
      <c r="AA33" s="1280">
        <f>+SINTER!X87</f>
        <v>8.5173315927731075</v>
      </c>
      <c r="AB33" s="1286">
        <f>+SINTER!Y87</f>
        <v>6</v>
      </c>
      <c r="AC33" s="1285">
        <f>+SINTER!Z87</f>
        <v>8.2402557384644908</v>
      </c>
      <c r="AD33" s="1432">
        <f>+SINTER!AA87</f>
        <v>6</v>
      </c>
      <c r="AE33" s="3919">
        <f>+SINTER!AB87</f>
        <v>8.0080749317314766</v>
      </c>
      <c r="AF33" s="1473">
        <f>+SINTER!AC87</f>
        <v>6</v>
      </c>
      <c r="AG33" s="1280">
        <f>+SINTER!AD87</f>
        <v>10.122517100555056</v>
      </c>
      <c r="AH33" s="1290">
        <f>+SINTER!AE87</f>
        <v>6</v>
      </c>
      <c r="AI33" s="1291">
        <f>+SINTER!AF87</f>
        <v>8.3353229248497325</v>
      </c>
      <c r="AJ33" s="1473">
        <f>+SINTER!AG87</f>
        <v>6</v>
      </c>
      <c r="AK33" s="1280">
        <f>+SINTER!AH87</f>
        <v>6.4095851089253539</v>
      </c>
      <c r="AL33" s="1290">
        <f>+SINTER!AI87</f>
        <v>6</v>
      </c>
      <c r="AM33" s="1291">
        <f>+SINTER!AJ87</f>
        <v>8.0903522203355216</v>
      </c>
      <c r="AN33" s="1473">
        <f>+SINTER!AK87</f>
        <v>6</v>
      </c>
      <c r="AO33" s="1280">
        <f>+SINTER!AL87</f>
        <v>9.0841391985887885</v>
      </c>
      <c r="AP33" s="1286">
        <f>+SINTER!AM87</f>
        <v>6</v>
      </c>
      <c r="AQ33" s="1285">
        <f>+SINTER!AN87</f>
        <v>8.5735616825462184</v>
      </c>
      <c r="AR33" s="1290">
        <f>+SINTER!AO87</f>
        <v>6</v>
      </c>
      <c r="AS33" s="1291">
        <f>+SINTER!AP87</f>
        <v>8.2041761534132487</v>
      </c>
      <c r="AT33" s="1473">
        <f>+SINTER!AQ87</f>
        <v>6</v>
      </c>
      <c r="AU33" s="1280">
        <f>+SINTER!AR87</f>
        <v>8.8721344313376367</v>
      </c>
      <c r="AV33" s="1290">
        <f>+SINTER!AS87</f>
        <v>6</v>
      </c>
      <c r="AW33" s="1291">
        <f>+SINTER!AT87</f>
        <v>8.2696731208018761</v>
      </c>
      <c r="AX33" s="1473">
        <f>+SINTER!AU87</f>
        <v>5.9999999999999991</v>
      </c>
      <c r="AY33" s="1280">
        <f>+SINTER!AV87</f>
        <v>10.128641532530844</v>
      </c>
      <c r="AZ33" s="1290">
        <f>+SINTER!AW87</f>
        <v>6</v>
      </c>
      <c r="BA33" s="1291">
        <f>+SINTER!AX87</f>
        <v>8.441156123850849</v>
      </c>
      <c r="BB33" s="1473">
        <f>+SINTER!AY87</f>
        <v>5.9999999999999991</v>
      </c>
      <c r="BC33" s="1280">
        <f>+SINTER!AZ87</f>
        <v>8.1025490136208322</v>
      </c>
      <c r="BD33" s="3914">
        <f>+SINTER!BA87</f>
        <v>6</v>
      </c>
      <c r="BE33" s="3914">
        <f>+SINTER!BB87</f>
        <v>9.0468364455390695</v>
      </c>
      <c r="BF33" s="1431">
        <f>+SINTER!BC87</f>
        <v>6</v>
      </c>
      <c r="BG33" s="3919">
        <f>+SINTER!BD87</f>
        <v>8.8044549800714957</v>
      </c>
      <c r="BH33" s="1290">
        <f>+SINTER!BE87</f>
        <v>6</v>
      </c>
      <c r="BI33" s="1291">
        <f>+SINTER!BF87</f>
        <v>8.413422326631574</v>
      </c>
    </row>
    <row r="34" spans="3:61" s="2455" customFormat="1" x14ac:dyDescent="0.25">
      <c r="C34" s="6153"/>
      <c r="D34" s="5345" t="s">
        <v>1724</v>
      </c>
      <c r="E34" s="2315" t="s">
        <v>224</v>
      </c>
      <c r="F34" s="2316"/>
      <c r="G34" s="2317">
        <v>0</v>
      </c>
      <c r="H34" s="1473">
        <f>+SINTER!E88</f>
        <v>0</v>
      </c>
      <c r="I34" s="1280">
        <f>+SINTER!F88</f>
        <v>3.4107406860801674</v>
      </c>
      <c r="J34" s="1473">
        <f>+SINTER!G88</f>
        <v>0</v>
      </c>
      <c r="K34" s="1280">
        <f>+SINTER!H88</f>
        <v>1.798008268848845</v>
      </c>
      <c r="L34" s="1290">
        <f>+SINTER!I88</f>
        <v>6</v>
      </c>
      <c r="M34" s="1291">
        <f>+SINTER!J88</f>
        <v>2.6885208076605198</v>
      </c>
      <c r="N34" s="1473">
        <f>+SINTER!K88</f>
        <v>0</v>
      </c>
      <c r="O34" s="1280">
        <f>+SINTER!L88</f>
        <v>6.3045793541544963</v>
      </c>
      <c r="P34" s="1285">
        <f>+SINTER!M88</f>
        <v>0</v>
      </c>
      <c r="Q34" s="1961">
        <f>+SINTER!N88</f>
        <v>3.8515667596538425</v>
      </c>
      <c r="R34" s="1473">
        <f>+SINTER!O88</f>
        <v>0</v>
      </c>
      <c r="S34" s="1280">
        <f>+SINTER!P88</f>
        <v>1.0105265910695729</v>
      </c>
      <c r="T34" s="1290">
        <f>+SINTER!Q88</f>
        <v>0</v>
      </c>
      <c r="U34" s="1291">
        <f>+SINTER!R88</f>
        <v>3.0732534523957833</v>
      </c>
      <c r="V34" s="1473">
        <f>+SINTER!S88</f>
        <v>0</v>
      </c>
      <c r="W34" s="1280">
        <f>+SINTER!T88</f>
        <v>2.0896234123550328</v>
      </c>
      <c r="X34" s="1290">
        <f>+SINTER!U88</f>
        <v>0</v>
      </c>
      <c r="Y34" s="1291">
        <f>+SINTER!V88</f>
        <v>2.8676598994998037</v>
      </c>
      <c r="Z34" s="1473">
        <f>+SINTER!W88</f>
        <v>0</v>
      </c>
      <c r="AA34" s="1280">
        <f>+SINTER!X88</f>
        <v>1.1235173583431863</v>
      </c>
      <c r="AB34" s="1286">
        <f>+SINTER!Y88</f>
        <v>0</v>
      </c>
      <c r="AC34" s="1285">
        <f>+SINTER!Z88</f>
        <v>1.4029460188531526</v>
      </c>
      <c r="AD34" s="1432">
        <f>+SINTER!AA88</f>
        <v>0</v>
      </c>
      <c r="AE34" s="3919">
        <f>+SINTER!AB88</f>
        <v>2.5657623004021484</v>
      </c>
      <c r="AF34" s="1473">
        <f>+SINTER!AC88</f>
        <v>0</v>
      </c>
      <c r="AG34" s="1280">
        <f>+SINTER!AD88</f>
        <v>0</v>
      </c>
      <c r="AH34" s="1290">
        <f>+SINTER!AE88</f>
        <v>0</v>
      </c>
      <c r="AI34" s="1291">
        <f>+SINTER!AF88</f>
        <v>2.1686643915516863</v>
      </c>
      <c r="AJ34" s="1473">
        <f>+SINTER!AG88</f>
        <v>0</v>
      </c>
      <c r="AK34" s="1280">
        <f>+SINTER!AH88</f>
        <v>1.6406604531015465</v>
      </c>
      <c r="AL34" s="1290">
        <f>+SINTER!AI88</f>
        <v>0</v>
      </c>
      <c r="AM34" s="1291">
        <f>+SINTER!AJ88</f>
        <v>2.1014976694159833</v>
      </c>
      <c r="AN34" s="1473">
        <f>+SINTER!AK88</f>
        <v>0</v>
      </c>
      <c r="AO34" s="1280">
        <f>+SINTER!AL88</f>
        <v>5.0754987033975745</v>
      </c>
      <c r="AP34" s="1286">
        <f>+SINTER!AM88</f>
        <v>0</v>
      </c>
      <c r="AQ34" s="1285">
        <f>+SINTER!AN88</f>
        <v>2.2092402585849</v>
      </c>
      <c r="AR34" s="1290">
        <f>+SINTER!AO88</f>
        <v>0</v>
      </c>
      <c r="AS34" s="1291">
        <f>+SINTER!AP88</f>
        <v>2.4421264984030553</v>
      </c>
      <c r="AT34" s="1473">
        <f>+SINTER!AQ88</f>
        <v>0</v>
      </c>
      <c r="AU34" s="1280">
        <f>+SINTER!AR88</f>
        <v>2.7681949699532606</v>
      </c>
      <c r="AV34" s="1290">
        <f>+SINTER!AS88</f>
        <v>0</v>
      </c>
      <c r="AW34" s="1291">
        <f>+SINTER!AT88</f>
        <v>2.4740992978329035</v>
      </c>
      <c r="AX34" s="1473">
        <f>+SINTER!AU88</f>
        <v>0</v>
      </c>
      <c r="AY34" s="1280">
        <f>+SINTER!AV88</f>
        <v>2.2039795118494099</v>
      </c>
      <c r="AZ34" s="1290">
        <f>+SINTER!AW88</f>
        <v>0</v>
      </c>
      <c r="BA34" s="1291">
        <f>+SINTER!AX88</f>
        <v>2.4491817404440104</v>
      </c>
      <c r="BB34" s="1473">
        <f>+SINTER!AY88</f>
        <v>0</v>
      </c>
      <c r="BC34" s="1280">
        <f>+SINTER!AZ88</f>
        <v>2.6980738750392081</v>
      </c>
      <c r="BD34" s="3914">
        <f>+SINTER!BA88</f>
        <v>0</v>
      </c>
      <c r="BE34" s="3914">
        <f>+SINTER!BB88</f>
        <v>2.5526343497786588</v>
      </c>
      <c r="BF34" s="1431">
        <f>+SINTER!BC88</f>
        <v>0</v>
      </c>
      <c r="BG34" s="3919">
        <f>+SINTER!BD88</f>
        <v>2.376769567701305</v>
      </c>
      <c r="BH34" s="1290">
        <f>+SINTER!BE88</f>
        <v>0</v>
      </c>
      <c r="BI34" s="1291">
        <f>+SINTER!BF88</f>
        <v>2.46956738440065</v>
      </c>
    </row>
    <row r="35" spans="3:61" x14ac:dyDescent="0.25">
      <c r="C35" s="6153"/>
      <c r="D35" s="5345" t="s">
        <v>44</v>
      </c>
      <c r="E35" s="2315" t="s">
        <v>224</v>
      </c>
      <c r="F35" s="2316">
        <v>12.079400955259329</v>
      </c>
      <c r="G35" s="2317">
        <f>+SINTER!D89</f>
        <v>29.655435636702443</v>
      </c>
      <c r="H35" s="1473">
        <f>+SINTER!E89</f>
        <v>29.655435636702439</v>
      </c>
      <c r="I35" s="1280">
        <f>+SINTER!F89</f>
        <v>22.024103912330478</v>
      </c>
      <c r="J35" s="1473">
        <f>+SINTER!G89</f>
        <v>29.655435636702446</v>
      </c>
      <c r="K35" s="1280">
        <f>+SINTER!H89</f>
        <v>22.974118009551688</v>
      </c>
      <c r="L35" s="1290">
        <f>+SINTER!I89</f>
        <v>29.655435636702443</v>
      </c>
      <c r="M35" s="1291">
        <f>+SINTER!J89</f>
        <v>22.449542787658572</v>
      </c>
      <c r="N35" s="1473">
        <f>+SINTER!K89</f>
        <v>29.655435636702439</v>
      </c>
      <c r="O35" s="1280">
        <f>+SINTER!L89</f>
        <v>0.97917361384787949</v>
      </c>
      <c r="P35" s="1285">
        <f>+SINTER!M89</f>
        <v>29.655435636702443</v>
      </c>
      <c r="Q35" s="1961">
        <f>+SINTER!N89</f>
        <v>15.543950515206591</v>
      </c>
      <c r="R35" s="1473">
        <f>+SINTER!O89</f>
        <v>29.655435636702443</v>
      </c>
      <c r="S35" s="1280">
        <f>+SINTER!P89</f>
        <v>3.4574983526493277</v>
      </c>
      <c r="T35" s="1290">
        <f>+SINTER!Q89</f>
        <v>29.655435636702443</v>
      </c>
      <c r="U35" s="1291">
        <f>+SINTER!R89</f>
        <v>12.232822900863873</v>
      </c>
      <c r="V35" s="1473">
        <f>+SINTER!S89</f>
        <v>29.655435636702443</v>
      </c>
      <c r="W35" s="1280">
        <f>+SINTER!T89</f>
        <v>5.8589825677185328</v>
      </c>
      <c r="X35" s="1290">
        <f>+SINTER!U89</f>
        <v>29.655435636702443</v>
      </c>
      <c r="Y35" s="1291">
        <f>+SINTER!V89</f>
        <v>10.900593885543485</v>
      </c>
      <c r="Z35" s="1473">
        <f>+SINTER!W89</f>
        <v>29.655435636702439</v>
      </c>
      <c r="AA35" s="1280">
        <f>+SINTER!X89</f>
        <v>10.432661184615302</v>
      </c>
      <c r="AB35" s="1286">
        <f>+SINTER!Y89</f>
        <v>29.655435636702443</v>
      </c>
      <c r="AC35" s="1285">
        <f>+SINTER!Z89</f>
        <v>6.5471340747246236</v>
      </c>
      <c r="AD35" s="1432">
        <f>+SINTER!AA89</f>
        <v>29.655435636702443</v>
      </c>
      <c r="AE35" s="3919">
        <f>+SINTER!AB89</f>
        <v>10.819598350135111</v>
      </c>
      <c r="AF35" s="1473">
        <f>+SINTER!AC89</f>
        <v>29.655435636702439</v>
      </c>
      <c r="AG35" s="1280">
        <f>+SINTER!AD89</f>
        <v>9.1236676739452012</v>
      </c>
      <c r="AH35" s="1290">
        <f>+SINTER!AE89</f>
        <v>29.655435636702443</v>
      </c>
      <c r="AI35" s="1291">
        <f>+SINTER!AF89</f>
        <v>10.557122545199944</v>
      </c>
      <c r="AJ35" s="1473">
        <f>+SINTER!AG89</f>
        <v>29.655435636702439</v>
      </c>
      <c r="AK35" s="1280">
        <f>+SINTER!AH89</f>
        <v>10.037297501953486</v>
      </c>
      <c r="AL35" s="1290">
        <f>+SINTER!AI89</f>
        <v>29.655435636702443</v>
      </c>
      <c r="AM35" s="1291">
        <f>+SINTER!AJ89</f>
        <v>10.490996250116993</v>
      </c>
      <c r="AN35" s="1473">
        <f>+SINTER!AK89</f>
        <v>29.655435636702439</v>
      </c>
      <c r="AO35" s="1280">
        <f>+SINTER!AL89</f>
        <v>9.0603725553366683</v>
      </c>
      <c r="AP35" s="1286">
        <f>+SINTER!AM89</f>
        <v>29.655435636702443</v>
      </c>
      <c r="AQ35" s="1285">
        <f>+SINTER!AN89</f>
        <v>9.3995192525738123</v>
      </c>
      <c r="AR35" s="1290">
        <f>+SINTER!AO89</f>
        <v>29.655435636702443</v>
      </c>
      <c r="AS35" s="1291">
        <f>+SINTER!AP89</f>
        <v>10.327138985675571</v>
      </c>
      <c r="AT35" s="1473">
        <f>+SINTER!AQ89</f>
        <v>29.655435636702439</v>
      </c>
      <c r="AU35" s="1280">
        <f>+SINTER!AR89</f>
        <v>3.7308034720676608</v>
      </c>
      <c r="AV35" s="1290">
        <f>+SINTER!AS89</f>
        <v>29.655435636702443</v>
      </c>
      <c r="AW35" s="1291">
        <f>+SINTER!AT89</f>
        <v>9.6803321621090763</v>
      </c>
      <c r="AX35" s="1473">
        <f>+SINTER!AU89</f>
        <v>29.655435636702439</v>
      </c>
      <c r="AY35" s="1280">
        <f>+SINTER!AV89</f>
        <v>11.543376249637591</v>
      </c>
      <c r="AZ35" s="1290">
        <f>+SINTER!AW89</f>
        <v>29.655435636702443</v>
      </c>
      <c r="BA35" s="1291">
        <f>+SINTER!AX89</f>
        <v>9.8521911312697679</v>
      </c>
      <c r="BB35" s="1473">
        <f>+SINTER!AY89</f>
        <v>29.655435636702443</v>
      </c>
      <c r="BC35" s="1280">
        <f>+SINTER!AZ89</f>
        <v>13.579194852563587</v>
      </c>
      <c r="BD35" s="3914">
        <f>+SINTER!BA89</f>
        <v>29.655435636702443</v>
      </c>
      <c r="BE35" s="3914">
        <f>+SINTER!BB89</f>
        <v>9.6437939764055294</v>
      </c>
      <c r="BF35" s="1431">
        <f>+SINTER!BC89</f>
        <v>29.655435636702443</v>
      </c>
      <c r="BG35" s="3919">
        <f>+SINTER!BD89</f>
        <v>9.5186918789165222</v>
      </c>
      <c r="BH35" s="1290">
        <f>+SINTER!BE89</f>
        <v>29.655435636702443</v>
      </c>
      <c r="BI35" s="1291">
        <f>+SINTER!BF89</f>
        <v>10.157453372726042</v>
      </c>
    </row>
    <row r="36" spans="3:61" ht="15.75" thickBot="1" x14ac:dyDescent="0.3">
      <c r="C36" s="6152"/>
      <c r="D36" s="5346" t="s">
        <v>1098</v>
      </c>
      <c r="E36" s="1648" t="s">
        <v>234</v>
      </c>
      <c r="F36" s="1742">
        <v>32.711238390550697</v>
      </c>
      <c r="G36" s="1754">
        <v>29.858527530087731</v>
      </c>
      <c r="H36" s="1744">
        <v>29.858527530087741</v>
      </c>
      <c r="I36" s="1745">
        <f>+SINTER!F77</f>
        <v>32.501678944217403</v>
      </c>
      <c r="J36" s="1744">
        <f>+SINTER!G77</f>
        <v>29.858527530087738</v>
      </c>
      <c r="K36" s="1745">
        <f>+SINTER!H77</f>
        <v>33.025182303702572</v>
      </c>
      <c r="L36" s="1746">
        <f>+SINTER!I77</f>
        <v>29.858527530087734</v>
      </c>
      <c r="M36" s="1747">
        <f>+SINTER!J77</f>
        <v>32.736116181666084</v>
      </c>
      <c r="N36" s="1744">
        <f>+SINTER!K77</f>
        <v>29.858527530087745</v>
      </c>
      <c r="O36" s="1745">
        <f>+SINTER!L77</f>
        <v>32.464031285051668</v>
      </c>
      <c r="P36" s="1962">
        <f>+SINTER!M77</f>
        <v>29.858527530087741</v>
      </c>
      <c r="Q36" s="1963">
        <f>+SINTER!N77</f>
        <v>32.648604535066021</v>
      </c>
      <c r="R36" s="1744">
        <f>+SINTER!O77</f>
        <v>29.858527530087745</v>
      </c>
      <c r="S36" s="1745">
        <f>+SINTER!P77</f>
        <v>31.257283874051982</v>
      </c>
      <c r="T36" s="1746">
        <f>+SINTER!Q77</f>
        <v>29.858527530087748</v>
      </c>
      <c r="U36" s="1747">
        <f>+SINTER!R77</f>
        <v>32.267447169850058</v>
      </c>
      <c r="V36" s="1744">
        <f>+SINTER!S77</f>
        <v>29.858527530087745</v>
      </c>
      <c r="W36" s="1745">
        <f>+SINTER!T77</f>
        <v>31.397154361553138</v>
      </c>
      <c r="X36" s="1746">
        <f>+SINTER!U77</f>
        <v>29.858527530087745</v>
      </c>
      <c r="Y36" s="1747">
        <f>+SINTER!V77</f>
        <v>32.085542812282682</v>
      </c>
      <c r="Z36" s="1744">
        <f>+SINTER!W77</f>
        <v>29.858527530087741</v>
      </c>
      <c r="AA36" s="1745">
        <f>+SINTER!X77</f>
        <v>30.644123201703437</v>
      </c>
      <c r="AB36" s="1962">
        <f>+SINTER!Y77</f>
        <v>29.858527530087745</v>
      </c>
      <c r="AC36" s="1962">
        <f>+SINTER!Z77</f>
        <v>31.10120590714622</v>
      </c>
      <c r="AD36" s="3920">
        <f>+SINTER!AA77</f>
        <v>29.858527530087748</v>
      </c>
      <c r="AE36" s="3921">
        <f>+SINTER!AB77</f>
        <v>31.836044213711954</v>
      </c>
      <c r="AF36" s="1744">
        <f>+SINTER!AC77</f>
        <v>29.858527530087741</v>
      </c>
      <c r="AG36" s="1745">
        <f>+SINTER!AD77</f>
        <v>31.936655245223804</v>
      </c>
      <c r="AH36" s="1746">
        <f>+SINTER!AE77</f>
        <v>29.858527530087745</v>
      </c>
      <c r="AI36" s="1747">
        <f>+SINTER!AF77</f>
        <v>31.851615582195461</v>
      </c>
      <c r="AJ36" s="1744">
        <f>+SINTER!AG77</f>
        <v>29.858527530087741</v>
      </c>
      <c r="AK36" s="1745">
        <f>+SINTER!AH77</f>
        <v>31.137265010969127</v>
      </c>
      <c r="AL36" s="1746">
        <f>+SINTER!AI77</f>
        <v>29.858527530087741</v>
      </c>
      <c r="AM36" s="1747">
        <f>+SINTER!AJ77</f>
        <v>31.760743937438647</v>
      </c>
      <c r="AN36" s="1744">
        <f>+SINTER!AK77</f>
        <v>29.858527530087741</v>
      </c>
      <c r="AO36" s="1745">
        <f>+SINTER!AL77</f>
        <v>32.551243523589648</v>
      </c>
      <c r="AP36" s="1962">
        <f>+SINTER!AM77</f>
        <v>29.858527530087745</v>
      </c>
      <c r="AQ36" s="1962">
        <f>+SINTER!AN77</f>
        <v>31.87999106884315</v>
      </c>
      <c r="AR36" s="1746">
        <f>+SINTER!AO77</f>
        <v>29.858527530087741</v>
      </c>
      <c r="AS36" s="1747">
        <f>+SINTER!AP77</f>
        <v>31.851284238288805</v>
      </c>
      <c r="AT36" s="1744">
        <f>+SINTER!AQ77</f>
        <v>29.858527530087741</v>
      </c>
      <c r="AU36" s="1745">
        <f>+SINTER!AR77</f>
        <v>33.325367237925605</v>
      </c>
      <c r="AV36" s="1746">
        <f>+SINTER!AS77</f>
        <v>29.858527530087741</v>
      </c>
      <c r="AW36" s="1747">
        <f>+SINTER!AT77</f>
        <v>31.995826149582062</v>
      </c>
      <c r="AX36" s="1744">
        <f>+SINTER!AU77</f>
        <v>29.858527530087745</v>
      </c>
      <c r="AY36" s="1745">
        <f>+SINTER!AV77</f>
        <v>31.018904291988449</v>
      </c>
      <c r="AZ36" s="1746">
        <f>+SINTER!AW77</f>
        <v>29.858527530087745</v>
      </c>
      <c r="BA36" s="1747">
        <f>+SINTER!AX77</f>
        <v>31.905708699050169</v>
      </c>
      <c r="BB36" s="1744">
        <f>+SINTER!AY77</f>
        <v>29.858527530087748</v>
      </c>
      <c r="BC36" s="1745">
        <f>+SINTER!AZ77</f>
        <v>28.396755649439157</v>
      </c>
      <c r="BD36" s="3915">
        <f>+SINTER!BA77</f>
        <v>29.858527530087748</v>
      </c>
      <c r="BE36" s="3915">
        <f>+SINTER!BB77</f>
        <v>30.913052036934474</v>
      </c>
      <c r="BF36" s="3920">
        <f>+SINTER!BC77</f>
        <v>29.858527530087745</v>
      </c>
      <c r="BG36" s="3921">
        <f>+SINTER!BD77</f>
        <v>31.408257186031687</v>
      </c>
      <c r="BH36" s="1746">
        <f>+SINTER!BE77</f>
        <v>29.858527530087745</v>
      </c>
      <c r="BI36" s="1747">
        <f>+SINTER!BF77</f>
        <v>31.618306014966652</v>
      </c>
    </row>
    <row r="37" spans="3:61" x14ac:dyDescent="0.25">
      <c r="C37" s="6144" t="s">
        <v>1111</v>
      </c>
      <c r="D37" s="5311" t="s">
        <v>362</v>
      </c>
      <c r="E37" s="5312" t="s">
        <v>371</v>
      </c>
      <c r="F37" s="5331">
        <v>400.04040555458937</v>
      </c>
      <c r="G37" s="5332">
        <v>380.42</v>
      </c>
      <c r="H37" s="5333">
        <v>380</v>
      </c>
      <c r="I37" s="5334">
        <f>+'Maj Techno Summ'!F10</f>
        <v>394.49</v>
      </c>
      <c r="J37" s="5333">
        <f>+'Maj Techno Summ'!G10</f>
        <v>382</v>
      </c>
      <c r="K37" s="5334">
        <f>+'Maj Techno Summ'!H10</f>
        <v>404.39415236503544</v>
      </c>
      <c r="L37" s="5335">
        <f>+'Maj Techno Summ'!I10</f>
        <v>380.90993071593533</v>
      </c>
      <c r="M37" s="5336">
        <f>+'Maj Techno Summ'!J10</f>
        <v>398.90449331495188</v>
      </c>
      <c r="N37" s="5333">
        <f>+'Maj Techno Summ'!K10</f>
        <v>400</v>
      </c>
      <c r="O37" s="5334">
        <f>+'Maj Techno Summ'!L10</f>
        <v>415.90322036360908</v>
      </c>
      <c r="P37" s="5337">
        <f>+'Maj Techno Summ'!M10</f>
        <v>386.96214511041012</v>
      </c>
      <c r="Q37" s="5338">
        <f>+'Maj Techno Summ'!N10</f>
        <v>404.64874050291189</v>
      </c>
      <c r="R37" s="5333">
        <f>+'Maj Techno Summ'!O10</f>
        <v>387</v>
      </c>
      <c r="S37" s="5334">
        <f>+'Maj Techno Summ'!P10</f>
        <v>388.83615828423478</v>
      </c>
      <c r="T37" s="5335">
        <f>+'Maj Techno Summ'!Q10</f>
        <v>386.97250859106532</v>
      </c>
      <c r="U37" s="5336">
        <f>+'Maj Techno Summ'!R10</f>
        <v>400.22493055633981</v>
      </c>
      <c r="V37" s="5333">
        <f>+'Maj Techno Summ'!S10</f>
        <v>387</v>
      </c>
      <c r="W37" s="5334">
        <f>+'Maj Techno Summ'!T10</f>
        <v>399.04896685186344</v>
      </c>
      <c r="X37" s="5335">
        <f>+'Maj Techno Summ'!U10</f>
        <v>386.97841726618702</v>
      </c>
      <c r="Y37" s="5336">
        <f>+'Maj Techno Summ'!V10</f>
        <v>399.97194584732142</v>
      </c>
      <c r="Z37" s="5333">
        <f>+'Maj Techno Summ'!W10</f>
        <v>383</v>
      </c>
      <c r="AA37" s="5334">
        <f>+'Maj Techno Summ'!X10</f>
        <v>385.23412622206718</v>
      </c>
      <c r="AB37" s="5337">
        <f>+'Maj Techno Summ'!Y10</f>
        <v>385.6929577464789</v>
      </c>
      <c r="AC37" s="5337">
        <f>+'Maj Techno Summ'!Z10</f>
        <v>391.11512607393729</v>
      </c>
      <c r="AD37" s="5339">
        <f>+'Maj Techno Summ'!AA10</f>
        <v>386.29166666666663</v>
      </c>
      <c r="AE37" s="5340">
        <f>+'Maj Techno Summ'!AB10</f>
        <v>397.46332657256869</v>
      </c>
      <c r="AF37" s="5333">
        <f>+'Maj Techno Summ'!AC10</f>
        <v>375</v>
      </c>
      <c r="AG37" s="5334">
        <f>+'Maj Techno Summ'!AD10</f>
        <v>384.15685081828423</v>
      </c>
      <c r="AH37" s="5335">
        <f>+'Maj Techno Summ'!AE10</f>
        <v>384.54465408805032</v>
      </c>
      <c r="AI37" s="5336">
        <f>+'Maj Techno Summ'!AF10</f>
        <v>395.42625387662707</v>
      </c>
      <c r="AJ37" s="5333">
        <f>+'Maj Techno Summ'!AG10</f>
        <v>375</v>
      </c>
      <c r="AK37" s="5334">
        <f>+'Maj Techno Summ'!AH10</f>
        <v>410.63355556202515</v>
      </c>
      <c r="AL37" s="5335">
        <f>+'Maj Techno Summ'!AI10</f>
        <v>383.30196936542671</v>
      </c>
      <c r="AM37" s="5336">
        <f>+'Maj Techno Summ'!AJ10</f>
        <v>397.1718430591755</v>
      </c>
      <c r="AN37" s="5333">
        <f>+'Maj Techno Summ'!AK10</f>
        <v>375</v>
      </c>
      <c r="AO37" s="5334">
        <f>+'Maj Techno Summ'!AL10</f>
        <v>390.56687730349796</v>
      </c>
      <c r="AP37" s="5337">
        <f>+'Maj Techno Summ'!AM10</f>
        <v>375</v>
      </c>
      <c r="AQ37" s="5337">
        <f>+'Maj Techno Summ'!AN10</f>
        <v>394.36837392954493</v>
      </c>
      <c r="AR37" s="5335">
        <f>+'Maj Techno Summ'!AO10</f>
        <v>382.313734939759</v>
      </c>
      <c r="AS37" s="5336">
        <f>+'Maj Techno Summ'!AP10</f>
        <v>396.42699045141512</v>
      </c>
      <c r="AT37" s="5333">
        <f>+'Maj Techno Summ'!AQ10</f>
        <v>375</v>
      </c>
      <c r="AU37" s="5334">
        <f>+'Maj Techno Summ'!AR10</f>
        <v>372.42692555473548</v>
      </c>
      <c r="AV37" s="5335">
        <f>+'Maj Techno Summ'!AS10</f>
        <v>381.53574504737298</v>
      </c>
      <c r="AW37" s="5336">
        <f>+'Maj Techno Summ'!AT10</f>
        <v>393.95352719230874</v>
      </c>
      <c r="AX37" s="5333">
        <f>+'Maj Techno Summ'!AU10</f>
        <v>375</v>
      </c>
      <c r="AY37" s="5334">
        <f>+'Maj Techno Summ'!AV10</f>
        <v>371.85846041167815</v>
      </c>
      <c r="AZ37" s="5335">
        <f>+'Maj Techno Summ'!AW10</f>
        <v>380.94670846394985</v>
      </c>
      <c r="BA37" s="5336">
        <f>+'Maj Techno Summ'!AX10</f>
        <v>391.90788896861159</v>
      </c>
      <c r="BB37" s="5333">
        <f>+'Maj Techno Summ'!AY10</f>
        <v>375</v>
      </c>
      <c r="BC37" s="5334">
        <f>+'Maj Techno Summ'!AZ10</f>
        <v>375.73761570659087</v>
      </c>
      <c r="BD37" s="5341">
        <f>+'Maj Techno Summ'!BA10</f>
        <v>375</v>
      </c>
      <c r="BE37" s="5341">
        <f>+'Maj Techno Summ'!BB10</f>
        <v>373.35400664997593</v>
      </c>
      <c r="BF37" s="5339">
        <f>+'Maj Techno Summ'!BC10</f>
        <v>375</v>
      </c>
      <c r="BG37" s="5340">
        <f>+'Maj Techno Summ'!BD10</f>
        <v>383.70856756300009</v>
      </c>
      <c r="BH37" s="5335">
        <f>+'Maj Techno Summ'!BE10</f>
        <v>380.41999999999996</v>
      </c>
      <c r="BI37" s="5336">
        <f>+'Maj Techno Summ'!BF10</f>
        <v>390.51223594984998</v>
      </c>
    </row>
    <row r="38" spans="3:61" x14ac:dyDescent="0.25">
      <c r="C38" s="6145"/>
      <c r="D38" s="371" t="s">
        <v>363</v>
      </c>
      <c r="E38" s="771" t="s">
        <v>371</v>
      </c>
      <c r="F38" s="1639">
        <v>36.610035455154154</v>
      </c>
      <c r="G38" s="1653">
        <v>32.204285714285717</v>
      </c>
      <c r="H38" s="1281">
        <v>30</v>
      </c>
      <c r="I38" s="1645">
        <f>+'Maj Techno Summ'!F11</f>
        <v>37.49</v>
      </c>
      <c r="J38" s="1281">
        <f>+'Maj Techno Summ'!G11</f>
        <v>33</v>
      </c>
      <c r="K38" s="1645">
        <f>+'Maj Techno Summ'!H11</f>
        <v>40.719195341041377</v>
      </c>
      <c r="L38" s="1292">
        <f>+'Maj Techno Summ'!I11</f>
        <v>31.364896073903004</v>
      </c>
      <c r="M38" s="1724">
        <f>+'Maj Techno Summ'!J11</f>
        <v>38.929321682492088</v>
      </c>
      <c r="N38" s="1281">
        <f>+'Maj Techno Summ'!K11</f>
        <v>40</v>
      </c>
      <c r="O38" s="1645">
        <f>+'Maj Techno Summ'!L11</f>
        <v>42.650207863667681</v>
      </c>
      <c r="P38" s="1286">
        <f>+'Maj Techno Summ'!M11</f>
        <v>34.102523659305994</v>
      </c>
      <c r="Q38" s="1966">
        <f>+'Maj Techno Summ'!N11</f>
        <v>40.18669171506906</v>
      </c>
      <c r="R38" s="1281">
        <f>+'Maj Techno Summ'!O11</f>
        <v>40</v>
      </c>
      <c r="S38" s="1645">
        <f>+'Maj Techno Summ'!P11</f>
        <v>48.366092434404997</v>
      </c>
      <c r="T38" s="1292">
        <f>+'Maj Techno Summ'!Q11</f>
        <v>35.717067583046962</v>
      </c>
      <c r="U38" s="1724">
        <f>+'Maj Techno Summ'!R11</f>
        <v>42.475003248175796</v>
      </c>
      <c r="V38" s="1281">
        <f>+'Maj Techno Summ'!S11</f>
        <v>33</v>
      </c>
      <c r="W38" s="1645">
        <f>+'Maj Techno Summ'!T11</f>
        <v>51.637359801901916</v>
      </c>
      <c r="X38" s="1292">
        <f>+'Maj Techno Summ'!U11</f>
        <v>35.133093525179852</v>
      </c>
      <c r="Y38" s="1724">
        <f>+'Maj Techno Summ'!V11</f>
        <v>44.446098187452776</v>
      </c>
      <c r="Z38" s="1281">
        <f>+'Maj Techno Summ'!W11</f>
        <v>32</v>
      </c>
      <c r="AA38" s="1645">
        <f>+'Maj Techno Summ'!X11</f>
        <v>50.589062499999997</v>
      </c>
      <c r="AB38" s="1286">
        <f>+'Maj Techno Summ'!Y11</f>
        <v>35.029577464788737</v>
      </c>
      <c r="AC38" s="1286">
        <f>+'Maj Techno Summ'!Z11</f>
        <v>50.17865138667338</v>
      </c>
      <c r="AD38" s="1432">
        <f>+'Maj Techno Summ'!AA11</f>
        <v>34.592261904761905</v>
      </c>
      <c r="AE38" s="3918">
        <f>+'Maj Techno Summ'!AB11</f>
        <v>45.491731739119224</v>
      </c>
      <c r="AF38" s="1281">
        <f>+'Maj Techno Summ'!AC11</f>
        <v>30</v>
      </c>
      <c r="AG38" s="1645">
        <f>+'Maj Techno Summ'!AD11</f>
        <v>49.194103093122465</v>
      </c>
      <c r="AH38" s="1292">
        <f>+'Maj Techno Summ'!AE11</f>
        <v>33.881761006289302</v>
      </c>
      <c r="AI38" s="1724">
        <f>+'Maj Techno Summ'!AF11</f>
        <v>46.058523407683154</v>
      </c>
      <c r="AJ38" s="1281">
        <f>+'Maj Techno Summ'!AG11</f>
        <v>30</v>
      </c>
      <c r="AK38" s="1645">
        <f>+'Maj Techno Summ'!AH11</f>
        <v>50.76057041932323</v>
      </c>
      <c r="AL38" s="1292">
        <f>+'Maj Techno Summ'!AI11</f>
        <v>33.376367614879648</v>
      </c>
      <c r="AM38" s="1724">
        <f>+'Maj Techno Summ'!AJ11</f>
        <v>46.598253766766817</v>
      </c>
      <c r="AN38" s="1281">
        <f>+'Maj Techno Summ'!AK11</f>
        <v>30</v>
      </c>
      <c r="AO38" s="1645">
        <f>+'Maj Techno Summ'!AL11</f>
        <v>51.847824419938078</v>
      </c>
      <c r="AP38" s="1286">
        <f>+'Maj Techno Summ'!AM11</f>
        <v>30</v>
      </c>
      <c r="AQ38" s="1286">
        <f>+'Maj Techno Summ'!AN11</f>
        <v>50.564268476450032</v>
      </c>
      <c r="AR38" s="1292">
        <f>+'Maj Techno Summ'!AO11</f>
        <v>32.974457831325296</v>
      </c>
      <c r="AS38" s="1724">
        <f>+'Maj Techno Summ'!AP11</f>
        <v>47.190256289607461</v>
      </c>
      <c r="AT38" s="1281">
        <f>+'Maj Techno Summ'!AQ11</f>
        <v>30</v>
      </c>
      <c r="AU38" s="1645">
        <f>+'Maj Techno Summ'!AR11</f>
        <v>53.092167644625192</v>
      </c>
      <c r="AV38" s="1292">
        <f>+'Maj Techno Summ'!AS11</f>
        <v>32.658053402239446</v>
      </c>
      <c r="AW38" s="1724">
        <f>+'Maj Techno Summ'!AT11</f>
        <v>47.79851134883269</v>
      </c>
      <c r="AX38" s="1281">
        <f>+'Maj Techno Summ'!AU11</f>
        <v>30</v>
      </c>
      <c r="AY38" s="1645">
        <f>+'Maj Techno Summ'!AV11</f>
        <v>44.050116594671024</v>
      </c>
      <c r="AZ38" s="1292">
        <f>+'Maj Techno Summ'!AW11</f>
        <v>32.418495297805642</v>
      </c>
      <c r="BA38" s="1724">
        <f>+'Maj Techno Summ'!AX11</f>
        <v>47.451471909542967</v>
      </c>
      <c r="BB38" s="1281">
        <f>+'Maj Techno Summ'!AY11</f>
        <v>30</v>
      </c>
      <c r="BC38" s="1645">
        <f>+'Maj Techno Summ'!AZ11</f>
        <v>45.244039458071008</v>
      </c>
      <c r="BD38" s="5274">
        <f>+'Maj Techno Summ'!BA11</f>
        <v>30</v>
      </c>
      <c r="BE38" s="5274">
        <f>+'Maj Techno Summ'!BB11</f>
        <v>47.466022349596074</v>
      </c>
      <c r="BF38" s="1432">
        <f>+'Maj Techno Summ'!BC11</f>
        <v>30</v>
      </c>
      <c r="BG38" s="3918">
        <f>+'Maj Techno Summ'!BD11</f>
        <v>48.99264353296337</v>
      </c>
      <c r="BH38" s="1292">
        <f>+'Maj Techno Summ'!BE11</f>
        <v>32.20428571428571</v>
      </c>
      <c r="BI38" s="1724">
        <f>+'Maj Techno Summ'!BF11</f>
        <v>47.260948860569819</v>
      </c>
    </row>
    <row r="39" spans="3:61" x14ac:dyDescent="0.25">
      <c r="C39" s="6145"/>
      <c r="D39" s="371" t="s">
        <v>364</v>
      </c>
      <c r="E39" s="771" t="s">
        <v>371</v>
      </c>
      <c r="F39" s="1639">
        <v>122.58808331992087</v>
      </c>
      <c r="G39" s="1653">
        <v>139.64750000000001</v>
      </c>
      <c r="H39" s="1281">
        <v>140</v>
      </c>
      <c r="I39" s="1645">
        <f>+'Maj Techno Summ'!F12</f>
        <v>129.13437344899768</v>
      </c>
      <c r="J39" s="1281">
        <f>+'Maj Techno Summ'!G12</f>
        <v>135</v>
      </c>
      <c r="K39" s="1645">
        <f>+'Maj Techno Summ'!H12</f>
        <v>124.44230481272233</v>
      </c>
      <c r="L39" s="1292">
        <f>+'Maj Techno Summ'!I12</f>
        <v>137.72517321016167</v>
      </c>
      <c r="M39" s="1724">
        <f>+'Maj Techno Summ'!J12</f>
        <v>127.04301773629112</v>
      </c>
      <c r="N39" s="1281">
        <f>+'Maj Techno Summ'!K12</f>
        <v>125</v>
      </c>
      <c r="O39" s="1645">
        <f>+'Maj Techno Summ'!L12</f>
        <v>111.23054353888485</v>
      </c>
      <c r="P39" s="1286">
        <f>+'Maj Techno Summ'!M12</f>
        <v>133.69085173501577</v>
      </c>
      <c r="Q39" s="1966">
        <f>+'Maj Techno Summ'!N12</f>
        <v>121.69963171784707</v>
      </c>
      <c r="R39" s="1281">
        <f>+'Maj Techno Summ'!O12</f>
        <v>132</v>
      </c>
      <c r="S39" s="1645">
        <f>+'Maj Techno Summ'!P12</f>
        <v>126.53245886934006</v>
      </c>
      <c r="T39" s="1292">
        <f>+'Maj Techno Summ'!Q12</f>
        <v>133.22794959908362</v>
      </c>
      <c r="U39" s="1724">
        <f>+'Maj Techno Summ'!R12</f>
        <v>123.0516884867653</v>
      </c>
      <c r="V39" s="1281">
        <f>+'Maj Techno Summ'!S12</f>
        <v>135</v>
      </c>
      <c r="W39" s="1645">
        <f>+'Maj Techno Summ'!T12</f>
        <v>122.95134527748297</v>
      </c>
      <c r="X39" s="1292">
        <f>+'Maj Techno Summ'!U12</f>
        <v>133.60881294964028</v>
      </c>
      <c r="Y39" s="1724">
        <f>+'Maj Techno Summ'!V12</f>
        <v>123.03010168310324</v>
      </c>
      <c r="Z39" s="1281">
        <f>+'Maj Techno Summ'!W12</f>
        <v>135</v>
      </c>
      <c r="AA39" s="1645">
        <f>+'Maj Techno Summ'!X12</f>
        <v>133.70807437150839</v>
      </c>
      <c r="AB39" s="1286">
        <f>+'Maj Techno Summ'!Y12</f>
        <v>133.99014084507041</v>
      </c>
      <c r="AC39" s="1286">
        <f>+'Maj Techno Summ'!Z12</f>
        <v>127.62890913161503</v>
      </c>
      <c r="AD39" s="1432">
        <f>+'Maj Techno Summ'!AA12</f>
        <v>133.84895833333331</v>
      </c>
      <c r="AE39" s="3918">
        <f>+'Maj Techno Summ'!AB12</f>
        <v>124.84766824196619</v>
      </c>
      <c r="AF39" s="1281">
        <f>+'Maj Techno Summ'!AC12</f>
        <v>145</v>
      </c>
      <c r="AG39" s="1645">
        <f>+'Maj Techno Summ'!AD12</f>
        <v>132.87580657093304</v>
      </c>
      <c r="AH39" s="1292">
        <f>+'Maj Techno Summ'!AE12</f>
        <v>135.57421383647801</v>
      </c>
      <c r="AI39" s="1724">
        <f>+'Maj Techno Summ'!AF12</f>
        <v>126.07668648024125</v>
      </c>
      <c r="AJ39" s="1281">
        <f>+'Maj Techno Summ'!AG12</f>
        <v>145</v>
      </c>
      <c r="AK39" s="1645">
        <f>+'Maj Techno Summ'!AH12</f>
        <v>112.08720777897466</v>
      </c>
      <c r="AL39" s="1292">
        <f>+'Maj Techno Summ'!AI12</f>
        <v>136.80142231947485</v>
      </c>
      <c r="AM39" s="1724">
        <f>+'Maj Techno Summ'!AJ12</f>
        <v>124.4708866351661</v>
      </c>
      <c r="AN39" s="1281">
        <f>+'Maj Techno Summ'!AK12</f>
        <v>145</v>
      </c>
      <c r="AO39" s="1645">
        <f>+'Maj Techno Summ'!AL12</f>
        <v>120.35507314010134</v>
      </c>
      <c r="AP39" s="1286">
        <f>+'Maj Techno Summ'!AM12</f>
        <v>145</v>
      </c>
      <c r="AQ39" s="1286">
        <f>+'Maj Techno Summ'!AN12</f>
        <v>122.33628813287436</v>
      </c>
      <c r="AR39" s="1292">
        <f>+'Maj Techno Summ'!AO12</f>
        <v>137.77734939759037</v>
      </c>
      <c r="AS39" s="1724">
        <f>+'Maj Techno Summ'!AP12</f>
        <v>124.00673972990479</v>
      </c>
      <c r="AT39" s="1281">
        <f>+'Maj Techno Summ'!AQ12</f>
        <v>145</v>
      </c>
      <c r="AU39" s="1645">
        <f>+'Maj Techno Summ'!AR12</f>
        <v>132.05397823547727</v>
      </c>
      <c r="AV39" s="1292">
        <f>+'Maj Techno Summ'!AS12</f>
        <v>138.54565030146426</v>
      </c>
      <c r="AW39" s="1724">
        <f>+'Maj Techno Summ'!AT12</f>
        <v>124.83609368650821</v>
      </c>
      <c r="AX39" s="1281">
        <f>+'Maj Techno Summ'!AU12</f>
        <v>145</v>
      </c>
      <c r="AY39" s="1645">
        <f>+'Maj Techno Summ'!AV12</f>
        <v>134.28032417141324</v>
      </c>
      <c r="AZ39" s="1292">
        <f>+'Maj Techno Summ'!AW12</f>
        <v>139.12735109717869</v>
      </c>
      <c r="BA39" s="1724">
        <f>+'Maj Techno Summ'!AX12</f>
        <v>125.71047343222882</v>
      </c>
      <c r="BB39" s="1281">
        <f>+'Maj Techno Summ'!AY12</f>
        <v>145</v>
      </c>
      <c r="BC39" s="1645">
        <f>+'Maj Techno Summ'!AZ12</f>
        <v>128.40564937257341</v>
      </c>
      <c r="BD39" s="5274">
        <f>+'Maj Techno Summ'!BA12</f>
        <v>145</v>
      </c>
      <c r="BE39" s="5274">
        <f>+'Maj Techno Summ'!BB12</f>
        <v>131.56030086160121</v>
      </c>
      <c r="BF39" s="1432">
        <f>+'Maj Techno Summ'!BC12</f>
        <v>145</v>
      </c>
      <c r="BG39" s="3918">
        <f>+'Maj Techno Summ'!BD12</f>
        <v>127.0152864725659</v>
      </c>
      <c r="BH39" s="1292">
        <f>+'Maj Techno Summ'!BE12</f>
        <v>139.64750000000001</v>
      </c>
      <c r="BI39" s="1724">
        <f>+'Maj Techno Summ'!BF12</f>
        <v>125.94309352319971</v>
      </c>
    </row>
    <row r="40" spans="3:61" x14ac:dyDescent="0.25">
      <c r="C40" s="6145"/>
      <c r="D40" s="371" t="s">
        <v>245</v>
      </c>
      <c r="E40" s="771" t="s">
        <v>371</v>
      </c>
      <c r="F40" s="1639">
        <v>559.23852432966441</v>
      </c>
      <c r="G40" s="1653">
        <v>552.27178571428578</v>
      </c>
      <c r="H40" s="1281">
        <v>550</v>
      </c>
      <c r="I40" s="1645">
        <f>+'Maj Techno Summ'!F13</f>
        <v>561.11437344899764</v>
      </c>
      <c r="J40" s="1281">
        <f>+'Maj Techno Summ'!G13</f>
        <v>550</v>
      </c>
      <c r="K40" s="1645">
        <f>+'Maj Techno Summ'!H13</f>
        <v>569.55565251879909</v>
      </c>
      <c r="L40" s="1292">
        <f>+'Maj Techno Summ'!I13</f>
        <v>550</v>
      </c>
      <c r="M40" s="1724">
        <f>+'Maj Techno Summ'!J13</f>
        <v>564.876832733735</v>
      </c>
      <c r="N40" s="1281">
        <f>+'Maj Techno Summ'!K13</f>
        <v>565</v>
      </c>
      <c r="O40" s="1645">
        <f>+'Maj Techno Summ'!L13</f>
        <v>569.78397176616159</v>
      </c>
      <c r="P40" s="1286">
        <f>+'Maj Techno Summ'!M13</f>
        <v>554.75552050473186</v>
      </c>
      <c r="Q40" s="1966">
        <f>+'Maj Techno Summ'!N13</f>
        <v>566.53506393582802</v>
      </c>
      <c r="R40" s="1281">
        <f>+'Maj Techno Summ'!O13</f>
        <v>559</v>
      </c>
      <c r="S40" s="1645">
        <f>+'Maj Techno Summ'!P13</f>
        <v>563.73470958797986</v>
      </c>
      <c r="T40" s="1292">
        <f>+'Maj Techno Summ'!Q13</f>
        <v>555.91752577319585</v>
      </c>
      <c r="U40" s="1724">
        <f>+'Maj Techno Summ'!R13</f>
        <v>565.75162229128091</v>
      </c>
      <c r="V40" s="1281">
        <f>+'Maj Techno Summ'!S13</f>
        <v>555</v>
      </c>
      <c r="W40" s="1645">
        <f>+'Maj Techno Summ'!T13</f>
        <v>573.63767193124841</v>
      </c>
      <c r="X40" s="1292">
        <f>+'Maj Techno Summ'!U13</f>
        <v>555.72032374100718</v>
      </c>
      <c r="Y40" s="1724">
        <f>+'Maj Techno Summ'!V13</f>
        <v>567.44814571787742</v>
      </c>
      <c r="Z40" s="1281">
        <f>+'Maj Techno Summ'!W13</f>
        <v>550</v>
      </c>
      <c r="AA40" s="1645">
        <f>+'Maj Techno Summ'!X13</f>
        <v>569.5312630935756</v>
      </c>
      <c r="AB40" s="1286">
        <f>+'Maj Techno Summ'!Y13</f>
        <v>554.71267605633807</v>
      </c>
      <c r="AC40" s="1286">
        <f>+'Maj Techno Summ'!Z13</f>
        <v>568.92268659222566</v>
      </c>
      <c r="AD40" s="1432">
        <f>+'Maj Techno Summ'!AA13</f>
        <v>554.73288690476193</v>
      </c>
      <c r="AE40" s="3918">
        <f>+'Maj Techno Summ'!AB13</f>
        <v>567.80272655365411</v>
      </c>
      <c r="AF40" s="1281">
        <f>+'Maj Techno Summ'!AC13</f>
        <v>550</v>
      </c>
      <c r="AG40" s="1645">
        <f>+'Maj Techno Summ'!AD13</f>
        <v>566.22676048233973</v>
      </c>
      <c r="AH40" s="1292">
        <f>+'Maj Techno Summ'!AE13</f>
        <v>554.00062893081758</v>
      </c>
      <c r="AI40" s="1724">
        <f>+'Maj Techno Summ'!AF13</f>
        <v>567.56146376455149</v>
      </c>
      <c r="AJ40" s="1281">
        <f>+'Maj Techno Summ'!AG13</f>
        <v>550</v>
      </c>
      <c r="AK40" s="1645">
        <f>+'Maj Techno Summ'!AH13</f>
        <v>573.48133376032308</v>
      </c>
      <c r="AL40" s="1292">
        <f>+'Maj Techno Summ'!AI13</f>
        <v>553.47975929978122</v>
      </c>
      <c r="AM40" s="1724">
        <f>+'Maj Techno Summ'!AJ13</f>
        <v>568.2409834611085</v>
      </c>
      <c r="AN40" s="1281">
        <f>+'Maj Techno Summ'!AK13</f>
        <v>550</v>
      </c>
      <c r="AO40" s="1645">
        <f>+'Maj Techno Summ'!AL13</f>
        <v>562.76977486353735</v>
      </c>
      <c r="AP40" s="1286">
        <f>+'Maj Techno Summ'!AM13</f>
        <v>550</v>
      </c>
      <c r="AQ40" s="1286">
        <f>+'Maj Techno Summ'!AN13</f>
        <v>567.26893053886931</v>
      </c>
      <c r="AR40" s="1292">
        <f>+'Maj Techno Summ'!AO13</f>
        <v>553.06554216867471</v>
      </c>
      <c r="AS40" s="1724">
        <f>+'Maj Techno Summ'!AP13</f>
        <v>567.62398647092743</v>
      </c>
      <c r="AT40" s="1281">
        <f>+'Maj Techno Summ'!AQ13</f>
        <v>550</v>
      </c>
      <c r="AU40" s="1645">
        <f>+'Maj Techno Summ'!AR13</f>
        <v>557.57307143483797</v>
      </c>
      <c r="AV40" s="1292">
        <f>+'Maj Techno Summ'!AS13</f>
        <v>552.73944875107668</v>
      </c>
      <c r="AW40" s="1724">
        <f>+'Maj Techno Summ'!AT13</f>
        <v>566.58813222764957</v>
      </c>
      <c r="AX40" s="1281">
        <f>+'Maj Techno Summ'!AU13</f>
        <v>550</v>
      </c>
      <c r="AY40" s="1645">
        <f>+'Maj Techno Summ'!AV13</f>
        <v>550.18890117776243</v>
      </c>
      <c r="AZ40" s="1292">
        <f>+'Maj Techno Summ'!AW13</f>
        <v>552.49255485893423</v>
      </c>
      <c r="BA40" s="1724">
        <f>+'Maj Techno Summ'!AX13</f>
        <v>565.06983431038338</v>
      </c>
      <c r="BB40" s="1281">
        <f>+'Maj Techno Summ'!AY13</f>
        <v>550</v>
      </c>
      <c r="BC40" s="1645">
        <f>+'Maj Techno Summ'!AZ13</f>
        <v>549.38730453723531</v>
      </c>
      <c r="BD40" s="5274">
        <f>+'Maj Techno Summ'!BA13</f>
        <v>550</v>
      </c>
      <c r="BE40" s="5274">
        <f>+'Maj Techno Summ'!BB13</f>
        <v>552.38032986117321</v>
      </c>
      <c r="BF40" s="1432">
        <f>+'Maj Techno Summ'!BC13</f>
        <v>550</v>
      </c>
      <c r="BG40" s="3918">
        <f>+'Maj Techno Summ'!BD13</f>
        <v>559.71649756852935</v>
      </c>
      <c r="BH40" s="1292">
        <f>+'Maj Techno Summ'!BE13</f>
        <v>552.27178571428567</v>
      </c>
      <c r="BI40" s="1724">
        <f>+'Maj Techno Summ'!BF13</f>
        <v>563.71627833361958</v>
      </c>
    </row>
    <row r="41" spans="3:61" x14ac:dyDescent="0.25">
      <c r="C41" s="6145"/>
      <c r="D41" s="371" t="s">
        <v>369</v>
      </c>
      <c r="E41" s="771" t="s">
        <v>378</v>
      </c>
      <c r="F41" s="1641">
        <v>2.086254508453981</v>
      </c>
      <c r="G41" s="1654">
        <v>2.2723639158348869</v>
      </c>
      <c r="H41" s="1283">
        <f>+'Maj Techno Summ'!E14</f>
        <v>2.2917293817186031</v>
      </c>
      <c r="I41" s="1646">
        <f>+'Maj Techno Summ'!F14</f>
        <v>2.2197238936696642</v>
      </c>
      <c r="J41" s="1283">
        <f>+'Maj Techno Summ'!G14</f>
        <v>2.2190932131793861</v>
      </c>
      <c r="K41" s="1646">
        <f>+'Maj Techno Summ'!H14</f>
        <v>2.0635912519983002</v>
      </c>
      <c r="L41" s="1294">
        <f>+'Maj Techno Summ'!I14</f>
        <v>2.2581015259134101</v>
      </c>
      <c r="M41" s="1725">
        <f>+'Maj Techno Summ'!J14</f>
        <v>2.1473089633409925</v>
      </c>
      <c r="N41" s="1283">
        <f>+'Maj Techno Summ'!K14</f>
        <v>2.0964360587002098</v>
      </c>
      <c r="O41" s="1646">
        <f>+'Maj Techno Summ'!L14</f>
        <v>2.0914203865399426</v>
      </c>
      <c r="P41" s="1288">
        <f>+'Maj Techno Summ'!M14</f>
        <v>2.2042130368423432</v>
      </c>
      <c r="Q41" s="1969">
        <f>+'Maj Techno Summ'!N14</f>
        <v>2.1280918214861995</v>
      </c>
      <c r="R41" s="1283">
        <f>+'Maj Techno Summ'!O14</f>
        <v>2.2434994837135078</v>
      </c>
      <c r="S41" s="1646">
        <f>+'Maj Techno Summ'!P14</f>
        <v>2.2642163373700752</v>
      </c>
      <c r="T41" s="1294">
        <f>+'Maj Techno Summ'!Q14</f>
        <v>2.2148309954561713</v>
      </c>
      <c r="U41" s="1725">
        <f>+'Maj Techno Summ'!R14</f>
        <v>2.1644975043904813</v>
      </c>
      <c r="V41" s="1283">
        <f>+'Maj Techno Summ'!S14</f>
        <v>2.2434994837135078</v>
      </c>
      <c r="W41" s="1646">
        <f>+'Maj Techno Summ'!T14</f>
        <v>2.1828017550712659</v>
      </c>
      <c r="X41" s="1294">
        <f>+'Maj Techno Summ'!U14</f>
        <v>2.2209306738087964</v>
      </c>
      <c r="Y41" s="1725">
        <f>+'Maj Techno Summ'!V14</f>
        <v>2.1684093281667649</v>
      </c>
      <c r="Z41" s="1283">
        <f>+'Maj Techno Summ'!W14</f>
        <v>2.2528865108420164</v>
      </c>
      <c r="AA41" s="1646">
        <f>+'Maj Techno Summ'!X14</f>
        <v>2.2661620567205385</v>
      </c>
      <c r="AB41" s="1288">
        <f>+'Maj Techno Summ'!Y14</f>
        <v>2.2221965506549584</v>
      </c>
      <c r="AC41" s="1288">
        <f>+'Maj Techno Summ'!Z14</f>
        <v>2.2367816716775666</v>
      </c>
      <c r="AD41" s="1434">
        <f>+'Maj Techno Summ'!AA14</f>
        <v>2.2263819636556397</v>
      </c>
      <c r="AE41" s="3926">
        <f>+'Maj Techno Summ'!AB14</f>
        <v>2.1844484744397947</v>
      </c>
      <c r="AF41" s="1283">
        <f>+'Maj Techno Summ'!AC14</f>
        <v>2.3092086736130666</v>
      </c>
      <c r="AG41" s="1646">
        <f>+'Maj Techno Summ'!AD14</f>
        <v>2.2465525758156328</v>
      </c>
      <c r="AH41" s="1294">
        <f>+'Maj Techno Summ'!AE14</f>
        <v>2.2388059701492535</v>
      </c>
      <c r="AI41" s="1725">
        <f>+'Maj Techno Summ'!AF14</f>
        <v>2.1937323823105466</v>
      </c>
      <c r="AJ41" s="1283">
        <f>+'Maj Techno Summ'!AG14</f>
        <v>2.311150817156896</v>
      </c>
      <c r="AK41" s="1646">
        <f>+'Maj Techno Summ'!AH14</f>
        <v>2.0003626295305268</v>
      </c>
      <c r="AL41" s="1294">
        <f>+'Maj Techno Summ'!AI14</f>
        <v>2.2479675446611385</v>
      </c>
      <c r="AM41" s="1725">
        <f>+'Maj Techno Summ'!AJ14</f>
        <v>2.1696576809840393</v>
      </c>
      <c r="AN41" s="1283">
        <f>+'Maj Techno Summ'!AK14</f>
        <v>2.3185957007415752</v>
      </c>
      <c r="AO41" s="1646">
        <f>+'Maj Techno Summ'!AL14</f>
        <v>2.1309999999999998</v>
      </c>
      <c r="AP41" s="1288">
        <f>+'Maj Techno Summ'!AM14</f>
        <v>2.3130056733504407</v>
      </c>
      <c r="AQ41" s="1288">
        <f>+'Maj Techno Summ'!AN14</f>
        <v>2.1280342551755305</v>
      </c>
      <c r="AR41" s="1294">
        <f>+'Maj Techno Summ'!AO14</f>
        <v>2.2561484121608029</v>
      </c>
      <c r="AS41" s="1725">
        <f>+'Maj Techno Summ'!AP14</f>
        <v>2.1652281699376883</v>
      </c>
      <c r="AT41" s="1283">
        <f>+'Maj Techno Summ'!AQ14</f>
        <v>2.3185957007415752</v>
      </c>
      <c r="AU41" s="1646">
        <f>+'Maj Techno Summ'!AR14</f>
        <v>2.2280000000000002</v>
      </c>
      <c r="AV41" s="1294">
        <f>+'Maj Techno Summ'!AS14</f>
        <v>2.2626308296605369</v>
      </c>
      <c r="AW41" s="1725">
        <f>+'Maj Techno Summ'!AT14</f>
        <v>2.1715335197991088</v>
      </c>
      <c r="AX41" s="1283">
        <f>+'Maj Techno Summ'!AU14</f>
        <v>2.31323168523957</v>
      </c>
      <c r="AY41" s="1646">
        <f>+'Maj Techno Summ'!AV14</f>
        <v>2.2353994503733778</v>
      </c>
      <c r="AZ41" s="1294">
        <f>+'Maj Techno Summ'!AW14</f>
        <v>2.2671003058631016</v>
      </c>
      <c r="BA41" s="1725">
        <f>+'Maj Techno Summ'!AX14</f>
        <v>2.1772927500637205</v>
      </c>
      <c r="BB41" s="1283">
        <f>+'Maj Techno Summ'!AY14</f>
        <v>2.3279827278700833</v>
      </c>
      <c r="BC41" s="1646">
        <f>+'Maj Techno Summ'!AZ14</f>
        <v>2.2212041384180203</v>
      </c>
      <c r="BD41" s="5276">
        <f>+'Maj Techno Summ'!BA14</f>
        <v>2.3200890914211105</v>
      </c>
      <c r="BE41" s="5276">
        <f>+'Maj Techno Summ'!BB14</f>
        <v>2.2281385808077601</v>
      </c>
      <c r="BF41" s="1434">
        <f>+'Maj Techno Summ'!BC14</f>
        <v>2.3165273727302087</v>
      </c>
      <c r="BG41" s="3926">
        <f>+'Maj Techno Summ'!BD14</f>
        <v>2.1776631197362066</v>
      </c>
      <c r="BH41" s="1294">
        <f>+'Maj Techno Summ'!BE14</f>
        <v>2.2723639158348869</v>
      </c>
      <c r="BI41" s="1725">
        <f>+'Maj Techno Summ'!BF14</f>
        <v>2.1810141580001829</v>
      </c>
    </row>
    <row r="42" spans="3:61" x14ac:dyDescent="0.25">
      <c r="C42" s="6145"/>
      <c r="D42" s="371" t="s">
        <v>1105</v>
      </c>
      <c r="E42" s="771" t="s">
        <v>255</v>
      </c>
      <c r="F42" s="1639">
        <v>1139.2636881143576</v>
      </c>
      <c r="G42" s="770">
        <v>1150</v>
      </c>
      <c r="H42" s="1281">
        <f>+'B-FCE'!E75</f>
        <v>1150</v>
      </c>
      <c r="I42" s="1645">
        <f>+'B-FCE'!F75</f>
        <v>1144.703666666667</v>
      </c>
      <c r="J42" s="1281">
        <f>+'B-FCE'!G75</f>
        <v>1150</v>
      </c>
      <c r="K42" s="1645">
        <f>+'B-FCE'!H75</f>
        <v>1125.6647863910423</v>
      </c>
      <c r="L42" s="1292">
        <f>+'B-FCE'!I75</f>
        <v>1150</v>
      </c>
      <c r="M42" s="1724">
        <f>+'B-FCE'!J75</f>
        <v>1135.0281701331528</v>
      </c>
      <c r="N42" s="1281">
        <f>+'B-FCE'!K75</f>
        <v>1150</v>
      </c>
      <c r="O42" s="1645">
        <f>+'B-FCE'!L75</f>
        <v>1140.1153793103449</v>
      </c>
      <c r="P42" s="1286">
        <f>+'B-FCE'!M75</f>
        <v>1150</v>
      </c>
      <c r="Q42" s="1966">
        <f>+'B-FCE'!N75</f>
        <v>1136.7052720596996</v>
      </c>
      <c r="R42" s="1281">
        <f>+'B-FCE'!O75</f>
        <v>1150</v>
      </c>
      <c r="S42" s="1645">
        <f>+'B-FCE'!P75</f>
        <v>1163.7325806451615</v>
      </c>
      <c r="T42" s="1292">
        <f>+'B-FCE'!Q75</f>
        <v>1150</v>
      </c>
      <c r="U42" s="1724">
        <f>+'B-FCE'!R75</f>
        <v>1143.5728668642023</v>
      </c>
      <c r="V42" s="1281">
        <f>+'B-FCE'!S75</f>
        <v>1150</v>
      </c>
      <c r="W42" s="1645">
        <f>+'B-FCE'!T75</f>
        <v>1163.7325806451615</v>
      </c>
      <c r="X42" s="1292">
        <f>+'B-FCE'!U75</f>
        <v>1150</v>
      </c>
      <c r="Y42" s="1724">
        <f>+'B-FCE'!V75</f>
        <v>1147.6575147544622</v>
      </c>
      <c r="Z42" s="1281">
        <f>+'B-FCE'!W75</f>
        <v>1150</v>
      </c>
      <c r="AA42" s="1645">
        <f>+'B-FCE'!X75</f>
        <v>1166.9553333333338</v>
      </c>
      <c r="AB42" s="1286">
        <f>+'B-FCE'!Y75</f>
        <v>1150</v>
      </c>
      <c r="AC42" s="1286">
        <f>+'B-FCE'!Z75</f>
        <v>1164.7834782608697</v>
      </c>
      <c r="AD42" s="1432">
        <f>+'B-FCE'!AA75</f>
        <v>1150</v>
      </c>
      <c r="AE42" s="3918">
        <f>+'B-FCE'!AB75</f>
        <v>1150.8210915706704</v>
      </c>
      <c r="AF42" s="1281">
        <f>+'B-FCE'!AC75</f>
        <v>1150</v>
      </c>
      <c r="AG42" s="1645">
        <f>+'B-FCE'!AD75</f>
        <v>1160.9551612903226</v>
      </c>
      <c r="AH42" s="1292">
        <f>+'B-FCE'!AE75</f>
        <v>1150</v>
      </c>
      <c r="AI42" s="1724">
        <f>+'B-FCE'!AF75</f>
        <v>1152.2891110160406</v>
      </c>
      <c r="AJ42" s="1281">
        <f>+'B-FCE'!AG75</f>
        <v>1150</v>
      </c>
      <c r="AK42" s="1645">
        <f>+'B-FCE'!AH75</f>
        <v>1148.5899999999999</v>
      </c>
      <c r="AL42" s="1292">
        <f>+'B-FCE'!AI75</f>
        <v>1150</v>
      </c>
      <c r="AM42" s="1724">
        <f>+'B-FCE'!AJ75</f>
        <v>1151.8343022845602</v>
      </c>
      <c r="AN42" s="1281">
        <f>+'B-FCE'!AK75</f>
        <v>1150</v>
      </c>
      <c r="AO42" s="1645">
        <f>+'B-FCE'!AL75</f>
        <v>1158.6974193548385</v>
      </c>
      <c r="AP42" s="1286">
        <f>+'B-FCE'!AM75</f>
        <v>1150</v>
      </c>
      <c r="AQ42" s="1286">
        <f>+'B-FCE'!AN75</f>
        <v>1156.1622826086955</v>
      </c>
      <c r="AR42" s="1292">
        <f>+'B-FCE'!AO75</f>
        <v>1150</v>
      </c>
      <c r="AS42" s="1724">
        <f>+'B-FCE'!AP75</f>
        <v>1152.6079627543006</v>
      </c>
      <c r="AT42" s="1281">
        <f>+'B-FCE'!AQ75</f>
        <v>1150</v>
      </c>
      <c r="AU42" s="1645">
        <f>+'B-FCE'!AR75</f>
        <v>1163.5999999999999</v>
      </c>
      <c r="AV42" s="1292">
        <f>+'B-FCE'!AS75</f>
        <v>1150</v>
      </c>
      <c r="AW42" s="1724">
        <f>+'B-FCE'!AT75</f>
        <v>1153.7215351550087</v>
      </c>
      <c r="AX42" s="1281">
        <f>+'B-FCE'!AU75</f>
        <v>1150</v>
      </c>
      <c r="AY42" s="1645">
        <f>+'B-FCE'!AV75</f>
        <v>1167.344827586207</v>
      </c>
      <c r="AZ42" s="1292">
        <f>+'B-FCE'!AW75</f>
        <v>1150</v>
      </c>
      <c r="BA42" s="1724">
        <f>+'B-FCE'!AX75</f>
        <v>1154.9008649475602</v>
      </c>
      <c r="BB42" s="1281">
        <f>+'B-FCE'!AY75</f>
        <v>1150</v>
      </c>
      <c r="BC42" s="1645">
        <f>+'B-FCE'!AZ75</f>
        <v>1151.5483870967741</v>
      </c>
      <c r="BD42" s="5274">
        <f>+'B-FCE'!BA75</f>
        <v>1150</v>
      </c>
      <c r="BE42" s="5274">
        <f>+'B-FCE'!BB75</f>
        <v>1160.6879120879121</v>
      </c>
      <c r="BF42" s="1432">
        <f>+'B-FCE'!BC75</f>
        <v>1150</v>
      </c>
      <c r="BG42" s="3918">
        <f>+'B-FCE'!BD75</f>
        <v>1158.412732240437</v>
      </c>
      <c r="BH42" s="1292">
        <f>+'B-FCE'!BE75</f>
        <v>1150</v>
      </c>
      <c r="BI42" s="1724">
        <f>+'B-FCE'!BF75</f>
        <v>1154.6169119055537</v>
      </c>
    </row>
    <row r="43" spans="3:61" x14ac:dyDescent="0.25">
      <c r="C43" s="6149"/>
      <c r="D43" s="2314" t="s">
        <v>1586</v>
      </c>
      <c r="E43" s="771" t="s">
        <v>51</v>
      </c>
      <c r="F43" s="2336">
        <v>0.7242055547698254</v>
      </c>
      <c r="G43" s="2318">
        <f>+'B-FCE'!D77</f>
        <v>0.8</v>
      </c>
      <c r="H43" s="2319">
        <f>+'B-FCE'!E77</f>
        <v>0.8</v>
      </c>
      <c r="I43" s="1644">
        <f>+'B-FCE'!F77</f>
        <v>0.62562623605784196</v>
      </c>
      <c r="J43" s="2319">
        <f>+'B-FCE'!G77</f>
        <v>0.8</v>
      </c>
      <c r="K43" s="1644">
        <f>+'B-FCE'!H77</f>
        <v>0.689500877065503</v>
      </c>
      <c r="L43" s="1293" t="str">
        <f>+'B-FCE'!I77</f>
        <v>&lt;0.8</v>
      </c>
      <c r="M43" s="1723">
        <f>+'B-FCE'!J77</f>
        <v>0.65409653470941764</v>
      </c>
      <c r="N43" s="2319">
        <f>+'B-FCE'!K77</f>
        <v>0.8</v>
      </c>
      <c r="O43" s="1644">
        <f>+'B-FCE'!L77</f>
        <v>0.80923141702428847</v>
      </c>
      <c r="P43" s="1287">
        <f>+'B-FCE'!M77</f>
        <v>0.8</v>
      </c>
      <c r="Q43" s="1973">
        <f>+'B-FCE'!N77</f>
        <v>0.70652005494954651</v>
      </c>
      <c r="R43" s="2319">
        <f>+'B-FCE'!O77</f>
        <v>0.8</v>
      </c>
      <c r="S43" s="1644">
        <f>+'B-FCE'!P77</f>
        <v>0.61841357381197204</v>
      </c>
      <c r="T43" s="1293">
        <f>+'B-FCE'!Q77</f>
        <v>0.8</v>
      </c>
      <c r="U43" s="1723">
        <f>+'B-FCE'!R77</f>
        <v>0.68187092919489933</v>
      </c>
      <c r="V43" s="2319">
        <f>+'B-FCE'!S77</f>
        <v>0.8</v>
      </c>
      <c r="W43" s="1644">
        <f>+'B-FCE'!T77</f>
        <v>0.65072089787380849</v>
      </c>
      <c r="X43" s="1293">
        <f>+'B-FCE'!U77</f>
        <v>0.8</v>
      </c>
      <c r="Y43" s="1723">
        <f>+'B-FCE'!V77</f>
        <v>0.67516963256501095</v>
      </c>
      <c r="Z43" s="2319">
        <f>+'B-FCE'!W77</f>
        <v>0.8</v>
      </c>
      <c r="AA43" s="1644">
        <f>+'B-FCE'!X77</f>
        <v>0.6594335946598926</v>
      </c>
      <c r="AB43" s="1287">
        <f>+'B-FCE'!Y77</f>
        <v>0.8</v>
      </c>
      <c r="AC43" s="1287">
        <f>+'B-FCE'!Z77</f>
        <v>0.64242705230366592</v>
      </c>
      <c r="AD43" s="1433">
        <f>+'B-FCE'!AA77</f>
        <v>0.8</v>
      </c>
      <c r="AE43" s="3927">
        <f>+'B-FCE'!AB77</f>
        <v>0.67249110012257463</v>
      </c>
      <c r="AF43" s="2319">
        <f>+'B-FCE'!AC77</f>
        <v>0.8</v>
      </c>
      <c r="AG43" s="1644">
        <f>+'B-FCE'!AD77</f>
        <v>0.7440574759773706</v>
      </c>
      <c r="AH43" s="1293">
        <f>+'B-FCE'!AE77</f>
        <v>0.8</v>
      </c>
      <c r="AI43" s="1723">
        <f>+'B-FCE'!AF77</f>
        <v>0.6834471122848752</v>
      </c>
      <c r="AJ43" s="2319">
        <f>+'B-FCE'!AG77</f>
        <v>0.8</v>
      </c>
      <c r="AK43" s="1644">
        <f>+'B-FCE'!AH77</f>
        <v>0.80753267888810798</v>
      </c>
      <c r="AL43" s="1293">
        <f>+'B-FCE'!AI77</f>
        <v>0.8</v>
      </c>
      <c r="AM43" s="1723">
        <f>+'B-FCE'!AJ77</f>
        <v>0.69769042955798388</v>
      </c>
      <c r="AN43" s="2319">
        <f>+'B-FCE'!AK77</f>
        <v>0.8</v>
      </c>
      <c r="AO43" s="1644">
        <f>+'B-FCE'!AL77</f>
        <v>0.80765887654301394</v>
      </c>
      <c r="AP43" s="1287">
        <f>+'B-FCE'!AM77</f>
        <v>0.8</v>
      </c>
      <c r="AQ43" s="1287">
        <f>+'B-FCE'!AN77</f>
        <v>0.78478307042209816</v>
      </c>
      <c r="AR43" s="1293">
        <f>+'B-FCE'!AO77</f>
        <v>0.8</v>
      </c>
      <c r="AS43" s="1723">
        <f>+'B-FCE'!AP77</f>
        <v>0.71009174813223308</v>
      </c>
      <c r="AT43" s="2319">
        <f>+'B-FCE'!AQ77</f>
        <v>0.8</v>
      </c>
      <c r="AU43" s="1644">
        <f>+'B-FCE'!AR77</f>
        <v>0.7252487310549266</v>
      </c>
      <c r="AV43" s="1293">
        <f>+'B-FCE'!AS77</f>
        <v>0.8</v>
      </c>
      <c r="AW43" s="1723">
        <f>+'B-FCE'!AT77</f>
        <v>0.71165383725739095</v>
      </c>
      <c r="AX43" s="2319">
        <f>+'B-FCE'!AU77</f>
        <v>0.8</v>
      </c>
      <c r="AY43" s="1644">
        <f>+'B-FCE'!AV77</f>
        <v>0.62774652246171325</v>
      </c>
      <c r="AZ43" s="1293">
        <f>+'B-FCE'!AW77</f>
        <v>0.8</v>
      </c>
      <c r="BA43" s="1723">
        <f>+'B-FCE'!AX77</f>
        <v>0.70388540586508119</v>
      </c>
      <c r="BB43" s="2319">
        <f>+'B-FCE'!AY77</f>
        <v>0.8</v>
      </c>
      <c r="BC43" s="1644">
        <f>+'B-FCE'!AZ77</f>
        <v>0.67588412061105585</v>
      </c>
      <c r="BD43" s="5275">
        <f>+'B-FCE'!BA77</f>
        <v>0.8</v>
      </c>
      <c r="BE43" s="5275">
        <f>+'B-FCE'!BB77</f>
        <v>0.67645361792430647</v>
      </c>
      <c r="BF43" s="1433">
        <f>+'B-FCE'!BC77</f>
        <v>0.8</v>
      </c>
      <c r="BG43" s="3927">
        <f>+'B-FCE'!BD77</f>
        <v>0.7298315711902853</v>
      </c>
      <c r="BH43" s="1293">
        <f>+'B-FCE'!BE77</f>
        <v>0.8</v>
      </c>
      <c r="BI43" s="1723">
        <f>+'B-FCE'!BF77</f>
        <v>0.70146862059121862</v>
      </c>
    </row>
    <row r="44" spans="3:61" x14ac:dyDescent="0.25">
      <c r="C44" s="6149"/>
      <c r="D44" s="2314" t="s">
        <v>1587</v>
      </c>
      <c r="E44" s="771" t="s">
        <v>51</v>
      </c>
      <c r="F44" s="2336">
        <v>3.8244802457396719E-2</v>
      </c>
      <c r="G44" s="2318">
        <f>+'B-FCE'!D78</f>
        <v>0.05</v>
      </c>
      <c r="H44" s="2319">
        <f>+'B-FCE'!E78</f>
        <v>0.05</v>
      </c>
      <c r="I44" s="1644">
        <f>+'B-FCE'!F78</f>
        <v>3.5435895064759915E-2</v>
      </c>
      <c r="J44" s="2319">
        <f>+'B-FCE'!G78</f>
        <v>0.05</v>
      </c>
      <c r="K44" s="1644">
        <f>+'B-FCE'!H78</f>
        <v>3.6956733797046962E-2</v>
      </c>
      <c r="L44" s="1293" t="str">
        <f>+'B-FCE'!I78</f>
        <v>&lt;0.05</v>
      </c>
      <c r="M44" s="1723">
        <f>+'B-FCE'!J78</f>
        <v>3.6113765534574419E-2</v>
      </c>
      <c r="N44" s="2319">
        <f>+'B-FCE'!K78</f>
        <v>0.05</v>
      </c>
      <c r="O44" s="1644">
        <f>+'B-FCE'!L78</f>
        <v>4.6785624114295196E-2</v>
      </c>
      <c r="P44" s="1287">
        <f>+'B-FCE'!M78</f>
        <v>0.05</v>
      </c>
      <c r="Q44" s="1973">
        <f>+'B-FCE'!N78</f>
        <v>3.9720023430321418E-2</v>
      </c>
      <c r="R44" s="2319">
        <f>+'B-FCE'!O78</f>
        <v>0.05</v>
      </c>
      <c r="S44" s="1644">
        <f>+'B-FCE'!P78</f>
        <v>3.9377774146623183E-2</v>
      </c>
      <c r="T44" s="1293">
        <f>+'B-FCE'!Q78</f>
        <v>0.05</v>
      </c>
      <c r="U44" s="1723">
        <f>+'B-FCE'!R78</f>
        <v>3.9624273997085707E-2</v>
      </c>
      <c r="V44" s="2319">
        <f>+'B-FCE'!S78</f>
        <v>0.05</v>
      </c>
      <c r="W44" s="1644">
        <f>+'B-FCE'!T78</f>
        <v>3.8137048793781485E-2</v>
      </c>
      <c r="X44" s="1293">
        <f>+'B-FCE'!U78</f>
        <v>0.05</v>
      </c>
      <c r="Y44" s="1723">
        <f>+'B-FCE'!V78</f>
        <v>3.9304327697833041E-2</v>
      </c>
      <c r="Z44" s="2319">
        <f>+'B-FCE'!W78</f>
        <v>0.05</v>
      </c>
      <c r="AA44" s="1644">
        <f>+'B-FCE'!X78</f>
        <v>3.9277894110145192E-2</v>
      </c>
      <c r="AB44" s="1287">
        <f>+'B-FCE'!Y78</f>
        <v>0.04</v>
      </c>
      <c r="AC44" s="1287">
        <f>+'B-FCE'!Z78</f>
        <v>3.8928592430330956E-2</v>
      </c>
      <c r="AD44" s="1433">
        <f>+'B-FCE'!AA78</f>
        <v>0.04</v>
      </c>
      <c r="AE44" s="3927">
        <f>+'B-FCE'!AB78</f>
        <v>3.9299828266488326E-2</v>
      </c>
      <c r="AF44" s="2319">
        <f>+'B-FCE'!AC78</f>
        <v>0.05</v>
      </c>
      <c r="AG44" s="1644">
        <f>+'B-FCE'!AD78</f>
        <v>3.9557547167285025E-2</v>
      </c>
      <c r="AH44" s="1293">
        <f>+'B-FCE'!AE78</f>
        <v>0.05</v>
      </c>
      <c r="AI44" s="1723">
        <f>+'B-FCE'!AF78</f>
        <v>3.933928214937478E-2</v>
      </c>
      <c r="AJ44" s="2319">
        <f>+'B-FCE'!AG78</f>
        <v>0.05</v>
      </c>
      <c r="AK44" s="1644">
        <f>+'B-FCE'!AH78</f>
        <v>3.9335724096925997E-2</v>
      </c>
      <c r="AL44" s="1293">
        <f>+'B-FCE'!AI78</f>
        <v>0.05</v>
      </c>
      <c r="AM44" s="1723">
        <f>+'B-FCE'!AJ78</f>
        <v>3.9338873733865305E-2</v>
      </c>
      <c r="AN44" s="2319">
        <f>+'B-FCE'!AK78</f>
        <v>0.05</v>
      </c>
      <c r="AO44" s="1644">
        <f>+'B-FCE'!AL78</f>
        <v>3.4733705715886326E-2</v>
      </c>
      <c r="AP44" s="1287">
        <f>+'B-FCE'!AM78</f>
        <v>0.04</v>
      </c>
      <c r="AQ44" s="1287">
        <f>+'B-FCE'!AN78</f>
        <v>3.7865482143506692E-2</v>
      </c>
      <c r="AR44" s="1293">
        <f>+'B-FCE'!AO78</f>
        <v>0.05</v>
      </c>
      <c r="AS44" s="1723">
        <f>+'B-FCE'!AP78</f>
        <v>3.8819541532268645E-2</v>
      </c>
      <c r="AT44" s="2319">
        <f>+'B-FCE'!AQ78</f>
        <v>0.05</v>
      </c>
      <c r="AU44" s="1644">
        <f>+'B-FCE'!AR78</f>
        <v>4.9326892438264255E-2</v>
      </c>
      <c r="AV44" s="1293">
        <f>+'B-FCE'!AS78</f>
        <v>0.05</v>
      </c>
      <c r="AW44" s="1723">
        <f>+'B-FCE'!AT78</f>
        <v>3.990243637144527E-2</v>
      </c>
      <c r="AX44" s="2319">
        <f>+'B-FCE'!AU78</f>
        <v>0.05</v>
      </c>
      <c r="AY44" s="1644">
        <f>+'B-FCE'!AV78</f>
        <v>4.2324050828958973E-2</v>
      </c>
      <c r="AZ44" s="1293">
        <f>+'B-FCE'!AW78</f>
        <v>0.05</v>
      </c>
      <c r="BA44" s="1723">
        <f>+'B-FCE'!AX78</f>
        <v>4.0126637870654597E-2</v>
      </c>
      <c r="BB44" s="2319">
        <f>+'B-FCE'!AY78</f>
        <v>0.05</v>
      </c>
      <c r="BC44" s="1644">
        <f>+'B-FCE'!AZ78</f>
        <v>3.9609537962247213E-2</v>
      </c>
      <c r="BD44" s="5275">
        <f>+'B-FCE'!BA78</f>
        <v>0.04</v>
      </c>
      <c r="BE44" s="5275">
        <f>+'B-FCE'!BB78</f>
        <v>4.374431857441128E-2</v>
      </c>
      <c r="BF44" s="1433">
        <f>+'B-FCE'!BC78</f>
        <v>0.04</v>
      </c>
      <c r="BG44" s="3927">
        <f>+'B-FCE'!BD78</f>
        <v>4.0847597054716009E-2</v>
      </c>
      <c r="BH44" s="1293">
        <f>+'B-FCE'!BE78</f>
        <v>0.05</v>
      </c>
      <c r="BI44" s="1723">
        <f>+'B-FCE'!BF78</f>
        <v>4.0082007082016959E-2</v>
      </c>
    </row>
    <row r="45" spans="3:61" ht="15.75" thickBot="1" x14ac:dyDescent="0.3">
      <c r="C45" s="6146"/>
      <c r="D45" s="1647" t="s">
        <v>1106</v>
      </c>
      <c r="E45" s="1648" t="s">
        <v>248</v>
      </c>
      <c r="F45" s="1649">
        <v>413.76312883093829</v>
      </c>
      <c r="G45" s="1656">
        <v>387</v>
      </c>
      <c r="H45" s="1284">
        <f>+'B-FCE'!E76</f>
        <v>387</v>
      </c>
      <c r="I45" s="1650">
        <f>+'B-FCE'!F76</f>
        <v>455.89765866079711</v>
      </c>
      <c r="J45" s="1284">
        <f>+'B-FCE'!G76</f>
        <v>387</v>
      </c>
      <c r="K45" s="1650">
        <f>+'B-FCE'!H76</f>
        <v>487.6115537966208</v>
      </c>
      <c r="L45" s="1295">
        <f>+'B-FCE'!I76</f>
        <v>387</v>
      </c>
      <c r="M45" s="1726">
        <f>+'B-FCE'!J76</f>
        <v>470.03322250394046</v>
      </c>
      <c r="N45" s="1284">
        <f>+'B-FCE'!K76</f>
        <v>387</v>
      </c>
      <c r="O45" s="1650">
        <f>+'B-FCE'!L76</f>
        <v>400.09125379052409</v>
      </c>
      <c r="P45" s="1289">
        <f>+'B-FCE'!M76</f>
        <v>387</v>
      </c>
      <c r="Q45" s="1970">
        <f>+'B-FCE'!N76</f>
        <v>446.39827878418896</v>
      </c>
      <c r="R45" s="1284">
        <f>+'B-FCE'!O76</f>
        <v>387</v>
      </c>
      <c r="S45" s="1650">
        <f>+'B-FCE'!P76</f>
        <v>459.97111985484503</v>
      </c>
      <c r="T45" s="1295">
        <f>+'B-FCE'!Q76</f>
        <v>387</v>
      </c>
      <c r="U45" s="1726">
        <f>+'B-FCE'!R76</f>
        <v>450.19548714024671</v>
      </c>
      <c r="V45" s="1284">
        <f>+'B-FCE'!S76</f>
        <v>387</v>
      </c>
      <c r="W45" s="1650">
        <f>+'B-FCE'!T76</f>
        <v>478.76881203570764</v>
      </c>
      <c r="X45" s="1295">
        <f>+'B-FCE'!U76</f>
        <v>387</v>
      </c>
      <c r="Y45" s="1726">
        <f>+'B-FCE'!V76</f>
        <v>456.34245771157379</v>
      </c>
      <c r="Z45" s="1284">
        <f>+'B-FCE'!W76</f>
        <v>387</v>
      </c>
      <c r="AA45" s="1650">
        <f>+'B-FCE'!X76</f>
        <v>448.46878491620129</v>
      </c>
      <c r="AB45" s="1289">
        <f>+'B-FCE'!Y76</f>
        <v>387</v>
      </c>
      <c r="AC45" s="1289">
        <f>+'B-FCE'!Z76</f>
        <v>462.60368426944285</v>
      </c>
      <c r="AD45" s="1435">
        <f>+'B-FCE'!AA76</f>
        <v>387</v>
      </c>
      <c r="AE45" s="3928">
        <f>+'B-FCE'!AB76</f>
        <v>455.00222911332708</v>
      </c>
      <c r="AF45" s="1284">
        <f>+'B-FCE'!AC76</f>
        <v>387</v>
      </c>
      <c r="AG45" s="1650">
        <f>+'B-FCE'!AD76</f>
        <v>430.55008343128634</v>
      </c>
      <c r="AH45" s="1295">
        <f>+'B-FCE'!AE76</f>
        <v>387</v>
      </c>
      <c r="AI45" s="1726">
        <f>+'B-FCE'!AF76</f>
        <v>451.25887893963187</v>
      </c>
      <c r="AJ45" s="1284">
        <f>+'B-FCE'!AG76</f>
        <v>387</v>
      </c>
      <c r="AK45" s="1650">
        <f>+'B-FCE'!AH76</f>
        <v>450.85902064106665</v>
      </c>
      <c r="AL45" s="1295">
        <f>+'B-FCE'!AI76</f>
        <v>387</v>
      </c>
      <c r="AM45" s="1726">
        <f>+'B-FCE'!AJ76</f>
        <v>451.21298070370761</v>
      </c>
      <c r="AN45" s="1284">
        <f>+'B-FCE'!AK76</f>
        <v>387</v>
      </c>
      <c r="AO45" s="1650">
        <f>+'B-FCE'!AL76</f>
        <v>454.32705717078858</v>
      </c>
      <c r="AP45" s="1289">
        <f>+'B-FCE'!AM76</f>
        <v>387</v>
      </c>
      <c r="AQ45" s="1289">
        <f>+'B-FCE'!AN76</f>
        <v>444.73465229146632</v>
      </c>
      <c r="AR45" s="1295">
        <f>+'B-FCE'!AO76</f>
        <v>387</v>
      </c>
      <c r="AS45" s="1726">
        <f>+'B-FCE'!AP76</f>
        <v>451.56416011372607</v>
      </c>
      <c r="AT45" s="1284">
        <f>+'B-FCE'!AQ76</f>
        <v>387</v>
      </c>
      <c r="AU45" s="1650">
        <f>+'B-FCE'!AR76</f>
        <v>402.60355006683147</v>
      </c>
      <c r="AV45" s="1295">
        <f>+'B-FCE'!AS76</f>
        <v>387</v>
      </c>
      <c r="AW45" s="1726">
        <f>+'B-FCE'!AT76</f>
        <v>446.51824583741995</v>
      </c>
      <c r="AX45" s="1284">
        <f>+'B-FCE'!AU76</f>
        <v>387</v>
      </c>
      <c r="AY45" s="1650">
        <f>+'B-FCE'!AV76</f>
        <v>434.45952244838372</v>
      </c>
      <c r="AZ45" s="1295">
        <f>+'B-FCE'!AW76</f>
        <v>387</v>
      </c>
      <c r="BA45" s="1726">
        <f>+'B-FCE'!AX76</f>
        <v>445.40180723424589</v>
      </c>
      <c r="BB45" s="1284">
        <f>+'B-FCE'!AY76</f>
        <v>387</v>
      </c>
      <c r="BC45" s="1650">
        <f>+'B-FCE'!AZ76</f>
        <v>474.25515248511829</v>
      </c>
      <c r="BD45" s="5274">
        <f>+'B-FCE'!BA76</f>
        <v>387</v>
      </c>
      <c r="BE45" s="5274">
        <f>+'B-FCE'!BB76</f>
        <v>437.2398787837954</v>
      </c>
      <c r="BF45" s="1432">
        <f>+'B-FCE'!BC76</f>
        <v>387</v>
      </c>
      <c r="BG45" s="3918">
        <f>+'B-FCE'!BD76</f>
        <v>440.9328326463629</v>
      </c>
      <c r="BH45" s="1292">
        <f>+'B-FCE'!BE76</f>
        <v>387</v>
      </c>
      <c r="BI45" s="1724">
        <f>+'B-FCE'!BF76</f>
        <v>447.89213363431554</v>
      </c>
    </row>
    <row r="46" spans="3:61" ht="15.75" thickBot="1" x14ac:dyDescent="0.3">
      <c r="C46" s="1761"/>
      <c r="D46" s="1762" t="s">
        <v>370</v>
      </c>
      <c r="E46" s="666" t="s">
        <v>371</v>
      </c>
      <c r="F46" s="1763">
        <v>930.8611107215944</v>
      </c>
      <c r="G46" s="1764">
        <v>900.75553765627922</v>
      </c>
      <c r="H46" s="1765">
        <f>+'Maj Techno Summ'!E15</f>
        <v>893.55021521564606</v>
      </c>
      <c r="I46" s="1766">
        <f>+'Maj Techno Summ'!F15</f>
        <v>925.18269548073226</v>
      </c>
      <c r="J46" s="1765">
        <f>+'Maj Techno Summ'!G15</f>
        <v>905.15064104284124</v>
      </c>
      <c r="K46" s="1766">
        <f>+'Maj Techno Summ'!H15</f>
        <v>937.47512995675788</v>
      </c>
      <c r="L46" s="1767">
        <f>+'Maj Techno Summ'!I15</f>
        <v>898.82800710469292</v>
      </c>
      <c r="M46" s="1768">
        <f>+'Maj Techno Summ'!J15</f>
        <v>930.88043371530398</v>
      </c>
      <c r="N46" s="1765">
        <f>+'Maj Techno Summ'!K15</f>
        <v>962.86201357853236</v>
      </c>
      <c r="O46" s="1766">
        <f>+'Maj Techno Summ'!L15</f>
        <v>954.82611311812116</v>
      </c>
      <c r="P46" s="1971">
        <f>+'Maj Techno Summ'!M15</f>
        <v>919.12900915712453</v>
      </c>
      <c r="Q46" s="1972">
        <f>+'Maj Techno Summ'!N15</f>
        <v>939.040029778438</v>
      </c>
      <c r="R46" s="1765">
        <f>+'Maj Techno Summ'!O15</f>
        <v>915.20980471947564</v>
      </c>
      <c r="S46" s="1766">
        <f>+'Maj Techno Summ'!P15</f>
        <v>910.832315903682</v>
      </c>
      <c r="T46" s="1767">
        <f>+'Maj Techno Summ'!Q15</f>
        <v>918.0560539903455</v>
      </c>
      <c r="U46" s="1768">
        <f>+'Maj Techno Summ'!R15</f>
        <v>931.14038451220381</v>
      </c>
      <c r="V46" s="1765">
        <f>+'Maj Techno Summ'!S15</f>
        <v>905.96325986443298</v>
      </c>
      <c r="W46" s="1766">
        <f>+'Maj Techno Summ'!T15</f>
        <v>944.9130727501888</v>
      </c>
      <c r="X46" s="1767">
        <f>+'Maj Techno Summ'!U15</f>
        <v>915.45697323846321</v>
      </c>
      <c r="Y46" s="1768">
        <f>+'Maj Techno Summ'!V15</f>
        <v>934.02493824453018</v>
      </c>
      <c r="Z46" s="1765">
        <f>+'Maj Techno Summ'!W15</f>
        <v>896.96966953558024</v>
      </c>
      <c r="AA46" s="1766">
        <f>+'Maj Techno Summ'!X15</f>
        <v>929.11390782018748</v>
      </c>
      <c r="AB46" s="1971">
        <f>+'Maj Techno Summ'!Y15</f>
        <v>906.13707854620907</v>
      </c>
      <c r="AC46" s="1971">
        <f>+'Maj Techno Summ'!Z15</f>
        <v>928.27267112523339</v>
      </c>
      <c r="AD46" s="3929">
        <f>+'Maj Techno Summ'!AA15</f>
        <v>912.26571248022719</v>
      </c>
      <c r="AE46" s="3930">
        <f>+'Maj Techno Summ'!AB15</f>
        <v>933.20938738379959</v>
      </c>
      <c r="AF46" s="1765">
        <f>+'Maj Techno Summ'!AC15</f>
        <v>890.13076089571189</v>
      </c>
      <c r="AG46" s="1766">
        <f>+'Maj Techno Summ'!AD15</f>
        <v>937.64450401565978</v>
      </c>
      <c r="AH46" s="1767">
        <f>+'Maj Techno Summ'!AE15</f>
        <v>908.84105959356623</v>
      </c>
      <c r="AI46" s="1768">
        <f>+'Maj Techno Summ'!AF15</f>
        <v>933.87596774901999</v>
      </c>
      <c r="AJ46" s="1765">
        <f>+'Maj Techno Summ'!AG15</f>
        <v>890.13076089571211</v>
      </c>
      <c r="AK46" s="1766">
        <f>+'Maj Techno Summ'!AH15</f>
        <v>997.38834668652316</v>
      </c>
      <c r="AL46" s="1767">
        <f>+'Maj Techno Summ'!AI15</f>
        <v>906.4050360213073</v>
      </c>
      <c r="AM46" s="1768">
        <f>+'Maj Techno Summ'!AJ15</f>
        <v>941.15458030327852</v>
      </c>
      <c r="AN46" s="1765">
        <f>+'Maj Techno Summ'!AK15</f>
        <v>890.130760895712</v>
      </c>
      <c r="AO46" s="1766">
        <f>+'Maj Techno Summ'!AL15</f>
        <v>934.24823608505187</v>
      </c>
      <c r="AP46" s="1971">
        <f>+'Maj Techno Summ'!AM15</f>
        <v>890.13076089571166</v>
      </c>
      <c r="AQ46" s="1971">
        <f>+'Maj Techno Summ'!AN15</f>
        <v>954.63213936924615</v>
      </c>
      <c r="AR46" s="1767">
        <f>+'Maj Techno Summ'!AO15</f>
        <v>904.46780905454966</v>
      </c>
      <c r="AS46" s="1768">
        <f>+'Maj Techno Summ'!AP15</f>
        <v>940.37590325458189</v>
      </c>
      <c r="AT46" s="1765">
        <f>+'Maj Techno Summ'!AQ15</f>
        <v>890.130760895712</v>
      </c>
      <c r="AU46" s="1766">
        <f>+'Maj Techno Summ'!AR15</f>
        <v>925.34688147002328</v>
      </c>
      <c r="AV46" s="1767">
        <f>+'Maj Techno Summ'!AS15</f>
        <v>902.94272253636154</v>
      </c>
      <c r="AW46" s="1768">
        <f>+'Maj Techno Summ'!AT15</f>
        <v>938.81777437112078</v>
      </c>
      <c r="AX46" s="1765">
        <f>+'Maj Techno Summ'!AU15</f>
        <v>890.130760895712</v>
      </c>
      <c r="AY46" s="1766">
        <f>+'Maj Techno Summ'!AV15</f>
        <v>904.46031560195399</v>
      </c>
      <c r="AZ46" s="1767">
        <f>+'Maj Techno Summ'!AW15</f>
        <v>901.78803947313679</v>
      </c>
      <c r="BA46" s="1768">
        <f>+'Maj Techno Summ'!AX15</f>
        <v>935.6374761508913</v>
      </c>
      <c r="BB46" s="1765">
        <f>+'Maj Techno Summ'!AY15</f>
        <v>890.13076089571189</v>
      </c>
      <c r="BC46" s="1766">
        <f>+'Maj Techno Summ'!AZ15</f>
        <v>894.04149157997995</v>
      </c>
      <c r="BD46" s="5274">
        <f>+'Maj Techno Summ'!BA15</f>
        <v>890.13076089571166</v>
      </c>
      <c r="BE46" s="5274">
        <f>+'Maj Techno Summ'!BB15</f>
        <v>907.90589273008982</v>
      </c>
      <c r="BF46" s="1432">
        <f>+'Maj Techno Summ'!BC15</f>
        <v>890.13076089571166</v>
      </c>
      <c r="BG46" s="3918">
        <f>+'Maj Techno Summ'!BD15</f>
        <v>930.90930796468081</v>
      </c>
      <c r="BH46" s="1292">
        <f>+'Maj Techno Summ'!BE15</f>
        <v>900.75553765627933</v>
      </c>
      <c r="BI46" s="1724">
        <f>+'Maj Techno Summ'!BF15</f>
        <v>932.0378517640504</v>
      </c>
    </row>
    <row r="47" spans="3:61" x14ac:dyDescent="0.25">
      <c r="C47" s="6144" t="s">
        <v>1112</v>
      </c>
      <c r="D47" s="1642" t="s">
        <v>372</v>
      </c>
      <c r="E47" s="1643" t="s">
        <v>277</v>
      </c>
      <c r="F47" s="1755">
        <v>1062.9741019163143</v>
      </c>
      <c r="G47" s="1756">
        <v>1060</v>
      </c>
      <c r="H47" s="1757">
        <f>+'Maj Techno Summ'!E16</f>
        <v>1060</v>
      </c>
      <c r="I47" s="1758">
        <f>+'Maj Techno Summ'!F16</f>
        <v>1071.4673446568834</v>
      </c>
      <c r="J47" s="1757">
        <f>+'Maj Techno Summ'!G16</f>
        <v>1060</v>
      </c>
      <c r="K47" s="1758">
        <f>+'Maj Techno Summ'!H16</f>
        <v>1063.2422752210125</v>
      </c>
      <c r="L47" s="1759">
        <f>+'Maj Techno Summ'!I16</f>
        <v>1060</v>
      </c>
      <c r="M47" s="1760">
        <f>+'Maj Techno Summ'!J16</f>
        <v>1067.7713228794637</v>
      </c>
      <c r="N47" s="1757">
        <f>+'Maj Techno Summ'!K16</f>
        <v>1060</v>
      </c>
      <c r="O47" s="1758">
        <f>+'Maj Techno Summ'!L16</f>
        <v>1068.46891154317</v>
      </c>
      <c r="P47" s="1967">
        <f>+'Maj Techno Summ'!M16</f>
        <v>1060</v>
      </c>
      <c r="Q47" s="1968">
        <f>+'Maj Techno Summ'!N16</f>
        <v>1067.9968954030876</v>
      </c>
      <c r="R47" s="1757">
        <f>+'Maj Techno Summ'!O16</f>
        <v>1060</v>
      </c>
      <c r="S47" s="1758">
        <f>+'Maj Techno Summ'!P16</f>
        <v>1061.4143942158958</v>
      </c>
      <c r="T47" s="1759">
        <f>+'Maj Techno Summ'!Q16</f>
        <v>1060</v>
      </c>
      <c r="U47" s="1760">
        <f>+'Maj Techno Summ'!R16</f>
        <v>1066.1234534313576</v>
      </c>
      <c r="V47" s="1757">
        <f>+'Maj Techno Summ'!S16</f>
        <v>1060</v>
      </c>
      <c r="W47" s="1758">
        <f>+'Maj Techno Summ'!T16</f>
        <v>1063.9466350904995</v>
      </c>
      <c r="X47" s="1759">
        <f>+'Maj Techno Summ'!U16</f>
        <v>1060</v>
      </c>
      <c r="Y47" s="1760">
        <f>+'Maj Techno Summ'!V16</f>
        <v>1065.6502017348519</v>
      </c>
      <c r="Z47" s="1757">
        <f>+'Maj Techno Summ'!W16</f>
        <v>1060</v>
      </c>
      <c r="AA47" s="1758">
        <f>+'Maj Techno Summ'!X16</f>
        <v>1078.7197176015106</v>
      </c>
      <c r="AB47" s="1967">
        <f>+'Maj Techno Summ'!Y16</f>
        <v>1060</v>
      </c>
      <c r="AC47" s="1967">
        <f>+'Maj Techno Summ'!Z16</f>
        <v>1067.7492803009814</v>
      </c>
      <c r="AD47" s="3924">
        <f>+'Maj Techno Summ'!AA16</f>
        <v>1060</v>
      </c>
      <c r="AE47" s="3925">
        <f>+'Maj Techno Summ'!AB16</f>
        <v>1067.8644237825881</v>
      </c>
      <c r="AF47" s="1757">
        <f>+'Maj Techno Summ'!AC16</f>
        <v>1060</v>
      </c>
      <c r="AG47" s="1758">
        <f>+'Maj Techno Summ'!AD16</f>
        <v>1086.2346322710002</v>
      </c>
      <c r="AH47" s="1759">
        <f>+'Maj Techno Summ'!AE16</f>
        <v>1060</v>
      </c>
      <c r="AI47" s="1760">
        <f>+'Maj Techno Summ'!AF16</f>
        <v>1070.6614550539286</v>
      </c>
      <c r="AJ47" s="1757">
        <f>+'Maj Techno Summ'!AG16</f>
        <v>1060</v>
      </c>
      <c r="AK47" s="1758">
        <f>+'Maj Techno Summ'!AH16</f>
        <v>1062.7648777647219</v>
      </c>
      <c r="AL47" s="1759">
        <f>+'Maj Techno Summ'!AI16</f>
        <v>1060</v>
      </c>
      <c r="AM47" s="1760">
        <f>+'Maj Techno Summ'!AJ16</f>
        <v>1069.7464312524326</v>
      </c>
      <c r="AN47" s="1757">
        <f>+'Maj Techno Summ'!AK16</f>
        <v>1060</v>
      </c>
      <c r="AO47" s="1758">
        <f>+'Maj Techno Summ'!AL16</f>
        <v>1045.1988877909785</v>
      </c>
      <c r="AP47" s="1967">
        <f>+'Maj Techno Summ'!AM16</f>
        <v>1060</v>
      </c>
      <c r="AQ47" s="1967">
        <f>+'Maj Techno Summ'!AN16</f>
        <v>1065.0099943475886</v>
      </c>
      <c r="AR47" s="1759">
        <f>+'Maj Techno Summ'!AO16</f>
        <v>1060</v>
      </c>
      <c r="AS47" s="1760">
        <f>+'Maj Techno Summ'!AP16</f>
        <v>1066.9014616405252</v>
      </c>
      <c r="AT47" s="1757">
        <f>+'Maj Techno Summ'!AQ16</f>
        <v>1060</v>
      </c>
      <c r="AU47" s="1758">
        <f>+'Maj Techno Summ'!AR16</f>
        <v>1059.626008939769</v>
      </c>
      <c r="AV47" s="1759">
        <f>+'Maj Techno Summ'!AS16</f>
        <v>1060</v>
      </c>
      <c r="AW47" s="1760">
        <f>+'Maj Techno Summ'!AT16</f>
        <v>1066.1455450601168</v>
      </c>
      <c r="AX47" s="1757">
        <f>+'Maj Techno Summ'!AU16</f>
        <v>1060</v>
      </c>
      <c r="AY47" s="1758">
        <f>+'Maj Techno Summ'!AV16</f>
        <v>1066.2530782433491</v>
      </c>
      <c r="AZ47" s="1759">
        <f>+'Maj Techno Summ'!AW16</f>
        <v>1060</v>
      </c>
      <c r="BA47" s="1760">
        <f>+'Maj Techno Summ'!AX16</f>
        <v>1066.1555281710571</v>
      </c>
      <c r="BB47" s="1757">
        <f>+'Maj Techno Summ'!AY16</f>
        <v>1060</v>
      </c>
      <c r="BC47" s="1758">
        <f>+'Maj Techno Summ'!AZ16</f>
        <v>1064.4942053621478</v>
      </c>
      <c r="BD47" s="5274">
        <f>+'Maj Techno Summ'!BA16</f>
        <v>1060</v>
      </c>
      <c r="BE47" s="5274">
        <f>+'Maj Techno Summ'!BB16</f>
        <v>1063.4465107426702</v>
      </c>
      <c r="BF47" s="1432">
        <f>+'Maj Techno Summ'!BC16</f>
        <v>1060</v>
      </c>
      <c r="BG47" s="3918">
        <f>+'Maj Techno Summ'!BD16</f>
        <v>1064.217206071889</v>
      </c>
      <c r="BH47" s="1292">
        <f>+'Maj Techno Summ'!BE16</f>
        <v>1060</v>
      </c>
      <c r="BI47" s="1724">
        <f>+'Maj Techno Summ'!BF16</f>
        <v>1066.0113803295867</v>
      </c>
    </row>
    <row r="48" spans="3:61" x14ac:dyDescent="0.25">
      <c r="C48" s="6145"/>
      <c r="D48" s="371" t="s">
        <v>373</v>
      </c>
      <c r="E48" s="771" t="s">
        <v>277</v>
      </c>
      <c r="F48" s="1639">
        <v>38.506404738512508</v>
      </c>
      <c r="G48" s="1653">
        <v>39.999999999999993</v>
      </c>
      <c r="H48" s="1281">
        <f>+'Maj Techno Summ'!E17</f>
        <v>39.999999999999993</v>
      </c>
      <c r="I48" s="1645">
        <f>+'Maj Techno Summ'!F17</f>
        <v>31.793782099759209</v>
      </c>
      <c r="J48" s="1281">
        <f>+'Maj Techno Summ'!G17</f>
        <v>39.999999999999993</v>
      </c>
      <c r="K48" s="1645">
        <f>+'Maj Techno Summ'!H17</f>
        <v>42.99724267318571</v>
      </c>
      <c r="L48" s="1292">
        <f>+'Maj Techno Summ'!I17</f>
        <v>39.999999999999993</v>
      </c>
      <c r="M48" s="1724">
        <f>+'Maj Techno Summ'!J17</f>
        <v>36.828175375669971</v>
      </c>
      <c r="N48" s="1281">
        <f>+'Maj Techno Summ'!K17</f>
        <v>39.999999999999993</v>
      </c>
      <c r="O48" s="1645">
        <f>+'Maj Techno Summ'!L17</f>
        <v>36.034918717223611</v>
      </c>
      <c r="P48" s="1286">
        <f>+'Maj Techno Summ'!M17</f>
        <v>39.999999999999993</v>
      </c>
      <c r="Q48" s="1966">
        <f>+'Maj Techno Summ'!N17</f>
        <v>36.571667614525225</v>
      </c>
      <c r="R48" s="1281">
        <f>+'Maj Techno Summ'!O17</f>
        <v>39.999999999999993</v>
      </c>
      <c r="S48" s="1645">
        <f>+'Maj Techno Summ'!P17</f>
        <v>38.166744877209446</v>
      </c>
      <c r="T48" s="1292">
        <f>+'Maj Techno Summ'!Q17</f>
        <v>39.999999999999993</v>
      </c>
      <c r="U48" s="1724">
        <f>+'Maj Techno Summ'!R17</f>
        <v>37.025641659813637</v>
      </c>
      <c r="V48" s="1281">
        <f>+'Maj Techno Summ'!S17</f>
        <v>39.999999999999993</v>
      </c>
      <c r="W48" s="1645">
        <f>+'Maj Techno Summ'!T17</f>
        <v>34.125408427631527</v>
      </c>
      <c r="X48" s="1292">
        <f>+'Maj Techno Summ'!U17</f>
        <v>39.999999999999993</v>
      </c>
      <c r="Y48" s="1724">
        <f>+'Maj Techno Summ'!V17</f>
        <v>36.395115780997919</v>
      </c>
      <c r="Z48" s="1281">
        <f>+'Maj Techno Summ'!W17</f>
        <v>39.999999999999993</v>
      </c>
      <c r="AA48" s="1645">
        <f>+'Maj Techno Summ'!X17</f>
        <v>22.128094664224779</v>
      </c>
      <c r="AB48" s="1286">
        <f>+'Maj Techno Summ'!Y17</f>
        <v>39.999999999999993</v>
      </c>
      <c r="AC48" s="1286">
        <f>+'Maj Techno Summ'!Z17</f>
        <v>31.723626561852043</v>
      </c>
      <c r="AD48" s="1432">
        <f>+'Maj Techno Summ'!AA17</f>
        <v>39.999999999999993</v>
      </c>
      <c r="AE48" s="3918">
        <f>+'Maj Techno Summ'!AB17</f>
        <v>33.978013798447492</v>
      </c>
      <c r="AF48" s="1281">
        <f>+'Maj Techno Summ'!AC17</f>
        <v>39.999999999999993</v>
      </c>
      <c r="AG48" s="1645">
        <f>+'Maj Techno Summ'!AD17</f>
        <v>14.188033422992405</v>
      </c>
      <c r="AH48" s="1292">
        <f>+'Maj Techno Summ'!AE17</f>
        <v>39.999999999999993</v>
      </c>
      <c r="AI48" s="1724">
        <f>+'Maj Techno Summ'!AF17</f>
        <v>30.964809348194063</v>
      </c>
      <c r="AJ48" s="1281">
        <f>+'Maj Techno Summ'!AG17</f>
        <v>39.999999999999993</v>
      </c>
      <c r="AK48" s="1645">
        <f>+'Maj Techno Summ'!AH17</f>
        <v>32.06562542244221</v>
      </c>
      <c r="AL48" s="1292">
        <f>+'Maj Techno Summ'!AI17</f>
        <v>39.999999999999993</v>
      </c>
      <c r="AM48" s="1724">
        <f>+'Maj Techno Summ'!AJ17</f>
        <v>31.092367513221262</v>
      </c>
      <c r="AN48" s="1281">
        <f>+'Maj Techno Summ'!AK17</f>
        <v>39.999999999999993</v>
      </c>
      <c r="AO48" s="1645">
        <f>+'Maj Techno Summ'!AL17</f>
        <v>54.232185123055359</v>
      </c>
      <c r="AP48" s="1286">
        <f>+'Maj Techno Summ'!AM17</f>
        <v>39.999999999999993</v>
      </c>
      <c r="AQ48" s="1286">
        <f>+'Maj Techno Summ'!AN17</f>
        <v>33.37382649307343</v>
      </c>
      <c r="AR48" s="1292">
        <f>+'Maj Techno Summ'!AO17</f>
        <v>39.999999999999993</v>
      </c>
      <c r="AS48" s="1724">
        <f>+'Maj Techno Summ'!AP17</f>
        <v>33.774186898872969</v>
      </c>
      <c r="AT48" s="1281">
        <f>+'Maj Techno Summ'!AQ17</f>
        <v>39.999999999999993</v>
      </c>
      <c r="AU48" s="1645">
        <f>+'Maj Techno Summ'!AR17</f>
        <v>40.278070002159133</v>
      </c>
      <c r="AV48" s="1292">
        <f>+'Maj Techno Summ'!AS17</f>
        <v>39.999999999999993</v>
      </c>
      <c r="AW48" s="1724">
        <f>+'Maj Techno Summ'!AT17</f>
        <v>34.449937711506429</v>
      </c>
      <c r="AX48" s="1281">
        <f>+'Maj Techno Summ'!AU17</f>
        <v>39.999999999999993</v>
      </c>
      <c r="AY48" s="1645">
        <f>+'Maj Techno Summ'!AV17</f>
        <v>33.453509197418008</v>
      </c>
      <c r="AZ48" s="1292">
        <f>+'Maj Techno Summ'!AW17</f>
        <v>39.999999999999993</v>
      </c>
      <c r="BA48" s="1724">
        <f>+'Maj Techno Summ'!AX17</f>
        <v>34.357431788206789</v>
      </c>
      <c r="BB48" s="1281">
        <f>+'Maj Techno Summ'!AY17</f>
        <v>39.999999999999993</v>
      </c>
      <c r="BC48" s="1645">
        <f>+'Maj Techno Summ'!AZ17</f>
        <v>35.205785978936049</v>
      </c>
      <c r="BD48" s="5274">
        <f>+'Maj Techno Summ'!BA17</f>
        <v>39.999999999999993</v>
      </c>
      <c r="BE48" s="5274">
        <f>+'Maj Techno Summ'!BB17</f>
        <v>36.32383954911176</v>
      </c>
      <c r="BF48" s="1432">
        <f>+'Maj Techno Summ'!BC17</f>
        <v>39.999999999999993</v>
      </c>
      <c r="BG48" s="3918">
        <f>+'Maj Techno Summ'!BD17</f>
        <v>34.869675734236566</v>
      </c>
      <c r="BH48" s="1292">
        <f>+'Maj Techno Summ'!BE17</f>
        <v>40</v>
      </c>
      <c r="BI48" s="1724">
        <f>+'Maj Techno Summ'!BF17</f>
        <v>34.431040857281253</v>
      </c>
    </row>
    <row r="49" spans="3:61" x14ac:dyDescent="0.25">
      <c r="C49" s="6145"/>
      <c r="D49" s="371" t="s">
        <v>294</v>
      </c>
      <c r="E49" s="771" t="s">
        <v>277</v>
      </c>
      <c r="F49" s="1639">
        <v>1101.4805066548267</v>
      </c>
      <c r="G49" s="1653">
        <v>1100</v>
      </c>
      <c r="H49" s="1281">
        <f>+'Maj Techno Summ'!E18</f>
        <v>1100</v>
      </c>
      <c r="I49" s="1645">
        <f>+'Maj Techno Summ'!F18</f>
        <v>1103.2611267566426</v>
      </c>
      <c r="J49" s="1281">
        <f>+'Maj Techno Summ'!G18</f>
        <v>1100</v>
      </c>
      <c r="K49" s="1645">
        <f>+'Maj Techno Summ'!H18</f>
        <v>1106.2395178941981</v>
      </c>
      <c r="L49" s="1292">
        <f>+'Maj Techno Summ'!I18</f>
        <v>1100</v>
      </c>
      <c r="M49" s="1724">
        <f>+'Maj Techno Summ'!J18</f>
        <v>1104.5994982551338</v>
      </c>
      <c r="N49" s="1281">
        <f>+'Maj Techno Summ'!K18</f>
        <v>1100</v>
      </c>
      <c r="O49" s="1645">
        <f>+'Maj Techno Summ'!L18</f>
        <v>1104.5038302603937</v>
      </c>
      <c r="P49" s="1286">
        <f>+'Maj Techno Summ'!M18</f>
        <v>1100</v>
      </c>
      <c r="Q49" s="1966">
        <f>+'Maj Techno Summ'!N18</f>
        <v>1104.5685630176129</v>
      </c>
      <c r="R49" s="1281">
        <f>+'Maj Techno Summ'!O18</f>
        <v>1100</v>
      </c>
      <c r="S49" s="1645">
        <f>+'Maj Techno Summ'!P18</f>
        <v>1099.5811390931051</v>
      </c>
      <c r="T49" s="1292">
        <f>+'Maj Techno Summ'!Q18</f>
        <v>1100</v>
      </c>
      <c r="U49" s="1724">
        <f>+'Maj Techno Summ'!R18</f>
        <v>1103.1490950911711</v>
      </c>
      <c r="V49" s="1281">
        <f>+'Maj Techno Summ'!S18</f>
        <v>1100</v>
      </c>
      <c r="W49" s="1645">
        <f>+'Maj Techno Summ'!T18</f>
        <v>1098.0720435181311</v>
      </c>
      <c r="X49" s="1292">
        <f>+'Maj Techno Summ'!U18</f>
        <v>1100</v>
      </c>
      <c r="Y49" s="1724">
        <f>+'Maj Techno Summ'!V18</f>
        <v>1102.0453175158498</v>
      </c>
      <c r="Z49" s="1281">
        <f>+'Maj Techno Summ'!W18</f>
        <v>1100</v>
      </c>
      <c r="AA49" s="1645">
        <f>+'Maj Techno Summ'!X18</f>
        <v>1100.8478122657355</v>
      </c>
      <c r="AB49" s="1286">
        <f>+'Maj Techno Summ'!Y18</f>
        <v>1100</v>
      </c>
      <c r="AC49" s="1286">
        <f>+'Maj Techno Summ'!Z18</f>
        <v>1099.4729068628335</v>
      </c>
      <c r="AD49" s="1432">
        <f>+'Maj Techno Summ'!AA18</f>
        <v>1100</v>
      </c>
      <c r="AE49" s="3918">
        <f>+'Maj Techno Summ'!AB18</f>
        <v>1101.8424375810357</v>
      </c>
      <c r="AF49" s="1281">
        <f>+'Maj Techno Summ'!AC18</f>
        <v>1100</v>
      </c>
      <c r="AG49" s="1645">
        <f>+'Maj Techno Summ'!AD18</f>
        <v>1100.4226656939927</v>
      </c>
      <c r="AH49" s="1292">
        <f>+'Maj Techno Summ'!AE18</f>
        <v>1100</v>
      </c>
      <c r="AI49" s="1724">
        <f>+'Maj Techno Summ'!AF18</f>
        <v>1101.6262644021226</v>
      </c>
      <c r="AJ49" s="1281">
        <f>+'Maj Techno Summ'!AG18</f>
        <v>1100</v>
      </c>
      <c r="AK49" s="1645">
        <f>+'Maj Techno Summ'!AH18</f>
        <v>1094.8305031871641</v>
      </c>
      <c r="AL49" s="1292">
        <f>+'Maj Techno Summ'!AI18</f>
        <v>1100</v>
      </c>
      <c r="AM49" s="1724">
        <f>+'Maj Techno Summ'!AJ18</f>
        <v>1100.8387987656538</v>
      </c>
      <c r="AN49" s="1281">
        <f>+'Maj Techno Summ'!AK18</f>
        <v>1100</v>
      </c>
      <c r="AO49" s="1645">
        <f>+'Maj Techno Summ'!AL18</f>
        <v>1099.4310729140338</v>
      </c>
      <c r="AP49" s="1286">
        <f>+'Maj Techno Summ'!AM18</f>
        <v>1100</v>
      </c>
      <c r="AQ49" s="1286">
        <f>+'Maj Techno Summ'!AN18</f>
        <v>1098.3838208406621</v>
      </c>
      <c r="AR49" s="1292">
        <f>+'Maj Techno Summ'!AO18</f>
        <v>1100</v>
      </c>
      <c r="AS49" s="1724">
        <f>+'Maj Techno Summ'!AP18</f>
        <v>1100.6756485393983</v>
      </c>
      <c r="AT49" s="1281">
        <f>+'Maj Techno Summ'!AQ18</f>
        <v>1100</v>
      </c>
      <c r="AU49" s="1645">
        <f>+'Maj Techno Summ'!AR18</f>
        <v>1099.9040789419282</v>
      </c>
      <c r="AV49" s="1292">
        <f>+'Maj Techno Summ'!AS18</f>
        <v>1100</v>
      </c>
      <c r="AW49" s="1724">
        <f>+'Maj Techno Summ'!AT18</f>
        <v>1100.5954827716232</v>
      </c>
      <c r="AX49" s="1281">
        <f>+'Maj Techno Summ'!AU18</f>
        <v>1100</v>
      </c>
      <c r="AY49" s="1645">
        <f>+'Maj Techno Summ'!AV18</f>
        <v>1099.7065874407672</v>
      </c>
      <c r="AZ49" s="1292">
        <f>+'Maj Techno Summ'!AW18</f>
        <v>1100</v>
      </c>
      <c r="BA49" s="1724">
        <f>+'Maj Techno Summ'!AX18</f>
        <v>1100.512959959264</v>
      </c>
      <c r="BB49" s="1281">
        <f>+'Maj Techno Summ'!AY18</f>
        <v>1100</v>
      </c>
      <c r="BC49" s="1645">
        <f>+'Maj Techno Summ'!AZ18</f>
        <v>1099.6999913410839</v>
      </c>
      <c r="BD49" s="5274">
        <f>+'Maj Techno Summ'!BA18</f>
        <v>1100</v>
      </c>
      <c r="BE49" s="5274">
        <f>+'Maj Techno Summ'!BB18</f>
        <v>1099.7703502917818</v>
      </c>
      <c r="BF49" s="1432">
        <f>+'Maj Techno Summ'!BC18</f>
        <v>1100</v>
      </c>
      <c r="BG49" s="3918">
        <f>+'Maj Techno Summ'!BD18</f>
        <v>1099.0868818061256</v>
      </c>
      <c r="BH49" s="1292">
        <f>+'Maj Techno Summ'!BE18</f>
        <v>1100</v>
      </c>
      <c r="BI49" s="1724">
        <f>+'Maj Techno Summ'!BF18</f>
        <v>1100.4424211868679</v>
      </c>
    </row>
    <row r="50" spans="3:61" x14ac:dyDescent="0.25">
      <c r="C50" s="6145"/>
      <c r="D50" s="371" t="str">
        <f>+'Maj Techno Summ'!B19</f>
        <v>Ferro Alloys (inc LCFeMn)</v>
      </c>
      <c r="E50" s="771" t="s">
        <v>277</v>
      </c>
      <c r="F50" s="1638">
        <v>22.930617482833931</v>
      </c>
      <c r="G50" s="1652">
        <v>21.17240957596449</v>
      </c>
      <c r="H50" s="1281">
        <f>+'Maj Techno Summ'!E19</f>
        <v>21.173676902697167</v>
      </c>
      <c r="I50" s="1645">
        <f>+'Maj Techno Summ'!F19</f>
        <v>24.269389762409585</v>
      </c>
      <c r="J50" s="1281">
        <f>+'Maj Techno Summ'!G19</f>
        <v>21.173676902697167</v>
      </c>
      <c r="K50" s="1645">
        <f>+'Maj Techno Summ'!H19</f>
        <v>23.571448875749738</v>
      </c>
      <c r="L50" s="1292">
        <f>+'Maj Techno Summ'!I19</f>
        <v>21.173676902697167</v>
      </c>
      <c r="M50" s="1724">
        <f>+'Maj Techno Summ'!J19</f>
        <v>23.955762657306209</v>
      </c>
      <c r="N50" s="1281">
        <f>+'Maj Techno Summ'!K19</f>
        <v>21.173676902697167</v>
      </c>
      <c r="O50" s="1645">
        <f>+'Maj Techno Summ'!L19</f>
        <v>22.90137547243442</v>
      </c>
      <c r="P50" s="1286">
        <f>+'Maj Techno Summ'!M19</f>
        <v>21.173676902697167</v>
      </c>
      <c r="Q50" s="1966">
        <f>+'Maj Techno Summ'!N19</f>
        <v>23.614815634307529</v>
      </c>
      <c r="R50" s="1281">
        <f>+'Maj Techno Summ'!O19</f>
        <v>21.173676902697167</v>
      </c>
      <c r="S50" s="1645">
        <f>+'Maj Techno Summ'!P19</f>
        <v>22.624572014529782</v>
      </c>
      <c r="T50" s="1292">
        <f>+'Maj Techno Summ'!Q19</f>
        <v>21.173676902697167</v>
      </c>
      <c r="U50" s="1724">
        <f>+'Maj Techno Summ'!R19</f>
        <v>23.332982952964528</v>
      </c>
      <c r="V50" s="1281">
        <f>+'Maj Techno Summ'!S19</f>
        <v>21.173676902697167</v>
      </c>
      <c r="W50" s="1645">
        <f>+'Maj Techno Summ'!T19</f>
        <v>23.204552131836433</v>
      </c>
      <c r="X50" s="1292">
        <f>+'Maj Techno Summ'!U19</f>
        <v>21.173676902697167</v>
      </c>
      <c r="Y50" s="1724">
        <f>+'Maj Techno Summ'!V19</f>
        <v>23.305061420495949</v>
      </c>
      <c r="Z50" s="1281">
        <f>+'Maj Techno Summ'!W19</f>
        <v>21.173676902697167</v>
      </c>
      <c r="AA50" s="1645">
        <f>+'Maj Techno Summ'!X19</f>
        <v>22.921154265868307</v>
      </c>
      <c r="AB50" s="1286">
        <f>+'Maj Techno Summ'!Y19</f>
        <v>21.173676902697167</v>
      </c>
      <c r="AC50" s="1286">
        <f>+'Maj Techno Summ'!Z19</f>
        <v>22.914250641568852</v>
      </c>
      <c r="AD50" s="1432">
        <f>+'Maj Techno Summ'!AA19</f>
        <v>21.173676902697167</v>
      </c>
      <c r="AE50" s="3918">
        <f>+'Maj Techno Summ'!AB19</f>
        <v>23.240020320677658</v>
      </c>
      <c r="AF50" s="1281">
        <f>+'Maj Techno Summ'!AC19</f>
        <v>21.173676902697167</v>
      </c>
      <c r="AG50" s="1645">
        <f>+'Maj Techno Summ'!AD19</f>
        <v>23.482919275506958</v>
      </c>
      <c r="AH50" s="1292">
        <f>+'Maj Techno Summ'!AE19</f>
        <v>21.173676902697167</v>
      </c>
      <c r="AI50" s="1724">
        <f>+'Maj Techno Summ'!AF19</f>
        <v>23.27700389508086</v>
      </c>
      <c r="AJ50" s="1281">
        <f>+'Maj Techno Summ'!AG19</f>
        <v>21.173676902697167</v>
      </c>
      <c r="AK50" s="1645">
        <f>+'Maj Techno Summ'!AH19</f>
        <v>23.745151663252468</v>
      </c>
      <c r="AL50" s="1292">
        <f>+'Maj Techno Summ'!AI19</f>
        <v>21.173676902697167</v>
      </c>
      <c r="AM50" s="1724">
        <f>+'Maj Techno Summ'!AJ19</f>
        <v>23.33125098654919</v>
      </c>
      <c r="AN50" s="1281">
        <f>+'Maj Techno Summ'!AK19</f>
        <v>21.173676902697167</v>
      </c>
      <c r="AO50" s="1645">
        <f>+'Maj Techno Summ'!AL19</f>
        <v>22.648620079509158</v>
      </c>
      <c r="AP50" s="1286">
        <f>+'Maj Techno Summ'!AM19</f>
        <v>21.173676902697167</v>
      </c>
      <c r="AQ50" s="1286">
        <f>+'Maj Techno Summ'!AN19</f>
        <v>23.275935568825211</v>
      </c>
      <c r="AR50" s="1292">
        <f>+'Maj Techno Summ'!AO19</f>
        <v>21.173676902697167</v>
      </c>
      <c r="AS50" s="1724">
        <f>+'Maj Techno Summ'!AP19</f>
        <v>23.252136585968657</v>
      </c>
      <c r="AT50" s="1281">
        <f>+'Maj Techno Summ'!AQ19</f>
        <v>21.173676902697167</v>
      </c>
      <c r="AU50" s="1645">
        <f>+'Maj Techno Summ'!AR19</f>
        <v>21.097666747825926</v>
      </c>
      <c r="AV50" s="1292">
        <f>+'Maj Techno Summ'!AS19</f>
        <v>21.173676902697167</v>
      </c>
      <c r="AW50" s="1724">
        <f>+'Maj Techno Summ'!AT19</f>
        <v>23.02828804490499</v>
      </c>
      <c r="AX50" s="1281">
        <f>+'Maj Techno Summ'!AU19</f>
        <v>21.173676902697167</v>
      </c>
      <c r="AY50" s="1645">
        <f>+'Maj Techno Summ'!AV19</f>
        <v>21.056952165963956</v>
      </c>
      <c r="AZ50" s="1292">
        <f>+'Maj Techno Summ'!AW19</f>
        <v>21.173676902697167</v>
      </c>
      <c r="BA50" s="1724">
        <f>+'Maj Techno Summ'!AX19</f>
        <v>22.84527416780616</v>
      </c>
      <c r="BB50" s="1281">
        <f>+'Maj Techno Summ'!AY19</f>
        <v>21.173676902697167</v>
      </c>
      <c r="BC50" s="1645">
        <f>+'Maj Techno Summ'!AZ19</f>
        <v>21.191558012459726</v>
      </c>
      <c r="BD50" s="5274">
        <f>+'Maj Techno Summ'!BA19</f>
        <v>21.173676902697167</v>
      </c>
      <c r="BE50" s="5274">
        <f>+'Maj Techno Summ'!BB19</f>
        <v>21.115890065294067</v>
      </c>
      <c r="BF50" s="1432">
        <f>+'Maj Techno Summ'!BC19</f>
        <v>21.173676902697167</v>
      </c>
      <c r="BG50" s="3918">
        <f>+'Maj Techno Summ'!BD19</f>
        <v>22.180651457888413</v>
      </c>
      <c r="BH50" s="1292">
        <f>+'Maj Techno Summ'!BE19</f>
        <v>21.173676902697167</v>
      </c>
      <c r="BI50" s="1724">
        <f>+'Maj Techno Summ'!BF19</f>
        <v>22.701786332137168</v>
      </c>
    </row>
    <row r="51" spans="3:61" x14ac:dyDescent="0.25">
      <c r="C51" s="6145"/>
      <c r="D51" s="371" t="s">
        <v>1107</v>
      </c>
      <c r="E51" s="771" t="s">
        <v>1108</v>
      </c>
      <c r="F51" s="1639">
        <v>150.30561739885829</v>
      </c>
      <c r="G51" s="770">
        <v>150</v>
      </c>
      <c r="H51" s="1281">
        <f>+SMS!E52</f>
        <v>150</v>
      </c>
      <c r="I51" s="1645">
        <f>+SMS!F52</f>
        <v>149.47234396671288</v>
      </c>
      <c r="J51" s="1281">
        <f>+SMS!G52</f>
        <v>150</v>
      </c>
      <c r="K51" s="1645">
        <f>+SMS!H52</f>
        <v>150.33773504273503</v>
      </c>
      <c r="L51" s="1292">
        <f>+SMS!I52</f>
        <v>150</v>
      </c>
      <c r="M51" s="1724">
        <f>+SMS!J52</f>
        <v>149.85998085758041</v>
      </c>
      <c r="N51" s="1281">
        <f>+SMS!K52</f>
        <v>150</v>
      </c>
      <c r="O51" s="1645">
        <f>+SMS!L52</f>
        <v>149.41115814696485</v>
      </c>
      <c r="P51" s="1286">
        <f>+SMS!M52</f>
        <v>150</v>
      </c>
      <c r="Q51" s="1966">
        <f>+SMS!N52</f>
        <v>149.71455486542442</v>
      </c>
      <c r="R51" s="1281">
        <f>+SMS!O52</f>
        <v>150</v>
      </c>
      <c r="S51" s="1645">
        <f>+SMS!P52</f>
        <v>149.73819128171763</v>
      </c>
      <c r="T51" s="1292">
        <f>+SMS!Q52</f>
        <v>150</v>
      </c>
      <c r="U51" s="1724">
        <f>+SMS!R52</f>
        <v>149.72128124421403</v>
      </c>
      <c r="V51" s="1281">
        <f>+SMS!S52</f>
        <v>150</v>
      </c>
      <c r="W51" s="1645">
        <f>+SMS!T52</f>
        <v>150.46325519089083</v>
      </c>
      <c r="X51" s="1292">
        <f>+SMS!U52</f>
        <v>150</v>
      </c>
      <c r="Y51" s="1724">
        <f>+SMS!V52</f>
        <v>149.88196692776327</v>
      </c>
      <c r="Z51" s="1281">
        <f>+SMS!W52</f>
        <v>150</v>
      </c>
      <c r="AA51" s="1645">
        <f>+SMS!X52</f>
        <v>150.54702142857141</v>
      </c>
      <c r="AB51" s="1286">
        <f>+SMS!Y52</f>
        <v>150</v>
      </c>
      <c r="AC51" s="1286">
        <f>+SMS!Z52</f>
        <v>150.23816478555304</v>
      </c>
      <c r="AD51" s="1432">
        <f>+SMS!AA52</f>
        <v>150.00000000000003</v>
      </c>
      <c r="AE51" s="3918">
        <f>+SMS!AB52</f>
        <v>149.99422594646731</v>
      </c>
      <c r="AF51" s="1281">
        <f>+SMS!AC52</f>
        <v>150</v>
      </c>
      <c r="AG51" s="1645">
        <f>+SMS!AD52</f>
        <v>149.95938926174497</v>
      </c>
      <c r="AH51" s="1292">
        <f>+SMS!AE52</f>
        <v>150</v>
      </c>
      <c r="AI51" s="1724">
        <f>+SMS!AF52</f>
        <v>149.98892068683563</v>
      </c>
      <c r="AJ51" s="1281">
        <f>+SMS!AG52</f>
        <v>150</v>
      </c>
      <c r="AK51" s="1645">
        <f>+SMS!AH52</f>
        <v>152.04203952569171</v>
      </c>
      <c r="AL51" s="1292">
        <f>+SMS!AI52</f>
        <v>150</v>
      </c>
      <c r="AM51" s="1724">
        <f>+SMS!AJ52</f>
        <v>150.22398226083806</v>
      </c>
      <c r="AN51" s="1281">
        <f>+SMS!AK52</f>
        <v>150</v>
      </c>
      <c r="AO51" s="1645">
        <f>+SMS!AL52</f>
        <v>151.20598332175121</v>
      </c>
      <c r="AP51" s="1286">
        <f>+SMS!AM52</f>
        <v>150.00000000000003</v>
      </c>
      <c r="AQ51" s="1286">
        <f>+SMS!AN52</f>
        <v>151.01527896995711</v>
      </c>
      <c r="AR51" s="1292">
        <f>+SMS!AO52</f>
        <v>150</v>
      </c>
      <c r="AS51" s="1724">
        <f>+SMS!AP52</f>
        <v>150.33713885329914</v>
      </c>
      <c r="AT51" s="1281">
        <f>+SMS!AQ52</f>
        <v>150</v>
      </c>
      <c r="AU51" s="1645">
        <f>+SMS!AR52</f>
        <v>149.91644628099172</v>
      </c>
      <c r="AV51" s="1292">
        <f>+SMS!AS52</f>
        <v>149.99999999999997</v>
      </c>
      <c r="AW51" s="1724">
        <f>+SMS!AT52</f>
        <v>150.29331922525105</v>
      </c>
      <c r="AX51" s="1281">
        <f>+SMS!AU52</f>
        <v>150</v>
      </c>
      <c r="AY51" s="1645">
        <f>+SMS!AV52</f>
        <v>150.04082575227429</v>
      </c>
      <c r="AZ51" s="1292">
        <f>+SMS!AW52</f>
        <v>149.99999999999997</v>
      </c>
      <c r="BA51" s="1724">
        <f>+SMS!AX52</f>
        <v>150.26984254017825</v>
      </c>
      <c r="BB51" s="1281">
        <f>+SMS!AY52</f>
        <v>150</v>
      </c>
      <c r="BC51" s="1645">
        <f>+SMS!AZ52</f>
        <v>149.67747612551162</v>
      </c>
      <c r="BD51" s="5274">
        <f>+SMS!BA52</f>
        <v>150</v>
      </c>
      <c r="BE51" s="5274">
        <f>+SMS!BB52</f>
        <v>149.87674258109038</v>
      </c>
      <c r="BF51" s="1432">
        <f>+SMS!BC52</f>
        <v>150.00000000000003</v>
      </c>
      <c r="BG51" s="3918">
        <f>+SMS!BD52</f>
        <v>150.43581313663506</v>
      </c>
      <c r="BH51" s="1292">
        <f>+SMS!BE52</f>
        <v>150</v>
      </c>
      <c r="BI51" s="1724">
        <f>+SMS!BF52</f>
        <v>150.21825898425897</v>
      </c>
    </row>
    <row r="52" spans="3:61" x14ac:dyDescent="0.25">
      <c r="C52" s="6145"/>
      <c r="D52" s="371" t="s">
        <v>1588</v>
      </c>
      <c r="E52" s="771" t="s">
        <v>277</v>
      </c>
      <c r="F52" s="1640">
        <v>10.871440685841032</v>
      </c>
      <c r="G52" s="1655">
        <f>+SMS!D104</f>
        <v>9.5</v>
      </c>
      <c r="H52" s="1282">
        <f>+SMS!E104</f>
        <v>9.5</v>
      </c>
      <c r="I52" s="1644">
        <f>+SMS!F104</f>
        <v>11.3</v>
      </c>
      <c r="J52" s="1282">
        <f>+SMS!G104</f>
        <v>9.5</v>
      </c>
      <c r="K52" s="1644">
        <f>+SMS!H104</f>
        <v>9.6300000000000008</v>
      </c>
      <c r="L52" s="1293">
        <f>+SMS!I104</f>
        <v>9.5</v>
      </c>
      <c r="M52" s="1723">
        <f>+SMS!J104</f>
        <v>10.549567870956535</v>
      </c>
      <c r="N52" s="1282">
        <f>+SMS!K104</f>
        <v>9.5</v>
      </c>
      <c r="O52" s="1644">
        <f>+SMS!L104</f>
        <v>10.1</v>
      </c>
      <c r="P52" s="1966">
        <f>+SMS!M104</f>
        <v>9.5000000000000018</v>
      </c>
      <c r="Q52" s="1286">
        <f>+SMS!N104</f>
        <v>10.404195440944379</v>
      </c>
      <c r="R52" s="1282">
        <f>+SMS!O104</f>
        <v>9.5</v>
      </c>
      <c r="S52" s="1644">
        <f>+SMS!P104</f>
        <v>9.91</v>
      </c>
      <c r="T52" s="1724">
        <f>+SMS!Q104</f>
        <v>9.5</v>
      </c>
      <c r="U52" s="1291">
        <f>+SMS!R104</f>
        <v>10.26354275361871</v>
      </c>
      <c r="V52" s="1281">
        <f>+SMS!S104</f>
        <v>9.5</v>
      </c>
      <c r="W52" s="1644">
        <f>+SMS!T104</f>
        <v>9.7100000000000009</v>
      </c>
      <c r="X52" s="1724">
        <f>+SMS!U104</f>
        <v>9.5000000000000018</v>
      </c>
      <c r="Y52" s="1291">
        <f>+SMS!V104</f>
        <v>10.143199662823593</v>
      </c>
      <c r="Z52" s="1281">
        <f>+SMS!W104</f>
        <v>9.5</v>
      </c>
      <c r="AA52" s="1644">
        <f>+SMS!X104</f>
        <v>9.1</v>
      </c>
      <c r="AB52" s="1285">
        <f>+SMS!Y104</f>
        <v>9.5</v>
      </c>
      <c r="AC52" s="1285">
        <f>+SMS!Z104</f>
        <v>9.5859869041823664</v>
      </c>
      <c r="AD52" s="1431">
        <f>+SMS!AA104</f>
        <v>9.5</v>
      </c>
      <c r="AE52" s="3919">
        <f>+SMS!AB104</f>
        <v>9.96646199960934</v>
      </c>
      <c r="AF52" s="1282">
        <f>+SMS!AC104</f>
        <v>9.5</v>
      </c>
      <c r="AG52" s="1644">
        <f>+SMS!AD104</f>
        <v>8.32</v>
      </c>
      <c r="AH52" s="1293">
        <f>+SMS!AE104</f>
        <v>9.5000000000000018</v>
      </c>
      <c r="AI52" s="1723">
        <f>+SMS!AF104</f>
        <v>9.7157731899049526</v>
      </c>
      <c r="AJ52" s="1282">
        <f>+SMS!AG104</f>
        <v>9.5</v>
      </c>
      <c r="AK52" s="1644">
        <f>+SMS!AH104</f>
        <v>9.1999999999999993</v>
      </c>
      <c r="AL52" s="1293">
        <f>+SMS!AI104</f>
        <v>9.5000000000000018</v>
      </c>
      <c r="AM52" s="1723">
        <f>+SMS!AJ104</f>
        <v>9.6560074549982922</v>
      </c>
      <c r="AN52" s="1281">
        <f>+SMS!AK104</f>
        <v>9.5</v>
      </c>
      <c r="AO52" s="1644">
        <f>+SMS!AL104</f>
        <v>9.14</v>
      </c>
      <c r="AP52" s="1285">
        <f>+SMS!AM104</f>
        <v>9.4999999999999982</v>
      </c>
      <c r="AQ52" s="1285">
        <f>+SMS!AN104</f>
        <v>8.8689369677180991</v>
      </c>
      <c r="AR52" s="1293">
        <f>+SMS!AO104</f>
        <v>9.5</v>
      </c>
      <c r="AS52" s="1723">
        <f>+SMS!AP104</f>
        <v>9.5962040970251028</v>
      </c>
      <c r="AT52" s="1282">
        <f>+SMS!AQ104</f>
        <v>9.5</v>
      </c>
      <c r="AU52" s="1644">
        <f>+SMS!AR104</f>
        <v>8.9499999999999993</v>
      </c>
      <c r="AV52" s="1293">
        <f>+SMS!AS104</f>
        <v>9.5</v>
      </c>
      <c r="AW52" s="1723">
        <f>+SMS!AT104</f>
        <v>9.5290637538244169</v>
      </c>
      <c r="AX52" s="1282">
        <f>+SMS!AU104</f>
        <v>9.5</v>
      </c>
      <c r="AY52" s="1644">
        <f>+SMS!AV104</f>
        <v>10.02</v>
      </c>
      <c r="AZ52" s="1293">
        <f>+SMS!AW104</f>
        <v>9.5</v>
      </c>
      <c r="BA52" s="1723">
        <f>+SMS!AX104</f>
        <v>9.5746410432050588</v>
      </c>
      <c r="BB52" s="1282">
        <f>+SMS!AY104</f>
        <v>9.5</v>
      </c>
      <c r="BC52" s="1644">
        <f>+SMS!AZ104</f>
        <v>9.68</v>
      </c>
      <c r="BD52" s="5275">
        <f>+SMS!BA104</f>
        <v>9.5000000000000018</v>
      </c>
      <c r="BE52" s="5275">
        <f>+SMS!BB104</f>
        <v>9.5479890992365473</v>
      </c>
      <c r="BF52" s="1433">
        <f>+SMS!BC104</f>
        <v>9.5</v>
      </c>
      <c r="BG52" s="3927">
        <f>+SMS!BD104</f>
        <v>9.2132607372563182</v>
      </c>
      <c r="BH52" s="1293">
        <f>+SMS!BE104</f>
        <v>9.5000000000000018</v>
      </c>
      <c r="BI52" s="1723">
        <f>+SMS!BF104</f>
        <v>9.5837827139990299</v>
      </c>
    </row>
    <row r="53" spans="3:61" x14ac:dyDescent="0.25">
      <c r="C53" s="6145"/>
      <c r="D53" s="371" t="s">
        <v>1589</v>
      </c>
      <c r="E53" s="771" t="s">
        <v>277</v>
      </c>
      <c r="F53" s="1640">
        <v>0.35658561453086035</v>
      </c>
      <c r="G53" s="1655">
        <v>0.32</v>
      </c>
      <c r="H53" s="1282">
        <f>+$G$53</f>
        <v>0.32</v>
      </c>
      <c r="I53" s="1644">
        <f>+SMS!F117*1000/SMS!F5</f>
        <v>0.34852161325792547</v>
      </c>
      <c r="J53" s="1282">
        <f>+$G$53</f>
        <v>0.32</v>
      </c>
      <c r="K53" s="1644">
        <f>+SMS!H117*1000/SMS!H5</f>
        <v>0.33343756218198356</v>
      </c>
      <c r="L53" s="1293">
        <f>+$G$53</f>
        <v>0.32</v>
      </c>
      <c r="M53" s="1293">
        <f>+SMS!J117*1000/SMS!J5</f>
        <v>0.34174343567497967</v>
      </c>
      <c r="N53" s="1282">
        <f>+$G$53</f>
        <v>0.32</v>
      </c>
      <c r="O53" s="1644">
        <f>+SMS!L117*1000/SMS!L5</f>
        <v>0.30848965321843441</v>
      </c>
      <c r="P53" s="1287">
        <f>+$G$53</f>
        <v>0.32</v>
      </c>
      <c r="Q53" s="1973">
        <f>+SMS!N117*1000/SMS!N5</f>
        <v>0.33099048050378826</v>
      </c>
      <c r="R53" s="1282">
        <f>+$G$53</f>
        <v>0.32</v>
      </c>
      <c r="S53" s="1644">
        <f>+SMS!P117*1000/SMS!P5</f>
        <v>0.33278585953386519</v>
      </c>
      <c r="T53" s="1723">
        <v>0.32</v>
      </c>
      <c r="U53" s="1291">
        <f>+SMS!R117*1000/SMS!R5</f>
        <v>0.3315014623227745</v>
      </c>
      <c r="V53" s="1282">
        <f>+$G$53</f>
        <v>0.32</v>
      </c>
      <c r="W53" s="1644">
        <f>+SMS!T117*1000/SMS!T5</f>
        <v>0.35612218552185254</v>
      </c>
      <c r="X53" s="1723">
        <v>0.32</v>
      </c>
      <c r="Y53" s="1291">
        <f>+SMS!V117*1000/SMS!V5</f>
        <v>0.33685413636288852</v>
      </c>
      <c r="Z53" s="1282">
        <f>+$G$53</f>
        <v>0.32</v>
      </c>
      <c r="AA53" s="1644">
        <f>+SMS!X117*1000/SMS!X5</f>
        <v>0.35583538141825533</v>
      </c>
      <c r="AB53" s="1285">
        <v>0.32</v>
      </c>
      <c r="AC53" s="1285">
        <f>+SMS!Z117*1000/SMS!Z5</f>
        <v>0.34796170419919586</v>
      </c>
      <c r="AD53" s="1433">
        <v>0.32</v>
      </c>
      <c r="AE53" s="3927">
        <f>+SMS!AB117*1000/SMS!AB5</f>
        <v>0.34006991663538449</v>
      </c>
      <c r="AF53" s="1282">
        <f>+$G$53</f>
        <v>0.32</v>
      </c>
      <c r="AG53" s="1644">
        <f>+SMS!AD117*1000/SMS!AD5</f>
        <v>0.34164134282734887</v>
      </c>
      <c r="AH53" s="1293">
        <f>+$G$53</f>
        <v>0.32</v>
      </c>
      <c r="AI53" s="1293">
        <f>+SMS!AF117*1000/SMS!AF5</f>
        <v>0.34030918056112058</v>
      </c>
      <c r="AJ53" s="1282">
        <f>+$G$53</f>
        <v>0.32</v>
      </c>
      <c r="AK53" s="1644">
        <f>+SMS!AH117*1000/SMS!AH5</f>
        <v>0.38589640937119801</v>
      </c>
      <c r="AL53" s="1293">
        <f>+$G$53</f>
        <v>0.32</v>
      </c>
      <c r="AM53" s="1293">
        <f>+SMS!AJ117*1000/SMS!AJ5</f>
        <v>0.34559164635329254</v>
      </c>
      <c r="AN53" s="1282">
        <f>+$G$53</f>
        <v>0.32</v>
      </c>
      <c r="AO53" s="1644">
        <f>+SMS!AL117*1000/SMS!AL5</f>
        <v>0.37686421398533904</v>
      </c>
      <c r="AP53" s="1285">
        <v>0.32</v>
      </c>
      <c r="AQ53" s="1285">
        <f>+SMS!AN117*1000/SMS!AN5</f>
        <v>0.367180962425674</v>
      </c>
      <c r="AR53" s="1293">
        <v>0.32</v>
      </c>
      <c r="AS53" s="1293">
        <f>+SMS!AP117*1000/SMS!AP5</f>
        <v>0.34921602142525004</v>
      </c>
      <c r="AT53" s="1282">
        <f>+$G$53</f>
        <v>0.32</v>
      </c>
      <c r="AU53" s="1644">
        <f>+SMS!AR117*1000/SMS!AR5</f>
        <v>0.37134036815678134</v>
      </c>
      <c r="AV53" s="1293">
        <f>+$G$53</f>
        <v>0.32</v>
      </c>
      <c r="AW53" s="1293">
        <f>+SMS!AT117*1000/SMS!AT5</f>
        <v>0.35151473206401634</v>
      </c>
      <c r="AX53" s="1282">
        <f>+$G$53</f>
        <v>0.32</v>
      </c>
      <c r="AY53" s="1644">
        <f>+SMS!AV117*1000/SMS!AV5</f>
        <v>0.27457464273721127</v>
      </c>
      <c r="AZ53" s="1293">
        <f>+$G$53</f>
        <v>0.32</v>
      </c>
      <c r="BA53" s="1293">
        <f>+SMS!AX117*1000/SMS!AX5</f>
        <v>0.34437180720658778</v>
      </c>
      <c r="BB53" s="1282">
        <f>+$G$53</f>
        <v>0.32</v>
      </c>
      <c r="BC53" s="1644">
        <f>+SMS!AZ117*1000/SMS!AZ5</f>
        <v>0.29880096797568212</v>
      </c>
      <c r="BD53" s="5275">
        <f>+SMS!BA117*1000/SMS!BA5</f>
        <v>0</v>
      </c>
      <c r="BE53" s="5275">
        <f>+SMS!BB117*1000/SMS!BB5</f>
        <v>0.31506460336999664</v>
      </c>
      <c r="BF53" s="1433">
        <f>+SMS!BC117*1000/SMS!BC5</f>
        <v>0</v>
      </c>
      <c r="BG53" s="3927">
        <f>+SMS!BD117*1000/SMS!BD5</f>
        <v>0.34075456543531185</v>
      </c>
      <c r="BH53" s="1293">
        <f>+SMS!BE117*1000/SMS!BE5</f>
        <v>0</v>
      </c>
      <c r="BI53" s="1723">
        <f>+SMS!BF117*1000/SMS!BF5</f>
        <v>0.34041776644226307</v>
      </c>
    </row>
    <row r="54" spans="3:61" x14ac:dyDescent="0.25">
      <c r="C54" s="6145"/>
      <c r="D54" s="371" t="s">
        <v>121</v>
      </c>
      <c r="E54" s="771" t="s">
        <v>277</v>
      </c>
      <c r="F54" s="1639">
        <v>64.983071452256169</v>
      </c>
      <c r="G54" s="770">
        <v>69.999999999999986</v>
      </c>
      <c r="H54" s="1281">
        <f>+SMS!E87</f>
        <v>69.999999999999986</v>
      </c>
      <c r="I54" s="1645">
        <f>+SMS!F87</f>
        <v>60.777830029184493</v>
      </c>
      <c r="J54" s="1281">
        <f>+SMS!G87</f>
        <v>70</v>
      </c>
      <c r="K54" s="1645">
        <f>+SMS!H87</f>
        <v>63.78800097671823</v>
      </c>
      <c r="L54" s="1292">
        <f>+SMS!I87</f>
        <v>70.000071528173308</v>
      </c>
      <c r="M54" s="1724">
        <f>+SMS!J87</f>
        <v>62.130482341262557</v>
      </c>
      <c r="N54" s="1281">
        <f>+SMS!K87</f>
        <v>70</v>
      </c>
      <c r="O54" s="1644">
        <f>+SMS!L87</f>
        <v>64.443608955432452</v>
      </c>
      <c r="P54" s="1286">
        <f>+SMS!M87</f>
        <v>70.000050636610609</v>
      </c>
      <c r="Q54" s="1966">
        <f>+SMS!N87</f>
        <v>62.878454831851869</v>
      </c>
      <c r="R54" s="1281">
        <f>+SMS!O87</f>
        <v>70</v>
      </c>
      <c r="S54" s="1644">
        <f>+SMS!P87</f>
        <v>61.069504961164057</v>
      </c>
      <c r="T54" s="1292">
        <f>+SMS!Q87</f>
        <v>70.000004070335521</v>
      </c>
      <c r="U54" s="1724">
        <f>+SMS!R87</f>
        <v>62.363611289131903</v>
      </c>
      <c r="V54" s="1281">
        <f>+SMS!S87</f>
        <v>70</v>
      </c>
      <c r="W54" s="1644">
        <f>+SMS!T87</f>
        <v>68.998784018848866</v>
      </c>
      <c r="X54" s="1292">
        <f>+SMS!U87</f>
        <v>70.000003188543175</v>
      </c>
      <c r="Y54" s="1724">
        <f>+SMS!V87</f>
        <v>63.806131249511999</v>
      </c>
      <c r="Z54" s="1281">
        <f>+SMS!W87</f>
        <v>70</v>
      </c>
      <c r="AA54" s="1644">
        <f>+SMS!X87</f>
        <v>70.566467059674721</v>
      </c>
      <c r="AB54" s="1286">
        <f>+SMS!Y87</f>
        <v>69.999960362423295</v>
      </c>
      <c r="AC54" s="1286">
        <f>+SMS!Z87</f>
        <v>66.753304125532409</v>
      </c>
      <c r="AD54" s="1432">
        <f>+SMS!AA87</f>
        <v>70.000002634589933</v>
      </c>
      <c r="AE54" s="3918">
        <f>+SMS!AB87</f>
        <v>64.95145930824394</v>
      </c>
      <c r="AF54" s="1281">
        <f>+SMS!AC87</f>
        <v>70</v>
      </c>
      <c r="AG54" s="1645">
        <f>+SMS!AD87</f>
        <v>72.950399233367378</v>
      </c>
      <c r="AH54" s="1292">
        <f>+SMS!AE87</f>
        <v>70.000002224651681</v>
      </c>
      <c r="AI54" s="1724">
        <f>+SMS!AF87</f>
        <v>66.169373644114899</v>
      </c>
      <c r="AJ54" s="1281">
        <f>+SMS!AG87</f>
        <v>70</v>
      </c>
      <c r="AK54" s="1645">
        <f>+SMS!AH87</f>
        <v>74.648066443865787</v>
      </c>
      <c r="AL54" s="1292">
        <f>+SMS!AI87</f>
        <v>70.000001933616176</v>
      </c>
      <c r="AM54" s="1724">
        <f>+SMS!AJ87</f>
        <v>67.151847196786647</v>
      </c>
      <c r="AN54" s="1281">
        <f>+SMS!AK87</f>
        <v>70</v>
      </c>
      <c r="AO54" s="1644">
        <f>+SMS!AL87</f>
        <v>75.699009414280127</v>
      </c>
      <c r="AP54" s="1286">
        <f>+SMS!AM87</f>
        <v>69.999999999999943</v>
      </c>
      <c r="AQ54" s="1286">
        <f>+SMS!AN87</f>
        <v>74.410197782587687</v>
      </c>
      <c r="AR54" s="1292">
        <f>+SMS!AO87</f>
        <v>70.000001702433963</v>
      </c>
      <c r="AS54" s="1724">
        <f>+SMS!AP87</f>
        <v>68.142434019706698</v>
      </c>
      <c r="AT54" s="1281">
        <f>+SMS!AQ87</f>
        <v>70</v>
      </c>
      <c r="AU54" s="1645">
        <f>+SMS!AR87</f>
        <v>69.910383506551966</v>
      </c>
      <c r="AV54" s="1292">
        <f>+SMS!AS87</f>
        <v>70.000001520628373</v>
      </c>
      <c r="AW54" s="1724">
        <f>+SMS!AT87</f>
        <v>68.326123082311057</v>
      </c>
      <c r="AX54" s="1281">
        <f>+SMS!AU87</f>
        <v>70</v>
      </c>
      <c r="AY54" s="1645">
        <f>+SMS!AV87</f>
        <v>64.105995130599879</v>
      </c>
      <c r="AZ54" s="1292">
        <f>+SMS!AW87</f>
        <v>70.000001383136777</v>
      </c>
      <c r="BA54" s="1724">
        <f>+SMS!AX87</f>
        <v>67.934336235894392</v>
      </c>
      <c r="BB54" s="1281">
        <f>+SMS!AY87</f>
        <v>70</v>
      </c>
      <c r="BC54" s="1645">
        <f>+SMS!AZ87</f>
        <v>69.337080301537839</v>
      </c>
      <c r="BD54" s="5274">
        <f>+SMS!BA87</f>
        <v>69.999999999999986</v>
      </c>
      <c r="BE54" s="5274">
        <f>+SMS!BB87</f>
        <v>67.807117634581104</v>
      </c>
      <c r="BF54" s="1432">
        <f>+SMS!BC87</f>
        <v>69.999999999999972</v>
      </c>
      <c r="BG54" s="3918">
        <f>+SMS!BD87</f>
        <v>71.062004699797868</v>
      </c>
      <c r="BH54" s="1292">
        <f>+SMS!BE87</f>
        <v>70.000001260225801</v>
      </c>
      <c r="BI54" s="1724">
        <f>+SMS!BF87</f>
        <v>68.056048128825239</v>
      </c>
    </row>
    <row r="55" spans="3:61" ht="15.75" thickBot="1" x14ac:dyDescent="0.3">
      <c r="C55" s="6146"/>
      <c r="D55" s="1647" t="s">
        <v>556</v>
      </c>
      <c r="E55" s="1648" t="s">
        <v>277</v>
      </c>
      <c r="F55" s="1649">
        <v>18.939404807363346</v>
      </c>
      <c r="G55" s="1722">
        <v>19.999999999999996</v>
      </c>
      <c r="H55" s="1284">
        <f>+SMS!E82</f>
        <v>19.999999999999996</v>
      </c>
      <c r="I55" s="1650">
        <f>+SMS!F82</f>
        <v>17.815791397867823</v>
      </c>
      <c r="J55" s="1284">
        <f>+SMS!G82</f>
        <v>20</v>
      </c>
      <c r="K55" s="1650">
        <f>+SMS!H82</f>
        <v>0</v>
      </c>
      <c r="L55" s="1295">
        <f>+SMS!I82</f>
        <v>20.000020436620943</v>
      </c>
      <c r="M55" s="1726">
        <f>+SMS!J82</f>
        <v>9.8100761591467194</v>
      </c>
      <c r="N55" s="1284">
        <f>+SMS!K82</f>
        <v>20</v>
      </c>
      <c r="O55" s="1785">
        <f>+SMS!L82</f>
        <v>10.627448743542075</v>
      </c>
      <c r="P55" s="1289">
        <f>+SMS!M82</f>
        <v>20.000014467603027</v>
      </c>
      <c r="Q55" s="1970">
        <f>+SMS!N82</f>
        <v>10.07438171161602</v>
      </c>
      <c r="R55" s="1284">
        <f>+SMS!O82</f>
        <v>20</v>
      </c>
      <c r="S55" s="1785">
        <f>+SMS!P82</f>
        <v>17.762514143097732</v>
      </c>
      <c r="T55" s="1295">
        <f>+SMS!Q82</f>
        <v>20.000001162953001</v>
      </c>
      <c r="U55" s="1726">
        <f>+SMS!R82</f>
        <v>12.262493942951258</v>
      </c>
      <c r="V55" s="1284">
        <f>+SMS!S82</f>
        <v>20</v>
      </c>
      <c r="W55" s="1785">
        <f>+SMS!T82</f>
        <v>19.809328315088866</v>
      </c>
      <c r="X55" s="1295">
        <f>+SMS!U82</f>
        <v>20.000000911012332</v>
      </c>
      <c r="Y55" s="1726">
        <f>+SMS!V82</f>
        <v>13.903213734726064</v>
      </c>
      <c r="Z55" s="1284">
        <f>+SMS!W82</f>
        <v>20</v>
      </c>
      <c r="AA55" s="1785">
        <f>+SMS!X82</f>
        <v>21.706554615612976</v>
      </c>
      <c r="AB55" s="1289">
        <f>+SMS!Y82</f>
        <v>19.999988674978088</v>
      </c>
      <c r="AC55" s="1289">
        <f>+SMS!Z82</f>
        <v>19.702351602550337</v>
      </c>
      <c r="AD55" s="1435">
        <f>+SMS!AA82</f>
        <v>20.000000752739982</v>
      </c>
      <c r="AE55" s="3928">
        <f>+SMS!AB82</f>
        <v>15.225246472995414</v>
      </c>
      <c r="AF55" s="1284">
        <f>+SMS!AC82</f>
        <v>20</v>
      </c>
      <c r="AG55" s="1650">
        <f>+SMS!AD82</f>
        <v>6.2030216771439992</v>
      </c>
      <c r="AH55" s="1295">
        <f>+SMS!AE82</f>
        <v>20.000000635614764</v>
      </c>
      <c r="AI55" s="1726">
        <f>+SMS!AF82</f>
        <v>13.85152732731145</v>
      </c>
      <c r="AJ55" s="1284">
        <f>+SMS!AG82</f>
        <v>20</v>
      </c>
      <c r="AK55" s="1650">
        <f>+SMS!AH82</f>
        <v>10.814566680590421</v>
      </c>
      <c r="AL55" s="1295">
        <f>+SMS!AI82</f>
        <v>20.000000552461763</v>
      </c>
      <c r="AM55" s="1726">
        <f>+SMS!AJ82</f>
        <v>13.49961771266001</v>
      </c>
      <c r="AN55" s="1284">
        <f>+SMS!AK82</f>
        <v>20</v>
      </c>
      <c r="AO55" s="1785">
        <f>+SMS!AL82</f>
        <v>13.107036910241362</v>
      </c>
      <c r="AP55" s="1289">
        <f>+SMS!AM82</f>
        <v>19.999999999999979</v>
      </c>
      <c r="AQ55" s="1289">
        <f>+SMS!AN82</f>
        <v>9.9752418094989785</v>
      </c>
      <c r="AR55" s="1295">
        <f>+SMS!AO82</f>
        <v>20.000000486409704</v>
      </c>
      <c r="AS55" s="1726">
        <f>+SMS!AP82</f>
        <v>13.454118942435274</v>
      </c>
      <c r="AT55" s="1284">
        <f>+SMS!AQ82</f>
        <v>20</v>
      </c>
      <c r="AU55" s="1650">
        <f>+SMS!AR82</f>
        <v>9.9182887364072592</v>
      </c>
      <c r="AV55" s="1295">
        <f>+SMS!AS82</f>
        <v>20.00000043446525</v>
      </c>
      <c r="AW55" s="1726">
        <f>+SMS!AT82</f>
        <v>13.086747962152081</v>
      </c>
      <c r="AX55" s="1284">
        <f>+SMS!AU82</f>
        <v>20</v>
      </c>
      <c r="AY55" s="1650">
        <f>+SMS!AV82</f>
        <v>18.309642246192478</v>
      </c>
      <c r="AZ55" s="1295">
        <f>+SMS!AW82</f>
        <v>20.000000395181935</v>
      </c>
      <c r="BA55" s="1726">
        <f>+SMS!AX82</f>
        <v>13.57162929848268</v>
      </c>
      <c r="BB55" s="1284">
        <f>+SMS!AY82</f>
        <v>20</v>
      </c>
      <c r="BC55" s="1650">
        <f>+SMS!AZ82</f>
        <v>25.923297195907995</v>
      </c>
      <c r="BD55" s="5274">
        <f>+SMS!BA82</f>
        <v>20</v>
      </c>
      <c r="BE55" s="5274">
        <f>+SMS!BB82</f>
        <v>18.070236995601938</v>
      </c>
      <c r="BF55" s="1432">
        <f>+SMS!BC82</f>
        <v>19.999999999999989</v>
      </c>
      <c r="BG55" s="3918">
        <f>+SMS!BD82</f>
        <v>14.079933298895666</v>
      </c>
      <c r="BH55" s="1292">
        <f>+SMS!BE82</f>
        <v>20.000000360064515</v>
      </c>
      <c r="BI55" s="1724">
        <f>+SMS!BF82</f>
        <v>14.643346454497994</v>
      </c>
    </row>
    <row r="56" spans="3:61" s="183" customFormat="1" x14ac:dyDescent="0.25">
      <c r="C56" s="6144" t="s">
        <v>1113</v>
      </c>
      <c r="D56" s="1463" t="s">
        <v>36</v>
      </c>
      <c r="E56" s="1769"/>
      <c r="F56" s="1769"/>
      <c r="G56" s="1770"/>
      <c r="H56" s="1771"/>
      <c r="I56" s="1772"/>
      <c r="J56" s="1771"/>
      <c r="K56" s="1772"/>
      <c r="L56" s="1771"/>
      <c r="M56" s="1772"/>
      <c r="N56" s="1771"/>
      <c r="O56" s="1772"/>
      <c r="P56" s="1771"/>
      <c r="Q56" s="1772"/>
      <c r="R56" s="1771"/>
      <c r="S56" s="1772"/>
      <c r="T56" s="1771"/>
      <c r="U56" s="1772"/>
      <c r="V56" s="1771"/>
      <c r="W56" s="1772"/>
      <c r="X56" s="1771"/>
      <c r="Y56" s="1772"/>
      <c r="Z56" s="1771"/>
      <c r="AA56" s="1772"/>
      <c r="AB56" s="1771"/>
      <c r="AC56" s="1772"/>
      <c r="AD56" s="3931"/>
      <c r="AE56" s="1772"/>
      <c r="AF56" s="1771"/>
      <c r="AG56" s="1772"/>
      <c r="AH56" s="1771"/>
      <c r="AI56" s="1772"/>
      <c r="AJ56" s="1771"/>
      <c r="AK56" s="1772"/>
      <c r="AL56" s="1771"/>
      <c r="AM56" s="1772"/>
      <c r="AN56" s="1771"/>
      <c r="AO56" s="1772"/>
      <c r="AP56" s="1771"/>
      <c r="AQ56" s="1772"/>
      <c r="AR56" s="1771"/>
      <c r="AS56" s="1772"/>
      <c r="AT56" s="1771"/>
      <c r="AU56" s="1772"/>
      <c r="AV56" s="1771"/>
      <c r="AW56" s="1772"/>
      <c r="AX56" s="1771"/>
      <c r="AY56" s="1772"/>
      <c r="AZ56" s="1771"/>
      <c r="BA56" s="1772"/>
      <c r="BB56" s="1771"/>
      <c r="BC56" s="1772"/>
      <c r="BD56" s="1772"/>
      <c r="BE56" s="1772"/>
      <c r="BF56" s="1772"/>
      <c r="BG56" s="1772"/>
      <c r="BH56" s="1772"/>
      <c r="BI56" s="1772"/>
    </row>
    <row r="57" spans="3:61" x14ac:dyDescent="0.25">
      <c r="C57" s="6145"/>
      <c r="D57" s="749" t="s">
        <v>1110</v>
      </c>
      <c r="E57" s="771" t="s">
        <v>51</v>
      </c>
      <c r="F57" s="1640">
        <v>95.450038252944893</v>
      </c>
      <c r="G57" s="1652">
        <v>96</v>
      </c>
      <c r="H57" s="1279">
        <f>++'Maj Techno Summ'!E21</f>
        <v>96</v>
      </c>
      <c r="I57" s="1280">
        <f>++'Maj Techno Summ'!F21</f>
        <v>95.511559232649461</v>
      </c>
      <c r="J57" s="1279">
        <f>++'Maj Techno Summ'!G21</f>
        <v>96</v>
      </c>
      <c r="K57" s="1280">
        <f>++'Maj Techno Summ'!H21</f>
        <v>95.428893252507081</v>
      </c>
      <c r="L57" s="1290">
        <f>++'Maj Techno Summ'!I21</f>
        <v>96</v>
      </c>
      <c r="M57" s="1291">
        <f>++'Maj Techno Summ'!J21</f>
        <v>95.474536459714741</v>
      </c>
      <c r="N57" s="1279">
        <f>++'Maj Techno Summ'!K21</f>
        <v>96</v>
      </c>
      <c r="O57" s="1280">
        <f>++'Maj Techno Summ'!L21</f>
        <v>95.378901285987027</v>
      </c>
      <c r="P57" s="1285">
        <f>++'Maj Techno Summ'!M21</f>
        <v>96</v>
      </c>
      <c r="Q57" s="1961">
        <f>++'Maj Techno Summ'!N21</f>
        <v>95.443958064910717</v>
      </c>
      <c r="R57" s="1279">
        <f>++'Maj Techno Summ'!O21</f>
        <v>96</v>
      </c>
      <c r="S57" s="1280">
        <f>++'Maj Techno Summ'!P21</f>
        <v>96.122203486909754</v>
      </c>
      <c r="T57" s="1290">
        <f>+WRM!Q127</f>
        <v>96</v>
      </c>
      <c r="U57" s="1291">
        <f>+WRM!R127</f>
        <v>95.637199700444384</v>
      </c>
      <c r="V57" s="1279">
        <f>++'Maj Techno Summ'!S21</f>
        <v>96</v>
      </c>
      <c r="W57" s="1280">
        <f>++'Maj Techno Summ'!T21</f>
        <v>95.912174777353783</v>
      </c>
      <c r="X57" s="1290">
        <f>+WRM!U127</f>
        <v>96</v>
      </c>
      <c r="Y57" s="1291">
        <f>+WRM!V127</f>
        <v>95.703545892920232</v>
      </c>
      <c r="Z57" s="1279">
        <f>++'Maj Techno Summ'!W21</f>
        <v>96</v>
      </c>
      <c r="AA57" s="1280">
        <f>++'Maj Techno Summ'!X21</f>
        <v>96.332563487208901</v>
      </c>
      <c r="AB57" s="1285">
        <f>+WRM!Y127</f>
        <v>96</v>
      </c>
      <c r="AC57" s="1285">
        <f>+WRM!Z127</f>
        <v>96.120080286073232</v>
      </c>
      <c r="AD57" s="1431">
        <f>+WRM!AA127</f>
        <v>95.999999999999986</v>
      </c>
      <c r="AE57" s="3919">
        <f>+WRM!AB127</f>
        <v>95.822792785944003</v>
      </c>
      <c r="AF57" s="1279">
        <f>++'Maj Techno Summ'!AC21</f>
        <v>96</v>
      </c>
      <c r="AG57" s="1280">
        <f>++'Maj Techno Summ'!AD21</f>
        <v>95.789459373094132</v>
      </c>
      <c r="AH57" s="1290">
        <f>++'Maj Techno Summ'!AE21</f>
        <v>96</v>
      </c>
      <c r="AI57" s="1291">
        <f>++'Maj Techno Summ'!AF21</f>
        <v>95.817670910217899</v>
      </c>
      <c r="AJ57" s="1279">
        <f>++'Maj Techno Summ'!AG21</f>
        <v>96</v>
      </c>
      <c r="AK57" s="1280">
        <f>++'Maj Techno Summ'!AH21</f>
        <v>96.219044909947257</v>
      </c>
      <c r="AL57" s="1290">
        <f>++'Maj Techno Summ'!AI21</f>
        <v>96</v>
      </c>
      <c r="AM57" s="1291">
        <f>++'Maj Techno Summ'!AJ21</f>
        <v>95.868201008318906</v>
      </c>
      <c r="AN57" s="1279">
        <f>++'Maj Techno Summ'!AK21</f>
        <v>96</v>
      </c>
      <c r="AO57" s="1280">
        <f>++'Maj Techno Summ'!AL21</f>
        <v>96.179583627596031</v>
      </c>
      <c r="AP57" s="1285">
        <f>+WRM!AM127</f>
        <v>96</v>
      </c>
      <c r="AQ57" s="1285">
        <f>+WRM!AN127</f>
        <v>96.05801007231419</v>
      </c>
      <c r="AR57" s="1290">
        <f>+WRM!AO127</f>
        <v>96</v>
      </c>
      <c r="AS57" s="1291">
        <f>+WRM!AP127</f>
        <v>95.904007379346396</v>
      </c>
      <c r="AT57" s="1279">
        <f>+WRM!AQ127</f>
        <v>96</v>
      </c>
      <c r="AU57" s="1280">
        <f>+WRM!AR127</f>
        <v>96.114071129795875</v>
      </c>
      <c r="AV57" s="1290">
        <f>+WRM!AS127</f>
        <v>96</v>
      </c>
      <c r="AW57" s="1291">
        <f>+WRM!AT127</f>
        <v>95.926718024256942</v>
      </c>
      <c r="AX57" s="1279">
        <f>+WRM!AU127</f>
        <v>96</v>
      </c>
      <c r="AY57" s="1280">
        <f>+WRM!AV127</f>
        <v>95.658422188417418</v>
      </c>
      <c r="AZ57" s="1290">
        <f>+WRM!AW127</f>
        <v>96</v>
      </c>
      <c r="BA57" s="1291">
        <f>+WRM!AX127</f>
        <v>95.904476830076064</v>
      </c>
      <c r="BB57" s="1279">
        <f>+WRM!AY127</f>
        <v>96</v>
      </c>
      <c r="BC57" s="1280">
        <f>+WRM!AZ127</f>
        <v>95.620502693121551</v>
      </c>
      <c r="BD57" s="3914">
        <f>+WRM!BA127</f>
        <v>96</v>
      </c>
      <c r="BE57" s="3914">
        <f>+WRM!BB127</f>
        <v>95.81418718852612</v>
      </c>
      <c r="BF57" s="1431">
        <f>+WRM!BC127</f>
        <v>96</v>
      </c>
      <c r="BG57" s="3919">
        <f>+WRM!BD127</f>
        <v>95.939088550129867</v>
      </c>
      <c r="BH57" s="1290">
        <f>+WRM!BE127</f>
        <v>96</v>
      </c>
      <c r="BI57" s="1291">
        <f>+WRM!BF127</f>
        <v>95.88178499213079</v>
      </c>
    </row>
    <row r="58" spans="3:61" x14ac:dyDescent="0.25">
      <c r="C58" s="6145"/>
      <c r="D58" s="749" t="s">
        <v>1109</v>
      </c>
      <c r="E58" s="771" t="s">
        <v>51</v>
      </c>
      <c r="F58" s="1640">
        <v>83.928534989967247</v>
      </c>
      <c r="G58" s="1652">
        <v>83.333333333333343</v>
      </c>
      <c r="H58" s="1279">
        <f>+WRM!E134</f>
        <v>83.333333333333343</v>
      </c>
      <c r="I58" s="1280">
        <f>+WRM!F134</f>
        <v>83.782366256280028</v>
      </c>
      <c r="J58" s="1279">
        <f>+WRM!G134</f>
        <v>83.333333333333343</v>
      </c>
      <c r="K58" s="1280">
        <f>+WRM!H134</f>
        <v>83.05651011836575</v>
      </c>
      <c r="L58" s="1290">
        <f>+WRM!I134</f>
        <v>83.333333333333343</v>
      </c>
      <c r="M58" s="1291">
        <f>+WRM!J134</f>
        <v>83.445176929671561</v>
      </c>
      <c r="N58" s="1279">
        <f>+WRM!K134</f>
        <v>83.333333333333343</v>
      </c>
      <c r="O58" s="1280">
        <f>+WRM!L134</f>
        <v>85.045038778562215</v>
      </c>
      <c r="P58" s="1285">
        <f>+WRM!M134</f>
        <v>83.333333333333343</v>
      </c>
      <c r="Q58" s="1961">
        <f>+WRM!N134</f>
        <v>83.922329291441471</v>
      </c>
      <c r="R58" s="1279">
        <f>+WRM!O134</f>
        <v>83.333333333333343</v>
      </c>
      <c r="S58" s="1280">
        <f>+WRM!P134</f>
        <v>87.704058306215217</v>
      </c>
      <c r="T58" s="1290">
        <f>+WRM!Q134</f>
        <v>83.333333333333343</v>
      </c>
      <c r="U58" s="1291">
        <f>+WRM!R134</f>
        <v>84.974923272700053</v>
      </c>
      <c r="V58" s="1279">
        <f>+WRM!S134</f>
        <v>83.333333333333343</v>
      </c>
      <c r="W58" s="1280">
        <f>+WRM!T134</f>
        <v>85.031779095230476</v>
      </c>
      <c r="X58" s="1290">
        <f>+WRM!U134</f>
        <v>83.333333333333343</v>
      </c>
      <c r="Y58" s="1291">
        <f>+WRM!V134</f>
        <v>84.987371079772686</v>
      </c>
      <c r="Z58" s="1279">
        <f>+WRM!W134</f>
        <v>83.333333333333343</v>
      </c>
      <c r="AA58" s="1280">
        <f>+WRM!X134</f>
        <v>89.107017827328079</v>
      </c>
      <c r="AB58" s="1285">
        <f>+WRM!Y134</f>
        <v>83.333333333333343</v>
      </c>
      <c r="AC58" s="1285">
        <f>+WRM!Z134</f>
        <v>87.274858405733596</v>
      </c>
      <c r="AD58" s="1431">
        <f>+WRM!AA134</f>
        <v>83.333333333333343</v>
      </c>
      <c r="AE58" s="3919">
        <f>+WRM!AB134</f>
        <v>85.722246241052986</v>
      </c>
      <c r="AF58" s="1279">
        <f>+WRM!AC134</f>
        <v>83.333333333333343</v>
      </c>
      <c r="AG58" s="1280">
        <f>+WRM!AD134</f>
        <v>86.349491006909673</v>
      </c>
      <c r="AH58" s="1290">
        <f>+WRM!AE134</f>
        <v>83.333333333333343</v>
      </c>
      <c r="AI58" s="1291">
        <f>+WRM!AF134</f>
        <v>85.8188940541595</v>
      </c>
      <c r="AJ58" s="1279">
        <f>+WRM!AG134</f>
        <v>83.333333333333343</v>
      </c>
      <c r="AK58" s="1280">
        <f>+WRM!AH134</f>
        <v>87.841672457725267</v>
      </c>
      <c r="AL58" s="1290">
        <f>+WRM!AI134</f>
        <v>83.333333333333343</v>
      </c>
      <c r="AM58" s="1291">
        <f>+WRM!AJ134</f>
        <v>86.067834540167638</v>
      </c>
      <c r="AN58" s="1279">
        <f>+WRM!AK134</f>
        <v>83.333333333333343</v>
      </c>
      <c r="AO58" s="1280">
        <f>+WRM!AL134</f>
        <v>82.933950601046902</v>
      </c>
      <c r="AP58" s="1285">
        <f>+WRM!AM134</f>
        <v>83.333333333333343</v>
      </c>
      <c r="AQ58" s="1285">
        <f>+WRM!AN134</f>
        <v>85.640575354617965</v>
      </c>
      <c r="AR58" s="1290">
        <f>+WRM!AO134</f>
        <v>83.333333333333343</v>
      </c>
      <c r="AS58" s="1291">
        <f>+WRM!AP134</f>
        <v>85.693931414977982</v>
      </c>
      <c r="AT58" s="1279">
        <f>+WRM!AQ134</f>
        <v>83.333333333333343</v>
      </c>
      <c r="AU58" s="1280">
        <f>+WRM!AR134</f>
        <v>86.249345206914612</v>
      </c>
      <c r="AV58" s="1290">
        <f>+WRM!AS134</f>
        <v>83.333333333333343</v>
      </c>
      <c r="AW58" s="1291">
        <f>+WRM!AT134</f>
        <v>85.7533609288691</v>
      </c>
      <c r="AX58" s="1279">
        <f>+WRM!AU134</f>
        <v>83.333333333333343</v>
      </c>
      <c r="AY58" s="1280">
        <f>+WRM!AV134</f>
        <v>79.783549783549773</v>
      </c>
      <c r="AZ58" s="1290">
        <f>+WRM!AW134</f>
        <v>83.333333333333343</v>
      </c>
      <c r="BA58" s="1291">
        <f>+WRM!AX134</f>
        <v>85.224959192379515</v>
      </c>
      <c r="BB58" s="1279">
        <f>+WRM!AY134</f>
        <v>83.333333333333343</v>
      </c>
      <c r="BC58" s="1280">
        <f>+WRM!AZ134</f>
        <v>89.080140147933932</v>
      </c>
      <c r="BD58" s="3914">
        <f>+WRM!BA134</f>
        <v>83.333333333333343</v>
      </c>
      <c r="BE58" s="3914">
        <f>+WRM!BB134</f>
        <v>85.125744540039705</v>
      </c>
      <c r="BF58" s="1431">
        <f>+WRM!BC134</f>
        <v>83.333333333333343</v>
      </c>
      <c r="BG58" s="3919">
        <f>+WRM!BD134</f>
        <v>85.385131098270122</v>
      </c>
      <c r="BH58" s="1290">
        <f>+WRM!BE134</f>
        <v>83.333333333333343</v>
      </c>
      <c r="BI58" s="1291">
        <f>+WRM!BF134</f>
        <v>85.549314161517714</v>
      </c>
    </row>
    <row r="59" spans="3:61" x14ac:dyDescent="0.25">
      <c r="C59" s="6145"/>
      <c r="D59" s="749" t="s">
        <v>319</v>
      </c>
      <c r="E59" s="771" t="s">
        <v>559</v>
      </c>
      <c r="F59" s="1640">
        <v>75.551242533855927</v>
      </c>
      <c r="G59" s="1652">
        <v>78.125</v>
      </c>
      <c r="H59" s="1279">
        <f>+WRM!E143</f>
        <v>78.703703703703709</v>
      </c>
      <c r="I59" s="1280">
        <f>+WRM!F143</f>
        <v>76.683008797074251</v>
      </c>
      <c r="J59" s="1279">
        <f>+WRM!G143</f>
        <v>79.347826086956516</v>
      </c>
      <c r="K59" s="1280">
        <f>+WRM!H143</f>
        <v>72.260085047695682</v>
      </c>
      <c r="L59" s="1290">
        <f>+WRM!I143</f>
        <v>79</v>
      </c>
      <c r="M59" s="1291">
        <f>+WRM!J143</f>
        <v>74.637953023700732</v>
      </c>
      <c r="N59" s="1279">
        <f>+WRM!K143</f>
        <v>77.272727272727266</v>
      </c>
      <c r="O59" s="1280">
        <f>+WRM!L143</f>
        <v>80.911299227088747</v>
      </c>
      <c r="P59" s="1285">
        <f>+WRM!M143</f>
        <v>78.472222222222229</v>
      </c>
      <c r="Q59" s="1961">
        <f>+WRM!N143</f>
        <v>76.53398346249395</v>
      </c>
      <c r="R59" s="1279">
        <f>+WRM!O143</f>
        <v>77.678571428571431</v>
      </c>
      <c r="S59" s="1280">
        <f>+WRM!P143</f>
        <v>76.191610192879693</v>
      </c>
      <c r="T59" s="1290">
        <f>+WRM!Q143</f>
        <v>78.25</v>
      </c>
      <c r="U59" s="1291">
        <f>+WRM!R143</f>
        <v>76.435627829947649</v>
      </c>
      <c r="V59" s="1279">
        <f>+WRM!S143</f>
        <v>77.678571428571431</v>
      </c>
      <c r="W59" s="1280">
        <f>+WRM!T143</f>
        <v>86.908514179831059</v>
      </c>
      <c r="X59" s="1290">
        <f>+WRM!U143</f>
        <v>78.125</v>
      </c>
      <c r="Y59" s="1291">
        <f>+WRM!V143</f>
        <v>78.72972158586667</v>
      </c>
      <c r="Z59" s="1279">
        <f>+WRM!W143</f>
        <v>78.703703703703709</v>
      </c>
      <c r="AA59" s="1280">
        <f>+WRM!X143</f>
        <v>81.43559793284777</v>
      </c>
      <c r="AB59" s="1285">
        <f>+WRM!Y143</f>
        <v>78.01204819277109</v>
      </c>
      <c r="AC59" s="1285">
        <f>+WRM!Z143</f>
        <v>81.468932038834922</v>
      </c>
      <c r="AD59" s="1431">
        <f>+WRM!AA143</f>
        <v>78.225806451612897</v>
      </c>
      <c r="AE59" s="3919">
        <f>+WRM!AB143</f>
        <v>79.231462947189073</v>
      </c>
      <c r="AF59" s="1279">
        <f>+WRM!AC143</f>
        <v>77.678571428571431</v>
      </c>
      <c r="AG59" s="1280">
        <f>+WRM!AD143</f>
        <v>78.370991387209074</v>
      </c>
      <c r="AH59" s="1290">
        <f>+WRM!AE143</f>
        <v>78.142076502732237</v>
      </c>
      <c r="AI59" s="1291">
        <f>+WRM!AF143</f>
        <v>79.098059093707079</v>
      </c>
      <c r="AJ59" s="1279">
        <f>+WRM!AG143</f>
        <v>78.703703703703709</v>
      </c>
      <c r="AK59" s="1280">
        <f>+WRM!AH143</f>
        <v>79.637604245640674</v>
      </c>
      <c r="AL59" s="1290">
        <f>+WRM!AI143</f>
        <v>78.214285714285708</v>
      </c>
      <c r="AM59" s="1291">
        <f>+WRM!AJ143</f>
        <v>79.165828665118227</v>
      </c>
      <c r="AN59" s="1279">
        <f>+WRM!AK143</f>
        <v>77.678571428571431</v>
      </c>
      <c r="AO59" s="1280">
        <f>+WRM!AL143</f>
        <v>79.053315994798439</v>
      </c>
      <c r="AP59" s="1285">
        <f>+WRM!AM143</f>
        <v>78.01204819277109</v>
      </c>
      <c r="AQ59" s="1285">
        <f>+WRM!AN143</f>
        <v>79.004534500253669</v>
      </c>
      <c r="AR59" s="1290">
        <f>+WRM!AO143</f>
        <v>78.151260504201687</v>
      </c>
      <c r="AS59" s="1291">
        <f>+WRM!AP143</f>
        <v>79.152837146958873</v>
      </c>
      <c r="AT59" s="1279">
        <f>+WRM!AQ143</f>
        <v>77.678571428571431</v>
      </c>
      <c r="AU59" s="1280">
        <f>+WRM!AR143</f>
        <v>79.7343152140905</v>
      </c>
      <c r="AV59" s="1290">
        <f>+WRM!AS143</f>
        <v>78.101503759398497</v>
      </c>
      <c r="AW59" s="1291">
        <f>+WRM!AT143</f>
        <v>79.215415411162596</v>
      </c>
      <c r="AX59" s="1279">
        <f>+WRM!AU143</f>
        <v>78.84615384615384</v>
      </c>
      <c r="AY59" s="1280">
        <f>+WRM!AV143</f>
        <v>79.03233857840479</v>
      </c>
      <c r="AZ59" s="1290">
        <f>+WRM!AW143</f>
        <v>78.167808219178085</v>
      </c>
      <c r="BA59" s="1291">
        <f>+WRM!AX143</f>
        <v>79.200245480785696</v>
      </c>
      <c r="BB59" s="1279">
        <f>+WRM!AY143</f>
        <v>77.678571428571431</v>
      </c>
      <c r="BC59" s="1280">
        <f>+WRM!AZ143</f>
        <v>71.423318245668781</v>
      </c>
      <c r="BD59" s="3914">
        <f>+WRM!BA143</f>
        <v>78.048780487804876</v>
      </c>
      <c r="BE59" s="3914">
        <f>+WRM!BB143</f>
        <v>76.649886621315218</v>
      </c>
      <c r="BF59" s="1431">
        <f>+WRM!BC143</f>
        <v>78.030303030303031</v>
      </c>
      <c r="BG59" s="3919">
        <f>+WRM!BD143</f>
        <v>77.839775021632548</v>
      </c>
      <c r="BH59" s="1290">
        <f>+WRM!BE143</f>
        <v>78.125</v>
      </c>
      <c r="BI59" s="1291">
        <f>+WRM!BF143</f>
        <v>78.518930116554486</v>
      </c>
    </row>
    <row r="60" spans="3:61" s="183" customFormat="1" x14ac:dyDescent="0.25">
      <c r="C60" s="6145"/>
      <c r="D60" s="1727" t="s">
        <v>93</v>
      </c>
      <c r="E60" s="1728"/>
      <c r="F60" s="1731"/>
      <c r="G60" s="1660"/>
      <c r="H60" s="1473"/>
      <c r="I60" s="1729"/>
      <c r="J60" s="1473"/>
      <c r="K60" s="1729"/>
      <c r="L60" s="1473"/>
      <c r="M60" s="1729"/>
      <c r="N60" s="1473"/>
      <c r="O60" s="1729"/>
      <c r="P60" s="1473"/>
      <c r="Q60" s="1729"/>
      <c r="R60" s="1473"/>
      <c r="S60" s="1729"/>
      <c r="T60" s="1473"/>
      <c r="U60" s="1729"/>
      <c r="V60" s="1473"/>
      <c r="W60" s="1729"/>
      <c r="X60" s="1473"/>
      <c r="Y60" s="1729"/>
      <c r="Z60" s="1473"/>
      <c r="AA60" s="1729"/>
      <c r="AB60" s="1473"/>
      <c r="AC60" s="1473"/>
      <c r="AD60" s="1473"/>
      <c r="AE60" s="3913"/>
      <c r="AF60" s="1473"/>
      <c r="AG60" s="1729"/>
      <c r="AH60" s="1473"/>
      <c r="AI60" s="1729"/>
      <c r="AJ60" s="1473"/>
      <c r="AK60" s="1729"/>
      <c r="AL60" s="1473"/>
      <c r="AM60" s="1729"/>
      <c r="AN60" s="1473"/>
      <c r="AO60" s="1729"/>
      <c r="AP60" s="1473"/>
      <c r="AQ60" s="1473"/>
      <c r="AR60" s="1473"/>
      <c r="AS60" s="1729"/>
      <c r="AT60" s="1473"/>
      <c r="AU60" s="1729"/>
      <c r="AV60" s="1473"/>
      <c r="AW60" s="1729"/>
      <c r="AX60" s="1473"/>
      <c r="AY60" s="1729"/>
      <c r="AZ60" s="1473"/>
      <c r="BA60" s="1729"/>
      <c r="BB60" s="1473"/>
      <c r="BC60" s="1729"/>
      <c r="BD60" s="1729"/>
      <c r="BE60" s="1729"/>
      <c r="BF60" s="1729"/>
      <c r="BG60" s="1729"/>
      <c r="BH60" s="1729"/>
      <c r="BI60" s="1729"/>
    </row>
    <row r="61" spans="3:61" x14ac:dyDescent="0.25">
      <c r="C61" s="6145"/>
      <c r="D61" s="749" t="s">
        <v>1110</v>
      </c>
      <c r="E61" s="771" t="s">
        <v>51</v>
      </c>
      <c r="F61" s="1640">
        <v>95.450022221864671</v>
      </c>
      <c r="G61" s="770">
        <v>96.5</v>
      </c>
      <c r="H61" s="1279">
        <f>+'Maj Techno Summ'!E22</f>
        <v>96.5</v>
      </c>
      <c r="I61" s="1280">
        <f>+'Maj Techno Summ'!F22</f>
        <v>95.688196506497718</v>
      </c>
      <c r="J61" s="1279">
        <f>+'Maj Techno Summ'!G22</f>
        <v>96.5</v>
      </c>
      <c r="K61" s="1280">
        <f>+'Maj Techno Summ'!H22</f>
        <v>95.843255905811219</v>
      </c>
      <c r="L61" s="1290">
        <f>+'Maj Techno Summ'!I22</f>
        <v>96.5</v>
      </c>
      <c r="M61" s="1291">
        <f>+'Maj Techno Summ'!J22</f>
        <v>95.757067356541015</v>
      </c>
      <c r="N61" s="1279">
        <f>+'Maj Techno Summ'!K22</f>
        <v>96.5</v>
      </c>
      <c r="O61" s="1280">
        <f>+'Maj Techno Summ'!L22</f>
        <v>95.747583268874223</v>
      </c>
      <c r="P61" s="1285">
        <f>+'Maj Techno Summ'!M22</f>
        <v>96.5</v>
      </c>
      <c r="Q61" s="1961">
        <f>+'Maj Techno Summ'!N22</f>
        <v>95.754216526960008</v>
      </c>
      <c r="R61" s="1279">
        <f>+'Maj Techno Summ'!O22</f>
        <v>96.5</v>
      </c>
      <c r="S61" s="1280">
        <f>+'Maj Techno Summ'!P22</f>
        <v>95.984317544469334</v>
      </c>
      <c r="T61" s="1290">
        <f>+BM!Q54</f>
        <v>96.500000000000014</v>
      </c>
      <c r="U61" s="1291">
        <f>+BM!R54</f>
        <v>95.821059288419647</v>
      </c>
      <c r="V61" s="1279">
        <f>+'Maj Techno Summ'!S22</f>
        <v>96.5</v>
      </c>
      <c r="W61" s="1280">
        <f>+'Maj Techno Summ'!T22</f>
        <v>96.282520735717824</v>
      </c>
      <c r="X61" s="1290">
        <f>+BM!U54</f>
        <v>96.500000000000014</v>
      </c>
      <c r="Y61" s="1291">
        <f>+BM!V54</f>
        <v>95.932704944146579</v>
      </c>
      <c r="Z61" s="1279">
        <f>+'Maj Techno Summ'!W22</f>
        <v>96.5</v>
      </c>
      <c r="AA61" s="1280">
        <f>+'Maj Techno Summ'!X22</f>
        <v>96.220522655162881</v>
      </c>
      <c r="AB61" s="1285">
        <f>+BM!Y54</f>
        <v>96.5</v>
      </c>
      <c r="AC61" s="1285">
        <f>+BM!Z54</f>
        <v>96.164318670794245</v>
      </c>
      <c r="AD61" s="1431">
        <f>+BM!AA54</f>
        <v>96.5</v>
      </c>
      <c r="AE61" s="3919">
        <f>+BM!AB54</f>
        <v>95.979960425703709</v>
      </c>
      <c r="AF61" s="1279">
        <f>+'Maj Techno Summ'!AC22</f>
        <v>96.5</v>
      </c>
      <c r="AG61" s="1280">
        <f>+'Maj Techno Summ'!AD22</f>
        <v>96.155345222550608</v>
      </c>
      <c r="AH61" s="1290">
        <f>+'Maj Techno Summ'!AE22</f>
        <v>96.5</v>
      </c>
      <c r="AI61" s="1291">
        <f>+'Maj Techno Summ'!AF22</f>
        <v>96.0030331853077</v>
      </c>
      <c r="AJ61" s="1279">
        <f>+'Maj Techno Summ'!AG22</f>
        <v>96.5</v>
      </c>
      <c r="AK61" s="1280">
        <f>+'Maj Techno Summ'!AH22</f>
        <v>95.971529279348573</v>
      </c>
      <c r="AL61" s="1290">
        <f>+'Maj Techno Summ'!AI22</f>
        <v>96.5</v>
      </c>
      <c r="AM61" s="1291">
        <f>+'Maj Techno Summ'!AJ22</f>
        <v>95.999468635984158</v>
      </c>
      <c r="AN61" s="1279">
        <f>+'Maj Techno Summ'!AK22</f>
        <v>96.5</v>
      </c>
      <c r="AO61" s="1280">
        <f>+'Maj Techno Summ'!AL22</f>
        <v>96.1511508761361</v>
      </c>
      <c r="AP61" s="1285">
        <f>+BM!AM54</f>
        <v>96.500000000000014</v>
      </c>
      <c r="AQ61" s="1285">
        <f>+BM!AN54</f>
        <v>96.095900612075141</v>
      </c>
      <c r="AR61" s="1290">
        <f>+BM!AO54</f>
        <v>96.5</v>
      </c>
      <c r="AS61" s="1291">
        <f>+BM!AP54</f>
        <v>96.016820280085554</v>
      </c>
      <c r="AT61" s="1279">
        <f>+'Maj Techno Summ'!AQ22</f>
        <v>96.5</v>
      </c>
      <c r="AU61" s="1280">
        <f>+'Maj Techno Summ'!AR22</f>
        <v>96.359158538156947</v>
      </c>
      <c r="AV61" s="1290">
        <f>+'Maj Techno Summ'!AS22</f>
        <v>96.5</v>
      </c>
      <c r="AW61" s="1291">
        <f>+'Maj Techno Summ'!AT22</f>
        <v>96.053452289952389</v>
      </c>
      <c r="AX61" s="1279">
        <f>+'Maj Techno Summ'!AU22</f>
        <v>96.5</v>
      </c>
      <c r="AY61" s="1280">
        <f>+'Maj Techno Summ'!AV22</f>
        <v>96.199129897119747</v>
      </c>
      <c r="AZ61" s="1290">
        <f>+'Maj Techno Summ'!AW22</f>
        <v>96.5</v>
      </c>
      <c r="BA61" s="1291">
        <f>+'Maj Techno Summ'!AX22</f>
        <v>96.066527718534189</v>
      </c>
      <c r="BB61" s="1279">
        <f>+'Maj Techno Summ'!AY22</f>
        <v>96.5</v>
      </c>
      <c r="BC61" s="1280">
        <f>+'Maj Techno Summ'!AZ22</f>
        <v>96.320741507202996</v>
      </c>
      <c r="BD61" s="3914">
        <f>+'Maj Techno Summ'!BA22</f>
        <v>96.5</v>
      </c>
      <c r="BE61" s="3914">
        <f>+'Maj Techno Summ'!BB22</f>
        <v>96.295370741214143</v>
      </c>
      <c r="BF61" s="1431">
        <f>+'Maj Techno Summ'!BC22</f>
        <v>96.5</v>
      </c>
      <c r="BG61" s="3919">
        <f>+'Maj Techno Summ'!BD22</f>
        <v>96.200119022404422</v>
      </c>
      <c r="BH61" s="1290">
        <f>+'Maj Techno Summ'!BE22</f>
        <v>96.5</v>
      </c>
      <c r="BI61" s="1291">
        <f>+'Maj Techno Summ'!BF22</f>
        <v>96.088707842896071</v>
      </c>
    </row>
    <row r="62" spans="3:61" x14ac:dyDescent="0.25">
      <c r="C62" s="6145"/>
      <c r="D62" s="749" t="s">
        <v>1109</v>
      </c>
      <c r="E62" s="771" t="s">
        <v>51</v>
      </c>
      <c r="F62" s="1638">
        <v>80.103400582885854</v>
      </c>
      <c r="G62" s="1652">
        <v>83.333333333333343</v>
      </c>
      <c r="H62" s="1279">
        <f>+BM!E62</f>
        <v>83.333333333333343</v>
      </c>
      <c r="I62" s="1280">
        <f>+BM!F62</f>
        <v>85.989218328840977</v>
      </c>
      <c r="J62" s="1279">
        <f>+BM!G62</f>
        <v>83.333333333333343</v>
      </c>
      <c r="K62" s="1280">
        <f>+BM!H62</f>
        <v>76.996339176761211</v>
      </c>
      <c r="L62" s="1290">
        <f>+BM!I62</f>
        <v>83.333333333333343</v>
      </c>
      <c r="M62" s="1291">
        <f>+BM!J62</f>
        <v>81.715441519682045</v>
      </c>
      <c r="N62" s="1279">
        <f>+BM!K62</f>
        <v>83.333333333333343</v>
      </c>
      <c r="O62" s="1280">
        <f>+BM!L62</f>
        <v>78.800351913529795</v>
      </c>
      <c r="P62" s="1285">
        <f>+BM!M62</f>
        <v>83.333333333333343</v>
      </c>
      <c r="Q62" s="1961">
        <f>+BM!N62</f>
        <v>80.810534016093627</v>
      </c>
      <c r="R62" s="1279">
        <f>+BM!O62</f>
        <v>83.333333333333343</v>
      </c>
      <c r="S62" s="1280">
        <f>+BM!P62</f>
        <v>80.734642178594044</v>
      </c>
      <c r="T62" s="1290">
        <f>+BM!Q62</f>
        <v>83.333333333333343</v>
      </c>
      <c r="U62" s="1291">
        <f>+BM!R62</f>
        <v>80.789436619718302</v>
      </c>
      <c r="V62" s="1279">
        <f>+BM!S62</f>
        <v>83.333333333333343</v>
      </c>
      <c r="W62" s="1280">
        <f>+BM!T62</f>
        <v>87.961000423908445</v>
      </c>
      <c r="X62" s="1290">
        <f>+BM!U62</f>
        <v>83.333333333333343</v>
      </c>
      <c r="Y62" s="1291">
        <f>+BM!V62</f>
        <v>82.368769322855741</v>
      </c>
      <c r="Z62" s="1279">
        <f>+BM!W62</f>
        <v>83.333333333333343</v>
      </c>
      <c r="AA62" s="1280">
        <f>+BM!X62</f>
        <v>79.554220850782457</v>
      </c>
      <c r="AB62" s="1285">
        <f>+BM!Y62</f>
        <v>83.333333333333343</v>
      </c>
      <c r="AC62" s="1285">
        <f>+BM!Z62</f>
        <v>82.865871550132042</v>
      </c>
      <c r="AD62" s="1431">
        <f>+BM!AA62</f>
        <v>83.333333333333343</v>
      </c>
      <c r="AE62" s="3919">
        <f>+BM!AB62</f>
        <v>81.901016030293178</v>
      </c>
      <c r="AF62" s="1279">
        <f>+BM!AC62</f>
        <v>83.333333333333343</v>
      </c>
      <c r="AG62" s="1280">
        <f>+BM!AD62</f>
        <v>77.355376604160156</v>
      </c>
      <c r="AH62" s="1290">
        <f>+BM!AE62</f>
        <v>83.333333333333343</v>
      </c>
      <c r="AI62" s="1291">
        <f>+BM!AF62</f>
        <v>81.270953135969592</v>
      </c>
      <c r="AJ62" s="1279">
        <f>+BM!AG62</f>
        <v>83.333333333333343</v>
      </c>
      <c r="AK62" s="1280">
        <f>+BM!AH62</f>
        <v>79.460190520992597</v>
      </c>
      <c r="AL62" s="1290">
        <f>+BM!AI62</f>
        <v>83.333333333333343</v>
      </c>
      <c r="AM62" s="1291">
        <f>+BM!AJ62</f>
        <v>81.056775423050993</v>
      </c>
      <c r="AN62" s="1279">
        <f>+BM!AK62</f>
        <v>83.333333333333343</v>
      </c>
      <c r="AO62" s="1280">
        <f>+BM!AL62</f>
        <v>79.625611786669339</v>
      </c>
      <c r="AP62" s="1285">
        <f>+BM!AM62</f>
        <v>83.333333333333343</v>
      </c>
      <c r="AQ62" s="1285">
        <f>+BM!AN62</f>
        <v>78.840550403059012</v>
      </c>
      <c r="AR62" s="1290">
        <f>+BM!AO62</f>
        <v>83.333333333333343</v>
      </c>
      <c r="AS62" s="1291">
        <f>+BM!AP62</f>
        <v>80.883395682046029</v>
      </c>
      <c r="AT62" s="1279">
        <f>+BM!AQ62</f>
        <v>83.333333333333343</v>
      </c>
      <c r="AU62" s="1280">
        <f>+BM!AR62</f>
        <v>86.516586423998717</v>
      </c>
      <c r="AV62" s="1290">
        <f>+BM!AS62</f>
        <v>83.333333333333343</v>
      </c>
      <c r="AW62" s="1291">
        <f>+BM!AT62</f>
        <v>81.466818632635054</v>
      </c>
      <c r="AX62" s="1279">
        <f>+BM!AU62</f>
        <v>83.333333333333343</v>
      </c>
      <c r="AY62" s="1280">
        <f>+BM!AV62</f>
        <v>80.032856642697482</v>
      </c>
      <c r="AZ62" s="1290">
        <f>+BM!AW62</f>
        <v>83.333333333333343</v>
      </c>
      <c r="BA62" s="1291">
        <f>+BM!AX62</f>
        <v>81.334410941871312</v>
      </c>
      <c r="BB62" s="1279">
        <f>+BM!AY62</f>
        <v>83.333333333333343</v>
      </c>
      <c r="BC62" s="1280">
        <f>+BM!AZ62</f>
        <v>81.608700060839595</v>
      </c>
      <c r="BD62" s="3914">
        <f>+BM!BA62</f>
        <v>83.333333333333343</v>
      </c>
      <c r="BE62" s="3914">
        <f>+BM!BB62</f>
        <v>82.719157902099141</v>
      </c>
      <c r="BF62" s="1431">
        <f>+BM!BC62</f>
        <v>83.333333333333343</v>
      </c>
      <c r="BG62" s="3919">
        <f>+BM!BD62</f>
        <v>80.828411911781856</v>
      </c>
      <c r="BH62" s="1290">
        <f>+BM!BE62</f>
        <v>83.333333333333343</v>
      </c>
      <c r="BI62" s="1291">
        <f>+BM!BF62</f>
        <v>81.35891460755073</v>
      </c>
    </row>
    <row r="63" spans="3:61" x14ac:dyDescent="0.25">
      <c r="C63" s="6145"/>
      <c r="D63" s="749" t="s">
        <v>319</v>
      </c>
      <c r="E63" s="771" t="s">
        <v>559</v>
      </c>
      <c r="F63" s="1638">
        <v>129.35729675734254</v>
      </c>
      <c r="G63" s="1652">
        <v>129.96941896024464</v>
      </c>
      <c r="H63" s="1279">
        <f>+BM!E71</f>
        <v>129.46428571428572</v>
      </c>
      <c r="I63" s="1280">
        <f>+BM!F71</f>
        <v>131.73736129396275</v>
      </c>
      <c r="J63" s="1279">
        <f>+BM!G71</f>
        <v>130.20833333333334</v>
      </c>
      <c r="K63" s="1280">
        <f>+BM!H71</f>
        <v>130.0227970622343</v>
      </c>
      <c r="L63" s="1290">
        <f>+BM!I71</f>
        <v>129.80769230769232</v>
      </c>
      <c r="M63" s="1291">
        <f>+BM!J71</f>
        <v>130.96958838191514</v>
      </c>
      <c r="N63" s="1279">
        <f>+BM!K71</f>
        <v>130.55555555555554</v>
      </c>
      <c r="O63" s="1280">
        <f>+BM!L71</f>
        <v>129.65193269269116</v>
      </c>
      <c r="P63" s="1285">
        <f>+BM!M71</f>
        <v>130</v>
      </c>
      <c r="Q63" s="1961">
        <f>+BM!N71</f>
        <v>130.570733968208</v>
      </c>
      <c r="R63" s="1279">
        <f>+BM!O71</f>
        <v>129.31034482758622</v>
      </c>
      <c r="S63" s="1280">
        <f>+BM!P71</f>
        <v>139.31027235644825</v>
      </c>
      <c r="T63" s="1290">
        <f>+BM!Q71</f>
        <v>129.79797979797979</v>
      </c>
      <c r="U63" s="1291">
        <f>+BM!R71</f>
        <v>132.9986162951858</v>
      </c>
      <c r="V63" s="1279">
        <f>+BM!S71</f>
        <v>129.31034482758622</v>
      </c>
      <c r="W63" s="1280">
        <f>+BM!T71</f>
        <v>138.71132700212627</v>
      </c>
      <c r="X63" s="1290">
        <f>+BM!U71</f>
        <v>129.6875</v>
      </c>
      <c r="Y63" s="1291">
        <f>+BM!V71</f>
        <v>134.34209125576686</v>
      </c>
      <c r="Z63" s="1279">
        <f>+BM!W71</f>
        <v>130.35714285714286</v>
      </c>
      <c r="AA63" s="1280">
        <f>+BM!X71</f>
        <v>137.49774129870147</v>
      </c>
      <c r="AB63" s="1285">
        <f>+BM!Y71</f>
        <v>129.65116279069767</v>
      </c>
      <c r="AC63" s="1285">
        <f>+BM!Z71</f>
        <v>138.54517517183936</v>
      </c>
      <c r="AD63" s="1431">
        <f>+BM!AA71</f>
        <v>129.80769230769232</v>
      </c>
      <c r="AE63" s="3919">
        <f>+BM!AB71</f>
        <v>134.85150527475113</v>
      </c>
      <c r="AF63" s="1279">
        <f>+BM!AC71</f>
        <v>130.17241379310346</v>
      </c>
      <c r="AG63" s="1280">
        <f>+BM!AD71</f>
        <v>134.65564833547927</v>
      </c>
      <c r="AH63" s="1290">
        <f>+BM!AE71</f>
        <v>129.86486486486487</v>
      </c>
      <c r="AI63" s="1291">
        <f>+BM!AF71</f>
        <v>134.8256658384129</v>
      </c>
      <c r="AJ63" s="1279">
        <f>+BM!AG71</f>
        <v>130.35714285714286</v>
      </c>
      <c r="AK63" s="1280">
        <f>+BM!AH71</f>
        <v>131.10575445866954</v>
      </c>
      <c r="AL63" s="1290">
        <f>+BM!AI71</f>
        <v>129.92957746478874</v>
      </c>
      <c r="AM63" s="1291">
        <f>+BM!AJ71</f>
        <v>134.39433984606282</v>
      </c>
      <c r="AN63" s="1279">
        <f>+BM!AK71</f>
        <v>130.17241379310346</v>
      </c>
      <c r="AO63" s="1280">
        <f>+BM!AL71</f>
        <v>128.40340662822385</v>
      </c>
      <c r="AP63" s="1285">
        <f>+BM!AM71</f>
        <v>130.23255813953489</v>
      </c>
      <c r="AQ63" s="1285">
        <f>+BM!AN71</f>
        <v>131.23647581406746</v>
      </c>
      <c r="AR63" s="1290">
        <f>+BM!AO71</f>
        <v>129.95867768595042</v>
      </c>
      <c r="AS63" s="1291">
        <f>+BM!AP71</f>
        <v>133.67984855126139</v>
      </c>
      <c r="AT63" s="1279">
        <f>+BM!AQ71</f>
        <v>130.17241379310346</v>
      </c>
      <c r="AU63" s="1280">
        <f>+BM!AR71</f>
        <v>130.08162543953534</v>
      </c>
      <c r="AV63" s="1290">
        <f>+BM!AS71</f>
        <v>129.98154981549814</v>
      </c>
      <c r="AW63" s="1291">
        <f>+BM!AT71</f>
        <v>133.2840850313942</v>
      </c>
      <c r="AX63" s="1279">
        <f>+BM!AU71</f>
        <v>129.62962962962962</v>
      </c>
      <c r="AY63" s="1280">
        <f>+BM!AV71</f>
        <v>131.70529999663503</v>
      </c>
      <c r="AZ63" s="1290">
        <f>+BM!AW71</f>
        <v>129.9496644295302</v>
      </c>
      <c r="BA63" s="1291">
        <f>+BM!AX71</f>
        <v>133.14063766946128</v>
      </c>
      <c r="BB63" s="1279">
        <f>+BM!AY71</f>
        <v>130.17241379310346</v>
      </c>
      <c r="BC63" s="1280">
        <f>+BM!AZ71</f>
        <v>129.64186935048008</v>
      </c>
      <c r="BD63" s="3914">
        <f>+BM!BA71</f>
        <v>130</v>
      </c>
      <c r="BE63" s="3914">
        <f>+BM!BB71</f>
        <v>130.44196649579888</v>
      </c>
      <c r="BF63" s="1431">
        <f>+BM!BC71</f>
        <v>130.11695906432749</v>
      </c>
      <c r="BG63" s="3919">
        <f>+BM!BD71</f>
        <v>130.81974909639231</v>
      </c>
      <c r="BH63" s="1290">
        <f>+BM!BE71</f>
        <v>129.96941896024464</v>
      </c>
      <c r="BI63" s="1291">
        <f>+BM!BF71</f>
        <v>132.82711497833046</v>
      </c>
    </row>
    <row r="64" spans="3:61" s="183" customFormat="1" x14ac:dyDescent="0.25">
      <c r="C64" s="6145"/>
      <c r="D64" s="1727" t="s">
        <v>112</v>
      </c>
      <c r="E64" s="1728"/>
      <c r="F64" s="1731"/>
      <c r="G64" s="1660"/>
      <c r="H64" s="1473"/>
      <c r="I64" s="1729"/>
      <c r="J64" s="1473"/>
      <c r="K64" s="1729"/>
      <c r="L64" s="1473"/>
      <c r="M64" s="1729"/>
      <c r="N64" s="1473"/>
      <c r="O64" s="1729"/>
      <c r="P64" s="1473"/>
      <c r="Q64" s="1729"/>
      <c r="R64" s="1473"/>
      <c r="S64" s="1729"/>
      <c r="T64" s="1473"/>
      <c r="U64" s="1729"/>
      <c r="V64" s="1473"/>
      <c r="W64" s="1729"/>
      <c r="X64" s="1473"/>
      <c r="Y64" s="1729"/>
      <c r="Z64" s="1473"/>
      <c r="AA64" s="1729"/>
      <c r="AB64" s="1473"/>
      <c r="AC64" s="1473"/>
      <c r="AD64" s="1473"/>
      <c r="AE64" s="3913"/>
      <c r="AF64" s="1473"/>
      <c r="AG64" s="1729"/>
      <c r="AH64" s="1473"/>
      <c r="AI64" s="1729"/>
      <c r="AJ64" s="1473"/>
      <c r="AK64" s="1729"/>
      <c r="AL64" s="1473"/>
      <c r="AM64" s="1729"/>
      <c r="AN64" s="1473"/>
      <c r="AO64" s="1729"/>
      <c r="AP64" s="1473"/>
      <c r="AQ64" s="1473"/>
      <c r="AR64" s="1473"/>
      <c r="AS64" s="1729"/>
      <c r="AT64" s="1473"/>
      <c r="AU64" s="1729"/>
      <c r="AV64" s="1473"/>
      <c r="AW64" s="1729"/>
      <c r="AX64" s="1473"/>
      <c r="AY64" s="1729"/>
      <c r="AZ64" s="1473"/>
      <c r="BA64" s="1729"/>
      <c r="BB64" s="1473"/>
      <c r="BC64" s="1729"/>
      <c r="BD64" s="1729"/>
      <c r="BE64" s="1729"/>
      <c r="BF64" s="1729"/>
      <c r="BG64" s="1729"/>
      <c r="BH64" s="1729"/>
      <c r="BI64" s="1729"/>
    </row>
    <row r="65" spans="3:61" x14ac:dyDescent="0.25">
      <c r="C65" s="6145"/>
      <c r="D65" s="749" t="s">
        <v>1110</v>
      </c>
      <c r="E65" s="771" t="s">
        <v>51</v>
      </c>
      <c r="F65" s="1638">
        <v>93.371871065542948</v>
      </c>
      <c r="G65" s="770">
        <v>94.5</v>
      </c>
      <c r="H65" s="1279">
        <f>+'Maj Techno Summ'!E23</f>
        <v>94.5</v>
      </c>
      <c r="I65" s="1280">
        <f>+'Maj Techno Summ'!F23</f>
        <v>93.240057194215652</v>
      </c>
      <c r="J65" s="1279">
        <f>+'Maj Techno Summ'!G23</f>
        <v>94.5</v>
      </c>
      <c r="K65" s="1280">
        <f>+'Maj Techno Summ'!H23</f>
        <v>93.172235359216458</v>
      </c>
      <c r="L65" s="1290">
        <f>+'Maj Techno Summ'!I23</f>
        <v>94.5</v>
      </c>
      <c r="M65" s="1291">
        <f>+'Maj Techno Summ'!J23</f>
        <v>86.307689710791664</v>
      </c>
      <c r="N65" s="1279">
        <f>+'Maj Techno Summ'!K23</f>
        <v>94.5</v>
      </c>
      <c r="O65" s="1280">
        <f>+'Maj Techno Summ'!L23</f>
        <v>93.333161558090254</v>
      </c>
      <c r="P65" s="1285">
        <f>+'Maj Techno Summ'!M23</f>
        <v>94.5</v>
      </c>
      <c r="Q65" s="1961">
        <f>+'Maj Techno Summ'!N23</f>
        <v>93.247931453128047</v>
      </c>
      <c r="R65" s="1279">
        <f>+'Maj Techno Summ'!O23</f>
        <v>94.5</v>
      </c>
      <c r="S65" s="1280">
        <f>+'Maj Techno Summ'!P23</f>
        <v>93.234016125098975</v>
      </c>
      <c r="T65" s="1290">
        <f>+USM!R75</f>
        <v>94.499999999999986</v>
      </c>
      <c r="U65" s="1291">
        <f>+USM!S75</f>
        <v>86.31257886834635</v>
      </c>
      <c r="V65" s="1279">
        <f>+'Maj Techno Summ'!S23</f>
        <v>94.5</v>
      </c>
      <c r="W65" s="1280">
        <f>+'Maj Techno Summ'!T23</f>
        <v>93.989717136792336</v>
      </c>
      <c r="X65" s="1290">
        <f>+USM!V75</f>
        <v>94.499999999999986</v>
      </c>
      <c r="Y65" s="1291">
        <f>+USM!W75</f>
        <v>88.301363942490099</v>
      </c>
      <c r="Z65" s="1279">
        <f>+'Maj Techno Summ'!W23</f>
        <v>94.5</v>
      </c>
      <c r="AA65" s="1280">
        <f>+'Maj Techno Summ'!X23</f>
        <v>94.27443723927226</v>
      </c>
      <c r="AB65" s="1285">
        <f>+USM!Z75</f>
        <v>94.5</v>
      </c>
      <c r="AC65" s="1285">
        <f>+USM!AA75</f>
        <v>93.862674685616255</v>
      </c>
      <c r="AD65" s="1431">
        <f>+USM!AB75</f>
        <v>94.5</v>
      </c>
      <c r="AE65" s="3919">
        <f>+USM!AC75</f>
        <v>93.587745622722622</v>
      </c>
      <c r="AF65" s="1279">
        <f>+'Maj Techno Summ'!AC23</f>
        <v>94.5</v>
      </c>
      <c r="AG65" s="1280">
        <f>+'Maj Techno Summ'!AD23</f>
        <v>94.011322588621695</v>
      </c>
      <c r="AH65" s="1290">
        <f>+'Maj Techno Summ'!AE23</f>
        <v>94.5</v>
      </c>
      <c r="AI65" s="1291">
        <f>+'Maj Techno Summ'!AF23</f>
        <v>93.654014367677405</v>
      </c>
      <c r="AJ65" s="1279">
        <f>+'Maj Techno Summ'!AG23</f>
        <v>94.5</v>
      </c>
      <c r="AK65" s="1280">
        <f>+'Maj Techno Summ'!AH23</f>
        <v>94.749412344581103</v>
      </c>
      <c r="AL65" s="1290">
        <f>+'Maj Techno Summ'!AI23</f>
        <v>94.5</v>
      </c>
      <c r="AM65" s="1291">
        <f>+'Maj Techno Summ'!AJ23</f>
        <v>93.810843577174012</v>
      </c>
      <c r="AN65" s="1279">
        <f>+'Maj Techno Summ'!AK23</f>
        <v>94.5</v>
      </c>
      <c r="AO65" s="1280">
        <f>+'Maj Techno Summ'!AL23</f>
        <v>95.116565080010588</v>
      </c>
      <c r="AP65" s="1285">
        <f>+USM!AN75</f>
        <v>94.499999999999986</v>
      </c>
      <c r="AQ65" s="1285">
        <f>+USM!AO75</f>
        <v>94.636165546201539</v>
      </c>
      <c r="AR65" s="1290">
        <f>+USM!AP75</f>
        <v>94.5</v>
      </c>
      <c r="AS65" s="1291">
        <f>+USM!AQ75</f>
        <v>93.971804310573006</v>
      </c>
      <c r="AT65" s="1279">
        <f>+USM!AR75</f>
        <v>94.5</v>
      </c>
      <c r="AU65" s="1280">
        <f>+USM!AS75</f>
        <v>95.22292406320868</v>
      </c>
      <c r="AV65" s="1290">
        <f>+USM!AT75</f>
        <v>94.5</v>
      </c>
      <c r="AW65" s="1291">
        <f>+USM!AU75</f>
        <v>94.109506009676764</v>
      </c>
      <c r="AX65" s="1279">
        <f>+USM!AV75</f>
        <v>94.5</v>
      </c>
      <c r="AY65" s="1280">
        <f>+USM!AW75</f>
        <v>94.47748348827885</v>
      </c>
      <c r="AZ65" s="1290">
        <f>+USM!AX75</f>
        <v>94.5</v>
      </c>
      <c r="BA65" s="1291">
        <f>+USM!AY75</f>
        <v>94.147359430017033</v>
      </c>
      <c r="BB65" s="1279">
        <f>+USM!AZ75</f>
        <v>94.5</v>
      </c>
      <c r="BC65" s="1280">
        <f>+USM!BA75</f>
        <v>94.357689149629067</v>
      </c>
      <c r="BD65" s="3914">
        <f>+USM!BB75</f>
        <v>94.499999999999986</v>
      </c>
      <c r="BE65" s="3914">
        <f>+USM!BC75</f>
        <v>94.668830174026652</v>
      </c>
      <c r="BF65" s="1431">
        <f>+USM!BD75</f>
        <v>94.499999999999972</v>
      </c>
      <c r="BG65" s="3919">
        <f>+USM!BE75</f>
        <v>94.653082638272409</v>
      </c>
      <c r="BH65" s="1290">
        <f>+USM!BF75</f>
        <v>94.500000000000014</v>
      </c>
      <c r="BI65" s="1291">
        <f>+USM!BG75</f>
        <v>94.168642194921944</v>
      </c>
    </row>
    <row r="66" spans="3:61" x14ac:dyDescent="0.25">
      <c r="C66" s="6145"/>
      <c r="D66" s="749" t="s">
        <v>1109</v>
      </c>
      <c r="E66" s="771" t="s">
        <v>51</v>
      </c>
      <c r="F66" s="1638">
        <v>68.17523999238459</v>
      </c>
      <c r="G66" s="1652">
        <v>75</v>
      </c>
      <c r="H66" s="1279">
        <f>+USM!F83</f>
        <v>75</v>
      </c>
      <c r="I66" s="1280">
        <f>+USM!G83</f>
        <v>79.231884057970959</v>
      </c>
      <c r="J66" s="1279">
        <f>+USM!H83</f>
        <v>75</v>
      </c>
      <c r="K66" s="1280">
        <f>+USM!I83</f>
        <v>75.944849959448504</v>
      </c>
      <c r="L66" s="1290">
        <f>+USM!J83</f>
        <v>75</v>
      </c>
      <c r="M66" s="1291">
        <f>+USM!K83</f>
        <v>77.680826636050483</v>
      </c>
      <c r="N66" s="1279">
        <f>+USM!L83</f>
        <v>75</v>
      </c>
      <c r="O66" s="1280">
        <f>+USM!M83</f>
        <v>80.061571894241226</v>
      </c>
      <c r="P66" s="1285">
        <f>+USM!N83</f>
        <v>75</v>
      </c>
      <c r="Q66" s="1961">
        <f>+USM!O83</f>
        <v>78.388120729542138</v>
      </c>
      <c r="R66" s="1279">
        <f>+USM!P83</f>
        <v>75</v>
      </c>
      <c r="S66" s="1280">
        <f>+USM!Q83</f>
        <v>79.251668406237144</v>
      </c>
      <c r="T66" s="1290">
        <f>+USM!R83</f>
        <v>75</v>
      </c>
      <c r="U66" s="1291">
        <f>+USM!S83</f>
        <v>78.607328665938709</v>
      </c>
      <c r="V66" s="1279">
        <f>+USM!T83</f>
        <v>75</v>
      </c>
      <c r="W66" s="1280">
        <f>+USM!U83</f>
        <v>83.815028901734095</v>
      </c>
      <c r="X66" s="1290">
        <f>+USM!V83</f>
        <v>75</v>
      </c>
      <c r="Y66" s="1291">
        <f>+USM!W83</f>
        <v>79.826212087668793</v>
      </c>
      <c r="Z66" s="1279">
        <f>+USM!X83</f>
        <v>75</v>
      </c>
      <c r="AA66" s="1280">
        <f>+USM!Y83</f>
        <v>82.786024891288051</v>
      </c>
      <c r="AB66" s="1285">
        <f>+USM!Z83</f>
        <v>75</v>
      </c>
      <c r="AC66" s="1285">
        <f>+USM!AA83</f>
        <v>82.081497155947275</v>
      </c>
      <c r="AD66" s="1431">
        <f>+USM!AB83</f>
        <v>75</v>
      </c>
      <c r="AE66" s="3919">
        <f>+USM!AC83</f>
        <v>80.329868287430401</v>
      </c>
      <c r="AF66" s="1279">
        <f>+USM!AD83</f>
        <v>75</v>
      </c>
      <c r="AG66" s="1280">
        <f>+USM!AE83</f>
        <v>80.120768380225599</v>
      </c>
      <c r="AH66" s="1290">
        <f>+USM!AF83</f>
        <v>75</v>
      </c>
      <c r="AI66" s="1291">
        <f>+USM!AG83</f>
        <v>80.298249899942292</v>
      </c>
      <c r="AJ66" s="1279">
        <f>+USM!AH83</f>
        <v>75</v>
      </c>
      <c r="AK66" s="1280">
        <f>+USM!AI83</f>
        <v>81.597796143250704</v>
      </c>
      <c r="AL66" s="1290">
        <f>+USM!AJ83</f>
        <v>75</v>
      </c>
      <c r="AM66" s="1291">
        <f>+USM!AK83</f>
        <v>80.474819476072611</v>
      </c>
      <c r="AN66" s="1279">
        <f>+USM!AL83</f>
        <v>75</v>
      </c>
      <c r="AO66" s="1280">
        <f>+USM!AM83</f>
        <v>82.984697458935869</v>
      </c>
      <c r="AP66" s="1285">
        <f>+USM!AN83</f>
        <v>75</v>
      </c>
      <c r="AQ66" s="1285">
        <f>+USM!AO83</f>
        <v>81.577498857943112</v>
      </c>
      <c r="AR66" s="1290">
        <f>+USM!AP83</f>
        <v>75</v>
      </c>
      <c r="AS66" s="1291">
        <f>+USM!AQ83</f>
        <v>80.770046284155782</v>
      </c>
      <c r="AT66" s="1279">
        <f>+USM!AR83</f>
        <v>75</v>
      </c>
      <c r="AU66" s="1280">
        <f>+USM!AS83</f>
        <v>77.654320987654344</v>
      </c>
      <c r="AV66" s="1290">
        <f>+USM!AT83</f>
        <v>75</v>
      </c>
      <c r="AW66" s="1291">
        <f>+USM!AU83</f>
        <v>80.435265797605069</v>
      </c>
      <c r="AX66" s="1279">
        <f>+USM!AV83</f>
        <v>75</v>
      </c>
      <c r="AY66" s="1280">
        <f>+USM!AW83</f>
        <v>83.163985323172469</v>
      </c>
      <c r="AZ66" s="1290">
        <f>+USM!AX83</f>
        <v>75</v>
      </c>
      <c r="BA66" s="1291">
        <f>+USM!AY83</f>
        <v>80.693307937985665</v>
      </c>
      <c r="BB66" s="1279">
        <f>+USM!AZ83</f>
        <v>75</v>
      </c>
      <c r="BC66" s="1280">
        <f>+USM!BA83</f>
        <v>85.204991087344013</v>
      </c>
      <c r="BD66" s="3914">
        <f>+USM!BB83</f>
        <v>75</v>
      </c>
      <c r="BE66" s="3914">
        <f>+USM!BC83</f>
        <v>81.997323365176058</v>
      </c>
      <c r="BF66" s="1431">
        <f>+USM!BD83</f>
        <v>75</v>
      </c>
      <c r="BG66" s="3919">
        <f>+USM!BE83</f>
        <v>81.788894166374646</v>
      </c>
      <c r="BH66" s="1290">
        <f>+USM!BF83</f>
        <v>75</v>
      </c>
      <c r="BI66" s="1291">
        <f>+USM!BG83</f>
        <v>81.093472865305785</v>
      </c>
    </row>
    <row r="67" spans="3:61" ht="15.75" thickBot="1" x14ac:dyDescent="0.3">
      <c r="C67" s="6146"/>
      <c r="D67" s="1741" t="s">
        <v>319</v>
      </c>
      <c r="E67" s="1648" t="s">
        <v>559</v>
      </c>
      <c r="F67" s="1742">
        <v>72.378210767795224</v>
      </c>
      <c r="G67" s="1743">
        <v>91.145833333333329</v>
      </c>
      <c r="H67" s="1744">
        <f>+USM!F92</f>
        <v>91.563786008230451</v>
      </c>
      <c r="I67" s="1745">
        <f>+USM!G92</f>
        <v>75.531773184561914</v>
      </c>
      <c r="J67" s="1744">
        <f>+USM!H92</f>
        <v>90.579710144927532</v>
      </c>
      <c r="K67" s="1745">
        <f>+USM!I92</f>
        <v>74.418735583084171</v>
      </c>
      <c r="L67" s="1746">
        <f>+USM!J92</f>
        <v>91.111111111111114</v>
      </c>
      <c r="M67" s="1747">
        <f>+USM!K92</f>
        <v>69.463846290274887</v>
      </c>
      <c r="N67" s="1744">
        <f>+USM!L92</f>
        <v>90.909090909090907</v>
      </c>
      <c r="O67" s="1745">
        <f>+USM!M92</f>
        <v>78.754865415064472</v>
      </c>
      <c r="P67" s="1962">
        <f>+USM!N92</f>
        <v>91.049382716049379</v>
      </c>
      <c r="Q67" s="1963">
        <f>+USM!O92</f>
        <v>76.152092244337666</v>
      </c>
      <c r="R67" s="1744">
        <f>+USM!P92</f>
        <v>91.269841269841265</v>
      </c>
      <c r="S67" s="1745">
        <f>+USM!Q92</f>
        <v>79.500428622740145</v>
      </c>
      <c r="T67" s="1746">
        <f>+USM!R92</f>
        <v>91.111111111111114</v>
      </c>
      <c r="U67" s="1747">
        <f>+USM!S92</f>
        <v>71.284254241269764</v>
      </c>
      <c r="V67" s="1744">
        <f>+USM!T92</f>
        <v>91.269841269841265</v>
      </c>
      <c r="W67" s="1745">
        <f>+USM!U92</f>
        <v>83.296013793103455</v>
      </c>
      <c r="X67" s="1746">
        <f>+USM!V92</f>
        <v>91.145833333333329</v>
      </c>
      <c r="Y67" s="1747">
        <f>+USM!W92</f>
        <v>74.236137650511935</v>
      </c>
      <c r="Z67" s="1744">
        <f>+USM!X92</f>
        <v>91.563786008230451</v>
      </c>
      <c r="AA67" s="1745">
        <f>+USM!Y92</f>
        <v>81.615273320050733</v>
      </c>
      <c r="AB67" s="1962">
        <f>+USM!Z92</f>
        <v>91.365461847389554</v>
      </c>
      <c r="AC67" s="1962">
        <f>+USM!AA92</f>
        <v>81.622652018637211</v>
      </c>
      <c r="AD67" s="3920">
        <f>+USM!AB92</f>
        <v>91.218637992831546</v>
      </c>
      <c r="AE67" s="3921">
        <f>+USM!AC92</f>
        <v>79.090886463547903</v>
      </c>
      <c r="AF67" s="1744">
        <f>+USM!AD92</f>
        <v>91.269841269841265</v>
      </c>
      <c r="AG67" s="1745">
        <f>+USM!AE92</f>
        <v>82.927529495888464</v>
      </c>
      <c r="AH67" s="1746">
        <f>+USM!AF92</f>
        <v>91.226472374013355</v>
      </c>
      <c r="AI67" s="1747">
        <f>+USM!AG92</f>
        <v>79.669750137553805</v>
      </c>
      <c r="AJ67" s="1744">
        <f>+USM!AH92</f>
        <v>91.563786008230451</v>
      </c>
      <c r="AK67" s="1745">
        <f>+USM!AI92</f>
        <v>84.292114193112738</v>
      </c>
      <c r="AL67" s="1746">
        <f>+USM!AJ92</f>
        <v>91.269841269841265</v>
      </c>
      <c r="AM67" s="1747">
        <f>+USM!AK92</f>
        <v>80.306555485065246</v>
      </c>
      <c r="AN67" s="1744">
        <f>+USM!AL92</f>
        <v>91.269841269841265</v>
      </c>
      <c r="AO67" s="1745">
        <f>+USM!AM92</f>
        <v>83.285779732701727</v>
      </c>
      <c r="AP67" s="1962">
        <f>+USM!AN92</f>
        <v>91.365461847389554</v>
      </c>
      <c r="AQ67" s="1962">
        <f>+USM!AO92</f>
        <v>83.512842301910581</v>
      </c>
      <c r="AR67" s="1746">
        <f>+USM!AP92</f>
        <v>91.269841269841265</v>
      </c>
      <c r="AS67" s="1747">
        <f>+USM!AQ92</f>
        <v>80.666598226180383</v>
      </c>
      <c r="AT67" s="1744">
        <f>+USM!AR92</f>
        <v>91.269841269841265</v>
      </c>
      <c r="AU67" s="1745">
        <f>+USM!AS92</f>
        <v>87.344521462639108</v>
      </c>
      <c r="AV67" s="1746">
        <f>+USM!AT92</f>
        <v>91.269841269841265</v>
      </c>
      <c r="AW67" s="1747">
        <f>+USM!AU92</f>
        <v>81.359324282604376</v>
      </c>
      <c r="AX67" s="1744">
        <f>+USM!AV92</f>
        <v>89.743589743589737</v>
      </c>
      <c r="AY67" s="1745">
        <f>+USM!AW92</f>
        <v>86.729475649075184</v>
      </c>
      <c r="AZ67" s="1746">
        <f>+USM!AX92</f>
        <v>91.133942161339419</v>
      </c>
      <c r="BA67" s="1747">
        <f>+USM!AY92</f>
        <v>81.882702975255242</v>
      </c>
      <c r="BB67" s="1744">
        <f>+USM!AZ92</f>
        <v>91.269841269841265</v>
      </c>
      <c r="BC67" s="1745">
        <f>+USM!BA92</f>
        <v>89.899104602510477</v>
      </c>
      <c r="BD67" s="3914">
        <f>+USM!BB92</f>
        <v>90.785907859078591</v>
      </c>
      <c r="BE67" s="3914">
        <f>+USM!BC92</f>
        <v>88.033947095902789</v>
      </c>
      <c r="BF67" s="1431">
        <f>+USM!BD92</f>
        <v>91.07744107744108</v>
      </c>
      <c r="BG67" s="3919">
        <f>+USM!BE92</f>
        <v>85.795167215387693</v>
      </c>
      <c r="BH67" s="1290">
        <f>+USM!BF92</f>
        <v>91.145833333333329</v>
      </c>
      <c r="BI67" s="1291">
        <f>+USM!BG92</f>
        <v>82.629769081305454</v>
      </c>
    </row>
    <row r="68" spans="3:61" x14ac:dyDescent="0.25">
      <c r="C68" s="6144" t="s">
        <v>1114</v>
      </c>
      <c r="D68" s="1642" t="s">
        <v>1514</v>
      </c>
      <c r="E68" s="1643" t="s">
        <v>331</v>
      </c>
      <c r="F68" s="1748">
        <v>6.2012037687729737</v>
      </c>
      <c r="G68" s="1749">
        <v>5.950106223617726</v>
      </c>
      <c r="H68" s="1750">
        <f>+'Maj Techno Summ'!E24</f>
        <v>5.9143822283279146</v>
      </c>
      <c r="I68" s="1751">
        <f>+'Maj Techno Summ'!F24</f>
        <v>6.0968115739280559</v>
      </c>
      <c r="J68" s="1750">
        <f>+'Maj Techno Summ'!G24</f>
        <v>6.1808714585621685</v>
      </c>
      <c r="K68" s="1751">
        <f>+'Maj Techno Summ'!H24</f>
        <v>6.3183195538888874</v>
      </c>
      <c r="L68" s="1752">
        <f>+'Maj Techno Summ'!I24</f>
        <v>6.035558705986686</v>
      </c>
      <c r="M68" s="1753">
        <f>+'Maj Techno Summ'!J24</f>
        <v>6.1978563431418312</v>
      </c>
      <c r="N68" s="1750">
        <f>+'Maj Techno Summ'!K24</f>
        <v>6.0720788055654129</v>
      </c>
      <c r="O68" s="1751">
        <f>+'Maj Techno Summ'!L24</f>
        <v>6.3149177732184221</v>
      </c>
      <c r="P68" s="1964">
        <f>+'Maj Techno Summ'!M24</f>
        <v>6.0467998143125197</v>
      </c>
      <c r="Q68" s="1965">
        <f>+'Maj Techno Summ'!N24</f>
        <v>6.2351670552735978</v>
      </c>
      <c r="R68" s="1750">
        <f>+'Maj Techno Summ'!O24</f>
        <v>6.0152482368724547</v>
      </c>
      <c r="S68" s="1751">
        <f>+'Maj Techno Summ'!P24</f>
        <v>5.8838941694890767</v>
      </c>
      <c r="T68" s="1752">
        <f>+'Maj Techno Summ'!Q24</f>
        <v>6.0380742187465701</v>
      </c>
      <c r="U68" s="1753">
        <f>+'Maj Techno Summ'!R24</f>
        <v>6.1359441409281841</v>
      </c>
      <c r="V68" s="1750">
        <f>+'Maj Techno Summ'!S24</f>
        <v>5.9733636889687629</v>
      </c>
      <c r="W68" s="1751">
        <f>+'Maj Techno Summ'!T24</f>
        <v>6.0500469798965497</v>
      </c>
      <c r="X68" s="1752">
        <f>+'Maj Techno Summ'!U24</f>
        <v>6.0240554118254623</v>
      </c>
      <c r="Y68" s="1753">
        <f>+'Maj Techno Summ'!V24</f>
        <v>6.1187588840862865</v>
      </c>
      <c r="Z68" s="1750">
        <f>+'Maj Techno Summ'!W24</f>
        <v>5.9309414202934763</v>
      </c>
      <c r="AA68" s="1751">
        <f>+'Maj Techno Summ'!X24</f>
        <v>6.1760627567734172</v>
      </c>
      <c r="AB68" s="1964">
        <f>+'Maj Techno Summ'!Y24</f>
        <v>5.9736030517678032</v>
      </c>
      <c r="AC68" s="1964">
        <f>+'Maj Techno Summ'!Z24</f>
        <v>6.03249795209884</v>
      </c>
      <c r="AD68" s="3916">
        <f>+'Maj Techno Summ'!AA24</f>
        <v>6.007878495917371</v>
      </c>
      <c r="AE68" s="3917">
        <f>+'Maj Techno Summ'!AB24</f>
        <v>6.1286045094844148</v>
      </c>
      <c r="AF68" s="1750">
        <f>+'Maj Techno Summ'!AC24</f>
        <v>5.9004368116482926</v>
      </c>
      <c r="AG68" s="1751">
        <f>+'Maj Techno Summ'!AD24</f>
        <v>6.1695582025783215</v>
      </c>
      <c r="AH68" s="1752">
        <f>+'Maj Techno Summ'!AE24</f>
        <v>5.9911607315594226</v>
      </c>
      <c r="AI68" s="1753">
        <f>+'Maj Techno Summ'!AF24</f>
        <v>6.1348401515668138</v>
      </c>
      <c r="AJ68" s="1750">
        <f>+'Maj Techno Summ'!AG24</f>
        <v>5.8998206418045784</v>
      </c>
      <c r="AK68" s="1751">
        <f>+'Maj Techno Summ'!AH24</f>
        <v>6.425784841340243</v>
      </c>
      <c r="AL68" s="1752">
        <f>+'Maj Techno Summ'!AI24</f>
        <v>5.9792113518336949</v>
      </c>
      <c r="AM68" s="1753">
        <f>+'Maj Techno Summ'!AJ24</f>
        <v>6.1686789868340011</v>
      </c>
      <c r="AN68" s="1750">
        <f>+'Maj Techno Summ'!AK24</f>
        <v>5.8956844735941329</v>
      </c>
      <c r="AO68" s="1751">
        <f>+'Maj Techno Summ'!AL24</f>
        <v>6.2687582675246007</v>
      </c>
      <c r="AP68" s="1964">
        <f>+'Maj Techno Summ'!AM24</f>
        <v>5.8986303314273627</v>
      </c>
      <c r="AQ68" s="1964">
        <f>+'Maj Techno Summ'!AN24</f>
        <v>6.2814464397521483</v>
      </c>
      <c r="AR68" s="1752">
        <f>+'Maj Techno Summ'!AO24</f>
        <v>5.9692249194196982</v>
      </c>
      <c r="AS68" s="1753">
        <f>+'Maj Techno Summ'!AP24</f>
        <v>6.1801908561695962</v>
      </c>
      <c r="AT68" s="1750">
        <f>+'Maj Techno Summ'!AQ24</f>
        <v>5.8950877615972912</v>
      </c>
      <c r="AU68" s="1751">
        <f>+'Maj Techno Summ'!AR24</f>
        <v>6.2965609290634514</v>
      </c>
      <c r="AV68" s="1752">
        <f>+'Maj Techno Summ'!AS24</f>
        <v>5.9613076966116854</v>
      </c>
      <c r="AW68" s="1753">
        <f>+'Maj Techno Summ'!AT24</f>
        <v>6.1921377754670353</v>
      </c>
      <c r="AX68" s="1750">
        <f>+'Maj Techno Summ'!AU24</f>
        <v>5.8972032723485617</v>
      </c>
      <c r="AY68" s="1751">
        <f>+'Maj Techno Summ'!AV24</f>
        <v>6.1977894365816137</v>
      </c>
      <c r="AZ68" s="1752">
        <f>+'Maj Techno Summ'!AW24</f>
        <v>5.955511526607812</v>
      </c>
      <c r="BA68" s="1753">
        <f>+'Maj Techno Summ'!AX24</f>
        <v>6.1921637303082955</v>
      </c>
      <c r="BB68" s="1750">
        <f>+'Maj Techno Summ'!AY24</f>
        <v>5.8912713620202481</v>
      </c>
      <c r="BC68" s="1751">
        <f>+'Maj Techno Summ'!AZ24</f>
        <v>6.1937231293367878</v>
      </c>
      <c r="BD68" s="5275">
        <f>+'Maj Techno Summ'!BA24</f>
        <v>5.8944530810376508</v>
      </c>
      <c r="BE68" s="5275">
        <f>+'Maj Techno Summ'!BB24</f>
        <v>6.2294206577805422</v>
      </c>
      <c r="BF68" s="1433">
        <f>+'Maj Techno Summ'!BC24</f>
        <v>5.896550355977932</v>
      </c>
      <c r="BG68" s="3927">
        <f>+'Maj Techno Summ'!BD24</f>
        <v>6.2550659615169106</v>
      </c>
      <c r="BH68" s="1293">
        <f>+'Maj Techno Summ'!BE24</f>
        <v>5.9498028934774796</v>
      </c>
      <c r="BI68" s="1723">
        <f>+'Maj Techno Summ'!BF24</f>
        <v>6.1924446176470314</v>
      </c>
    </row>
    <row r="69" spans="3:61" ht="15.75" thickBot="1" x14ac:dyDescent="0.3">
      <c r="C69" s="6146"/>
      <c r="D69" s="1647" t="s">
        <v>315</v>
      </c>
      <c r="E69" s="1648" t="s">
        <v>375</v>
      </c>
      <c r="F69" s="1649">
        <v>516.74946439793155</v>
      </c>
      <c r="G69" s="1656">
        <v>491.86960781478848</v>
      </c>
      <c r="H69" s="1284">
        <f>+'Maj Techno Summ'!E25</f>
        <v>483.19685622478522</v>
      </c>
      <c r="I69" s="1650">
        <f>+'Maj Techno Summ'!F25</f>
        <v>489.61447510408107</v>
      </c>
      <c r="J69" s="1284">
        <f>+'Maj Techno Summ'!G25</f>
        <v>555.34525437993739</v>
      </c>
      <c r="K69" s="1650">
        <f>+'Maj Techno Summ'!H25</f>
        <v>565.21867890921999</v>
      </c>
      <c r="L69" s="1295">
        <f>+'Maj Techno Summ'!I25</f>
        <v>516.00480553139403</v>
      </c>
      <c r="M69" s="1726">
        <f>+'Maj Techno Summ'!J25</f>
        <v>523.03724703087323</v>
      </c>
      <c r="N69" s="1284">
        <f>+'Maj Techno Summ'!K25</f>
        <v>535.82413718870134</v>
      </c>
      <c r="O69" s="1650">
        <f>+'Maj Techno Summ'!L25</f>
        <v>507.59125351635743</v>
      </c>
      <c r="P69" s="1289">
        <f>+'Maj Techno Summ'!M25</f>
        <v>522.13785333068017</v>
      </c>
      <c r="Q69" s="1970">
        <f>+'Maj Techno Summ'!N25</f>
        <v>517.94360074171357</v>
      </c>
      <c r="R69" s="1284">
        <f>+'Maj Techno Summ'!O25</f>
        <v>488.48180136583608</v>
      </c>
      <c r="S69" s="1650">
        <f>+'Maj Techno Summ'!P25</f>
        <v>486.9995207310314</v>
      </c>
      <c r="T69" s="1295">
        <f>+'Maj Techno Summ'!Q25</f>
        <v>512.83809025721507</v>
      </c>
      <c r="U69" s="1726">
        <f>+'Maj Techno Summ'!R25</f>
        <v>509.24526959083641</v>
      </c>
      <c r="V69" s="1284">
        <f>+'Maj Techno Summ'!S25</f>
        <v>488.0148135474833</v>
      </c>
      <c r="W69" s="1650">
        <f>+'Maj Techno Summ'!T25</f>
        <v>489.8359315594019</v>
      </c>
      <c r="X69" s="1295">
        <f>+'Maj Techno Summ'!U25</f>
        <v>507.46394960416421</v>
      </c>
      <c r="Y69" s="1726">
        <f>+'Maj Techno Summ'!V25</f>
        <v>504.97204502769642</v>
      </c>
      <c r="Z69" s="1284">
        <f>+'Maj Techno Summ'!W25</f>
        <v>488.05175507359507</v>
      </c>
      <c r="AA69" s="1650">
        <f>+'Maj Techno Summ'!X25</f>
        <v>485.68392731048829</v>
      </c>
      <c r="AB69" s="1289">
        <f>+'Maj Techno Summ'!Y25</f>
        <v>488.18411291357648</v>
      </c>
      <c r="AC69" s="1289">
        <f>+'Maj Techno Summ'!Z25</f>
        <v>487.53706901030046</v>
      </c>
      <c r="AD69" s="1435">
        <f>+'Maj Techno Summ'!AA25</f>
        <v>504.09483294185327</v>
      </c>
      <c r="AE69" s="3928">
        <f>+'Maj Techno Summ'!AB25</f>
        <v>501.63071427671952</v>
      </c>
      <c r="AF69" s="1284">
        <f>+'Maj Techno Summ'!AC25</f>
        <v>480.77609220543809</v>
      </c>
      <c r="AG69" s="1650">
        <f>+'Maj Techno Summ'!AD25</f>
        <v>494.44382954063377</v>
      </c>
      <c r="AH69" s="1295">
        <f>+'Maj Techno Summ'!AE25</f>
        <v>500.47309411439693</v>
      </c>
      <c r="AI69" s="1726">
        <f>+'Maj Techno Summ'!AF25</f>
        <v>500.55096956441201</v>
      </c>
      <c r="AJ69" s="1284">
        <f>+'Maj Techno Summ'!AG25</f>
        <v>481.19179163150199</v>
      </c>
      <c r="AK69" s="1650">
        <f>+'Maj Techno Summ'!AH25</f>
        <v>530.33803929049759</v>
      </c>
      <c r="AL69" s="1295">
        <f>+'Maj Techno Summ'!AI25</f>
        <v>497.95179689193952</v>
      </c>
      <c r="AM69" s="1726">
        <f>+'Maj Techno Summ'!AJ25</f>
        <v>504.03020987765672</v>
      </c>
      <c r="AN69" s="1284">
        <f>+'Maj Techno Summ'!AK25</f>
        <v>479.98441619286115</v>
      </c>
      <c r="AO69" s="1650">
        <f>+'Maj Techno Summ'!AL25</f>
        <v>499.38184480261151</v>
      </c>
      <c r="AP69" s="1289">
        <f>+'Maj Techno Summ'!AM25</f>
        <v>480.64404357731053</v>
      </c>
      <c r="AQ69" s="1289">
        <f>+'Maj Techno Summ'!AN25</f>
        <v>507.17280936439607</v>
      </c>
      <c r="AR69" s="1295">
        <f>+'Maj Techno Summ'!AO25</f>
        <v>495.80618742860713</v>
      </c>
      <c r="AS69" s="1726">
        <f>+'Maj Techno Summ'!AP25</f>
        <v>503.49359586673319</v>
      </c>
      <c r="AT69" s="1284">
        <f>+'Maj Techno Summ'!AQ25</f>
        <v>480.51810507099913</v>
      </c>
      <c r="AU69" s="1650">
        <f>+'Maj Techno Summ'!AR25</f>
        <v>494.11668969769664</v>
      </c>
      <c r="AV69" s="1295">
        <f>+'Maj Techno Summ'!AS25</f>
        <v>494.17528849623494</v>
      </c>
      <c r="AW69" s="1726">
        <f>+'Maj Techno Summ'!AT25</f>
        <v>502.51349190666667</v>
      </c>
      <c r="AX69" s="1284">
        <f>+'Maj Techno Summ'!AU25</f>
        <v>481.09641426042771</v>
      </c>
      <c r="AY69" s="1650">
        <f>+'Maj Techno Summ'!AV25</f>
        <v>471.21666350379951</v>
      </c>
      <c r="AZ69" s="1295">
        <f>+'Maj Techno Summ'!AW25</f>
        <v>492.99398823177575</v>
      </c>
      <c r="BA69" s="1726">
        <f>+'Maj Techno Summ'!AX25</f>
        <v>499.60242653404947</v>
      </c>
      <c r="BB69" s="1284">
        <f>+'Maj Techno Summ'!AY25</f>
        <v>480.26804524557411</v>
      </c>
      <c r="BC69" s="1650">
        <f>+'Maj Techno Summ'!AZ25</f>
        <v>493.9928801430047</v>
      </c>
      <c r="BD69" s="5274">
        <f>+'Maj Techno Summ'!BA25</f>
        <v>480.61617474179462</v>
      </c>
      <c r="BE69" s="5274">
        <f>+'Maj Techno Summ'!BB25</f>
        <v>486.51729105608723</v>
      </c>
      <c r="BF69" s="1432">
        <f>+'Maj Techno Summ'!BC25</f>
        <v>480.63017255703653</v>
      </c>
      <c r="BG69" s="3918">
        <f>+'Maj Techno Summ'!BD25</f>
        <v>496.68087004214829</v>
      </c>
      <c r="BH69" s="1292">
        <f>+'Maj Techno Summ'!BE25</f>
        <v>491.86597886404491</v>
      </c>
      <c r="BI69" s="1724">
        <f>+'Maj Techno Summ'!BF25</f>
        <v>499.12040640635269</v>
      </c>
    </row>
    <row r="70" spans="3:61" x14ac:dyDescent="0.25">
      <c r="C70" s="6144" t="s">
        <v>1115</v>
      </c>
      <c r="D70" s="1642" t="s">
        <v>1515</v>
      </c>
      <c r="E70" s="1643" t="s">
        <v>31</v>
      </c>
      <c r="F70" s="1748">
        <v>3.0186531588909742</v>
      </c>
      <c r="G70" s="1749">
        <v>2.85</v>
      </c>
      <c r="H70" s="1750">
        <f>+'Maj Techno Summ'!E27</f>
        <v>2.85</v>
      </c>
      <c r="I70" s="1751">
        <f>+'Maj Techno Summ'!F27</f>
        <v>2.95</v>
      </c>
      <c r="J70" s="1750">
        <f>+'Maj Techno Summ'!G27</f>
        <v>2.85</v>
      </c>
      <c r="K70" s="1751">
        <f>+'Maj Techno Summ'!H27</f>
        <v>3.15</v>
      </c>
      <c r="L70" s="1752">
        <f>+'Maj Techno Summ'!I27</f>
        <v>2.85</v>
      </c>
      <c r="M70" s="1753">
        <f>+'Maj Techno Summ'!J27</f>
        <v>3.0398721112626905</v>
      </c>
      <c r="N70" s="1750">
        <f>+'Maj Techno Summ'!K27</f>
        <v>2.85</v>
      </c>
      <c r="O70" s="1751">
        <f>+'Maj Techno Summ'!L27</f>
        <v>3.07</v>
      </c>
      <c r="P70" s="1964">
        <f>+'Maj Techno Summ'!M27</f>
        <v>2.85</v>
      </c>
      <c r="Q70" s="1965">
        <f>+'Maj Techno Summ'!N27</f>
        <v>3.0496142763056677</v>
      </c>
      <c r="R70" s="1750">
        <f>+'Maj Techno Summ'!O27</f>
        <v>2.85</v>
      </c>
      <c r="S70" s="1751">
        <f>+'Maj Techno Summ'!P27</f>
        <v>3.02</v>
      </c>
      <c r="T70" s="1752">
        <f>+'Maj Techno Summ'!Q27</f>
        <v>2.85</v>
      </c>
      <c r="U70" s="1753">
        <f>+'Maj Techno Summ'!R27</f>
        <v>3.041185773732602</v>
      </c>
      <c r="V70" s="1750">
        <f>+'Maj Techno Summ'!S27</f>
        <v>2.85</v>
      </c>
      <c r="W70" s="1751">
        <f>+'Maj Techno Summ'!T27</f>
        <v>3.04</v>
      </c>
      <c r="X70" s="1752">
        <f>+'Maj Techno Summ'!U27</f>
        <v>2.85</v>
      </c>
      <c r="Y70" s="1753">
        <f>+'Maj Techno Summ'!V27</f>
        <v>3.0409279803191178</v>
      </c>
      <c r="Z70" s="1750">
        <f>+'Maj Techno Summ'!W27</f>
        <v>2.85</v>
      </c>
      <c r="AA70" s="1751">
        <f>+'Maj Techno Summ'!X27</f>
        <v>3.1</v>
      </c>
      <c r="AB70" s="1964">
        <f>+'Maj Techno Summ'!Y27</f>
        <v>2.85</v>
      </c>
      <c r="AC70" s="1964">
        <f>+'Maj Techno Summ'!Z27</f>
        <v>3.052084632998576</v>
      </c>
      <c r="AD70" s="3916">
        <f>+'Maj Techno Summ'!AA27</f>
        <v>2.85</v>
      </c>
      <c r="AE70" s="3917">
        <f>+'Maj Techno Summ'!AB27</f>
        <v>3.0509358926026464</v>
      </c>
      <c r="AF70" s="1750">
        <f>+'Maj Techno Summ'!AC27</f>
        <v>2.85</v>
      </c>
      <c r="AG70" s="1751">
        <f>+'Maj Techno Summ'!AD27</f>
        <v>3.08</v>
      </c>
      <c r="AH70" s="1752">
        <f>+'Maj Techno Summ'!AE27</f>
        <v>2.85</v>
      </c>
      <c r="AI70" s="1753">
        <f>+'Maj Techno Summ'!AF27</f>
        <v>3.0553611672159033</v>
      </c>
      <c r="AJ70" s="1750">
        <f>+'Maj Techno Summ'!AG27</f>
        <v>2.85</v>
      </c>
      <c r="AK70" s="1751">
        <f>+'Maj Techno Summ'!AH27</f>
        <v>3.26</v>
      </c>
      <c r="AL70" s="1752">
        <f>+'Maj Techno Summ'!AI27</f>
        <v>2.85</v>
      </c>
      <c r="AM70" s="1753">
        <f>+'Maj Techno Summ'!AJ27</f>
        <v>3.0790738969024467</v>
      </c>
      <c r="AN70" s="1750">
        <f>+'Maj Techno Summ'!AK27</f>
        <v>2.85</v>
      </c>
      <c r="AO70" s="1751">
        <f>+'Maj Techno Summ'!AL27</f>
        <v>3.09</v>
      </c>
      <c r="AP70" s="1964">
        <f>+'Maj Techno Summ'!AM27</f>
        <v>2.85</v>
      </c>
      <c r="AQ70" s="1964">
        <f>+'Maj Techno Summ'!AN27</f>
        <v>3.1380966372888635</v>
      </c>
      <c r="AR70" s="1752">
        <f>+'Maj Techno Summ'!AO27</f>
        <v>2.85</v>
      </c>
      <c r="AS70" s="1753">
        <f>+'Maj Techno Summ'!AP27</f>
        <v>3.0803401918919193</v>
      </c>
      <c r="AT70" s="1750">
        <f>+'Maj Techno Summ'!AQ27</f>
        <v>2.85</v>
      </c>
      <c r="AU70" s="1751">
        <f>+'Maj Techno Summ'!AR27</f>
        <v>3.06</v>
      </c>
      <c r="AV70" s="1752">
        <f>+'Maj Techno Summ'!AS27</f>
        <v>2.85</v>
      </c>
      <c r="AW70" s="1753">
        <f>+'Maj Techno Summ'!AT27</f>
        <v>3.0782268542162869</v>
      </c>
      <c r="AX70" s="1750">
        <f>+'Maj Techno Summ'!AU27</f>
        <v>2.85</v>
      </c>
      <c r="AY70" s="1751">
        <f>+'Maj Techno Summ'!AV27</f>
        <v>3.07</v>
      </c>
      <c r="AZ70" s="1752">
        <f>+'Maj Techno Summ'!AW27</f>
        <v>2.85</v>
      </c>
      <c r="BA70" s="1753">
        <f>+'Maj Techno Summ'!AX27</f>
        <v>3.0774630937112741</v>
      </c>
      <c r="BB70" s="1750">
        <f>+'Maj Techno Summ'!AY27</f>
        <v>2.85</v>
      </c>
      <c r="BC70" s="1751">
        <f>+'Maj Techno Summ'!AZ27</f>
        <v>3.14</v>
      </c>
      <c r="BD70" s="5275">
        <f>+'Maj Techno Summ'!BA27</f>
        <v>2.85</v>
      </c>
      <c r="BE70" s="5275">
        <f>+'Maj Techno Summ'!BB27</f>
        <v>3.0902345613448059</v>
      </c>
      <c r="BF70" s="1433">
        <f>+'Maj Techno Summ'!BC27</f>
        <v>2.85</v>
      </c>
      <c r="BG70" s="3927">
        <f>+'Maj Techno Summ'!BD27</f>
        <v>3.1138274396204442</v>
      </c>
      <c r="BH70" s="1293">
        <f>+'Maj Techno Summ'!BE27</f>
        <v>2.85</v>
      </c>
      <c r="BI70" s="1723">
        <f>+'Maj Techno Summ'!BF27</f>
        <v>3.0828892276362487</v>
      </c>
    </row>
    <row r="71" spans="3:61" x14ac:dyDescent="0.25">
      <c r="C71" s="6145"/>
      <c r="D71" s="371" t="s">
        <v>376</v>
      </c>
      <c r="E71" s="771" t="s">
        <v>432</v>
      </c>
      <c r="F71" s="1640">
        <v>2.4470555125122435</v>
      </c>
      <c r="G71" s="1655">
        <v>2.375</v>
      </c>
      <c r="H71" s="1282">
        <f>+'Maj Techno Summ'!E28</f>
        <v>2.375</v>
      </c>
      <c r="I71" s="1644">
        <f>+'Maj Techno Summ'!F28</f>
        <v>2.4119364624527146</v>
      </c>
      <c r="J71" s="1282">
        <f>+'Maj Techno Summ'!G28</f>
        <v>2.375</v>
      </c>
      <c r="K71" s="1644">
        <f>+'Maj Techno Summ'!H28</f>
        <v>2.4220973692342853</v>
      </c>
      <c r="L71" s="1293">
        <f>+'Maj Techno Summ'!I28</f>
        <v>2.375</v>
      </c>
      <c r="M71" s="1723">
        <f>+'Maj Techno Summ'!J28</f>
        <v>2.4165023731767303</v>
      </c>
      <c r="N71" s="1282">
        <f>+'Maj Techno Summ'!K28</f>
        <v>2.375</v>
      </c>
      <c r="O71" s="1644">
        <f>+'Maj Techno Summ'!L28</f>
        <v>2.4593055127540779</v>
      </c>
      <c r="P71" s="1287">
        <f>+'Maj Techno Summ'!M28</f>
        <v>2.375</v>
      </c>
      <c r="Q71" s="1973">
        <f>+'Maj Techno Summ'!N28</f>
        <v>2.4303432119343338</v>
      </c>
      <c r="R71" s="1282">
        <f>+'Maj Techno Summ'!O28</f>
        <v>2.375</v>
      </c>
      <c r="S71" s="1644">
        <f>+'Maj Techno Summ'!P28</f>
        <v>2.3670535152382737</v>
      </c>
      <c r="T71" s="1293">
        <f>+'Maj Techno Summ'!Q28</f>
        <v>2.375</v>
      </c>
      <c r="U71" s="1723">
        <f>+'Maj Techno Summ'!R28</f>
        <v>2.4123303668475469</v>
      </c>
      <c r="V71" s="1282">
        <f>+'Maj Techno Summ'!S28</f>
        <v>2.375</v>
      </c>
      <c r="W71" s="1644">
        <f>+'Maj Techno Summ'!T28</f>
        <v>2.423815865094864</v>
      </c>
      <c r="X71" s="1293">
        <f>+'Maj Techno Summ'!U28</f>
        <v>2.375</v>
      </c>
      <c r="Y71" s="1723">
        <f>+'Maj Techno Summ'!V28</f>
        <v>2.414827374259112</v>
      </c>
      <c r="Z71" s="1282">
        <f>+'Maj Techno Summ'!W28</f>
        <v>2.375</v>
      </c>
      <c r="AA71" s="1644">
        <f>+'Maj Techno Summ'!X28</f>
        <v>2.4517133805476963</v>
      </c>
      <c r="AB71" s="1287">
        <f>+'Maj Techno Summ'!Y28</f>
        <v>2.375</v>
      </c>
      <c r="AC71" s="1287">
        <f>+'Maj Techno Summ'!Z28</f>
        <v>2.413022042256721</v>
      </c>
      <c r="AD71" s="1433">
        <f>+'Maj Techno Summ'!AA28</f>
        <v>2.375</v>
      </c>
      <c r="AE71" s="3927">
        <f>+'Maj Techno Summ'!AB28</f>
        <v>2.4210765581776585</v>
      </c>
      <c r="AF71" s="1282">
        <f>+'Maj Techno Summ'!AC28</f>
        <v>2.375</v>
      </c>
      <c r="AG71" s="1644">
        <f>+'Maj Techno Summ'!AD28</f>
        <v>2.4494083825126194</v>
      </c>
      <c r="AH71" s="1293">
        <f>+'Maj Techno Summ'!AE28</f>
        <v>2.375</v>
      </c>
      <c r="AI71" s="1723">
        <f>+'Maj Techno Summ'!AF28</f>
        <v>2.4253903360364673</v>
      </c>
      <c r="AJ71" s="1282">
        <f>+'Maj Techno Summ'!AG28</f>
        <v>2.375</v>
      </c>
      <c r="AK71" s="1644">
        <f>+'Maj Techno Summ'!AH28</f>
        <v>2.5126795179660841</v>
      </c>
      <c r="AL71" s="1293">
        <f>+'Maj Techno Summ'!AI28</f>
        <v>2.375</v>
      </c>
      <c r="AM71" s="1723">
        <f>+'Maj Techno Summ'!AJ28</f>
        <v>2.4355050574092201</v>
      </c>
      <c r="AN71" s="1282">
        <f>+'Maj Techno Summ'!AK28</f>
        <v>2.375</v>
      </c>
      <c r="AO71" s="1644">
        <f>+'Maj Techno Summ'!AL28</f>
        <v>2.4288937934317434</v>
      </c>
      <c r="AP71" s="1287">
        <f>+'Maj Techno Summ'!AM28</f>
        <v>2.375</v>
      </c>
      <c r="AQ71" s="1287">
        <f>+'Maj Techno Summ'!AN28</f>
        <v>2.4615745250436118</v>
      </c>
      <c r="AR71" s="1293">
        <f>+'Maj Techno Summ'!AO28</f>
        <v>2.375</v>
      </c>
      <c r="AS71" s="1723">
        <f>+'Maj Techno Summ'!AP28</f>
        <v>2.4347388363353373</v>
      </c>
      <c r="AT71" s="1282">
        <f>+'Maj Techno Summ'!AQ28</f>
        <v>2.375</v>
      </c>
      <c r="AU71" s="1644">
        <f>+'Maj Techno Summ'!AR28</f>
        <v>2.4203245468385148</v>
      </c>
      <c r="AV71" s="1293">
        <f>+'Maj Techno Summ'!AS28</f>
        <v>2.375</v>
      </c>
      <c r="AW71" s="1723">
        <f>+'Maj Techno Summ'!AT28</f>
        <v>2.433241197511526</v>
      </c>
      <c r="AX71" s="1282">
        <f>+'Maj Techno Summ'!AU28</f>
        <v>2.375</v>
      </c>
      <c r="AY71" s="1644">
        <f>+'Maj Techno Summ'!AV28</f>
        <v>2.4305683705785919</v>
      </c>
      <c r="AZ71" s="1293">
        <f>+'Maj Techno Summ'!AW28</f>
        <v>2.375</v>
      </c>
      <c r="BA71" s="1723">
        <f>+'Maj Techno Summ'!AX28</f>
        <v>2.4329930589649518</v>
      </c>
      <c r="BB71" s="1282">
        <f>+'Maj Techno Summ'!AY28</f>
        <v>2.375</v>
      </c>
      <c r="BC71" s="1644">
        <f>+'Maj Techno Summ'!AZ28</f>
        <v>2.3704818643653831</v>
      </c>
      <c r="BD71" s="5276">
        <f>+'Maj Techno Summ'!BA28</f>
        <v>2.375</v>
      </c>
      <c r="BE71" s="5275">
        <f>+'Maj Techno Summ'!BB28</f>
        <v>2.4069089141328948</v>
      </c>
      <c r="BF71" s="1434">
        <f>+'Maj Techno Summ'!BC28</f>
        <v>2.375</v>
      </c>
      <c r="BG71" s="3927">
        <f>+'Maj Techno Summ'!BD28</f>
        <v>2.4338554909087837</v>
      </c>
      <c r="BH71" s="1294">
        <f>+'Maj Techno Summ'!BE28</f>
        <v>2.375</v>
      </c>
      <c r="BI71" s="1723">
        <f>+'Maj Techno Summ'!BF28</f>
        <v>2.4275691559637163</v>
      </c>
    </row>
    <row r="72" spans="3:61" ht="15.75" thickBot="1" x14ac:dyDescent="0.3">
      <c r="C72" s="6146"/>
      <c r="D72" s="1647" t="s">
        <v>377</v>
      </c>
      <c r="E72" s="1648" t="s">
        <v>433</v>
      </c>
      <c r="F72" s="1782">
        <v>0.52806819520607939</v>
      </c>
      <c r="G72" s="1783">
        <v>0.53</v>
      </c>
      <c r="H72" s="1784">
        <f>+'Maj Techno Summ'!E29</f>
        <v>0.53</v>
      </c>
      <c r="I72" s="1785">
        <f>+'Maj Techno Summ'!F29</f>
        <v>0.54</v>
      </c>
      <c r="J72" s="1784">
        <f>+'Maj Techno Summ'!G29</f>
        <v>0.53</v>
      </c>
      <c r="K72" s="1785">
        <f>+'Maj Techno Summ'!H29</f>
        <v>0.61</v>
      </c>
      <c r="L72" s="1786">
        <f>+'Maj Techno Summ'!I29</f>
        <v>0.53</v>
      </c>
      <c r="M72" s="1787">
        <f>+'Maj Techno Summ'!J29</f>
        <v>0.57145523894194172</v>
      </c>
      <c r="N72" s="1784">
        <f>+'Maj Techno Summ'!K29</f>
        <v>0.53</v>
      </c>
      <c r="O72" s="1785">
        <f>+'Maj Techno Summ'!L29</f>
        <v>0.56000000000000005</v>
      </c>
      <c r="P72" s="1974">
        <f>+'Maj Techno Summ'!M29</f>
        <v>0.53</v>
      </c>
      <c r="Q72" s="1975">
        <f>+'Maj Techno Summ'!N29</f>
        <v>0.56775106871772896</v>
      </c>
      <c r="R72" s="1784">
        <f>+'Maj Techno Summ'!O29</f>
        <v>0.53</v>
      </c>
      <c r="S72" s="1785">
        <f>+'Maj Techno Summ'!P29</f>
        <v>0.53</v>
      </c>
      <c r="T72" s="1786">
        <f>+'Maj Techno Summ'!Q29</f>
        <v>0.53</v>
      </c>
      <c r="U72" s="1787">
        <f>+'Maj Techno Summ'!R29</f>
        <v>0.55700675821899603</v>
      </c>
      <c r="V72" s="1784">
        <f>+'Maj Techno Summ'!S29</f>
        <v>0.53</v>
      </c>
      <c r="W72" s="1785">
        <f>+'Maj Techno Summ'!T29</f>
        <v>0.52</v>
      </c>
      <c r="X72" s="1786">
        <f>+'Maj Techno Summ'!U29</f>
        <v>0.53</v>
      </c>
      <c r="Y72" s="1787">
        <f>+'Maj Techno Summ'!V29</f>
        <v>0.54896129536130822</v>
      </c>
      <c r="Z72" s="1784">
        <f>+'Maj Techno Summ'!W29</f>
        <v>0.53</v>
      </c>
      <c r="AA72" s="1785">
        <f>+'Maj Techno Summ'!X29</f>
        <v>0.51</v>
      </c>
      <c r="AB72" s="1974">
        <f>+'Maj Techno Summ'!Y29</f>
        <v>0.53</v>
      </c>
      <c r="AC72" s="1974">
        <f>+'Maj Techno Summ'!Z29</f>
        <v>0.52029121516446408</v>
      </c>
      <c r="AD72" s="3933">
        <f>+'Maj Techno Summ'!AA29</f>
        <v>0.53</v>
      </c>
      <c r="AE72" s="3934">
        <f>+'Maj Techno Summ'!AB29</f>
        <v>0.54236051840235111</v>
      </c>
      <c r="AF72" s="1784">
        <f>+'Maj Techno Summ'!AC29</f>
        <v>0.53</v>
      </c>
      <c r="AG72" s="1785">
        <f>+'Maj Techno Summ'!AD29</f>
        <v>0.49</v>
      </c>
      <c r="AH72" s="1786">
        <f>+'Maj Techno Summ'!AE29</f>
        <v>0.53</v>
      </c>
      <c r="AI72" s="1787">
        <f>+'Maj Techno Summ'!AF29</f>
        <v>0.53438815339368129</v>
      </c>
      <c r="AJ72" s="1784">
        <f>+'Maj Techno Summ'!AG29</f>
        <v>0.53</v>
      </c>
      <c r="AK72" s="1785">
        <f>+'Maj Techno Summ'!AH29</f>
        <v>0.59</v>
      </c>
      <c r="AL72" s="1786">
        <f>+'Maj Techno Summ'!AI29</f>
        <v>0.53</v>
      </c>
      <c r="AM72" s="1787">
        <f>+'Maj Techno Summ'!AJ29</f>
        <v>0.54083223181225026</v>
      </c>
      <c r="AN72" s="1784">
        <f>+'Maj Techno Summ'!AK29</f>
        <v>0.53</v>
      </c>
      <c r="AO72" s="1785">
        <f>+'Maj Techno Summ'!AL29</f>
        <v>0.55000000000000004</v>
      </c>
      <c r="AP72" s="1974">
        <f>+'Maj Techno Summ'!AM29</f>
        <v>0.53</v>
      </c>
      <c r="AQ72" s="1974">
        <f>+'Maj Techno Summ'!AN29</f>
        <v>0.54097985657400705</v>
      </c>
      <c r="AR72" s="1786">
        <f>+'Maj Techno Summ'!AO29</f>
        <v>0.53</v>
      </c>
      <c r="AS72" s="1787">
        <f>+'Maj Techno Summ'!AP29</f>
        <v>0.54189474228072598</v>
      </c>
      <c r="AT72" s="1784">
        <f>+'Maj Techno Summ'!AQ29</f>
        <v>0.53</v>
      </c>
      <c r="AU72" s="1785">
        <f>+'Maj Techno Summ'!AR29</f>
        <v>0.54</v>
      </c>
      <c r="AV72" s="1786">
        <f>+'Maj Techno Summ'!AS29</f>
        <v>0.53</v>
      </c>
      <c r="AW72" s="1787">
        <f>+'Maj Techno Summ'!AT29</f>
        <v>0.54169787932737978</v>
      </c>
      <c r="AX72" s="1784">
        <f>+'Maj Techno Summ'!AU29</f>
        <v>0.53</v>
      </c>
      <c r="AY72" s="1785">
        <f>+'Maj Techno Summ'!AV29</f>
        <v>0.52</v>
      </c>
      <c r="AZ72" s="1786">
        <f>+'Maj Techno Summ'!AW29</f>
        <v>0.53</v>
      </c>
      <c r="BA72" s="1787">
        <f>+'Maj Techno Summ'!AX29</f>
        <v>0.53968350264862752</v>
      </c>
      <c r="BB72" s="1784">
        <f>+'Maj Techno Summ'!AY29</f>
        <v>0.53</v>
      </c>
      <c r="BC72" s="1785">
        <f>+'Maj Techno Summ'!AZ29</f>
        <v>0.48</v>
      </c>
      <c r="BD72" s="5275">
        <f>+'Maj Techno Summ'!BA29</f>
        <v>0.53</v>
      </c>
      <c r="BE72" s="5275">
        <f>+'Maj Techno Summ'!BB29</f>
        <v>0.51321042986029464</v>
      </c>
      <c r="BF72" s="1433">
        <f>+'Maj Techno Summ'!BC29</f>
        <v>0.53</v>
      </c>
      <c r="BG72" s="3927">
        <f>+'Maj Techno Summ'!BD29</f>
        <v>0.52689894401932635</v>
      </c>
      <c r="BH72" s="1293">
        <f>+'Maj Techno Summ'!BE29</f>
        <v>0.53</v>
      </c>
      <c r="BI72" s="1723">
        <f>+'Maj Techno Summ'!BF29</f>
        <v>0.53450494973160534</v>
      </c>
    </row>
    <row r="73" spans="3:61" ht="16.5" thickBot="1" x14ac:dyDescent="0.3">
      <c r="C73" s="1773" t="s">
        <v>1116</v>
      </c>
      <c r="D73" s="1774" t="s">
        <v>554</v>
      </c>
      <c r="E73" s="1775" t="s">
        <v>555</v>
      </c>
      <c r="F73" s="1776">
        <v>639.11266207165545</v>
      </c>
      <c r="G73" s="1777">
        <v>729.20663969962038</v>
      </c>
      <c r="H73" s="1778">
        <f>+'Maj Techno Summ'!E30</f>
        <v>733.68441937035834</v>
      </c>
      <c r="I73" s="1779">
        <f>+'Maj Techno Summ'!F30</f>
        <v>706.87214862261612</v>
      </c>
      <c r="J73" s="1778">
        <f>+'Maj Techno Summ'!G30</f>
        <v>593.83961232700108</v>
      </c>
      <c r="K73" s="1779">
        <f>+'Maj Techno Summ'!H30</f>
        <v>561.06798598529622</v>
      </c>
      <c r="L73" s="1780">
        <f>+'Maj Techno Summ'!I30</f>
        <v>662.68777751067148</v>
      </c>
      <c r="M73" s="1781">
        <f>+'Maj Techno Summ'!J30</f>
        <v>632.86743278009408</v>
      </c>
      <c r="N73" s="1778">
        <f>+'Maj Techno Summ'!K30</f>
        <v>614.6074036225815</v>
      </c>
      <c r="O73" s="1779">
        <f>+'Maj Techno Summ'!L30</f>
        <v>632.8211948793753</v>
      </c>
      <c r="P73" s="1976">
        <f>+'Maj Techno Summ'!M30</f>
        <v>646.89178771838408</v>
      </c>
      <c r="Q73" s="1977">
        <f>+'Maj Techno Summ'!N30</f>
        <v>632.85438233681828</v>
      </c>
      <c r="R73" s="1778">
        <f>+'Maj Techno Summ'!O30</f>
        <v>727.93528825910494</v>
      </c>
      <c r="S73" s="1779">
        <f>+'Maj Techno Summ'!P30</f>
        <v>737.45225160957762</v>
      </c>
      <c r="T73" s="1780">
        <f>+'Maj Techno Summ'!Q30</f>
        <v>667.31080082726248</v>
      </c>
      <c r="U73" s="1781">
        <f>+'Maj Techno Summ'!R30</f>
        <v>659.24828209504551</v>
      </c>
      <c r="V73" s="1778">
        <f>+'Maj Techno Summ'!S30</f>
        <v>731.74646777878741</v>
      </c>
      <c r="W73" s="1779">
        <f>+'Maj Techno Summ'!T30</f>
        <v>724.05812263876783</v>
      </c>
      <c r="X73" s="1780">
        <f>+'Maj Techno Summ'!U30</f>
        <v>680.21508583660193</v>
      </c>
      <c r="Y73" s="1781">
        <f>+'Maj Techno Summ'!V30</f>
        <v>672.22846574976836</v>
      </c>
      <c r="Z73" s="1778">
        <f>+'Maj Techno Summ'!W30</f>
        <v>736.37235965874424</v>
      </c>
      <c r="AA73" s="1779">
        <f>+'Maj Techno Summ'!X30</f>
        <v>705.44449931412896</v>
      </c>
      <c r="AB73" s="1976">
        <f>+'Maj Techno Summ'!Y30</f>
        <v>730.21398676958313</v>
      </c>
      <c r="AC73" s="1976">
        <f>+'Maj Techno Summ'!Z30</f>
        <v>722.60278427290382</v>
      </c>
      <c r="AD73" s="3932">
        <f>+'Maj Techno Summ'!AA30</f>
        <v>689.34426560793918</v>
      </c>
      <c r="AE73" s="3932">
        <f>+'Maj Techno Summ'!AB30</f>
        <v>677.63375626066932</v>
      </c>
      <c r="AF73" s="1778">
        <f>+'Maj Techno Summ'!AC30</f>
        <v>759.08777141404482</v>
      </c>
      <c r="AG73" s="1779">
        <f>+'Maj Techno Summ'!AD30</f>
        <v>724.73124778447368</v>
      </c>
      <c r="AH73" s="1780">
        <f>+'Maj Techno Summ'!AE30</f>
        <v>699.29230706960789</v>
      </c>
      <c r="AI73" s="1781">
        <f>+'Maj Techno Summ'!AF30</f>
        <v>684.35750582447099</v>
      </c>
      <c r="AJ73" s="1778">
        <f>+'Maj Techno Summ'!AG30</f>
        <v>761.14635895801075</v>
      </c>
      <c r="AK73" s="1779">
        <f>+'Maj Techno Summ'!AH30</f>
        <v>652.02347908520676</v>
      </c>
      <c r="AL73" s="1780">
        <f>+'Maj Techno Summ'!AI30</f>
        <v>706.81231473358093</v>
      </c>
      <c r="AM73" s="1781">
        <f>+'Maj Techno Summ'!AJ30</f>
        <v>680.48869254474914</v>
      </c>
      <c r="AN73" s="1778">
        <f>+'Maj Techno Summ'!AK30</f>
        <v>770.30963422984564</v>
      </c>
      <c r="AO73" s="1779">
        <f>+'Maj Techno Summ'!AL30</f>
        <v>713.26261071580143</v>
      </c>
      <c r="AP73" s="1976">
        <f>+'Maj Techno Summ'!AM30</f>
        <v>763.50619759307415</v>
      </c>
      <c r="AQ73" s="1976">
        <f>+'Maj Techno Summ'!AN30</f>
        <v>697.27869811651669</v>
      </c>
      <c r="AR73" s="1780">
        <f>+'Maj Techno Summ'!AO30</f>
        <v>713.80726305820349</v>
      </c>
      <c r="AS73" s="1781">
        <f>+'Maj Techno Summ'!AP30</f>
        <v>684.0991894715936</v>
      </c>
      <c r="AT73" s="1778">
        <f>+'Maj Techno Summ'!AQ30</f>
        <v>774.8766873972163</v>
      </c>
      <c r="AU73" s="1779">
        <f>+'Maj Techno Summ'!AR30</f>
        <v>734.08071426597019</v>
      </c>
      <c r="AV73" s="1780">
        <f>+'Maj Techno Summ'!AS30</f>
        <v>719.83058851208557</v>
      </c>
      <c r="AW73" s="1781">
        <f>+'Maj Techno Summ'!AT30</f>
        <v>688.91700717704009</v>
      </c>
      <c r="AX73" s="1778">
        <f>+'Maj Techno Summ'!AU30</f>
        <v>773.79309083554392</v>
      </c>
      <c r="AY73" s="1779">
        <f>+'Maj Techno Summ'!AV30</f>
        <v>742.78803941427577</v>
      </c>
      <c r="AZ73" s="1780">
        <f>+'Maj Techno Summ'!AW30</f>
        <v>724.47281716238444</v>
      </c>
      <c r="BA73" s="1781">
        <f>+'Maj Techno Summ'!AX30</f>
        <v>693.57841682601168</v>
      </c>
      <c r="BB73" s="1778">
        <f>+'Maj Techno Summ'!AY30</f>
        <v>781.99528622585251</v>
      </c>
      <c r="BC73" s="1779">
        <f>+'Maj Techno Summ'!AZ30</f>
        <v>712.3621125806452</v>
      </c>
      <c r="BD73" s="5274">
        <f>+'Maj Techno Summ'!BA30</f>
        <v>776.96072886787294</v>
      </c>
      <c r="BE73" s="5274">
        <f>+'Maj Techno Summ'!BB30</f>
        <v>729.18411324534043</v>
      </c>
      <c r="BF73" s="1432">
        <f>+'Maj Techno Summ'!BC30</f>
        <v>770.17806532340603</v>
      </c>
      <c r="BG73" s="3918">
        <f>+'Maj Techno Summ'!BD30</f>
        <v>713.10911836053458</v>
      </c>
      <c r="BH73" s="1292">
        <f>+'Maj Techno Summ'!BE30</f>
        <v>729.20663969961981</v>
      </c>
      <c r="BI73" s="1724">
        <f>+'Maj Techno Summ'!BF30</f>
        <v>695.16314963675404</v>
      </c>
    </row>
    <row r="74" spans="3:61" x14ac:dyDescent="0.25">
      <c r="T74" s="183"/>
      <c r="U74" s="183"/>
    </row>
  </sheetData>
  <mergeCells count="36">
    <mergeCell ref="C70:C72"/>
    <mergeCell ref="C4:C5"/>
    <mergeCell ref="X4:Y4"/>
    <mergeCell ref="C37:C45"/>
    <mergeCell ref="C47:C55"/>
    <mergeCell ref="H4:I4"/>
    <mergeCell ref="J4:K4"/>
    <mergeCell ref="N4:O4"/>
    <mergeCell ref="L4:M4"/>
    <mergeCell ref="C6:C27"/>
    <mergeCell ref="C28:C36"/>
    <mergeCell ref="P4:Q4"/>
    <mergeCell ref="C68:C69"/>
    <mergeCell ref="C56:C67"/>
    <mergeCell ref="BB4:BC4"/>
    <mergeCell ref="AR4:AS4"/>
    <mergeCell ref="BF4:BG4"/>
    <mergeCell ref="AD4:AE4"/>
    <mergeCell ref="AX4:AY4"/>
    <mergeCell ref="AL4:AM4"/>
    <mergeCell ref="C3:BI3"/>
    <mergeCell ref="BH4:BI4"/>
    <mergeCell ref="Z4:AA4"/>
    <mergeCell ref="R4:S4"/>
    <mergeCell ref="AN4:AO4"/>
    <mergeCell ref="AP4:AQ4"/>
    <mergeCell ref="V4:W4"/>
    <mergeCell ref="T4:U4"/>
    <mergeCell ref="AB4:AC4"/>
    <mergeCell ref="AF4:AG4"/>
    <mergeCell ref="AH4:AI4"/>
    <mergeCell ref="AJ4:AK4"/>
    <mergeCell ref="AZ4:BA4"/>
    <mergeCell ref="AT4:AU4"/>
    <mergeCell ref="AV4:AW4"/>
    <mergeCell ref="BD4:BE4"/>
  </mergeCells>
  <printOptions horizontalCentered="1" verticalCentered="1"/>
  <pageMargins left="0" right="0" top="0" bottom="0" header="0" footer="0"/>
  <pageSetup paperSize="9" scale="54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6">
    <tabColor rgb="FF00FF00"/>
    <pageSetUpPr fitToPage="1"/>
  </sheetPr>
  <dimension ref="A1:BK219"/>
  <sheetViews>
    <sheetView zoomScaleNormal="100" workbookViewId="0">
      <pane xSplit="3" topLeftCell="AC1" activePane="topRight" state="frozen"/>
      <selection pane="topRight" activeCell="BG187" sqref="BG187"/>
    </sheetView>
  </sheetViews>
  <sheetFormatPr defaultRowHeight="15.75" x14ac:dyDescent="0.25"/>
  <cols>
    <col min="2" max="2" width="79.140625" bestFit="1" customWidth="1"/>
    <col min="3" max="3" width="24.7109375" customWidth="1"/>
    <col min="4" max="4" width="5.42578125" hidden="1" customWidth="1"/>
    <col min="5" max="5" width="10.85546875" bestFit="1" customWidth="1"/>
    <col min="6" max="6" width="10" hidden="1" customWidth="1"/>
    <col min="7" max="7" width="10.7109375" customWidth="1"/>
    <col min="8" max="8" width="10" hidden="1" customWidth="1"/>
    <col min="9" max="9" width="10.7109375" hidden="1" customWidth="1"/>
    <col min="10" max="10" width="10" hidden="1" customWidth="1"/>
    <col min="11" max="11" width="10.7109375" customWidth="1"/>
    <col min="12" max="12" width="10" hidden="1" customWidth="1"/>
    <col min="13" max="13" width="10.85546875" style="186" bestFit="1" customWidth="1"/>
    <col min="14" max="14" width="10" hidden="1" customWidth="1"/>
    <col min="15" max="15" width="10.7109375" customWidth="1"/>
    <col min="16" max="16" width="10" hidden="1" customWidth="1"/>
    <col min="17" max="17" width="10.7109375" hidden="1" customWidth="1"/>
    <col min="18" max="18" width="10" hidden="1" customWidth="1"/>
    <col min="19" max="19" width="10.7109375" customWidth="1"/>
    <col min="20" max="20" width="10" hidden="1" customWidth="1"/>
    <col min="21" max="21" width="12.28515625" hidden="1" customWidth="1"/>
    <col min="22" max="22" width="10" hidden="1" customWidth="1"/>
    <col min="23" max="23" width="10.7109375" customWidth="1"/>
    <col min="24" max="24" width="10" hidden="1" customWidth="1"/>
    <col min="25" max="25" width="10.85546875" style="186" bestFit="1" customWidth="1"/>
    <col min="26" max="26" width="10" hidden="1" customWidth="1"/>
    <col min="27" max="27" width="12.42578125" bestFit="1" customWidth="1"/>
    <col min="28" max="28" width="9.140625" hidden="1" customWidth="1"/>
    <col min="29" max="29" width="10.85546875" bestFit="1" customWidth="1"/>
    <col min="30" max="30" width="10" hidden="1" customWidth="1"/>
    <col min="31" max="31" width="12.28515625" hidden="1" customWidth="1"/>
    <col min="32" max="32" width="9.140625" hidden="1" customWidth="1"/>
    <col min="33" max="33" width="10.85546875" bestFit="1" customWidth="1"/>
    <col min="34" max="34" width="9.140625" hidden="1" customWidth="1"/>
    <col min="35" max="35" width="12.28515625" hidden="1" customWidth="1"/>
    <col min="36" max="36" width="9.140625" hidden="1" customWidth="1"/>
    <col min="37" max="37" width="10.85546875" bestFit="1" customWidth="1"/>
    <col min="38" max="38" width="9.140625" hidden="1" customWidth="1"/>
    <col min="39" max="39" width="10.85546875" bestFit="1" customWidth="1"/>
    <col min="40" max="40" width="9.140625" hidden="1" customWidth="1"/>
    <col min="41" max="41" width="12.28515625" hidden="1" customWidth="1"/>
    <col min="42" max="42" width="9.140625" hidden="1" customWidth="1"/>
    <col min="43" max="43" width="9.28515625" bestFit="1" customWidth="1"/>
    <col min="44" max="44" width="9.140625" hidden="1" customWidth="1"/>
    <col min="45" max="45" width="12.28515625" hidden="1" customWidth="1"/>
    <col min="46" max="46" width="9.140625" hidden="1" customWidth="1"/>
    <col min="47" max="47" width="9.28515625" bestFit="1" customWidth="1"/>
    <col min="48" max="48" width="9.140625" hidden="1" customWidth="1"/>
    <col min="49" max="49" width="12.28515625" style="34" hidden="1" customWidth="1"/>
    <col min="50" max="50" width="9.140625" hidden="1" customWidth="1"/>
    <col min="51" max="51" width="10.5703125" bestFit="1" customWidth="1"/>
    <col min="52" max="52" width="9.140625" style="5183" hidden="1" customWidth="1"/>
    <col min="53" max="53" width="10.85546875" style="5183" bestFit="1" customWidth="1"/>
    <col min="54" max="54" width="9.140625" style="5183" hidden="1" customWidth="1"/>
    <col min="55" max="55" width="12" style="5183" bestFit="1" customWidth="1"/>
    <col min="56" max="56" width="9.140625" hidden="1" customWidth="1"/>
    <col min="57" max="57" width="12.42578125" bestFit="1" customWidth="1"/>
  </cols>
  <sheetData>
    <row r="1" spans="1:63" hidden="1" x14ac:dyDescent="0.25">
      <c r="B1" s="323"/>
      <c r="E1" s="673"/>
      <c r="F1" s="673"/>
      <c r="I1" s="756"/>
      <c r="J1" s="183"/>
      <c r="M1" s="3627"/>
      <c r="N1" s="183"/>
      <c r="Q1" s="756"/>
      <c r="R1" s="183"/>
      <c r="U1" s="756"/>
      <c r="V1" s="183"/>
      <c r="W1" s="3399"/>
      <c r="X1" s="26"/>
      <c r="Y1" s="3627"/>
      <c r="AA1" s="545"/>
    </row>
    <row r="2" spans="1:63" ht="43.5" customHeight="1" thickBot="1" x14ac:dyDescent="0.3">
      <c r="A2" s="183"/>
      <c r="B2" s="6163" t="s">
        <v>1162</v>
      </c>
      <c r="C2" s="6163"/>
      <c r="D2" s="6163"/>
      <c r="E2" s="6163"/>
      <c r="F2" s="6163"/>
      <c r="G2" s="6163"/>
      <c r="H2" s="6163"/>
      <c r="I2" s="6163"/>
      <c r="J2" s="6163"/>
      <c r="K2" s="6163"/>
      <c r="L2" s="6163"/>
      <c r="M2" s="6163"/>
      <c r="N2" s="6163"/>
      <c r="O2" s="6163"/>
      <c r="P2" s="6163"/>
      <c r="Q2" s="6163"/>
      <c r="R2" s="6163"/>
      <c r="S2" s="6163"/>
      <c r="T2" s="6163"/>
      <c r="U2" s="6163"/>
      <c r="V2" s="6163"/>
      <c r="W2" s="6163"/>
      <c r="X2" s="6163"/>
      <c r="Y2" s="6163"/>
      <c r="Z2" s="6163"/>
      <c r="AA2" s="6163"/>
    </row>
    <row r="3" spans="1:63" ht="16.5" thickBot="1" x14ac:dyDescent="0.3">
      <c r="B3" s="6164" t="s">
        <v>175</v>
      </c>
      <c r="C3" s="6061" t="s">
        <v>176</v>
      </c>
      <c r="D3" s="6045" t="s">
        <v>1470</v>
      </c>
      <c r="E3" s="6063"/>
      <c r="F3" s="6045" t="s">
        <v>1526</v>
      </c>
      <c r="G3" s="6045"/>
      <c r="H3" s="6167" t="s">
        <v>15</v>
      </c>
      <c r="I3" s="6168"/>
      <c r="J3" s="6076" t="s">
        <v>1620</v>
      </c>
      <c r="K3" s="6077"/>
      <c r="L3" s="6169" t="s">
        <v>658</v>
      </c>
      <c r="M3" s="6170"/>
      <c r="N3" s="6076" t="s">
        <v>1688</v>
      </c>
      <c r="O3" s="6077"/>
      <c r="P3" s="6154" t="s">
        <v>18</v>
      </c>
      <c r="Q3" s="6047"/>
      <c r="R3" s="6076" t="s">
        <v>1731</v>
      </c>
      <c r="S3" s="6077"/>
      <c r="T3" s="6154" t="s">
        <v>19</v>
      </c>
      <c r="U3" s="6047"/>
      <c r="V3" s="6045" t="s">
        <v>1766</v>
      </c>
      <c r="W3" s="6045"/>
      <c r="X3" s="6169" t="s">
        <v>682</v>
      </c>
      <c r="Y3" s="6170"/>
      <c r="Z3" s="6143" t="s">
        <v>679</v>
      </c>
      <c r="AA3" s="6075"/>
      <c r="AB3" s="6076" t="s">
        <v>1831</v>
      </c>
      <c r="AC3" s="6077"/>
      <c r="AD3" s="6154" t="s">
        <v>26</v>
      </c>
      <c r="AE3" s="6047"/>
      <c r="AF3" s="6076" t="s">
        <v>1863</v>
      </c>
      <c r="AG3" s="6077"/>
      <c r="AH3" s="6154" t="s">
        <v>29</v>
      </c>
      <c r="AI3" s="6047"/>
      <c r="AJ3" s="6045" t="s">
        <v>1888</v>
      </c>
      <c r="AK3" s="6045"/>
      <c r="AL3" s="6100" t="s">
        <v>684</v>
      </c>
      <c r="AM3" s="6079"/>
      <c r="AN3" s="6154" t="s">
        <v>1890</v>
      </c>
      <c r="AO3" s="6047"/>
      <c r="AP3" s="6076" t="s">
        <v>1918</v>
      </c>
      <c r="AQ3" s="6077"/>
      <c r="AR3" s="6154" t="s">
        <v>30</v>
      </c>
      <c r="AS3" s="6047"/>
      <c r="AT3" s="6076" t="s">
        <v>1940</v>
      </c>
      <c r="AU3" s="6077"/>
      <c r="AV3" s="6154" t="s">
        <v>32</v>
      </c>
      <c r="AW3" s="6047"/>
      <c r="AX3" s="6076" t="s">
        <v>1965</v>
      </c>
      <c r="AY3" s="6077"/>
      <c r="AZ3" s="6100" t="s">
        <v>685</v>
      </c>
      <c r="BA3" s="6079"/>
      <c r="BB3" s="6143" t="s">
        <v>693</v>
      </c>
      <c r="BC3" s="6075"/>
      <c r="BD3" s="6154" t="s">
        <v>1513</v>
      </c>
      <c r="BE3" s="6047"/>
    </row>
    <row r="4" spans="1:63" ht="16.5" thickBot="1" x14ac:dyDescent="0.3">
      <c r="B4" s="6165"/>
      <c r="C4" s="6166"/>
      <c r="D4" s="667" t="s">
        <v>177</v>
      </c>
      <c r="E4" s="191" t="s">
        <v>178</v>
      </c>
      <c r="F4" s="667" t="s">
        <v>177</v>
      </c>
      <c r="G4" s="214" t="s">
        <v>178</v>
      </c>
      <c r="H4" s="2347" t="s">
        <v>177</v>
      </c>
      <c r="I4" s="2260" t="s">
        <v>178</v>
      </c>
      <c r="J4" s="1296" t="s">
        <v>177</v>
      </c>
      <c r="K4" s="214" t="s">
        <v>178</v>
      </c>
      <c r="L4" s="3607" t="s">
        <v>177</v>
      </c>
      <c r="M4" s="3608" t="s">
        <v>178</v>
      </c>
      <c r="N4" s="1296" t="s">
        <v>177</v>
      </c>
      <c r="O4" s="214" t="s">
        <v>178</v>
      </c>
      <c r="P4" s="179" t="s">
        <v>177</v>
      </c>
      <c r="Q4" s="199" t="s">
        <v>178</v>
      </c>
      <c r="R4" s="1296" t="s">
        <v>177</v>
      </c>
      <c r="S4" s="214" t="s">
        <v>178</v>
      </c>
      <c r="T4" s="179" t="s">
        <v>177</v>
      </c>
      <c r="U4" s="199" t="s">
        <v>178</v>
      </c>
      <c r="V4" s="1296" t="s">
        <v>177</v>
      </c>
      <c r="W4" s="3569" t="s">
        <v>178</v>
      </c>
      <c r="X4" s="5181" t="s">
        <v>177</v>
      </c>
      <c r="Y4" s="3608" t="s">
        <v>178</v>
      </c>
      <c r="Z4" s="561" t="s">
        <v>177</v>
      </c>
      <c r="AA4" s="561" t="s">
        <v>178</v>
      </c>
      <c r="AB4" s="1296" t="s">
        <v>177</v>
      </c>
      <c r="AC4" s="214" t="s">
        <v>178</v>
      </c>
      <c r="AD4" s="4045" t="s">
        <v>177</v>
      </c>
      <c r="AE4" s="199" t="s">
        <v>178</v>
      </c>
      <c r="AF4" s="1296" t="s">
        <v>177</v>
      </c>
      <c r="AG4" s="214" t="s">
        <v>178</v>
      </c>
      <c r="AH4" s="4158" t="s">
        <v>177</v>
      </c>
      <c r="AI4" s="199" t="s">
        <v>178</v>
      </c>
      <c r="AJ4" s="1296" t="s">
        <v>177</v>
      </c>
      <c r="AK4" s="4287" t="s">
        <v>178</v>
      </c>
      <c r="AL4" s="4270" t="s">
        <v>177</v>
      </c>
      <c r="AM4" s="3608" t="s">
        <v>178</v>
      </c>
      <c r="AN4" s="4271" t="s">
        <v>177</v>
      </c>
      <c r="AO4" s="199" t="s">
        <v>178</v>
      </c>
      <c r="AP4" s="1296" t="s">
        <v>177</v>
      </c>
      <c r="AQ4" s="214" t="s">
        <v>178</v>
      </c>
      <c r="AR4" s="4391" t="s">
        <v>177</v>
      </c>
      <c r="AS4" s="199" t="s">
        <v>178</v>
      </c>
      <c r="AT4" s="1296" t="s">
        <v>177</v>
      </c>
      <c r="AU4" s="214" t="s">
        <v>178</v>
      </c>
      <c r="AV4" s="4627" t="s">
        <v>177</v>
      </c>
      <c r="AW4" s="199" t="s">
        <v>178</v>
      </c>
      <c r="AX4" s="1296" t="s">
        <v>177</v>
      </c>
      <c r="AY4" s="214" t="s">
        <v>178</v>
      </c>
      <c r="AZ4" s="5179" t="s">
        <v>177</v>
      </c>
      <c r="BA4" s="3608" t="s">
        <v>178</v>
      </c>
      <c r="BB4" s="561" t="s">
        <v>177</v>
      </c>
      <c r="BC4" s="561" t="s">
        <v>178</v>
      </c>
      <c r="BD4" s="5180" t="s">
        <v>177</v>
      </c>
      <c r="BE4" s="199" t="s">
        <v>178</v>
      </c>
    </row>
    <row r="5" spans="1:63" ht="25.5" x14ac:dyDescent="0.25">
      <c r="A5" s="183"/>
      <c r="B5" s="4240" t="s">
        <v>1878</v>
      </c>
      <c r="C5" s="241"/>
      <c r="D5" s="274"/>
      <c r="E5" s="4261">
        <f>+E6+E12+E14+E19</f>
        <v>1921.85</v>
      </c>
      <c r="F5" s="719"/>
      <c r="G5" s="4261">
        <f>+G6+G12+G14+G19</f>
        <v>4260.5199999999995</v>
      </c>
      <c r="H5" s="2261"/>
      <c r="I5" s="2261">
        <f>+E5+G5</f>
        <v>6182.369999999999</v>
      </c>
      <c r="J5" s="1411"/>
      <c r="K5" s="4261">
        <f>+K6+K12+K14+K19</f>
        <v>1412.02</v>
      </c>
      <c r="L5" s="969"/>
      <c r="M5" s="969">
        <f>+E5+G5+K5</f>
        <v>7594.3899999999994</v>
      </c>
      <c r="N5" s="1411"/>
      <c r="O5" s="4261">
        <f>+O6+O12+O14+O19</f>
        <v>1785.3700000000001</v>
      </c>
      <c r="P5" s="4022"/>
      <c r="Q5" s="4022">
        <f>+O5+G5+E5</f>
        <v>7967.74</v>
      </c>
      <c r="R5" s="1411"/>
      <c r="S5" s="4261">
        <f>+S6+S12+S14+S19</f>
        <v>1518.5299999999997</v>
      </c>
      <c r="T5" s="3615"/>
      <c r="U5" s="3615">
        <f>+S5+O5+E5</f>
        <v>5225.75</v>
      </c>
      <c r="V5" s="1297"/>
      <c r="W5" s="4261">
        <f>+W6+W12+W14+W19</f>
        <v>2496.4500000000003</v>
      </c>
      <c r="X5" s="969"/>
      <c r="Y5" s="969">
        <f>+O5+S5+W5</f>
        <v>5800.35</v>
      </c>
      <c r="Z5" s="564"/>
      <c r="AA5" s="625">
        <f>M5+Y5</f>
        <v>13394.74</v>
      </c>
      <c r="AB5" s="3616"/>
      <c r="AC5" s="4261">
        <f>+AC6+AC12+AC14+AC19</f>
        <v>2994.67</v>
      </c>
      <c r="AD5" s="4022"/>
      <c r="AE5" s="4022">
        <f>+AC5+W5+S5+K5+E5</f>
        <v>10343.52</v>
      </c>
      <c r="AF5" s="3616"/>
      <c r="AG5" s="4261">
        <f>+AG6+AG12+AG14+AG19</f>
        <v>2457.0600000000004</v>
      </c>
      <c r="AH5" s="4022"/>
      <c r="AI5" s="4022">
        <f>+AC5+W5+S5+O5+K5+E5+G5+AG5</f>
        <v>18846.47</v>
      </c>
      <c r="AJ5" s="4286"/>
      <c r="AK5" s="4261">
        <f>+AK6+AK12+AK14+AK19</f>
        <v>1302.0999999999999</v>
      </c>
      <c r="AL5" s="717"/>
      <c r="AM5" s="969">
        <f>+AC5+AG5+AK5</f>
        <v>6753.83</v>
      </c>
      <c r="AN5" s="4022"/>
      <c r="AO5" s="4022">
        <f>AI5+AK5</f>
        <v>20148.57</v>
      </c>
      <c r="AP5" s="3616"/>
      <c r="AQ5" s="4261">
        <f>+AQ6+AQ12+AQ14+AQ19</f>
        <v>2913.0599999999995</v>
      </c>
      <c r="AR5" s="4022"/>
      <c r="AS5" s="4022">
        <f t="shared" ref="AS5:AS19" si="0">+AO5+AQ5</f>
        <v>23061.629999999997</v>
      </c>
      <c r="AT5" s="3616"/>
      <c r="AU5" s="4261">
        <f>+AU6+AU12+AU14+AU19</f>
        <v>2516.6000000000004</v>
      </c>
      <c r="AV5" s="4022"/>
      <c r="AW5" s="311">
        <f t="shared" ref="AW5:AW19" si="1">+AS5+AU5</f>
        <v>25578.229999999996</v>
      </c>
      <c r="AX5" s="3616"/>
      <c r="AY5" s="4261">
        <f>+AY6+AY12+AY14+AY19</f>
        <v>5071.7</v>
      </c>
      <c r="AZ5" s="717"/>
      <c r="BA5" s="969">
        <f>+AQ5+AU5+AY5</f>
        <v>10501.36</v>
      </c>
      <c r="BB5" s="564"/>
      <c r="BC5" s="625">
        <f>BA5+AM5</f>
        <v>17255.190000000002</v>
      </c>
      <c r="BD5" s="4022"/>
      <c r="BE5" s="311">
        <f t="shared" ref="BE5:BE19" si="2">+AW5+AY5</f>
        <v>30649.929999999997</v>
      </c>
      <c r="BF5" s="26"/>
      <c r="BG5" s="26"/>
    </row>
    <row r="6" spans="1:63" ht="23.25" x14ac:dyDescent="0.25">
      <c r="A6" s="183"/>
      <c r="B6" s="5347" t="s">
        <v>1431</v>
      </c>
      <c r="C6" s="193" t="s">
        <v>361</v>
      </c>
      <c r="D6" s="719"/>
      <c r="E6" s="4258">
        <f>+E7+E8</f>
        <v>1300.9100000000001</v>
      </c>
      <c r="F6" s="4258">
        <f t="shared" ref="F6:AG6" si="3">+F7+F8</f>
        <v>0</v>
      </c>
      <c r="G6" s="4258">
        <f t="shared" si="3"/>
        <v>2406.12</v>
      </c>
      <c r="H6" s="4257"/>
      <c r="I6" s="2261">
        <f t="shared" ref="I6:I19" si="4">+E6+G6</f>
        <v>3707.0299999999997</v>
      </c>
      <c r="J6" s="4258">
        <f t="shared" si="3"/>
        <v>0</v>
      </c>
      <c r="K6" s="4258">
        <f t="shared" si="3"/>
        <v>1412.02</v>
      </c>
      <c r="L6" s="1732"/>
      <c r="M6" s="969">
        <f t="shared" ref="M6:M19" si="5">+E6+G6+K6</f>
        <v>5119.0499999999993</v>
      </c>
      <c r="N6" s="4258">
        <f t="shared" si="3"/>
        <v>0</v>
      </c>
      <c r="O6" s="4258">
        <f t="shared" si="3"/>
        <v>1585.38</v>
      </c>
      <c r="P6" s="2150"/>
      <c r="Q6" s="4022">
        <f t="shared" ref="Q6:Q19" si="6">+O6+G6+E6</f>
        <v>5292.41</v>
      </c>
      <c r="R6" s="4258">
        <f t="shared" si="3"/>
        <v>0</v>
      </c>
      <c r="S6" s="4258">
        <f t="shared" si="3"/>
        <v>1518.5299999999997</v>
      </c>
      <c r="T6" s="4257"/>
      <c r="U6" s="3615">
        <f t="shared" ref="U6:U19" si="7">+S6+O6+E6</f>
        <v>4404.82</v>
      </c>
      <c r="V6" s="4258">
        <f t="shared" si="3"/>
        <v>0</v>
      </c>
      <c r="W6" s="4258">
        <f t="shared" si="3"/>
        <v>1916.96</v>
      </c>
      <c r="X6" s="1732"/>
      <c r="Y6" s="969">
        <f t="shared" ref="Y6:Y70" si="8">+O6+S6+W6</f>
        <v>5020.87</v>
      </c>
      <c r="Z6" s="564"/>
      <c r="AA6" s="625">
        <f t="shared" ref="AA6:AA70" si="9">M6+Y6</f>
        <v>10139.919999999998</v>
      </c>
      <c r="AB6" s="4258">
        <f t="shared" si="3"/>
        <v>0</v>
      </c>
      <c r="AC6" s="4258">
        <f t="shared" si="3"/>
        <v>2526.1800000000003</v>
      </c>
      <c r="AD6" s="2150"/>
      <c r="AE6" s="4022">
        <f t="shared" ref="AE6:AE19" si="10">+AC6+W6+S6+K6+E6</f>
        <v>8674.6</v>
      </c>
      <c r="AF6" s="4258">
        <f t="shared" si="3"/>
        <v>0</v>
      </c>
      <c r="AG6" s="4258">
        <f t="shared" si="3"/>
        <v>1765.8600000000001</v>
      </c>
      <c r="AH6" s="2150"/>
      <c r="AI6" s="4022">
        <f t="shared" ref="AI6:AI19" si="11">+AC6+W6+S6+O6+K6+E6+G6+AG6</f>
        <v>14431.96</v>
      </c>
      <c r="AJ6" s="4258">
        <f t="shared" ref="AJ6:AK6" si="12">+AJ7+AJ8</f>
        <v>0</v>
      </c>
      <c r="AK6" s="4258">
        <f t="shared" si="12"/>
        <v>1302.0999999999999</v>
      </c>
      <c r="AL6" s="4260"/>
      <c r="AM6" s="969">
        <f t="shared" ref="AM6:AM70" si="13">+AC6+AG6+AK6</f>
        <v>5594.1400000000012</v>
      </c>
      <c r="AN6" s="2150"/>
      <c r="AO6" s="4022">
        <f t="shared" ref="AO6:AO73" si="14">AI6+AK6</f>
        <v>15734.06</v>
      </c>
      <c r="AP6" s="4258">
        <f t="shared" ref="AP6:AQ6" si="15">+AP7+AP8</f>
        <v>0</v>
      </c>
      <c r="AQ6" s="4258">
        <f t="shared" si="15"/>
        <v>2913.0599999999995</v>
      </c>
      <c r="AR6" s="2150"/>
      <c r="AS6" s="4022">
        <f t="shared" si="0"/>
        <v>18647.12</v>
      </c>
      <c r="AT6" s="4258">
        <f t="shared" ref="AT6:AU6" si="16">+AT7+AT8</f>
        <v>0</v>
      </c>
      <c r="AU6" s="4258">
        <f t="shared" si="16"/>
        <v>1262.6400000000001</v>
      </c>
      <c r="AV6" s="2150"/>
      <c r="AW6" s="311">
        <f t="shared" si="1"/>
        <v>19909.759999999998</v>
      </c>
      <c r="AX6" s="4258">
        <f t="shared" ref="AX6:AY6" si="17">+AX7+AX8</f>
        <v>0</v>
      </c>
      <c r="AY6" s="4258">
        <f t="shared" si="17"/>
        <v>3796.96</v>
      </c>
      <c r="AZ6" s="4260"/>
      <c r="BA6" s="969">
        <f t="shared" ref="BA6:BA70" si="18">+AQ6+AU6+AY6</f>
        <v>7972.66</v>
      </c>
      <c r="BB6" s="564"/>
      <c r="BC6" s="625">
        <f>BA6+AM6</f>
        <v>13566.800000000001</v>
      </c>
      <c r="BD6" s="2150"/>
      <c r="BE6" s="311">
        <f t="shared" si="2"/>
        <v>23706.719999999998</v>
      </c>
      <c r="BF6" s="26"/>
      <c r="BG6" s="26"/>
    </row>
    <row r="7" spans="1:63" s="4237" customFormat="1" ht="18.75" x14ac:dyDescent="0.25">
      <c r="A7" s="183"/>
      <c r="B7" s="637" t="s">
        <v>1882</v>
      </c>
      <c r="C7" s="193" t="s">
        <v>361</v>
      </c>
      <c r="D7" s="719"/>
      <c r="E7" s="748">
        <v>1300.9100000000001</v>
      </c>
      <c r="F7" s="748"/>
      <c r="G7" s="748">
        <v>0</v>
      </c>
      <c r="H7" s="2261"/>
      <c r="I7" s="2261">
        <f t="shared" si="4"/>
        <v>1300.9100000000001</v>
      </c>
      <c r="J7" s="748"/>
      <c r="K7" s="748">
        <v>0</v>
      </c>
      <c r="L7" s="969"/>
      <c r="M7" s="969">
        <f t="shared" si="5"/>
        <v>1300.9100000000001</v>
      </c>
      <c r="N7" s="748"/>
      <c r="O7" s="748">
        <v>0</v>
      </c>
      <c r="P7" s="4022"/>
      <c r="Q7" s="4022">
        <f t="shared" si="6"/>
        <v>1300.9100000000001</v>
      </c>
      <c r="R7" s="748"/>
      <c r="S7" s="748">
        <v>1518.5299999999997</v>
      </c>
      <c r="T7" s="3615"/>
      <c r="U7" s="3615">
        <f t="shared" si="7"/>
        <v>2819.4399999999996</v>
      </c>
      <c r="V7" s="748"/>
      <c r="W7" s="748">
        <v>1916.96</v>
      </c>
      <c r="X7" s="969"/>
      <c r="Y7" s="969">
        <f t="shared" si="8"/>
        <v>3435.49</v>
      </c>
      <c r="Z7" s="564"/>
      <c r="AA7" s="625">
        <f t="shared" si="9"/>
        <v>4736.3999999999996</v>
      </c>
      <c r="AB7" s="748"/>
      <c r="AC7" s="748">
        <v>0</v>
      </c>
      <c r="AD7" s="4022"/>
      <c r="AE7" s="4022">
        <f t="shared" si="10"/>
        <v>4736.3999999999996</v>
      </c>
      <c r="AF7" s="748"/>
      <c r="AG7" s="748">
        <v>0</v>
      </c>
      <c r="AH7" s="4022"/>
      <c r="AI7" s="4022">
        <f t="shared" si="11"/>
        <v>4736.3999999999996</v>
      </c>
      <c r="AJ7" s="748"/>
      <c r="AK7" s="748"/>
      <c r="AL7" s="717"/>
      <c r="AM7" s="969">
        <f t="shared" si="13"/>
        <v>0</v>
      </c>
      <c r="AN7" s="4022"/>
      <c r="AO7" s="4022">
        <f t="shared" si="14"/>
        <v>4736.3999999999996</v>
      </c>
      <c r="AP7" s="748"/>
      <c r="AQ7" s="748">
        <v>0</v>
      </c>
      <c r="AR7" s="4022"/>
      <c r="AS7" s="4022">
        <f t="shared" si="0"/>
        <v>4736.3999999999996</v>
      </c>
      <c r="AT7" s="748"/>
      <c r="AU7" s="748">
        <v>0</v>
      </c>
      <c r="AV7" s="4022"/>
      <c r="AW7" s="311">
        <f t="shared" si="1"/>
        <v>4736.3999999999996</v>
      </c>
      <c r="AX7" s="748"/>
      <c r="AY7" s="748">
        <v>0</v>
      </c>
      <c r="AZ7" s="717"/>
      <c r="BA7" s="969">
        <f t="shared" si="18"/>
        <v>0</v>
      </c>
      <c r="BB7" s="564"/>
      <c r="BC7" s="625">
        <f t="shared" ref="BC7:BC71" si="19">BA7+AM7</f>
        <v>0</v>
      </c>
      <c r="BD7" s="4022"/>
      <c r="BE7" s="311">
        <f t="shared" si="2"/>
        <v>4736.3999999999996</v>
      </c>
      <c r="BF7" s="26"/>
      <c r="BG7" s="26"/>
    </row>
    <row r="8" spans="1:63" s="4237" customFormat="1" ht="18.75" x14ac:dyDescent="0.25">
      <c r="A8" s="183"/>
      <c r="B8" s="637" t="s">
        <v>1881</v>
      </c>
      <c r="C8" s="193" t="s">
        <v>361</v>
      </c>
      <c r="D8" s="719"/>
      <c r="E8" s="748">
        <f>+E9+E10</f>
        <v>0</v>
      </c>
      <c r="F8" s="748">
        <f t="shared" ref="F8:AG8" si="20">+F9+F10</f>
        <v>0</v>
      </c>
      <c r="G8" s="748">
        <f t="shared" si="20"/>
        <v>2406.12</v>
      </c>
      <c r="H8" s="2261"/>
      <c r="I8" s="2261">
        <f t="shared" si="4"/>
        <v>2406.12</v>
      </c>
      <c r="J8" s="748">
        <f t="shared" si="20"/>
        <v>0</v>
      </c>
      <c r="K8" s="748">
        <f t="shared" si="20"/>
        <v>1412.02</v>
      </c>
      <c r="L8" s="969"/>
      <c r="M8" s="969">
        <f t="shared" si="5"/>
        <v>3818.14</v>
      </c>
      <c r="N8" s="748">
        <f t="shared" si="20"/>
        <v>0</v>
      </c>
      <c r="O8" s="748">
        <f t="shared" si="20"/>
        <v>1585.38</v>
      </c>
      <c r="P8" s="4022"/>
      <c r="Q8" s="4022">
        <f t="shared" si="6"/>
        <v>3991.5</v>
      </c>
      <c r="R8" s="748">
        <f t="shared" si="20"/>
        <v>0</v>
      </c>
      <c r="S8" s="748">
        <f t="shared" si="20"/>
        <v>0</v>
      </c>
      <c r="T8" s="3615"/>
      <c r="U8" s="3615">
        <f t="shared" si="7"/>
        <v>1585.38</v>
      </c>
      <c r="V8" s="748">
        <f t="shared" si="20"/>
        <v>0</v>
      </c>
      <c r="W8" s="748">
        <f t="shared" si="20"/>
        <v>0</v>
      </c>
      <c r="X8" s="969"/>
      <c r="Y8" s="969">
        <f t="shared" si="8"/>
        <v>1585.38</v>
      </c>
      <c r="Z8" s="564"/>
      <c r="AA8" s="625">
        <f t="shared" si="9"/>
        <v>5403.52</v>
      </c>
      <c r="AB8" s="748">
        <f t="shared" si="20"/>
        <v>0</v>
      </c>
      <c r="AC8" s="748">
        <f t="shared" si="20"/>
        <v>2526.1800000000003</v>
      </c>
      <c r="AD8" s="4022"/>
      <c r="AE8" s="4022">
        <f t="shared" si="10"/>
        <v>3938.2000000000003</v>
      </c>
      <c r="AF8" s="748">
        <f t="shared" si="20"/>
        <v>0</v>
      </c>
      <c r="AG8" s="748">
        <f t="shared" si="20"/>
        <v>1765.8600000000001</v>
      </c>
      <c r="AH8" s="4022"/>
      <c r="AI8" s="4022">
        <f t="shared" si="11"/>
        <v>9695.56</v>
      </c>
      <c r="AJ8" s="748">
        <f t="shared" ref="AJ8:AK8" si="21">+AJ9+AJ10</f>
        <v>0</v>
      </c>
      <c r="AK8" s="748">
        <f t="shared" si="21"/>
        <v>1302.0999999999999</v>
      </c>
      <c r="AL8" s="717"/>
      <c r="AM8" s="969">
        <f t="shared" si="13"/>
        <v>5594.1400000000012</v>
      </c>
      <c r="AN8" s="4022"/>
      <c r="AO8" s="4022">
        <f t="shared" si="14"/>
        <v>10997.66</v>
      </c>
      <c r="AP8" s="748">
        <f t="shared" ref="AP8:AQ8" si="22">+AP9+AP10</f>
        <v>0</v>
      </c>
      <c r="AQ8" s="748">
        <f t="shared" si="22"/>
        <v>2913.0599999999995</v>
      </c>
      <c r="AR8" s="4022"/>
      <c r="AS8" s="4022">
        <f t="shared" si="0"/>
        <v>13910.72</v>
      </c>
      <c r="AT8" s="748">
        <f t="shared" ref="AT8:AU8" si="23">+AT9+AT10</f>
        <v>0</v>
      </c>
      <c r="AU8" s="748">
        <f t="shared" si="23"/>
        <v>1262.6400000000001</v>
      </c>
      <c r="AV8" s="4022"/>
      <c r="AW8" s="311">
        <f t="shared" si="1"/>
        <v>15173.359999999999</v>
      </c>
      <c r="AX8" s="748">
        <f t="shared" ref="AX8:AY8" si="24">+AX9+AX10</f>
        <v>0</v>
      </c>
      <c r="AY8" s="748">
        <f t="shared" si="24"/>
        <v>3796.96</v>
      </c>
      <c r="AZ8" s="717"/>
      <c r="BA8" s="969">
        <f t="shared" si="18"/>
        <v>7972.66</v>
      </c>
      <c r="BB8" s="564"/>
      <c r="BC8" s="625">
        <f t="shared" si="19"/>
        <v>13566.800000000001</v>
      </c>
      <c r="BD8" s="4022"/>
      <c r="BE8" s="311">
        <f t="shared" si="2"/>
        <v>18970.32</v>
      </c>
      <c r="BF8" s="26"/>
      <c r="BG8" s="26"/>
    </row>
    <row r="9" spans="1:63" s="4237" customFormat="1" ht="18.75" x14ac:dyDescent="0.25">
      <c r="A9" s="183"/>
      <c r="B9" s="4241" t="s">
        <v>1826</v>
      </c>
      <c r="C9" s="193" t="s">
        <v>361</v>
      </c>
      <c r="D9" s="748"/>
      <c r="E9" s="719">
        <v>0</v>
      </c>
      <c r="F9" s="719"/>
      <c r="G9" s="719">
        <v>2406.12</v>
      </c>
      <c r="H9" s="2261"/>
      <c r="I9" s="2261">
        <f t="shared" si="4"/>
        <v>2406.12</v>
      </c>
      <c r="J9" s="719"/>
      <c r="K9" s="719">
        <v>1412.02</v>
      </c>
      <c r="L9" s="969"/>
      <c r="M9" s="969">
        <f t="shared" si="5"/>
        <v>3818.14</v>
      </c>
      <c r="N9" s="719"/>
      <c r="O9" s="719">
        <v>0</v>
      </c>
      <c r="P9" s="4022"/>
      <c r="Q9" s="4022">
        <f t="shared" si="6"/>
        <v>2406.12</v>
      </c>
      <c r="R9" s="719"/>
      <c r="S9" s="719">
        <v>0</v>
      </c>
      <c r="T9" s="3615"/>
      <c r="U9" s="3615">
        <f t="shared" si="7"/>
        <v>0</v>
      </c>
      <c r="V9" s="719"/>
      <c r="W9" s="719">
        <v>0</v>
      </c>
      <c r="X9" s="969"/>
      <c r="Y9" s="969">
        <f t="shared" si="8"/>
        <v>0</v>
      </c>
      <c r="Z9" s="564"/>
      <c r="AA9" s="625">
        <f t="shared" si="9"/>
        <v>3818.14</v>
      </c>
      <c r="AB9" s="719"/>
      <c r="AC9" s="719">
        <v>1260.8000000000002</v>
      </c>
      <c r="AD9" s="4022"/>
      <c r="AE9" s="4022">
        <f t="shared" si="10"/>
        <v>2672.82</v>
      </c>
      <c r="AF9" s="719"/>
      <c r="AG9" s="719">
        <v>508.62</v>
      </c>
      <c r="AH9" s="4022"/>
      <c r="AI9" s="4022">
        <f t="shared" si="11"/>
        <v>5587.56</v>
      </c>
      <c r="AJ9" s="719"/>
      <c r="AK9" s="719"/>
      <c r="AL9" s="717"/>
      <c r="AM9" s="969">
        <f t="shared" si="13"/>
        <v>1769.42</v>
      </c>
      <c r="AN9" s="4022"/>
      <c r="AO9" s="4022">
        <f t="shared" si="14"/>
        <v>5587.56</v>
      </c>
      <c r="AP9" s="719"/>
      <c r="AQ9" s="719">
        <v>1264.1999999999998</v>
      </c>
      <c r="AR9" s="4022"/>
      <c r="AS9" s="4022">
        <f t="shared" si="0"/>
        <v>6851.76</v>
      </c>
      <c r="AT9" s="719"/>
      <c r="AU9" s="719">
        <v>1262.6400000000001</v>
      </c>
      <c r="AV9" s="4022"/>
      <c r="AW9" s="311">
        <f t="shared" si="1"/>
        <v>8114.4000000000005</v>
      </c>
      <c r="AX9" s="719"/>
      <c r="AY9" s="719">
        <v>2525.7800000000002</v>
      </c>
      <c r="AZ9" s="717"/>
      <c r="BA9" s="969">
        <f t="shared" si="18"/>
        <v>5052.6200000000008</v>
      </c>
      <c r="BB9" s="564"/>
      <c r="BC9" s="625">
        <f t="shared" si="19"/>
        <v>6822.0400000000009</v>
      </c>
      <c r="BD9" s="4022"/>
      <c r="BE9" s="311">
        <f t="shared" si="2"/>
        <v>10640.18</v>
      </c>
      <c r="BF9" s="26"/>
      <c r="BG9" s="26"/>
    </row>
    <row r="10" spans="1:63" s="4237" customFormat="1" ht="18.75" x14ac:dyDescent="0.25">
      <c r="A10" s="183"/>
      <c r="B10" s="4241" t="s">
        <v>1827</v>
      </c>
      <c r="C10" s="193" t="s">
        <v>361</v>
      </c>
      <c r="D10" s="748"/>
      <c r="E10" s="719">
        <v>0</v>
      </c>
      <c r="F10" s="719"/>
      <c r="G10" s="719">
        <v>0</v>
      </c>
      <c r="H10" s="2261"/>
      <c r="I10" s="2261">
        <f t="shared" si="4"/>
        <v>0</v>
      </c>
      <c r="J10" s="719"/>
      <c r="K10" s="719">
        <v>0</v>
      </c>
      <c r="L10" s="969"/>
      <c r="M10" s="969">
        <f t="shared" si="5"/>
        <v>0</v>
      </c>
      <c r="N10" s="719"/>
      <c r="O10" s="719">
        <v>1585.38</v>
      </c>
      <c r="P10" s="4022"/>
      <c r="Q10" s="4022">
        <f t="shared" si="6"/>
        <v>1585.38</v>
      </c>
      <c r="R10" s="719"/>
      <c r="S10" s="719">
        <v>0</v>
      </c>
      <c r="T10" s="3615"/>
      <c r="U10" s="3615">
        <f t="shared" si="7"/>
        <v>1585.38</v>
      </c>
      <c r="V10" s="719"/>
      <c r="W10" s="719">
        <v>0</v>
      </c>
      <c r="X10" s="969"/>
      <c r="Y10" s="969">
        <f t="shared" si="8"/>
        <v>1585.38</v>
      </c>
      <c r="Z10" s="564"/>
      <c r="AA10" s="625">
        <f t="shared" si="9"/>
        <v>1585.38</v>
      </c>
      <c r="AB10" s="719"/>
      <c r="AC10" s="719">
        <v>1265.3799999999999</v>
      </c>
      <c r="AD10" s="4022"/>
      <c r="AE10" s="4022">
        <f t="shared" si="10"/>
        <v>1265.3799999999999</v>
      </c>
      <c r="AF10" s="719"/>
      <c r="AG10" s="719">
        <v>1257.24</v>
      </c>
      <c r="AH10" s="4022"/>
      <c r="AI10" s="4022">
        <f t="shared" si="11"/>
        <v>4108</v>
      </c>
      <c r="AJ10" s="719"/>
      <c r="AK10" s="719">
        <v>1302.0999999999999</v>
      </c>
      <c r="AL10" s="717"/>
      <c r="AM10" s="969">
        <f t="shared" si="13"/>
        <v>3824.72</v>
      </c>
      <c r="AN10" s="4022"/>
      <c r="AO10" s="4022">
        <f t="shared" si="14"/>
        <v>5410.1</v>
      </c>
      <c r="AP10" s="719"/>
      <c r="AQ10" s="719">
        <v>1648.8599999999997</v>
      </c>
      <c r="AR10" s="4022"/>
      <c r="AS10" s="4022">
        <f t="shared" si="0"/>
        <v>7058.96</v>
      </c>
      <c r="AT10" s="719"/>
      <c r="AU10" s="719"/>
      <c r="AV10" s="4022"/>
      <c r="AW10" s="311">
        <f t="shared" si="1"/>
        <v>7058.96</v>
      </c>
      <c r="AX10" s="719"/>
      <c r="AY10" s="719">
        <v>1271.18</v>
      </c>
      <c r="AZ10" s="717"/>
      <c r="BA10" s="969">
        <f t="shared" si="18"/>
        <v>2920.04</v>
      </c>
      <c r="BB10" s="564"/>
      <c r="BC10" s="625">
        <f t="shared" si="19"/>
        <v>6744.76</v>
      </c>
      <c r="BD10" s="4022"/>
      <c r="BE10" s="311">
        <f t="shared" si="2"/>
        <v>8330.14</v>
      </c>
      <c r="BF10" s="26"/>
      <c r="BG10" s="26"/>
    </row>
    <row r="11" spans="1:63" s="4237" customFormat="1" ht="10.5" customHeight="1" x14ac:dyDescent="0.25">
      <c r="A11" s="183"/>
      <c r="B11" s="4259"/>
      <c r="C11" s="4238"/>
      <c r="D11" s="748"/>
      <c r="E11" s="719"/>
      <c r="F11" s="719"/>
      <c r="G11" s="719"/>
      <c r="H11" s="2261"/>
      <c r="I11" s="2261"/>
      <c r="J11" s="719"/>
      <c r="K11" s="719"/>
      <c r="L11" s="969"/>
      <c r="M11" s="969"/>
      <c r="N11" s="719"/>
      <c r="O11" s="719"/>
      <c r="P11" s="4022"/>
      <c r="Q11" s="4022"/>
      <c r="R11" s="719"/>
      <c r="S11" s="719"/>
      <c r="T11" s="3615"/>
      <c r="U11" s="3615"/>
      <c r="V11" s="719"/>
      <c r="W11" s="719"/>
      <c r="X11" s="969"/>
      <c r="Y11" s="969"/>
      <c r="Z11" s="564"/>
      <c r="AA11" s="625"/>
      <c r="AB11" s="719"/>
      <c r="AC11" s="719"/>
      <c r="AD11" s="4022"/>
      <c r="AE11" s="4022"/>
      <c r="AF11" s="719"/>
      <c r="AG11" s="719"/>
      <c r="AH11" s="4022"/>
      <c r="AI11" s="4022"/>
      <c r="AJ11" s="719"/>
      <c r="AK11" s="719"/>
      <c r="AL11" s="717"/>
      <c r="AM11" s="969"/>
      <c r="AN11" s="4022"/>
      <c r="AO11" s="4022"/>
      <c r="AP11" s="719"/>
      <c r="AQ11" s="719"/>
      <c r="AR11" s="4022"/>
      <c r="AS11" s="4022"/>
      <c r="AT11" s="719"/>
      <c r="AU11" s="719"/>
      <c r="AV11" s="4022"/>
      <c r="AW11" s="311"/>
      <c r="AX11" s="719"/>
      <c r="AY11" s="719"/>
      <c r="AZ11" s="717"/>
      <c r="BA11" s="969"/>
      <c r="BB11" s="564"/>
      <c r="BC11" s="625"/>
      <c r="BD11" s="4022"/>
      <c r="BE11" s="311"/>
      <c r="BF11" s="26"/>
      <c r="BG11" s="26"/>
    </row>
    <row r="12" spans="1:63" s="4237" customFormat="1" ht="23.25" x14ac:dyDescent="0.25">
      <c r="A12" s="183"/>
      <c r="B12" s="5347" t="s">
        <v>1883</v>
      </c>
      <c r="C12" s="242"/>
      <c r="D12" s="719"/>
      <c r="E12" s="4258">
        <v>259.31</v>
      </c>
      <c r="F12" s="4258"/>
      <c r="G12" s="4258">
        <v>399.78</v>
      </c>
      <c r="H12" s="4257"/>
      <c r="I12" s="2261">
        <f t="shared" si="4"/>
        <v>659.08999999999992</v>
      </c>
      <c r="J12" s="4258"/>
      <c r="K12" s="4258">
        <v>0</v>
      </c>
      <c r="L12" s="1732"/>
      <c r="M12" s="969">
        <f t="shared" si="5"/>
        <v>659.08999999999992</v>
      </c>
      <c r="N12" s="4258"/>
      <c r="O12" s="4258">
        <v>199.99</v>
      </c>
      <c r="P12" s="2150"/>
      <c r="Q12" s="4022">
        <f t="shared" si="6"/>
        <v>859.07999999999993</v>
      </c>
      <c r="R12" s="4258"/>
      <c r="S12" s="4258">
        <v>0</v>
      </c>
      <c r="T12" s="4257"/>
      <c r="U12" s="3615">
        <f t="shared" si="7"/>
        <v>459.3</v>
      </c>
      <c r="V12" s="4258"/>
      <c r="W12" s="4258">
        <v>249.73000000000002</v>
      </c>
      <c r="X12" s="1732"/>
      <c r="Y12" s="969">
        <f t="shared" si="8"/>
        <v>449.72</v>
      </c>
      <c r="Z12" s="564"/>
      <c r="AA12" s="625">
        <f t="shared" si="9"/>
        <v>1108.81</v>
      </c>
      <c r="AB12" s="4258"/>
      <c r="AC12" s="4258">
        <v>0</v>
      </c>
      <c r="AD12" s="2150"/>
      <c r="AE12" s="4022">
        <f t="shared" si="10"/>
        <v>509.04</v>
      </c>
      <c r="AF12" s="4258"/>
      <c r="AG12" s="4258">
        <v>0</v>
      </c>
      <c r="AH12" s="2150"/>
      <c r="AI12" s="4022">
        <f t="shared" si="11"/>
        <v>1108.81</v>
      </c>
      <c r="AJ12" s="4258"/>
      <c r="AK12" s="4258"/>
      <c r="AL12" s="4260"/>
      <c r="AM12" s="969">
        <f t="shared" si="13"/>
        <v>0</v>
      </c>
      <c r="AN12" s="2150"/>
      <c r="AO12" s="4022">
        <f t="shared" si="14"/>
        <v>1108.81</v>
      </c>
      <c r="AP12" s="4258"/>
      <c r="AQ12" s="4258">
        <v>0</v>
      </c>
      <c r="AR12" s="2150"/>
      <c r="AS12" s="4022">
        <f t="shared" si="0"/>
        <v>1108.81</v>
      </c>
      <c r="AT12" s="4258"/>
      <c r="AU12" s="4258">
        <v>0</v>
      </c>
      <c r="AV12" s="2150"/>
      <c r="AW12" s="311">
        <f t="shared" si="1"/>
        <v>1108.81</v>
      </c>
      <c r="AX12" s="4258"/>
      <c r="AY12" s="4258">
        <v>0</v>
      </c>
      <c r="AZ12" s="4260"/>
      <c r="BA12" s="969">
        <f t="shared" si="18"/>
        <v>0</v>
      </c>
      <c r="BB12" s="564"/>
      <c r="BC12" s="625">
        <f t="shared" si="19"/>
        <v>0</v>
      </c>
      <c r="BD12" s="2150"/>
      <c r="BE12" s="311">
        <f t="shared" si="2"/>
        <v>1108.81</v>
      </c>
      <c r="BF12" s="26"/>
      <c r="BG12" s="26"/>
      <c r="BK12" s="26"/>
    </row>
    <row r="13" spans="1:63" s="4237" customFormat="1" ht="9" customHeight="1" x14ac:dyDescent="0.25">
      <c r="A13" s="183"/>
      <c r="B13" s="4256"/>
      <c r="C13" s="242"/>
      <c r="D13" s="719"/>
      <c r="E13" s="3616"/>
      <c r="F13" s="3616"/>
      <c r="G13" s="3616"/>
      <c r="H13" s="2261"/>
      <c r="I13" s="2261"/>
      <c r="J13" s="3616"/>
      <c r="K13" s="3616"/>
      <c r="L13" s="969"/>
      <c r="M13" s="969"/>
      <c r="N13" s="3616"/>
      <c r="O13" s="3616"/>
      <c r="P13" s="4022"/>
      <c r="Q13" s="4022"/>
      <c r="R13" s="3616"/>
      <c r="S13" s="3616"/>
      <c r="T13" s="3615"/>
      <c r="U13" s="3615"/>
      <c r="V13" s="3616"/>
      <c r="W13" s="3616"/>
      <c r="X13" s="969"/>
      <c r="Y13" s="969"/>
      <c r="Z13" s="564"/>
      <c r="AA13" s="625"/>
      <c r="AB13" s="3616"/>
      <c r="AC13" s="3616"/>
      <c r="AD13" s="4022"/>
      <c r="AE13" s="4022"/>
      <c r="AF13" s="3616"/>
      <c r="AG13" s="3616"/>
      <c r="AH13" s="4022"/>
      <c r="AI13" s="4022"/>
      <c r="AJ13" s="3616"/>
      <c r="AK13" s="3616"/>
      <c r="AL13" s="717"/>
      <c r="AM13" s="969"/>
      <c r="AN13" s="4022"/>
      <c r="AO13" s="4022"/>
      <c r="AP13" s="3616"/>
      <c r="AQ13" s="3616"/>
      <c r="AR13" s="4022"/>
      <c r="AS13" s="4022"/>
      <c r="AT13" s="3616"/>
      <c r="AU13" s="3616"/>
      <c r="AV13" s="4022"/>
      <c r="AW13" s="311"/>
      <c r="AX13" s="3616"/>
      <c r="AY13" s="3616"/>
      <c r="AZ13" s="717"/>
      <c r="BA13" s="969"/>
      <c r="BB13" s="564"/>
      <c r="BC13" s="625"/>
      <c r="BD13" s="4022"/>
      <c r="BE13" s="311"/>
      <c r="BF13" s="26"/>
      <c r="BG13" s="26"/>
    </row>
    <row r="14" spans="1:63" ht="15.75" customHeight="1" x14ac:dyDescent="0.25">
      <c r="A14" s="183"/>
      <c r="B14" s="5347" t="s">
        <v>1884</v>
      </c>
      <c r="C14" s="193" t="s">
        <v>361</v>
      </c>
      <c r="D14" s="236"/>
      <c r="E14" s="4258">
        <f>+E15+E17+E18</f>
        <v>296.63</v>
      </c>
      <c r="F14" s="4258">
        <f>+F15+F17</f>
        <v>0</v>
      </c>
      <c r="G14" s="4258">
        <f>+G15+G17+G18</f>
        <v>1454.62</v>
      </c>
      <c r="H14" s="4257"/>
      <c r="I14" s="2261">
        <f t="shared" si="4"/>
        <v>1751.25</v>
      </c>
      <c r="J14" s="4258"/>
      <c r="K14" s="4258">
        <f>+K15+K17+K18</f>
        <v>0</v>
      </c>
      <c r="L14" s="1732"/>
      <c r="M14" s="969">
        <f t="shared" si="5"/>
        <v>1751.25</v>
      </c>
      <c r="N14" s="4258"/>
      <c r="O14" s="4258">
        <f>+O15+O17+O18</f>
        <v>0</v>
      </c>
      <c r="P14" s="2150"/>
      <c r="Q14" s="4022">
        <f t="shared" si="6"/>
        <v>1751.25</v>
      </c>
      <c r="R14" s="4258"/>
      <c r="S14" s="4258">
        <f>+S15+S17+S18</f>
        <v>0</v>
      </c>
      <c r="T14" s="4257"/>
      <c r="U14" s="3615">
        <f t="shared" si="7"/>
        <v>296.63</v>
      </c>
      <c r="V14" s="4258"/>
      <c r="W14" s="4258">
        <f>+W15+W17+W18</f>
        <v>329.76000000000005</v>
      </c>
      <c r="X14" s="1732"/>
      <c r="Y14" s="969">
        <f t="shared" si="8"/>
        <v>329.76000000000005</v>
      </c>
      <c r="Z14" s="564"/>
      <c r="AA14" s="625">
        <f t="shared" si="9"/>
        <v>2081.0100000000002</v>
      </c>
      <c r="AB14" s="4258"/>
      <c r="AC14" s="4258">
        <f>+AC15+AC17+AC18</f>
        <v>468.49</v>
      </c>
      <c r="AD14" s="2150"/>
      <c r="AE14" s="4022">
        <f t="shared" si="10"/>
        <v>1094.8800000000001</v>
      </c>
      <c r="AF14" s="4258"/>
      <c r="AG14" s="4258">
        <f>+AG15+AG17+AG18</f>
        <v>691.2</v>
      </c>
      <c r="AH14" s="2150"/>
      <c r="AI14" s="4022">
        <f t="shared" si="11"/>
        <v>3240.7</v>
      </c>
      <c r="AJ14" s="4258"/>
      <c r="AK14" s="4258">
        <f>+AK15+AK17+AK18</f>
        <v>0</v>
      </c>
      <c r="AL14" s="4260"/>
      <c r="AM14" s="969">
        <f t="shared" si="13"/>
        <v>1159.69</v>
      </c>
      <c r="AN14" s="2150"/>
      <c r="AO14" s="4022">
        <f t="shared" si="14"/>
        <v>3240.7</v>
      </c>
      <c r="AP14" s="4258"/>
      <c r="AQ14" s="4258">
        <f>+AQ15+AQ17+AQ18</f>
        <v>0</v>
      </c>
      <c r="AR14" s="2150"/>
      <c r="AS14" s="4022">
        <f t="shared" si="0"/>
        <v>3240.7</v>
      </c>
      <c r="AT14" s="4258"/>
      <c r="AU14" s="4258">
        <f>+AU15+AU17+AU18</f>
        <v>1253.96</v>
      </c>
      <c r="AV14" s="2150"/>
      <c r="AW14" s="311">
        <f t="shared" si="1"/>
        <v>4494.66</v>
      </c>
      <c r="AX14" s="4258"/>
      <c r="AY14" s="4258">
        <f>+AY15+AY17+AY18</f>
        <v>1274.74</v>
      </c>
      <c r="AZ14" s="4260"/>
      <c r="BA14" s="969">
        <f t="shared" si="18"/>
        <v>2528.6999999999998</v>
      </c>
      <c r="BB14" s="564"/>
      <c r="BC14" s="625">
        <f t="shared" si="19"/>
        <v>3688.39</v>
      </c>
      <c r="BD14" s="2150"/>
      <c r="BE14" s="311">
        <f>+AW14+AY14</f>
        <v>5769.4</v>
      </c>
      <c r="BF14" s="26"/>
      <c r="BG14" s="26"/>
    </row>
    <row r="15" spans="1:63" s="4237" customFormat="1" ht="15.75" customHeight="1" x14ac:dyDescent="0.25">
      <c r="A15" s="183"/>
      <c r="B15" s="637" t="s">
        <v>1882</v>
      </c>
      <c r="C15" s="193" t="s">
        <v>361</v>
      </c>
      <c r="D15" s="236"/>
      <c r="E15" s="748">
        <v>296.63</v>
      </c>
      <c r="F15" s="748">
        <v>0</v>
      </c>
      <c r="G15" s="748">
        <v>0</v>
      </c>
      <c r="H15" s="2261"/>
      <c r="I15" s="2261">
        <f t="shared" si="4"/>
        <v>296.63</v>
      </c>
      <c r="J15" s="748">
        <v>0</v>
      </c>
      <c r="K15" s="748">
        <v>0</v>
      </c>
      <c r="L15" s="969"/>
      <c r="M15" s="969">
        <f t="shared" si="5"/>
        <v>296.63</v>
      </c>
      <c r="N15" s="748">
        <v>0</v>
      </c>
      <c r="O15" s="748">
        <v>0</v>
      </c>
      <c r="P15" s="4022"/>
      <c r="Q15" s="4022">
        <f t="shared" si="6"/>
        <v>296.63</v>
      </c>
      <c r="R15" s="748">
        <v>0</v>
      </c>
      <c r="S15" s="748">
        <v>0</v>
      </c>
      <c r="T15" s="3615"/>
      <c r="U15" s="3615">
        <f t="shared" si="7"/>
        <v>296.63</v>
      </c>
      <c r="V15" s="748">
        <v>0</v>
      </c>
      <c r="W15" s="748">
        <v>329.76000000000005</v>
      </c>
      <c r="X15" s="969"/>
      <c r="Y15" s="969">
        <f t="shared" si="8"/>
        <v>329.76000000000005</v>
      </c>
      <c r="Z15" s="564"/>
      <c r="AA15" s="625">
        <f t="shared" si="9"/>
        <v>626.3900000000001</v>
      </c>
      <c r="AB15" s="748"/>
      <c r="AC15" s="748">
        <v>468.49</v>
      </c>
      <c r="AD15" s="4022"/>
      <c r="AE15" s="4022">
        <f t="shared" si="10"/>
        <v>1094.8800000000001</v>
      </c>
      <c r="AF15" s="748"/>
      <c r="AG15" s="748">
        <v>0</v>
      </c>
      <c r="AH15" s="4022"/>
      <c r="AI15" s="4022">
        <f t="shared" si="11"/>
        <v>1094.8800000000001</v>
      </c>
      <c r="AJ15" s="748">
        <v>0</v>
      </c>
      <c r="AK15" s="748"/>
      <c r="AL15" s="717"/>
      <c r="AM15" s="969">
        <f t="shared" si="13"/>
        <v>468.49</v>
      </c>
      <c r="AN15" s="4022"/>
      <c r="AO15" s="4022">
        <f t="shared" si="14"/>
        <v>1094.8800000000001</v>
      </c>
      <c r="AP15" s="748"/>
      <c r="AQ15" s="748"/>
      <c r="AR15" s="4022"/>
      <c r="AS15" s="4022">
        <f t="shared" si="0"/>
        <v>1094.8800000000001</v>
      </c>
      <c r="AT15" s="748"/>
      <c r="AU15" s="748"/>
      <c r="AV15" s="4022"/>
      <c r="AW15" s="311">
        <f t="shared" si="1"/>
        <v>1094.8800000000001</v>
      </c>
      <c r="AX15" s="748"/>
      <c r="AY15" s="748"/>
      <c r="AZ15" s="717"/>
      <c r="BA15" s="969">
        <f t="shared" si="18"/>
        <v>0</v>
      </c>
      <c r="BB15" s="564"/>
      <c r="BC15" s="625">
        <f t="shared" si="19"/>
        <v>468.49</v>
      </c>
      <c r="BD15" s="4022"/>
      <c r="BE15" s="311">
        <f t="shared" si="2"/>
        <v>1094.8800000000001</v>
      </c>
      <c r="BF15" s="26"/>
      <c r="BG15" s="26"/>
    </row>
    <row r="16" spans="1:63" s="5259" customFormat="1" ht="15.75" customHeight="1" x14ac:dyDescent="0.25">
      <c r="A16" s="183"/>
      <c r="B16" s="637" t="s">
        <v>1881</v>
      </c>
      <c r="C16" s="193" t="s">
        <v>361</v>
      </c>
      <c r="D16" s="5349"/>
      <c r="E16" s="5350">
        <f>+E18+E17</f>
        <v>0</v>
      </c>
      <c r="F16" s="5350">
        <f t="shared" ref="F16:BE16" si="25">+F18+F17</f>
        <v>0</v>
      </c>
      <c r="G16" s="5350">
        <f t="shared" si="25"/>
        <v>1454.62</v>
      </c>
      <c r="H16" s="5350">
        <f t="shared" si="25"/>
        <v>0</v>
      </c>
      <c r="I16" s="5350">
        <f t="shared" si="25"/>
        <v>1454.62</v>
      </c>
      <c r="J16" s="5350">
        <f t="shared" si="25"/>
        <v>0</v>
      </c>
      <c r="K16" s="5350">
        <f t="shared" si="25"/>
        <v>0</v>
      </c>
      <c r="L16" s="5350">
        <f t="shared" si="25"/>
        <v>0</v>
      </c>
      <c r="M16" s="5350">
        <f t="shared" si="25"/>
        <v>1454.62</v>
      </c>
      <c r="N16" s="5350">
        <f t="shared" si="25"/>
        <v>0</v>
      </c>
      <c r="O16" s="5350">
        <f t="shared" si="25"/>
        <v>0</v>
      </c>
      <c r="P16" s="5350">
        <f t="shared" si="25"/>
        <v>0</v>
      </c>
      <c r="Q16" s="5350">
        <f t="shared" si="25"/>
        <v>1454.62</v>
      </c>
      <c r="R16" s="5350">
        <f t="shared" si="25"/>
        <v>0</v>
      </c>
      <c r="S16" s="5350">
        <f t="shared" si="25"/>
        <v>0</v>
      </c>
      <c r="T16" s="5350">
        <f t="shared" si="25"/>
        <v>0</v>
      </c>
      <c r="U16" s="5350">
        <f t="shared" si="25"/>
        <v>0</v>
      </c>
      <c r="V16" s="5350">
        <f t="shared" si="25"/>
        <v>0</v>
      </c>
      <c r="W16" s="5350">
        <f t="shared" si="25"/>
        <v>0</v>
      </c>
      <c r="X16" s="5350">
        <f t="shared" si="25"/>
        <v>0</v>
      </c>
      <c r="Y16" s="5350">
        <f t="shared" si="25"/>
        <v>0</v>
      </c>
      <c r="Z16" s="5350">
        <f t="shared" si="25"/>
        <v>0</v>
      </c>
      <c r="AA16" s="5350">
        <f t="shared" si="25"/>
        <v>1454.62</v>
      </c>
      <c r="AB16" s="5350">
        <f t="shared" si="25"/>
        <v>0</v>
      </c>
      <c r="AC16" s="5350">
        <f t="shared" si="25"/>
        <v>0</v>
      </c>
      <c r="AD16" s="5350">
        <f t="shared" si="25"/>
        <v>0</v>
      </c>
      <c r="AE16" s="5350">
        <f t="shared" si="25"/>
        <v>0</v>
      </c>
      <c r="AF16" s="5350">
        <f t="shared" si="25"/>
        <v>0</v>
      </c>
      <c r="AG16" s="5350">
        <f t="shared" si="25"/>
        <v>691.2</v>
      </c>
      <c r="AH16" s="5350">
        <f t="shared" si="25"/>
        <v>0</v>
      </c>
      <c r="AI16" s="5350">
        <f t="shared" si="25"/>
        <v>2145.8199999999997</v>
      </c>
      <c r="AJ16" s="5350">
        <f t="shared" si="25"/>
        <v>0</v>
      </c>
      <c r="AK16" s="5350">
        <f t="shared" si="25"/>
        <v>0</v>
      </c>
      <c r="AL16" s="5350">
        <f t="shared" si="25"/>
        <v>0</v>
      </c>
      <c r="AM16" s="5350">
        <f t="shared" si="25"/>
        <v>691.2</v>
      </c>
      <c r="AN16" s="5350">
        <f t="shared" si="25"/>
        <v>0</v>
      </c>
      <c r="AO16" s="5350">
        <f t="shared" si="25"/>
        <v>2145.8199999999997</v>
      </c>
      <c r="AP16" s="5350">
        <f t="shared" si="25"/>
        <v>0</v>
      </c>
      <c r="AQ16" s="5350">
        <f t="shared" si="25"/>
        <v>0</v>
      </c>
      <c r="AR16" s="5350">
        <f t="shared" si="25"/>
        <v>0</v>
      </c>
      <c r="AS16" s="5350">
        <f t="shared" si="25"/>
        <v>2145.8199999999997</v>
      </c>
      <c r="AT16" s="5350">
        <f t="shared" si="25"/>
        <v>0</v>
      </c>
      <c r="AU16" s="5350">
        <f t="shared" si="25"/>
        <v>1253.96</v>
      </c>
      <c r="AV16" s="5350">
        <f t="shared" si="25"/>
        <v>0</v>
      </c>
      <c r="AW16" s="5350">
        <f t="shared" si="25"/>
        <v>3399.7799999999997</v>
      </c>
      <c r="AX16" s="5350">
        <f t="shared" si="25"/>
        <v>0</v>
      </c>
      <c r="AY16" s="5350">
        <f t="shared" si="25"/>
        <v>1274.74</v>
      </c>
      <c r="AZ16" s="5350">
        <f t="shared" si="25"/>
        <v>0</v>
      </c>
      <c r="BA16" s="5350">
        <f t="shared" si="25"/>
        <v>2528.6999999999998</v>
      </c>
      <c r="BB16" s="5350">
        <f t="shared" si="25"/>
        <v>0</v>
      </c>
      <c r="BC16" s="5350">
        <f t="shared" si="25"/>
        <v>3219.9</v>
      </c>
      <c r="BD16" s="5350">
        <f t="shared" si="25"/>
        <v>0</v>
      </c>
      <c r="BE16" s="311">
        <f t="shared" si="25"/>
        <v>4674.5199999999995</v>
      </c>
      <c r="BF16" s="26"/>
      <c r="BG16" s="26"/>
    </row>
    <row r="17" spans="1:59" s="4237" customFormat="1" ht="15.75" customHeight="1" x14ac:dyDescent="0.25">
      <c r="A17" s="183"/>
      <c r="B17" s="4241" t="s">
        <v>1827</v>
      </c>
      <c r="C17" s="193" t="s">
        <v>361</v>
      </c>
      <c r="D17" s="236"/>
      <c r="E17" s="748">
        <v>0</v>
      </c>
      <c r="F17" s="748"/>
      <c r="G17" s="748">
        <v>1454.62</v>
      </c>
      <c r="H17" s="2261"/>
      <c r="I17" s="2261">
        <f t="shared" si="4"/>
        <v>1454.62</v>
      </c>
      <c r="J17" s="748"/>
      <c r="K17" s="748">
        <v>0</v>
      </c>
      <c r="L17" s="969"/>
      <c r="M17" s="969">
        <f t="shared" si="5"/>
        <v>1454.62</v>
      </c>
      <c r="N17" s="748"/>
      <c r="O17" s="748">
        <v>0</v>
      </c>
      <c r="P17" s="4022"/>
      <c r="Q17" s="4022">
        <f t="shared" si="6"/>
        <v>1454.62</v>
      </c>
      <c r="R17" s="748"/>
      <c r="S17" s="748">
        <v>0</v>
      </c>
      <c r="T17" s="3615"/>
      <c r="U17" s="3615">
        <f t="shared" si="7"/>
        <v>0</v>
      </c>
      <c r="V17" s="748"/>
      <c r="W17" s="748">
        <v>0</v>
      </c>
      <c r="X17" s="969"/>
      <c r="Y17" s="969">
        <f t="shared" si="8"/>
        <v>0</v>
      </c>
      <c r="Z17" s="564"/>
      <c r="AA17" s="625">
        <f t="shared" si="9"/>
        <v>1454.62</v>
      </c>
      <c r="AB17" s="748"/>
      <c r="AC17" s="748">
        <v>0</v>
      </c>
      <c r="AD17" s="4022"/>
      <c r="AE17" s="4022">
        <f t="shared" si="10"/>
        <v>0</v>
      </c>
      <c r="AF17" s="748"/>
      <c r="AG17" s="748">
        <v>691.2</v>
      </c>
      <c r="AH17" s="4022"/>
      <c r="AI17" s="4022">
        <f t="shared" si="11"/>
        <v>2145.8199999999997</v>
      </c>
      <c r="AJ17" s="748"/>
      <c r="AK17" s="748"/>
      <c r="AL17" s="717"/>
      <c r="AM17" s="969">
        <f t="shared" si="13"/>
        <v>691.2</v>
      </c>
      <c r="AN17" s="4022"/>
      <c r="AO17" s="4022">
        <f t="shared" si="14"/>
        <v>2145.8199999999997</v>
      </c>
      <c r="AP17" s="748"/>
      <c r="AQ17" s="748"/>
      <c r="AR17" s="4022"/>
      <c r="AS17" s="4022">
        <f t="shared" si="0"/>
        <v>2145.8199999999997</v>
      </c>
      <c r="AT17" s="748"/>
      <c r="AU17" s="748">
        <v>1253.96</v>
      </c>
      <c r="AV17" s="4022"/>
      <c r="AW17" s="311">
        <f t="shared" si="1"/>
        <v>3399.7799999999997</v>
      </c>
      <c r="AX17" s="748"/>
      <c r="AY17" s="748"/>
      <c r="AZ17" s="717"/>
      <c r="BA17" s="969">
        <f t="shared" si="18"/>
        <v>1253.96</v>
      </c>
      <c r="BB17" s="564"/>
      <c r="BC17" s="625">
        <f t="shared" si="19"/>
        <v>1945.16</v>
      </c>
      <c r="BD17" s="4022"/>
      <c r="BE17" s="311">
        <f t="shared" si="2"/>
        <v>3399.7799999999997</v>
      </c>
      <c r="BF17" s="26"/>
      <c r="BG17" s="26"/>
    </row>
    <row r="18" spans="1:59" s="4237" customFormat="1" ht="21" customHeight="1" x14ac:dyDescent="0.25">
      <c r="A18" s="183"/>
      <c r="B18" s="4241" t="s">
        <v>1826</v>
      </c>
      <c r="C18" s="193" t="s">
        <v>361</v>
      </c>
      <c r="D18" s="236"/>
      <c r="E18" s="3616"/>
      <c r="F18" s="3616"/>
      <c r="G18" s="3616"/>
      <c r="H18" s="2261"/>
      <c r="I18" s="2261"/>
      <c r="J18" s="3616"/>
      <c r="K18" s="3616"/>
      <c r="L18" s="969"/>
      <c r="M18" s="969"/>
      <c r="N18" s="3616"/>
      <c r="O18" s="3616"/>
      <c r="P18" s="4022"/>
      <c r="Q18" s="4022"/>
      <c r="R18" s="3616"/>
      <c r="S18" s="3616"/>
      <c r="T18" s="3615"/>
      <c r="U18" s="3615"/>
      <c r="V18" s="3616"/>
      <c r="W18" s="3616"/>
      <c r="X18" s="969"/>
      <c r="Y18" s="969">
        <f t="shared" si="8"/>
        <v>0</v>
      </c>
      <c r="Z18" s="564"/>
      <c r="AA18" s="625">
        <f t="shared" si="9"/>
        <v>0</v>
      </c>
      <c r="AB18" s="3616"/>
      <c r="AC18" s="3616"/>
      <c r="AD18" s="4022"/>
      <c r="AE18" s="4022"/>
      <c r="AF18" s="3616"/>
      <c r="AG18" s="3616"/>
      <c r="AH18" s="4022"/>
      <c r="AI18" s="4022"/>
      <c r="AJ18" s="3616"/>
      <c r="AK18" s="3616"/>
      <c r="AL18" s="717"/>
      <c r="AM18" s="969">
        <f t="shared" si="13"/>
        <v>0</v>
      </c>
      <c r="AN18" s="4022"/>
      <c r="AO18" s="4022"/>
      <c r="AP18" s="3616"/>
      <c r="AQ18" s="3616"/>
      <c r="AR18" s="4022"/>
      <c r="AS18" s="4022">
        <f t="shared" si="0"/>
        <v>0</v>
      </c>
      <c r="AT18" s="3616"/>
      <c r="AU18" s="3616"/>
      <c r="AV18" s="4022"/>
      <c r="AW18" s="311">
        <f t="shared" si="1"/>
        <v>0</v>
      </c>
      <c r="AX18" s="3616"/>
      <c r="AY18" s="3616">
        <v>1274.74</v>
      </c>
      <c r="AZ18" s="717"/>
      <c r="BA18" s="969">
        <f t="shared" si="18"/>
        <v>1274.74</v>
      </c>
      <c r="BB18" s="564"/>
      <c r="BC18" s="625">
        <f t="shared" ref="BC18" si="26">BA18+AM18</f>
        <v>1274.74</v>
      </c>
      <c r="BD18" s="4022"/>
      <c r="BE18" s="311">
        <f t="shared" ref="BE18" si="27">+AW18+AY18</f>
        <v>1274.74</v>
      </c>
      <c r="BF18" s="26"/>
      <c r="BG18" s="26"/>
    </row>
    <row r="19" spans="1:59" ht="23.25" x14ac:dyDescent="0.25">
      <c r="A19" s="34"/>
      <c r="B19" s="5347" t="s">
        <v>1885</v>
      </c>
      <c r="C19" s="193" t="s">
        <v>361</v>
      </c>
      <c r="D19" s="236"/>
      <c r="E19" s="4258">
        <v>65</v>
      </c>
      <c r="F19" s="4258"/>
      <c r="G19" s="4258">
        <v>0</v>
      </c>
      <c r="H19" s="4257"/>
      <c r="I19" s="2261">
        <f t="shared" si="4"/>
        <v>65</v>
      </c>
      <c r="J19" s="4258"/>
      <c r="K19" s="4258">
        <v>0</v>
      </c>
      <c r="L19" s="1732"/>
      <c r="M19" s="969">
        <f t="shared" si="5"/>
        <v>65</v>
      </c>
      <c r="N19" s="4258"/>
      <c r="O19" s="4258">
        <v>0</v>
      </c>
      <c r="P19" s="2150"/>
      <c r="Q19" s="4022">
        <f t="shared" si="6"/>
        <v>65</v>
      </c>
      <c r="R19" s="4258"/>
      <c r="S19" s="4258">
        <v>0</v>
      </c>
      <c r="T19" s="4257"/>
      <c r="U19" s="3615">
        <f t="shared" si="7"/>
        <v>65</v>
      </c>
      <c r="V19" s="4258"/>
      <c r="W19" s="4258">
        <v>0</v>
      </c>
      <c r="X19" s="1732"/>
      <c r="Y19" s="969">
        <f t="shared" si="8"/>
        <v>0</v>
      </c>
      <c r="Z19" s="564"/>
      <c r="AA19" s="625">
        <f t="shared" si="9"/>
        <v>65</v>
      </c>
      <c r="AB19" s="4258"/>
      <c r="AC19" s="4258">
        <v>0</v>
      </c>
      <c r="AD19" s="2150"/>
      <c r="AE19" s="4022">
        <f t="shared" si="10"/>
        <v>65</v>
      </c>
      <c r="AF19" s="4258"/>
      <c r="AG19" s="4258">
        <v>0</v>
      </c>
      <c r="AH19" s="2150"/>
      <c r="AI19" s="4022">
        <f t="shared" si="11"/>
        <v>65</v>
      </c>
      <c r="AJ19" s="4258"/>
      <c r="AK19" s="4258">
        <v>0</v>
      </c>
      <c r="AL19" s="4260"/>
      <c r="AM19" s="969">
        <f t="shared" si="13"/>
        <v>0</v>
      </c>
      <c r="AN19" s="2150"/>
      <c r="AO19" s="4022">
        <f t="shared" si="14"/>
        <v>65</v>
      </c>
      <c r="AP19" s="4258"/>
      <c r="AQ19" s="4258">
        <v>0</v>
      </c>
      <c r="AR19" s="2150"/>
      <c r="AS19" s="4022">
        <f t="shared" si="0"/>
        <v>65</v>
      </c>
      <c r="AT19" s="4258"/>
      <c r="AU19" s="4258">
        <v>0</v>
      </c>
      <c r="AV19" s="2150"/>
      <c r="AW19" s="311">
        <f t="shared" si="1"/>
        <v>65</v>
      </c>
      <c r="AX19" s="4258"/>
      <c r="AY19" s="4258">
        <v>0</v>
      </c>
      <c r="AZ19" s="4260"/>
      <c r="BA19" s="969">
        <f t="shared" si="18"/>
        <v>0</v>
      </c>
      <c r="BB19" s="564"/>
      <c r="BC19" s="625">
        <f t="shared" si="19"/>
        <v>0</v>
      </c>
      <c r="BD19" s="2150"/>
      <c r="BE19" s="311">
        <f t="shared" si="2"/>
        <v>65</v>
      </c>
      <c r="BF19" s="26"/>
      <c r="BG19" s="26"/>
    </row>
    <row r="20" spans="1:59" s="4237" customFormat="1" ht="16.5" thickBot="1" x14ac:dyDescent="0.3">
      <c r="A20" s="34"/>
      <c r="B20" s="2251"/>
      <c r="C20" s="193"/>
      <c r="D20" s="236"/>
      <c r="E20" s="3616"/>
      <c r="F20" s="3616"/>
      <c r="G20" s="3616"/>
      <c r="H20" s="2261"/>
      <c r="I20" s="2261"/>
      <c r="J20" s="3616"/>
      <c r="K20" s="3616"/>
      <c r="L20" s="969"/>
      <c r="M20" s="969"/>
      <c r="N20" s="3616"/>
      <c r="O20" s="3616"/>
      <c r="P20" s="4022"/>
      <c r="Q20" s="4022"/>
      <c r="R20" s="3616"/>
      <c r="S20" s="3616"/>
      <c r="T20" s="3615"/>
      <c r="U20" s="3615"/>
      <c r="V20" s="3616"/>
      <c r="W20" s="3616"/>
      <c r="X20" s="969"/>
      <c r="Y20" s="969"/>
      <c r="Z20" s="564"/>
      <c r="AA20" s="625"/>
      <c r="AB20" s="3616"/>
      <c r="AC20" s="3616"/>
      <c r="AD20" s="4022"/>
      <c r="AE20" s="4022"/>
      <c r="AF20" s="3616"/>
      <c r="AG20" s="3616"/>
      <c r="AH20" s="4022"/>
      <c r="AI20" s="4022"/>
      <c r="AJ20" s="3616"/>
      <c r="AK20" s="3616"/>
      <c r="AL20" s="717"/>
      <c r="AM20" s="969"/>
      <c r="AN20" s="4022"/>
      <c r="AO20" s="4022"/>
      <c r="AP20" s="3616"/>
      <c r="AQ20" s="3616"/>
      <c r="AR20" s="4022"/>
      <c r="AS20" s="4022"/>
      <c r="AT20" s="3616"/>
      <c r="AU20" s="3616"/>
      <c r="AV20" s="4022"/>
      <c r="AW20" s="311"/>
      <c r="AX20" s="3616"/>
      <c r="AY20" s="3616"/>
      <c r="AZ20" s="717"/>
      <c r="BA20" s="969"/>
      <c r="BB20" s="564"/>
      <c r="BC20" s="625"/>
      <c r="BD20" s="4022"/>
      <c r="BE20" s="311"/>
      <c r="BF20" s="26"/>
      <c r="BG20" s="26"/>
    </row>
    <row r="21" spans="1:59" s="4237" customFormat="1" ht="25.5" x14ac:dyDescent="0.25">
      <c r="A21" s="34"/>
      <c r="B21" s="4240" t="s">
        <v>1886</v>
      </c>
      <c r="C21" s="193"/>
      <c r="D21" s="236"/>
      <c r="E21" s="3616"/>
      <c r="F21" s="3616"/>
      <c r="G21" s="3616"/>
      <c r="H21" s="2261"/>
      <c r="I21" s="2261"/>
      <c r="J21" s="3616"/>
      <c r="K21" s="3616"/>
      <c r="L21" s="969"/>
      <c r="M21" s="969"/>
      <c r="N21" s="3616"/>
      <c r="O21" s="3616"/>
      <c r="P21" s="4022"/>
      <c r="Q21" s="4022"/>
      <c r="R21" s="3616"/>
      <c r="S21" s="3616"/>
      <c r="T21" s="3615"/>
      <c r="U21" s="3615"/>
      <c r="V21" s="3616"/>
      <c r="W21" s="3616"/>
      <c r="X21" s="969"/>
      <c r="Y21" s="969"/>
      <c r="Z21" s="564"/>
      <c r="AA21" s="625"/>
      <c r="AB21" s="3616"/>
      <c r="AC21" s="3616"/>
      <c r="AD21" s="3616"/>
      <c r="AE21" s="3615"/>
      <c r="AF21" s="3616"/>
      <c r="AG21" s="3616"/>
      <c r="AH21" s="4022"/>
      <c r="AI21" s="4022"/>
      <c r="AJ21" s="3616"/>
      <c r="AK21" s="3616"/>
      <c r="AL21" s="717"/>
      <c r="AM21" s="969"/>
      <c r="AN21" s="4022"/>
      <c r="AO21" s="4022"/>
      <c r="AP21" s="3616"/>
      <c r="AQ21" s="3616"/>
      <c r="AR21" s="4022"/>
      <c r="AS21" s="4022"/>
      <c r="AT21" s="3616"/>
      <c r="AU21" s="3616"/>
      <c r="AV21" s="4022"/>
      <c r="AW21" s="311"/>
      <c r="AX21" s="3616"/>
      <c r="AY21" s="3616"/>
      <c r="AZ21" s="717"/>
      <c r="BA21" s="969"/>
      <c r="BB21" s="564"/>
      <c r="BC21" s="625"/>
      <c r="BD21" s="4022"/>
      <c r="BE21" s="311"/>
      <c r="BF21" s="26"/>
      <c r="BG21" s="26"/>
    </row>
    <row r="22" spans="1:59" ht="20.25" x14ac:dyDescent="0.25">
      <c r="A22" s="34"/>
      <c r="B22" s="905" t="s">
        <v>713</v>
      </c>
      <c r="C22" s="193"/>
      <c r="D22" s="236"/>
      <c r="E22" s="1411"/>
      <c r="F22" s="1411"/>
      <c r="G22" s="1411"/>
      <c r="H22" s="2261"/>
      <c r="I22" s="2261"/>
      <c r="J22" s="1411"/>
      <c r="K22" s="1411"/>
      <c r="L22" s="969"/>
      <c r="M22" s="969"/>
      <c r="N22" s="1411"/>
      <c r="O22" s="1411"/>
      <c r="P22" s="4022"/>
      <c r="Q22" s="4022"/>
      <c r="R22" s="1411"/>
      <c r="S22" s="1411"/>
      <c r="T22" s="3615"/>
      <c r="U22" s="3615"/>
      <c r="V22" s="1411"/>
      <c r="W22" s="3391"/>
      <c r="X22" s="969"/>
      <c r="Y22" s="969"/>
      <c r="Z22" s="564"/>
      <c r="AA22" s="625"/>
      <c r="AB22" s="3616"/>
      <c r="AC22" s="3616"/>
      <c r="AD22" s="3616"/>
      <c r="AE22" s="3615">
        <f t="shared" ref="AE22" si="28">+AA22+AC22</f>
        <v>0</v>
      </c>
      <c r="AF22" s="3616"/>
      <c r="AG22" s="3616"/>
      <c r="AH22" s="4022"/>
      <c r="AI22" s="4022"/>
      <c r="AJ22" s="3616"/>
      <c r="AK22" s="3616"/>
      <c r="AL22" s="717"/>
      <c r="AM22" s="969"/>
      <c r="AN22" s="4022"/>
      <c r="AO22" s="4022"/>
      <c r="AP22" s="3616"/>
      <c r="AQ22" s="3616"/>
      <c r="AR22" s="4022"/>
      <c r="AS22" s="4022"/>
      <c r="AT22" s="3616"/>
      <c r="AU22" s="3616"/>
      <c r="AV22" s="4022"/>
      <c r="AW22" s="311"/>
      <c r="AX22" s="3616"/>
      <c r="AY22" s="3616"/>
      <c r="AZ22" s="717"/>
      <c r="BA22" s="969"/>
      <c r="BB22" s="564"/>
      <c r="BC22" s="625"/>
      <c r="BD22" s="4022"/>
      <c r="BE22" s="311"/>
      <c r="BF22" s="26"/>
      <c r="BG22" s="26"/>
    </row>
    <row r="23" spans="1:59" x14ac:dyDescent="0.25">
      <c r="A23" s="183"/>
      <c r="B23" s="906" t="s">
        <v>714</v>
      </c>
      <c r="C23" s="193" t="s">
        <v>361</v>
      </c>
      <c r="D23" s="1732"/>
      <c r="E23" s="1732">
        <f>+SUM(E24:E32)</f>
        <v>4530.7699999999995</v>
      </c>
      <c r="F23" s="1732"/>
      <c r="G23" s="1732">
        <f>+SUM(G24:G32)</f>
        <v>4777.2</v>
      </c>
      <c r="H23" s="2262"/>
      <c r="I23" s="2262">
        <f t="shared" ref="I23:I66" si="29">+E23+G23</f>
        <v>9307.9699999999993</v>
      </c>
      <c r="J23" s="1732"/>
      <c r="K23" s="1732">
        <f>+SUM(K24:K32)</f>
        <v>3964.0299999999997</v>
      </c>
      <c r="L23" s="1732"/>
      <c r="M23" s="3609">
        <f t="shared" ref="M23:M104" si="30">+E23+G23+K23</f>
        <v>13272</v>
      </c>
      <c r="N23" s="1732"/>
      <c r="O23" s="1732">
        <f>+SUM(O24:O32)</f>
        <v>4139.16</v>
      </c>
      <c r="P23" s="1732"/>
      <c r="Q23" s="1732">
        <f t="shared" ref="Q23:Q104" si="31">+M23+O23</f>
        <v>17411.16</v>
      </c>
      <c r="R23" s="1732"/>
      <c r="S23" s="1732">
        <f>+SUM(S24:S32)</f>
        <v>4056.7899999999986</v>
      </c>
      <c r="T23" s="1732"/>
      <c r="U23" s="1732">
        <f t="shared" ref="U23:U66" si="32">+Q23+S23</f>
        <v>21467.949999999997</v>
      </c>
      <c r="V23" s="1732"/>
      <c r="W23" s="1732">
        <f>+SUM(W24:W32)</f>
        <v>4096.1100000000015</v>
      </c>
      <c r="X23" s="1732"/>
      <c r="Y23" s="3609">
        <f t="shared" si="8"/>
        <v>12292.060000000001</v>
      </c>
      <c r="Z23" s="1732"/>
      <c r="AA23" s="625">
        <f t="shared" si="9"/>
        <v>25564.06</v>
      </c>
      <c r="AB23" s="1732"/>
      <c r="AC23" s="1732">
        <f>+SUM(AC24:AC32)</f>
        <v>3780.2299999999987</v>
      </c>
      <c r="AD23" s="1732"/>
      <c r="AE23" s="1732">
        <f t="shared" ref="AE23:AE58" si="33">+AA23+AC23</f>
        <v>29344.29</v>
      </c>
      <c r="AF23" s="1732"/>
      <c r="AG23" s="1732">
        <f>+SUM(AG24:AG32)</f>
        <v>3367.91</v>
      </c>
      <c r="AH23" s="1732"/>
      <c r="AI23" s="1732">
        <f t="shared" ref="AI23:AI58" si="34">+AE23+AG23</f>
        <v>32712.2</v>
      </c>
      <c r="AJ23" s="1732"/>
      <c r="AK23" s="1732">
        <f>+SUM(AK24:AK32)</f>
        <v>3681.1800000000003</v>
      </c>
      <c r="AL23" s="1732"/>
      <c r="AM23" s="3609">
        <f t="shared" si="13"/>
        <v>10829.32</v>
      </c>
      <c r="AN23" s="1732"/>
      <c r="AO23" s="1732">
        <f t="shared" si="14"/>
        <v>36393.380000000005</v>
      </c>
      <c r="AP23" s="1732"/>
      <c r="AQ23" s="1732">
        <f>+SUM(AQ24:AQ32)</f>
        <v>3407.8000000000011</v>
      </c>
      <c r="AR23" s="1732"/>
      <c r="AS23" s="1732">
        <f t="shared" ref="AS23:AS58" si="35">+AO23+AQ23</f>
        <v>39801.180000000008</v>
      </c>
      <c r="AT23" s="1732"/>
      <c r="AU23" s="1732">
        <f>+SUM(AU24:AU32)</f>
        <v>3435.6</v>
      </c>
      <c r="AV23" s="1732"/>
      <c r="AW23" s="1732">
        <f t="shared" ref="AW23:AW58" si="36">+AS23+AU23</f>
        <v>43236.780000000006</v>
      </c>
      <c r="AX23" s="1732"/>
      <c r="AY23" s="1732">
        <f>+SUM(AY24:AY32)</f>
        <v>4223.34</v>
      </c>
      <c r="AZ23" s="1732"/>
      <c r="BA23" s="3609">
        <f t="shared" si="18"/>
        <v>11066.740000000002</v>
      </c>
      <c r="BB23" s="1732"/>
      <c r="BC23" s="625">
        <f t="shared" si="19"/>
        <v>21896.06</v>
      </c>
      <c r="BD23" s="1732"/>
      <c r="BE23" s="1732">
        <f t="shared" ref="BE23:BE58" si="37">+AW23+AY23</f>
        <v>47460.12000000001</v>
      </c>
      <c r="BF23" s="26"/>
      <c r="BG23" s="26"/>
    </row>
    <row r="24" spans="1:59" x14ac:dyDescent="0.25">
      <c r="B24" s="8" t="s">
        <v>351</v>
      </c>
      <c r="C24" s="193" t="s">
        <v>361</v>
      </c>
      <c r="D24" s="720"/>
      <c r="E24" s="1494">
        <v>613.43999999999994</v>
      </c>
      <c r="F24" s="1494"/>
      <c r="G24" s="1494">
        <v>926.99</v>
      </c>
      <c r="H24" s="2261"/>
      <c r="I24" s="2261">
        <f t="shared" si="29"/>
        <v>1540.4299999999998</v>
      </c>
      <c r="J24" s="1494"/>
      <c r="K24" s="1494">
        <v>652.38</v>
      </c>
      <c r="L24" s="236"/>
      <c r="M24" s="3609">
        <f t="shared" si="30"/>
        <v>2192.81</v>
      </c>
      <c r="N24" s="1494"/>
      <c r="O24" s="1494">
        <v>751.27</v>
      </c>
      <c r="P24" s="1494"/>
      <c r="Q24" s="947">
        <f t="shared" si="31"/>
        <v>2944.08</v>
      </c>
      <c r="R24" s="1494"/>
      <c r="S24" s="1494">
        <v>694.62</v>
      </c>
      <c r="T24" s="1494"/>
      <c r="U24" s="2555">
        <f t="shared" si="32"/>
        <v>3638.7</v>
      </c>
      <c r="V24" s="1494"/>
      <c r="W24" s="2941">
        <v>851.2800000000002</v>
      </c>
      <c r="X24" s="236"/>
      <c r="Y24" s="3609">
        <f t="shared" si="8"/>
        <v>2297.17</v>
      </c>
      <c r="Z24" s="2941"/>
      <c r="AA24" s="660">
        <f t="shared" si="9"/>
        <v>4489.9799999999996</v>
      </c>
      <c r="AB24" s="2941"/>
      <c r="AC24" s="2941">
        <v>754.87999999999965</v>
      </c>
      <c r="AD24" s="2941"/>
      <c r="AE24" s="3615">
        <f t="shared" si="33"/>
        <v>5244.8599999999988</v>
      </c>
      <c r="AF24" s="2941"/>
      <c r="AG24" s="2941">
        <v>554.55999999999995</v>
      </c>
      <c r="AH24" s="2941"/>
      <c r="AI24" s="3615">
        <f t="shared" si="34"/>
        <v>5799.4199999999983</v>
      </c>
      <c r="AJ24" s="2941"/>
      <c r="AK24" s="2941">
        <v>394.38</v>
      </c>
      <c r="AL24" s="2941"/>
      <c r="AM24" s="3609">
        <f t="shared" si="13"/>
        <v>1703.8199999999997</v>
      </c>
      <c r="AN24" s="2941"/>
      <c r="AO24" s="3615">
        <f t="shared" si="14"/>
        <v>6193.7999999999984</v>
      </c>
      <c r="AP24" s="2941"/>
      <c r="AQ24" s="2941">
        <v>413.39</v>
      </c>
      <c r="AR24" s="2941"/>
      <c r="AS24" s="3615">
        <f t="shared" si="35"/>
        <v>6607.1899999999987</v>
      </c>
      <c r="AT24" s="2941"/>
      <c r="AU24" s="2941">
        <v>358.64</v>
      </c>
      <c r="AV24" s="2941"/>
      <c r="AW24" s="452">
        <f t="shared" si="36"/>
        <v>6965.829999999999</v>
      </c>
      <c r="AX24" s="2941"/>
      <c r="AY24" s="2941">
        <v>458.7</v>
      </c>
      <c r="AZ24" s="2941"/>
      <c r="BA24" s="3609">
        <f t="shared" si="18"/>
        <v>1230.73</v>
      </c>
      <c r="BB24" s="2941"/>
      <c r="BC24" s="660">
        <f t="shared" si="19"/>
        <v>2934.5499999999997</v>
      </c>
      <c r="BD24" s="2941"/>
      <c r="BE24" s="452">
        <f t="shared" si="37"/>
        <v>7424.5299999999988</v>
      </c>
      <c r="BF24" s="26"/>
      <c r="BG24" s="26"/>
    </row>
    <row r="25" spans="1:59" x14ac:dyDescent="0.25">
      <c r="B25" s="8" t="s">
        <v>741</v>
      </c>
      <c r="C25" s="193" t="s">
        <v>361</v>
      </c>
      <c r="D25" s="720"/>
      <c r="E25" s="1494">
        <v>39.370000000000005</v>
      </c>
      <c r="F25" s="1494"/>
      <c r="G25" s="1494">
        <v>88.74</v>
      </c>
      <c r="H25" s="2261"/>
      <c r="I25" s="2261">
        <f t="shared" si="29"/>
        <v>128.11000000000001</v>
      </c>
      <c r="J25" s="1494"/>
      <c r="K25" s="1494">
        <v>39.53</v>
      </c>
      <c r="L25" s="236"/>
      <c r="M25" s="3609">
        <f t="shared" si="30"/>
        <v>167.64000000000001</v>
      </c>
      <c r="N25" s="1494"/>
      <c r="O25" s="1494">
        <v>9.8800000000000008</v>
      </c>
      <c r="P25" s="1494"/>
      <c r="Q25" s="947">
        <f t="shared" si="31"/>
        <v>177.52</v>
      </c>
      <c r="R25" s="1494"/>
      <c r="S25" s="1494">
        <v>29.53</v>
      </c>
      <c r="T25" s="1494"/>
      <c r="U25" s="2555">
        <f t="shared" si="32"/>
        <v>207.05</v>
      </c>
      <c r="V25" s="1494"/>
      <c r="W25" s="2941">
        <v>9.84</v>
      </c>
      <c r="X25" s="236"/>
      <c r="Y25" s="3609">
        <f t="shared" si="8"/>
        <v>49.25</v>
      </c>
      <c r="Z25" s="2941"/>
      <c r="AA25" s="660">
        <f t="shared" si="9"/>
        <v>216.89000000000001</v>
      </c>
      <c r="AB25" s="2941"/>
      <c r="AC25" s="2941">
        <v>19.91</v>
      </c>
      <c r="AD25" s="2941"/>
      <c r="AE25" s="3615">
        <f t="shared" si="33"/>
        <v>236.8</v>
      </c>
      <c r="AF25" s="2941"/>
      <c r="AG25" s="2941">
        <v>19.79</v>
      </c>
      <c r="AH25" s="2941"/>
      <c r="AI25" s="3615">
        <f t="shared" si="34"/>
        <v>256.59000000000003</v>
      </c>
      <c r="AJ25" s="2941"/>
      <c r="AK25" s="2941">
        <v>29.63</v>
      </c>
      <c r="AL25" s="2941"/>
      <c r="AM25" s="3609">
        <f t="shared" si="13"/>
        <v>69.33</v>
      </c>
      <c r="AN25" s="2941"/>
      <c r="AO25" s="3615">
        <f t="shared" si="14"/>
        <v>286.22000000000003</v>
      </c>
      <c r="AP25" s="2941"/>
      <c r="AQ25" s="2941"/>
      <c r="AR25" s="2941"/>
      <c r="AS25" s="3615">
        <f t="shared" si="35"/>
        <v>286.22000000000003</v>
      </c>
      <c r="AT25" s="2941"/>
      <c r="AU25" s="2941"/>
      <c r="AV25" s="2941"/>
      <c r="AW25" s="452">
        <f t="shared" si="36"/>
        <v>286.22000000000003</v>
      </c>
      <c r="AX25" s="2941"/>
      <c r="AY25" s="2941"/>
      <c r="AZ25" s="2941"/>
      <c r="BA25" s="3609">
        <f t="shared" si="18"/>
        <v>0</v>
      </c>
      <c r="BB25" s="2941"/>
      <c r="BC25" s="660">
        <f t="shared" si="19"/>
        <v>69.33</v>
      </c>
      <c r="BD25" s="2941"/>
      <c r="BE25" s="452">
        <f t="shared" si="37"/>
        <v>286.22000000000003</v>
      </c>
      <c r="BF25" s="26"/>
      <c r="BG25" s="26"/>
    </row>
    <row r="26" spans="1:59" x14ac:dyDescent="0.25">
      <c r="B26" s="8" t="s">
        <v>823</v>
      </c>
      <c r="C26" s="193" t="s">
        <v>361</v>
      </c>
      <c r="D26" s="720"/>
      <c r="E26" s="1494">
        <v>29.730000000000004</v>
      </c>
      <c r="F26" s="1494"/>
      <c r="G26" s="1494">
        <v>98.03</v>
      </c>
      <c r="H26" s="2261"/>
      <c r="I26" s="2261">
        <f t="shared" si="29"/>
        <v>127.76</v>
      </c>
      <c r="J26" s="1494"/>
      <c r="K26" s="1494">
        <v>19.68</v>
      </c>
      <c r="L26" s="236"/>
      <c r="M26" s="3609">
        <f t="shared" si="30"/>
        <v>147.44</v>
      </c>
      <c r="N26" s="1494"/>
      <c r="O26" s="1494">
        <v>9.68</v>
      </c>
      <c r="P26" s="1494"/>
      <c r="Q26" s="947">
        <f t="shared" si="31"/>
        <v>157.12</v>
      </c>
      <c r="R26" s="1494"/>
      <c r="S26" s="1494">
        <v>19.880000000000003</v>
      </c>
      <c r="T26" s="1494"/>
      <c r="U26" s="2555">
        <f t="shared" si="32"/>
        <v>177</v>
      </c>
      <c r="V26" s="1494"/>
      <c r="W26" s="2941">
        <v>0</v>
      </c>
      <c r="X26" s="236"/>
      <c r="Y26" s="3609">
        <f t="shared" si="8"/>
        <v>29.560000000000002</v>
      </c>
      <c r="Z26" s="2941"/>
      <c r="AA26" s="660">
        <f t="shared" si="9"/>
        <v>177</v>
      </c>
      <c r="AB26" s="2941"/>
      <c r="AC26" s="2941">
        <v>19.79</v>
      </c>
      <c r="AD26" s="2941"/>
      <c r="AE26" s="3615">
        <f t="shared" si="33"/>
        <v>196.79</v>
      </c>
      <c r="AF26" s="2941"/>
      <c r="AG26" s="2941">
        <v>19.73</v>
      </c>
      <c r="AH26" s="2941"/>
      <c r="AI26" s="3615">
        <f t="shared" si="34"/>
        <v>216.51999999999998</v>
      </c>
      <c r="AJ26" s="2941"/>
      <c r="AK26" s="2941">
        <v>9.7899999999999991</v>
      </c>
      <c r="AL26" s="2941"/>
      <c r="AM26" s="3609">
        <f t="shared" si="13"/>
        <v>49.309999999999995</v>
      </c>
      <c r="AN26" s="2941"/>
      <c r="AO26" s="3615">
        <f t="shared" si="14"/>
        <v>226.30999999999997</v>
      </c>
      <c r="AP26" s="2941"/>
      <c r="AQ26" s="2941">
        <v>19.439999999999998</v>
      </c>
      <c r="AR26" s="2941"/>
      <c r="AS26" s="3615">
        <f t="shared" si="35"/>
        <v>245.74999999999997</v>
      </c>
      <c r="AT26" s="2941"/>
      <c r="AU26" s="2941">
        <v>9.94</v>
      </c>
      <c r="AV26" s="2941"/>
      <c r="AW26" s="452">
        <f t="shared" si="36"/>
        <v>255.68999999999997</v>
      </c>
      <c r="AX26" s="2941"/>
      <c r="AY26" s="2941"/>
      <c r="AZ26" s="2941"/>
      <c r="BA26" s="3609">
        <f t="shared" si="18"/>
        <v>29.379999999999995</v>
      </c>
      <c r="BB26" s="2941"/>
      <c r="BC26" s="660">
        <f t="shared" si="19"/>
        <v>78.69</v>
      </c>
      <c r="BD26" s="2941"/>
      <c r="BE26" s="452">
        <f t="shared" si="37"/>
        <v>255.68999999999997</v>
      </c>
      <c r="BF26" s="26"/>
      <c r="BG26" s="26"/>
    </row>
    <row r="27" spans="1:59" s="4713" customFormat="1" x14ac:dyDescent="0.25">
      <c r="B27" s="8" t="s">
        <v>1898</v>
      </c>
      <c r="C27" s="4733" t="s">
        <v>361</v>
      </c>
      <c r="D27" s="4734"/>
      <c r="E27" s="4702"/>
      <c r="F27" s="4702"/>
      <c r="G27" s="4702"/>
      <c r="H27" s="4735"/>
      <c r="I27" s="4735"/>
      <c r="J27" s="4702"/>
      <c r="K27" s="4702"/>
      <c r="L27" s="4736"/>
      <c r="M27" s="3609">
        <f t="shared" si="30"/>
        <v>0</v>
      </c>
      <c r="N27" s="4702"/>
      <c r="O27" s="4702"/>
      <c r="P27" s="4702"/>
      <c r="Q27" s="4704"/>
      <c r="R27" s="4702"/>
      <c r="S27" s="4702"/>
      <c r="T27" s="4702"/>
      <c r="U27" s="4704"/>
      <c r="V27" s="4702"/>
      <c r="W27" s="4702"/>
      <c r="X27" s="4736"/>
      <c r="Y27" s="3609">
        <f t="shared" si="8"/>
        <v>0</v>
      </c>
      <c r="Z27" s="2941"/>
      <c r="AA27" s="660">
        <f t="shared" si="9"/>
        <v>0</v>
      </c>
      <c r="AB27" s="4702"/>
      <c r="AC27" s="4702"/>
      <c r="AD27" s="4702"/>
      <c r="AE27" s="4704"/>
      <c r="AF27" s="4702"/>
      <c r="AG27" s="4702"/>
      <c r="AH27" s="4702"/>
      <c r="AI27" s="4704"/>
      <c r="AJ27" s="4702"/>
      <c r="AK27" s="4702"/>
      <c r="AL27" s="4702"/>
      <c r="AM27" s="3609">
        <f t="shared" si="13"/>
        <v>0</v>
      </c>
      <c r="AN27" s="4702"/>
      <c r="AO27" s="4704"/>
      <c r="AP27" s="4702"/>
      <c r="AQ27" s="4702"/>
      <c r="AR27" s="4702"/>
      <c r="AS27" s="3615">
        <f t="shared" si="35"/>
        <v>0</v>
      </c>
      <c r="AT27" s="4702"/>
      <c r="AU27" s="4702">
        <v>9.11</v>
      </c>
      <c r="AV27" s="4702"/>
      <c r="AW27" s="452">
        <f t="shared" si="36"/>
        <v>9.11</v>
      </c>
      <c r="AX27" s="4702"/>
      <c r="AY27" s="4702"/>
      <c r="AZ27" s="4702"/>
      <c r="BA27" s="3609">
        <f t="shared" si="18"/>
        <v>9.11</v>
      </c>
      <c r="BB27" s="2941"/>
      <c r="BC27" s="660">
        <f t="shared" si="19"/>
        <v>9.11</v>
      </c>
      <c r="BD27" s="4702"/>
      <c r="BE27" s="452">
        <f t="shared" si="37"/>
        <v>9.11</v>
      </c>
      <c r="BF27" s="26"/>
      <c r="BG27" s="26"/>
    </row>
    <row r="28" spans="1:59" x14ac:dyDescent="0.25">
      <c r="B28" s="8" t="s">
        <v>715</v>
      </c>
      <c r="C28" s="193" t="s">
        <v>361</v>
      </c>
      <c r="D28" s="720"/>
      <c r="E28" s="1494">
        <v>3811.5199999999995</v>
      </c>
      <c r="F28" s="1494"/>
      <c r="G28" s="1494">
        <v>3628.89</v>
      </c>
      <c r="H28" s="2261"/>
      <c r="I28" s="2261">
        <f t="shared" si="29"/>
        <v>7440.41</v>
      </c>
      <c r="J28" s="1494"/>
      <c r="K28" s="1494">
        <v>3242.78</v>
      </c>
      <c r="L28" s="236"/>
      <c r="M28" s="3609">
        <f t="shared" si="30"/>
        <v>10683.19</v>
      </c>
      <c r="N28" s="1494"/>
      <c r="O28" s="1494">
        <v>3353.48</v>
      </c>
      <c r="P28" s="1494"/>
      <c r="Q28" s="947">
        <f t="shared" si="31"/>
        <v>14036.67</v>
      </c>
      <c r="R28" s="1494"/>
      <c r="S28" s="1494">
        <v>3303.1899999999982</v>
      </c>
      <c r="T28" s="1494"/>
      <c r="U28" s="2555">
        <f t="shared" si="32"/>
        <v>17339.859999999997</v>
      </c>
      <c r="V28" s="1494"/>
      <c r="W28" s="2941">
        <v>3234.9900000000011</v>
      </c>
      <c r="X28" s="236"/>
      <c r="Y28" s="3609">
        <f t="shared" si="8"/>
        <v>9891.66</v>
      </c>
      <c r="Z28" s="2941"/>
      <c r="AA28" s="660">
        <f t="shared" si="9"/>
        <v>20574.849999999999</v>
      </c>
      <c r="AB28" s="2941"/>
      <c r="AC28" s="2941">
        <v>2951.2399999999993</v>
      </c>
      <c r="AD28" s="2941"/>
      <c r="AE28" s="3615">
        <f t="shared" si="33"/>
        <v>23526.089999999997</v>
      </c>
      <c r="AF28" s="2941"/>
      <c r="AG28" s="2941">
        <v>2773.83</v>
      </c>
      <c r="AH28" s="2941"/>
      <c r="AI28" s="3615">
        <f t="shared" si="34"/>
        <v>26299.919999999998</v>
      </c>
      <c r="AJ28" s="2941"/>
      <c r="AK28" s="2941">
        <v>3234.27</v>
      </c>
      <c r="AL28" s="2941"/>
      <c r="AM28" s="3609">
        <f t="shared" si="13"/>
        <v>8959.34</v>
      </c>
      <c r="AN28" s="2941"/>
      <c r="AO28" s="3615">
        <f t="shared" si="14"/>
        <v>29534.19</v>
      </c>
      <c r="AP28" s="2941"/>
      <c r="AQ28" s="2941">
        <v>2965.3200000000011</v>
      </c>
      <c r="AR28" s="2941"/>
      <c r="AS28" s="3615">
        <f t="shared" si="35"/>
        <v>32499.51</v>
      </c>
      <c r="AT28" s="2941"/>
      <c r="AU28" s="2941">
        <v>3048.18</v>
      </c>
      <c r="AV28" s="2941"/>
      <c r="AW28" s="452">
        <f t="shared" si="36"/>
        <v>35547.689999999995</v>
      </c>
      <c r="AX28" s="2941"/>
      <c r="AY28" s="2941">
        <v>3735.18</v>
      </c>
      <c r="AZ28" s="2941"/>
      <c r="BA28" s="3609">
        <f t="shared" si="18"/>
        <v>9748.68</v>
      </c>
      <c r="BB28" s="2941"/>
      <c r="BC28" s="660">
        <f t="shared" si="19"/>
        <v>18708.02</v>
      </c>
      <c r="BD28" s="2941"/>
      <c r="BE28" s="452">
        <f t="shared" si="37"/>
        <v>39282.869999999995</v>
      </c>
      <c r="BF28" s="26"/>
      <c r="BG28" s="26"/>
    </row>
    <row r="29" spans="1:59" x14ac:dyDescent="0.25">
      <c r="B29" s="8" t="s">
        <v>824</v>
      </c>
      <c r="C29" s="193" t="s">
        <v>361</v>
      </c>
      <c r="D29" s="720"/>
      <c r="E29" s="1494">
        <v>9.67</v>
      </c>
      <c r="F29" s="1494"/>
      <c r="G29" s="1494">
        <v>9.64</v>
      </c>
      <c r="H29" s="2261"/>
      <c r="I29" s="2261">
        <f t="shared" si="29"/>
        <v>19.310000000000002</v>
      </c>
      <c r="J29" s="1494"/>
      <c r="K29" s="1494"/>
      <c r="L29" s="236"/>
      <c r="M29" s="3609">
        <f t="shared" si="30"/>
        <v>19.310000000000002</v>
      </c>
      <c r="N29" s="1494"/>
      <c r="O29" s="1494"/>
      <c r="P29" s="1494"/>
      <c r="Q29" s="947">
        <f t="shared" si="31"/>
        <v>19.310000000000002</v>
      </c>
      <c r="R29" s="1494"/>
      <c r="S29" s="1494">
        <v>9.57</v>
      </c>
      <c r="T29" s="1494"/>
      <c r="U29" s="2555">
        <f t="shared" si="32"/>
        <v>28.880000000000003</v>
      </c>
      <c r="V29" s="1494"/>
      <c r="W29" s="2941"/>
      <c r="X29" s="236"/>
      <c r="Y29" s="3609">
        <f t="shared" si="8"/>
        <v>9.57</v>
      </c>
      <c r="Z29" s="2941"/>
      <c r="AA29" s="660">
        <f t="shared" si="9"/>
        <v>28.880000000000003</v>
      </c>
      <c r="AB29" s="2941"/>
      <c r="AC29" s="2941">
        <v>9.75</v>
      </c>
      <c r="AD29" s="2941"/>
      <c r="AE29" s="3615">
        <f t="shared" si="33"/>
        <v>38.630000000000003</v>
      </c>
      <c r="AF29" s="2941"/>
      <c r="AG29" s="2941"/>
      <c r="AH29" s="2941"/>
      <c r="AI29" s="3615">
        <f t="shared" si="34"/>
        <v>38.630000000000003</v>
      </c>
      <c r="AJ29" s="2941"/>
      <c r="AK29" s="2941"/>
      <c r="AL29" s="2941"/>
      <c r="AM29" s="3609">
        <f t="shared" si="13"/>
        <v>9.75</v>
      </c>
      <c r="AN29" s="2941"/>
      <c r="AO29" s="3615">
        <f t="shared" si="14"/>
        <v>38.630000000000003</v>
      </c>
      <c r="AP29" s="2941"/>
      <c r="AQ29" s="2941"/>
      <c r="AR29" s="2941"/>
      <c r="AS29" s="3615">
        <f t="shared" si="35"/>
        <v>38.630000000000003</v>
      </c>
      <c r="AT29" s="2941"/>
      <c r="AU29" s="2941">
        <v>9.73</v>
      </c>
      <c r="AV29" s="2941"/>
      <c r="AW29" s="452">
        <f t="shared" si="36"/>
        <v>48.36</v>
      </c>
      <c r="AX29" s="2941"/>
      <c r="AY29" s="2941"/>
      <c r="AZ29" s="2941"/>
      <c r="BA29" s="3609">
        <f t="shared" si="18"/>
        <v>9.73</v>
      </c>
      <c r="BB29" s="2941"/>
      <c r="BC29" s="660">
        <f t="shared" si="19"/>
        <v>19.48</v>
      </c>
      <c r="BD29" s="2941"/>
      <c r="BE29" s="452">
        <f t="shared" si="37"/>
        <v>48.36</v>
      </c>
      <c r="BF29" s="26"/>
      <c r="BG29" s="26"/>
    </row>
    <row r="30" spans="1:59" x14ac:dyDescent="0.25">
      <c r="B30" s="8" t="s">
        <v>1634</v>
      </c>
      <c r="C30" s="193" t="s">
        <v>361</v>
      </c>
      <c r="D30" s="720"/>
      <c r="E30" s="1494"/>
      <c r="F30" s="1494"/>
      <c r="G30" s="1494"/>
      <c r="H30" s="2261"/>
      <c r="I30" s="2261">
        <f t="shared" si="29"/>
        <v>0</v>
      </c>
      <c r="J30" s="1494"/>
      <c r="K30" s="1494">
        <v>9.66</v>
      </c>
      <c r="L30" s="236"/>
      <c r="M30" s="3609">
        <f t="shared" si="30"/>
        <v>9.66</v>
      </c>
      <c r="N30" s="1494"/>
      <c r="O30" s="1494"/>
      <c r="P30" s="1494"/>
      <c r="Q30" s="947">
        <f t="shared" si="31"/>
        <v>9.66</v>
      </c>
      <c r="R30" s="1494"/>
      <c r="S30" s="1494">
        <v>0</v>
      </c>
      <c r="T30" s="1494"/>
      <c r="U30" s="2555">
        <f t="shared" si="32"/>
        <v>9.66</v>
      </c>
      <c r="V30" s="1494"/>
      <c r="W30" s="2941"/>
      <c r="X30" s="236"/>
      <c r="Y30" s="3609">
        <f t="shared" si="8"/>
        <v>0</v>
      </c>
      <c r="Z30" s="2941"/>
      <c r="AA30" s="660">
        <f t="shared" si="9"/>
        <v>9.66</v>
      </c>
      <c r="AB30" s="2941"/>
      <c r="AC30" s="2941">
        <v>9.75</v>
      </c>
      <c r="AD30" s="2941"/>
      <c r="AE30" s="3615">
        <f t="shared" si="33"/>
        <v>19.41</v>
      </c>
      <c r="AF30" s="2941"/>
      <c r="AG30" s="2941"/>
      <c r="AH30" s="2941"/>
      <c r="AI30" s="3615">
        <f t="shared" si="34"/>
        <v>19.41</v>
      </c>
      <c r="AJ30" s="2941"/>
      <c r="AK30" s="2941"/>
      <c r="AL30" s="2941"/>
      <c r="AM30" s="3609">
        <f t="shared" si="13"/>
        <v>9.75</v>
      </c>
      <c r="AN30" s="2941"/>
      <c r="AO30" s="3615">
        <f t="shared" si="14"/>
        <v>19.41</v>
      </c>
      <c r="AP30" s="2941"/>
      <c r="AQ30" s="2941">
        <v>9.65</v>
      </c>
      <c r="AR30" s="2941"/>
      <c r="AS30" s="3615">
        <f t="shared" si="35"/>
        <v>29.060000000000002</v>
      </c>
      <c r="AT30" s="2941"/>
      <c r="AU30" s="2941"/>
      <c r="AV30" s="2941"/>
      <c r="AW30" s="452">
        <f t="shared" si="36"/>
        <v>29.060000000000002</v>
      </c>
      <c r="AX30" s="2941"/>
      <c r="AY30" s="2941"/>
      <c r="AZ30" s="2941"/>
      <c r="BA30" s="3609">
        <f t="shared" si="18"/>
        <v>9.65</v>
      </c>
      <c r="BB30" s="2941"/>
      <c r="BC30" s="660">
        <f t="shared" si="19"/>
        <v>19.399999999999999</v>
      </c>
      <c r="BD30" s="2941"/>
      <c r="BE30" s="452">
        <f t="shared" si="37"/>
        <v>29.060000000000002</v>
      </c>
      <c r="BF30" s="26"/>
      <c r="BG30" s="26"/>
    </row>
    <row r="31" spans="1:59" x14ac:dyDescent="0.25">
      <c r="B31" s="8" t="s">
        <v>843</v>
      </c>
      <c r="C31" s="193" t="s">
        <v>361</v>
      </c>
      <c r="D31" s="720"/>
      <c r="E31" s="1494">
        <v>12.34</v>
      </c>
      <c r="F31" s="1494"/>
      <c r="G31" s="1494">
        <v>14.96</v>
      </c>
      <c r="H31" s="2261"/>
      <c r="I31" s="2261">
        <f t="shared" si="29"/>
        <v>27.3</v>
      </c>
      <c r="J31" s="1494"/>
      <c r="K31" s="1494"/>
      <c r="L31" s="236"/>
      <c r="M31" s="3609">
        <f t="shared" si="30"/>
        <v>27.3</v>
      </c>
      <c r="N31" s="1494"/>
      <c r="O31" s="1494"/>
      <c r="P31" s="1494"/>
      <c r="Q31" s="947">
        <f t="shared" si="31"/>
        <v>27.3</v>
      </c>
      <c r="R31" s="1494"/>
      <c r="S31" s="1494">
        <v>0</v>
      </c>
      <c r="T31" s="1494"/>
      <c r="U31" s="2555">
        <f t="shared" si="32"/>
        <v>27.3</v>
      </c>
      <c r="V31" s="1494"/>
      <c r="W31" s="2941"/>
      <c r="X31" s="236"/>
      <c r="Y31" s="3609">
        <f t="shared" si="8"/>
        <v>0</v>
      </c>
      <c r="Z31" s="2941"/>
      <c r="AA31" s="660">
        <f t="shared" si="9"/>
        <v>27.3</v>
      </c>
      <c r="AB31" s="2941"/>
      <c r="AC31" s="2941">
        <v>14.91</v>
      </c>
      <c r="AD31" s="2941"/>
      <c r="AE31" s="3615">
        <f t="shared" si="33"/>
        <v>42.21</v>
      </c>
      <c r="AF31" s="2941"/>
      <c r="AG31" s="2941"/>
      <c r="AH31" s="2941"/>
      <c r="AI31" s="3615">
        <f t="shared" si="34"/>
        <v>42.21</v>
      </c>
      <c r="AJ31" s="2941"/>
      <c r="AK31" s="2941">
        <v>13.11</v>
      </c>
      <c r="AL31" s="2941"/>
      <c r="AM31" s="3609">
        <f t="shared" si="13"/>
        <v>28.02</v>
      </c>
      <c r="AN31" s="2941"/>
      <c r="AO31" s="3615">
        <f t="shared" si="14"/>
        <v>55.32</v>
      </c>
      <c r="AP31" s="2941"/>
      <c r="AQ31" s="2941"/>
      <c r="AR31" s="2941"/>
      <c r="AS31" s="3615">
        <f t="shared" si="35"/>
        <v>55.32</v>
      </c>
      <c r="AT31" s="2941"/>
      <c r="AU31" s="2941"/>
      <c r="AV31" s="2941"/>
      <c r="AW31" s="452">
        <f t="shared" si="36"/>
        <v>55.32</v>
      </c>
      <c r="AX31" s="2941"/>
      <c r="AY31" s="2941">
        <v>14.58</v>
      </c>
      <c r="AZ31" s="2941"/>
      <c r="BA31" s="3609">
        <f t="shared" si="18"/>
        <v>14.58</v>
      </c>
      <c r="BB31" s="2941"/>
      <c r="BC31" s="660">
        <f t="shared" si="19"/>
        <v>42.6</v>
      </c>
      <c r="BD31" s="2941"/>
      <c r="BE31" s="452">
        <f t="shared" si="37"/>
        <v>69.900000000000006</v>
      </c>
      <c r="BF31" s="26"/>
      <c r="BG31" s="26"/>
    </row>
    <row r="32" spans="1:59" x14ac:dyDescent="0.25">
      <c r="B32" s="8" t="s">
        <v>844</v>
      </c>
      <c r="C32" s="193" t="s">
        <v>361</v>
      </c>
      <c r="D32" s="720"/>
      <c r="E32" s="1494">
        <v>14.7</v>
      </c>
      <c r="F32" s="1494"/>
      <c r="G32" s="1494">
        <v>9.9499999999999993</v>
      </c>
      <c r="H32" s="2261"/>
      <c r="I32" s="2261">
        <f t="shared" si="29"/>
        <v>24.65</v>
      </c>
      <c r="J32" s="1494"/>
      <c r="K32" s="1494"/>
      <c r="L32" s="236"/>
      <c r="M32" s="3609">
        <f t="shared" si="30"/>
        <v>24.65</v>
      </c>
      <c r="N32" s="1494"/>
      <c r="O32" s="1494">
        <v>14.85</v>
      </c>
      <c r="P32" s="1494"/>
      <c r="Q32" s="947">
        <f t="shared" si="31"/>
        <v>39.5</v>
      </c>
      <c r="R32" s="1494"/>
      <c r="S32" s="1494">
        <v>0</v>
      </c>
      <c r="T32" s="1494"/>
      <c r="U32" s="2555">
        <f t="shared" si="32"/>
        <v>39.5</v>
      </c>
      <c r="V32" s="1494"/>
      <c r="W32" s="2941"/>
      <c r="X32" s="236"/>
      <c r="Y32" s="3609">
        <f t="shared" si="8"/>
        <v>14.85</v>
      </c>
      <c r="Z32" s="2941"/>
      <c r="AA32" s="660">
        <f t="shared" si="9"/>
        <v>39.5</v>
      </c>
      <c r="AB32" s="2941"/>
      <c r="AC32" s="2941"/>
      <c r="AD32" s="2941"/>
      <c r="AE32" s="3615">
        <f t="shared" si="33"/>
        <v>39.5</v>
      </c>
      <c r="AF32" s="2941"/>
      <c r="AG32" s="2941"/>
      <c r="AH32" s="2941"/>
      <c r="AI32" s="3615">
        <f t="shared" si="34"/>
        <v>39.5</v>
      </c>
      <c r="AJ32" s="2941"/>
      <c r="AK32" s="2941"/>
      <c r="AL32" s="2941"/>
      <c r="AM32" s="3609">
        <f t="shared" si="13"/>
        <v>0</v>
      </c>
      <c r="AN32" s="2941"/>
      <c r="AO32" s="3615">
        <f t="shared" si="14"/>
        <v>39.5</v>
      </c>
      <c r="AP32" s="2941"/>
      <c r="AQ32" s="2941"/>
      <c r="AR32" s="2941"/>
      <c r="AS32" s="3615">
        <f t="shared" si="35"/>
        <v>39.5</v>
      </c>
      <c r="AT32" s="2941"/>
      <c r="AU32" s="2941"/>
      <c r="AV32" s="2941"/>
      <c r="AW32" s="452">
        <f t="shared" si="36"/>
        <v>39.5</v>
      </c>
      <c r="AX32" s="2941"/>
      <c r="AY32" s="2941">
        <v>14.88</v>
      </c>
      <c r="AZ32" s="2941"/>
      <c r="BA32" s="3609">
        <f t="shared" si="18"/>
        <v>14.88</v>
      </c>
      <c r="BB32" s="2941"/>
      <c r="BC32" s="660">
        <f t="shared" si="19"/>
        <v>14.88</v>
      </c>
      <c r="BD32" s="2941"/>
      <c r="BE32" s="452">
        <f t="shared" si="37"/>
        <v>54.38</v>
      </c>
      <c r="BF32" s="26"/>
      <c r="BG32" s="26"/>
    </row>
    <row r="33" spans="1:59" x14ac:dyDescent="0.25">
      <c r="B33" s="906" t="s">
        <v>742</v>
      </c>
      <c r="C33" s="193" t="s">
        <v>361</v>
      </c>
      <c r="D33" s="1416"/>
      <c r="E33" s="1732">
        <v>957.25000000000011</v>
      </c>
      <c r="F33" s="1732"/>
      <c r="G33" s="1732">
        <v>636.04</v>
      </c>
      <c r="H33" s="2262"/>
      <c r="I33" s="2262">
        <f t="shared" si="29"/>
        <v>1593.29</v>
      </c>
      <c r="J33" s="1732"/>
      <c r="K33" s="1732">
        <v>264.37</v>
      </c>
      <c r="L33" s="1732"/>
      <c r="M33" s="3609">
        <f t="shared" si="30"/>
        <v>1857.6599999999999</v>
      </c>
      <c r="N33" s="1732"/>
      <c r="O33" s="1732">
        <v>28.85</v>
      </c>
      <c r="P33" s="1732"/>
      <c r="Q33" s="1732">
        <f t="shared" si="31"/>
        <v>1886.5099999999998</v>
      </c>
      <c r="R33" s="1732"/>
      <c r="S33" s="1732">
        <v>0</v>
      </c>
      <c r="T33" s="1732"/>
      <c r="U33" s="1732">
        <f t="shared" si="32"/>
        <v>1886.5099999999998</v>
      </c>
      <c r="V33" s="1634"/>
      <c r="W33" s="1732">
        <v>0</v>
      </c>
      <c r="X33" s="1732"/>
      <c r="Y33" s="3609">
        <f t="shared" si="8"/>
        <v>28.85</v>
      </c>
      <c r="Z33" s="1634"/>
      <c r="AA33" s="625">
        <f t="shared" si="9"/>
        <v>1886.5099999999998</v>
      </c>
      <c r="AB33" s="1732"/>
      <c r="AC33" s="1732">
        <v>0</v>
      </c>
      <c r="AD33" s="1732"/>
      <c r="AE33" s="1732">
        <f t="shared" si="33"/>
        <v>1886.5099999999998</v>
      </c>
      <c r="AF33" s="1732"/>
      <c r="AG33" s="1732">
        <v>0</v>
      </c>
      <c r="AH33" s="1732"/>
      <c r="AI33" s="1732">
        <f t="shared" si="34"/>
        <v>1886.5099999999998</v>
      </c>
      <c r="AJ33" s="1634"/>
      <c r="AK33" s="1732">
        <v>0</v>
      </c>
      <c r="AL33" s="1634"/>
      <c r="AM33" s="3609">
        <f t="shared" si="13"/>
        <v>0</v>
      </c>
      <c r="AN33" s="1732"/>
      <c r="AO33" s="1732">
        <f t="shared" si="14"/>
        <v>1886.5099999999998</v>
      </c>
      <c r="AP33" s="1732"/>
      <c r="AQ33" s="1732">
        <v>0</v>
      </c>
      <c r="AR33" s="1732"/>
      <c r="AS33" s="1732">
        <f t="shared" si="35"/>
        <v>1886.5099999999998</v>
      </c>
      <c r="AT33" s="1732"/>
      <c r="AU33" s="1732">
        <v>0</v>
      </c>
      <c r="AV33" s="1732"/>
      <c r="AW33" s="1732">
        <f t="shared" si="36"/>
        <v>1886.5099999999998</v>
      </c>
      <c r="AX33" s="1732"/>
      <c r="AY33" s="1732">
        <v>0</v>
      </c>
      <c r="AZ33" s="1634"/>
      <c r="BA33" s="3609">
        <f t="shared" si="18"/>
        <v>0</v>
      </c>
      <c r="BB33" s="1634"/>
      <c r="BC33" s="625">
        <f t="shared" si="19"/>
        <v>0</v>
      </c>
      <c r="BD33" s="1732"/>
      <c r="BE33" s="1732">
        <f t="shared" si="37"/>
        <v>1886.5099999999998</v>
      </c>
      <c r="BF33" s="26"/>
      <c r="BG33" s="26"/>
    </row>
    <row r="34" spans="1:59" x14ac:dyDescent="0.25">
      <c r="A34" s="183"/>
      <c r="B34" s="906" t="s">
        <v>687</v>
      </c>
      <c r="C34" s="242"/>
      <c r="D34" s="1732"/>
      <c r="E34" s="1732">
        <f>+SUM(E35:E47)</f>
        <v>2113.4800000000005</v>
      </c>
      <c r="F34" s="1732"/>
      <c r="G34" s="1732">
        <f>+SUM(G35:G47)</f>
        <v>2814.95</v>
      </c>
      <c r="H34" s="2262"/>
      <c r="I34" s="2262">
        <f t="shared" si="29"/>
        <v>4928.43</v>
      </c>
      <c r="J34" s="1732"/>
      <c r="K34" s="1732">
        <f>+SUM(K35:K47)</f>
        <v>2078.34</v>
      </c>
      <c r="L34" s="1732"/>
      <c r="M34" s="3609">
        <f t="shared" si="30"/>
        <v>7006.77</v>
      </c>
      <c r="N34" s="1732"/>
      <c r="O34" s="1732">
        <f>+SUM(O35:O47)</f>
        <v>1166.6100000000001</v>
      </c>
      <c r="P34" s="1732"/>
      <c r="Q34" s="1732">
        <f t="shared" si="31"/>
        <v>8173.380000000001</v>
      </c>
      <c r="R34" s="1732"/>
      <c r="S34" s="1732">
        <f>+SUM(S35:S47)</f>
        <v>288.65999999999997</v>
      </c>
      <c r="T34" s="1732"/>
      <c r="U34" s="1732">
        <f t="shared" si="32"/>
        <v>8462.0400000000009</v>
      </c>
      <c r="V34" s="1732"/>
      <c r="W34" s="1732">
        <f>+SUM(W35:W47)</f>
        <v>0</v>
      </c>
      <c r="X34" s="1732"/>
      <c r="Y34" s="3609">
        <f t="shared" si="8"/>
        <v>1455.27</v>
      </c>
      <c r="Z34" s="1732"/>
      <c r="AA34" s="625">
        <f t="shared" si="9"/>
        <v>8462.0400000000009</v>
      </c>
      <c r="AB34" s="1732"/>
      <c r="AC34" s="1732">
        <f>+SUM(AC35:AC47)</f>
        <v>0</v>
      </c>
      <c r="AD34" s="1732"/>
      <c r="AE34" s="1732">
        <f t="shared" si="33"/>
        <v>8462.0400000000009</v>
      </c>
      <c r="AF34" s="1732"/>
      <c r="AG34" s="1732">
        <f>+SUM(AG35:AG47)</f>
        <v>236.25</v>
      </c>
      <c r="AH34" s="1732"/>
      <c r="AI34" s="1732">
        <f t="shared" si="34"/>
        <v>8698.2900000000009</v>
      </c>
      <c r="AJ34" s="1732"/>
      <c r="AK34" s="1732">
        <f>+SUM(AK35:AK47)</f>
        <v>379.25</v>
      </c>
      <c r="AL34" s="1732"/>
      <c r="AM34" s="3609">
        <f t="shared" si="13"/>
        <v>615.5</v>
      </c>
      <c r="AN34" s="1732"/>
      <c r="AO34" s="1732">
        <f t="shared" si="14"/>
        <v>9077.5400000000009</v>
      </c>
      <c r="AP34" s="1732"/>
      <c r="AQ34" s="1732">
        <f>+SUM(AQ35:AQ47)</f>
        <v>240.14</v>
      </c>
      <c r="AR34" s="1732"/>
      <c r="AS34" s="1732">
        <f t="shared" si="35"/>
        <v>9317.68</v>
      </c>
      <c r="AT34" s="1732"/>
      <c r="AU34" s="1732">
        <f>+SUM(AU35:AU47)</f>
        <v>109.44</v>
      </c>
      <c r="AV34" s="1732"/>
      <c r="AW34" s="1732">
        <f t="shared" si="36"/>
        <v>9427.1200000000008</v>
      </c>
      <c r="AX34" s="1732"/>
      <c r="AY34" s="1732">
        <f>+SUM(AY35:AY47)</f>
        <v>0</v>
      </c>
      <c r="AZ34" s="1732"/>
      <c r="BA34" s="3609">
        <f t="shared" si="18"/>
        <v>349.58</v>
      </c>
      <c r="BB34" s="1732"/>
      <c r="BC34" s="625">
        <f t="shared" si="19"/>
        <v>965.07999999999993</v>
      </c>
      <c r="BD34" s="1732"/>
      <c r="BE34" s="1732">
        <f t="shared" si="37"/>
        <v>9427.1200000000008</v>
      </c>
      <c r="BF34" s="26"/>
      <c r="BG34" s="26"/>
    </row>
    <row r="35" spans="1:59" x14ac:dyDescent="0.25">
      <c r="B35" s="8" t="s">
        <v>867</v>
      </c>
      <c r="C35" s="193" t="s">
        <v>361</v>
      </c>
      <c r="D35" s="720"/>
      <c r="E35" s="1494">
        <v>52.56</v>
      </c>
      <c r="F35" s="1494"/>
      <c r="G35" s="1494">
        <v>67.98</v>
      </c>
      <c r="H35" s="2261"/>
      <c r="I35" s="2261">
        <f t="shared" si="29"/>
        <v>120.54</v>
      </c>
      <c r="J35" s="1494"/>
      <c r="K35" s="1494">
        <v>116.71</v>
      </c>
      <c r="L35" s="236"/>
      <c r="M35" s="3609">
        <f t="shared" si="30"/>
        <v>237.25</v>
      </c>
      <c r="N35" s="1494"/>
      <c r="O35" s="1494">
        <v>87.56</v>
      </c>
      <c r="P35" s="1494"/>
      <c r="Q35" s="947">
        <f t="shared" si="31"/>
        <v>324.81</v>
      </c>
      <c r="R35" s="1494"/>
      <c r="S35" s="1494"/>
      <c r="T35" s="1494"/>
      <c r="U35" s="2555">
        <f t="shared" si="32"/>
        <v>324.81</v>
      </c>
      <c r="V35" s="1494"/>
      <c r="W35" s="2941"/>
      <c r="X35" s="236"/>
      <c r="Y35" s="3609">
        <f t="shared" si="8"/>
        <v>87.56</v>
      </c>
      <c r="Z35" s="2941"/>
      <c r="AA35" s="660">
        <f t="shared" si="9"/>
        <v>324.81</v>
      </c>
      <c r="AB35" s="2941"/>
      <c r="AC35" s="2941"/>
      <c r="AD35" s="2941"/>
      <c r="AE35" s="3615">
        <f t="shared" si="33"/>
        <v>324.81</v>
      </c>
      <c r="AF35" s="2941"/>
      <c r="AG35" s="2941"/>
      <c r="AH35" s="2941"/>
      <c r="AI35" s="3615">
        <f t="shared" si="34"/>
        <v>324.81</v>
      </c>
      <c r="AJ35" s="2941"/>
      <c r="AK35" s="2941"/>
      <c r="AL35" s="2941"/>
      <c r="AM35" s="3609">
        <f t="shared" si="13"/>
        <v>0</v>
      </c>
      <c r="AN35" s="2941"/>
      <c r="AO35" s="3615">
        <f t="shared" si="14"/>
        <v>324.81</v>
      </c>
      <c r="AP35" s="2941"/>
      <c r="AQ35" s="2941"/>
      <c r="AR35" s="2941"/>
      <c r="AS35" s="3615">
        <f t="shared" si="35"/>
        <v>324.81</v>
      </c>
      <c r="AT35" s="2941"/>
      <c r="AU35" s="2941"/>
      <c r="AV35" s="2941"/>
      <c r="AW35" s="452">
        <f t="shared" si="36"/>
        <v>324.81</v>
      </c>
      <c r="AX35" s="2941"/>
      <c r="AY35" s="2941"/>
      <c r="AZ35" s="2941"/>
      <c r="BA35" s="3609">
        <f t="shared" si="18"/>
        <v>0</v>
      </c>
      <c r="BB35" s="2941"/>
      <c r="BC35" s="660">
        <f t="shared" si="19"/>
        <v>0</v>
      </c>
      <c r="BD35" s="2941"/>
      <c r="BE35" s="452">
        <f t="shared" si="37"/>
        <v>324.81</v>
      </c>
      <c r="BF35" s="26"/>
      <c r="BG35" s="26"/>
    </row>
    <row r="36" spans="1:59" x14ac:dyDescent="0.25">
      <c r="B36" s="8" t="s">
        <v>845</v>
      </c>
      <c r="C36" s="193" t="s">
        <v>361</v>
      </c>
      <c r="D36" s="720"/>
      <c r="E36" s="1494">
        <v>1802.4400000000007</v>
      </c>
      <c r="F36" s="1494"/>
      <c r="G36" s="1494">
        <v>2593.87</v>
      </c>
      <c r="H36" s="2261"/>
      <c r="I36" s="2261">
        <f t="shared" si="29"/>
        <v>4396.3100000000004</v>
      </c>
      <c r="J36" s="1494"/>
      <c r="K36" s="1494">
        <v>1830.81</v>
      </c>
      <c r="L36" s="236"/>
      <c r="M36" s="3609">
        <f t="shared" si="30"/>
        <v>6227.1200000000008</v>
      </c>
      <c r="N36" s="1494"/>
      <c r="O36" s="1494">
        <v>877.23</v>
      </c>
      <c r="P36" s="1494"/>
      <c r="Q36" s="947">
        <f t="shared" si="31"/>
        <v>7104.35</v>
      </c>
      <c r="R36" s="1494"/>
      <c r="S36" s="1494">
        <v>267.80999999999995</v>
      </c>
      <c r="T36" s="1494"/>
      <c r="U36" s="2555">
        <f t="shared" si="32"/>
        <v>7372.16</v>
      </c>
      <c r="V36" s="1494"/>
      <c r="W36" s="2941"/>
      <c r="X36" s="236"/>
      <c r="Y36" s="3609">
        <f t="shared" si="8"/>
        <v>1145.04</v>
      </c>
      <c r="Z36" s="2941"/>
      <c r="AA36" s="660">
        <f t="shared" si="9"/>
        <v>7372.1600000000008</v>
      </c>
      <c r="AB36" s="2941"/>
      <c r="AC36" s="2941"/>
      <c r="AD36" s="2941"/>
      <c r="AE36" s="3615">
        <f t="shared" si="33"/>
        <v>7372.1600000000008</v>
      </c>
      <c r="AF36" s="2941"/>
      <c r="AG36" s="2941">
        <v>236.25</v>
      </c>
      <c r="AH36" s="2941"/>
      <c r="AI36" s="3615">
        <f t="shared" si="34"/>
        <v>7608.4100000000008</v>
      </c>
      <c r="AJ36" s="2941"/>
      <c r="AK36" s="2941">
        <v>379.25</v>
      </c>
      <c r="AL36" s="2941"/>
      <c r="AM36" s="3609">
        <f t="shared" si="13"/>
        <v>615.5</v>
      </c>
      <c r="AN36" s="2941"/>
      <c r="AO36" s="3615">
        <f t="shared" si="14"/>
        <v>7987.6600000000008</v>
      </c>
      <c r="AP36" s="2941"/>
      <c r="AQ36" s="2941">
        <v>240.14</v>
      </c>
      <c r="AR36" s="2941"/>
      <c r="AS36" s="3615">
        <f t="shared" si="35"/>
        <v>8227.8000000000011</v>
      </c>
      <c r="AT36" s="2941"/>
      <c r="AU36" s="2941"/>
      <c r="AV36" s="2941"/>
      <c r="AW36" s="452">
        <f t="shared" si="36"/>
        <v>8227.8000000000011</v>
      </c>
      <c r="AX36" s="2941"/>
      <c r="AY36" s="2941"/>
      <c r="AZ36" s="2941"/>
      <c r="BA36" s="3609">
        <f t="shared" si="18"/>
        <v>240.14</v>
      </c>
      <c r="BB36" s="2941"/>
      <c r="BC36" s="660">
        <f t="shared" si="19"/>
        <v>855.64</v>
      </c>
      <c r="BD36" s="2941"/>
      <c r="BE36" s="452">
        <f t="shared" si="37"/>
        <v>8227.8000000000011</v>
      </c>
      <c r="BF36" s="26"/>
      <c r="BG36" s="26"/>
    </row>
    <row r="37" spans="1:59" x14ac:dyDescent="0.25">
      <c r="B37" s="8" t="s">
        <v>1696</v>
      </c>
      <c r="C37" s="193" t="s">
        <v>361</v>
      </c>
      <c r="D37" s="720"/>
      <c r="E37" s="1494"/>
      <c r="F37" s="1494"/>
      <c r="G37" s="1494"/>
      <c r="H37" s="2261"/>
      <c r="I37" s="2261"/>
      <c r="J37" s="1494"/>
      <c r="K37" s="1494"/>
      <c r="L37" s="236"/>
      <c r="M37" s="3609">
        <f t="shared" si="30"/>
        <v>0</v>
      </c>
      <c r="N37" s="1494"/>
      <c r="O37" s="1494">
        <v>9.84</v>
      </c>
      <c r="P37" s="1494"/>
      <c r="Q37" s="947">
        <f t="shared" si="31"/>
        <v>9.84</v>
      </c>
      <c r="R37" s="1494"/>
      <c r="S37" s="1494"/>
      <c r="T37" s="1494"/>
      <c r="U37" s="2555">
        <f t="shared" si="32"/>
        <v>9.84</v>
      </c>
      <c r="V37" s="1494"/>
      <c r="W37" s="2941"/>
      <c r="X37" s="236"/>
      <c r="Y37" s="3609">
        <f t="shared" si="8"/>
        <v>9.84</v>
      </c>
      <c r="Z37" s="2941"/>
      <c r="AA37" s="660">
        <f t="shared" si="9"/>
        <v>9.84</v>
      </c>
      <c r="AB37" s="2941"/>
      <c r="AC37" s="2941"/>
      <c r="AD37" s="2941"/>
      <c r="AE37" s="3615">
        <f t="shared" si="33"/>
        <v>9.84</v>
      </c>
      <c r="AF37" s="2941"/>
      <c r="AG37" s="2941"/>
      <c r="AH37" s="2941"/>
      <c r="AI37" s="3615">
        <f t="shared" si="34"/>
        <v>9.84</v>
      </c>
      <c r="AJ37" s="2941"/>
      <c r="AK37" s="2941"/>
      <c r="AL37" s="2941"/>
      <c r="AM37" s="3609">
        <f t="shared" si="13"/>
        <v>0</v>
      </c>
      <c r="AN37" s="2941"/>
      <c r="AO37" s="3615">
        <f t="shared" si="14"/>
        <v>9.84</v>
      </c>
      <c r="AP37" s="2941"/>
      <c r="AQ37" s="2941"/>
      <c r="AR37" s="2941"/>
      <c r="AS37" s="3615">
        <f t="shared" si="35"/>
        <v>9.84</v>
      </c>
      <c r="AT37" s="2941"/>
      <c r="AU37" s="2941"/>
      <c r="AV37" s="2941"/>
      <c r="AW37" s="452">
        <f t="shared" si="36"/>
        <v>9.84</v>
      </c>
      <c r="AX37" s="2941"/>
      <c r="AY37" s="2941"/>
      <c r="AZ37" s="2941"/>
      <c r="BA37" s="3609">
        <f t="shared" si="18"/>
        <v>0</v>
      </c>
      <c r="BB37" s="2941"/>
      <c r="BC37" s="660">
        <f t="shared" si="19"/>
        <v>0</v>
      </c>
      <c r="BD37" s="2941"/>
      <c r="BE37" s="452">
        <f t="shared" si="37"/>
        <v>9.84</v>
      </c>
      <c r="BF37" s="26"/>
      <c r="BG37" s="26"/>
    </row>
    <row r="38" spans="1:59" x14ac:dyDescent="0.25">
      <c r="B38" s="8" t="s">
        <v>1697</v>
      </c>
      <c r="C38" s="193" t="s">
        <v>361</v>
      </c>
      <c r="D38" s="720"/>
      <c r="E38" s="1494"/>
      <c r="F38" s="1494"/>
      <c r="G38" s="1494"/>
      <c r="H38" s="2261"/>
      <c r="I38" s="2261"/>
      <c r="J38" s="1494"/>
      <c r="K38" s="1494"/>
      <c r="L38" s="236"/>
      <c r="M38" s="3609">
        <f t="shared" si="30"/>
        <v>0</v>
      </c>
      <c r="N38" s="1494"/>
      <c r="O38" s="1494">
        <v>78.81</v>
      </c>
      <c r="P38" s="1494"/>
      <c r="Q38" s="947">
        <f t="shared" si="31"/>
        <v>78.81</v>
      </c>
      <c r="R38" s="1494"/>
      <c r="S38" s="1494"/>
      <c r="T38" s="1494"/>
      <c r="U38" s="2555">
        <f t="shared" si="32"/>
        <v>78.81</v>
      </c>
      <c r="V38" s="1494"/>
      <c r="W38" s="2941"/>
      <c r="X38" s="236"/>
      <c r="Y38" s="3609">
        <f t="shared" si="8"/>
        <v>78.81</v>
      </c>
      <c r="Z38" s="2941"/>
      <c r="AA38" s="660">
        <f t="shared" si="9"/>
        <v>78.81</v>
      </c>
      <c r="AB38" s="2941"/>
      <c r="AC38" s="2941"/>
      <c r="AD38" s="2941"/>
      <c r="AE38" s="3615">
        <f t="shared" si="33"/>
        <v>78.81</v>
      </c>
      <c r="AF38" s="2941"/>
      <c r="AG38" s="2941"/>
      <c r="AH38" s="2941"/>
      <c r="AI38" s="3615">
        <f t="shared" si="34"/>
        <v>78.81</v>
      </c>
      <c r="AJ38" s="2941"/>
      <c r="AK38" s="2941"/>
      <c r="AL38" s="2941"/>
      <c r="AM38" s="3609">
        <f t="shared" si="13"/>
        <v>0</v>
      </c>
      <c r="AN38" s="2941"/>
      <c r="AO38" s="3615">
        <f t="shared" si="14"/>
        <v>78.81</v>
      </c>
      <c r="AP38" s="2941"/>
      <c r="AQ38" s="2941"/>
      <c r="AR38" s="2941"/>
      <c r="AS38" s="3615">
        <f t="shared" si="35"/>
        <v>78.81</v>
      </c>
      <c r="AT38" s="2941"/>
      <c r="AU38" s="2941"/>
      <c r="AV38" s="2941"/>
      <c r="AW38" s="452">
        <f t="shared" si="36"/>
        <v>78.81</v>
      </c>
      <c r="AX38" s="2941"/>
      <c r="AY38" s="2941"/>
      <c r="AZ38" s="2941"/>
      <c r="BA38" s="3609">
        <f t="shared" si="18"/>
        <v>0</v>
      </c>
      <c r="BB38" s="2941"/>
      <c r="BC38" s="660">
        <f t="shared" si="19"/>
        <v>0</v>
      </c>
      <c r="BD38" s="2941"/>
      <c r="BE38" s="452">
        <f t="shared" si="37"/>
        <v>78.81</v>
      </c>
      <c r="BF38" s="26"/>
      <c r="BG38" s="26"/>
    </row>
    <row r="39" spans="1:59" x14ac:dyDescent="0.25">
      <c r="B39" s="8" t="s">
        <v>1558</v>
      </c>
      <c r="C39" s="193" t="s">
        <v>361</v>
      </c>
      <c r="D39" s="720"/>
      <c r="E39" s="1494"/>
      <c r="F39" s="1494"/>
      <c r="G39" s="1494">
        <v>22.46</v>
      </c>
      <c r="H39" s="2261"/>
      <c r="I39" s="2261">
        <f t="shared" si="29"/>
        <v>22.46</v>
      </c>
      <c r="J39" s="1494"/>
      <c r="K39" s="1494"/>
      <c r="L39" s="236"/>
      <c r="M39" s="3609">
        <f t="shared" si="30"/>
        <v>22.46</v>
      </c>
      <c r="N39" s="1494"/>
      <c r="O39" s="1494"/>
      <c r="P39" s="1494"/>
      <c r="Q39" s="947">
        <f t="shared" si="31"/>
        <v>22.46</v>
      </c>
      <c r="R39" s="1494"/>
      <c r="S39" s="1494">
        <v>6.29</v>
      </c>
      <c r="T39" s="1494"/>
      <c r="U39" s="2555">
        <f t="shared" si="32"/>
        <v>28.75</v>
      </c>
      <c r="V39" s="1494"/>
      <c r="W39" s="2941"/>
      <c r="X39" s="236"/>
      <c r="Y39" s="3609">
        <f t="shared" si="8"/>
        <v>6.29</v>
      </c>
      <c r="Z39" s="2941"/>
      <c r="AA39" s="660">
        <f t="shared" si="9"/>
        <v>28.75</v>
      </c>
      <c r="AB39" s="2941"/>
      <c r="AC39" s="2941"/>
      <c r="AD39" s="2941"/>
      <c r="AE39" s="3615">
        <f t="shared" si="33"/>
        <v>28.75</v>
      </c>
      <c r="AF39" s="2941"/>
      <c r="AG39" s="2941"/>
      <c r="AH39" s="2941"/>
      <c r="AI39" s="3615">
        <f t="shared" si="34"/>
        <v>28.75</v>
      </c>
      <c r="AJ39" s="2941"/>
      <c r="AK39" s="2941"/>
      <c r="AL39" s="2941"/>
      <c r="AM39" s="3609">
        <f t="shared" si="13"/>
        <v>0</v>
      </c>
      <c r="AN39" s="2941"/>
      <c r="AO39" s="3615">
        <f t="shared" si="14"/>
        <v>28.75</v>
      </c>
      <c r="AP39" s="2941"/>
      <c r="AQ39" s="2941"/>
      <c r="AR39" s="2941"/>
      <c r="AS39" s="3615">
        <f t="shared" si="35"/>
        <v>28.75</v>
      </c>
      <c r="AT39" s="2941"/>
      <c r="AU39" s="2941"/>
      <c r="AV39" s="2941"/>
      <c r="AW39" s="452">
        <f t="shared" si="36"/>
        <v>28.75</v>
      </c>
      <c r="AX39" s="2941"/>
      <c r="AY39" s="2941"/>
      <c r="AZ39" s="2941"/>
      <c r="BA39" s="3609">
        <f t="shared" si="18"/>
        <v>0</v>
      </c>
      <c r="BB39" s="2941"/>
      <c r="BC39" s="660">
        <f t="shared" si="19"/>
        <v>0</v>
      </c>
      <c r="BD39" s="2941"/>
      <c r="BE39" s="452">
        <f t="shared" si="37"/>
        <v>28.75</v>
      </c>
      <c r="BF39" s="26"/>
      <c r="BG39" s="26"/>
    </row>
    <row r="40" spans="1:59" x14ac:dyDescent="0.25">
      <c r="B40" s="8" t="s">
        <v>1559</v>
      </c>
      <c r="C40" s="193" t="s">
        <v>361</v>
      </c>
      <c r="D40" s="720"/>
      <c r="E40" s="1494"/>
      <c r="F40" s="1494"/>
      <c r="G40" s="1494">
        <v>28</v>
      </c>
      <c r="H40" s="2261"/>
      <c r="I40" s="2261">
        <f t="shared" si="29"/>
        <v>28</v>
      </c>
      <c r="J40" s="1494"/>
      <c r="K40" s="1494">
        <v>6.06</v>
      </c>
      <c r="L40" s="236"/>
      <c r="M40" s="3609">
        <f t="shared" si="30"/>
        <v>34.06</v>
      </c>
      <c r="N40" s="1494"/>
      <c r="O40" s="1494"/>
      <c r="P40" s="1494"/>
      <c r="Q40" s="947">
        <f t="shared" si="31"/>
        <v>34.06</v>
      </c>
      <c r="R40" s="1494"/>
      <c r="S40" s="1494"/>
      <c r="T40" s="1494"/>
      <c r="U40" s="2555">
        <f t="shared" si="32"/>
        <v>34.06</v>
      </c>
      <c r="V40" s="1494"/>
      <c r="W40" s="2941"/>
      <c r="X40" s="236"/>
      <c r="Y40" s="3609">
        <f t="shared" si="8"/>
        <v>0</v>
      </c>
      <c r="Z40" s="2941"/>
      <c r="AA40" s="660">
        <f t="shared" si="9"/>
        <v>34.06</v>
      </c>
      <c r="AB40" s="2941"/>
      <c r="AC40" s="2941"/>
      <c r="AD40" s="2941"/>
      <c r="AE40" s="3615">
        <f t="shared" si="33"/>
        <v>34.06</v>
      </c>
      <c r="AF40" s="2941"/>
      <c r="AG40" s="2941"/>
      <c r="AH40" s="2941"/>
      <c r="AI40" s="3615">
        <f t="shared" si="34"/>
        <v>34.06</v>
      </c>
      <c r="AJ40" s="2941"/>
      <c r="AK40" s="2941"/>
      <c r="AL40" s="2941"/>
      <c r="AM40" s="3609">
        <f t="shared" si="13"/>
        <v>0</v>
      </c>
      <c r="AN40" s="2941"/>
      <c r="AO40" s="3615">
        <f t="shared" si="14"/>
        <v>34.06</v>
      </c>
      <c r="AP40" s="2941"/>
      <c r="AQ40" s="2941"/>
      <c r="AR40" s="2941"/>
      <c r="AS40" s="3615">
        <f t="shared" si="35"/>
        <v>34.06</v>
      </c>
      <c r="AT40" s="2941"/>
      <c r="AU40" s="2941"/>
      <c r="AV40" s="2941"/>
      <c r="AW40" s="452">
        <f t="shared" si="36"/>
        <v>34.06</v>
      </c>
      <c r="AX40" s="2941"/>
      <c r="AY40" s="2941"/>
      <c r="AZ40" s="2941"/>
      <c r="BA40" s="3609">
        <f t="shared" si="18"/>
        <v>0</v>
      </c>
      <c r="BB40" s="2941"/>
      <c r="BC40" s="660">
        <f t="shared" si="19"/>
        <v>0</v>
      </c>
      <c r="BD40" s="2941"/>
      <c r="BE40" s="452">
        <f t="shared" si="37"/>
        <v>34.06</v>
      </c>
      <c r="BF40" s="26"/>
      <c r="BG40" s="26"/>
    </row>
    <row r="41" spans="1:59" x14ac:dyDescent="0.25">
      <c r="B41" s="8" t="s">
        <v>988</v>
      </c>
      <c r="C41" s="193" t="s">
        <v>361</v>
      </c>
      <c r="D41" s="720"/>
      <c r="E41" s="720">
        <v>250.83999999999997</v>
      </c>
      <c r="F41" s="720"/>
      <c r="G41" s="720">
        <v>95.64</v>
      </c>
      <c r="H41" s="2263"/>
      <c r="I41" s="2263">
        <f t="shared" si="29"/>
        <v>346.47999999999996</v>
      </c>
      <c r="J41" s="720"/>
      <c r="K41" s="720">
        <v>124.76</v>
      </c>
      <c r="L41" s="236"/>
      <c r="M41" s="3609">
        <f t="shared" si="30"/>
        <v>471.23999999999995</v>
      </c>
      <c r="N41" s="720"/>
      <c r="O41" s="720">
        <v>101.19</v>
      </c>
      <c r="P41" s="720"/>
      <c r="Q41" s="709">
        <f t="shared" si="31"/>
        <v>572.42999999999995</v>
      </c>
      <c r="R41" s="720"/>
      <c r="S41" s="720"/>
      <c r="T41" s="720"/>
      <c r="U41" s="2564">
        <f t="shared" si="32"/>
        <v>572.42999999999995</v>
      </c>
      <c r="V41" s="720"/>
      <c r="W41" s="720"/>
      <c r="X41" s="236"/>
      <c r="Y41" s="3609">
        <f t="shared" si="8"/>
        <v>101.19</v>
      </c>
      <c r="Z41" s="2941"/>
      <c r="AA41" s="625">
        <f t="shared" si="9"/>
        <v>572.42999999999995</v>
      </c>
      <c r="AB41" s="720"/>
      <c r="AC41" s="720"/>
      <c r="AD41" s="720"/>
      <c r="AE41" s="4022">
        <f t="shared" si="33"/>
        <v>572.42999999999995</v>
      </c>
      <c r="AF41" s="720"/>
      <c r="AG41" s="720"/>
      <c r="AH41" s="720"/>
      <c r="AI41" s="4022">
        <f t="shared" si="34"/>
        <v>572.42999999999995</v>
      </c>
      <c r="AJ41" s="720"/>
      <c r="AK41" s="720"/>
      <c r="AL41" s="720"/>
      <c r="AM41" s="3609">
        <f t="shared" si="13"/>
        <v>0</v>
      </c>
      <c r="AN41" s="720"/>
      <c r="AO41" s="4022">
        <f t="shared" si="14"/>
        <v>572.42999999999995</v>
      </c>
      <c r="AP41" s="720"/>
      <c r="AQ41" s="720"/>
      <c r="AR41" s="720"/>
      <c r="AS41" s="4022">
        <f t="shared" si="35"/>
        <v>572.42999999999995</v>
      </c>
      <c r="AT41" s="720"/>
      <c r="AU41" s="720"/>
      <c r="AV41" s="720"/>
      <c r="AW41" s="311">
        <f t="shared" si="36"/>
        <v>572.42999999999995</v>
      </c>
      <c r="AX41" s="720"/>
      <c r="AY41" s="720"/>
      <c r="AZ41" s="720"/>
      <c r="BA41" s="3609">
        <f t="shared" si="18"/>
        <v>0</v>
      </c>
      <c r="BB41" s="2941"/>
      <c r="BC41" s="625">
        <f t="shared" si="19"/>
        <v>0</v>
      </c>
      <c r="BD41" s="720"/>
      <c r="BE41" s="311">
        <f t="shared" si="37"/>
        <v>572.42999999999995</v>
      </c>
      <c r="BF41" s="26"/>
      <c r="BG41" s="26"/>
    </row>
    <row r="42" spans="1:59" x14ac:dyDescent="0.25">
      <c r="B42" s="8" t="s">
        <v>1698</v>
      </c>
      <c r="C42" s="193" t="s">
        <v>361</v>
      </c>
      <c r="D42" s="720"/>
      <c r="E42" s="720"/>
      <c r="F42" s="720"/>
      <c r="G42" s="720"/>
      <c r="H42" s="2263"/>
      <c r="I42" s="2263"/>
      <c r="J42" s="720"/>
      <c r="K42" s="720"/>
      <c r="L42" s="236"/>
      <c r="M42" s="3609">
        <f t="shared" si="30"/>
        <v>0</v>
      </c>
      <c r="N42" s="720"/>
      <c r="O42" s="720">
        <v>3.76</v>
      </c>
      <c r="P42" s="720"/>
      <c r="Q42" s="709">
        <f t="shared" si="31"/>
        <v>3.76</v>
      </c>
      <c r="R42" s="720"/>
      <c r="S42" s="720"/>
      <c r="T42" s="720"/>
      <c r="U42" s="2564">
        <f t="shared" si="32"/>
        <v>3.76</v>
      </c>
      <c r="V42" s="720"/>
      <c r="W42" s="720"/>
      <c r="X42" s="236"/>
      <c r="Y42" s="3609">
        <f t="shared" si="8"/>
        <v>3.76</v>
      </c>
      <c r="Z42" s="2941"/>
      <c r="AA42" s="625">
        <f t="shared" si="9"/>
        <v>3.76</v>
      </c>
      <c r="AB42" s="720"/>
      <c r="AC42" s="720"/>
      <c r="AD42" s="720"/>
      <c r="AE42" s="4022">
        <f t="shared" si="33"/>
        <v>3.76</v>
      </c>
      <c r="AF42" s="720"/>
      <c r="AG42" s="720"/>
      <c r="AH42" s="720"/>
      <c r="AI42" s="4022">
        <f t="shared" si="34"/>
        <v>3.76</v>
      </c>
      <c r="AJ42" s="720"/>
      <c r="AK42" s="720"/>
      <c r="AL42" s="720"/>
      <c r="AM42" s="3609">
        <f t="shared" si="13"/>
        <v>0</v>
      </c>
      <c r="AN42" s="720"/>
      <c r="AO42" s="4022">
        <f t="shared" si="14"/>
        <v>3.76</v>
      </c>
      <c r="AP42" s="720"/>
      <c r="AQ42" s="720"/>
      <c r="AR42" s="720"/>
      <c r="AS42" s="4022">
        <f t="shared" si="35"/>
        <v>3.76</v>
      </c>
      <c r="AT42" s="720"/>
      <c r="AU42" s="720"/>
      <c r="AV42" s="720"/>
      <c r="AW42" s="311">
        <f t="shared" si="36"/>
        <v>3.76</v>
      </c>
      <c r="AX42" s="720"/>
      <c r="AY42" s="720"/>
      <c r="AZ42" s="720"/>
      <c r="BA42" s="3609">
        <f t="shared" si="18"/>
        <v>0</v>
      </c>
      <c r="BB42" s="2941"/>
      <c r="BC42" s="625">
        <f t="shared" si="19"/>
        <v>0</v>
      </c>
      <c r="BD42" s="720"/>
      <c r="BE42" s="311">
        <f t="shared" si="37"/>
        <v>3.76</v>
      </c>
      <c r="BF42" s="26"/>
      <c r="BG42" s="26"/>
    </row>
    <row r="43" spans="1:59" x14ac:dyDescent="0.25">
      <c r="A43" s="2620"/>
      <c r="B43" s="8" t="s">
        <v>1737</v>
      </c>
      <c r="C43" s="193" t="s">
        <v>361</v>
      </c>
      <c r="D43" s="720"/>
      <c r="E43" s="720"/>
      <c r="F43" s="720"/>
      <c r="G43" s="720"/>
      <c r="H43" s="2263"/>
      <c r="I43" s="2263"/>
      <c r="J43" s="720"/>
      <c r="K43" s="720"/>
      <c r="L43" s="236"/>
      <c r="M43" s="3609">
        <f t="shared" si="30"/>
        <v>0</v>
      </c>
      <c r="N43" s="720"/>
      <c r="O43" s="720"/>
      <c r="P43" s="720"/>
      <c r="Q43" s="2621">
        <f t="shared" si="31"/>
        <v>0</v>
      </c>
      <c r="R43" s="720"/>
      <c r="S43" s="720">
        <v>2.88</v>
      </c>
      <c r="T43" s="720"/>
      <c r="U43" s="2621">
        <f t="shared" si="32"/>
        <v>2.88</v>
      </c>
      <c r="V43" s="720"/>
      <c r="W43" s="720"/>
      <c r="X43" s="236"/>
      <c r="Y43" s="3609">
        <f t="shared" si="8"/>
        <v>2.88</v>
      </c>
      <c r="Z43" s="2941"/>
      <c r="AA43" s="625">
        <f t="shared" si="9"/>
        <v>2.88</v>
      </c>
      <c r="AB43" s="720"/>
      <c r="AC43" s="720"/>
      <c r="AD43" s="720"/>
      <c r="AE43" s="4022">
        <f t="shared" si="33"/>
        <v>2.88</v>
      </c>
      <c r="AF43" s="720"/>
      <c r="AG43" s="720"/>
      <c r="AH43" s="720"/>
      <c r="AI43" s="4022">
        <f t="shared" si="34"/>
        <v>2.88</v>
      </c>
      <c r="AJ43" s="720"/>
      <c r="AK43" s="720"/>
      <c r="AL43" s="720"/>
      <c r="AM43" s="3609">
        <f t="shared" si="13"/>
        <v>0</v>
      </c>
      <c r="AN43" s="720"/>
      <c r="AO43" s="4022">
        <f t="shared" si="14"/>
        <v>2.88</v>
      </c>
      <c r="AP43" s="720"/>
      <c r="AQ43" s="720"/>
      <c r="AR43" s="720"/>
      <c r="AS43" s="4022">
        <f t="shared" si="35"/>
        <v>2.88</v>
      </c>
      <c r="AT43" s="720"/>
      <c r="AU43" s="720"/>
      <c r="AV43" s="720"/>
      <c r="AW43" s="311">
        <f t="shared" si="36"/>
        <v>2.88</v>
      </c>
      <c r="AX43" s="720"/>
      <c r="AY43" s="720"/>
      <c r="AZ43" s="720"/>
      <c r="BA43" s="3609">
        <f t="shared" si="18"/>
        <v>0</v>
      </c>
      <c r="BB43" s="2941"/>
      <c r="BC43" s="625">
        <f t="shared" si="19"/>
        <v>0</v>
      </c>
      <c r="BD43" s="720"/>
      <c r="BE43" s="311">
        <f t="shared" si="37"/>
        <v>2.88</v>
      </c>
      <c r="BF43" s="26"/>
      <c r="BG43" s="26"/>
    </row>
    <row r="44" spans="1:59" s="4713" customFormat="1" x14ac:dyDescent="0.25">
      <c r="B44" s="8" t="s">
        <v>1947</v>
      </c>
      <c r="C44" s="4733" t="s">
        <v>361</v>
      </c>
      <c r="D44" s="4734"/>
      <c r="E44" s="4734"/>
      <c r="F44" s="4734"/>
      <c r="G44" s="4734"/>
      <c r="H44" s="4739"/>
      <c r="I44" s="4739"/>
      <c r="J44" s="4734"/>
      <c r="K44" s="4734"/>
      <c r="L44" s="4736"/>
      <c r="M44" s="4737"/>
      <c r="N44" s="4734"/>
      <c r="O44" s="4734"/>
      <c r="P44" s="4734"/>
      <c r="Q44" s="4740"/>
      <c r="R44" s="4734"/>
      <c r="S44" s="4734"/>
      <c r="T44" s="4734"/>
      <c r="U44" s="4740"/>
      <c r="V44" s="4734"/>
      <c r="W44" s="4734"/>
      <c r="X44" s="4736"/>
      <c r="Y44" s="4737">
        <f t="shared" si="8"/>
        <v>0</v>
      </c>
      <c r="Z44" s="4702"/>
      <c r="AA44" s="625">
        <f t="shared" si="9"/>
        <v>0</v>
      </c>
      <c r="AB44" s="4734"/>
      <c r="AC44" s="4734"/>
      <c r="AD44" s="4734"/>
      <c r="AE44" s="4740"/>
      <c r="AF44" s="4734"/>
      <c r="AG44" s="4734"/>
      <c r="AH44" s="4734"/>
      <c r="AI44" s="4740"/>
      <c r="AJ44" s="4734"/>
      <c r="AK44" s="4734"/>
      <c r="AL44" s="4734"/>
      <c r="AM44" s="4737">
        <f t="shared" si="13"/>
        <v>0</v>
      </c>
      <c r="AN44" s="4734"/>
      <c r="AO44" s="4740"/>
      <c r="AP44" s="4734"/>
      <c r="AQ44" s="4734"/>
      <c r="AR44" s="4734"/>
      <c r="AS44" s="4022">
        <f t="shared" si="35"/>
        <v>0</v>
      </c>
      <c r="AT44" s="4734"/>
      <c r="AU44" s="4734">
        <v>109.44</v>
      </c>
      <c r="AV44" s="4734"/>
      <c r="AW44" s="311">
        <f t="shared" si="36"/>
        <v>109.44</v>
      </c>
      <c r="AX44" s="4734"/>
      <c r="AY44" s="4734"/>
      <c r="AZ44" s="4734"/>
      <c r="BA44" s="4737">
        <f t="shared" si="18"/>
        <v>109.44</v>
      </c>
      <c r="BB44" s="4702"/>
      <c r="BC44" s="625">
        <f t="shared" si="19"/>
        <v>109.44</v>
      </c>
      <c r="BD44" s="4734"/>
      <c r="BE44" s="311">
        <f t="shared" si="37"/>
        <v>109.44</v>
      </c>
      <c r="BF44" s="26"/>
      <c r="BG44" s="26"/>
    </row>
    <row r="45" spans="1:59" x14ac:dyDescent="0.25">
      <c r="A45" s="2620"/>
      <c r="B45" s="8" t="s">
        <v>1738</v>
      </c>
      <c r="C45" s="193" t="s">
        <v>361</v>
      </c>
      <c r="D45" s="720"/>
      <c r="E45" s="720"/>
      <c r="F45" s="720"/>
      <c r="G45" s="720"/>
      <c r="H45" s="2263"/>
      <c r="I45" s="2263"/>
      <c r="J45" s="720"/>
      <c r="K45" s="720"/>
      <c r="L45" s="236"/>
      <c r="M45" s="3609">
        <f t="shared" si="30"/>
        <v>0</v>
      </c>
      <c r="N45" s="720"/>
      <c r="O45" s="720"/>
      <c r="P45" s="720"/>
      <c r="Q45" s="2621">
        <f t="shared" si="31"/>
        <v>0</v>
      </c>
      <c r="R45" s="720"/>
      <c r="S45" s="720">
        <v>4.7</v>
      </c>
      <c r="T45" s="720"/>
      <c r="U45" s="2621">
        <f t="shared" si="32"/>
        <v>4.7</v>
      </c>
      <c r="V45" s="720"/>
      <c r="W45" s="720"/>
      <c r="X45" s="236"/>
      <c r="Y45" s="3609">
        <f t="shared" si="8"/>
        <v>4.7</v>
      </c>
      <c r="Z45" s="2941"/>
      <c r="AA45" s="625">
        <f t="shared" si="9"/>
        <v>4.7</v>
      </c>
      <c r="AB45" s="720"/>
      <c r="AC45" s="720"/>
      <c r="AD45" s="720"/>
      <c r="AE45" s="4022">
        <f t="shared" si="33"/>
        <v>4.7</v>
      </c>
      <c r="AF45" s="720"/>
      <c r="AG45" s="720"/>
      <c r="AH45" s="720"/>
      <c r="AI45" s="4022">
        <f t="shared" si="34"/>
        <v>4.7</v>
      </c>
      <c r="AJ45" s="720"/>
      <c r="AK45" s="720"/>
      <c r="AL45" s="720"/>
      <c r="AM45" s="3609">
        <f t="shared" si="13"/>
        <v>0</v>
      </c>
      <c r="AN45" s="720"/>
      <c r="AO45" s="4022">
        <f t="shared" si="14"/>
        <v>4.7</v>
      </c>
      <c r="AP45" s="720"/>
      <c r="AQ45" s="720"/>
      <c r="AR45" s="720"/>
      <c r="AS45" s="4022">
        <f t="shared" si="35"/>
        <v>4.7</v>
      </c>
      <c r="AT45" s="720"/>
      <c r="AU45" s="720"/>
      <c r="AV45" s="720"/>
      <c r="AW45" s="311">
        <f t="shared" si="36"/>
        <v>4.7</v>
      </c>
      <c r="AX45" s="720"/>
      <c r="AY45" s="720"/>
      <c r="AZ45" s="720"/>
      <c r="BA45" s="3609">
        <f t="shared" si="18"/>
        <v>0</v>
      </c>
      <c r="BB45" s="2941"/>
      <c r="BC45" s="625">
        <f t="shared" si="19"/>
        <v>0</v>
      </c>
      <c r="BD45" s="720"/>
      <c r="BE45" s="311">
        <f t="shared" si="37"/>
        <v>4.7</v>
      </c>
      <c r="BF45" s="26"/>
      <c r="BG45" s="26"/>
    </row>
    <row r="46" spans="1:59" x14ac:dyDescent="0.25">
      <c r="A46" s="2620"/>
      <c r="B46" s="8" t="s">
        <v>1736</v>
      </c>
      <c r="C46" s="193" t="s">
        <v>361</v>
      </c>
      <c r="D46" s="720"/>
      <c r="E46" s="720"/>
      <c r="F46" s="720"/>
      <c r="G46" s="720"/>
      <c r="H46" s="2263"/>
      <c r="I46" s="2263"/>
      <c r="J46" s="720"/>
      <c r="K46" s="720"/>
      <c r="L46" s="236"/>
      <c r="M46" s="3609">
        <f t="shared" si="30"/>
        <v>0</v>
      </c>
      <c r="N46" s="720"/>
      <c r="O46" s="720"/>
      <c r="P46" s="720"/>
      <c r="Q46" s="2621">
        <f t="shared" si="31"/>
        <v>0</v>
      </c>
      <c r="R46" s="720"/>
      <c r="S46" s="720">
        <v>3</v>
      </c>
      <c r="T46" s="720"/>
      <c r="U46" s="2621">
        <f t="shared" si="32"/>
        <v>3</v>
      </c>
      <c r="V46" s="720"/>
      <c r="W46" s="720"/>
      <c r="X46" s="236"/>
      <c r="Y46" s="3609">
        <f t="shared" si="8"/>
        <v>3</v>
      </c>
      <c r="Z46" s="2941"/>
      <c r="AA46" s="625">
        <f t="shared" si="9"/>
        <v>3</v>
      </c>
      <c r="AB46" s="720"/>
      <c r="AC46" s="720"/>
      <c r="AD46" s="720"/>
      <c r="AE46" s="4022">
        <f t="shared" si="33"/>
        <v>3</v>
      </c>
      <c r="AF46" s="720"/>
      <c r="AG46" s="720"/>
      <c r="AH46" s="720"/>
      <c r="AI46" s="4022">
        <f t="shared" si="34"/>
        <v>3</v>
      </c>
      <c r="AJ46" s="720"/>
      <c r="AK46" s="720"/>
      <c r="AL46" s="720"/>
      <c r="AM46" s="3609">
        <f t="shared" si="13"/>
        <v>0</v>
      </c>
      <c r="AN46" s="720"/>
      <c r="AO46" s="4022">
        <f t="shared" si="14"/>
        <v>3</v>
      </c>
      <c r="AP46" s="720"/>
      <c r="AQ46" s="720"/>
      <c r="AR46" s="720"/>
      <c r="AS46" s="4022">
        <f t="shared" si="35"/>
        <v>3</v>
      </c>
      <c r="AT46" s="720"/>
      <c r="AU46" s="720"/>
      <c r="AV46" s="720"/>
      <c r="AW46" s="311">
        <f t="shared" si="36"/>
        <v>3</v>
      </c>
      <c r="AX46" s="720"/>
      <c r="AY46" s="720"/>
      <c r="AZ46" s="720"/>
      <c r="BA46" s="3609">
        <f t="shared" si="18"/>
        <v>0</v>
      </c>
      <c r="BB46" s="2941"/>
      <c r="BC46" s="625">
        <f t="shared" si="19"/>
        <v>0</v>
      </c>
      <c r="BD46" s="720"/>
      <c r="BE46" s="311">
        <f t="shared" si="37"/>
        <v>3</v>
      </c>
      <c r="BF46" s="26"/>
      <c r="BG46" s="26"/>
    </row>
    <row r="47" spans="1:59" ht="15.75" customHeight="1" x14ac:dyDescent="0.25">
      <c r="A47" s="183"/>
      <c r="B47" s="8" t="s">
        <v>1491</v>
      </c>
      <c r="C47" s="193" t="s">
        <v>361</v>
      </c>
      <c r="D47" s="720"/>
      <c r="E47" s="1494">
        <v>7.64</v>
      </c>
      <c r="F47" s="1494"/>
      <c r="G47" s="1494">
        <v>7</v>
      </c>
      <c r="H47" s="2261"/>
      <c r="I47" s="2261">
        <f t="shared" si="29"/>
        <v>14.64</v>
      </c>
      <c r="J47" s="1494"/>
      <c r="K47" s="1494"/>
      <c r="L47" s="236"/>
      <c r="M47" s="3609">
        <f t="shared" si="30"/>
        <v>14.64</v>
      </c>
      <c r="N47" s="1494"/>
      <c r="O47" s="1494">
        <v>8.2200000000000006</v>
      </c>
      <c r="P47" s="1494"/>
      <c r="Q47" s="947">
        <f t="shared" si="31"/>
        <v>22.86</v>
      </c>
      <c r="R47" s="1494"/>
      <c r="S47" s="1494">
        <v>3.98</v>
      </c>
      <c r="T47" s="1494"/>
      <c r="U47" s="2555">
        <f t="shared" si="32"/>
        <v>26.84</v>
      </c>
      <c r="V47" s="1494"/>
      <c r="W47" s="2941"/>
      <c r="X47" s="236"/>
      <c r="Y47" s="3609">
        <f t="shared" si="8"/>
        <v>12.200000000000001</v>
      </c>
      <c r="Z47" s="2941"/>
      <c r="AA47" s="660">
        <f t="shared" si="9"/>
        <v>26.840000000000003</v>
      </c>
      <c r="AB47" s="2941"/>
      <c r="AC47" s="2941"/>
      <c r="AD47" s="2941"/>
      <c r="AE47" s="3615">
        <f t="shared" si="33"/>
        <v>26.840000000000003</v>
      </c>
      <c r="AF47" s="2941"/>
      <c r="AG47" s="2941"/>
      <c r="AH47" s="2941"/>
      <c r="AI47" s="3615">
        <f t="shared" si="34"/>
        <v>26.840000000000003</v>
      </c>
      <c r="AJ47" s="2941"/>
      <c r="AK47" s="2941"/>
      <c r="AL47" s="2941"/>
      <c r="AM47" s="3609">
        <f t="shared" si="13"/>
        <v>0</v>
      </c>
      <c r="AN47" s="2941"/>
      <c r="AO47" s="3615">
        <f t="shared" si="14"/>
        <v>26.840000000000003</v>
      </c>
      <c r="AP47" s="2941"/>
      <c r="AQ47" s="2941"/>
      <c r="AR47" s="2941"/>
      <c r="AS47" s="3615">
        <f t="shared" si="35"/>
        <v>26.840000000000003</v>
      </c>
      <c r="AT47" s="2941"/>
      <c r="AU47" s="2941"/>
      <c r="AV47" s="2941"/>
      <c r="AW47" s="452">
        <f t="shared" si="36"/>
        <v>26.840000000000003</v>
      </c>
      <c r="AX47" s="2941"/>
      <c r="AY47" s="2941"/>
      <c r="AZ47" s="2941"/>
      <c r="BA47" s="3609">
        <f t="shared" si="18"/>
        <v>0</v>
      </c>
      <c r="BB47" s="2941"/>
      <c r="BC47" s="660">
        <f t="shared" si="19"/>
        <v>0</v>
      </c>
      <c r="BD47" s="2941"/>
      <c r="BE47" s="452">
        <f t="shared" si="37"/>
        <v>26.840000000000003</v>
      </c>
      <c r="BF47" s="26"/>
      <c r="BG47" s="26"/>
    </row>
    <row r="48" spans="1:59" x14ac:dyDescent="0.25">
      <c r="A48" s="183"/>
      <c r="B48" s="906" t="s">
        <v>743</v>
      </c>
      <c r="C48" s="242"/>
      <c r="D48" s="1732"/>
      <c r="E48" s="1732">
        <f>+SUM(E49:E52)</f>
        <v>5565.5599999999995</v>
      </c>
      <c r="F48" s="1732"/>
      <c r="G48" s="1732">
        <f>+SUM(G49:G52)</f>
        <v>666.31</v>
      </c>
      <c r="H48" s="2262"/>
      <c r="I48" s="2262">
        <f t="shared" si="29"/>
        <v>6231.869999999999</v>
      </c>
      <c r="J48" s="1732"/>
      <c r="K48" s="1732">
        <f>+SUM(K49:K52)</f>
        <v>2378.4899999999998</v>
      </c>
      <c r="L48" s="1732"/>
      <c r="M48" s="3609">
        <f t="shared" si="30"/>
        <v>8610.3599999999988</v>
      </c>
      <c r="N48" s="1732"/>
      <c r="O48" s="1732">
        <f>+SUM(O49:O52)</f>
        <v>2232.4699999999998</v>
      </c>
      <c r="P48" s="1732"/>
      <c r="Q48" s="1732">
        <f t="shared" si="31"/>
        <v>10842.829999999998</v>
      </c>
      <c r="R48" s="1732"/>
      <c r="S48" s="1732">
        <f>+SUM(S49:S52)</f>
        <v>3245.14</v>
      </c>
      <c r="T48" s="1732"/>
      <c r="U48" s="1732">
        <f t="shared" si="32"/>
        <v>14087.969999999998</v>
      </c>
      <c r="V48" s="1732"/>
      <c r="W48" s="1732">
        <f>+SUM(W49:W52)</f>
        <v>3744.1000000000004</v>
      </c>
      <c r="X48" s="1732"/>
      <c r="Y48" s="3609">
        <f t="shared" si="8"/>
        <v>9221.7099999999991</v>
      </c>
      <c r="Z48" s="1732"/>
      <c r="AA48" s="625">
        <f t="shared" si="9"/>
        <v>17832.07</v>
      </c>
      <c r="AB48" s="1732"/>
      <c r="AC48" s="1732">
        <f>+SUM(AC49:AC52)</f>
        <v>2189.34</v>
      </c>
      <c r="AD48" s="1732"/>
      <c r="AE48" s="1732">
        <f t="shared" si="33"/>
        <v>20021.41</v>
      </c>
      <c r="AF48" s="1732"/>
      <c r="AG48" s="1732">
        <f>+SUM(AG49:AG52)</f>
        <v>1090.6400000000001</v>
      </c>
      <c r="AH48" s="1732"/>
      <c r="AI48" s="1732">
        <f t="shared" si="34"/>
        <v>21112.05</v>
      </c>
      <c r="AJ48" s="1732"/>
      <c r="AK48" s="1732">
        <f>+SUM(AK49:AK52)</f>
        <v>2028.07</v>
      </c>
      <c r="AL48" s="1732"/>
      <c r="AM48" s="3609">
        <f t="shared" si="13"/>
        <v>5308.05</v>
      </c>
      <c r="AN48" s="1732"/>
      <c r="AO48" s="1732">
        <f t="shared" si="14"/>
        <v>23140.12</v>
      </c>
      <c r="AP48" s="1732"/>
      <c r="AQ48" s="1732">
        <f>+SUM(AQ49:AQ52)</f>
        <v>1924.5100000000004</v>
      </c>
      <c r="AR48" s="1732"/>
      <c r="AS48" s="1732">
        <f t="shared" si="35"/>
        <v>25064.63</v>
      </c>
      <c r="AT48" s="1732"/>
      <c r="AU48" s="1732">
        <f>+SUM(AU49:AU52)</f>
        <v>1716.6</v>
      </c>
      <c r="AV48" s="1732"/>
      <c r="AW48" s="1732">
        <f t="shared" si="36"/>
        <v>26781.23</v>
      </c>
      <c r="AX48" s="1732"/>
      <c r="AY48" s="1732">
        <f>+SUM(AY49:AY52)</f>
        <v>3527.9300000000003</v>
      </c>
      <c r="AZ48" s="1732"/>
      <c r="BA48" s="3609">
        <f t="shared" si="18"/>
        <v>7169.0400000000009</v>
      </c>
      <c r="BB48" s="1732"/>
      <c r="BC48" s="625">
        <f t="shared" si="19"/>
        <v>12477.09</v>
      </c>
      <c r="BD48" s="1732"/>
      <c r="BE48" s="1732">
        <f t="shared" si="37"/>
        <v>30309.16</v>
      </c>
      <c r="BF48" s="26"/>
      <c r="BG48" s="26"/>
    </row>
    <row r="49" spans="1:59" x14ac:dyDescent="0.25">
      <c r="B49" s="8" t="s">
        <v>1149</v>
      </c>
      <c r="C49" s="193" t="s">
        <v>361</v>
      </c>
      <c r="D49" s="719"/>
      <c r="E49" s="720">
        <v>4998.1899999999996</v>
      </c>
      <c r="F49" s="720"/>
      <c r="G49" s="720"/>
      <c r="H49" s="2263"/>
      <c r="I49" s="2263">
        <f t="shared" si="29"/>
        <v>4998.1899999999996</v>
      </c>
      <c r="J49" s="720"/>
      <c r="K49" s="720">
        <v>1456.35</v>
      </c>
      <c r="L49" s="236"/>
      <c r="M49" s="3609">
        <f t="shared" si="30"/>
        <v>6454.5399999999991</v>
      </c>
      <c r="N49" s="720"/>
      <c r="O49" s="720">
        <v>1296.55</v>
      </c>
      <c r="P49" s="720"/>
      <c r="Q49" s="709">
        <f t="shared" si="31"/>
        <v>7751.0899999999992</v>
      </c>
      <c r="R49" s="720"/>
      <c r="S49" s="720">
        <v>2183.5699999999997</v>
      </c>
      <c r="T49" s="720"/>
      <c r="U49" s="2564">
        <f t="shared" si="32"/>
        <v>9934.66</v>
      </c>
      <c r="V49" s="720"/>
      <c r="W49" s="720">
        <v>2943.8500000000004</v>
      </c>
      <c r="X49" s="236"/>
      <c r="Y49" s="3609">
        <f t="shared" si="8"/>
        <v>6423.97</v>
      </c>
      <c r="Z49" s="720"/>
      <c r="AA49" s="625">
        <f t="shared" si="9"/>
        <v>12878.509999999998</v>
      </c>
      <c r="AB49" s="720"/>
      <c r="AC49" s="720">
        <v>1475.1899999999998</v>
      </c>
      <c r="AD49" s="720"/>
      <c r="AE49" s="4022">
        <f t="shared" si="33"/>
        <v>14353.699999999999</v>
      </c>
      <c r="AF49" s="720"/>
      <c r="AG49" s="720">
        <v>1090.6400000000001</v>
      </c>
      <c r="AH49" s="720"/>
      <c r="AI49" s="4022">
        <f t="shared" si="34"/>
        <v>15444.339999999998</v>
      </c>
      <c r="AJ49" s="720"/>
      <c r="AK49" s="720">
        <v>2028.07</v>
      </c>
      <c r="AL49" s="720"/>
      <c r="AM49" s="3609">
        <f t="shared" si="13"/>
        <v>4593.8999999999996</v>
      </c>
      <c r="AN49" s="720"/>
      <c r="AO49" s="4022">
        <f t="shared" si="14"/>
        <v>17472.41</v>
      </c>
      <c r="AP49" s="720"/>
      <c r="AQ49" s="720">
        <v>1517.4900000000005</v>
      </c>
      <c r="AR49" s="720"/>
      <c r="AS49" s="4022">
        <f t="shared" si="35"/>
        <v>18989.900000000001</v>
      </c>
      <c r="AT49" s="720"/>
      <c r="AU49" s="720">
        <v>1716.6</v>
      </c>
      <c r="AV49" s="720"/>
      <c r="AW49" s="311">
        <f t="shared" si="36"/>
        <v>20706.5</v>
      </c>
      <c r="AX49" s="720"/>
      <c r="AY49" s="720">
        <v>3288.13</v>
      </c>
      <c r="AZ49" s="720"/>
      <c r="BA49" s="3609">
        <f t="shared" si="18"/>
        <v>6522.22</v>
      </c>
      <c r="BB49" s="720"/>
      <c r="BC49" s="625">
        <f t="shared" si="19"/>
        <v>11116.119999999999</v>
      </c>
      <c r="BD49" s="720"/>
      <c r="BE49" s="311">
        <f t="shared" si="37"/>
        <v>23994.63</v>
      </c>
      <c r="BF49" s="26"/>
      <c r="BG49" s="26"/>
    </row>
    <row r="50" spans="1:59" x14ac:dyDescent="0.25">
      <c r="B50" s="8" t="s">
        <v>1560</v>
      </c>
      <c r="C50" s="193" t="s">
        <v>361</v>
      </c>
      <c r="D50" s="719"/>
      <c r="E50" s="720"/>
      <c r="F50" s="720"/>
      <c r="G50" s="720">
        <v>13.5</v>
      </c>
      <c r="H50" s="2263"/>
      <c r="I50" s="2263">
        <f t="shared" si="29"/>
        <v>13.5</v>
      </c>
      <c r="J50" s="720"/>
      <c r="K50" s="720"/>
      <c r="L50" s="236"/>
      <c r="M50" s="3609">
        <f t="shared" si="30"/>
        <v>13.5</v>
      </c>
      <c r="N50" s="720"/>
      <c r="O50" s="720"/>
      <c r="P50" s="720"/>
      <c r="Q50" s="709">
        <f t="shared" si="31"/>
        <v>13.5</v>
      </c>
      <c r="R50" s="720"/>
      <c r="S50" s="720">
        <v>0</v>
      </c>
      <c r="T50" s="720"/>
      <c r="U50" s="2564">
        <f t="shared" si="32"/>
        <v>13.5</v>
      </c>
      <c r="V50" s="720"/>
      <c r="W50" s="720"/>
      <c r="X50" s="236"/>
      <c r="Y50" s="3609">
        <f t="shared" si="8"/>
        <v>0</v>
      </c>
      <c r="Z50" s="720"/>
      <c r="AA50" s="625">
        <f t="shared" si="9"/>
        <v>13.5</v>
      </c>
      <c r="AB50" s="720"/>
      <c r="AC50" s="720"/>
      <c r="AD50" s="720"/>
      <c r="AE50" s="4022">
        <f t="shared" si="33"/>
        <v>13.5</v>
      </c>
      <c r="AF50" s="720"/>
      <c r="AG50" s="720"/>
      <c r="AH50" s="720"/>
      <c r="AI50" s="4022">
        <f t="shared" si="34"/>
        <v>13.5</v>
      </c>
      <c r="AJ50" s="720"/>
      <c r="AK50" s="720"/>
      <c r="AL50" s="720"/>
      <c r="AM50" s="3609">
        <f t="shared" si="13"/>
        <v>0</v>
      </c>
      <c r="AN50" s="720"/>
      <c r="AO50" s="4022">
        <f t="shared" si="14"/>
        <v>13.5</v>
      </c>
      <c r="AP50" s="720"/>
      <c r="AQ50" s="720"/>
      <c r="AR50" s="720"/>
      <c r="AS50" s="4022">
        <f t="shared" si="35"/>
        <v>13.5</v>
      </c>
      <c r="AT50" s="720"/>
      <c r="AU50" s="720"/>
      <c r="AV50" s="720"/>
      <c r="AW50" s="311">
        <f t="shared" si="36"/>
        <v>13.5</v>
      </c>
      <c r="AX50" s="720"/>
      <c r="AY50" s="720"/>
      <c r="AZ50" s="720"/>
      <c r="BA50" s="3609">
        <f t="shared" si="18"/>
        <v>0</v>
      </c>
      <c r="BB50" s="720"/>
      <c r="BC50" s="625">
        <f t="shared" si="19"/>
        <v>0</v>
      </c>
      <c r="BD50" s="720"/>
      <c r="BE50" s="311">
        <f t="shared" si="37"/>
        <v>13.5</v>
      </c>
      <c r="BF50" s="26"/>
      <c r="BG50" s="26"/>
    </row>
    <row r="51" spans="1:59" ht="15.75" customHeight="1" x14ac:dyDescent="0.25">
      <c r="B51" s="8" t="s">
        <v>1430</v>
      </c>
      <c r="C51" s="193" t="s">
        <v>361</v>
      </c>
      <c r="D51" s="720"/>
      <c r="E51" s="720">
        <v>83.789999999999992</v>
      </c>
      <c r="F51" s="720"/>
      <c r="G51" s="720"/>
      <c r="H51" s="2263"/>
      <c r="I51" s="2263">
        <f t="shared" si="29"/>
        <v>83.789999999999992</v>
      </c>
      <c r="J51" s="720"/>
      <c r="K51" s="720"/>
      <c r="L51" s="236"/>
      <c r="M51" s="3609">
        <f t="shared" si="30"/>
        <v>83.789999999999992</v>
      </c>
      <c r="N51" s="720"/>
      <c r="O51" s="720"/>
      <c r="P51" s="720"/>
      <c r="Q51" s="709">
        <f t="shared" si="31"/>
        <v>83.789999999999992</v>
      </c>
      <c r="R51" s="720"/>
      <c r="S51" s="720">
        <v>0</v>
      </c>
      <c r="T51" s="720"/>
      <c r="U51" s="2564">
        <f t="shared" si="32"/>
        <v>83.789999999999992</v>
      </c>
      <c r="V51" s="720"/>
      <c r="W51" s="720"/>
      <c r="X51" s="236"/>
      <c r="Y51" s="3609">
        <f t="shared" si="8"/>
        <v>0</v>
      </c>
      <c r="Z51" s="720"/>
      <c r="AA51" s="625">
        <f t="shared" si="9"/>
        <v>83.789999999999992</v>
      </c>
      <c r="AB51" s="720"/>
      <c r="AC51" s="720">
        <v>15.71</v>
      </c>
      <c r="AD51" s="720"/>
      <c r="AE51" s="4022">
        <f t="shared" si="33"/>
        <v>99.5</v>
      </c>
      <c r="AF51" s="720"/>
      <c r="AG51" s="720"/>
      <c r="AH51" s="720"/>
      <c r="AI51" s="4022">
        <f t="shared" si="34"/>
        <v>99.5</v>
      </c>
      <c r="AJ51" s="720"/>
      <c r="AK51" s="720"/>
      <c r="AL51" s="720"/>
      <c r="AM51" s="3609">
        <f t="shared" si="13"/>
        <v>15.71</v>
      </c>
      <c r="AN51" s="720"/>
      <c r="AO51" s="4022">
        <f t="shared" si="14"/>
        <v>99.5</v>
      </c>
      <c r="AP51" s="720"/>
      <c r="AQ51" s="720">
        <v>209.69000000000003</v>
      </c>
      <c r="AR51" s="720"/>
      <c r="AS51" s="4022">
        <f t="shared" si="35"/>
        <v>309.19000000000005</v>
      </c>
      <c r="AT51" s="720"/>
      <c r="AU51" s="720"/>
      <c r="AV51" s="720"/>
      <c r="AW51" s="311">
        <f t="shared" si="36"/>
        <v>309.19000000000005</v>
      </c>
      <c r="AX51" s="720"/>
      <c r="AY51" s="720"/>
      <c r="AZ51" s="720"/>
      <c r="BA51" s="3609">
        <f t="shared" si="18"/>
        <v>209.69000000000003</v>
      </c>
      <c r="BB51" s="720"/>
      <c r="BC51" s="625">
        <f t="shared" si="19"/>
        <v>225.40000000000003</v>
      </c>
      <c r="BD51" s="720"/>
      <c r="BE51" s="311">
        <f t="shared" si="37"/>
        <v>309.19000000000005</v>
      </c>
      <c r="BF51" s="26"/>
      <c r="BG51" s="26"/>
    </row>
    <row r="52" spans="1:59" x14ac:dyDescent="0.25">
      <c r="A52" s="183"/>
      <c r="B52" s="8" t="s">
        <v>744</v>
      </c>
      <c r="C52" s="193" t="s">
        <v>361</v>
      </c>
      <c r="D52" s="720"/>
      <c r="E52" s="1494">
        <v>483.57999999999987</v>
      </c>
      <c r="F52" s="1494"/>
      <c r="G52" s="1494">
        <v>652.80999999999995</v>
      </c>
      <c r="H52" s="2261"/>
      <c r="I52" s="2261">
        <f t="shared" si="29"/>
        <v>1136.3899999999999</v>
      </c>
      <c r="J52" s="1494"/>
      <c r="K52" s="1494">
        <v>922.14</v>
      </c>
      <c r="L52" s="236"/>
      <c r="M52" s="3609">
        <f t="shared" si="30"/>
        <v>2058.5299999999997</v>
      </c>
      <c r="N52" s="1494"/>
      <c r="O52" s="1494">
        <v>935.92</v>
      </c>
      <c r="P52" s="1494"/>
      <c r="Q52" s="947">
        <f t="shared" si="31"/>
        <v>2994.45</v>
      </c>
      <c r="R52" s="1494"/>
      <c r="S52" s="1494">
        <v>1061.5700000000002</v>
      </c>
      <c r="T52" s="1494"/>
      <c r="U52" s="2555">
        <f t="shared" si="32"/>
        <v>4056.02</v>
      </c>
      <c r="V52" s="1494"/>
      <c r="W52" s="2941">
        <v>800.25</v>
      </c>
      <c r="X52" s="236"/>
      <c r="Y52" s="3609">
        <f t="shared" si="8"/>
        <v>2797.7400000000002</v>
      </c>
      <c r="Z52" s="2941"/>
      <c r="AA52" s="660">
        <f t="shared" si="9"/>
        <v>4856.2700000000004</v>
      </c>
      <c r="AB52" s="2941"/>
      <c r="AC52" s="2941">
        <v>698.44</v>
      </c>
      <c r="AD52" s="2941"/>
      <c r="AE52" s="3615">
        <f t="shared" si="33"/>
        <v>5554.7100000000009</v>
      </c>
      <c r="AF52" s="2941"/>
      <c r="AG52" s="2941"/>
      <c r="AH52" s="2941"/>
      <c r="AI52" s="3615">
        <f t="shared" si="34"/>
        <v>5554.7100000000009</v>
      </c>
      <c r="AJ52" s="2941"/>
      <c r="AK52" s="2941"/>
      <c r="AL52" s="2941"/>
      <c r="AM52" s="3609">
        <f t="shared" si="13"/>
        <v>698.44</v>
      </c>
      <c r="AN52" s="2941"/>
      <c r="AO52" s="3615">
        <f t="shared" si="14"/>
        <v>5554.7100000000009</v>
      </c>
      <c r="AP52" s="2941"/>
      <c r="AQ52" s="2941">
        <v>197.33</v>
      </c>
      <c r="AR52" s="2941"/>
      <c r="AS52" s="3615">
        <f t="shared" si="35"/>
        <v>5752.0400000000009</v>
      </c>
      <c r="AT52" s="2941"/>
      <c r="AU52" s="2941"/>
      <c r="AV52" s="2941"/>
      <c r="AW52" s="452">
        <f t="shared" si="36"/>
        <v>5752.0400000000009</v>
      </c>
      <c r="AX52" s="2941"/>
      <c r="AY52" s="2941">
        <v>239.8</v>
      </c>
      <c r="AZ52" s="2941"/>
      <c r="BA52" s="3609">
        <f t="shared" si="18"/>
        <v>437.13</v>
      </c>
      <c r="BB52" s="2941"/>
      <c r="BC52" s="660">
        <f t="shared" si="19"/>
        <v>1135.5700000000002</v>
      </c>
      <c r="BD52" s="2941"/>
      <c r="BE52" s="452">
        <f t="shared" si="37"/>
        <v>5991.8400000000011</v>
      </c>
      <c r="BF52" s="26"/>
      <c r="BG52" s="26"/>
    </row>
    <row r="53" spans="1:59" x14ac:dyDescent="0.25">
      <c r="B53" s="906" t="s">
        <v>745</v>
      </c>
      <c r="C53" s="242"/>
      <c r="D53" s="1732"/>
      <c r="E53" s="1732">
        <f>+SUM(E54:E57)</f>
        <v>189.38</v>
      </c>
      <c r="F53" s="1732"/>
      <c r="G53" s="1732">
        <f>+SUM(G54:G57)</f>
        <v>140.14999999999998</v>
      </c>
      <c r="H53" s="2262"/>
      <c r="I53" s="2262">
        <f t="shared" si="29"/>
        <v>329.53</v>
      </c>
      <c r="J53" s="1732"/>
      <c r="K53" s="1732">
        <f>+SUM(K54:K57)</f>
        <v>110.94</v>
      </c>
      <c r="L53" s="1732"/>
      <c r="M53" s="3609">
        <f t="shared" si="30"/>
        <v>440.46999999999997</v>
      </c>
      <c r="N53" s="1732"/>
      <c r="O53" s="1732">
        <f>+SUM(O54:O57)</f>
        <v>73.899999999999991</v>
      </c>
      <c r="P53" s="1732"/>
      <c r="Q53" s="1732">
        <f t="shared" si="31"/>
        <v>514.37</v>
      </c>
      <c r="R53" s="1732"/>
      <c r="S53" s="1732">
        <f>+SUM(S54:S57)</f>
        <v>124.92999999999999</v>
      </c>
      <c r="T53" s="1732"/>
      <c r="U53" s="1732">
        <f t="shared" si="32"/>
        <v>639.29999999999995</v>
      </c>
      <c r="V53" s="1732"/>
      <c r="W53" s="1732">
        <f>+SUM(W54:W57)</f>
        <v>105.61</v>
      </c>
      <c r="X53" s="1732"/>
      <c r="Y53" s="3609">
        <f t="shared" si="8"/>
        <v>304.44</v>
      </c>
      <c r="Z53" s="1732"/>
      <c r="AA53" s="625">
        <f t="shared" si="9"/>
        <v>744.91</v>
      </c>
      <c r="AB53" s="1732"/>
      <c r="AC53" s="1732">
        <f>+SUM(AC54:AC57)</f>
        <v>140.18</v>
      </c>
      <c r="AD53" s="1732"/>
      <c r="AE53" s="1732">
        <f t="shared" si="33"/>
        <v>885.08999999999992</v>
      </c>
      <c r="AF53" s="1732"/>
      <c r="AG53" s="1732">
        <f>+SUM(AG54:AG57)</f>
        <v>63.04</v>
      </c>
      <c r="AH53" s="1732"/>
      <c r="AI53" s="1732">
        <f t="shared" si="34"/>
        <v>948.12999999999988</v>
      </c>
      <c r="AJ53" s="1732"/>
      <c r="AK53" s="1732">
        <f>+SUM(AK54:AK57)</f>
        <v>136.44</v>
      </c>
      <c r="AL53" s="1732"/>
      <c r="AM53" s="3609">
        <f t="shared" si="13"/>
        <v>339.65999999999997</v>
      </c>
      <c r="AN53" s="1732"/>
      <c r="AO53" s="1732">
        <f t="shared" si="14"/>
        <v>1084.57</v>
      </c>
      <c r="AP53" s="1732"/>
      <c r="AQ53" s="1732">
        <f>+SUM(AQ54:AQ57)</f>
        <v>49.76</v>
      </c>
      <c r="AR53" s="1732"/>
      <c r="AS53" s="1732">
        <f t="shared" si="35"/>
        <v>1134.33</v>
      </c>
      <c r="AT53" s="1732"/>
      <c r="AU53" s="1732">
        <f>+SUM(AU54:AU57)</f>
        <v>82.92</v>
      </c>
      <c r="AV53" s="1732"/>
      <c r="AW53" s="1732">
        <f t="shared" si="36"/>
        <v>1217.25</v>
      </c>
      <c r="AX53" s="1732"/>
      <c r="AY53" s="1732">
        <f>+SUM(AY54:AY57)</f>
        <v>112.05</v>
      </c>
      <c r="AZ53" s="1732"/>
      <c r="BA53" s="3609">
        <f t="shared" si="18"/>
        <v>244.73000000000002</v>
      </c>
      <c r="BB53" s="1732"/>
      <c r="BC53" s="625">
        <f t="shared" si="19"/>
        <v>584.39</v>
      </c>
      <c r="BD53" s="1732"/>
      <c r="BE53" s="1732">
        <f t="shared" si="37"/>
        <v>1329.3</v>
      </c>
      <c r="BF53" s="26"/>
      <c r="BG53" s="26"/>
    </row>
    <row r="54" spans="1:59" x14ac:dyDescent="0.25">
      <c r="B54" s="8" t="s">
        <v>947</v>
      </c>
      <c r="C54" s="193" t="s">
        <v>361</v>
      </c>
      <c r="D54" s="720"/>
      <c r="E54" s="1494">
        <v>25.16</v>
      </c>
      <c r="F54" s="1494"/>
      <c r="G54" s="1494">
        <v>24.99</v>
      </c>
      <c r="H54" s="2261"/>
      <c r="I54" s="2261">
        <f t="shared" si="29"/>
        <v>50.15</v>
      </c>
      <c r="J54" s="1494"/>
      <c r="K54" s="1494">
        <v>25.09</v>
      </c>
      <c r="L54" s="236"/>
      <c r="M54" s="1436">
        <f t="shared" si="30"/>
        <v>75.239999999999995</v>
      </c>
      <c r="N54" s="1494"/>
      <c r="O54" s="1494">
        <v>24.91</v>
      </c>
      <c r="P54" s="1494"/>
      <c r="Q54" s="947">
        <f t="shared" si="31"/>
        <v>100.14999999999999</v>
      </c>
      <c r="R54" s="1494"/>
      <c r="S54" s="1494"/>
      <c r="T54" s="1494"/>
      <c r="U54" s="2555">
        <f t="shared" si="32"/>
        <v>100.14999999999999</v>
      </c>
      <c r="V54" s="1494"/>
      <c r="W54" s="2941">
        <v>25</v>
      </c>
      <c r="X54" s="236"/>
      <c r="Y54" s="1436">
        <f t="shared" si="8"/>
        <v>49.91</v>
      </c>
      <c r="Z54" s="2941"/>
      <c r="AA54" s="660">
        <f t="shared" si="9"/>
        <v>125.14999999999999</v>
      </c>
      <c r="AB54" s="2941"/>
      <c r="AC54" s="2941">
        <v>25</v>
      </c>
      <c r="AD54" s="2941"/>
      <c r="AE54" s="3615">
        <f t="shared" si="33"/>
        <v>150.14999999999998</v>
      </c>
      <c r="AF54" s="2941"/>
      <c r="AG54" s="2941"/>
      <c r="AH54" s="2941"/>
      <c r="AI54" s="3615">
        <f t="shared" si="34"/>
        <v>150.14999999999998</v>
      </c>
      <c r="AJ54" s="2941"/>
      <c r="AK54" s="2941">
        <v>25.31</v>
      </c>
      <c r="AL54" s="2941"/>
      <c r="AM54" s="1436">
        <f t="shared" si="13"/>
        <v>50.31</v>
      </c>
      <c r="AN54" s="2941"/>
      <c r="AO54" s="3615">
        <f t="shared" si="14"/>
        <v>175.45999999999998</v>
      </c>
      <c r="AP54" s="2941"/>
      <c r="AQ54" s="2941">
        <v>24.68</v>
      </c>
      <c r="AR54" s="2941"/>
      <c r="AS54" s="3615">
        <f t="shared" si="35"/>
        <v>200.14</v>
      </c>
      <c r="AT54" s="2941"/>
      <c r="AU54" s="2941"/>
      <c r="AV54" s="2941"/>
      <c r="AW54" s="452">
        <f t="shared" si="36"/>
        <v>200.14</v>
      </c>
      <c r="AX54" s="2941"/>
      <c r="AY54" s="2941">
        <v>24.99</v>
      </c>
      <c r="AZ54" s="2941"/>
      <c r="BA54" s="1436">
        <f t="shared" si="18"/>
        <v>49.67</v>
      </c>
      <c r="BB54" s="2941"/>
      <c r="BC54" s="660">
        <f t="shared" si="19"/>
        <v>99.98</v>
      </c>
      <c r="BD54" s="2941"/>
      <c r="BE54" s="452">
        <f t="shared" si="37"/>
        <v>225.13</v>
      </c>
      <c r="BF54" s="26"/>
      <c r="BG54" s="26"/>
    </row>
    <row r="55" spans="1:59" x14ac:dyDescent="0.25">
      <c r="B55" s="8" t="s">
        <v>1333</v>
      </c>
      <c r="C55" s="193" t="s">
        <v>361</v>
      </c>
      <c r="D55" s="720"/>
      <c r="E55" s="1494">
        <v>25</v>
      </c>
      <c r="F55" s="1494"/>
      <c r="G55" s="1494">
        <v>25</v>
      </c>
      <c r="H55" s="2261"/>
      <c r="I55" s="2261">
        <f t="shared" si="29"/>
        <v>50</v>
      </c>
      <c r="J55" s="1494"/>
      <c r="K55" s="1494"/>
      <c r="L55" s="236"/>
      <c r="M55" s="1436">
        <f t="shared" si="30"/>
        <v>50</v>
      </c>
      <c r="N55" s="1494"/>
      <c r="O55" s="1494">
        <v>25</v>
      </c>
      <c r="P55" s="1494"/>
      <c r="Q55" s="947">
        <f t="shared" si="31"/>
        <v>75</v>
      </c>
      <c r="R55" s="1494"/>
      <c r="S55" s="1494"/>
      <c r="T55" s="1494"/>
      <c r="U55" s="2555">
        <f t="shared" si="32"/>
        <v>75</v>
      </c>
      <c r="V55" s="1494"/>
      <c r="W55" s="2941"/>
      <c r="X55" s="236"/>
      <c r="Y55" s="1436">
        <f t="shared" si="8"/>
        <v>25</v>
      </c>
      <c r="Z55" s="2941"/>
      <c r="AA55" s="660">
        <f t="shared" si="9"/>
        <v>75</v>
      </c>
      <c r="AB55" s="2941"/>
      <c r="AC55" s="2941">
        <v>25</v>
      </c>
      <c r="AD55" s="2941"/>
      <c r="AE55" s="3615">
        <f t="shared" si="33"/>
        <v>100</v>
      </c>
      <c r="AF55" s="2941"/>
      <c r="AG55" s="2941"/>
      <c r="AH55" s="2941"/>
      <c r="AI55" s="3615">
        <f t="shared" si="34"/>
        <v>100</v>
      </c>
      <c r="AJ55" s="2941"/>
      <c r="AK55" s="2941"/>
      <c r="AL55" s="2941"/>
      <c r="AM55" s="1436">
        <f t="shared" si="13"/>
        <v>25</v>
      </c>
      <c r="AN55" s="2941"/>
      <c r="AO55" s="3615">
        <f t="shared" si="14"/>
        <v>100</v>
      </c>
      <c r="AP55" s="2941"/>
      <c r="AQ55" s="2941"/>
      <c r="AR55" s="2941"/>
      <c r="AS55" s="3615">
        <f t="shared" si="35"/>
        <v>100</v>
      </c>
      <c r="AT55" s="2941"/>
      <c r="AU55" s="2941">
        <v>19.98</v>
      </c>
      <c r="AV55" s="2941"/>
      <c r="AW55" s="452">
        <f t="shared" si="36"/>
        <v>119.98</v>
      </c>
      <c r="AX55" s="2941"/>
      <c r="AY55" s="2941"/>
      <c r="AZ55" s="2941"/>
      <c r="BA55" s="1436">
        <f t="shared" si="18"/>
        <v>19.98</v>
      </c>
      <c r="BB55" s="2941"/>
      <c r="BC55" s="660">
        <f t="shared" si="19"/>
        <v>44.980000000000004</v>
      </c>
      <c r="BD55" s="2941"/>
      <c r="BE55" s="452">
        <f t="shared" si="37"/>
        <v>119.98</v>
      </c>
      <c r="BF55" s="26"/>
      <c r="BG55" s="26"/>
    </row>
    <row r="56" spans="1:59" x14ac:dyDescent="0.25">
      <c r="A56" s="2620"/>
      <c r="B56" s="8" t="s">
        <v>1740</v>
      </c>
      <c r="C56" s="193" t="s">
        <v>361</v>
      </c>
      <c r="D56" s="720"/>
      <c r="E56" s="2618"/>
      <c r="F56" s="2618"/>
      <c r="G56" s="2618"/>
      <c r="H56" s="2261"/>
      <c r="I56" s="2261"/>
      <c r="J56" s="2618"/>
      <c r="K56" s="2618"/>
      <c r="L56" s="236"/>
      <c r="M56" s="1436">
        <f t="shared" si="30"/>
        <v>0</v>
      </c>
      <c r="N56" s="2618"/>
      <c r="O56" s="2618"/>
      <c r="P56" s="2618"/>
      <c r="Q56" s="2616">
        <f t="shared" si="31"/>
        <v>0</v>
      </c>
      <c r="R56" s="2618"/>
      <c r="S56" s="2618">
        <v>25</v>
      </c>
      <c r="T56" s="2618"/>
      <c r="U56" s="2616">
        <f t="shared" si="32"/>
        <v>25</v>
      </c>
      <c r="V56" s="2618"/>
      <c r="W56" s="2941"/>
      <c r="X56" s="236"/>
      <c r="Y56" s="1436">
        <f t="shared" si="8"/>
        <v>25</v>
      </c>
      <c r="Z56" s="2941"/>
      <c r="AA56" s="660">
        <f t="shared" si="9"/>
        <v>25</v>
      </c>
      <c r="AB56" s="2941"/>
      <c r="AC56" s="2941"/>
      <c r="AD56" s="2941"/>
      <c r="AE56" s="3615">
        <f t="shared" si="33"/>
        <v>25</v>
      </c>
      <c r="AF56" s="2941"/>
      <c r="AG56" s="2941"/>
      <c r="AH56" s="2941"/>
      <c r="AI56" s="3615">
        <f t="shared" si="34"/>
        <v>25</v>
      </c>
      <c r="AJ56" s="2941"/>
      <c r="AK56" s="2941">
        <v>20</v>
      </c>
      <c r="AL56" s="2941"/>
      <c r="AM56" s="1436">
        <f t="shared" si="13"/>
        <v>20</v>
      </c>
      <c r="AN56" s="2941"/>
      <c r="AO56" s="3615">
        <f t="shared" si="14"/>
        <v>45</v>
      </c>
      <c r="AP56" s="2941"/>
      <c r="AQ56" s="2941"/>
      <c r="AR56" s="2941"/>
      <c r="AS56" s="3615">
        <f t="shared" si="35"/>
        <v>45</v>
      </c>
      <c r="AT56" s="2941"/>
      <c r="AU56" s="2941"/>
      <c r="AV56" s="2941"/>
      <c r="AW56" s="452">
        <f t="shared" si="36"/>
        <v>45</v>
      </c>
      <c r="AX56" s="2941"/>
      <c r="AY56" s="2941"/>
      <c r="AZ56" s="2941"/>
      <c r="BA56" s="1436">
        <f t="shared" si="18"/>
        <v>0</v>
      </c>
      <c r="BB56" s="2941"/>
      <c r="BC56" s="660">
        <f t="shared" si="19"/>
        <v>20</v>
      </c>
      <c r="BD56" s="2941"/>
      <c r="BE56" s="452">
        <f t="shared" si="37"/>
        <v>45</v>
      </c>
      <c r="BF56" s="26"/>
      <c r="BG56" s="26"/>
    </row>
    <row r="57" spans="1:59" x14ac:dyDescent="0.25">
      <c r="A57" s="183"/>
      <c r="B57" s="8" t="s">
        <v>673</v>
      </c>
      <c r="C57" s="193" t="s">
        <v>361</v>
      </c>
      <c r="D57" s="720"/>
      <c r="E57" s="1494">
        <v>139.22</v>
      </c>
      <c r="F57" s="1494"/>
      <c r="G57" s="1494">
        <v>90.16</v>
      </c>
      <c r="H57" s="2261"/>
      <c r="I57" s="2261">
        <f t="shared" si="29"/>
        <v>229.38</v>
      </c>
      <c r="J57" s="1494"/>
      <c r="K57" s="1494">
        <v>85.85</v>
      </c>
      <c r="L57" s="236"/>
      <c r="M57" s="1436">
        <f t="shared" si="30"/>
        <v>315.23</v>
      </c>
      <c r="N57" s="1494"/>
      <c r="O57" s="1494">
        <v>23.99</v>
      </c>
      <c r="P57" s="1494"/>
      <c r="Q57" s="947">
        <f t="shared" si="31"/>
        <v>339.22</v>
      </c>
      <c r="R57" s="1494"/>
      <c r="S57" s="1494">
        <v>99.929999999999993</v>
      </c>
      <c r="T57" s="1494"/>
      <c r="U57" s="2555">
        <f t="shared" si="32"/>
        <v>439.15000000000003</v>
      </c>
      <c r="V57" s="1494"/>
      <c r="W57" s="2941">
        <v>80.61</v>
      </c>
      <c r="X57" s="236"/>
      <c r="Y57" s="1436">
        <f t="shared" si="8"/>
        <v>204.52999999999997</v>
      </c>
      <c r="Z57" s="2941"/>
      <c r="AA57" s="660">
        <f t="shared" si="9"/>
        <v>519.76</v>
      </c>
      <c r="AB57" s="2941"/>
      <c r="AC57" s="2941">
        <v>90.18</v>
      </c>
      <c r="AD57" s="2941"/>
      <c r="AE57" s="3615">
        <f t="shared" si="33"/>
        <v>609.94000000000005</v>
      </c>
      <c r="AF57" s="2941"/>
      <c r="AG57" s="2941">
        <v>63.04</v>
      </c>
      <c r="AH57" s="2941"/>
      <c r="AI57" s="3615">
        <f t="shared" si="34"/>
        <v>672.98</v>
      </c>
      <c r="AJ57" s="2941"/>
      <c r="AK57" s="2941">
        <v>91.13</v>
      </c>
      <c r="AL57" s="2941"/>
      <c r="AM57" s="1436">
        <f t="shared" si="13"/>
        <v>244.35</v>
      </c>
      <c r="AN57" s="2941"/>
      <c r="AO57" s="3615">
        <f t="shared" si="14"/>
        <v>764.11</v>
      </c>
      <c r="AP57" s="2941"/>
      <c r="AQ57" s="2941">
        <v>25.08</v>
      </c>
      <c r="AR57" s="2941"/>
      <c r="AS57" s="3615">
        <f t="shared" si="35"/>
        <v>789.19</v>
      </c>
      <c r="AT57" s="2941"/>
      <c r="AU57" s="2941">
        <v>62.94</v>
      </c>
      <c r="AV57" s="2941"/>
      <c r="AW57" s="452">
        <f t="shared" si="36"/>
        <v>852.13000000000011</v>
      </c>
      <c r="AX57" s="2941"/>
      <c r="AY57" s="2941">
        <v>87.06</v>
      </c>
      <c r="AZ57" s="2941"/>
      <c r="BA57" s="1436">
        <f t="shared" si="18"/>
        <v>175.07999999999998</v>
      </c>
      <c r="BB57" s="2941"/>
      <c r="BC57" s="660">
        <f t="shared" si="19"/>
        <v>419.42999999999995</v>
      </c>
      <c r="BD57" s="2941"/>
      <c r="BE57" s="452">
        <f t="shared" si="37"/>
        <v>939.19</v>
      </c>
      <c r="BF57" s="26"/>
      <c r="BG57" s="26"/>
    </row>
    <row r="58" spans="1:59" x14ac:dyDescent="0.25">
      <c r="B58" s="906" t="s">
        <v>695</v>
      </c>
      <c r="C58" s="242"/>
      <c r="D58" s="1732"/>
      <c r="E58" s="1732">
        <f>+SUM(E59:E64)</f>
        <v>0</v>
      </c>
      <c r="F58" s="1732">
        <f>+SUM(F59:F64)</f>
        <v>0</v>
      </c>
      <c r="G58" s="1732">
        <f>+SUM(G59:G64)</f>
        <v>21.69</v>
      </c>
      <c r="H58" s="2262">
        <f>+SUM(H59:H64)</f>
        <v>0</v>
      </c>
      <c r="I58" s="2262">
        <f t="shared" si="29"/>
        <v>21.69</v>
      </c>
      <c r="J58" s="1732"/>
      <c r="K58" s="1732">
        <f>+SUM(K59:K64)</f>
        <v>63.03</v>
      </c>
      <c r="L58" s="1732"/>
      <c r="M58" s="3609">
        <f t="shared" si="30"/>
        <v>84.72</v>
      </c>
      <c r="N58" s="1732"/>
      <c r="O58" s="1732">
        <f>+SUM(O59:O64)</f>
        <v>0</v>
      </c>
      <c r="P58" s="1732"/>
      <c r="Q58" s="1732">
        <f t="shared" si="31"/>
        <v>84.72</v>
      </c>
      <c r="R58" s="1732"/>
      <c r="S58" s="1732">
        <f>+SUM(S59:S64)</f>
        <v>0</v>
      </c>
      <c r="T58" s="1732"/>
      <c r="U58" s="1732">
        <f t="shared" si="32"/>
        <v>84.72</v>
      </c>
      <c r="V58" s="1732"/>
      <c r="W58" s="1732">
        <f>+SUM(W59:W64)</f>
        <v>383.56</v>
      </c>
      <c r="X58" s="1732"/>
      <c r="Y58" s="3609">
        <f t="shared" si="8"/>
        <v>383.56</v>
      </c>
      <c r="Z58" s="1732"/>
      <c r="AA58" s="625">
        <f t="shared" si="9"/>
        <v>468.28</v>
      </c>
      <c r="AB58" s="1732"/>
      <c r="AC58" s="1732">
        <f>+SUM(AC59:AC64)</f>
        <v>524.80999999999995</v>
      </c>
      <c r="AD58" s="1732"/>
      <c r="AE58" s="1732">
        <f t="shared" si="33"/>
        <v>993.08999999999992</v>
      </c>
      <c r="AF58" s="1732"/>
      <c r="AG58" s="1732">
        <f>+SUM(AG59:AG64)</f>
        <v>473.4</v>
      </c>
      <c r="AH58" s="1732"/>
      <c r="AI58" s="1732">
        <f t="shared" si="34"/>
        <v>1466.4899999999998</v>
      </c>
      <c r="AJ58" s="1732"/>
      <c r="AK58" s="1732">
        <f>+SUM(AK59:AK64)</f>
        <v>0</v>
      </c>
      <c r="AL58" s="1732"/>
      <c r="AM58" s="3609">
        <f t="shared" si="13"/>
        <v>998.20999999999992</v>
      </c>
      <c r="AN58" s="1732"/>
      <c r="AO58" s="1732">
        <f t="shared" si="14"/>
        <v>1466.4899999999998</v>
      </c>
      <c r="AP58" s="1732"/>
      <c r="AQ58" s="1732">
        <f>+SUM(AQ59:AQ64)</f>
        <v>0</v>
      </c>
      <c r="AR58" s="1732"/>
      <c r="AS58" s="1732">
        <f t="shared" si="35"/>
        <v>1466.4899999999998</v>
      </c>
      <c r="AT58" s="1732"/>
      <c r="AU58" s="1732">
        <f>+SUM(AU59:AU64)</f>
        <v>0</v>
      </c>
      <c r="AV58" s="1732"/>
      <c r="AW58" s="1732">
        <f t="shared" si="36"/>
        <v>1466.4899999999998</v>
      </c>
      <c r="AX58" s="1732"/>
      <c r="AY58" s="1732">
        <f>+SUM(AY59:AY64)</f>
        <v>0</v>
      </c>
      <c r="AZ58" s="1732"/>
      <c r="BA58" s="3609">
        <f t="shared" si="18"/>
        <v>0</v>
      </c>
      <c r="BB58" s="1732"/>
      <c r="BC58" s="625">
        <f t="shared" si="19"/>
        <v>998.20999999999992</v>
      </c>
      <c r="BD58" s="1732"/>
      <c r="BE58" s="1732">
        <f t="shared" si="37"/>
        <v>1466.4899999999998</v>
      </c>
      <c r="BF58" s="26"/>
      <c r="BG58" s="26"/>
    </row>
    <row r="59" spans="1:59" x14ac:dyDescent="0.25">
      <c r="B59" s="8" t="s">
        <v>1565</v>
      </c>
      <c r="C59" s="242" t="s">
        <v>361</v>
      </c>
      <c r="D59" s="1732"/>
      <c r="E59" s="1416"/>
      <c r="F59" s="1416"/>
      <c r="G59" s="1416">
        <v>21.69</v>
      </c>
      <c r="H59" s="1416"/>
      <c r="I59" s="1416">
        <f t="shared" si="29"/>
        <v>21.69</v>
      </c>
      <c r="J59" s="1416"/>
      <c r="K59" s="1416"/>
      <c r="L59" s="1732"/>
      <c r="M59" s="1436">
        <f t="shared" si="30"/>
        <v>21.69</v>
      </c>
      <c r="N59" s="1732"/>
      <c r="O59" s="1416"/>
      <c r="P59" s="1732"/>
      <c r="Q59" s="311">
        <f t="shared" si="31"/>
        <v>21.69</v>
      </c>
      <c r="R59" s="1732"/>
      <c r="S59" s="1416"/>
      <c r="T59" s="1732"/>
      <c r="U59" s="311">
        <f>Q59+S59</f>
        <v>21.69</v>
      </c>
      <c r="V59" s="1732"/>
      <c r="W59" s="1416">
        <v>35.46</v>
      </c>
      <c r="X59" s="1732"/>
      <c r="Y59" s="1436">
        <f t="shared" si="8"/>
        <v>35.46</v>
      </c>
      <c r="Z59" s="1732"/>
      <c r="AA59" s="625">
        <f t="shared" si="9"/>
        <v>57.150000000000006</v>
      </c>
      <c r="AB59" s="1732"/>
      <c r="AC59" s="1416">
        <v>103.32</v>
      </c>
      <c r="AD59" s="1732"/>
      <c r="AE59" s="311">
        <f>AA59+AC59</f>
        <v>160.47</v>
      </c>
      <c r="AF59" s="1732"/>
      <c r="AG59" s="1416"/>
      <c r="AH59" s="1732"/>
      <c r="AI59" s="311">
        <f>AE59+AG59</f>
        <v>160.47</v>
      </c>
      <c r="AJ59" s="1732"/>
      <c r="AK59" s="1416"/>
      <c r="AL59" s="1732"/>
      <c r="AM59" s="1436">
        <f t="shared" si="13"/>
        <v>103.32</v>
      </c>
      <c r="AN59" s="1732"/>
      <c r="AO59" s="311">
        <f t="shared" si="14"/>
        <v>160.47</v>
      </c>
      <c r="AP59" s="1732"/>
      <c r="AQ59" s="1416"/>
      <c r="AR59" s="1732"/>
      <c r="AS59" s="311">
        <f>AO59+AQ59</f>
        <v>160.47</v>
      </c>
      <c r="AT59" s="1732"/>
      <c r="AU59" s="1416"/>
      <c r="AV59" s="1732"/>
      <c r="AW59" s="311">
        <f>AS59+AU59</f>
        <v>160.47</v>
      </c>
      <c r="AX59" s="1732"/>
      <c r="AY59" s="1416"/>
      <c r="AZ59" s="1732"/>
      <c r="BA59" s="1436">
        <f t="shared" si="18"/>
        <v>0</v>
      </c>
      <c r="BB59" s="1732"/>
      <c r="BC59" s="625">
        <f t="shared" si="19"/>
        <v>103.32</v>
      </c>
      <c r="BD59" s="1732"/>
      <c r="BE59" s="311">
        <f>AW59+AY59</f>
        <v>160.47</v>
      </c>
      <c r="BF59" s="26"/>
      <c r="BG59" s="26"/>
    </row>
    <row r="60" spans="1:59" x14ac:dyDescent="0.25">
      <c r="B60" s="8" t="s">
        <v>1640</v>
      </c>
      <c r="C60" s="242" t="s">
        <v>361</v>
      </c>
      <c r="D60" s="1732"/>
      <c r="E60" s="1416"/>
      <c r="F60" s="1416"/>
      <c r="G60" s="1416"/>
      <c r="H60" s="1416"/>
      <c r="I60" s="1416">
        <f t="shared" si="29"/>
        <v>0</v>
      </c>
      <c r="J60" s="1416"/>
      <c r="K60" s="1416">
        <v>63.03</v>
      </c>
      <c r="L60" s="1732"/>
      <c r="M60" s="1436">
        <f t="shared" si="30"/>
        <v>63.03</v>
      </c>
      <c r="N60" s="1732"/>
      <c r="O60" s="1416"/>
      <c r="P60" s="1732"/>
      <c r="Q60" s="311">
        <f t="shared" si="31"/>
        <v>63.03</v>
      </c>
      <c r="R60" s="1732"/>
      <c r="S60" s="1416"/>
      <c r="T60" s="1732"/>
      <c r="U60" s="311">
        <f>Q60+S60</f>
        <v>63.03</v>
      </c>
      <c r="V60" s="1732"/>
      <c r="W60" s="1416"/>
      <c r="X60" s="1732"/>
      <c r="Y60" s="1436">
        <f t="shared" si="8"/>
        <v>0</v>
      </c>
      <c r="Z60" s="1732"/>
      <c r="AA60" s="625">
        <f t="shared" si="9"/>
        <v>63.03</v>
      </c>
      <c r="AB60" s="1732"/>
      <c r="AC60" s="1416">
        <v>18.73</v>
      </c>
      <c r="AD60" s="1732"/>
      <c r="AE60" s="311">
        <f>AA60+AC60</f>
        <v>81.760000000000005</v>
      </c>
      <c r="AF60" s="1732"/>
      <c r="AG60" s="1416"/>
      <c r="AH60" s="1732"/>
      <c r="AI60" s="311">
        <f>AE60+AG60</f>
        <v>81.760000000000005</v>
      </c>
      <c r="AJ60" s="1732"/>
      <c r="AK60" s="1416"/>
      <c r="AL60" s="1732"/>
      <c r="AM60" s="1436">
        <f t="shared" si="13"/>
        <v>18.73</v>
      </c>
      <c r="AN60" s="1732"/>
      <c r="AO60" s="311">
        <f t="shared" si="14"/>
        <v>81.760000000000005</v>
      </c>
      <c r="AP60" s="1732"/>
      <c r="AQ60" s="1416"/>
      <c r="AR60" s="1732"/>
      <c r="AS60" s="311">
        <f>AO60+AQ60</f>
        <v>81.760000000000005</v>
      </c>
      <c r="AT60" s="1732"/>
      <c r="AU60" s="1416"/>
      <c r="AV60" s="1732"/>
      <c r="AW60" s="311">
        <f>AS60+AU60</f>
        <v>81.760000000000005</v>
      </c>
      <c r="AX60" s="1732"/>
      <c r="AY60" s="1416"/>
      <c r="AZ60" s="1732"/>
      <c r="BA60" s="1436">
        <f t="shared" si="18"/>
        <v>0</v>
      </c>
      <c r="BB60" s="1732"/>
      <c r="BC60" s="625">
        <f t="shared" si="19"/>
        <v>18.73</v>
      </c>
      <c r="BD60" s="1732"/>
      <c r="BE60" s="311">
        <f>AW60+AY60</f>
        <v>81.760000000000005</v>
      </c>
      <c r="BF60" s="26"/>
      <c r="BG60" s="26"/>
    </row>
    <row r="61" spans="1:59" s="3399" customFormat="1" x14ac:dyDescent="0.25">
      <c r="B61" s="8" t="s">
        <v>1803</v>
      </c>
      <c r="C61" s="242" t="s">
        <v>361</v>
      </c>
      <c r="D61" s="1732"/>
      <c r="E61" s="1416"/>
      <c r="F61" s="1416"/>
      <c r="G61" s="1416"/>
      <c r="H61" s="1416"/>
      <c r="I61" s="1416">
        <f t="shared" ref="I61:I63" si="38">+E61+G61</f>
        <v>0</v>
      </c>
      <c r="J61" s="1416"/>
      <c r="K61" s="1416"/>
      <c r="L61" s="1732"/>
      <c r="M61" s="1436">
        <f t="shared" si="30"/>
        <v>0</v>
      </c>
      <c r="N61" s="1732"/>
      <c r="O61" s="1416"/>
      <c r="P61" s="1732"/>
      <c r="Q61" s="311">
        <f t="shared" si="31"/>
        <v>0</v>
      </c>
      <c r="R61" s="1732"/>
      <c r="S61" s="1416"/>
      <c r="T61" s="1732"/>
      <c r="U61" s="311">
        <f>Q61+S61</f>
        <v>0</v>
      </c>
      <c r="V61" s="1732"/>
      <c r="W61" s="1416">
        <v>170.67</v>
      </c>
      <c r="X61" s="1732"/>
      <c r="Y61" s="1436">
        <f t="shared" si="8"/>
        <v>170.67</v>
      </c>
      <c r="Z61" s="1732"/>
      <c r="AA61" s="625">
        <f t="shared" si="9"/>
        <v>170.67</v>
      </c>
      <c r="AB61" s="1732"/>
      <c r="AC61" s="1416">
        <v>29.15</v>
      </c>
      <c r="AD61" s="1732"/>
      <c r="AE61" s="311">
        <f>AA61+AC61</f>
        <v>199.82</v>
      </c>
      <c r="AF61" s="1732"/>
      <c r="AG61" s="1416"/>
      <c r="AH61" s="1732"/>
      <c r="AI61" s="311">
        <f>AE61+AG61</f>
        <v>199.82</v>
      </c>
      <c r="AJ61" s="1732"/>
      <c r="AK61" s="1416"/>
      <c r="AL61" s="1732"/>
      <c r="AM61" s="1436">
        <f t="shared" si="13"/>
        <v>29.15</v>
      </c>
      <c r="AN61" s="1732"/>
      <c r="AO61" s="311">
        <f t="shared" si="14"/>
        <v>199.82</v>
      </c>
      <c r="AP61" s="1732"/>
      <c r="AQ61" s="1416"/>
      <c r="AR61" s="1732"/>
      <c r="AS61" s="311">
        <f>AO61+AQ61</f>
        <v>199.82</v>
      </c>
      <c r="AT61" s="1732"/>
      <c r="AU61" s="1416"/>
      <c r="AV61" s="1732"/>
      <c r="AW61" s="311">
        <f>AS61+AU61</f>
        <v>199.82</v>
      </c>
      <c r="AX61" s="1732"/>
      <c r="AY61" s="1416"/>
      <c r="AZ61" s="1732"/>
      <c r="BA61" s="1436">
        <f t="shared" si="18"/>
        <v>0</v>
      </c>
      <c r="BB61" s="1732"/>
      <c r="BC61" s="625">
        <f t="shared" si="19"/>
        <v>29.15</v>
      </c>
      <c r="BD61" s="1732"/>
      <c r="BE61" s="311">
        <f>AW61+AY61</f>
        <v>199.82</v>
      </c>
      <c r="BF61" s="26"/>
      <c r="BG61" s="26"/>
    </row>
    <row r="62" spans="1:59" s="3399" customFormat="1" x14ac:dyDescent="0.25">
      <c r="B62" s="8" t="s">
        <v>1806</v>
      </c>
      <c r="C62" s="242" t="s">
        <v>361</v>
      </c>
      <c r="D62" s="1732"/>
      <c r="E62" s="1416"/>
      <c r="F62" s="1416"/>
      <c r="G62" s="1416"/>
      <c r="H62" s="1416"/>
      <c r="I62" s="1416">
        <f t="shared" si="38"/>
        <v>0</v>
      </c>
      <c r="J62" s="1416"/>
      <c r="K62" s="1416"/>
      <c r="L62" s="1732"/>
      <c r="M62" s="1436">
        <f t="shared" si="30"/>
        <v>0</v>
      </c>
      <c r="N62" s="1732"/>
      <c r="O62" s="1416"/>
      <c r="P62" s="1732"/>
      <c r="Q62" s="311">
        <f t="shared" si="31"/>
        <v>0</v>
      </c>
      <c r="R62" s="1732"/>
      <c r="S62" s="1416"/>
      <c r="T62" s="1732"/>
      <c r="U62" s="311">
        <f>Q62+S62</f>
        <v>0</v>
      </c>
      <c r="V62" s="1732"/>
      <c r="W62" s="1416">
        <v>24.740000000000002</v>
      </c>
      <c r="X62" s="1732"/>
      <c r="Y62" s="1436">
        <f t="shared" si="8"/>
        <v>24.740000000000002</v>
      </c>
      <c r="Z62" s="1732"/>
      <c r="AA62" s="625">
        <f t="shared" si="9"/>
        <v>24.740000000000002</v>
      </c>
      <c r="AB62" s="1732"/>
      <c r="AC62" s="1416"/>
      <c r="AD62" s="1732"/>
      <c r="AE62" s="311">
        <f>AA62+AC62</f>
        <v>24.740000000000002</v>
      </c>
      <c r="AF62" s="1732"/>
      <c r="AG62" s="1416"/>
      <c r="AH62" s="1732"/>
      <c r="AI62" s="311">
        <f>AE62+AG62</f>
        <v>24.740000000000002</v>
      </c>
      <c r="AJ62" s="1732"/>
      <c r="AK62" s="1416"/>
      <c r="AL62" s="1732"/>
      <c r="AM62" s="1436">
        <f t="shared" si="13"/>
        <v>0</v>
      </c>
      <c r="AN62" s="1732"/>
      <c r="AO62" s="311">
        <f t="shared" si="14"/>
        <v>24.740000000000002</v>
      </c>
      <c r="AP62" s="1732"/>
      <c r="AQ62" s="1416"/>
      <c r="AR62" s="1732"/>
      <c r="AS62" s="311">
        <f>AO62+AQ62</f>
        <v>24.740000000000002</v>
      </c>
      <c r="AT62" s="1732"/>
      <c r="AU62" s="1416"/>
      <c r="AV62" s="1732"/>
      <c r="AW62" s="311">
        <f>AS62+AU62</f>
        <v>24.740000000000002</v>
      </c>
      <c r="AX62" s="1732"/>
      <c r="AY62" s="1416"/>
      <c r="AZ62" s="1732"/>
      <c r="BA62" s="1436">
        <f t="shared" si="18"/>
        <v>0</v>
      </c>
      <c r="BB62" s="1732"/>
      <c r="BC62" s="625">
        <f t="shared" si="19"/>
        <v>0</v>
      </c>
      <c r="BD62" s="1732"/>
      <c r="BE62" s="311">
        <f>AW62+AY62</f>
        <v>24.740000000000002</v>
      </c>
      <c r="BF62" s="26"/>
      <c r="BG62" s="26"/>
    </row>
    <row r="63" spans="1:59" s="3399" customFormat="1" x14ac:dyDescent="0.25">
      <c r="B63" s="8" t="s">
        <v>1805</v>
      </c>
      <c r="C63" s="242" t="s">
        <v>361</v>
      </c>
      <c r="D63" s="1732"/>
      <c r="E63" s="1416"/>
      <c r="F63" s="1416"/>
      <c r="G63" s="1416"/>
      <c r="H63" s="1416"/>
      <c r="I63" s="1416">
        <f t="shared" si="38"/>
        <v>0</v>
      </c>
      <c r="J63" s="1416"/>
      <c r="K63" s="1416"/>
      <c r="L63" s="1732"/>
      <c r="M63" s="1436">
        <f t="shared" si="30"/>
        <v>0</v>
      </c>
      <c r="N63" s="1732"/>
      <c r="O63" s="1416"/>
      <c r="P63" s="1732"/>
      <c r="Q63" s="311">
        <f t="shared" si="31"/>
        <v>0</v>
      </c>
      <c r="R63" s="1732"/>
      <c r="S63" s="1416"/>
      <c r="T63" s="1732"/>
      <c r="U63" s="311">
        <f>Q63+S63</f>
        <v>0</v>
      </c>
      <c r="V63" s="1732"/>
      <c r="W63" s="1416">
        <v>152.69</v>
      </c>
      <c r="X63" s="1732"/>
      <c r="Y63" s="1436">
        <f t="shared" si="8"/>
        <v>152.69</v>
      </c>
      <c r="Z63" s="1732"/>
      <c r="AA63" s="625">
        <f t="shared" si="9"/>
        <v>152.69</v>
      </c>
      <c r="AB63" s="1732"/>
      <c r="AC63" s="1416">
        <v>373.60999999999996</v>
      </c>
      <c r="AD63" s="1732"/>
      <c r="AE63" s="311">
        <f>AA63+AC63</f>
        <v>526.29999999999995</v>
      </c>
      <c r="AF63" s="1732"/>
      <c r="AG63" s="1416">
        <v>473.4</v>
      </c>
      <c r="AH63" s="1732"/>
      <c r="AI63" s="311">
        <f>AE63+AG63</f>
        <v>999.69999999999993</v>
      </c>
      <c r="AJ63" s="1732"/>
      <c r="AK63" s="1416"/>
      <c r="AL63" s="1732"/>
      <c r="AM63" s="1436">
        <f t="shared" si="13"/>
        <v>847.01</v>
      </c>
      <c r="AN63" s="1732"/>
      <c r="AO63" s="311">
        <f t="shared" si="14"/>
        <v>999.69999999999993</v>
      </c>
      <c r="AP63" s="1732"/>
      <c r="AQ63" s="1416"/>
      <c r="AR63" s="1732"/>
      <c r="AS63" s="311">
        <f>AO63+AQ63</f>
        <v>999.69999999999993</v>
      </c>
      <c r="AT63" s="1732"/>
      <c r="AU63" s="1416"/>
      <c r="AV63" s="1732"/>
      <c r="AW63" s="311">
        <f>AS63+AU63</f>
        <v>999.69999999999993</v>
      </c>
      <c r="AX63" s="1732"/>
      <c r="AY63" s="1416"/>
      <c r="AZ63" s="1732"/>
      <c r="BA63" s="1436">
        <f t="shared" si="18"/>
        <v>0</v>
      </c>
      <c r="BB63" s="1732"/>
      <c r="BC63" s="625">
        <f t="shared" si="19"/>
        <v>847.01</v>
      </c>
      <c r="BD63" s="1732"/>
      <c r="BE63" s="311">
        <f>AW63+AY63</f>
        <v>999.69999999999993</v>
      </c>
      <c r="BF63" s="26"/>
      <c r="BG63" s="26"/>
    </row>
    <row r="64" spans="1:59" x14ac:dyDescent="0.25">
      <c r="B64" s="8" t="s">
        <v>689</v>
      </c>
      <c r="C64" s="193" t="s">
        <v>361</v>
      </c>
      <c r="D64" s="720"/>
      <c r="E64" s="719">
        <v>0</v>
      </c>
      <c r="F64" s="719"/>
      <c r="G64" s="719"/>
      <c r="H64" s="719"/>
      <c r="I64" s="719">
        <f t="shared" si="29"/>
        <v>0</v>
      </c>
      <c r="J64" s="719"/>
      <c r="K64" s="719"/>
      <c r="L64" s="236"/>
      <c r="M64" s="1436">
        <f t="shared" si="30"/>
        <v>0</v>
      </c>
      <c r="N64" s="720"/>
      <c r="O64" s="719"/>
      <c r="P64" s="720"/>
      <c r="Q64" s="709">
        <f t="shared" si="31"/>
        <v>0</v>
      </c>
      <c r="R64" s="720"/>
      <c r="S64" s="720"/>
      <c r="T64" s="720"/>
      <c r="U64" s="2564">
        <f t="shared" si="32"/>
        <v>0</v>
      </c>
      <c r="V64" s="720"/>
      <c r="W64" s="720"/>
      <c r="X64" s="236"/>
      <c r="Y64" s="1436">
        <f t="shared" si="8"/>
        <v>0</v>
      </c>
      <c r="Z64" s="720"/>
      <c r="AA64" s="625">
        <f t="shared" si="9"/>
        <v>0</v>
      </c>
      <c r="AB64" s="720"/>
      <c r="AC64" s="720"/>
      <c r="AD64" s="720"/>
      <c r="AE64" s="4022">
        <f t="shared" ref="AE64:AE74" si="39">+AA64+AC64</f>
        <v>0</v>
      </c>
      <c r="AF64" s="720"/>
      <c r="AG64" s="720"/>
      <c r="AH64" s="720"/>
      <c r="AI64" s="4022">
        <f t="shared" ref="AI64:AI74" si="40">+AE64+AG64</f>
        <v>0</v>
      </c>
      <c r="AJ64" s="720"/>
      <c r="AK64" s="720"/>
      <c r="AL64" s="720"/>
      <c r="AM64" s="1436">
        <f t="shared" si="13"/>
        <v>0</v>
      </c>
      <c r="AN64" s="720"/>
      <c r="AO64" s="4022">
        <f t="shared" si="14"/>
        <v>0</v>
      </c>
      <c r="AP64" s="720"/>
      <c r="AQ64" s="720"/>
      <c r="AR64" s="720"/>
      <c r="AS64" s="4022">
        <f t="shared" ref="AS64:AS74" si="41">+AO64+AQ64</f>
        <v>0</v>
      </c>
      <c r="AT64" s="720"/>
      <c r="AU64" s="720"/>
      <c r="AV64" s="720"/>
      <c r="AW64" s="311">
        <f t="shared" ref="AW64:AW74" si="42">+AS64+AU64</f>
        <v>0</v>
      </c>
      <c r="AX64" s="720"/>
      <c r="AY64" s="720"/>
      <c r="AZ64" s="720"/>
      <c r="BA64" s="1436">
        <f t="shared" si="18"/>
        <v>0</v>
      </c>
      <c r="BB64" s="720"/>
      <c r="BC64" s="625">
        <f t="shared" si="19"/>
        <v>0</v>
      </c>
      <c r="BD64" s="720"/>
      <c r="BE64" s="311">
        <f t="shared" ref="BE64:BE74" si="43">+AW64+AY64</f>
        <v>0</v>
      </c>
      <c r="BF64" s="26"/>
      <c r="BG64" s="26"/>
    </row>
    <row r="65" spans="2:59" x14ac:dyDescent="0.25">
      <c r="B65" s="906" t="s">
        <v>716</v>
      </c>
      <c r="C65" s="242"/>
      <c r="D65" s="1732"/>
      <c r="E65" s="1732">
        <f>+SUM(E66:E97)</f>
        <v>4910.62</v>
      </c>
      <c r="F65" s="1732"/>
      <c r="G65" s="1732">
        <f>+SUM(G66:G97)</f>
        <v>4255.37</v>
      </c>
      <c r="H65" s="2262"/>
      <c r="I65" s="2262">
        <f t="shared" si="29"/>
        <v>9165.99</v>
      </c>
      <c r="J65" s="1732"/>
      <c r="K65" s="1732">
        <f>+SUM(K66:K97)</f>
        <v>3974.4399999999996</v>
      </c>
      <c r="L65" s="1732"/>
      <c r="M65" s="3609">
        <f t="shared" si="30"/>
        <v>13140.43</v>
      </c>
      <c r="N65" s="1732"/>
      <c r="O65" s="1732">
        <f>+SUM(O66:O97)</f>
        <v>5619.3999999999987</v>
      </c>
      <c r="P65" s="1732"/>
      <c r="Q65" s="1732">
        <f t="shared" si="31"/>
        <v>18759.829999999998</v>
      </c>
      <c r="R65" s="1732"/>
      <c r="S65" s="1732">
        <f>+SUM(S66:S97)</f>
        <v>2081.8799999999997</v>
      </c>
      <c r="T65" s="1732"/>
      <c r="U65" s="1732">
        <f t="shared" si="32"/>
        <v>20841.71</v>
      </c>
      <c r="V65" s="1732"/>
      <c r="W65" s="1732">
        <f>+SUM(W66:W97)</f>
        <v>9357.8200000000015</v>
      </c>
      <c r="X65" s="1732"/>
      <c r="Y65" s="3609">
        <f t="shared" si="8"/>
        <v>17059.099999999999</v>
      </c>
      <c r="Z65" s="1732"/>
      <c r="AA65" s="625">
        <f t="shared" si="9"/>
        <v>30199.53</v>
      </c>
      <c r="AB65" s="1732"/>
      <c r="AC65" s="1732">
        <f>+SUM(AC66:AC97)</f>
        <v>11225.319999999996</v>
      </c>
      <c r="AD65" s="1732"/>
      <c r="AE65" s="1732">
        <f t="shared" si="39"/>
        <v>41424.849999999991</v>
      </c>
      <c r="AF65" s="1732"/>
      <c r="AG65" s="1732">
        <f>+SUM(AG66:AG97)</f>
        <v>16986.419999999998</v>
      </c>
      <c r="AH65" s="1732"/>
      <c r="AI65" s="1732">
        <f t="shared" si="40"/>
        <v>58411.26999999999</v>
      </c>
      <c r="AJ65" s="1732"/>
      <c r="AK65" s="1732">
        <f>+SUM(AK66:AK97)</f>
        <v>8938.9399999999987</v>
      </c>
      <c r="AL65" s="1732"/>
      <c r="AM65" s="3609">
        <f t="shared" si="13"/>
        <v>37150.679999999993</v>
      </c>
      <c r="AN65" s="1732"/>
      <c r="AO65" s="1732">
        <f t="shared" si="14"/>
        <v>67350.209999999992</v>
      </c>
      <c r="AP65" s="1732"/>
      <c r="AQ65" s="1732">
        <f>+SUM(AQ66:AQ97)</f>
        <v>12880.269999999997</v>
      </c>
      <c r="AR65" s="1732"/>
      <c r="AS65" s="1732">
        <f t="shared" si="41"/>
        <v>80230.479999999981</v>
      </c>
      <c r="AT65" s="1732"/>
      <c r="AU65" s="1732">
        <f>+SUM(AU66:AU97)</f>
        <v>10109.789999999999</v>
      </c>
      <c r="AV65" s="1732"/>
      <c r="AW65" s="1732">
        <f t="shared" si="42"/>
        <v>90340.269999999975</v>
      </c>
      <c r="AX65" s="1732"/>
      <c r="AY65" s="1732">
        <f>+SUM(AY66:AY97)</f>
        <v>5283.53</v>
      </c>
      <c r="AZ65" s="1732"/>
      <c r="BA65" s="3609">
        <f t="shared" si="18"/>
        <v>28273.589999999997</v>
      </c>
      <c r="BB65" s="1732"/>
      <c r="BC65" s="625">
        <f t="shared" si="19"/>
        <v>65424.26999999999</v>
      </c>
      <c r="BD65" s="1732"/>
      <c r="BE65" s="1732">
        <f t="shared" si="43"/>
        <v>95623.799999999974</v>
      </c>
      <c r="BF65" s="26"/>
      <c r="BG65" s="26"/>
    </row>
    <row r="66" spans="2:59" x14ac:dyDescent="0.25">
      <c r="B66" s="8" t="s">
        <v>694</v>
      </c>
      <c r="C66" s="193" t="s">
        <v>361</v>
      </c>
      <c r="D66" s="720"/>
      <c r="E66" s="425">
        <v>891.97999999999979</v>
      </c>
      <c r="F66" s="425"/>
      <c r="G66" s="425">
        <v>771.8</v>
      </c>
      <c r="H66" s="2264"/>
      <c r="I66" s="2264">
        <f t="shared" si="29"/>
        <v>1663.7799999999997</v>
      </c>
      <c r="J66" s="425"/>
      <c r="K66" s="425">
        <v>577.67999999999995</v>
      </c>
      <c r="L66" s="3610"/>
      <c r="M66" s="1436">
        <f t="shared" si="30"/>
        <v>2241.4599999999996</v>
      </c>
      <c r="N66" s="425"/>
      <c r="O66" s="425">
        <v>714.43</v>
      </c>
      <c r="P66" s="425"/>
      <c r="Q66" s="2432">
        <f t="shared" si="31"/>
        <v>2955.8899999999994</v>
      </c>
      <c r="R66" s="425"/>
      <c r="S66" s="425">
        <v>792.27999999999986</v>
      </c>
      <c r="T66" s="425"/>
      <c r="U66" s="2432">
        <f t="shared" si="32"/>
        <v>3748.1699999999992</v>
      </c>
      <c r="V66" s="425"/>
      <c r="W66" s="425">
        <v>835.85</v>
      </c>
      <c r="X66" s="3610"/>
      <c r="Y66" s="1436">
        <f t="shared" si="8"/>
        <v>2342.56</v>
      </c>
      <c r="Z66" s="425"/>
      <c r="AA66" s="5193">
        <f t="shared" si="9"/>
        <v>4584.0199999999995</v>
      </c>
      <c r="AB66" s="425"/>
      <c r="AC66" s="425">
        <v>759.87</v>
      </c>
      <c r="AD66" s="425"/>
      <c r="AE66" s="2432">
        <f t="shared" si="39"/>
        <v>5343.8899999999994</v>
      </c>
      <c r="AF66" s="425"/>
      <c r="AG66" s="425">
        <v>664.29</v>
      </c>
      <c r="AH66" s="425"/>
      <c r="AI66" s="2432">
        <f t="shared" si="40"/>
        <v>6008.1799999999994</v>
      </c>
      <c r="AJ66" s="425"/>
      <c r="AK66" s="425">
        <v>607.13</v>
      </c>
      <c r="AL66" s="425"/>
      <c r="AM66" s="1436">
        <f t="shared" si="13"/>
        <v>2031.29</v>
      </c>
      <c r="AN66" s="425"/>
      <c r="AO66" s="2432">
        <f t="shared" si="14"/>
        <v>6615.3099999999995</v>
      </c>
      <c r="AP66" s="425"/>
      <c r="AQ66" s="425">
        <v>854.02999999999986</v>
      </c>
      <c r="AR66" s="425"/>
      <c r="AS66" s="2432">
        <f t="shared" si="41"/>
        <v>7469.3399999999992</v>
      </c>
      <c r="AT66" s="425"/>
      <c r="AU66" s="425">
        <v>688.49</v>
      </c>
      <c r="AV66" s="425"/>
      <c r="AW66" s="5008">
        <f t="shared" si="42"/>
        <v>8157.829999999999</v>
      </c>
      <c r="AX66" s="425"/>
      <c r="AY66" s="425">
        <v>607.71</v>
      </c>
      <c r="AZ66" s="425"/>
      <c r="BA66" s="1436">
        <f t="shared" si="18"/>
        <v>2150.23</v>
      </c>
      <c r="BB66" s="425"/>
      <c r="BC66" s="5193">
        <f t="shared" si="19"/>
        <v>4181.5200000000004</v>
      </c>
      <c r="BD66" s="425"/>
      <c r="BE66" s="5008">
        <f t="shared" si="43"/>
        <v>8765.5399999999991</v>
      </c>
      <c r="BF66" s="26"/>
      <c r="BG66" s="26"/>
    </row>
    <row r="67" spans="2:59" ht="15.6" customHeight="1" x14ac:dyDescent="0.25">
      <c r="B67" s="8" t="s">
        <v>717</v>
      </c>
      <c r="C67" s="193" t="s">
        <v>361</v>
      </c>
      <c r="D67" s="720"/>
      <c r="E67" s="1494">
        <v>25.259999999999998</v>
      </c>
      <c r="F67" s="1494"/>
      <c r="G67" s="1494"/>
      <c r="H67" s="2261"/>
      <c r="I67" s="2261">
        <f t="shared" ref="I67:I112" si="44">+E67+G67</f>
        <v>25.259999999999998</v>
      </c>
      <c r="J67" s="1494"/>
      <c r="K67" s="1494"/>
      <c r="L67" s="236"/>
      <c r="M67" s="1436">
        <f t="shared" si="30"/>
        <v>25.259999999999998</v>
      </c>
      <c r="N67" s="1494"/>
      <c r="O67" s="1494"/>
      <c r="P67" s="1494"/>
      <c r="Q67" s="947">
        <f t="shared" si="31"/>
        <v>25.259999999999998</v>
      </c>
      <c r="R67" s="1494"/>
      <c r="S67" s="1494">
        <v>0</v>
      </c>
      <c r="T67" s="1494"/>
      <c r="U67" s="2555">
        <f t="shared" ref="U67:U127" si="45">+Q67+S67</f>
        <v>25.259999999999998</v>
      </c>
      <c r="V67" s="1494"/>
      <c r="W67" s="2941"/>
      <c r="X67" s="236"/>
      <c r="Y67" s="1436">
        <f t="shared" si="8"/>
        <v>0</v>
      </c>
      <c r="Z67" s="2941"/>
      <c r="AA67" s="660">
        <f t="shared" si="9"/>
        <v>25.259999999999998</v>
      </c>
      <c r="AB67" s="2941"/>
      <c r="AC67" s="2941"/>
      <c r="AD67" s="2941"/>
      <c r="AE67" s="3615">
        <f t="shared" si="39"/>
        <v>25.259999999999998</v>
      </c>
      <c r="AF67" s="2941"/>
      <c r="AG67" s="2941"/>
      <c r="AH67" s="2941"/>
      <c r="AI67" s="3615">
        <f t="shared" si="40"/>
        <v>25.259999999999998</v>
      </c>
      <c r="AJ67" s="2941"/>
      <c r="AK67" s="2941"/>
      <c r="AL67" s="2941"/>
      <c r="AM67" s="1436">
        <f t="shared" si="13"/>
        <v>0</v>
      </c>
      <c r="AN67" s="2941"/>
      <c r="AO67" s="3615">
        <f t="shared" si="14"/>
        <v>25.259999999999998</v>
      </c>
      <c r="AP67" s="2941"/>
      <c r="AQ67" s="2941"/>
      <c r="AR67" s="2941"/>
      <c r="AS67" s="3615">
        <f t="shared" si="41"/>
        <v>25.259999999999998</v>
      </c>
      <c r="AT67" s="2941"/>
      <c r="AU67" s="2941"/>
      <c r="AV67" s="2941"/>
      <c r="AW67" s="452">
        <f t="shared" si="42"/>
        <v>25.259999999999998</v>
      </c>
      <c r="AX67" s="2941"/>
      <c r="AY67" s="2941"/>
      <c r="AZ67" s="2941"/>
      <c r="BA67" s="1436">
        <f t="shared" si="18"/>
        <v>0</v>
      </c>
      <c r="BB67" s="2941"/>
      <c r="BC67" s="660">
        <f t="shared" si="19"/>
        <v>0</v>
      </c>
      <c r="BD67" s="2941"/>
      <c r="BE67" s="452">
        <f t="shared" si="43"/>
        <v>25.259999999999998</v>
      </c>
      <c r="BF67" s="26"/>
      <c r="BG67" s="26"/>
    </row>
    <row r="68" spans="2:59" ht="15.6" customHeight="1" x14ac:dyDescent="0.25">
      <c r="B68" s="8" t="s">
        <v>1494</v>
      </c>
      <c r="C68" s="193" t="s">
        <v>361</v>
      </c>
      <c r="D68" s="720"/>
      <c r="E68" s="1494">
        <v>220</v>
      </c>
      <c r="F68" s="1494"/>
      <c r="G68" s="1494">
        <v>220</v>
      </c>
      <c r="H68" s="2261"/>
      <c r="I68" s="2261">
        <f t="shared" si="44"/>
        <v>440</v>
      </c>
      <c r="J68" s="1494"/>
      <c r="K68" s="1494">
        <v>236</v>
      </c>
      <c r="L68" s="236"/>
      <c r="M68" s="1436">
        <f t="shared" si="30"/>
        <v>676</v>
      </c>
      <c r="N68" s="1494"/>
      <c r="O68" s="1494">
        <v>162</v>
      </c>
      <c r="P68" s="1494"/>
      <c r="Q68" s="947">
        <f t="shared" si="31"/>
        <v>838</v>
      </c>
      <c r="R68" s="1494"/>
      <c r="S68" s="1494"/>
      <c r="T68" s="1494"/>
      <c r="U68" s="2555">
        <f t="shared" si="45"/>
        <v>838</v>
      </c>
      <c r="V68" s="1494"/>
      <c r="W68" s="2941"/>
      <c r="X68" s="236"/>
      <c r="Y68" s="1436">
        <f t="shared" si="8"/>
        <v>162</v>
      </c>
      <c r="Z68" s="2941"/>
      <c r="AA68" s="660">
        <f t="shared" si="9"/>
        <v>838</v>
      </c>
      <c r="AB68" s="2941"/>
      <c r="AC68" s="2941">
        <v>500</v>
      </c>
      <c r="AD68" s="2941"/>
      <c r="AE68" s="3615">
        <f t="shared" si="39"/>
        <v>1338</v>
      </c>
      <c r="AF68" s="2941"/>
      <c r="AG68" s="2941">
        <v>260</v>
      </c>
      <c r="AH68" s="2941"/>
      <c r="AI68" s="3615">
        <f t="shared" si="40"/>
        <v>1598</v>
      </c>
      <c r="AJ68" s="2941"/>
      <c r="AK68" s="2941"/>
      <c r="AL68" s="2941"/>
      <c r="AM68" s="1436">
        <f t="shared" si="13"/>
        <v>760</v>
      </c>
      <c r="AN68" s="2941"/>
      <c r="AO68" s="3615">
        <f t="shared" si="14"/>
        <v>1598</v>
      </c>
      <c r="AP68" s="2941"/>
      <c r="AQ68" s="2941"/>
      <c r="AR68" s="2941"/>
      <c r="AS68" s="3615">
        <f t="shared" si="41"/>
        <v>1598</v>
      </c>
      <c r="AT68" s="2941"/>
      <c r="AU68" s="2941">
        <v>200</v>
      </c>
      <c r="AV68" s="2941"/>
      <c r="AW68" s="452">
        <f t="shared" si="42"/>
        <v>1798</v>
      </c>
      <c r="AX68" s="2941"/>
      <c r="AY68" s="2941"/>
      <c r="AZ68" s="2941"/>
      <c r="BA68" s="1436">
        <f t="shared" si="18"/>
        <v>200</v>
      </c>
      <c r="BB68" s="2941"/>
      <c r="BC68" s="660">
        <f t="shared" si="19"/>
        <v>960</v>
      </c>
      <c r="BD68" s="2941"/>
      <c r="BE68" s="452">
        <f t="shared" si="43"/>
        <v>1798</v>
      </c>
      <c r="BF68" s="26"/>
      <c r="BG68" s="26"/>
    </row>
    <row r="69" spans="2:59" ht="15.6" customHeight="1" x14ac:dyDescent="0.25">
      <c r="B69" s="8" t="s">
        <v>1493</v>
      </c>
      <c r="C69" s="193" t="s">
        <v>361</v>
      </c>
      <c r="D69" s="720"/>
      <c r="E69" s="1494">
        <v>64.11</v>
      </c>
      <c r="F69" s="1494"/>
      <c r="G69" s="1494">
        <v>35.89</v>
      </c>
      <c r="H69" s="2261"/>
      <c r="I69" s="2261">
        <f t="shared" si="44"/>
        <v>100</v>
      </c>
      <c r="J69" s="1494"/>
      <c r="K69" s="1494"/>
      <c r="L69" s="236"/>
      <c r="M69" s="1436">
        <f t="shared" si="30"/>
        <v>100</v>
      </c>
      <c r="N69" s="1494"/>
      <c r="O69" s="1494">
        <v>199.87</v>
      </c>
      <c r="P69" s="1494"/>
      <c r="Q69" s="947">
        <f t="shared" si="31"/>
        <v>299.87</v>
      </c>
      <c r="R69" s="1494"/>
      <c r="S69" s="1494">
        <v>57.06</v>
      </c>
      <c r="T69" s="1494"/>
      <c r="U69" s="2555">
        <f t="shared" si="45"/>
        <v>356.93</v>
      </c>
      <c r="V69" s="1494"/>
      <c r="W69" s="2941">
        <v>124.8</v>
      </c>
      <c r="X69" s="236"/>
      <c r="Y69" s="1436">
        <f t="shared" si="8"/>
        <v>381.73</v>
      </c>
      <c r="Z69" s="2941"/>
      <c r="AA69" s="660">
        <f t="shared" si="9"/>
        <v>481.73</v>
      </c>
      <c r="AB69" s="2941"/>
      <c r="AC69" s="2941">
        <v>117.98</v>
      </c>
      <c r="AD69" s="2941"/>
      <c r="AE69" s="3615">
        <f t="shared" si="39"/>
        <v>599.71</v>
      </c>
      <c r="AF69" s="2941"/>
      <c r="AG69" s="2941">
        <v>58.16</v>
      </c>
      <c r="AH69" s="2941"/>
      <c r="AI69" s="3615">
        <f t="shared" si="40"/>
        <v>657.87</v>
      </c>
      <c r="AJ69" s="2941"/>
      <c r="AK69" s="2941">
        <v>141.75</v>
      </c>
      <c r="AL69" s="2941"/>
      <c r="AM69" s="1436">
        <f t="shared" si="13"/>
        <v>317.89</v>
      </c>
      <c r="AN69" s="2941"/>
      <c r="AO69" s="3615">
        <f t="shared" si="14"/>
        <v>799.62</v>
      </c>
      <c r="AP69" s="2941"/>
      <c r="AQ69" s="2941">
        <v>56.56</v>
      </c>
      <c r="AR69" s="2941"/>
      <c r="AS69" s="3615">
        <f t="shared" si="41"/>
        <v>856.18000000000006</v>
      </c>
      <c r="AT69" s="2941"/>
      <c r="AU69" s="2941">
        <v>202.24</v>
      </c>
      <c r="AV69" s="2941"/>
      <c r="AW69" s="452">
        <f t="shared" si="42"/>
        <v>1058.42</v>
      </c>
      <c r="AX69" s="2941"/>
      <c r="AY69" s="2941">
        <v>56.09</v>
      </c>
      <c r="AZ69" s="2941"/>
      <c r="BA69" s="1436">
        <f t="shared" si="18"/>
        <v>314.89</v>
      </c>
      <c r="BB69" s="2941"/>
      <c r="BC69" s="660">
        <f t="shared" si="19"/>
        <v>632.78</v>
      </c>
      <c r="BD69" s="2941"/>
      <c r="BE69" s="452">
        <f t="shared" si="43"/>
        <v>1114.51</v>
      </c>
      <c r="BF69" s="26"/>
      <c r="BG69" s="26"/>
    </row>
    <row r="70" spans="2:59" s="4221" customFormat="1" ht="15.6" customHeight="1" x14ac:dyDescent="0.25">
      <c r="B70" s="8" t="s">
        <v>1874</v>
      </c>
      <c r="C70" s="193" t="s">
        <v>361</v>
      </c>
      <c r="D70" s="720"/>
      <c r="E70" s="2941"/>
      <c r="F70" s="2941"/>
      <c r="G70" s="2941"/>
      <c r="H70" s="2261"/>
      <c r="I70" s="2261"/>
      <c r="J70" s="2941"/>
      <c r="K70" s="2941"/>
      <c r="L70" s="236"/>
      <c r="M70" s="1436">
        <f t="shared" si="30"/>
        <v>0</v>
      </c>
      <c r="N70" s="2941"/>
      <c r="O70" s="2941"/>
      <c r="P70" s="2941"/>
      <c r="Q70" s="3615"/>
      <c r="R70" s="2941"/>
      <c r="S70" s="2941"/>
      <c r="T70" s="2941"/>
      <c r="U70" s="3615"/>
      <c r="V70" s="2941"/>
      <c r="W70" s="2941"/>
      <c r="X70" s="236"/>
      <c r="Y70" s="1436">
        <f t="shared" si="8"/>
        <v>0</v>
      </c>
      <c r="Z70" s="2941"/>
      <c r="AA70" s="660">
        <f t="shared" si="9"/>
        <v>0</v>
      </c>
      <c r="AB70" s="2941"/>
      <c r="AC70" s="2941"/>
      <c r="AD70" s="2941"/>
      <c r="AE70" s="3615">
        <f t="shared" si="39"/>
        <v>0</v>
      </c>
      <c r="AF70" s="2941"/>
      <c r="AG70" s="2941">
        <v>397.86</v>
      </c>
      <c r="AH70" s="2941"/>
      <c r="AI70" s="3615">
        <f t="shared" si="40"/>
        <v>397.86</v>
      </c>
      <c r="AJ70" s="2941"/>
      <c r="AK70" s="2941">
        <v>1704.2</v>
      </c>
      <c r="AL70" s="2941"/>
      <c r="AM70" s="1436">
        <f t="shared" si="13"/>
        <v>2102.06</v>
      </c>
      <c r="AN70" s="2941"/>
      <c r="AO70" s="3615">
        <f t="shared" si="14"/>
        <v>2102.06</v>
      </c>
      <c r="AP70" s="2941"/>
      <c r="AQ70" s="2941">
        <v>6920.3399999999974</v>
      </c>
      <c r="AR70" s="2941"/>
      <c r="AS70" s="3615">
        <f t="shared" si="41"/>
        <v>9022.3999999999978</v>
      </c>
      <c r="AT70" s="2941"/>
      <c r="AU70" s="2941">
        <v>3733.36</v>
      </c>
      <c r="AV70" s="2941"/>
      <c r="AW70" s="452">
        <f t="shared" si="42"/>
        <v>12755.759999999998</v>
      </c>
      <c r="AX70" s="2941"/>
      <c r="AY70" s="2941"/>
      <c r="AZ70" s="2941"/>
      <c r="BA70" s="1436">
        <f t="shared" si="18"/>
        <v>10653.699999999997</v>
      </c>
      <c r="BB70" s="2941"/>
      <c r="BC70" s="660">
        <f t="shared" si="19"/>
        <v>12755.759999999997</v>
      </c>
      <c r="BD70" s="2941"/>
      <c r="BE70" s="452">
        <f t="shared" si="43"/>
        <v>12755.759999999998</v>
      </c>
      <c r="BF70" s="26"/>
      <c r="BG70" s="26"/>
    </row>
    <row r="71" spans="2:59" s="4342" customFormat="1" ht="15.6" customHeight="1" x14ac:dyDescent="0.25">
      <c r="B71" s="8" t="s">
        <v>1898</v>
      </c>
      <c r="C71" s="193" t="s">
        <v>361</v>
      </c>
      <c r="D71" s="720"/>
      <c r="E71" s="2941"/>
      <c r="F71" s="2941"/>
      <c r="G71" s="2941"/>
      <c r="H71" s="2261"/>
      <c r="I71" s="2261"/>
      <c r="J71" s="2941"/>
      <c r="K71" s="2941"/>
      <c r="L71" s="236"/>
      <c r="M71" s="1436"/>
      <c r="N71" s="2941"/>
      <c r="O71" s="2941"/>
      <c r="P71" s="2941"/>
      <c r="Q71" s="3615"/>
      <c r="R71" s="2941"/>
      <c r="S71" s="2941"/>
      <c r="T71" s="2941"/>
      <c r="U71" s="3615"/>
      <c r="V71" s="2941"/>
      <c r="W71" s="2941"/>
      <c r="X71" s="236"/>
      <c r="Y71" s="1436">
        <f t="shared" ref="Y71:Y132" si="46">+O71+S71+W71</f>
        <v>0</v>
      </c>
      <c r="Z71" s="2941"/>
      <c r="AA71" s="660">
        <f t="shared" ref="AA71:AA132" si="47">M71+Y71</f>
        <v>0</v>
      </c>
      <c r="AB71" s="2941"/>
      <c r="AC71" s="2941"/>
      <c r="AD71" s="2941"/>
      <c r="AE71" s="3615"/>
      <c r="AF71" s="2941"/>
      <c r="AG71" s="2941"/>
      <c r="AH71" s="2941"/>
      <c r="AI71" s="3615">
        <f t="shared" si="40"/>
        <v>0</v>
      </c>
      <c r="AJ71" s="2941"/>
      <c r="AK71" s="2941">
        <v>70</v>
      </c>
      <c r="AL71" s="2941"/>
      <c r="AM71" s="1436">
        <f t="shared" ref="AM71:AM132" si="48">+AC71+AG71+AK71</f>
        <v>70</v>
      </c>
      <c r="AN71" s="2941"/>
      <c r="AO71" s="3615">
        <f t="shared" si="14"/>
        <v>70</v>
      </c>
      <c r="AP71" s="2941"/>
      <c r="AQ71" s="2941">
        <v>130.04999999999998</v>
      </c>
      <c r="AR71" s="2941"/>
      <c r="AS71" s="3615">
        <f t="shared" si="41"/>
        <v>200.04999999999998</v>
      </c>
      <c r="AT71" s="2941"/>
      <c r="AU71" s="2941"/>
      <c r="AV71" s="2941"/>
      <c r="AW71" s="452">
        <f t="shared" si="42"/>
        <v>200.04999999999998</v>
      </c>
      <c r="AX71" s="2941"/>
      <c r="AY71" s="2941"/>
      <c r="AZ71" s="2941"/>
      <c r="BA71" s="1436">
        <f t="shared" ref="BA71:BA132" si="49">+AQ71+AU71+AY71</f>
        <v>130.04999999999998</v>
      </c>
      <c r="BB71" s="2941"/>
      <c r="BC71" s="660">
        <f t="shared" si="19"/>
        <v>200.04999999999998</v>
      </c>
      <c r="BD71" s="2941"/>
      <c r="BE71" s="452">
        <f t="shared" si="43"/>
        <v>200.04999999999998</v>
      </c>
      <c r="BF71" s="26"/>
      <c r="BG71" s="26"/>
    </row>
    <row r="72" spans="2:59" s="4109" customFormat="1" ht="15.6" customHeight="1" x14ac:dyDescent="0.25">
      <c r="B72" s="8" t="s">
        <v>1849</v>
      </c>
      <c r="C72" s="193" t="s">
        <v>361</v>
      </c>
      <c r="D72" s="720"/>
      <c r="E72" s="2941"/>
      <c r="F72" s="2941"/>
      <c r="G72" s="2941"/>
      <c r="H72" s="2261"/>
      <c r="I72" s="2261"/>
      <c r="J72" s="2941"/>
      <c r="K72" s="2941"/>
      <c r="L72" s="236"/>
      <c r="M72" s="1436">
        <f t="shared" si="30"/>
        <v>0</v>
      </c>
      <c r="N72" s="2941"/>
      <c r="O72" s="2941"/>
      <c r="P72" s="2941"/>
      <c r="Q72" s="3615"/>
      <c r="R72" s="2941"/>
      <c r="S72" s="2941"/>
      <c r="T72" s="2941"/>
      <c r="U72" s="3615"/>
      <c r="V72" s="2941"/>
      <c r="W72" s="2941"/>
      <c r="X72" s="236"/>
      <c r="Y72" s="1436">
        <f t="shared" si="46"/>
        <v>0</v>
      </c>
      <c r="Z72" s="2941"/>
      <c r="AA72" s="660">
        <f t="shared" si="47"/>
        <v>0</v>
      </c>
      <c r="AB72" s="2941"/>
      <c r="AC72" s="2941">
        <v>10.739999999999998</v>
      </c>
      <c r="AD72" s="2941"/>
      <c r="AE72" s="3615">
        <f t="shared" si="39"/>
        <v>10.739999999999998</v>
      </c>
      <c r="AF72" s="2941"/>
      <c r="AG72" s="2941"/>
      <c r="AH72" s="2941"/>
      <c r="AI72" s="3615">
        <f t="shared" si="40"/>
        <v>10.739999999999998</v>
      </c>
      <c r="AJ72" s="2941"/>
      <c r="AK72" s="2941"/>
      <c r="AL72" s="2941"/>
      <c r="AM72" s="1436">
        <f t="shared" si="48"/>
        <v>10.739999999999998</v>
      </c>
      <c r="AN72" s="2941"/>
      <c r="AO72" s="3615">
        <f t="shared" si="14"/>
        <v>10.739999999999998</v>
      </c>
      <c r="AP72" s="2941"/>
      <c r="AQ72" s="2941"/>
      <c r="AR72" s="2941"/>
      <c r="AS72" s="3615">
        <f t="shared" si="41"/>
        <v>10.739999999999998</v>
      </c>
      <c r="AT72" s="2941"/>
      <c r="AU72" s="2941"/>
      <c r="AV72" s="2941"/>
      <c r="AW72" s="452">
        <f t="shared" si="42"/>
        <v>10.739999999999998</v>
      </c>
      <c r="AX72" s="2941"/>
      <c r="AY72" s="2941"/>
      <c r="AZ72" s="2941"/>
      <c r="BA72" s="1436">
        <f t="shared" si="49"/>
        <v>0</v>
      </c>
      <c r="BB72" s="2941"/>
      <c r="BC72" s="660">
        <f t="shared" ref="BC72:BC133" si="50">BA72+AM72</f>
        <v>10.739999999999998</v>
      </c>
      <c r="BD72" s="2941"/>
      <c r="BE72" s="452">
        <f t="shared" si="43"/>
        <v>10.739999999999998</v>
      </c>
      <c r="BF72" s="26"/>
      <c r="BG72" s="26"/>
    </row>
    <row r="73" spans="2:59" ht="15.6" customHeight="1" x14ac:dyDescent="0.25">
      <c r="B73" s="8" t="s">
        <v>1492</v>
      </c>
      <c r="C73" s="193" t="s">
        <v>361</v>
      </c>
      <c r="D73" s="720"/>
      <c r="E73" s="1494">
        <v>510.46999999999997</v>
      </c>
      <c r="F73" s="1494"/>
      <c r="G73" s="1494">
        <v>200.2</v>
      </c>
      <c r="H73" s="2261"/>
      <c r="I73" s="2261">
        <f t="shared" si="44"/>
        <v>710.67</v>
      </c>
      <c r="J73" s="1494"/>
      <c r="K73" s="1494">
        <v>580.23</v>
      </c>
      <c r="L73" s="236"/>
      <c r="M73" s="1436">
        <f t="shared" si="30"/>
        <v>1290.9000000000001</v>
      </c>
      <c r="N73" s="1494"/>
      <c r="O73" s="1494">
        <v>231.54</v>
      </c>
      <c r="P73" s="1494"/>
      <c r="Q73" s="947">
        <f t="shared" si="31"/>
        <v>1522.44</v>
      </c>
      <c r="R73" s="1494"/>
      <c r="S73" s="2627">
        <v>442.08</v>
      </c>
      <c r="T73" s="1494"/>
      <c r="U73" s="2555">
        <f t="shared" si="45"/>
        <v>1964.52</v>
      </c>
      <c r="V73" s="1494"/>
      <c r="W73" s="2627">
        <v>689.36999999999978</v>
      </c>
      <c r="X73" s="236"/>
      <c r="Y73" s="1436">
        <f t="shared" si="46"/>
        <v>1362.9899999999998</v>
      </c>
      <c r="Z73" s="2941"/>
      <c r="AA73" s="660">
        <f t="shared" si="47"/>
        <v>2653.89</v>
      </c>
      <c r="AB73" s="2941"/>
      <c r="AC73" s="2627">
        <v>1265.02</v>
      </c>
      <c r="AD73" s="2941"/>
      <c r="AE73" s="3615">
        <f t="shared" si="39"/>
        <v>3918.91</v>
      </c>
      <c r="AF73" s="2941"/>
      <c r="AG73" s="2627">
        <v>987.02</v>
      </c>
      <c r="AH73" s="2941"/>
      <c r="AI73" s="3615">
        <f t="shared" si="40"/>
        <v>4905.93</v>
      </c>
      <c r="AJ73" s="2941"/>
      <c r="AK73" s="2627">
        <v>1080.2</v>
      </c>
      <c r="AL73" s="2941"/>
      <c r="AM73" s="1436">
        <f t="shared" si="48"/>
        <v>3332.24</v>
      </c>
      <c r="AN73" s="2941"/>
      <c r="AO73" s="3615">
        <f t="shared" si="14"/>
        <v>5986.13</v>
      </c>
      <c r="AP73" s="2941"/>
      <c r="AQ73" s="2627">
        <v>2470.8100000000004</v>
      </c>
      <c r="AR73" s="2941"/>
      <c r="AS73" s="3615">
        <f t="shared" si="41"/>
        <v>8456.94</v>
      </c>
      <c r="AT73" s="2941"/>
      <c r="AU73" s="2627">
        <v>1590.14</v>
      </c>
      <c r="AV73" s="2941"/>
      <c r="AW73" s="452">
        <f t="shared" si="42"/>
        <v>10047.08</v>
      </c>
      <c r="AX73" s="2941"/>
      <c r="AY73" s="2627">
        <v>2917.12</v>
      </c>
      <c r="AZ73" s="2941"/>
      <c r="BA73" s="1436">
        <f t="shared" si="49"/>
        <v>6978.0700000000006</v>
      </c>
      <c r="BB73" s="2941"/>
      <c r="BC73" s="660">
        <f t="shared" si="50"/>
        <v>10310.310000000001</v>
      </c>
      <c r="BD73" s="2941"/>
      <c r="BE73" s="452">
        <f t="shared" si="43"/>
        <v>12964.2</v>
      </c>
      <c r="BF73" s="26"/>
      <c r="BG73" s="26"/>
    </row>
    <row r="74" spans="2:59" ht="15.6" customHeight="1" x14ac:dyDescent="0.25">
      <c r="B74" s="8" t="s">
        <v>1561</v>
      </c>
      <c r="C74" s="193" t="s">
        <v>361</v>
      </c>
      <c r="D74" s="720"/>
      <c r="E74" s="1494"/>
      <c r="F74" s="1494"/>
      <c r="G74" s="1494">
        <v>1447.57</v>
      </c>
      <c r="H74" s="2261"/>
      <c r="I74" s="2261">
        <f t="shared" si="44"/>
        <v>1447.57</v>
      </c>
      <c r="J74" s="1494"/>
      <c r="K74" s="1494">
        <v>112.01</v>
      </c>
      <c r="L74" s="236"/>
      <c r="M74" s="1436">
        <f t="shared" si="30"/>
        <v>1559.58</v>
      </c>
      <c r="N74" s="1494"/>
      <c r="O74" s="1494">
        <v>3436.92</v>
      </c>
      <c r="P74" s="1494"/>
      <c r="Q74" s="947">
        <f t="shared" si="31"/>
        <v>4996.5</v>
      </c>
      <c r="R74" s="1494"/>
      <c r="S74" s="1494"/>
      <c r="T74" s="1494"/>
      <c r="U74" s="2555">
        <f t="shared" si="45"/>
        <v>4996.5</v>
      </c>
      <c r="V74" s="1494"/>
      <c r="W74" s="2941">
        <v>2667.3799999999997</v>
      </c>
      <c r="X74" s="236"/>
      <c r="Y74" s="1436">
        <f t="shared" si="46"/>
        <v>6104.2999999999993</v>
      </c>
      <c r="Z74" s="2941"/>
      <c r="AA74" s="660">
        <f t="shared" si="47"/>
        <v>7663.8799999999992</v>
      </c>
      <c r="AB74" s="2941"/>
      <c r="AC74" s="2941">
        <v>7614.0499999999975</v>
      </c>
      <c r="AD74" s="2941"/>
      <c r="AE74" s="3615">
        <f t="shared" si="39"/>
        <v>15277.929999999997</v>
      </c>
      <c r="AF74" s="2941"/>
      <c r="AG74" s="2941">
        <v>12890.21</v>
      </c>
      <c r="AH74" s="2941"/>
      <c r="AI74" s="3615">
        <f t="shared" si="40"/>
        <v>28168.139999999996</v>
      </c>
      <c r="AJ74" s="2941"/>
      <c r="AK74" s="2941">
        <v>4638.5</v>
      </c>
      <c r="AL74" s="2941"/>
      <c r="AM74" s="1436">
        <f t="shared" si="48"/>
        <v>25142.759999999995</v>
      </c>
      <c r="AN74" s="2941"/>
      <c r="AO74" s="3615">
        <f t="shared" ref="AO74:AO137" si="51">AI74+AK74</f>
        <v>32806.639999999999</v>
      </c>
      <c r="AP74" s="2941"/>
      <c r="AQ74" s="2941">
        <v>2177.06</v>
      </c>
      <c r="AR74" s="2941"/>
      <c r="AS74" s="3615">
        <f t="shared" si="41"/>
        <v>34983.699999999997</v>
      </c>
      <c r="AT74" s="2941"/>
      <c r="AU74" s="2941">
        <v>3319.34</v>
      </c>
      <c r="AV74" s="2941"/>
      <c r="AW74" s="452">
        <f t="shared" si="42"/>
        <v>38303.039999999994</v>
      </c>
      <c r="AX74" s="2941"/>
      <c r="AY74" s="2941">
        <v>1680.05</v>
      </c>
      <c r="AZ74" s="2941"/>
      <c r="BA74" s="1436">
        <f t="shared" si="49"/>
        <v>7176.45</v>
      </c>
      <c r="BB74" s="2941"/>
      <c r="BC74" s="660">
        <f t="shared" si="50"/>
        <v>32319.209999999995</v>
      </c>
      <c r="BD74" s="2941"/>
      <c r="BE74" s="452">
        <f t="shared" si="43"/>
        <v>39983.089999999997</v>
      </c>
      <c r="BF74" s="26"/>
      <c r="BG74" s="26"/>
    </row>
    <row r="75" spans="2:59" ht="15.6" customHeight="1" x14ac:dyDescent="0.25">
      <c r="B75" s="8" t="s">
        <v>1699</v>
      </c>
      <c r="C75" s="193" t="s">
        <v>361</v>
      </c>
      <c r="D75" s="720"/>
      <c r="E75" s="1494"/>
      <c r="F75" s="1494"/>
      <c r="G75" s="1494"/>
      <c r="H75" s="2261"/>
      <c r="I75" s="2261">
        <f t="shared" si="44"/>
        <v>0</v>
      </c>
      <c r="J75" s="1494"/>
      <c r="K75" s="1494"/>
      <c r="L75" s="236"/>
      <c r="M75" s="1436">
        <f t="shared" si="30"/>
        <v>0</v>
      </c>
      <c r="N75" s="1494"/>
      <c r="O75" s="1494">
        <v>12.71</v>
      </c>
      <c r="P75" s="1494"/>
      <c r="Q75" s="947">
        <f>+M75+O75</f>
        <v>12.71</v>
      </c>
      <c r="R75" s="1494"/>
      <c r="S75" s="1494">
        <v>7.24</v>
      </c>
      <c r="T75" s="1494"/>
      <c r="U75" s="2555">
        <f>+Q75+S75</f>
        <v>19.950000000000003</v>
      </c>
      <c r="V75" s="1494"/>
      <c r="W75" s="2941"/>
      <c r="X75" s="236"/>
      <c r="Y75" s="1436">
        <f t="shared" si="46"/>
        <v>19.950000000000003</v>
      </c>
      <c r="Z75" s="2941"/>
      <c r="AA75" s="660">
        <f t="shared" si="47"/>
        <v>19.950000000000003</v>
      </c>
      <c r="AB75" s="2941"/>
      <c r="AC75" s="2941"/>
      <c r="AD75" s="2941"/>
      <c r="AE75" s="3615">
        <f>+AA75+AC75</f>
        <v>19.950000000000003</v>
      </c>
      <c r="AF75" s="2941"/>
      <c r="AG75" s="2941"/>
      <c r="AH75" s="2941"/>
      <c r="AI75" s="3615">
        <f>+AE75+AG75</f>
        <v>19.950000000000003</v>
      </c>
      <c r="AJ75" s="2941"/>
      <c r="AK75" s="2941"/>
      <c r="AL75" s="2941"/>
      <c r="AM75" s="1436">
        <f t="shared" si="48"/>
        <v>0</v>
      </c>
      <c r="AN75" s="2941"/>
      <c r="AO75" s="3615">
        <f t="shared" si="51"/>
        <v>19.950000000000003</v>
      </c>
      <c r="AP75" s="2941"/>
      <c r="AQ75" s="2941"/>
      <c r="AR75" s="2941"/>
      <c r="AS75" s="3615">
        <f>+AO75+AQ75</f>
        <v>19.950000000000003</v>
      </c>
      <c r="AT75" s="2941"/>
      <c r="AU75" s="2941">
        <v>14.82</v>
      </c>
      <c r="AV75" s="2941"/>
      <c r="AW75" s="452">
        <f>+AS75+AU75</f>
        <v>34.770000000000003</v>
      </c>
      <c r="AX75" s="2941"/>
      <c r="AY75" s="2941"/>
      <c r="AZ75" s="2941"/>
      <c r="BA75" s="1436">
        <f t="shared" si="49"/>
        <v>14.82</v>
      </c>
      <c r="BB75" s="2941"/>
      <c r="BC75" s="660">
        <f t="shared" si="50"/>
        <v>14.82</v>
      </c>
      <c r="BD75" s="2941"/>
      <c r="BE75" s="452">
        <f>+AW75+AY75</f>
        <v>34.770000000000003</v>
      </c>
      <c r="BF75" s="26"/>
      <c r="BG75" s="26"/>
    </row>
    <row r="76" spans="2:59" ht="15.6" customHeight="1" x14ac:dyDescent="0.25">
      <c r="B76" s="8" t="s">
        <v>1358</v>
      </c>
      <c r="C76" s="193" t="s">
        <v>361</v>
      </c>
      <c r="D76" s="720"/>
      <c r="E76" s="1494">
        <v>70</v>
      </c>
      <c r="F76" s="1494"/>
      <c r="G76" s="1494"/>
      <c r="H76" s="2261"/>
      <c r="I76" s="2261">
        <f t="shared" si="44"/>
        <v>70</v>
      </c>
      <c r="J76" s="1494"/>
      <c r="K76" s="1494">
        <v>50</v>
      </c>
      <c r="L76" s="236"/>
      <c r="M76" s="1436">
        <f t="shared" si="30"/>
        <v>120</v>
      </c>
      <c r="N76" s="1494"/>
      <c r="O76" s="1494"/>
      <c r="P76" s="1494"/>
      <c r="Q76" s="947">
        <f t="shared" si="31"/>
        <v>120</v>
      </c>
      <c r="R76" s="1494"/>
      <c r="S76" s="1494">
        <v>80</v>
      </c>
      <c r="T76" s="1494"/>
      <c r="U76" s="2555">
        <f t="shared" si="45"/>
        <v>200</v>
      </c>
      <c r="V76" s="1494"/>
      <c r="W76" s="2941"/>
      <c r="X76" s="236"/>
      <c r="Y76" s="1436">
        <f t="shared" si="46"/>
        <v>80</v>
      </c>
      <c r="Z76" s="2941"/>
      <c r="AA76" s="660">
        <f t="shared" si="47"/>
        <v>200</v>
      </c>
      <c r="AB76" s="2941"/>
      <c r="AC76" s="2941"/>
      <c r="AD76" s="2941"/>
      <c r="AE76" s="3615">
        <f t="shared" ref="AE76:AE87" si="52">+AA76+AC76</f>
        <v>200</v>
      </c>
      <c r="AF76" s="2941"/>
      <c r="AG76" s="2941"/>
      <c r="AH76" s="2941"/>
      <c r="AI76" s="3615">
        <f t="shared" ref="AI76:AI87" si="53">+AE76+AG76</f>
        <v>200</v>
      </c>
      <c r="AJ76" s="2941"/>
      <c r="AK76" s="2941"/>
      <c r="AL76" s="2941"/>
      <c r="AM76" s="1436">
        <f t="shared" si="48"/>
        <v>0</v>
      </c>
      <c r="AN76" s="2941"/>
      <c r="AO76" s="3615">
        <f t="shared" si="51"/>
        <v>200</v>
      </c>
      <c r="AP76" s="2941"/>
      <c r="AQ76" s="2941"/>
      <c r="AR76" s="2941"/>
      <c r="AS76" s="3615">
        <f t="shared" ref="AS76:AS88" si="54">+AO76+AQ76</f>
        <v>200</v>
      </c>
      <c r="AT76" s="2941"/>
      <c r="AU76" s="2941">
        <v>42</v>
      </c>
      <c r="AV76" s="2941"/>
      <c r="AW76" s="452">
        <f t="shared" ref="AW76:AW88" si="55">+AS76+AU76</f>
        <v>242</v>
      </c>
      <c r="AX76" s="2941"/>
      <c r="AY76" s="2941"/>
      <c r="AZ76" s="2941"/>
      <c r="BA76" s="1436">
        <f t="shared" si="49"/>
        <v>42</v>
      </c>
      <c r="BB76" s="2941"/>
      <c r="BC76" s="660">
        <f t="shared" si="50"/>
        <v>42</v>
      </c>
      <c r="BD76" s="2941"/>
      <c r="BE76" s="452">
        <f t="shared" ref="BE76:BE88" si="56">+AW76+AY76</f>
        <v>242</v>
      </c>
      <c r="BF76" s="26"/>
      <c r="BG76" s="26"/>
    </row>
    <row r="77" spans="2:59" ht="15.6" customHeight="1" x14ac:dyDescent="0.25">
      <c r="B77" s="8" t="s">
        <v>1639</v>
      </c>
      <c r="C77" s="193" t="s">
        <v>361</v>
      </c>
      <c r="D77" s="720"/>
      <c r="E77" s="1494"/>
      <c r="F77" s="1494"/>
      <c r="G77" s="1494"/>
      <c r="H77" s="2261"/>
      <c r="I77" s="2261">
        <f t="shared" si="44"/>
        <v>0</v>
      </c>
      <c r="J77" s="1494"/>
      <c r="K77" s="1494">
        <v>600</v>
      </c>
      <c r="L77" s="236"/>
      <c r="M77" s="1436">
        <f t="shared" si="30"/>
        <v>600</v>
      </c>
      <c r="N77" s="1494"/>
      <c r="O77" s="1494"/>
      <c r="P77" s="1494"/>
      <c r="Q77" s="947">
        <f t="shared" si="31"/>
        <v>600</v>
      </c>
      <c r="R77" s="1494"/>
      <c r="S77" s="1494"/>
      <c r="T77" s="1494"/>
      <c r="U77" s="2555">
        <f t="shared" si="45"/>
        <v>600</v>
      </c>
      <c r="V77" s="1494"/>
      <c r="W77" s="2941">
        <v>200</v>
      </c>
      <c r="X77" s="236"/>
      <c r="Y77" s="1436">
        <f t="shared" si="46"/>
        <v>200</v>
      </c>
      <c r="Z77" s="2941"/>
      <c r="AA77" s="660">
        <f t="shared" si="47"/>
        <v>800</v>
      </c>
      <c r="AB77" s="2941"/>
      <c r="AC77" s="2941"/>
      <c r="AD77" s="2941"/>
      <c r="AE77" s="3615">
        <f t="shared" si="52"/>
        <v>800</v>
      </c>
      <c r="AF77" s="2941"/>
      <c r="AG77" s="2941">
        <v>600</v>
      </c>
      <c r="AH77" s="2941"/>
      <c r="AI77" s="3615">
        <f t="shared" si="53"/>
        <v>1400</v>
      </c>
      <c r="AJ77" s="2941"/>
      <c r="AK77" s="2941"/>
      <c r="AL77" s="2941"/>
      <c r="AM77" s="1436">
        <f t="shared" si="48"/>
        <v>600</v>
      </c>
      <c r="AN77" s="2941"/>
      <c r="AO77" s="3615">
        <f t="shared" si="51"/>
        <v>1400</v>
      </c>
      <c r="AP77" s="2941"/>
      <c r="AQ77" s="2941"/>
      <c r="AR77" s="2941"/>
      <c r="AS77" s="3615">
        <f t="shared" si="54"/>
        <v>1400</v>
      </c>
      <c r="AT77" s="2941"/>
      <c r="AU77" s="2941"/>
      <c r="AV77" s="2941"/>
      <c r="AW77" s="452">
        <f t="shared" si="55"/>
        <v>1400</v>
      </c>
      <c r="AX77" s="2941"/>
      <c r="AY77" s="2941"/>
      <c r="AZ77" s="2941"/>
      <c r="BA77" s="1436">
        <f t="shared" si="49"/>
        <v>0</v>
      </c>
      <c r="BB77" s="2941"/>
      <c r="BC77" s="660">
        <f t="shared" si="50"/>
        <v>600</v>
      </c>
      <c r="BD77" s="2941"/>
      <c r="BE77" s="452">
        <f t="shared" si="56"/>
        <v>1400</v>
      </c>
      <c r="BF77" s="26"/>
      <c r="BG77" s="26"/>
    </row>
    <row r="78" spans="2:59" ht="15.6" customHeight="1" x14ac:dyDescent="0.25">
      <c r="B78" s="8" t="s">
        <v>1638</v>
      </c>
      <c r="C78" s="193" t="s">
        <v>361</v>
      </c>
      <c r="D78" s="720"/>
      <c r="E78" s="1494"/>
      <c r="F78" s="1494"/>
      <c r="G78" s="1494"/>
      <c r="H78" s="2261"/>
      <c r="I78" s="2261">
        <f t="shared" si="44"/>
        <v>0</v>
      </c>
      <c r="J78" s="1494"/>
      <c r="K78" s="1494">
        <v>130</v>
      </c>
      <c r="L78" s="236"/>
      <c r="M78" s="1436">
        <f t="shared" si="30"/>
        <v>130</v>
      </c>
      <c r="N78" s="1494"/>
      <c r="O78" s="1494"/>
      <c r="P78" s="1494"/>
      <c r="Q78" s="947">
        <f t="shared" si="31"/>
        <v>130</v>
      </c>
      <c r="R78" s="1494"/>
      <c r="S78" s="1494"/>
      <c r="T78" s="1494"/>
      <c r="U78" s="2555">
        <f t="shared" si="45"/>
        <v>130</v>
      </c>
      <c r="V78" s="1494"/>
      <c r="W78" s="2941"/>
      <c r="X78" s="236"/>
      <c r="Y78" s="1436">
        <f t="shared" si="46"/>
        <v>0</v>
      </c>
      <c r="Z78" s="2941"/>
      <c r="AA78" s="660">
        <f t="shared" si="47"/>
        <v>130</v>
      </c>
      <c r="AB78" s="2941"/>
      <c r="AC78" s="2941"/>
      <c r="AD78" s="2941"/>
      <c r="AE78" s="3615">
        <f t="shared" si="52"/>
        <v>130</v>
      </c>
      <c r="AF78" s="2941"/>
      <c r="AG78" s="2941"/>
      <c r="AH78" s="2941"/>
      <c r="AI78" s="3615">
        <f t="shared" si="53"/>
        <v>130</v>
      </c>
      <c r="AJ78" s="2941"/>
      <c r="AK78" s="2941"/>
      <c r="AL78" s="2941"/>
      <c r="AM78" s="1436">
        <f t="shared" si="48"/>
        <v>0</v>
      </c>
      <c r="AN78" s="2941"/>
      <c r="AO78" s="3615">
        <f t="shared" si="51"/>
        <v>130</v>
      </c>
      <c r="AP78" s="2941"/>
      <c r="AQ78" s="2941"/>
      <c r="AR78" s="2941"/>
      <c r="AS78" s="3615">
        <f t="shared" si="54"/>
        <v>130</v>
      </c>
      <c r="AT78" s="2941"/>
      <c r="AU78" s="2941">
        <v>100</v>
      </c>
      <c r="AV78" s="2941"/>
      <c r="AW78" s="452">
        <f t="shared" si="55"/>
        <v>230</v>
      </c>
      <c r="AX78" s="2941"/>
      <c r="AY78" s="2941"/>
      <c r="AZ78" s="2941"/>
      <c r="BA78" s="1436">
        <f t="shared" si="49"/>
        <v>100</v>
      </c>
      <c r="BB78" s="2941"/>
      <c r="BC78" s="660">
        <f t="shared" si="50"/>
        <v>100</v>
      </c>
      <c r="BD78" s="2941"/>
      <c r="BE78" s="452">
        <f t="shared" si="56"/>
        <v>230</v>
      </c>
      <c r="BF78" s="26"/>
      <c r="BG78" s="26"/>
    </row>
    <row r="79" spans="2:59" ht="15.6" customHeight="1" x14ac:dyDescent="0.25">
      <c r="B79" s="8" t="s">
        <v>1635</v>
      </c>
      <c r="C79" s="193" t="s">
        <v>361</v>
      </c>
      <c r="D79" s="720"/>
      <c r="E79" s="1494"/>
      <c r="F79" s="1494"/>
      <c r="G79" s="1494"/>
      <c r="H79" s="2261"/>
      <c r="I79" s="2261">
        <f t="shared" si="44"/>
        <v>0</v>
      </c>
      <c r="J79" s="1494"/>
      <c r="K79" s="1494">
        <v>266</v>
      </c>
      <c r="L79" s="236"/>
      <c r="M79" s="1436">
        <f t="shared" si="30"/>
        <v>266</v>
      </c>
      <c r="N79" s="1494"/>
      <c r="O79" s="1494">
        <v>34</v>
      </c>
      <c r="P79" s="1494"/>
      <c r="Q79" s="947">
        <f t="shared" si="31"/>
        <v>300</v>
      </c>
      <c r="R79" s="1494"/>
      <c r="S79" s="1494"/>
      <c r="T79" s="1494"/>
      <c r="U79" s="2555">
        <f t="shared" si="45"/>
        <v>300</v>
      </c>
      <c r="V79" s="1494"/>
      <c r="W79" s="2941"/>
      <c r="X79" s="236"/>
      <c r="Y79" s="1436">
        <f t="shared" si="46"/>
        <v>34</v>
      </c>
      <c r="Z79" s="2941"/>
      <c r="AA79" s="660">
        <f t="shared" si="47"/>
        <v>300</v>
      </c>
      <c r="AB79" s="2941"/>
      <c r="AC79" s="2941"/>
      <c r="AD79" s="2941"/>
      <c r="AE79" s="3615">
        <f t="shared" si="52"/>
        <v>300</v>
      </c>
      <c r="AF79" s="2941"/>
      <c r="AG79" s="2941"/>
      <c r="AH79" s="2941"/>
      <c r="AI79" s="3615">
        <f t="shared" si="53"/>
        <v>300</v>
      </c>
      <c r="AJ79" s="2941"/>
      <c r="AK79" s="2941">
        <v>128</v>
      </c>
      <c r="AL79" s="2941"/>
      <c r="AM79" s="1436">
        <f t="shared" si="48"/>
        <v>128</v>
      </c>
      <c r="AN79" s="2941"/>
      <c r="AO79" s="3615">
        <f t="shared" si="51"/>
        <v>428</v>
      </c>
      <c r="AP79" s="2941"/>
      <c r="AQ79" s="2941">
        <v>87</v>
      </c>
      <c r="AR79" s="2941"/>
      <c r="AS79" s="3615">
        <f t="shared" si="54"/>
        <v>515</v>
      </c>
      <c r="AT79" s="2941"/>
      <c r="AU79" s="2941"/>
      <c r="AV79" s="2941"/>
      <c r="AW79" s="452">
        <f t="shared" si="55"/>
        <v>515</v>
      </c>
      <c r="AX79" s="2941"/>
      <c r="AY79" s="2941"/>
      <c r="AZ79" s="2941"/>
      <c r="BA79" s="1436">
        <f t="shared" si="49"/>
        <v>87</v>
      </c>
      <c r="BB79" s="2941"/>
      <c r="BC79" s="660">
        <f t="shared" si="50"/>
        <v>215</v>
      </c>
      <c r="BD79" s="2941"/>
      <c r="BE79" s="452">
        <f t="shared" si="56"/>
        <v>515</v>
      </c>
      <c r="BF79" s="26"/>
      <c r="BG79" s="26"/>
    </row>
    <row r="80" spans="2:59" ht="15.6" customHeight="1" x14ac:dyDescent="0.25">
      <c r="B80" s="8" t="s">
        <v>1636</v>
      </c>
      <c r="C80" s="193" t="s">
        <v>361</v>
      </c>
      <c r="D80" s="720"/>
      <c r="E80" s="1494"/>
      <c r="F80" s="1494"/>
      <c r="G80" s="1494"/>
      <c r="H80" s="2261"/>
      <c r="I80" s="2261">
        <f t="shared" si="44"/>
        <v>0</v>
      </c>
      <c r="J80" s="1494"/>
      <c r="K80" s="1494">
        <v>14.64</v>
      </c>
      <c r="L80" s="236"/>
      <c r="M80" s="1436">
        <f t="shared" si="30"/>
        <v>14.64</v>
      </c>
      <c r="N80" s="1494"/>
      <c r="O80" s="1494">
        <v>3.69</v>
      </c>
      <c r="P80" s="1494"/>
      <c r="Q80" s="947">
        <f t="shared" si="31"/>
        <v>18.330000000000002</v>
      </c>
      <c r="R80" s="1494"/>
      <c r="S80" s="1494"/>
      <c r="T80" s="1494"/>
      <c r="U80" s="2555">
        <f t="shared" si="45"/>
        <v>18.330000000000002</v>
      </c>
      <c r="V80" s="1494"/>
      <c r="W80" s="2941"/>
      <c r="X80" s="236"/>
      <c r="Y80" s="1436">
        <f t="shared" si="46"/>
        <v>3.69</v>
      </c>
      <c r="Z80" s="2941"/>
      <c r="AA80" s="660">
        <f t="shared" si="47"/>
        <v>18.330000000000002</v>
      </c>
      <c r="AB80" s="2941"/>
      <c r="AC80" s="2941"/>
      <c r="AD80" s="2941"/>
      <c r="AE80" s="3615">
        <f t="shared" si="52"/>
        <v>18.330000000000002</v>
      </c>
      <c r="AF80" s="2941"/>
      <c r="AG80" s="2941"/>
      <c r="AH80" s="2941"/>
      <c r="AI80" s="3615">
        <f t="shared" si="53"/>
        <v>18.330000000000002</v>
      </c>
      <c r="AJ80" s="2941"/>
      <c r="AK80" s="2941"/>
      <c r="AL80" s="2941"/>
      <c r="AM80" s="1436">
        <f t="shared" si="48"/>
        <v>0</v>
      </c>
      <c r="AN80" s="2941"/>
      <c r="AO80" s="3615">
        <f t="shared" si="51"/>
        <v>18.330000000000002</v>
      </c>
      <c r="AP80" s="2941"/>
      <c r="AQ80" s="2941"/>
      <c r="AR80" s="2941"/>
      <c r="AS80" s="3615">
        <f t="shared" si="54"/>
        <v>18.330000000000002</v>
      </c>
      <c r="AT80" s="2941"/>
      <c r="AU80" s="2941"/>
      <c r="AV80" s="2941"/>
      <c r="AW80" s="452">
        <f t="shared" si="55"/>
        <v>18.330000000000002</v>
      </c>
      <c r="AX80" s="2941"/>
      <c r="AY80" s="2941"/>
      <c r="AZ80" s="2941"/>
      <c r="BA80" s="1436">
        <f t="shared" si="49"/>
        <v>0</v>
      </c>
      <c r="BB80" s="2941"/>
      <c r="BC80" s="660">
        <f t="shared" si="50"/>
        <v>0</v>
      </c>
      <c r="BD80" s="2941"/>
      <c r="BE80" s="452">
        <f t="shared" si="56"/>
        <v>18.330000000000002</v>
      </c>
      <c r="BF80" s="26"/>
      <c r="BG80" s="26"/>
    </row>
    <row r="81" spans="1:60" x14ac:dyDescent="0.25">
      <c r="B81" s="8" t="s">
        <v>1182</v>
      </c>
      <c r="C81" s="193" t="s">
        <v>361</v>
      </c>
      <c r="D81" s="720"/>
      <c r="E81" s="1494">
        <v>568</v>
      </c>
      <c r="F81" s="1494"/>
      <c r="G81" s="1494"/>
      <c r="H81" s="2261"/>
      <c r="I81" s="2261">
        <f t="shared" si="44"/>
        <v>568</v>
      </c>
      <c r="J81" s="1494"/>
      <c r="K81" s="1494"/>
      <c r="L81" s="236"/>
      <c r="M81" s="1436">
        <f t="shared" si="30"/>
        <v>568</v>
      </c>
      <c r="N81" s="1494"/>
      <c r="O81" s="1494"/>
      <c r="P81" s="1494"/>
      <c r="Q81" s="947">
        <f t="shared" si="31"/>
        <v>568</v>
      </c>
      <c r="R81" s="1494"/>
      <c r="S81" s="2941">
        <v>155</v>
      </c>
      <c r="T81" s="1494"/>
      <c r="U81" s="2555">
        <f t="shared" si="45"/>
        <v>723</v>
      </c>
      <c r="V81" s="1494"/>
      <c r="W81" s="2941"/>
      <c r="X81" s="236"/>
      <c r="Y81" s="1436">
        <f t="shared" si="46"/>
        <v>155</v>
      </c>
      <c r="Z81" s="2941"/>
      <c r="AA81" s="660">
        <f t="shared" si="47"/>
        <v>723</v>
      </c>
      <c r="AB81" s="2941"/>
      <c r="AC81" s="2941"/>
      <c r="AD81" s="2941"/>
      <c r="AE81" s="3615">
        <f t="shared" si="52"/>
        <v>723</v>
      </c>
      <c r="AF81" s="2941"/>
      <c r="AG81" s="2941"/>
      <c r="AH81" s="2941"/>
      <c r="AI81" s="3615">
        <f t="shared" si="53"/>
        <v>723</v>
      </c>
      <c r="AJ81" s="2941"/>
      <c r="AK81" s="2941"/>
      <c r="AL81" s="2941"/>
      <c r="AM81" s="1436">
        <f t="shared" si="48"/>
        <v>0</v>
      </c>
      <c r="AN81" s="2941"/>
      <c r="AO81" s="3615">
        <f t="shared" si="51"/>
        <v>723</v>
      </c>
      <c r="AP81" s="2941"/>
      <c r="AQ81" s="2941">
        <v>115</v>
      </c>
      <c r="AR81" s="2941"/>
      <c r="AS81" s="3615">
        <f t="shared" si="54"/>
        <v>838</v>
      </c>
      <c r="AT81" s="2941"/>
      <c r="AU81" s="2941"/>
      <c r="AV81" s="2941"/>
      <c r="AW81" s="452">
        <f t="shared" si="55"/>
        <v>838</v>
      </c>
      <c r="AX81" s="2941"/>
      <c r="AY81" s="2941"/>
      <c r="AZ81" s="2941"/>
      <c r="BA81" s="1436">
        <f t="shared" si="49"/>
        <v>115</v>
      </c>
      <c r="BB81" s="2941"/>
      <c r="BC81" s="660">
        <f t="shared" si="50"/>
        <v>115</v>
      </c>
      <c r="BD81" s="2941"/>
      <c r="BE81" s="452">
        <f t="shared" si="56"/>
        <v>838</v>
      </c>
      <c r="BF81" s="26"/>
      <c r="BG81" s="26"/>
    </row>
    <row r="82" spans="1:60" s="4713" customFormat="1" x14ac:dyDescent="0.25">
      <c r="B82" s="8" t="s">
        <v>1948</v>
      </c>
      <c r="C82" s="4733" t="s">
        <v>361</v>
      </c>
      <c r="D82" s="4734"/>
      <c r="E82" s="4702"/>
      <c r="F82" s="4702"/>
      <c r="G82" s="4702"/>
      <c r="H82" s="4735"/>
      <c r="I82" s="4735"/>
      <c r="J82" s="4702"/>
      <c r="K82" s="4702"/>
      <c r="L82" s="4736"/>
      <c r="M82" s="4741"/>
      <c r="N82" s="4702"/>
      <c r="O82" s="4702"/>
      <c r="P82" s="4702"/>
      <c r="Q82" s="4704"/>
      <c r="R82" s="4702"/>
      <c r="S82" s="4702"/>
      <c r="T82" s="4702"/>
      <c r="U82" s="4704"/>
      <c r="V82" s="4702"/>
      <c r="W82" s="4702"/>
      <c r="X82" s="4736"/>
      <c r="Y82" s="4741">
        <f t="shared" si="46"/>
        <v>0</v>
      </c>
      <c r="Z82" s="4702"/>
      <c r="AA82" s="660">
        <f t="shared" si="47"/>
        <v>0</v>
      </c>
      <c r="AB82" s="4702"/>
      <c r="AC82" s="4702"/>
      <c r="AD82" s="4702"/>
      <c r="AE82" s="4704"/>
      <c r="AF82" s="4702"/>
      <c r="AG82" s="4702"/>
      <c r="AH82" s="4702"/>
      <c r="AI82" s="4704"/>
      <c r="AJ82" s="4702"/>
      <c r="AK82" s="4702"/>
      <c r="AL82" s="4702"/>
      <c r="AM82" s="4741">
        <f t="shared" si="48"/>
        <v>0</v>
      </c>
      <c r="AN82" s="4702"/>
      <c r="AO82" s="4704"/>
      <c r="AP82" s="4702"/>
      <c r="AQ82" s="4702"/>
      <c r="AR82" s="4702"/>
      <c r="AS82" s="3615">
        <f t="shared" ref="AS82" si="57">+AO82+AQ82</f>
        <v>0</v>
      </c>
      <c r="AT82" s="2941"/>
      <c r="AU82" s="2941">
        <v>110</v>
      </c>
      <c r="AV82" s="2941"/>
      <c r="AW82" s="452">
        <f t="shared" ref="AW82" si="58">+AS82+AU82</f>
        <v>110</v>
      </c>
      <c r="AX82" s="2941"/>
      <c r="AY82" s="2941"/>
      <c r="AZ82" s="4702"/>
      <c r="BA82" s="4741">
        <f t="shared" si="49"/>
        <v>110</v>
      </c>
      <c r="BB82" s="4702"/>
      <c r="BC82" s="660">
        <f t="shared" si="50"/>
        <v>110</v>
      </c>
      <c r="BD82" s="2941"/>
      <c r="BE82" s="452">
        <f t="shared" si="56"/>
        <v>110</v>
      </c>
      <c r="BF82" s="26"/>
      <c r="BG82" s="26"/>
      <c r="BH82" s="26">
        <f>+AS66+AS170</f>
        <v>8676.6999999999989</v>
      </c>
    </row>
    <row r="83" spans="1:60" s="4109" customFormat="1" x14ac:dyDescent="0.25">
      <c r="B83" s="8" t="s">
        <v>1850</v>
      </c>
      <c r="C83" s="193" t="s">
        <v>361</v>
      </c>
      <c r="D83" s="720"/>
      <c r="E83" s="2941"/>
      <c r="F83" s="2941"/>
      <c r="G83" s="2941"/>
      <c r="H83" s="2261"/>
      <c r="I83" s="2261"/>
      <c r="J83" s="2941"/>
      <c r="K83" s="2941"/>
      <c r="L83" s="236"/>
      <c r="M83" s="1436"/>
      <c r="N83" s="2941"/>
      <c r="O83" s="2941"/>
      <c r="P83" s="2941"/>
      <c r="Q83" s="3615"/>
      <c r="R83" s="2941"/>
      <c r="S83" s="2941"/>
      <c r="T83" s="2941"/>
      <c r="U83" s="3615"/>
      <c r="V83" s="2941"/>
      <c r="W83" s="2941"/>
      <c r="X83" s="236"/>
      <c r="Y83" s="1436">
        <f t="shared" si="46"/>
        <v>0</v>
      </c>
      <c r="Z83" s="2941"/>
      <c r="AA83" s="660">
        <f t="shared" si="47"/>
        <v>0</v>
      </c>
      <c r="AB83" s="2941"/>
      <c r="AC83" s="2941">
        <v>43.129999999999995</v>
      </c>
      <c r="AD83" s="2941"/>
      <c r="AE83" s="3615">
        <f t="shared" si="52"/>
        <v>43.129999999999995</v>
      </c>
      <c r="AF83" s="2941"/>
      <c r="AG83" s="2941">
        <v>120.66</v>
      </c>
      <c r="AH83" s="2941"/>
      <c r="AI83" s="3615">
        <f t="shared" si="53"/>
        <v>163.79</v>
      </c>
      <c r="AJ83" s="2941"/>
      <c r="AK83" s="2941"/>
      <c r="AL83" s="2941"/>
      <c r="AM83" s="1436">
        <f t="shared" si="48"/>
        <v>163.79</v>
      </c>
      <c r="AN83" s="2941"/>
      <c r="AO83" s="3615">
        <f t="shared" si="51"/>
        <v>163.79</v>
      </c>
      <c r="AP83" s="2941"/>
      <c r="AQ83" s="2941"/>
      <c r="AR83" s="2941"/>
      <c r="AS83" s="3615">
        <f t="shared" si="54"/>
        <v>163.79</v>
      </c>
      <c r="AT83" s="2941"/>
      <c r="AU83" s="2941"/>
      <c r="AV83" s="2941"/>
      <c r="AW83" s="452">
        <f t="shared" si="55"/>
        <v>163.79</v>
      </c>
      <c r="AX83" s="2941"/>
      <c r="AY83" s="2941"/>
      <c r="AZ83" s="2941"/>
      <c r="BA83" s="1436">
        <f t="shared" si="49"/>
        <v>0</v>
      </c>
      <c r="BB83" s="2941"/>
      <c r="BC83" s="660">
        <f t="shared" si="50"/>
        <v>163.79</v>
      </c>
      <c r="BD83" s="2941"/>
      <c r="BE83" s="452">
        <f t="shared" si="56"/>
        <v>163.79</v>
      </c>
      <c r="BF83" s="26"/>
      <c r="BG83" s="26"/>
    </row>
    <row r="84" spans="1:60" x14ac:dyDescent="0.25">
      <c r="B84" s="8" t="s">
        <v>1562</v>
      </c>
      <c r="C84" s="193" t="s">
        <v>361</v>
      </c>
      <c r="D84" s="720"/>
      <c r="E84" s="1494"/>
      <c r="F84" s="1494"/>
      <c r="G84" s="1494">
        <v>15</v>
      </c>
      <c r="H84" s="2261"/>
      <c r="I84" s="2261">
        <f t="shared" si="44"/>
        <v>15</v>
      </c>
      <c r="J84" s="1494"/>
      <c r="K84" s="1494"/>
      <c r="L84" s="236"/>
      <c r="M84" s="1436">
        <f t="shared" si="30"/>
        <v>15</v>
      </c>
      <c r="N84" s="1494"/>
      <c r="O84" s="1494"/>
      <c r="P84" s="1494"/>
      <c r="Q84" s="947">
        <f t="shared" si="31"/>
        <v>15</v>
      </c>
      <c r="R84" s="1494"/>
      <c r="S84" s="1494"/>
      <c r="T84" s="1494"/>
      <c r="U84" s="2555">
        <f t="shared" si="45"/>
        <v>15</v>
      </c>
      <c r="V84" s="1494"/>
      <c r="W84" s="2941"/>
      <c r="X84" s="236"/>
      <c r="Y84" s="1436">
        <f t="shared" si="46"/>
        <v>0</v>
      </c>
      <c r="Z84" s="2941"/>
      <c r="AA84" s="660">
        <f t="shared" si="47"/>
        <v>15</v>
      </c>
      <c r="AB84" s="2941"/>
      <c r="AC84" s="2941"/>
      <c r="AD84" s="2941"/>
      <c r="AE84" s="3615">
        <f t="shared" si="52"/>
        <v>15</v>
      </c>
      <c r="AF84" s="2941"/>
      <c r="AG84" s="2941"/>
      <c r="AH84" s="2941"/>
      <c r="AI84" s="3615">
        <f t="shared" si="53"/>
        <v>15</v>
      </c>
      <c r="AJ84" s="2941"/>
      <c r="AK84" s="2941"/>
      <c r="AL84" s="2941"/>
      <c r="AM84" s="1436">
        <f t="shared" si="48"/>
        <v>0</v>
      </c>
      <c r="AN84" s="2941"/>
      <c r="AO84" s="3615">
        <f t="shared" si="51"/>
        <v>15</v>
      </c>
      <c r="AP84" s="2941"/>
      <c r="AQ84" s="2941"/>
      <c r="AR84" s="2941"/>
      <c r="AS84" s="3615">
        <f t="shared" si="54"/>
        <v>15</v>
      </c>
      <c r="AT84" s="2941"/>
      <c r="AU84" s="2941"/>
      <c r="AV84" s="2941"/>
      <c r="AW84" s="452">
        <f t="shared" si="55"/>
        <v>15</v>
      </c>
      <c r="AX84" s="2941"/>
      <c r="AY84" s="2941"/>
      <c r="AZ84" s="2941"/>
      <c r="BA84" s="1436">
        <f t="shared" si="49"/>
        <v>0</v>
      </c>
      <c r="BB84" s="2941"/>
      <c r="BC84" s="660">
        <f t="shared" si="50"/>
        <v>0</v>
      </c>
      <c r="BD84" s="2941"/>
      <c r="BE84" s="452">
        <f t="shared" si="56"/>
        <v>15</v>
      </c>
      <c r="BF84" s="26"/>
      <c r="BG84" s="26"/>
    </row>
    <row r="85" spans="1:60" x14ac:dyDescent="0.25">
      <c r="B85" s="8" t="s">
        <v>1563</v>
      </c>
      <c r="C85" s="193" t="s">
        <v>361</v>
      </c>
      <c r="D85" s="720"/>
      <c r="E85" s="1494"/>
      <c r="F85" s="1494"/>
      <c r="G85" s="1494">
        <v>24.87</v>
      </c>
      <c r="H85" s="2261"/>
      <c r="I85" s="2261">
        <f t="shared" si="44"/>
        <v>24.87</v>
      </c>
      <c r="J85" s="1494"/>
      <c r="K85" s="1494"/>
      <c r="L85" s="236"/>
      <c r="M85" s="1436">
        <f t="shared" si="30"/>
        <v>24.87</v>
      </c>
      <c r="N85" s="1494"/>
      <c r="O85" s="1494"/>
      <c r="P85" s="1494"/>
      <c r="Q85" s="947">
        <f t="shared" si="31"/>
        <v>24.87</v>
      </c>
      <c r="R85" s="1494"/>
      <c r="S85" s="1494"/>
      <c r="T85" s="1494"/>
      <c r="U85" s="2555">
        <f t="shared" si="45"/>
        <v>24.87</v>
      </c>
      <c r="V85" s="1494"/>
      <c r="W85" s="2941"/>
      <c r="X85" s="236"/>
      <c r="Y85" s="1436">
        <f t="shared" si="46"/>
        <v>0</v>
      </c>
      <c r="Z85" s="2941"/>
      <c r="AA85" s="660">
        <f t="shared" si="47"/>
        <v>24.87</v>
      </c>
      <c r="AB85" s="2941"/>
      <c r="AC85" s="2941"/>
      <c r="AD85" s="2941"/>
      <c r="AE85" s="3615">
        <f t="shared" si="52"/>
        <v>24.87</v>
      </c>
      <c r="AF85" s="2941"/>
      <c r="AG85" s="2941"/>
      <c r="AH85" s="2941"/>
      <c r="AI85" s="3615">
        <f t="shared" si="53"/>
        <v>24.87</v>
      </c>
      <c r="AJ85" s="2941"/>
      <c r="AK85" s="2941"/>
      <c r="AL85" s="2941"/>
      <c r="AM85" s="1436">
        <f t="shared" si="48"/>
        <v>0</v>
      </c>
      <c r="AN85" s="2941"/>
      <c r="AO85" s="3615">
        <f t="shared" si="51"/>
        <v>24.87</v>
      </c>
      <c r="AP85" s="2941"/>
      <c r="AQ85" s="2941"/>
      <c r="AR85" s="2941"/>
      <c r="AS85" s="3615">
        <f t="shared" si="54"/>
        <v>24.87</v>
      </c>
      <c r="AT85" s="2941"/>
      <c r="AU85" s="2941"/>
      <c r="AV85" s="2941"/>
      <c r="AW85" s="452">
        <f t="shared" si="55"/>
        <v>24.87</v>
      </c>
      <c r="AX85" s="2941"/>
      <c r="AY85" s="2941"/>
      <c r="AZ85" s="2941"/>
      <c r="BA85" s="1436">
        <f t="shared" si="49"/>
        <v>0</v>
      </c>
      <c r="BB85" s="2941"/>
      <c r="BC85" s="660">
        <f t="shared" si="50"/>
        <v>0</v>
      </c>
      <c r="BD85" s="2941"/>
      <c r="BE85" s="452">
        <f t="shared" si="56"/>
        <v>24.87</v>
      </c>
      <c r="BF85" s="26"/>
      <c r="BG85" s="26"/>
    </row>
    <row r="86" spans="1:60" x14ac:dyDescent="0.25">
      <c r="B86" s="8" t="s">
        <v>1700</v>
      </c>
      <c r="C86" s="193" t="s">
        <v>361</v>
      </c>
      <c r="D86" s="720"/>
      <c r="E86" s="1494"/>
      <c r="F86" s="1494"/>
      <c r="G86" s="1494"/>
      <c r="H86" s="2261"/>
      <c r="I86" s="2261"/>
      <c r="J86" s="1494"/>
      <c r="K86" s="1494"/>
      <c r="L86" s="236"/>
      <c r="M86" s="1436">
        <f t="shared" si="30"/>
        <v>0</v>
      </c>
      <c r="N86" s="1494"/>
      <c r="O86" s="1494">
        <v>12.24</v>
      </c>
      <c r="P86" s="1494"/>
      <c r="Q86" s="947">
        <f t="shared" si="31"/>
        <v>12.24</v>
      </c>
      <c r="R86" s="1494"/>
      <c r="S86" s="1494"/>
      <c r="T86" s="1494"/>
      <c r="U86" s="2555">
        <f t="shared" si="45"/>
        <v>12.24</v>
      </c>
      <c r="V86" s="1494"/>
      <c r="W86" s="2941"/>
      <c r="X86" s="236"/>
      <c r="Y86" s="1436">
        <f t="shared" si="46"/>
        <v>12.24</v>
      </c>
      <c r="Z86" s="2941"/>
      <c r="AA86" s="660">
        <f t="shared" si="47"/>
        <v>12.24</v>
      </c>
      <c r="AB86" s="2941"/>
      <c r="AC86" s="2941"/>
      <c r="AD86" s="2941"/>
      <c r="AE86" s="3615">
        <f t="shared" si="52"/>
        <v>12.24</v>
      </c>
      <c r="AF86" s="2941"/>
      <c r="AG86" s="2941"/>
      <c r="AH86" s="2941"/>
      <c r="AI86" s="3615">
        <f t="shared" si="53"/>
        <v>12.24</v>
      </c>
      <c r="AJ86" s="2941"/>
      <c r="AK86" s="2941"/>
      <c r="AL86" s="2941"/>
      <c r="AM86" s="1436">
        <f t="shared" si="48"/>
        <v>0</v>
      </c>
      <c r="AN86" s="2941"/>
      <c r="AO86" s="3615">
        <f t="shared" si="51"/>
        <v>12.24</v>
      </c>
      <c r="AP86" s="2941"/>
      <c r="AQ86" s="2941"/>
      <c r="AR86" s="2941"/>
      <c r="AS86" s="3615">
        <f t="shared" si="54"/>
        <v>12.24</v>
      </c>
      <c r="AT86" s="2941"/>
      <c r="AU86" s="2941"/>
      <c r="AV86" s="2941"/>
      <c r="AW86" s="452">
        <f t="shared" si="55"/>
        <v>12.24</v>
      </c>
      <c r="AX86" s="2941"/>
      <c r="AY86" s="2941"/>
      <c r="AZ86" s="2941"/>
      <c r="BA86" s="1436">
        <f t="shared" si="49"/>
        <v>0</v>
      </c>
      <c r="BB86" s="2941"/>
      <c r="BC86" s="660">
        <f t="shared" si="50"/>
        <v>0</v>
      </c>
      <c r="BD86" s="2941"/>
      <c r="BE86" s="452">
        <f t="shared" si="56"/>
        <v>12.24</v>
      </c>
      <c r="BF86" s="26"/>
      <c r="BG86" s="26"/>
    </row>
    <row r="87" spans="1:60" x14ac:dyDescent="0.25">
      <c r="B87" s="8" t="s">
        <v>1564</v>
      </c>
      <c r="C87" s="193" t="s">
        <v>361</v>
      </c>
      <c r="D87" s="720"/>
      <c r="E87" s="1494"/>
      <c r="F87" s="1494"/>
      <c r="G87" s="1494">
        <v>30.85</v>
      </c>
      <c r="H87" s="2261"/>
      <c r="I87" s="2261">
        <f t="shared" si="44"/>
        <v>30.85</v>
      </c>
      <c r="J87" s="1494"/>
      <c r="K87" s="1494"/>
      <c r="L87" s="236"/>
      <c r="M87" s="1436">
        <f t="shared" si="30"/>
        <v>30.85</v>
      </c>
      <c r="N87" s="1494"/>
      <c r="O87" s="1494">
        <v>3.98</v>
      </c>
      <c r="P87" s="1494"/>
      <c r="Q87" s="947">
        <f t="shared" si="31"/>
        <v>34.83</v>
      </c>
      <c r="R87" s="1494"/>
      <c r="S87" s="1494">
        <v>10.8</v>
      </c>
      <c r="T87" s="1494"/>
      <c r="U87" s="2555">
        <f t="shared" si="45"/>
        <v>45.629999999999995</v>
      </c>
      <c r="V87" s="1494"/>
      <c r="W87" s="2941"/>
      <c r="X87" s="236"/>
      <c r="Y87" s="1436">
        <f t="shared" si="46"/>
        <v>14.780000000000001</v>
      </c>
      <c r="Z87" s="2941"/>
      <c r="AA87" s="660">
        <f t="shared" si="47"/>
        <v>45.63</v>
      </c>
      <c r="AB87" s="2941"/>
      <c r="AC87" s="2941">
        <v>9.36</v>
      </c>
      <c r="AD87" s="2941"/>
      <c r="AE87" s="3615">
        <f t="shared" si="52"/>
        <v>54.99</v>
      </c>
      <c r="AF87" s="2941"/>
      <c r="AG87" s="2941">
        <v>14.96</v>
      </c>
      <c r="AH87" s="2941"/>
      <c r="AI87" s="3615">
        <f t="shared" si="53"/>
        <v>69.95</v>
      </c>
      <c r="AJ87" s="2941"/>
      <c r="AK87" s="2941">
        <v>19.600000000000001</v>
      </c>
      <c r="AL87" s="2941"/>
      <c r="AM87" s="1436">
        <f t="shared" si="48"/>
        <v>43.92</v>
      </c>
      <c r="AN87" s="2941"/>
      <c r="AO87" s="3615">
        <f t="shared" si="51"/>
        <v>89.550000000000011</v>
      </c>
      <c r="AP87" s="2941"/>
      <c r="AQ87" s="2941">
        <v>7.67</v>
      </c>
      <c r="AR87" s="2941"/>
      <c r="AS87" s="3615">
        <f t="shared" si="54"/>
        <v>97.220000000000013</v>
      </c>
      <c r="AT87" s="2941"/>
      <c r="AU87" s="2941">
        <v>43.87</v>
      </c>
      <c r="AV87" s="2941"/>
      <c r="AW87" s="452">
        <f t="shared" si="55"/>
        <v>141.09</v>
      </c>
      <c r="AX87" s="2941"/>
      <c r="AY87" s="2941">
        <v>8.0299999999999994</v>
      </c>
      <c r="AZ87" s="2941"/>
      <c r="BA87" s="1436">
        <f t="shared" si="49"/>
        <v>59.57</v>
      </c>
      <c r="BB87" s="2941"/>
      <c r="BC87" s="660">
        <f t="shared" si="50"/>
        <v>103.49000000000001</v>
      </c>
      <c r="BD87" s="2941"/>
      <c r="BE87" s="452">
        <f t="shared" si="56"/>
        <v>149.12</v>
      </c>
      <c r="BF87" s="26"/>
      <c r="BG87" s="26"/>
    </row>
    <row r="88" spans="1:60" s="4471" customFormat="1" x14ac:dyDescent="0.25">
      <c r="B88" s="8" t="s">
        <v>1925</v>
      </c>
      <c r="C88" s="193" t="s">
        <v>361</v>
      </c>
      <c r="D88" s="720"/>
      <c r="E88" s="2941"/>
      <c r="F88" s="2941"/>
      <c r="G88" s="2941"/>
      <c r="H88" s="2261"/>
      <c r="I88" s="2261"/>
      <c r="J88" s="2941"/>
      <c r="K88" s="2941"/>
      <c r="L88" s="236"/>
      <c r="M88" s="1436"/>
      <c r="N88" s="2941"/>
      <c r="O88" s="2941"/>
      <c r="P88" s="2941"/>
      <c r="Q88" s="3615"/>
      <c r="R88" s="2941"/>
      <c r="S88" s="2941"/>
      <c r="T88" s="2941"/>
      <c r="U88" s="3615"/>
      <c r="V88" s="2941"/>
      <c r="W88" s="2941"/>
      <c r="X88" s="236"/>
      <c r="Y88" s="1436">
        <f t="shared" si="46"/>
        <v>0</v>
      </c>
      <c r="Z88" s="2941"/>
      <c r="AA88" s="660">
        <f t="shared" si="47"/>
        <v>0</v>
      </c>
      <c r="AB88" s="2941"/>
      <c r="AC88" s="2941"/>
      <c r="AD88" s="2941"/>
      <c r="AE88" s="3615"/>
      <c r="AF88" s="2941"/>
      <c r="AG88" s="2941"/>
      <c r="AH88" s="2941"/>
      <c r="AI88" s="3615"/>
      <c r="AJ88" s="2941"/>
      <c r="AK88" s="2941"/>
      <c r="AL88" s="2941"/>
      <c r="AM88" s="1436">
        <f t="shared" si="48"/>
        <v>0</v>
      </c>
      <c r="AN88" s="2941"/>
      <c r="AO88" s="3615">
        <f t="shared" ref="AO88" si="59">AI88+AK88</f>
        <v>0</v>
      </c>
      <c r="AP88" s="2941"/>
      <c r="AQ88" s="2941">
        <v>19.66</v>
      </c>
      <c r="AR88" s="2941"/>
      <c r="AS88" s="3615">
        <f t="shared" si="54"/>
        <v>19.66</v>
      </c>
      <c r="AT88" s="2941"/>
      <c r="AU88" s="2941"/>
      <c r="AV88" s="2941"/>
      <c r="AW88" s="452">
        <f t="shared" si="55"/>
        <v>19.66</v>
      </c>
      <c r="AX88" s="2941"/>
      <c r="AY88" s="2941"/>
      <c r="AZ88" s="2941"/>
      <c r="BA88" s="1436">
        <f t="shared" si="49"/>
        <v>19.66</v>
      </c>
      <c r="BB88" s="2941"/>
      <c r="BC88" s="660">
        <f t="shared" si="50"/>
        <v>19.66</v>
      </c>
      <c r="BD88" s="2941"/>
      <c r="BE88" s="452">
        <f t="shared" si="56"/>
        <v>19.66</v>
      </c>
      <c r="BF88" s="26"/>
      <c r="BG88" s="26"/>
    </row>
    <row r="89" spans="1:60" x14ac:dyDescent="0.25">
      <c r="B89" s="8" t="s">
        <v>1637</v>
      </c>
      <c r="C89" s="193" t="s">
        <v>361</v>
      </c>
      <c r="D89" s="720"/>
      <c r="E89" s="720"/>
      <c r="F89" s="720"/>
      <c r="G89" s="720"/>
      <c r="H89" s="2263"/>
      <c r="I89" s="2261">
        <f>+E89+G89</f>
        <v>0</v>
      </c>
      <c r="J89" s="720"/>
      <c r="K89" s="720">
        <v>29.05</v>
      </c>
      <c r="L89" s="236"/>
      <c r="M89" s="1436">
        <f t="shared" si="30"/>
        <v>29.05</v>
      </c>
      <c r="N89" s="720"/>
      <c r="O89" s="720">
        <v>29.57</v>
      </c>
      <c r="P89" s="720"/>
      <c r="Q89" s="709">
        <f>+M89+O89</f>
        <v>58.620000000000005</v>
      </c>
      <c r="R89" s="720"/>
      <c r="S89" s="720">
        <v>29.57</v>
      </c>
      <c r="T89" s="720"/>
      <c r="U89" s="2564">
        <f>+Q89+S89</f>
        <v>88.19</v>
      </c>
      <c r="V89" s="720"/>
      <c r="W89" s="720">
        <v>37.29</v>
      </c>
      <c r="X89" s="236"/>
      <c r="Y89" s="1436">
        <f t="shared" si="46"/>
        <v>96.43</v>
      </c>
      <c r="Z89" s="720"/>
      <c r="AA89" s="625">
        <f t="shared" si="47"/>
        <v>125.48</v>
      </c>
      <c r="AB89" s="720"/>
      <c r="AC89" s="720">
        <v>7.08</v>
      </c>
      <c r="AD89" s="720"/>
      <c r="AE89" s="4022">
        <f>+AA89+AC89</f>
        <v>132.56</v>
      </c>
      <c r="AF89" s="720"/>
      <c r="AG89" s="720">
        <v>29.56</v>
      </c>
      <c r="AH89" s="720"/>
      <c r="AI89" s="4022">
        <f>+AE89+AG89</f>
        <v>162.12</v>
      </c>
      <c r="AJ89" s="720"/>
      <c r="AK89" s="720">
        <v>9.74</v>
      </c>
      <c r="AL89" s="720"/>
      <c r="AM89" s="1436">
        <f t="shared" si="48"/>
        <v>46.38</v>
      </c>
      <c r="AN89" s="720"/>
      <c r="AO89" s="4022">
        <f t="shared" si="51"/>
        <v>171.86</v>
      </c>
      <c r="AP89" s="720"/>
      <c r="AQ89" s="720"/>
      <c r="AR89" s="720"/>
      <c r="AS89" s="4022">
        <f>+AO89+AQ89</f>
        <v>171.86</v>
      </c>
      <c r="AT89" s="720"/>
      <c r="AU89" s="720">
        <v>47.25</v>
      </c>
      <c r="AV89" s="720"/>
      <c r="AW89" s="311">
        <f>+AS89+AU89</f>
        <v>219.11</v>
      </c>
      <c r="AX89" s="720"/>
      <c r="AY89" s="720">
        <v>14.53</v>
      </c>
      <c r="AZ89" s="720"/>
      <c r="BA89" s="1436">
        <f t="shared" si="49"/>
        <v>61.78</v>
      </c>
      <c r="BB89" s="720"/>
      <c r="BC89" s="625">
        <f t="shared" si="50"/>
        <v>108.16</v>
      </c>
      <c r="BD89" s="720"/>
      <c r="BE89" s="311">
        <f>+AW89+AY89</f>
        <v>233.64000000000001</v>
      </c>
      <c r="BF89" s="26"/>
      <c r="BG89" s="26"/>
    </row>
    <row r="90" spans="1:60" x14ac:dyDescent="0.25">
      <c r="A90" s="2620"/>
      <c r="B90" s="8" t="s">
        <v>1739</v>
      </c>
      <c r="C90" s="193" t="s">
        <v>361</v>
      </c>
      <c r="D90" s="720"/>
      <c r="E90" s="720"/>
      <c r="F90" s="720"/>
      <c r="G90" s="720"/>
      <c r="H90" s="2263"/>
      <c r="I90" s="2261"/>
      <c r="J90" s="720"/>
      <c r="K90" s="720"/>
      <c r="L90" s="236"/>
      <c r="M90" s="1436">
        <f t="shared" si="30"/>
        <v>0</v>
      </c>
      <c r="N90" s="720"/>
      <c r="O90" s="720"/>
      <c r="P90" s="720"/>
      <c r="Q90" s="2621">
        <f>+M90+O90</f>
        <v>0</v>
      </c>
      <c r="R90" s="720"/>
      <c r="S90" s="720">
        <v>1</v>
      </c>
      <c r="T90" s="720"/>
      <c r="U90" s="2621">
        <f>+Q90+S90</f>
        <v>1</v>
      </c>
      <c r="V90" s="720"/>
      <c r="W90" s="720"/>
      <c r="X90" s="236"/>
      <c r="Y90" s="1436">
        <f t="shared" si="46"/>
        <v>1</v>
      </c>
      <c r="Z90" s="720"/>
      <c r="AA90" s="625">
        <f t="shared" si="47"/>
        <v>1</v>
      </c>
      <c r="AB90" s="720"/>
      <c r="AC90" s="720">
        <v>1</v>
      </c>
      <c r="AD90" s="720"/>
      <c r="AE90" s="4022">
        <f>+AA90+AC90</f>
        <v>2</v>
      </c>
      <c r="AF90" s="720"/>
      <c r="AG90" s="720"/>
      <c r="AH90" s="720"/>
      <c r="AI90" s="4022">
        <f>+AE90+AG90</f>
        <v>2</v>
      </c>
      <c r="AJ90" s="720"/>
      <c r="AK90" s="720"/>
      <c r="AL90" s="720"/>
      <c r="AM90" s="1436">
        <f t="shared" si="48"/>
        <v>1</v>
      </c>
      <c r="AN90" s="720"/>
      <c r="AO90" s="4022">
        <f t="shared" si="51"/>
        <v>2</v>
      </c>
      <c r="AP90" s="720"/>
      <c r="AQ90" s="720"/>
      <c r="AR90" s="720"/>
      <c r="AS90" s="4022">
        <f>+AO90+AQ90</f>
        <v>2</v>
      </c>
      <c r="AT90" s="720"/>
      <c r="AU90" s="720"/>
      <c r="AV90" s="720"/>
      <c r="AW90" s="311">
        <f>+AS90+AU90</f>
        <v>2</v>
      </c>
      <c r="AX90" s="720"/>
      <c r="AY90" s="720"/>
      <c r="AZ90" s="720"/>
      <c r="BA90" s="1436">
        <f t="shared" si="49"/>
        <v>0</v>
      </c>
      <c r="BB90" s="720"/>
      <c r="BC90" s="625">
        <f t="shared" si="50"/>
        <v>1</v>
      </c>
      <c r="BD90" s="720"/>
      <c r="BE90" s="311">
        <f>+AW90+AY90</f>
        <v>2</v>
      </c>
      <c r="BF90" s="26"/>
      <c r="BG90" s="26"/>
    </row>
    <row r="91" spans="1:60" x14ac:dyDescent="0.25">
      <c r="B91" s="8" t="s">
        <v>1464</v>
      </c>
      <c r="C91" s="193" t="s">
        <v>361</v>
      </c>
      <c r="D91" s="720"/>
      <c r="E91" s="1494">
        <v>880.47</v>
      </c>
      <c r="F91" s="1494"/>
      <c r="G91" s="1494">
        <v>252.08</v>
      </c>
      <c r="H91" s="2261"/>
      <c r="I91" s="2261">
        <f t="shared" si="44"/>
        <v>1132.55</v>
      </c>
      <c r="J91" s="1494"/>
      <c r="K91" s="1494"/>
      <c r="L91" s="236"/>
      <c r="M91" s="1436">
        <f t="shared" si="30"/>
        <v>1132.55</v>
      </c>
      <c r="N91" s="1494"/>
      <c r="O91" s="1494"/>
      <c r="P91" s="1494"/>
      <c r="Q91" s="947">
        <f t="shared" si="31"/>
        <v>1132.55</v>
      </c>
      <c r="R91" s="1494"/>
      <c r="S91" s="1494"/>
      <c r="T91" s="1494"/>
      <c r="U91" s="2555">
        <f t="shared" si="45"/>
        <v>1132.55</v>
      </c>
      <c r="V91" s="1494"/>
      <c r="W91" s="2941">
        <v>3779.5600000000004</v>
      </c>
      <c r="X91" s="236"/>
      <c r="Y91" s="1436">
        <f t="shared" si="46"/>
        <v>3779.5600000000004</v>
      </c>
      <c r="Z91" s="2941"/>
      <c r="AA91" s="660">
        <f t="shared" si="47"/>
        <v>4912.1100000000006</v>
      </c>
      <c r="AB91" s="2941"/>
      <c r="AC91" s="2941"/>
      <c r="AD91" s="2941"/>
      <c r="AE91" s="3615">
        <f t="shared" ref="AE91:AE101" si="60">+AA91+AC91</f>
        <v>4912.1100000000006</v>
      </c>
      <c r="AF91" s="2941"/>
      <c r="AG91" s="2941"/>
      <c r="AH91" s="2941"/>
      <c r="AI91" s="3615">
        <f t="shared" ref="AI91:AI103" si="61">+AE91+AG91</f>
        <v>4912.1100000000006</v>
      </c>
      <c r="AJ91" s="2941"/>
      <c r="AK91" s="2941"/>
      <c r="AL91" s="2941"/>
      <c r="AM91" s="1436">
        <f t="shared" si="48"/>
        <v>0</v>
      </c>
      <c r="AN91" s="2941"/>
      <c r="AO91" s="3615">
        <f t="shared" si="51"/>
        <v>4912.1100000000006</v>
      </c>
      <c r="AP91" s="2941"/>
      <c r="AQ91" s="2941"/>
      <c r="AR91" s="2941"/>
      <c r="AS91" s="3615">
        <f t="shared" ref="AS91:AS103" si="62">+AO91+AQ91</f>
        <v>4912.1100000000006</v>
      </c>
      <c r="AT91" s="2941"/>
      <c r="AU91" s="2941"/>
      <c r="AV91" s="2941"/>
      <c r="AW91" s="452">
        <f t="shared" ref="AW91:AW103" si="63">+AS91+AU91</f>
        <v>4912.1100000000006</v>
      </c>
      <c r="AX91" s="2941"/>
      <c r="AY91" s="2941"/>
      <c r="AZ91" s="2941"/>
      <c r="BA91" s="1436">
        <f t="shared" si="49"/>
        <v>0</v>
      </c>
      <c r="BB91" s="2941"/>
      <c r="BC91" s="660">
        <f t="shared" si="50"/>
        <v>0</v>
      </c>
      <c r="BD91" s="2941"/>
      <c r="BE91" s="452">
        <f t="shared" ref="BE91:BE103" si="64">+AW91+AY91</f>
        <v>4912.1100000000006</v>
      </c>
      <c r="BF91" s="26"/>
      <c r="BG91" s="26"/>
    </row>
    <row r="92" spans="1:60" x14ac:dyDescent="0.25">
      <c r="B92" s="8" t="s">
        <v>1171</v>
      </c>
      <c r="C92" s="193" t="s">
        <v>361</v>
      </c>
      <c r="D92" s="720"/>
      <c r="E92" s="720">
        <v>21.39</v>
      </c>
      <c r="F92" s="720"/>
      <c r="G92" s="720">
        <v>3.36</v>
      </c>
      <c r="H92" s="2263"/>
      <c r="I92" s="2261">
        <f t="shared" si="44"/>
        <v>24.75</v>
      </c>
      <c r="J92" s="720"/>
      <c r="K92" s="720">
        <v>10.72</v>
      </c>
      <c r="L92" s="236"/>
      <c r="M92" s="1436">
        <f t="shared" si="30"/>
        <v>35.47</v>
      </c>
      <c r="N92" s="720"/>
      <c r="O92" s="720">
        <v>8.16</v>
      </c>
      <c r="P92" s="720"/>
      <c r="Q92" s="709">
        <f t="shared" si="31"/>
        <v>43.629999999999995</v>
      </c>
      <c r="R92" s="720"/>
      <c r="S92" s="720">
        <v>11.04</v>
      </c>
      <c r="T92" s="720"/>
      <c r="U92" s="2564">
        <f t="shared" si="45"/>
        <v>54.669999999999995</v>
      </c>
      <c r="V92" s="720"/>
      <c r="W92" s="720"/>
      <c r="X92" s="236"/>
      <c r="Y92" s="1436">
        <f t="shared" si="46"/>
        <v>19.2</v>
      </c>
      <c r="Z92" s="720"/>
      <c r="AA92" s="625">
        <f t="shared" si="47"/>
        <v>54.67</v>
      </c>
      <c r="AB92" s="720"/>
      <c r="AC92" s="720"/>
      <c r="AD92" s="720"/>
      <c r="AE92" s="4022">
        <f t="shared" si="60"/>
        <v>54.67</v>
      </c>
      <c r="AF92" s="720"/>
      <c r="AG92" s="720"/>
      <c r="AH92" s="720"/>
      <c r="AI92" s="4022">
        <f t="shared" si="61"/>
        <v>54.67</v>
      </c>
      <c r="AJ92" s="720"/>
      <c r="AK92" s="720">
        <v>2.27</v>
      </c>
      <c r="AL92" s="720"/>
      <c r="AM92" s="1436">
        <f t="shared" si="48"/>
        <v>2.27</v>
      </c>
      <c r="AN92" s="720"/>
      <c r="AO92" s="4022">
        <f t="shared" si="51"/>
        <v>56.940000000000005</v>
      </c>
      <c r="AP92" s="720"/>
      <c r="AQ92" s="720">
        <v>34.83</v>
      </c>
      <c r="AR92" s="720"/>
      <c r="AS92" s="4022">
        <f t="shared" si="62"/>
        <v>91.77000000000001</v>
      </c>
      <c r="AT92" s="720"/>
      <c r="AU92" s="720">
        <v>12.65</v>
      </c>
      <c r="AV92" s="720"/>
      <c r="AW92" s="311">
        <f t="shared" si="63"/>
        <v>104.42000000000002</v>
      </c>
      <c r="AX92" s="720"/>
      <c r="AY92" s="720"/>
      <c r="AZ92" s="720"/>
      <c r="BA92" s="1436">
        <f t="shared" si="49"/>
        <v>47.48</v>
      </c>
      <c r="BB92" s="720"/>
      <c r="BC92" s="625">
        <f t="shared" si="50"/>
        <v>49.75</v>
      </c>
      <c r="BD92" s="720"/>
      <c r="BE92" s="311">
        <f t="shared" si="64"/>
        <v>104.42000000000002</v>
      </c>
      <c r="BF92" s="26"/>
      <c r="BG92" s="26"/>
    </row>
    <row r="93" spans="1:60" ht="15.75" customHeight="1" x14ac:dyDescent="0.25">
      <c r="A93" s="183"/>
      <c r="B93" s="8" t="s">
        <v>688</v>
      </c>
      <c r="C93" s="193" t="s">
        <v>361</v>
      </c>
      <c r="D93" s="720"/>
      <c r="E93" s="1494">
        <v>1658.9400000000003</v>
      </c>
      <c r="F93" s="1494"/>
      <c r="G93" s="1494">
        <v>1253.75</v>
      </c>
      <c r="H93" s="2261"/>
      <c r="I93" s="2261">
        <f t="shared" si="44"/>
        <v>2912.6900000000005</v>
      </c>
      <c r="J93" s="1494"/>
      <c r="K93" s="1494">
        <v>1368.11</v>
      </c>
      <c r="L93" s="236"/>
      <c r="M93" s="1436">
        <f t="shared" si="30"/>
        <v>4280.8</v>
      </c>
      <c r="N93" s="1494"/>
      <c r="O93" s="1494">
        <v>770.29</v>
      </c>
      <c r="P93" s="1494"/>
      <c r="Q93" s="947">
        <f t="shared" si="31"/>
        <v>5051.09</v>
      </c>
      <c r="R93" s="1494"/>
      <c r="S93" s="1494">
        <v>495.81000000000006</v>
      </c>
      <c r="T93" s="1494"/>
      <c r="U93" s="2555">
        <f t="shared" si="45"/>
        <v>5546.9000000000005</v>
      </c>
      <c r="V93" s="1494"/>
      <c r="W93" s="2941">
        <v>647.19999999999993</v>
      </c>
      <c r="X93" s="236"/>
      <c r="Y93" s="1436">
        <f t="shared" si="46"/>
        <v>1913.2999999999997</v>
      </c>
      <c r="Z93" s="2941"/>
      <c r="AA93" s="660">
        <f t="shared" si="47"/>
        <v>6194.1</v>
      </c>
      <c r="AB93" s="2941"/>
      <c r="AC93" s="2941">
        <v>862.15999999999985</v>
      </c>
      <c r="AD93" s="2941"/>
      <c r="AE93" s="3615">
        <f t="shared" si="60"/>
        <v>7056.26</v>
      </c>
      <c r="AF93" s="2941"/>
      <c r="AG93" s="2941">
        <v>956.32</v>
      </c>
      <c r="AH93" s="2941"/>
      <c r="AI93" s="3615">
        <f t="shared" si="61"/>
        <v>8012.58</v>
      </c>
      <c r="AJ93" s="2941"/>
      <c r="AK93" s="2941">
        <v>531.21</v>
      </c>
      <c r="AL93" s="2941"/>
      <c r="AM93" s="1436">
        <f t="shared" si="48"/>
        <v>2349.69</v>
      </c>
      <c r="AN93" s="2941"/>
      <c r="AO93" s="3615">
        <f t="shared" si="51"/>
        <v>8543.7900000000009</v>
      </c>
      <c r="AP93" s="2941"/>
      <c r="AQ93" s="2941"/>
      <c r="AR93" s="2941"/>
      <c r="AS93" s="3615">
        <f t="shared" si="62"/>
        <v>8543.7900000000009</v>
      </c>
      <c r="AT93" s="2941"/>
      <c r="AU93" s="2941"/>
      <c r="AV93" s="2941"/>
      <c r="AW93" s="452">
        <f t="shared" si="63"/>
        <v>8543.7900000000009</v>
      </c>
      <c r="AX93" s="2941"/>
      <c r="AY93" s="2941"/>
      <c r="AZ93" s="2941"/>
      <c r="BA93" s="1436">
        <f t="shared" si="49"/>
        <v>0</v>
      </c>
      <c r="BB93" s="2941"/>
      <c r="BC93" s="660">
        <f t="shared" si="50"/>
        <v>2349.69</v>
      </c>
      <c r="BD93" s="2941"/>
      <c r="BE93" s="452">
        <f t="shared" si="64"/>
        <v>8543.7900000000009</v>
      </c>
      <c r="BF93" s="26"/>
      <c r="BG93" s="26"/>
    </row>
    <row r="94" spans="1:60" s="3399" customFormat="1" ht="15.75" customHeight="1" x14ac:dyDescent="0.25">
      <c r="A94" s="183"/>
      <c r="B94" s="8" t="s">
        <v>1802</v>
      </c>
      <c r="C94" s="193" t="s">
        <v>361</v>
      </c>
      <c r="D94" s="720"/>
      <c r="E94" s="2941"/>
      <c r="F94" s="2941"/>
      <c r="G94" s="2941"/>
      <c r="H94" s="2261"/>
      <c r="I94" s="2261">
        <f t="shared" ref="I94:I97" si="65">+E94+G94</f>
        <v>0</v>
      </c>
      <c r="J94" s="2941"/>
      <c r="K94" s="2941"/>
      <c r="L94" s="236"/>
      <c r="M94" s="1436">
        <f t="shared" si="30"/>
        <v>0</v>
      </c>
      <c r="N94" s="2941"/>
      <c r="O94" s="2941"/>
      <c r="P94" s="2941"/>
      <c r="Q94" s="3390">
        <f t="shared" si="31"/>
        <v>0</v>
      </c>
      <c r="R94" s="2941"/>
      <c r="S94" s="2941"/>
      <c r="T94" s="2941"/>
      <c r="U94" s="3390">
        <f t="shared" si="45"/>
        <v>0</v>
      </c>
      <c r="V94" s="2941"/>
      <c r="W94" s="2941">
        <v>311</v>
      </c>
      <c r="X94" s="236"/>
      <c r="Y94" s="1436">
        <f t="shared" si="46"/>
        <v>311</v>
      </c>
      <c r="Z94" s="2941"/>
      <c r="AA94" s="660">
        <f t="shared" si="47"/>
        <v>311</v>
      </c>
      <c r="AB94" s="2941"/>
      <c r="AC94" s="2941"/>
      <c r="AD94" s="2941"/>
      <c r="AE94" s="3615">
        <f t="shared" si="60"/>
        <v>311</v>
      </c>
      <c r="AF94" s="2941"/>
      <c r="AG94" s="2941"/>
      <c r="AH94" s="2941"/>
      <c r="AI94" s="3615">
        <f t="shared" si="61"/>
        <v>311</v>
      </c>
      <c r="AJ94" s="2941"/>
      <c r="AK94" s="2941"/>
      <c r="AL94" s="2941"/>
      <c r="AM94" s="1436">
        <f t="shared" si="48"/>
        <v>0</v>
      </c>
      <c r="AN94" s="2941"/>
      <c r="AO94" s="3615">
        <f t="shared" si="51"/>
        <v>311</v>
      </c>
      <c r="AP94" s="2941"/>
      <c r="AQ94" s="2941"/>
      <c r="AR94" s="2941"/>
      <c r="AS94" s="3615">
        <f t="shared" si="62"/>
        <v>311</v>
      </c>
      <c r="AT94" s="2941"/>
      <c r="AU94" s="2941"/>
      <c r="AV94" s="2941"/>
      <c r="AW94" s="452">
        <f t="shared" si="63"/>
        <v>311</v>
      </c>
      <c r="AX94" s="2941"/>
      <c r="AY94" s="2941"/>
      <c r="AZ94" s="2941"/>
      <c r="BA94" s="1436">
        <f t="shared" si="49"/>
        <v>0</v>
      </c>
      <c r="BB94" s="2941"/>
      <c r="BC94" s="660">
        <f t="shared" si="50"/>
        <v>0</v>
      </c>
      <c r="BD94" s="2941"/>
      <c r="BE94" s="452">
        <f t="shared" si="64"/>
        <v>311</v>
      </c>
      <c r="BF94" s="26"/>
      <c r="BG94" s="26"/>
    </row>
    <row r="95" spans="1:60" s="3399" customFormat="1" ht="15.75" customHeight="1" x14ac:dyDescent="0.25">
      <c r="A95" s="183"/>
      <c r="B95" s="8" t="s">
        <v>1804</v>
      </c>
      <c r="C95" s="193" t="s">
        <v>361</v>
      </c>
      <c r="D95" s="720"/>
      <c r="E95" s="2941"/>
      <c r="F95" s="2941"/>
      <c r="G95" s="2941"/>
      <c r="H95" s="2261"/>
      <c r="I95" s="2261">
        <f t="shared" si="65"/>
        <v>0</v>
      </c>
      <c r="J95" s="2941"/>
      <c r="K95" s="2941"/>
      <c r="L95" s="236"/>
      <c r="M95" s="1436">
        <f t="shared" si="30"/>
        <v>0</v>
      </c>
      <c r="N95" s="2941"/>
      <c r="O95" s="2941"/>
      <c r="P95" s="2941"/>
      <c r="Q95" s="3390">
        <f t="shared" si="31"/>
        <v>0</v>
      </c>
      <c r="R95" s="2941"/>
      <c r="S95" s="2941"/>
      <c r="T95" s="2941"/>
      <c r="U95" s="3390">
        <f t="shared" si="45"/>
        <v>0</v>
      </c>
      <c r="V95" s="2941"/>
      <c r="W95" s="2941">
        <v>1.62</v>
      </c>
      <c r="X95" s="236"/>
      <c r="Y95" s="1436">
        <f t="shared" si="46"/>
        <v>1.62</v>
      </c>
      <c r="Z95" s="2941"/>
      <c r="AA95" s="660">
        <f t="shared" si="47"/>
        <v>1.62</v>
      </c>
      <c r="AB95" s="2941"/>
      <c r="AC95" s="2941">
        <v>0.87</v>
      </c>
      <c r="AD95" s="2941"/>
      <c r="AE95" s="3615">
        <f t="shared" si="60"/>
        <v>2.4900000000000002</v>
      </c>
      <c r="AF95" s="2941"/>
      <c r="AG95" s="2941"/>
      <c r="AH95" s="2941"/>
      <c r="AI95" s="3615">
        <f t="shared" si="61"/>
        <v>2.4900000000000002</v>
      </c>
      <c r="AJ95" s="2941"/>
      <c r="AK95" s="2941"/>
      <c r="AL95" s="2941"/>
      <c r="AM95" s="1436">
        <f t="shared" si="48"/>
        <v>0.87</v>
      </c>
      <c r="AN95" s="2941"/>
      <c r="AO95" s="3615">
        <f t="shared" si="51"/>
        <v>2.4900000000000002</v>
      </c>
      <c r="AP95" s="2941"/>
      <c r="AQ95" s="2941"/>
      <c r="AR95" s="2941"/>
      <c r="AS95" s="3615">
        <f t="shared" si="62"/>
        <v>2.4900000000000002</v>
      </c>
      <c r="AT95" s="2941"/>
      <c r="AU95" s="2941"/>
      <c r="AV95" s="2941"/>
      <c r="AW95" s="452">
        <f t="shared" si="63"/>
        <v>2.4900000000000002</v>
      </c>
      <c r="AX95" s="2941"/>
      <c r="AY95" s="2941"/>
      <c r="AZ95" s="2941"/>
      <c r="BA95" s="1436">
        <f t="shared" si="49"/>
        <v>0</v>
      </c>
      <c r="BB95" s="2941"/>
      <c r="BC95" s="660">
        <f t="shared" si="50"/>
        <v>0.87</v>
      </c>
      <c r="BD95" s="2941"/>
      <c r="BE95" s="452">
        <f t="shared" si="64"/>
        <v>2.4900000000000002</v>
      </c>
      <c r="BF95" s="26"/>
      <c r="BG95" s="26"/>
    </row>
    <row r="96" spans="1:60" s="4221" customFormat="1" ht="15.75" customHeight="1" x14ac:dyDescent="0.25">
      <c r="A96" s="183"/>
      <c r="B96" s="8" t="s">
        <v>1875</v>
      </c>
      <c r="C96" s="193" t="s">
        <v>361</v>
      </c>
      <c r="D96" s="720"/>
      <c r="E96" s="2941"/>
      <c r="F96" s="2941"/>
      <c r="G96" s="2941"/>
      <c r="H96" s="2261"/>
      <c r="I96" s="2261"/>
      <c r="J96" s="2941"/>
      <c r="K96" s="2941"/>
      <c r="L96" s="236"/>
      <c r="M96" s="1436">
        <f t="shared" si="30"/>
        <v>0</v>
      </c>
      <c r="N96" s="2941"/>
      <c r="O96" s="2941"/>
      <c r="P96" s="2941"/>
      <c r="Q96" s="3615"/>
      <c r="R96" s="2941"/>
      <c r="S96" s="2941"/>
      <c r="T96" s="2941"/>
      <c r="U96" s="3615"/>
      <c r="V96" s="2941"/>
      <c r="W96" s="2941"/>
      <c r="X96" s="236"/>
      <c r="Y96" s="1436">
        <f t="shared" si="46"/>
        <v>0</v>
      </c>
      <c r="Z96" s="2941"/>
      <c r="AA96" s="660">
        <f t="shared" si="47"/>
        <v>0</v>
      </c>
      <c r="AB96" s="2941"/>
      <c r="AC96" s="2941"/>
      <c r="AD96" s="2941"/>
      <c r="AE96" s="3615">
        <f t="shared" si="60"/>
        <v>0</v>
      </c>
      <c r="AF96" s="2941"/>
      <c r="AG96" s="2941">
        <v>7.38</v>
      </c>
      <c r="AH96" s="2941"/>
      <c r="AI96" s="3615">
        <f t="shared" si="61"/>
        <v>7.38</v>
      </c>
      <c r="AJ96" s="2941"/>
      <c r="AK96" s="2941">
        <v>6.34</v>
      </c>
      <c r="AL96" s="2941"/>
      <c r="AM96" s="1436">
        <f t="shared" si="48"/>
        <v>13.719999999999999</v>
      </c>
      <c r="AN96" s="2941"/>
      <c r="AO96" s="3615">
        <f t="shared" si="51"/>
        <v>13.719999999999999</v>
      </c>
      <c r="AP96" s="2941"/>
      <c r="AQ96" s="2941">
        <v>7.26</v>
      </c>
      <c r="AR96" s="2941"/>
      <c r="AS96" s="3615">
        <f t="shared" si="62"/>
        <v>20.979999999999997</v>
      </c>
      <c r="AT96" s="2941"/>
      <c r="AU96" s="2941">
        <v>5.63</v>
      </c>
      <c r="AV96" s="2941"/>
      <c r="AW96" s="452">
        <f t="shared" si="63"/>
        <v>26.609999999999996</v>
      </c>
      <c r="AX96" s="2941"/>
      <c r="AY96" s="2941"/>
      <c r="AZ96" s="2941"/>
      <c r="BA96" s="1436">
        <f t="shared" si="49"/>
        <v>12.89</v>
      </c>
      <c r="BB96" s="2941"/>
      <c r="BC96" s="660">
        <f t="shared" si="50"/>
        <v>26.61</v>
      </c>
      <c r="BD96" s="2941"/>
      <c r="BE96" s="452">
        <f t="shared" si="64"/>
        <v>26.609999999999996</v>
      </c>
      <c r="BF96" s="26"/>
      <c r="BG96" s="26"/>
    </row>
    <row r="97" spans="1:59" ht="15.75" customHeight="1" x14ac:dyDescent="0.25">
      <c r="A97" s="183"/>
      <c r="B97" s="8" t="s">
        <v>1801</v>
      </c>
      <c r="C97" s="193" t="s">
        <v>361</v>
      </c>
      <c r="D97" s="720"/>
      <c r="E97" s="2941"/>
      <c r="F97" s="2941"/>
      <c r="G97" s="2941"/>
      <c r="H97" s="2261"/>
      <c r="I97" s="2261">
        <f t="shared" si="65"/>
        <v>0</v>
      </c>
      <c r="J97" s="2941"/>
      <c r="K97" s="2941"/>
      <c r="L97" s="236"/>
      <c r="M97" s="1436">
        <f t="shared" si="30"/>
        <v>0</v>
      </c>
      <c r="N97" s="2941"/>
      <c r="O97" s="2941"/>
      <c r="P97" s="2941"/>
      <c r="Q97" s="3390">
        <f t="shared" si="31"/>
        <v>0</v>
      </c>
      <c r="R97" s="2941"/>
      <c r="S97" s="2941"/>
      <c r="T97" s="2941"/>
      <c r="U97" s="3390">
        <f t="shared" si="45"/>
        <v>0</v>
      </c>
      <c r="V97" s="2941"/>
      <c r="W97" s="2941">
        <v>63.75</v>
      </c>
      <c r="X97" s="236"/>
      <c r="Y97" s="1436">
        <f t="shared" si="46"/>
        <v>63.75</v>
      </c>
      <c r="Z97" s="2941"/>
      <c r="AA97" s="660">
        <f t="shared" si="47"/>
        <v>63.75</v>
      </c>
      <c r="AB97" s="2941"/>
      <c r="AC97" s="2941">
        <v>34.06</v>
      </c>
      <c r="AD97" s="2941"/>
      <c r="AE97" s="3615">
        <f t="shared" si="60"/>
        <v>97.81</v>
      </c>
      <c r="AF97" s="2941"/>
      <c r="AG97" s="2941"/>
      <c r="AH97" s="2941"/>
      <c r="AI97" s="3615">
        <f t="shared" si="61"/>
        <v>97.81</v>
      </c>
      <c r="AJ97" s="2941"/>
      <c r="AK97" s="2941"/>
      <c r="AL97" s="2941"/>
      <c r="AM97" s="1436">
        <f t="shared" si="48"/>
        <v>34.06</v>
      </c>
      <c r="AN97" s="2941"/>
      <c r="AO97" s="3615">
        <f t="shared" si="51"/>
        <v>97.81</v>
      </c>
      <c r="AP97" s="2941"/>
      <c r="AQ97" s="2941"/>
      <c r="AR97" s="2941"/>
      <c r="AS97" s="3615">
        <f t="shared" si="62"/>
        <v>97.81</v>
      </c>
      <c r="AT97" s="2941"/>
      <c r="AU97" s="2941"/>
      <c r="AV97" s="2941"/>
      <c r="AW97" s="452">
        <f t="shared" si="63"/>
        <v>97.81</v>
      </c>
      <c r="AX97" s="2941"/>
      <c r="AY97" s="2941"/>
      <c r="AZ97" s="2941"/>
      <c r="BA97" s="1436">
        <f t="shared" si="49"/>
        <v>0</v>
      </c>
      <c r="BB97" s="2941"/>
      <c r="BC97" s="660">
        <f t="shared" si="50"/>
        <v>34.06</v>
      </c>
      <c r="BD97" s="2941"/>
      <c r="BE97" s="452">
        <f t="shared" si="64"/>
        <v>97.81</v>
      </c>
      <c r="BF97" s="26"/>
      <c r="BG97" s="26"/>
    </row>
    <row r="98" spans="1:59" x14ac:dyDescent="0.25">
      <c r="A98" s="183"/>
      <c r="B98" s="906" t="s">
        <v>1040</v>
      </c>
      <c r="C98" s="242" t="s">
        <v>361</v>
      </c>
      <c r="D98" s="1732"/>
      <c r="E98" s="1732">
        <f>+E99+E100</f>
        <v>549.29</v>
      </c>
      <c r="F98" s="1732"/>
      <c r="G98" s="1732">
        <f>+G99+G100</f>
        <v>599.23</v>
      </c>
      <c r="H98" s="2262"/>
      <c r="I98" s="2262">
        <f t="shared" si="44"/>
        <v>1148.52</v>
      </c>
      <c r="J98" s="1732"/>
      <c r="K98" s="1732">
        <f>+K99+K100</f>
        <v>778.25</v>
      </c>
      <c r="L98" s="1732"/>
      <c r="M98" s="3609">
        <f t="shared" si="30"/>
        <v>1926.77</v>
      </c>
      <c r="N98" s="1732"/>
      <c r="O98" s="1732">
        <f>+O99+O100</f>
        <v>4016.72</v>
      </c>
      <c r="P98" s="1732"/>
      <c r="Q98" s="1732">
        <f t="shared" si="31"/>
        <v>5943.49</v>
      </c>
      <c r="R98" s="1732"/>
      <c r="S98" s="1732">
        <f>+S99+S100</f>
        <v>272.59000000000003</v>
      </c>
      <c r="T98" s="1732"/>
      <c r="U98" s="1732">
        <f t="shared" si="45"/>
        <v>6216.08</v>
      </c>
      <c r="V98" s="1732"/>
      <c r="W98" s="1732">
        <f>+W99+W100</f>
        <v>226.35999999999999</v>
      </c>
      <c r="X98" s="1732"/>
      <c r="Y98" s="3609">
        <f t="shared" si="46"/>
        <v>4515.6699999999992</v>
      </c>
      <c r="Z98" s="1732"/>
      <c r="AA98" s="625">
        <f t="shared" si="47"/>
        <v>6442.4399999999987</v>
      </c>
      <c r="AB98" s="1732"/>
      <c r="AC98" s="1732">
        <f>+AC99+AC100</f>
        <v>199.6</v>
      </c>
      <c r="AD98" s="1732"/>
      <c r="AE98" s="1732">
        <f t="shared" si="60"/>
        <v>6642.0399999999991</v>
      </c>
      <c r="AF98" s="1732"/>
      <c r="AG98" s="1732">
        <f>+AG99+AG100</f>
        <v>199.59</v>
      </c>
      <c r="AH98" s="1732"/>
      <c r="AI98" s="1732">
        <f t="shared" si="61"/>
        <v>6841.6299999999992</v>
      </c>
      <c r="AJ98" s="1732"/>
      <c r="AK98" s="1732">
        <f>+AK99+AK100</f>
        <v>198.96</v>
      </c>
      <c r="AL98" s="1732"/>
      <c r="AM98" s="3609">
        <f t="shared" si="48"/>
        <v>598.15</v>
      </c>
      <c r="AN98" s="1732"/>
      <c r="AO98" s="1732">
        <f t="shared" si="51"/>
        <v>7040.5899999999992</v>
      </c>
      <c r="AP98" s="1732"/>
      <c r="AQ98" s="1732">
        <f>+AQ99+AQ100</f>
        <v>198.86</v>
      </c>
      <c r="AR98" s="1732"/>
      <c r="AS98" s="1732">
        <f t="shared" si="62"/>
        <v>7239.4499999999989</v>
      </c>
      <c r="AT98" s="1732"/>
      <c r="AU98" s="1732">
        <f>+AU99+AU100</f>
        <v>199.92</v>
      </c>
      <c r="AV98" s="1732"/>
      <c r="AW98" s="1732">
        <f t="shared" si="63"/>
        <v>7439.369999999999</v>
      </c>
      <c r="AX98" s="1732"/>
      <c r="AY98" s="1732">
        <f>+AY99+AY100</f>
        <v>97.73</v>
      </c>
      <c r="AZ98" s="1732"/>
      <c r="BA98" s="3609">
        <f t="shared" si="49"/>
        <v>496.51</v>
      </c>
      <c r="BB98" s="1732"/>
      <c r="BC98" s="625">
        <f t="shared" si="50"/>
        <v>1094.6599999999999</v>
      </c>
      <c r="BD98" s="1732"/>
      <c r="BE98" s="1732">
        <f t="shared" si="64"/>
        <v>7537.0999999999985</v>
      </c>
      <c r="BF98" s="26"/>
      <c r="BG98" s="26"/>
    </row>
    <row r="99" spans="1:59" ht="20.25" x14ac:dyDescent="0.25">
      <c r="A99" s="183"/>
      <c r="B99" s="907" t="s">
        <v>24</v>
      </c>
      <c r="C99" s="242" t="s">
        <v>361</v>
      </c>
      <c r="D99" s="719"/>
      <c r="E99" s="1494">
        <v>0</v>
      </c>
      <c r="F99" s="1494"/>
      <c r="G99" s="1494">
        <v>0</v>
      </c>
      <c r="H99" s="2261"/>
      <c r="I99" s="2261">
        <f t="shared" si="44"/>
        <v>0</v>
      </c>
      <c r="J99" s="1494"/>
      <c r="K99" s="1494">
        <v>0</v>
      </c>
      <c r="L99" s="236"/>
      <c r="M99" s="3609">
        <f t="shared" si="30"/>
        <v>0</v>
      </c>
      <c r="N99" s="1494"/>
      <c r="O99" s="1494"/>
      <c r="P99" s="1494"/>
      <c r="Q99" s="947">
        <f t="shared" si="31"/>
        <v>0</v>
      </c>
      <c r="R99" s="1494"/>
      <c r="S99" s="1494"/>
      <c r="T99" s="1494"/>
      <c r="U99" s="2555">
        <f t="shared" si="45"/>
        <v>0</v>
      </c>
      <c r="V99" s="1494"/>
      <c r="W99" s="2941"/>
      <c r="X99" s="236"/>
      <c r="Y99" s="3609">
        <f t="shared" si="46"/>
        <v>0</v>
      </c>
      <c r="Z99" s="2941"/>
      <c r="AA99" s="660">
        <f t="shared" si="47"/>
        <v>0</v>
      </c>
      <c r="AB99" s="2941"/>
      <c r="AC99" s="2941"/>
      <c r="AD99" s="2941"/>
      <c r="AE99" s="3615">
        <f t="shared" si="60"/>
        <v>0</v>
      </c>
      <c r="AF99" s="2941"/>
      <c r="AG99" s="2941">
        <v>0</v>
      </c>
      <c r="AH99" s="2941"/>
      <c r="AI99" s="3615">
        <f t="shared" si="61"/>
        <v>0</v>
      </c>
      <c r="AJ99" s="2941"/>
      <c r="AK99" s="2941"/>
      <c r="AL99" s="2941"/>
      <c r="AM99" s="3609">
        <f t="shared" si="48"/>
        <v>0</v>
      </c>
      <c r="AN99" s="2941"/>
      <c r="AO99" s="3615">
        <f t="shared" si="51"/>
        <v>0</v>
      </c>
      <c r="AP99" s="2941"/>
      <c r="AQ99" s="2941">
        <v>0</v>
      </c>
      <c r="AR99" s="2941"/>
      <c r="AS99" s="3615">
        <f t="shared" si="62"/>
        <v>0</v>
      </c>
      <c r="AT99" s="2941"/>
      <c r="AU99" s="2941"/>
      <c r="AV99" s="2941"/>
      <c r="AW99" s="452">
        <f t="shared" si="63"/>
        <v>0</v>
      </c>
      <c r="AX99" s="2941"/>
      <c r="AY99" s="2941"/>
      <c r="AZ99" s="2941"/>
      <c r="BA99" s="3609">
        <f t="shared" si="49"/>
        <v>0</v>
      </c>
      <c r="BB99" s="2941"/>
      <c r="BC99" s="660">
        <f t="shared" si="50"/>
        <v>0</v>
      </c>
      <c r="BD99" s="2941"/>
      <c r="BE99" s="452">
        <f t="shared" si="64"/>
        <v>0</v>
      </c>
      <c r="BF99" s="26"/>
      <c r="BG99" s="26"/>
    </row>
    <row r="100" spans="1:59" ht="20.25" x14ac:dyDescent="0.25">
      <c r="B100" s="907" t="s">
        <v>25</v>
      </c>
      <c r="C100" s="242" t="s">
        <v>361</v>
      </c>
      <c r="D100" s="719"/>
      <c r="E100" s="1494">
        <v>549.29</v>
      </c>
      <c r="F100" s="1494"/>
      <c r="G100" s="1494">
        <v>599.23</v>
      </c>
      <c r="H100" s="2261"/>
      <c r="I100" s="2261">
        <f t="shared" si="44"/>
        <v>1148.52</v>
      </c>
      <c r="J100" s="1494"/>
      <c r="K100" s="1494">
        <v>778.25</v>
      </c>
      <c r="L100" s="236"/>
      <c r="M100" s="3609">
        <f t="shared" si="30"/>
        <v>1926.77</v>
      </c>
      <c r="N100" s="1494"/>
      <c r="O100" s="1494">
        <v>4016.72</v>
      </c>
      <c r="P100" s="1494"/>
      <c r="Q100" s="947">
        <f t="shared" si="31"/>
        <v>5943.49</v>
      </c>
      <c r="R100" s="1494"/>
      <c r="S100" s="2627">
        <v>272.59000000000003</v>
      </c>
      <c r="T100" s="1494"/>
      <c r="U100" s="2555">
        <f t="shared" si="45"/>
        <v>6216.08</v>
      </c>
      <c r="V100" s="1494"/>
      <c r="W100" s="2627">
        <v>226.35999999999999</v>
      </c>
      <c r="X100" s="236"/>
      <c r="Y100" s="3609">
        <f t="shared" si="46"/>
        <v>4515.6699999999992</v>
      </c>
      <c r="Z100" s="2941"/>
      <c r="AA100" s="660">
        <f t="shared" si="47"/>
        <v>6442.4399999999987</v>
      </c>
      <c r="AB100" s="2941"/>
      <c r="AC100" s="2627">
        <v>199.6</v>
      </c>
      <c r="AD100" s="2941"/>
      <c r="AE100" s="3615">
        <f t="shared" si="60"/>
        <v>6642.0399999999991</v>
      </c>
      <c r="AF100" s="2941"/>
      <c r="AG100" s="2627">
        <v>199.59</v>
      </c>
      <c r="AH100" s="2941"/>
      <c r="AI100" s="3615">
        <f t="shared" si="61"/>
        <v>6841.6299999999992</v>
      </c>
      <c r="AJ100" s="2941"/>
      <c r="AK100" s="2627">
        <v>198.96</v>
      </c>
      <c r="AL100" s="2941"/>
      <c r="AM100" s="3609">
        <f t="shared" si="48"/>
        <v>598.15</v>
      </c>
      <c r="AN100" s="2941"/>
      <c r="AO100" s="3615">
        <f t="shared" si="51"/>
        <v>7040.5899999999992</v>
      </c>
      <c r="AP100" s="2941"/>
      <c r="AQ100" s="2627">
        <v>198.86</v>
      </c>
      <c r="AR100" s="2941"/>
      <c r="AS100" s="3615">
        <f t="shared" si="62"/>
        <v>7239.4499999999989</v>
      </c>
      <c r="AT100" s="2941"/>
      <c r="AU100" s="2627">
        <v>199.92</v>
      </c>
      <c r="AV100" s="2941"/>
      <c r="AW100" s="452">
        <f t="shared" si="63"/>
        <v>7439.369999999999</v>
      </c>
      <c r="AX100" s="2941"/>
      <c r="AY100" s="2627">
        <v>97.73</v>
      </c>
      <c r="AZ100" s="2941"/>
      <c r="BA100" s="3609">
        <f t="shared" si="49"/>
        <v>496.51</v>
      </c>
      <c r="BB100" s="2941"/>
      <c r="BC100" s="660">
        <f t="shared" si="50"/>
        <v>1094.6599999999999</v>
      </c>
      <c r="BD100" s="2941"/>
      <c r="BE100" s="452">
        <f t="shared" si="64"/>
        <v>7537.0999999999985</v>
      </c>
      <c r="BF100" s="26"/>
      <c r="BG100" s="26"/>
    </row>
    <row r="101" spans="1:59" ht="20.25" customHeight="1" x14ac:dyDescent="0.25">
      <c r="A101" s="183"/>
      <c r="B101" s="905" t="s">
        <v>826</v>
      </c>
      <c r="C101" s="242"/>
      <c r="D101" s="719"/>
      <c r="E101" s="1411"/>
      <c r="F101" s="1411"/>
      <c r="G101" s="1411"/>
      <c r="H101" s="2261"/>
      <c r="I101" s="2261"/>
      <c r="J101" s="1411"/>
      <c r="K101" s="1411"/>
      <c r="L101" s="1416"/>
      <c r="M101" s="3609"/>
      <c r="N101" s="1411"/>
      <c r="O101" s="1411"/>
      <c r="P101" s="1411"/>
      <c r="Q101" s="947"/>
      <c r="R101" s="1411"/>
      <c r="S101" s="1411"/>
      <c r="T101" s="1411"/>
      <c r="U101" s="2555"/>
      <c r="V101" s="1411"/>
      <c r="W101" s="3391"/>
      <c r="X101" s="1416"/>
      <c r="Y101" s="3609">
        <f t="shared" si="46"/>
        <v>0</v>
      </c>
      <c r="Z101" s="3616"/>
      <c r="AA101" s="660">
        <f t="shared" si="47"/>
        <v>0</v>
      </c>
      <c r="AB101" s="3616"/>
      <c r="AC101" s="3616"/>
      <c r="AD101" s="3616"/>
      <c r="AE101" s="3615">
        <f t="shared" si="60"/>
        <v>0</v>
      </c>
      <c r="AF101" s="3616"/>
      <c r="AG101" s="3616"/>
      <c r="AH101" s="3616"/>
      <c r="AI101" s="3615">
        <f t="shared" si="61"/>
        <v>0</v>
      </c>
      <c r="AJ101" s="3616"/>
      <c r="AK101" s="3616"/>
      <c r="AL101" s="3616"/>
      <c r="AM101" s="3609">
        <f t="shared" si="48"/>
        <v>0</v>
      </c>
      <c r="AN101" s="3616"/>
      <c r="AO101" s="3615">
        <f t="shared" si="51"/>
        <v>0</v>
      </c>
      <c r="AP101" s="3616"/>
      <c r="AQ101" s="3616"/>
      <c r="AR101" s="3616"/>
      <c r="AS101" s="3615">
        <f t="shared" si="62"/>
        <v>0</v>
      </c>
      <c r="AT101" s="3616"/>
      <c r="AU101" s="3616"/>
      <c r="AV101" s="3616"/>
      <c r="AW101" s="452">
        <f t="shared" si="63"/>
        <v>0</v>
      </c>
      <c r="AX101" s="3616"/>
      <c r="AY101" s="3616"/>
      <c r="AZ101" s="3616"/>
      <c r="BA101" s="3609">
        <f t="shared" si="49"/>
        <v>0</v>
      </c>
      <c r="BB101" s="3616"/>
      <c r="BC101" s="660">
        <f t="shared" si="50"/>
        <v>0</v>
      </c>
      <c r="BD101" s="3616"/>
      <c r="BE101" s="452">
        <f t="shared" si="64"/>
        <v>0</v>
      </c>
      <c r="BF101" s="26"/>
      <c r="BG101" s="26"/>
    </row>
    <row r="102" spans="1:59" x14ac:dyDescent="0.25">
      <c r="B102" s="325" t="s">
        <v>827</v>
      </c>
      <c r="C102" s="193" t="s">
        <v>361</v>
      </c>
      <c r="D102" s="720"/>
      <c r="E102" s="1494">
        <v>46.783000000000001</v>
      </c>
      <c r="F102" s="1494"/>
      <c r="G102" s="1494">
        <v>44.37</v>
      </c>
      <c r="H102" s="2261"/>
      <c r="I102" s="2261">
        <f t="shared" si="44"/>
        <v>91.152999999999992</v>
      </c>
      <c r="J102" s="1494"/>
      <c r="K102" s="1494">
        <v>35.241</v>
      </c>
      <c r="L102" s="236"/>
      <c r="M102" s="3609">
        <f t="shared" si="30"/>
        <v>126.39399999999999</v>
      </c>
      <c r="N102" s="1494"/>
      <c r="O102" s="1494">
        <v>33.54</v>
      </c>
      <c r="P102" s="1494"/>
      <c r="Q102" s="947">
        <f t="shared" si="31"/>
        <v>159.934</v>
      </c>
      <c r="R102" s="1494"/>
      <c r="S102" s="1494">
        <v>36.94</v>
      </c>
      <c r="T102" s="1494"/>
      <c r="U102" s="2555">
        <f t="shared" si="45"/>
        <v>196.874</v>
      </c>
      <c r="V102" s="1494"/>
      <c r="W102" s="2941">
        <v>37.762999999999998</v>
      </c>
      <c r="X102" s="236"/>
      <c r="Y102" s="3609">
        <f t="shared" si="46"/>
        <v>108.24299999999999</v>
      </c>
      <c r="Z102" s="2941"/>
      <c r="AA102" s="660">
        <f t="shared" si="47"/>
        <v>234.637</v>
      </c>
      <c r="AB102" s="2941"/>
      <c r="AC102" s="2941">
        <v>40.216000000000001</v>
      </c>
      <c r="AD102" s="2941"/>
      <c r="AE102" s="3615">
        <f t="shared" ref="AE102:AE103" si="66">+AA102+AC102</f>
        <v>274.85300000000001</v>
      </c>
      <c r="AF102" s="2941"/>
      <c r="AG102" s="2941">
        <v>48.143999999999998</v>
      </c>
      <c r="AH102" s="2941"/>
      <c r="AI102" s="3615">
        <f t="shared" si="61"/>
        <v>322.99700000000001</v>
      </c>
      <c r="AJ102" s="2941"/>
      <c r="AK102" s="2941">
        <v>43.030999999999999</v>
      </c>
      <c r="AL102" s="2941"/>
      <c r="AM102" s="3609">
        <f t="shared" si="48"/>
        <v>131.39099999999999</v>
      </c>
      <c r="AN102" s="2941"/>
      <c r="AO102" s="3615">
        <f t="shared" si="51"/>
        <v>366.02800000000002</v>
      </c>
      <c r="AP102" s="2941"/>
      <c r="AQ102" s="2941">
        <v>45.13</v>
      </c>
      <c r="AR102" s="2941"/>
      <c r="AS102" s="3615">
        <f t="shared" si="62"/>
        <v>411.15800000000002</v>
      </c>
      <c r="AT102" s="2941"/>
      <c r="AU102" s="2941">
        <v>47.167000000000002</v>
      </c>
      <c r="AV102" s="2941"/>
      <c r="AW102" s="452">
        <f t="shared" si="63"/>
        <v>458.32500000000005</v>
      </c>
      <c r="AX102" s="2941"/>
      <c r="AY102" s="2941">
        <v>46.3</v>
      </c>
      <c r="AZ102" s="2941"/>
      <c r="BA102" s="3609">
        <f t="shared" si="49"/>
        <v>138.59699999999998</v>
      </c>
      <c r="BB102" s="2941"/>
      <c r="BC102" s="660">
        <f t="shared" si="50"/>
        <v>269.98799999999994</v>
      </c>
      <c r="BD102" s="2941"/>
      <c r="BE102" s="452">
        <f t="shared" si="64"/>
        <v>504.62500000000006</v>
      </c>
      <c r="BF102" s="26"/>
      <c r="BG102" s="26"/>
    </row>
    <row r="103" spans="1:59" x14ac:dyDescent="0.25">
      <c r="A103" s="183"/>
      <c r="B103" s="2622" t="s">
        <v>1349</v>
      </c>
      <c r="C103" s="193" t="s">
        <v>361</v>
      </c>
      <c r="D103" s="720"/>
      <c r="E103" s="1494">
        <v>39541.559999999954</v>
      </c>
      <c r="F103" s="1494"/>
      <c r="G103" s="1494">
        <v>69202.36</v>
      </c>
      <c r="H103" s="2261"/>
      <c r="I103" s="2261">
        <f>+E103+G103</f>
        <v>108743.91999999995</v>
      </c>
      <c r="J103" s="1494"/>
      <c r="K103" s="1494">
        <v>42122.9</v>
      </c>
      <c r="L103" s="236"/>
      <c r="M103" s="3609">
        <f t="shared" si="30"/>
        <v>150866.81999999995</v>
      </c>
      <c r="N103" s="1494"/>
      <c r="O103" s="1494">
        <v>80044.06</v>
      </c>
      <c r="P103" s="1494"/>
      <c r="Q103" s="947">
        <f t="shared" si="31"/>
        <v>230910.87999999995</v>
      </c>
      <c r="R103" s="1494"/>
      <c r="S103" s="1494">
        <v>60994.370000000039</v>
      </c>
      <c r="T103" s="1494"/>
      <c r="U103" s="2555">
        <f t="shared" ref="U103" si="67">+Q103+S103</f>
        <v>291905.25</v>
      </c>
      <c r="V103" s="1494"/>
      <c r="W103" s="2941">
        <v>60281.960000000065</v>
      </c>
      <c r="X103" s="236"/>
      <c r="Y103" s="3609">
        <f t="shared" si="46"/>
        <v>201320.39000000013</v>
      </c>
      <c r="Z103" s="2941"/>
      <c r="AA103" s="660">
        <f t="shared" si="47"/>
        <v>352187.21000000008</v>
      </c>
      <c r="AB103" s="2941"/>
      <c r="AC103" s="2941">
        <v>27090.890000000003</v>
      </c>
      <c r="AD103" s="2941"/>
      <c r="AE103" s="3615">
        <f t="shared" si="66"/>
        <v>379278.10000000009</v>
      </c>
      <c r="AF103" s="2941"/>
      <c r="AG103" s="2941">
        <v>40203.550000000003</v>
      </c>
      <c r="AH103" s="2941"/>
      <c r="AI103" s="3615">
        <f t="shared" si="61"/>
        <v>419481.65000000008</v>
      </c>
      <c r="AJ103" s="2941"/>
      <c r="AK103" s="2941">
        <v>43938.85</v>
      </c>
      <c r="AL103" s="2941"/>
      <c r="AM103" s="3609">
        <f t="shared" si="48"/>
        <v>111233.29000000001</v>
      </c>
      <c r="AN103" s="2941"/>
      <c r="AO103" s="3615">
        <f t="shared" si="51"/>
        <v>463420.50000000006</v>
      </c>
      <c r="AP103" s="2941"/>
      <c r="AQ103" s="2941">
        <v>30507.420000000027</v>
      </c>
      <c r="AR103" s="2941"/>
      <c r="AS103" s="3615">
        <f t="shared" si="62"/>
        <v>493927.9200000001</v>
      </c>
      <c r="AT103" s="2941"/>
      <c r="AU103" s="2941">
        <v>27759.25</v>
      </c>
      <c r="AV103" s="2941"/>
      <c r="AW103" s="452">
        <f t="shared" si="63"/>
        <v>521687.1700000001</v>
      </c>
      <c r="AX103" s="2941"/>
      <c r="AY103" s="2941">
        <v>41773.629999999997</v>
      </c>
      <c r="AZ103" s="2941"/>
      <c r="BA103" s="3609">
        <f t="shared" si="49"/>
        <v>100040.30000000002</v>
      </c>
      <c r="BB103" s="2941"/>
      <c r="BC103" s="660">
        <f t="shared" si="50"/>
        <v>211273.59000000003</v>
      </c>
      <c r="BD103" s="2941"/>
      <c r="BE103" s="452">
        <f t="shared" si="64"/>
        <v>563460.80000000005</v>
      </c>
      <c r="BF103" s="26"/>
      <c r="BG103" s="26"/>
    </row>
    <row r="104" spans="1:59" x14ac:dyDescent="0.25">
      <c r="A104" s="183"/>
      <c r="B104" s="906" t="s">
        <v>961</v>
      </c>
      <c r="C104" s="242"/>
      <c r="D104" s="2150"/>
      <c r="E104" s="1732">
        <f>+E105+E106+E108+E107</f>
        <v>38121.040000000015</v>
      </c>
      <c r="F104" s="1732"/>
      <c r="G104" s="1732">
        <f>+G105+G106+G108+G107</f>
        <v>12356.39</v>
      </c>
      <c r="H104" s="2262"/>
      <c r="I104" s="2262">
        <f t="shared" ref="I104" si="68">+I105+I106+I108+I107</f>
        <v>50477.430000000015</v>
      </c>
      <c r="J104" s="1732"/>
      <c r="K104" s="1732">
        <f>+K105+K106+K108+K107</f>
        <v>32244.83</v>
      </c>
      <c r="L104" s="1732"/>
      <c r="M104" s="3609">
        <f t="shared" si="30"/>
        <v>82722.260000000009</v>
      </c>
      <c r="N104" s="1732"/>
      <c r="O104" s="1732">
        <f>+O105+O106+O108+O107</f>
        <v>13018.079999999998</v>
      </c>
      <c r="P104" s="1732"/>
      <c r="Q104" s="1732">
        <f t="shared" si="31"/>
        <v>95740.340000000011</v>
      </c>
      <c r="R104" s="1732"/>
      <c r="S104" s="1732">
        <f t="shared" ref="S104" si="69">+S105+S106+S108+S107</f>
        <v>21865.640000000003</v>
      </c>
      <c r="T104" s="1732">
        <f t="shared" ref="T104" si="70">+T105+T106+T108+T107</f>
        <v>0</v>
      </c>
      <c r="U104" s="1732">
        <f t="shared" ref="U104" si="71">+U105+U106+U108+U107</f>
        <v>117605.98000000003</v>
      </c>
      <c r="V104" s="1732">
        <f t="shared" ref="V104:W104" si="72">+V105+V106+V108+V107</f>
        <v>0</v>
      </c>
      <c r="W104" s="1732">
        <f t="shared" si="72"/>
        <v>8808.1600000000017</v>
      </c>
      <c r="X104" s="1732"/>
      <c r="Y104" s="3609">
        <f t="shared" si="46"/>
        <v>43691.880000000005</v>
      </c>
      <c r="Z104" s="1732"/>
      <c r="AA104" s="625">
        <f t="shared" si="47"/>
        <v>126414.14000000001</v>
      </c>
      <c r="AB104" s="1732"/>
      <c r="AC104" s="1732">
        <f t="shared" ref="AC104:AE104" si="73">+AC105+AC106+AC108+AC107</f>
        <v>26340.199999999997</v>
      </c>
      <c r="AD104" s="1732">
        <f t="shared" si="73"/>
        <v>0</v>
      </c>
      <c r="AE104" s="1732">
        <f t="shared" si="73"/>
        <v>152754.34000000003</v>
      </c>
      <c r="AF104" s="1732"/>
      <c r="AG104" s="1732">
        <f t="shared" ref="AG104:AK104" si="74">+AG105+AG106+AG108+AG107</f>
        <v>17873.509999999998</v>
      </c>
      <c r="AH104" s="1732">
        <f t="shared" si="74"/>
        <v>0</v>
      </c>
      <c r="AI104" s="1732">
        <f t="shared" si="74"/>
        <v>170627.85000000003</v>
      </c>
      <c r="AJ104" s="1732">
        <f t="shared" si="74"/>
        <v>0</v>
      </c>
      <c r="AK104" s="1732">
        <f t="shared" si="74"/>
        <v>27925.57</v>
      </c>
      <c r="AL104" s="1732"/>
      <c r="AM104" s="3609">
        <f t="shared" si="48"/>
        <v>72139.28</v>
      </c>
      <c r="AN104" s="1732">
        <f t="shared" ref="AN104" si="75">+AN105+AN106+AN108+AN107</f>
        <v>0</v>
      </c>
      <c r="AO104" s="1732">
        <f t="shared" si="51"/>
        <v>198553.42000000004</v>
      </c>
      <c r="AP104" s="1732"/>
      <c r="AQ104" s="1732">
        <f t="shared" ref="AQ104:AS104" si="76">+AQ105+AQ106+AQ108+AQ107</f>
        <v>10078.159999999996</v>
      </c>
      <c r="AR104" s="1732">
        <f t="shared" si="76"/>
        <v>0</v>
      </c>
      <c r="AS104" s="1732">
        <f t="shared" si="76"/>
        <v>208631.58000000005</v>
      </c>
      <c r="AT104" s="1732"/>
      <c r="AU104" s="1732">
        <f t="shared" ref="AU104:AW104" si="77">+AU105+AU106+AU108+AU107</f>
        <v>9504.33</v>
      </c>
      <c r="AV104" s="1732">
        <f t="shared" si="77"/>
        <v>0</v>
      </c>
      <c r="AW104" s="1732">
        <f t="shared" si="77"/>
        <v>218135.91000000006</v>
      </c>
      <c r="AX104" s="1732"/>
      <c r="AY104" s="1732">
        <f t="shared" ref="AY104:BE104" si="78">+AY105+AY106+AY108+AY107</f>
        <v>13100.77</v>
      </c>
      <c r="AZ104" s="1732"/>
      <c r="BA104" s="3609">
        <f t="shared" si="49"/>
        <v>32683.26</v>
      </c>
      <c r="BB104" s="1732"/>
      <c r="BC104" s="625">
        <f t="shared" si="50"/>
        <v>104822.54</v>
      </c>
      <c r="BD104" s="1732">
        <f t="shared" si="78"/>
        <v>0</v>
      </c>
      <c r="BE104" s="1732">
        <f t="shared" si="78"/>
        <v>231236.68000000002</v>
      </c>
      <c r="BF104" s="26"/>
      <c r="BG104" s="26"/>
    </row>
    <row r="105" spans="1:59" x14ac:dyDescent="0.25">
      <c r="B105" s="8" t="s">
        <v>999</v>
      </c>
      <c r="C105" s="193" t="s">
        <v>361</v>
      </c>
      <c r="D105" s="720"/>
      <c r="E105" s="1411">
        <v>3599.5699999999997</v>
      </c>
      <c r="F105" s="1411"/>
      <c r="G105" s="1411"/>
      <c r="H105" s="2261"/>
      <c r="I105" s="2261">
        <f t="shared" si="44"/>
        <v>3599.5699999999997</v>
      </c>
      <c r="J105" s="1411"/>
      <c r="K105" s="1411">
        <v>2822.76</v>
      </c>
      <c r="L105" s="1416"/>
      <c r="M105" s="3609">
        <f t="shared" ref="M105:M112" si="79">+E105+G105+K105</f>
        <v>6422.33</v>
      </c>
      <c r="N105" s="1411"/>
      <c r="O105" s="1411">
        <v>5175.57</v>
      </c>
      <c r="P105" s="1411"/>
      <c r="Q105" s="947">
        <f t="shared" ref="Q105:Q112" si="80">+M105+O105</f>
        <v>11597.9</v>
      </c>
      <c r="R105" s="1411"/>
      <c r="S105" s="1411">
        <v>4999.3300000000008</v>
      </c>
      <c r="T105" s="1411"/>
      <c r="U105" s="2555">
        <f t="shared" si="45"/>
        <v>16597.23</v>
      </c>
      <c r="V105" s="1411"/>
      <c r="W105" s="3391"/>
      <c r="X105" s="1416"/>
      <c r="Y105" s="3609">
        <f t="shared" si="46"/>
        <v>10174.900000000001</v>
      </c>
      <c r="Z105" s="3616"/>
      <c r="AA105" s="660">
        <f t="shared" si="47"/>
        <v>16597.230000000003</v>
      </c>
      <c r="AB105" s="3616"/>
      <c r="AC105" s="3616">
        <v>12178.010000000006</v>
      </c>
      <c r="AD105" s="3616"/>
      <c r="AE105" s="3615">
        <f t="shared" ref="AE105:AE108" si="81">+AA105+AC105</f>
        <v>28775.240000000009</v>
      </c>
      <c r="AF105" s="3616"/>
      <c r="AG105" s="3616"/>
      <c r="AH105" s="3616"/>
      <c r="AI105" s="3615">
        <f t="shared" ref="AI105:AI108" si="82">+AE105+AG105</f>
        <v>28775.240000000009</v>
      </c>
      <c r="AJ105" s="3616"/>
      <c r="AK105" s="3616">
        <v>2835.77</v>
      </c>
      <c r="AL105" s="3616"/>
      <c r="AM105" s="3609">
        <f t="shared" si="48"/>
        <v>15013.780000000006</v>
      </c>
      <c r="AN105" s="3616"/>
      <c r="AO105" s="3615">
        <f t="shared" si="51"/>
        <v>31611.010000000009</v>
      </c>
      <c r="AP105" s="3616"/>
      <c r="AQ105" s="3616">
        <v>3358.4799999999991</v>
      </c>
      <c r="AR105" s="3616"/>
      <c r="AS105" s="5376">
        <f t="shared" ref="AS105:AS108" si="83">+AO105+AQ105</f>
        <v>34969.490000000005</v>
      </c>
      <c r="AT105" s="3616"/>
      <c r="AU105" s="3616">
        <v>3166.76</v>
      </c>
      <c r="AV105" s="3616"/>
      <c r="AW105" s="452">
        <f t="shared" ref="AW105:AW108" si="84">+AS105+AU105</f>
        <v>38136.250000000007</v>
      </c>
      <c r="AX105" s="3616"/>
      <c r="AY105" s="3616">
        <v>5634.05</v>
      </c>
      <c r="AZ105" s="3616"/>
      <c r="BA105" s="3609">
        <f t="shared" si="49"/>
        <v>12159.29</v>
      </c>
      <c r="BB105" s="3616"/>
      <c r="BC105" s="660">
        <f t="shared" si="50"/>
        <v>27173.070000000007</v>
      </c>
      <c r="BD105" s="3616"/>
      <c r="BE105" s="452">
        <f t="shared" ref="BE105:BE108" si="85">+AW105+AY105</f>
        <v>43770.30000000001</v>
      </c>
      <c r="BF105" s="26"/>
      <c r="BG105" s="26"/>
    </row>
    <row r="106" spans="1:59" x14ac:dyDescent="0.25">
      <c r="A106" s="183"/>
      <c r="B106" s="8" t="s">
        <v>1344</v>
      </c>
      <c r="C106" s="193" t="s">
        <v>361</v>
      </c>
      <c r="D106" s="720"/>
      <c r="E106" s="1411">
        <v>6017.2599999999975</v>
      </c>
      <c r="F106" s="1411"/>
      <c r="G106" s="1411"/>
      <c r="H106" s="2261"/>
      <c r="I106" s="2261">
        <f t="shared" si="44"/>
        <v>6017.2599999999975</v>
      </c>
      <c r="J106" s="1411"/>
      <c r="K106" s="1411">
        <v>4999.01</v>
      </c>
      <c r="L106" s="1416"/>
      <c r="M106" s="3609">
        <f t="shared" si="79"/>
        <v>11016.269999999997</v>
      </c>
      <c r="N106" s="1411"/>
      <c r="O106" s="1411">
        <v>2991.32</v>
      </c>
      <c r="P106" s="1411"/>
      <c r="Q106" s="947">
        <f t="shared" si="80"/>
        <v>14007.589999999997</v>
      </c>
      <c r="R106" s="1411"/>
      <c r="S106" s="1411">
        <v>8.66</v>
      </c>
      <c r="T106" s="1411"/>
      <c r="U106" s="2555">
        <f t="shared" si="45"/>
        <v>14016.249999999996</v>
      </c>
      <c r="V106" s="1411"/>
      <c r="W106" s="3391">
        <v>3089.4999999999991</v>
      </c>
      <c r="X106" s="1416"/>
      <c r="Y106" s="3609">
        <f t="shared" si="46"/>
        <v>6089.48</v>
      </c>
      <c r="Z106" s="3616"/>
      <c r="AA106" s="660">
        <f t="shared" si="47"/>
        <v>17105.749999999996</v>
      </c>
      <c r="AB106" s="3616"/>
      <c r="AC106" s="3616"/>
      <c r="AD106" s="3616"/>
      <c r="AE106" s="3615">
        <f t="shared" si="81"/>
        <v>17105.749999999996</v>
      </c>
      <c r="AF106" s="3616"/>
      <c r="AG106" s="3616">
        <v>727.03</v>
      </c>
      <c r="AH106" s="3616"/>
      <c r="AI106" s="3615">
        <f t="shared" si="82"/>
        <v>17832.779999999995</v>
      </c>
      <c r="AJ106" s="3616"/>
      <c r="AK106" s="3616"/>
      <c r="AL106" s="3616"/>
      <c r="AM106" s="3609">
        <f t="shared" si="48"/>
        <v>727.03</v>
      </c>
      <c r="AN106" s="3616"/>
      <c r="AO106" s="3615">
        <f t="shared" si="51"/>
        <v>17832.779999999995</v>
      </c>
      <c r="AP106" s="3616"/>
      <c r="AQ106" s="3616">
        <v>6193.9399999999978</v>
      </c>
      <c r="AR106" s="3616"/>
      <c r="AS106" s="5376">
        <f t="shared" si="83"/>
        <v>24026.719999999994</v>
      </c>
      <c r="AT106" s="3616"/>
      <c r="AU106" s="3616">
        <v>3805.22</v>
      </c>
      <c r="AV106" s="3616"/>
      <c r="AW106" s="452">
        <f t="shared" si="84"/>
        <v>27831.939999999995</v>
      </c>
      <c r="AX106" s="3616"/>
      <c r="AY106" s="3616"/>
      <c r="AZ106" s="3616"/>
      <c r="BA106" s="3609">
        <f t="shared" si="49"/>
        <v>9999.159999999998</v>
      </c>
      <c r="BB106" s="3616"/>
      <c r="BC106" s="660">
        <f t="shared" si="50"/>
        <v>10726.189999999999</v>
      </c>
      <c r="BD106" s="3616"/>
      <c r="BE106" s="452">
        <f t="shared" si="85"/>
        <v>27831.939999999995</v>
      </c>
      <c r="BF106" s="26"/>
      <c r="BG106" s="26"/>
    </row>
    <row r="107" spans="1:59" x14ac:dyDescent="0.25">
      <c r="A107" s="183"/>
      <c r="B107" s="8" t="s">
        <v>1467</v>
      </c>
      <c r="C107" s="193" t="s">
        <v>361</v>
      </c>
      <c r="D107" s="720"/>
      <c r="E107" s="1411">
        <v>9177.1600000000035</v>
      </c>
      <c r="F107" s="1411"/>
      <c r="G107" s="1411">
        <v>4998.1099999999997</v>
      </c>
      <c r="H107" s="2261"/>
      <c r="I107" s="2261">
        <f t="shared" si="44"/>
        <v>14175.270000000004</v>
      </c>
      <c r="J107" s="1411"/>
      <c r="K107" s="1411">
        <v>259.79000000000002</v>
      </c>
      <c r="L107" s="1416"/>
      <c r="M107" s="3609">
        <f t="shared" si="79"/>
        <v>14435.060000000005</v>
      </c>
      <c r="N107" s="1411"/>
      <c r="O107" s="1411"/>
      <c r="P107" s="1411"/>
      <c r="Q107" s="947">
        <f t="shared" si="80"/>
        <v>14435.060000000005</v>
      </c>
      <c r="R107" s="1411"/>
      <c r="S107" s="1411">
        <v>4739.8799999999983</v>
      </c>
      <c r="T107" s="1411"/>
      <c r="U107" s="2555">
        <f t="shared" si="45"/>
        <v>19174.940000000002</v>
      </c>
      <c r="V107" s="1411"/>
      <c r="W107" s="3391"/>
      <c r="X107" s="1416"/>
      <c r="Y107" s="3609">
        <f t="shared" si="46"/>
        <v>4739.8799999999983</v>
      </c>
      <c r="Z107" s="3616"/>
      <c r="AA107" s="660">
        <f t="shared" si="47"/>
        <v>19174.940000000002</v>
      </c>
      <c r="AB107" s="3616"/>
      <c r="AC107" s="3616"/>
      <c r="AD107" s="3616"/>
      <c r="AE107" s="3615">
        <f t="shared" si="81"/>
        <v>19174.940000000002</v>
      </c>
      <c r="AF107" s="3616"/>
      <c r="AG107" s="3616"/>
      <c r="AH107" s="3616"/>
      <c r="AI107" s="3615">
        <f t="shared" si="82"/>
        <v>19174.940000000002</v>
      </c>
      <c r="AJ107" s="3616"/>
      <c r="AK107" s="3616">
        <v>4999.2299999999996</v>
      </c>
      <c r="AL107" s="3616"/>
      <c r="AM107" s="3609">
        <f t="shared" si="48"/>
        <v>4999.2299999999996</v>
      </c>
      <c r="AN107" s="3616"/>
      <c r="AO107" s="3615">
        <f t="shared" si="51"/>
        <v>24174.170000000002</v>
      </c>
      <c r="AP107" s="3616"/>
      <c r="AQ107" s="3616"/>
      <c r="AR107" s="3616"/>
      <c r="AS107" s="3615">
        <f t="shared" si="83"/>
        <v>24174.170000000002</v>
      </c>
      <c r="AT107" s="3616"/>
      <c r="AU107" s="3616"/>
      <c r="AV107" s="3616"/>
      <c r="AW107" s="452">
        <f t="shared" si="84"/>
        <v>24174.170000000002</v>
      </c>
      <c r="AX107" s="3616"/>
      <c r="AY107" s="3616"/>
      <c r="AZ107" s="3616"/>
      <c r="BA107" s="3609">
        <f t="shared" si="49"/>
        <v>0</v>
      </c>
      <c r="BB107" s="3616"/>
      <c r="BC107" s="660">
        <f t="shared" si="50"/>
        <v>4999.2299999999996</v>
      </c>
      <c r="BD107" s="3616"/>
      <c r="BE107" s="452">
        <f t="shared" si="85"/>
        <v>24174.170000000002</v>
      </c>
      <c r="BF107" s="26"/>
      <c r="BG107" s="26"/>
    </row>
    <row r="108" spans="1:59" x14ac:dyDescent="0.25">
      <c r="A108" s="183"/>
      <c r="B108" s="8" t="s">
        <v>1359</v>
      </c>
      <c r="C108" s="193" t="s">
        <v>361</v>
      </c>
      <c r="D108" s="720"/>
      <c r="E108" s="549">
        <v>19327.050000000014</v>
      </c>
      <c r="F108" s="549"/>
      <c r="G108" s="549">
        <v>7358.28</v>
      </c>
      <c r="H108" s="2265"/>
      <c r="I108" s="2265">
        <f t="shared" si="44"/>
        <v>26685.330000000013</v>
      </c>
      <c r="J108" s="549"/>
      <c r="K108" s="549">
        <v>24163.27</v>
      </c>
      <c r="L108" s="1416"/>
      <c r="M108" s="3609">
        <f t="shared" si="79"/>
        <v>50848.600000000013</v>
      </c>
      <c r="N108" s="549"/>
      <c r="O108" s="549">
        <v>4851.1899999999996</v>
      </c>
      <c r="P108" s="549"/>
      <c r="Q108" s="452">
        <f t="shared" si="80"/>
        <v>55699.790000000015</v>
      </c>
      <c r="R108" s="549"/>
      <c r="S108" s="2617">
        <v>12117.770000000006</v>
      </c>
      <c r="T108" s="549"/>
      <c r="U108" s="452">
        <f t="shared" si="45"/>
        <v>67817.560000000027</v>
      </c>
      <c r="V108" s="549"/>
      <c r="W108" s="3391">
        <v>5718.6600000000026</v>
      </c>
      <c r="X108" s="1416"/>
      <c r="Y108" s="3609">
        <f t="shared" si="46"/>
        <v>22687.62000000001</v>
      </c>
      <c r="Z108" s="2942"/>
      <c r="AA108" s="660">
        <f t="shared" si="47"/>
        <v>73536.22000000003</v>
      </c>
      <c r="AB108" s="2942"/>
      <c r="AC108" s="3616">
        <v>14162.189999999993</v>
      </c>
      <c r="AD108" s="2942"/>
      <c r="AE108" s="452">
        <f t="shared" si="81"/>
        <v>87698.410000000018</v>
      </c>
      <c r="AF108" s="2942"/>
      <c r="AG108" s="3616">
        <v>17146.48</v>
      </c>
      <c r="AH108" s="2942"/>
      <c r="AI108" s="452">
        <f t="shared" si="82"/>
        <v>104844.89000000001</v>
      </c>
      <c r="AJ108" s="2942"/>
      <c r="AK108" s="3616">
        <v>20090.57</v>
      </c>
      <c r="AL108" s="2942"/>
      <c r="AM108" s="3609">
        <f t="shared" si="48"/>
        <v>51399.239999999991</v>
      </c>
      <c r="AN108" s="2942"/>
      <c r="AO108" s="452">
        <f t="shared" si="51"/>
        <v>124935.46000000002</v>
      </c>
      <c r="AP108" s="2942"/>
      <c r="AQ108" s="3616">
        <v>525.74</v>
      </c>
      <c r="AR108" s="2942"/>
      <c r="AS108" s="452">
        <f t="shared" si="83"/>
        <v>125461.20000000003</v>
      </c>
      <c r="AT108" s="2942"/>
      <c r="AU108" s="3616">
        <v>2532.35</v>
      </c>
      <c r="AV108" s="2942"/>
      <c r="AW108" s="452">
        <f t="shared" si="84"/>
        <v>127993.55000000003</v>
      </c>
      <c r="AX108" s="2942"/>
      <c r="AY108" s="3616">
        <v>7466.72</v>
      </c>
      <c r="AZ108" s="2942"/>
      <c r="BA108" s="3609">
        <f t="shared" si="49"/>
        <v>10524.810000000001</v>
      </c>
      <c r="BB108" s="2942"/>
      <c r="BC108" s="660">
        <f t="shared" si="50"/>
        <v>61924.049999999988</v>
      </c>
      <c r="BD108" s="2942"/>
      <c r="BE108" s="452">
        <f t="shared" si="85"/>
        <v>135460.27000000002</v>
      </c>
      <c r="BF108" s="26"/>
      <c r="BG108" s="26"/>
    </row>
    <row r="109" spans="1:59" x14ac:dyDescent="0.25">
      <c r="A109" s="183"/>
      <c r="B109" s="906" t="s">
        <v>825</v>
      </c>
      <c r="C109" s="193" t="s">
        <v>361</v>
      </c>
      <c r="D109" s="720"/>
      <c r="E109" s="1732">
        <v>5812.35</v>
      </c>
      <c r="F109" s="1494"/>
      <c r="G109" s="1732">
        <v>17504.599999999999</v>
      </c>
      <c r="H109" s="2261"/>
      <c r="I109" s="2262">
        <f>+E109+G109</f>
        <v>23316.949999999997</v>
      </c>
      <c r="J109" s="1494"/>
      <c r="K109" s="1732">
        <v>13700.29</v>
      </c>
      <c r="L109" s="236"/>
      <c r="M109" s="3609">
        <f t="shared" si="79"/>
        <v>37017.24</v>
      </c>
      <c r="N109" s="1494"/>
      <c r="O109" s="1732">
        <v>16217.25</v>
      </c>
      <c r="P109" s="1494"/>
      <c r="Q109" s="1732">
        <f t="shared" si="80"/>
        <v>53234.49</v>
      </c>
      <c r="R109" s="1494"/>
      <c r="S109" s="1732">
        <v>11118.460000000003</v>
      </c>
      <c r="T109" s="1494"/>
      <c r="U109" s="1732">
        <f>+Q109+S109</f>
        <v>64352.95</v>
      </c>
      <c r="V109" s="1494"/>
      <c r="W109" s="1732">
        <v>14564.459999999985</v>
      </c>
      <c r="X109" s="236"/>
      <c r="Y109" s="3609">
        <f t="shared" si="46"/>
        <v>41900.169999999984</v>
      </c>
      <c r="Z109" s="2941"/>
      <c r="AA109" s="625">
        <f t="shared" si="47"/>
        <v>78917.409999999974</v>
      </c>
      <c r="AB109" s="2941"/>
      <c r="AC109" s="1732">
        <v>12826.809999999998</v>
      </c>
      <c r="AD109" s="2941"/>
      <c r="AE109" s="1732">
        <f>+AA109+AC109</f>
        <v>91744.219999999972</v>
      </c>
      <c r="AF109" s="2941"/>
      <c r="AG109" s="1732">
        <v>22049.94</v>
      </c>
      <c r="AH109" s="2941"/>
      <c r="AI109" s="1732">
        <f>+AE109+AG109</f>
        <v>113794.15999999997</v>
      </c>
      <c r="AJ109" s="2941"/>
      <c r="AK109" s="1732">
        <v>18985.14</v>
      </c>
      <c r="AL109" s="2941"/>
      <c r="AM109" s="3609">
        <f t="shared" si="48"/>
        <v>53861.89</v>
      </c>
      <c r="AN109" s="2941"/>
      <c r="AO109" s="1732">
        <f t="shared" si="51"/>
        <v>132779.29999999999</v>
      </c>
      <c r="AP109" s="2941"/>
      <c r="AQ109" s="1732">
        <v>16847.499999999996</v>
      </c>
      <c r="AR109" s="2941"/>
      <c r="AS109" s="1732">
        <f>+AO109+AQ109</f>
        <v>149626.79999999999</v>
      </c>
      <c r="AT109" s="2941"/>
      <c r="AU109" s="1732">
        <v>15151.5</v>
      </c>
      <c r="AV109" s="2941"/>
      <c r="AW109" s="1732">
        <f>+AS109+AU109</f>
        <v>164778.29999999999</v>
      </c>
      <c r="AX109" s="2941"/>
      <c r="AY109" s="1732">
        <v>16295.34</v>
      </c>
      <c r="AZ109" s="2941"/>
      <c r="BA109" s="3609">
        <f t="shared" si="49"/>
        <v>48294.34</v>
      </c>
      <c r="BB109" s="2941"/>
      <c r="BC109" s="625">
        <f t="shared" si="50"/>
        <v>102156.23</v>
      </c>
      <c r="BD109" s="2941"/>
      <c r="BE109" s="1732">
        <f>+AW109+AY109</f>
        <v>181073.63999999998</v>
      </c>
      <c r="BF109" s="26"/>
      <c r="BG109" s="26"/>
    </row>
    <row r="110" spans="1:59" x14ac:dyDescent="0.25">
      <c r="A110" s="183"/>
      <c r="B110" s="906" t="s">
        <v>718</v>
      </c>
      <c r="C110" s="537"/>
      <c r="D110" s="1732"/>
      <c r="E110" s="1732">
        <f>+E111+E112</f>
        <v>103666.65000000001</v>
      </c>
      <c r="F110" s="1732"/>
      <c r="G110" s="1732">
        <f>+G111+G112</f>
        <v>92189.759999999995</v>
      </c>
      <c r="H110" s="2262"/>
      <c r="I110" s="2262">
        <f t="shared" si="44"/>
        <v>195856.41</v>
      </c>
      <c r="J110" s="1732"/>
      <c r="K110" s="1732">
        <f>+K111+K112</f>
        <v>73798.819999999992</v>
      </c>
      <c r="L110" s="1732"/>
      <c r="M110" s="3609">
        <f t="shared" si="79"/>
        <v>269655.23</v>
      </c>
      <c r="N110" s="1732"/>
      <c r="O110" s="1732">
        <f>+O111+O112</f>
        <v>98427.170000000013</v>
      </c>
      <c r="P110" s="1732"/>
      <c r="Q110" s="1732">
        <f t="shared" si="80"/>
        <v>368082.4</v>
      </c>
      <c r="R110" s="1732"/>
      <c r="S110" s="1732">
        <f>+S111+S112</f>
        <v>107552.44999999998</v>
      </c>
      <c r="T110" s="1732"/>
      <c r="U110" s="1732">
        <f t="shared" si="45"/>
        <v>475634.85</v>
      </c>
      <c r="V110" s="1732"/>
      <c r="W110" s="1732">
        <f>+W111+W112</f>
        <v>90628.339999999982</v>
      </c>
      <c r="X110" s="1732"/>
      <c r="Y110" s="3609">
        <f t="shared" si="46"/>
        <v>296607.95999999996</v>
      </c>
      <c r="Z110" s="1732"/>
      <c r="AA110" s="625">
        <f t="shared" si="47"/>
        <v>566263.18999999994</v>
      </c>
      <c r="AB110" s="1732"/>
      <c r="AC110" s="1732">
        <f>+AC111+AC112</f>
        <v>97762.160000000018</v>
      </c>
      <c r="AD110" s="1732"/>
      <c r="AE110" s="1732">
        <f t="shared" ref="AE110:AE112" si="86">+AA110+AC110</f>
        <v>664025.35</v>
      </c>
      <c r="AF110" s="1732"/>
      <c r="AG110" s="1732">
        <f>+AG111+AG112</f>
        <v>81674.649999999994</v>
      </c>
      <c r="AH110" s="1732"/>
      <c r="AI110" s="1732">
        <f t="shared" ref="AI110:AI112" si="87">+AE110+AG110</f>
        <v>745700</v>
      </c>
      <c r="AJ110" s="1732"/>
      <c r="AK110" s="1732">
        <f>+AK111+AK112</f>
        <v>95350.450000000012</v>
      </c>
      <c r="AL110" s="1732"/>
      <c r="AM110" s="3609">
        <f t="shared" si="48"/>
        <v>274787.26</v>
      </c>
      <c r="AN110" s="1732"/>
      <c r="AO110" s="1732">
        <f t="shared" si="51"/>
        <v>841050.45</v>
      </c>
      <c r="AP110" s="1732"/>
      <c r="AQ110" s="1732">
        <f>+AQ111+AQ112</f>
        <v>84017.91</v>
      </c>
      <c r="AR110" s="1732"/>
      <c r="AS110" s="1732">
        <f t="shared" ref="AS110:AS112" si="88">+AO110+AQ110</f>
        <v>925068.36</v>
      </c>
      <c r="AT110" s="1732"/>
      <c r="AU110" s="1732">
        <f>+AU111+AU112</f>
        <v>93875.06</v>
      </c>
      <c r="AV110" s="1732"/>
      <c r="AW110" s="1732">
        <f t="shared" ref="AW110:AW112" si="89">+AS110+AU110</f>
        <v>1018943.4199999999</v>
      </c>
      <c r="AX110" s="1732"/>
      <c r="AY110" s="1732">
        <f>+AY111+AY112</f>
        <v>90220.04</v>
      </c>
      <c r="AZ110" s="1732"/>
      <c r="BA110" s="3609">
        <f t="shared" si="49"/>
        <v>268113.01</v>
      </c>
      <c r="BB110" s="1732"/>
      <c r="BC110" s="625">
        <f t="shared" si="50"/>
        <v>542900.27</v>
      </c>
      <c r="BD110" s="1732"/>
      <c r="BE110" s="1732">
        <f t="shared" ref="BE110:BE112" si="90">+AW110+AY110</f>
        <v>1109163.46</v>
      </c>
      <c r="BF110" s="26"/>
      <c r="BG110" s="26"/>
    </row>
    <row r="111" spans="1:59" ht="20.25" x14ac:dyDescent="0.25">
      <c r="A111" s="183"/>
      <c r="B111" s="907" t="s">
        <v>24</v>
      </c>
      <c r="C111" s="324" t="s">
        <v>361</v>
      </c>
      <c r="D111" s="719"/>
      <c r="E111" s="719">
        <v>102662.53000000001</v>
      </c>
      <c r="F111" s="719"/>
      <c r="G111" s="719">
        <v>90644.72</v>
      </c>
      <c r="H111" s="2263"/>
      <c r="I111" s="2263">
        <f t="shared" si="44"/>
        <v>193307.25</v>
      </c>
      <c r="J111" s="719"/>
      <c r="K111" s="719">
        <v>70350.559999999998</v>
      </c>
      <c r="L111" s="1416"/>
      <c r="M111" s="3609">
        <f t="shared" si="79"/>
        <v>263657.81</v>
      </c>
      <c r="N111" s="719"/>
      <c r="O111" s="719">
        <v>94287.1</v>
      </c>
      <c r="P111" s="719"/>
      <c r="Q111" s="709">
        <f t="shared" si="80"/>
        <v>357944.91000000003</v>
      </c>
      <c r="R111" s="719"/>
      <c r="S111" s="719">
        <v>102690.63999999998</v>
      </c>
      <c r="T111" s="719"/>
      <c r="U111" s="2564">
        <f t="shared" si="45"/>
        <v>460635.55000000005</v>
      </c>
      <c r="V111" s="719"/>
      <c r="W111" s="719">
        <v>82302.949999999983</v>
      </c>
      <c r="X111" s="1416"/>
      <c r="Y111" s="3609">
        <f t="shared" si="46"/>
        <v>279280.68999999994</v>
      </c>
      <c r="Z111" s="719"/>
      <c r="AA111" s="625">
        <f t="shared" si="47"/>
        <v>542938.5</v>
      </c>
      <c r="AB111" s="719"/>
      <c r="AC111" s="719">
        <v>94552.340000000026</v>
      </c>
      <c r="AD111" s="719"/>
      <c r="AE111" s="4022">
        <f t="shared" si="86"/>
        <v>637490.84000000008</v>
      </c>
      <c r="AF111" s="719"/>
      <c r="AG111" s="719">
        <v>77399</v>
      </c>
      <c r="AH111" s="719"/>
      <c r="AI111" s="4022">
        <f t="shared" si="87"/>
        <v>714889.84000000008</v>
      </c>
      <c r="AJ111" s="719"/>
      <c r="AK111" s="719">
        <v>92690.07</v>
      </c>
      <c r="AL111" s="719"/>
      <c r="AM111" s="3609">
        <f t="shared" si="48"/>
        <v>264641.41000000003</v>
      </c>
      <c r="AN111" s="719"/>
      <c r="AO111" s="4022">
        <f t="shared" si="51"/>
        <v>807579.91000000015</v>
      </c>
      <c r="AP111" s="719"/>
      <c r="AQ111" s="719">
        <v>78063.840000000011</v>
      </c>
      <c r="AR111" s="719"/>
      <c r="AS111" s="4022">
        <f t="shared" si="88"/>
        <v>885643.75000000012</v>
      </c>
      <c r="AT111" s="719"/>
      <c r="AU111" s="719">
        <v>92321.98</v>
      </c>
      <c r="AV111" s="719"/>
      <c r="AW111" s="311">
        <f t="shared" si="89"/>
        <v>977965.7300000001</v>
      </c>
      <c r="AX111" s="719"/>
      <c r="AY111" s="719">
        <v>90220.04</v>
      </c>
      <c r="AZ111" s="719"/>
      <c r="BA111" s="3609">
        <f t="shared" si="49"/>
        <v>260605.86</v>
      </c>
      <c r="BB111" s="719"/>
      <c r="BC111" s="625">
        <f t="shared" si="50"/>
        <v>525247.27</v>
      </c>
      <c r="BD111" s="719"/>
      <c r="BE111" s="311">
        <f t="shared" si="90"/>
        <v>1068185.77</v>
      </c>
      <c r="BF111" s="26"/>
      <c r="BG111" s="26"/>
    </row>
    <row r="112" spans="1:59" ht="21" thickBot="1" x14ac:dyDescent="0.3">
      <c r="B112" s="907" t="s">
        <v>25</v>
      </c>
      <c r="C112" s="538" t="s">
        <v>361</v>
      </c>
      <c r="D112" s="719"/>
      <c r="E112" s="719">
        <v>1004.1200000000003</v>
      </c>
      <c r="F112" s="719"/>
      <c r="G112" s="719">
        <v>1545.04</v>
      </c>
      <c r="H112" s="2263"/>
      <c r="I112" s="2263">
        <f t="shared" si="44"/>
        <v>2549.1600000000003</v>
      </c>
      <c r="J112" s="719"/>
      <c r="K112" s="719">
        <v>3448.26</v>
      </c>
      <c r="L112" s="1416"/>
      <c r="M112" s="3609">
        <f t="shared" si="79"/>
        <v>5997.42</v>
      </c>
      <c r="N112" s="719"/>
      <c r="O112" s="719">
        <v>4140.07</v>
      </c>
      <c r="P112" s="719"/>
      <c r="Q112" s="709">
        <f t="shared" si="80"/>
        <v>10137.49</v>
      </c>
      <c r="R112" s="719"/>
      <c r="S112" s="719">
        <v>4861.8099999999977</v>
      </c>
      <c r="T112" s="719"/>
      <c r="U112" s="2564">
        <f t="shared" si="45"/>
        <v>14999.299999999997</v>
      </c>
      <c r="V112" s="719"/>
      <c r="W112" s="719">
        <v>8325.3900000000012</v>
      </c>
      <c r="X112" s="1416"/>
      <c r="Y112" s="3609">
        <f t="shared" si="46"/>
        <v>17327.269999999997</v>
      </c>
      <c r="Z112" s="719"/>
      <c r="AA112" s="625">
        <f t="shared" si="47"/>
        <v>23324.689999999995</v>
      </c>
      <c r="AB112" s="719"/>
      <c r="AC112" s="719">
        <v>3209.8199999999993</v>
      </c>
      <c r="AD112" s="719"/>
      <c r="AE112" s="4022">
        <f t="shared" si="86"/>
        <v>26534.509999999995</v>
      </c>
      <c r="AF112" s="719"/>
      <c r="AG112" s="719">
        <v>4275.6499999999996</v>
      </c>
      <c r="AH112" s="719"/>
      <c r="AI112" s="4022">
        <f t="shared" si="87"/>
        <v>30810.159999999996</v>
      </c>
      <c r="AJ112" s="719"/>
      <c r="AK112" s="719">
        <v>2660.38</v>
      </c>
      <c r="AL112" s="719"/>
      <c r="AM112" s="3609">
        <f t="shared" si="48"/>
        <v>10145.849999999999</v>
      </c>
      <c r="AN112" s="719"/>
      <c r="AO112" s="4022">
        <f t="shared" si="51"/>
        <v>33470.539999999994</v>
      </c>
      <c r="AP112" s="719"/>
      <c r="AQ112" s="719">
        <v>5954.069999999997</v>
      </c>
      <c r="AR112" s="719"/>
      <c r="AS112" s="4022">
        <f t="shared" si="88"/>
        <v>39424.609999999993</v>
      </c>
      <c r="AT112" s="719"/>
      <c r="AU112" s="719">
        <v>1553.08</v>
      </c>
      <c r="AV112" s="719"/>
      <c r="AW112" s="311">
        <f t="shared" si="89"/>
        <v>40977.689999999995</v>
      </c>
      <c r="AX112" s="719"/>
      <c r="AY112" s="719"/>
      <c r="AZ112" s="719"/>
      <c r="BA112" s="3609">
        <f t="shared" si="49"/>
        <v>7507.1499999999969</v>
      </c>
      <c r="BB112" s="719"/>
      <c r="BC112" s="625">
        <f t="shared" si="50"/>
        <v>17652.999999999996</v>
      </c>
      <c r="BD112" s="719"/>
      <c r="BE112" s="311">
        <f t="shared" si="90"/>
        <v>40977.689999999995</v>
      </c>
      <c r="BF112" s="26"/>
      <c r="BG112" s="26"/>
    </row>
    <row r="113" spans="1:59" ht="21" thickBot="1" x14ac:dyDescent="0.3">
      <c r="A113" s="183"/>
      <c r="B113" s="6161" t="s">
        <v>1887</v>
      </c>
      <c r="C113" s="6162"/>
      <c r="D113" s="1733"/>
      <c r="E113" s="1733">
        <f t="shared" ref="E113:X113" si="91">+E23+E33+E34+E48+E53+E58+E65+E100+E102+E103+E104+E109+E112</f>
        <v>103342.20299999998</v>
      </c>
      <c r="F113" s="1733">
        <f t="shared" si="91"/>
        <v>0</v>
      </c>
      <c r="G113" s="1733">
        <f t="shared" si="91"/>
        <v>114563.7</v>
      </c>
      <c r="H113" s="1733">
        <f t="shared" si="91"/>
        <v>0</v>
      </c>
      <c r="I113" s="1733">
        <f t="shared" si="91"/>
        <v>217905.90299999996</v>
      </c>
      <c r="J113" s="1733">
        <f t="shared" si="91"/>
        <v>0</v>
      </c>
      <c r="K113" s="1733">
        <f t="shared" si="91"/>
        <v>105163.41100000001</v>
      </c>
      <c r="L113" s="1733">
        <f t="shared" si="91"/>
        <v>0</v>
      </c>
      <c r="M113" s="1733">
        <f t="shared" si="91"/>
        <v>323069.31399999995</v>
      </c>
      <c r="N113" s="1733">
        <f t="shared" si="91"/>
        <v>0</v>
      </c>
      <c r="O113" s="1733">
        <f t="shared" si="91"/>
        <v>130730.10999999999</v>
      </c>
      <c r="P113" s="1733">
        <f t="shared" si="91"/>
        <v>0</v>
      </c>
      <c r="Q113" s="1733">
        <f t="shared" si="91"/>
        <v>453799.42399999994</v>
      </c>
      <c r="R113" s="1733">
        <f t="shared" si="91"/>
        <v>0</v>
      </c>
      <c r="S113" s="1733">
        <f t="shared" si="91"/>
        <v>108947.21000000004</v>
      </c>
      <c r="T113" s="1733">
        <f t="shared" si="91"/>
        <v>0</v>
      </c>
      <c r="U113" s="1733">
        <f t="shared" si="91"/>
        <v>562746.63400000008</v>
      </c>
      <c r="V113" s="1733">
        <f t="shared" si="91"/>
        <v>0</v>
      </c>
      <c r="W113" s="1733">
        <f t="shared" si="91"/>
        <v>109931.29300000005</v>
      </c>
      <c r="X113" s="1733">
        <f t="shared" si="91"/>
        <v>0</v>
      </c>
      <c r="Y113" s="1733">
        <f t="shared" si="46"/>
        <v>349608.61300000007</v>
      </c>
      <c r="Z113" s="1733">
        <f>+Z23+Z33+Z34+Z48+Z53+Z58+Z65+Z100+Z102+Z103+Z104+Z109+Z112</f>
        <v>0</v>
      </c>
      <c r="AA113" s="5194">
        <f t="shared" si="47"/>
        <v>672677.92700000003</v>
      </c>
      <c r="AB113" s="1733">
        <f t="shared" ref="AB113:AL113" si="92">+AB23+AB33+AB34+AB48+AB53+AB58+AB65+AB100+AB102+AB103+AB104+AB109+AB112</f>
        <v>0</v>
      </c>
      <c r="AC113" s="1733">
        <f t="shared" si="92"/>
        <v>87567.415999999983</v>
      </c>
      <c r="AD113" s="1733">
        <f t="shared" si="92"/>
        <v>0</v>
      </c>
      <c r="AE113" s="1733">
        <f t="shared" si="92"/>
        <v>760245.34300000011</v>
      </c>
      <c r="AF113" s="1733">
        <f t="shared" si="92"/>
        <v>0</v>
      </c>
      <c r="AG113" s="1733">
        <f t="shared" si="92"/>
        <v>106868.04399999999</v>
      </c>
      <c r="AH113" s="1733">
        <f t="shared" si="92"/>
        <v>0</v>
      </c>
      <c r="AI113" s="1733">
        <f t="shared" si="92"/>
        <v>867113.38699999999</v>
      </c>
      <c r="AJ113" s="1733">
        <f t="shared" si="92"/>
        <v>0</v>
      </c>
      <c r="AK113" s="1733">
        <f t="shared" si="92"/>
        <v>108915.811</v>
      </c>
      <c r="AL113" s="1733">
        <f t="shared" si="92"/>
        <v>0</v>
      </c>
      <c r="AM113" s="1733">
        <f t="shared" si="48"/>
        <v>303351.27099999995</v>
      </c>
      <c r="AN113" s="1733">
        <f t="shared" ref="AN113:AZ113" si="93">+AN23+AN33+AN34+AN48+AN53+AN58+AN65+AN100+AN102+AN103+AN104+AN109+AN112</f>
        <v>0</v>
      </c>
      <c r="AO113" s="1733">
        <f t="shared" si="93"/>
        <v>976029.19800000009</v>
      </c>
      <c r="AP113" s="1733">
        <f t="shared" si="93"/>
        <v>0</v>
      </c>
      <c r="AQ113" s="1733">
        <f t="shared" si="93"/>
        <v>82133.62000000001</v>
      </c>
      <c r="AR113" s="1733">
        <f t="shared" si="93"/>
        <v>0</v>
      </c>
      <c r="AS113" s="1733">
        <f t="shared" si="93"/>
        <v>1058162.8180000002</v>
      </c>
      <c r="AT113" s="1733">
        <f t="shared" si="93"/>
        <v>0</v>
      </c>
      <c r="AU113" s="1733">
        <f t="shared" si="93"/>
        <v>69669.596999999994</v>
      </c>
      <c r="AV113" s="1733">
        <f t="shared" si="93"/>
        <v>0</v>
      </c>
      <c r="AW113" s="1733">
        <f t="shared" si="93"/>
        <v>1127832.415</v>
      </c>
      <c r="AX113" s="1733">
        <f t="shared" si="93"/>
        <v>0</v>
      </c>
      <c r="AY113" s="1733">
        <f t="shared" si="93"/>
        <v>84460.62</v>
      </c>
      <c r="AZ113" s="1733">
        <f t="shared" si="93"/>
        <v>0</v>
      </c>
      <c r="BA113" s="1733">
        <f t="shared" si="49"/>
        <v>236263.837</v>
      </c>
      <c r="BB113" s="1733">
        <f>+BB23+BB33+BB34+BB48+BB53+BB58+BB65+BB100+BB102+BB103+BB104+BB109+BB112</f>
        <v>0</v>
      </c>
      <c r="BC113" s="5194">
        <f t="shared" si="50"/>
        <v>539615.10800000001</v>
      </c>
      <c r="BD113" s="1733">
        <f>+BD23+BD33+BD34+BD48+BD53+BD58+BD65+BD100+BD102+BD103+BD104+BD109+BD112</f>
        <v>0</v>
      </c>
      <c r="BE113" s="1733">
        <f>+BE23+BE33+BE34+BE48+BE53+BE58+BE65+BE100+BE102+BE103+BE104+BE109+BE112</f>
        <v>1212293.0349999999</v>
      </c>
      <c r="BF113" s="26"/>
      <c r="BG113" s="26"/>
    </row>
    <row r="114" spans="1:59" s="5259" customFormat="1" ht="21" thickBot="1" x14ac:dyDescent="0.3">
      <c r="A114" s="183"/>
      <c r="B114" s="5354"/>
      <c r="C114" s="5355"/>
      <c r="D114" s="5356"/>
      <c r="E114" s="2583"/>
      <c r="F114" s="2583"/>
      <c r="G114" s="2583"/>
      <c r="H114" s="2583"/>
      <c r="I114" s="2583"/>
      <c r="J114" s="2583"/>
      <c r="K114" s="2583"/>
      <c r="L114" s="2583"/>
      <c r="M114" s="2583"/>
      <c r="N114" s="2583"/>
      <c r="O114" s="2583"/>
      <c r="P114" s="2583"/>
      <c r="Q114" s="2583"/>
      <c r="R114" s="2583"/>
      <c r="S114" s="2583"/>
      <c r="T114" s="2583"/>
      <c r="U114" s="2583"/>
      <c r="V114" s="2583"/>
      <c r="W114" s="2583"/>
      <c r="X114" s="2583"/>
      <c r="Y114" s="2583"/>
      <c r="Z114" s="2583"/>
      <c r="AA114" s="5357"/>
      <c r="AB114" s="2583"/>
      <c r="AC114" s="2583"/>
      <c r="AD114" s="2583"/>
      <c r="AE114" s="2583"/>
      <c r="AF114" s="2583"/>
      <c r="AG114" s="2583"/>
      <c r="AH114" s="2583"/>
      <c r="AI114" s="2583"/>
      <c r="AJ114" s="2583"/>
      <c r="AK114" s="2583"/>
      <c r="AL114" s="2583"/>
      <c r="AM114" s="2583"/>
      <c r="AN114" s="2583"/>
      <c r="AO114" s="2583"/>
      <c r="AP114" s="2583"/>
      <c r="AQ114" s="2583"/>
      <c r="AR114" s="2583"/>
      <c r="AS114" s="2583"/>
      <c r="AT114" s="2583"/>
      <c r="AU114" s="2583"/>
      <c r="AV114" s="2583"/>
      <c r="AW114" s="2583"/>
      <c r="AX114" s="2583"/>
      <c r="AY114" s="2583"/>
      <c r="AZ114" s="2583"/>
      <c r="BA114" s="2583"/>
      <c r="BB114" s="2583"/>
      <c r="BC114" s="5357"/>
      <c r="BD114" s="2583"/>
      <c r="BE114" s="2583"/>
      <c r="BF114" s="26"/>
      <c r="BG114" s="26"/>
    </row>
    <row r="115" spans="1:59" ht="25.5" x14ac:dyDescent="0.25">
      <c r="B115" s="3413" t="s">
        <v>1134</v>
      </c>
      <c r="C115" s="5358"/>
      <c r="D115" s="5359"/>
      <c r="E115" s="5360">
        <f>E113+E111+E15+E12+E7+E19</f>
        <v>207926.58300000001</v>
      </c>
      <c r="F115" s="5361"/>
      <c r="G115" s="5360">
        <f>G113+G111+G15+G12+G7+G19</f>
        <v>205608.19999999998</v>
      </c>
      <c r="H115" s="5360">
        <f>H113+H111+H15+H12+H7+H19</f>
        <v>0</v>
      </c>
      <c r="I115" s="5360">
        <f>I113+I111+I15+I12+I7+I19</f>
        <v>413534.78299999994</v>
      </c>
      <c r="J115" s="5360">
        <f>J113+J111+J15+J12+J7+J19</f>
        <v>0</v>
      </c>
      <c r="K115" s="5360">
        <f>K113+K111+K15+K12+K7+K19</f>
        <v>175513.97100000002</v>
      </c>
      <c r="L115" s="5361"/>
      <c r="M115" s="5362"/>
      <c r="N115" s="5361"/>
      <c r="O115" s="5360">
        <f t="shared" ref="O115:W115" si="94">O113+O111+O15+O12+O7+O19</f>
        <v>225217.19999999998</v>
      </c>
      <c r="P115" s="5360">
        <f t="shared" si="94"/>
        <v>0</v>
      </c>
      <c r="Q115" s="5360">
        <f t="shared" si="94"/>
        <v>814265.95400000003</v>
      </c>
      <c r="R115" s="5360">
        <f t="shared" si="94"/>
        <v>0</v>
      </c>
      <c r="S115" s="5360">
        <f t="shared" si="94"/>
        <v>213156.38000000003</v>
      </c>
      <c r="T115" s="5360">
        <f t="shared" si="94"/>
        <v>0</v>
      </c>
      <c r="U115" s="5360">
        <f t="shared" si="94"/>
        <v>1027022.5540000001</v>
      </c>
      <c r="V115" s="5360">
        <f t="shared" si="94"/>
        <v>0</v>
      </c>
      <c r="W115" s="5360">
        <f t="shared" si="94"/>
        <v>194730.69300000003</v>
      </c>
      <c r="X115" s="5361"/>
      <c r="Y115" s="5362">
        <f t="shared" si="46"/>
        <v>633104.27300000004</v>
      </c>
      <c r="Z115" s="5361"/>
      <c r="AA115" s="5363"/>
      <c r="AB115" s="5361"/>
      <c r="AC115" s="5360">
        <f t="shared" ref="AC115:AK115" si="95">AC113+AC111+AC15+AC12+AC7+AC19</f>
        <v>182588.24599999998</v>
      </c>
      <c r="AD115" s="5360">
        <f t="shared" si="95"/>
        <v>0</v>
      </c>
      <c r="AE115" s="5360">
        <f t="shared" si="95"/>
        <v>1404141.503</v>
      </c>
      <c r="AF115" s="5360">
        <f t="shared" si="95"/>
        <v>0</v>
      </c>
      <c r="AG115" s="5360">
        <f t="shared" si="95"/>
        <v>184267.04399999999</v>
      </c>
      <c r="AH115" s="5360">
        <f t="shared" si="95"/>
        <v>0</v>
      </c>
      <c r="AI115" s="5360">
        <f t="shared" si="95"/>
        <v>1589008.3169999998</v>
      </c>
      <c r="AJ115" s="5360">
        <f t="shared" si="95"/>
        <v>0</v>
      </c>
      <c r="AK115" s="5360">
        <f t="shared" si="95"/>
        <v>201605.88099999999</v>
      </c>
      <c r="AL115" s="5361"/>
      <c r="AM115" s="5362">
        <f t="shared" si="48"/>
        <v>568461.17099999997</v>
      </c>
      <c r="AN115" s="5361"/>
      <c r="AO115" s="5361"/>
      <c r="AP115" s="5361"/>
      <c r="AQ115" s="5360">
        <f>AQ113+AQ111+AQ15+AQ12+AQ7+AQ19</f>
        <v>160197.46000000002</v>
      </c>
      <c r="AR115" s="5360">
        <f>AR113+AR111+AR15+AR12+AR7+AR19</f>
        <v>0</v>
      </c>
      <c r="AS115" s="5360">
        <f>AS113+AS111+AS15+AS12+AS7+AS19</f>
        <v>1950811.6580000003</v>
      </c>
      <c r="AT115" s="5360">
        <f>AT113+AT111+AT15+AT12+AT7+AT19</f>
        <v>0</v>
      </c>
      <c r="AU115" s="5360">
        <f>AU113+AU111+AU15+AU12+AU7+AU19</f>
        <v>161991.57699999999</v>
      </c>
      <c r="AV115" s="5361"/>
      <c r="AW115" s="5360">
        <f>AW113+AW111+AW15+AW12+AW7+AW19</f>
        <v>2112803.2349999999</v>
      </c>
      <c r="AX115" s="5360">
        <f>AX113+AX111+AX15+AX12+AX7+AX19</f>
        <v>0</v>
      </c>
      <c r="AY115" s="5360">
        <f>AY113+AY111+AY15+AY12+AY7+AY19</f>
        <v>174680.65999999997</v>
      </c>
      <c r="AZ115" s="5361"/>
      <c r="BA115" s="5362">
        <f t="shared" si="49"/>
        <v>496869.69699999999</v>
      </c>
      <c r="BB115" s="5361"/>
      <c r="BC115" s="5363"/>
      <c r="BD115" s="5361"/>
      <c r="BE115" s="5364">
        <f>BE113+BE111</f>
        <v>2280478.8049999997</v>
      </c>
      <c r="BF115" s="26"/>
      <c r="BG115" s="26"/>
    </row>
    <row r="116" spans="1:59" x14ac:dyDescent="0.25">
      <c r="B116" s="906" t="s">
        <v>1130</v>
      </c>
      <c r="C116" s="5348" t="s">
        <v>361</v>
      </c>
      <c r="D116" s="5365"/>
      <c r="E116" s="5365">
        <f>+E117+E118+E119</f>
        <v>0</v>
      </c>
      <c r="F116" s="5365"/>
      <c r="G116" s="5365">
        <f>+G117+G118+G119</f>
        <v>9.3000000000000007</v>
      </c>
      <c r="H116" s="5366"/>
      <c r="I116" s="5366">
        <f t="shared" ref="I116:I161" si="96">+E116+G116</f>
        <v>9.3000000000000007</v>
      </c>
      <c r="J116" s="5365"/>
      <c r="K116" s="5365">
        <f>+K117+K118+K119</f>
        <v>0</v>
      </c>
      <c r="L116" s="5365"/>
      <c r="M116" s="5367">
        <f t="shared" ref="M116:M127" si="97">+E116+G116+K116</f>
        <v>9.3000000000000007</v>
      </c>
      <c r="N116" s="5365"/>
      <c r="O116" s="5365">
        <f>+O117+O118+O119</f>
        <v>4.8899999999999997</v>
      </c>
      <c r="P116" s="5365"/>
      <c r="Q116" s="5365">
        <f t="shared" ref="Q116:Q127" si="98">+M116+O116</f>
        <v>14.190000000000001</v>
      </c>
      <c r="R116" s="5365"/>
      <c r="S116" s="5365">
        <f>+S117+S118+S119</f>
        <v>0</v>
      </c>
      <c r="T116" s="5365"/>
      <c r="U116" s="5365">
        <f t="shared" si="45"/>
        <v>14.190000000000001</v>
      </c>
      <c r="V116" s="5365"/>
      <c r="W116" s="5365">
        <f>+W117+W118+W119</f>
        <v>18.869999999999997</v>
      </c>
      <c r="X116" s="5365"/>
      <c r="Y116" s="5367">
        <f t="shared" si="46"/>
        <v>23.759999999999998</v>
      </c>
      <c r="Z116" s="5365"/>
      <c r="AA116" s="5352">
        <f t="shared" si="47"/>
        <v>33.06</v>
      </c>
      <c r="AB116" s="5365"/>
      <c r="AC116" s="5365">
        <f>+AC117+AC118+AC119</f>
        <v>8.52</v>
      </c>
      <c r="AD116" s="5365"/>
      <c r="AE116" s="5365">
        <f t="shared" ref="AE116:AE127" si="99">+AA116+AC116</f>
        <v>41.58</v>
      </c>
      <c r="AF116" s="5365"/>
      <c r="AG116" s="5365">
        <f>+AG117+AG118+AG119</f>
        <v>0</v>
      </c>
      <c r="AH116" s="5365"/>
      <c r="AI116" s="5365">
        <f t="shared" ref="AI116:AI127" si="100">+AE116+AG116</f>
        <v>41.58</v>
      </c>
      <c r="AJ116" s="5365"/>
      <c r="AK116" s="5365">
        <f>+AK117+AK118+AK119</f>
        <v>0</v>
      </c>
      <c r="AL116" s="5365"/>
      <c r="AM116" s="5367">
        <f t="shared" si="48"/>
        <v>8.52</v>
      </c>
      <c r="AN116" s="5365"/>
      <c r="AO116" s="5365">
        <f t="shared" si="51"/>
        <v>41.58</v>
      </c>
      <c r="AP116" s="5365"/>
      <c r="AQ116" s="5365">
        <f>+AQ117+AQ118+AQ119</f>
        <v>77.109999999999985</v>
      </c>
      <c r="AR116" s="5365"/>
      <c r="AS116" s="5365">
        <f t="shared" ref="AS116:AS119" si="101">+AO116+AQ116</f>
        <v>118.68999999999998</v>
      </c>
      <c r="AT116" s="5365"/>
      <c r="AU116" s="5365">
        <f>+AU117+AU118+AU119</f>
        <v>0</v>
      </c>
      <c r="AV116" s="5365"/>
      <c r="AW116" s="5365">
        <f t="shared" ref="AW116:AW119" si="102">+AS116+AU116</f>
        <v>118.68999999999998</v>
      </c>
      <c r="AX116" s="5365"/>
      <c r="AY116" s="5365">
        <f>+AY117+AY118+AY119</f>
        <v>0</v>
      </c>
      <c r="AZ116" s="5365"/>
      <c r="BA116" s="5367">
        <f t="shared" si="49"/>
        <v>77.109999999999985</v>
      </c>
      <c r="BB116" s="5365"/>
      <c r="BC116" s="5352">
        <f t="shared" si="50"/>
        <v>85.629999999999981</v>
      </c>
      <c r="BD116" s="5365"/>
      <c r="BE116" s="4253">
        <f t="shared" ref="BE116:BE119" si="103">+AW116+AY116</f>
        <v>118.68999999999998</v>
      </c>
      <c r="BF116" s="26"/>
      <c r="BG116" s="26"/>
    </row>
    <row r="117" spans="1:59" x14ac:dyDescent="0.25">
      <c r="B117" s="899" t="s">
        <v>1131</v>
      </c>
      <c r="C117" s="5348" t="s">
        <v>361</v>
      </c>
      <c r="D117" s="5368"/>
      <c r="E117" s="5368"/>
      <c r="F117" s="5368"/>
      <c r="G117" s="5368"/>
      <c r="H117" s="5369"/>
      <c r="I117" s="5369">
        <f t="shared" si="96"/>
        <v>0</v>
      </c>
      <c r="J117" s="5368"/>
      <c r="K117" s="5368"/>
      <c r="L117" s="5368"/>
      <c r="M117" s="5370">
        <f t="shared" si="97"/>
        <v>0</v>
      </c>
      <c r="N117" s="5368"/>
      <c r="O117" s="5368"/>
      <c r="P117" s="5368"/>
      <c r="Q117" s="5351">
        <f t="shared" si="98"/>
        <v>0</v>
      </c>
      <c r="R117" s="5368"/>
      <c r="S117" s="5368"/>
      <c r="T117" s="5368"/>
      <c r="U117" s="5351">
        <f t="shared" si="45"/>
        <v>0</v>
      </c>
      <c r="V117" s="5368"/>
      <c r="W117" s="5368">
        <v>10</v>
      </c>
      <c r="X117" s="5368"/>
      <c r="Y117" s="5370">
        <f t="shared" si="46"/>
        <v>10</v>
      </c>
      <c r="Z117" s="5368"/>
      <c r="AA117" s="5352">
        <f t="shared" si="47"/>
        <v>10</v>
      </c>
      <c r="AB117" s="5368"/>
      <c r="AC117" s="5368">
        <v>8.52</v>
      </c>
      <c r="AD117" s="5368"/>
      <c r="AE117" s="5351">
        <f t="shared" si="99"/>
        <v>18.52</v>
      </c>
      <c r="AF117" s="5368"/>
      <c r="AG117" s="5368"/>
      <c r="AH117" s="5368"/>
      <c r="AI117" s="5351">
        <f t="shared" si="100"/>
        <v>18.52</v>
      </c>
      <c r="AJ117" s="5368"/>
      <c r="AK117" s="5368"/>
      <c r="AL117" s="5368"/>
      <c r="AM117" s="5370">
        <f t="shared" si="48"/>
        <v>8.52</v>
      </c>
      <c r="AN117" s="5368"/>
      <c r="AO117" s="5351">
        <f t="shared" si="51"/>
        <v>18.52</v>
      </c>
      <c r="AP117" s="5368"/>
      <c r="AQ117" s="5368">
        <v>43.879999999999995</v>
      </c>
      <c r="AR117" s="5368"/>
      <c r="AS117" s="5351">
        <f t="shared" si="101"/>
        <v>62.399999999999991</v>
      </c>
      <c r="AT117" s="5368"/>
      <c r="AU117" s="5368"/>
      <c r="AV117" s="5368"/>
      <c r="AW117" s="5353">
        <f t="shared" si="102"/>
        <v>62.399999999999991</v>
      </c>
      <c r="AX117" s="5368"/>
      <c r="AY117" s="5368"/>
      <c r="AZ117" s="5368"/>
      <c r="BA117" s="5370">
        <f t="shared" si="49"/>
        <v>43.879999999999995</v>
      </c>
      <c r="BB117" s="5368"/>
      <c r="BC117" s="5352">
        <f t="shared" si="50"/>
        <v>52.399999999999991</v>
      </c>
      <c r="BD117" s="5368"/>
      <c r="BE117" s="218">
        <f t="shared" si="103"/>
        <v>62.399999999999991</v>
      </c>
      <c r="BF117" s="26"/>
      <c r="BG117" s="26"/>
    </row>
    <row r="118" spans="1:59" x14ac:dyDescent="0.25">
      <c r="B118" s="899" t="s">
        <v>1132</v>
      </c>
      <c r="C118" s="5348" t="s">
        <v>361</v>
      </c>
      <c r="D118" s="5368"/>
      <c r="E118" s="5368"/>
      <c r="F118" s="5368"/>
      <c r="G118" s="5368"/>
      <c r="H118" s="5369"/>
      <c r="I118" s="5369">
        <f t="shared" si="96"/>
        <v>0</v>
      </c>
      <c r="J118" s="5368"/>
      <c r="K118" s="5368"/>
      <c r="L118" s="5368"/>
      <c r="M118" s="5370">
        <f t="shared" si="97"/>
        <v>0</v>
      </c>
      <c r="N118" s="5368"/>
      <c r="O118" s="5368">
        <v>4.8899999999999997</v>
      </c>
      <c r="P118" s="5368"/>
      <c r="Q118" s="5351">
        <f t="shared" si="98"/>
        <v>4.8899999999999997</v>
      </c>
      <c r="R118" s="5368"/>
      <c r="S118" s="5368"/>
      <c r="T118" s="5368"/>
      <c r="U118" s="5351">
        <f t="shared" si="45"/>
        <v>4.8899999999999997</v>
      </c>
      <c r="V118" s="5368"/>
      <c r="W118" s="5368"/>
      <c r="X118" s="5368"/>
      <c r="Y118" s="5370">
        <f t="shared" si="46"/>
        <v>4.8899999999999997</v>
      </c>
      <c r="Z118" s="5368"/>
      <c r="AA118" s="5352">
        <f t="shared" si="47"/>
        <v>4.8899999999999997</v>
      </c>
      <c r="AB118" s="5368"/>
      <c r="AC118" s="5368"/>
      <c r="AD118" s="5368"/>
      <c r="AE118" s="5351">
        <f t="shared" si="99"/>
        <v>4.8899999999999997</v>
      </c>
      <c r="AF118" s="5368"/>
      <c r="AG118" s="5368"/>
      <c r="AH118" s="5368"/>
      <c r="AI118" s="5351">
        <f t="shared" si="100"/>
        <v>4.8899999999999997</v>
      </c>
      <c r="AJ118" s="5368"/>
      <c r="AK118" s="5368"/>
      <c r="AL118" s="5368"/>
      <c r="AM118" s="5370">
        <f t="shared" si="48"/>
        <v>0</v>
      </c>
      <c r="AN118" s="5368"/>
      <c r="AO118" s="5351">
        <f t="shared" si="51"/>
        <v>4.8899999999999997</v>
      </c>
      <c r="AP118" s="5368"/>
      <c r="AQ118" s="5368">
        <v>33.229999999999997</v>
      </c>
      <c r="AR118" s="5368"/>
      <c r="AS118" s="5351">
        <f t="shared" si="101"/>
        <v>38.119999999999997</v>
      </c>
      <c r="AT118" s="5368"/>
      <c r="AU118" s="5368"/>
      <c r="AV118" s="5368"/>
      <c r="AW118" s="5353">
        <f t="shared" si="102"/>
        <v>38.119999999999997</v>
      </c>
      <c r="AX118" s="5368"/>
      <c r="AY118" s="5368"/>
      <c r="AZ118" s="5368"/>
      <c r="BA118" s="5370">
        <f t="shared" si="49"/>
        <v>33.229999999999997</v>
      </c>
      <c r="BB118" s="5368"/>
      <c r="BC118" s="5352">
        <f t="shared" si="50"/>
        <v>33.229999999999997</v>
      </c>
      <c r="BD118" s="5368"/>
      <c r="BE118" s="218">
        <f t="shared" si="103"/>
        <v>38.119999999999997</v>
      </c>
      <c r="BF118" s="26"/>
      <c r="BG118" s="26"/>
    </row>
    <row r="119" spans="1:59" x14ac:dyDescent="0.25">
      <c r="B119" s="899" t="s">
        <v>1178</v>
      </c>
      <c r="C119" s="5348" t="s">
        <v>361</v>
      </c>
      <c r="D119" s="5368"/>
      <c r="E119" s="5368"/>
      <c r="F119" s="5368"/>
      <c r="G119" s="5368">
        <v>9.3000000000000007</v>
      </c>
      <c r="H119" s="5369"/>
      <c r="I119" s="5369">
        <f t="shared" si="96"/>
        <v>9.3000000000000007</v>
      </c>
      <c r="J119" s="5368"/>
      <c r="K119" s="5368"/>
      <c r="L119" s="5368"/>
      <c r="M119" s="5370">
        <f t="shared" si="97"/>
        <v>9.3000000000000007</v>
      </c>
      <c r="N119" s="5368"/>
      <c r="O119" s="5368"/>
      <c r="P119" s="5368"/>
      <c r="Q119" s="5351">
        <f t="shared" si="98"/>
        <v>9.3000000000000007</v>
      </c>
      <c r="R119" s="5368"/>
      <c r="S119" s="5368"/>
      <c r="T119" s="5368"/>
      <c r="U119" s="5351">
        <f t="shared" si="45"/>
        <v>9.3000000000000007</v>
      </c>
      <c r="V119" s="5368"/>
      <c r="W119" s="5368">
        <v>8.8699999999999992</v>
      </c>
      <c r="X119" s="5368"/>
      <c r="Y119" s="5370">
        <f t="shared" si="46"/>
        <v>8.8699999999999992</v>
      </c>
      <c r="Z119" s="5368"/>
      <c r="AA119" s="5352">
        <f t="shared" si="47"/>
        <v>18.170000000000002</v>
      </c>
      <c r="AB119" s="5368"/>
      <c r="AC119" s="5368"/>
      <c r="AD119" s="5368"/>
      <c r="AE119" s="5351">
        <f t="shared" si="99"/>
        <v>18.170000000000002</v>
      </c>
      <c r="AF119" s="5368"/>
      <c r="AG119" s="5368"/>
      <c r="AH119" s="5368"/>
      <c r="AI119" s="5351">
        <f t="shared" si="100"/>
        <v>18.170000000000002</v>
      </c>
      <c r="AJ119" s="5368"/>
      <c r="AK119" s="5368"/>
      <c r="AL119" s="5368"/>
      <c r="AM119" s="5370">
        <f t="shared" si="48"/>
        <v>0</v>
      </c>
      <c r="AN119" s="5368"/>
      <c r="AO119" s="5351">
        <f t="shared" si="51"/>
        <v>18.170000000000002</v>
      </c>
      <c r="AP119" s="5368"/>
      <c r="AQ119" s="5368"/>
      <c r="AR119" s="5368"/>
      <c r="AS119" s="5351">
        <f t="shared" si="101"/>
        <v>18.170000000000002</v>
      </c>
      <c r="AT119" s="5368"/>
      <c r="AU119" s="5368"/>
      <c r="AV119" s="5368"/>
      <c r="AW119" s="5353">
        <f t="shared" si="102"/>
        <v>18.170000000000002</v>
      </c>
      <c r="AX119" s="5368"/>
      <c r="AY119" s="5368"/>
      <c r="AZ119" s="5368"/>
      <c r="BA119" s="5370">
        <f t="shared" si="49"/>
        <v>0</v>
      </c>
      <c r="BB119" s="5368"/>
      <c r="BC119" s="5352">
        <f t="shared" si="50"/>
        <v>0</v>
      </c>
      <c r="BD119" s="5368"/>
      <c r="BE119" s="218">
        <f t="shared" si="103"/>
        <v>18.170000000000002</v>
      </c>
      <c r="BF119" s="26"/>
      <c r="BG119" s="26"/>
    </row>
    <row r="120" spans="1:59" x14ac:dyDescent="0.25">
      <c r="B120" s="906" t="s">
        <v>1205</v>
      </c>
      <c r="C120" s="5348"/>
      <c r="D120" s="5368"/>
      <c r="E120" s="5365">
        <f>+E121+E122</f>
        <v>7.27</v>
      </c>
      <c r="F120" s="5365">
        <f t="shared" ref="F120:AI120" si="104">+F121+F122</f>
        <v>0</v>
      </c>
      <c r="G120" s="5365">
        <f t="shared" si="104"/>
        <v>0</v>
      </c>
      <c r="H120" s="5365">
        <f t="shared" si="104"/>
        <v>0</v>
      </c>
      <c r="I120" s="5365">
        <f t="shared" si="104"/>
        <v>7.27</v>
      </c>
      <c r="J120" s="5365">
        <f t="shared" si="104"/>
        <v>0</v>
      </c>
      <c r="K120" s="5365">
        <f t="shared" si="104"/>
        <v>0</v>
      </c>
      <c r="L120" s="5365">
        <f t="shared" si="104"/>
        <v>0</v>
      </c>
      <c r="M120" s="5365">
        <f t="shared" si="104"/>
        <v>7.27</v>
      </c>
      <c r="N120" s="5365">
        <f t="shared" si="104"/>
        <v>0</v>
      </c>
      <c r="O120" s="5365">
        <f t="shared" si="104"/>
        <v>0</v>
      </c>
      <c r="P120" s="5365">
        <f t="shared" si="104"/>
        <v>0</v>
      </c>
      <c r="Q120" s="5365">
        <f t="shared" si="104"/>
        <v>7.27</v>
      </c>
      <c r="R120" s="5365">
        <f t="shared" si="104"/>
        <v>0</v>
      </c>
      <c r="S120" s="5365">
        <f t="shared" si="104"/>
        <v>0</v>
      </c>
      <c r="T120" s="5365">
        <f t="shared" si="104"/>
        <v>0</v>
      </c>
      <c r="U120" s="5365">
        <f t="shared" si="104"/>
        <v>7.27</v>
      </c>
      <c r="V120" s="5365">
        <f t="shared" si="104"/>
        <v>0</v>
      </c>
      <c r="W120" s="5365">
        <f t="shared" si="104"/>
        <v>0</v>
      </c>
      <c r="X120" s="5365">
        <f t="shared" si="104"/>
        <v>0</v>
      </c>
      <c r="Y120" s="5365">
        <f t="shared" si="46"/>
        <v>0</v>
      </c>
      <c r="Z120" s="5365">
        <f t="shared" si="104"/>
        <v>0</v>
      </c>
      <c r="AA120" s="5352">
        <f t="shared" si="47"/>
        <v>7.27</v>
      </c>
      <c r="AB120" s="5365">
        <f t="shared" si="104"/>
        <v>0</v>
      </c>
      <c r="AC120" s="5365">
        <f t="shared" si="104"/>
        <v>0</v>
      </c>
      <c r="AD120" s="5365">
        <f t="shared" si="104"/>
        <v>0</v>
      </c>
      <c r="AE120" s="5365">
        <f t="shared" si="104"/>
        <v>7.27</v>
      </c>
      <c r="AF120" s="5365">
        <f t="shared" si="104"/>
        <v>0</v>
      </c>
      <c r="AG120" s="5365">
        <f t="shared" si="104"/>
        <v>0</v>
      </c>
      <c r="AH120" s="5365">
        <f t="shared" si="104"/>
        <v>0</v>
      </c>
      <c r="AI120" s="5365">
        <f t="shared" si="104"/>
        <v>7.27</v>
      </c>
      <c r="AJ120" s="5365">
        <f t="shared" ref="AJ120:AN120" si="105">+AJ121+AJ122</f>
        <v>0</v>
      </c>
      <c r="AK120" s="5365">
        <f t="shared" si="105"/>
        <v>0</v>
      </c>
      <c r="AL120" s="5365">
        <f t="shared" si="105"/>
        <v>0</v>
      </c>
      <c r="AM120" s="5365">
        <f t="shared" si="48"/>
        <v>0</v>
      </c>
      <c r="AN120" s="5365">
        <f t="shared" si="105"/>
        <v>0</v>
      </c>
      <c r="AO120" s="5365">
        <f t="shared" si="51"/>
        <v>7.27</v>
      </c>
      <c r="AP120" s="5365">
        <f t="shared" ref="AP120:AS120" si="106">+AP121+AP122</f>
        <v>0</v>
      </c>
      <c r="AQ120" s="5365">
        <f t="shared" si="106"/>
        <v>0</v>
      </c>
      <c r="AR120" s="5365">
        <f t="shared" si="106"/>
        <v>0</v>
      </c>
      <c r="AS120" s="5365">
        <f t="shared" si="106"/>
        <v>7.27</v>
      </c>
      <c r="AT120" s="5365">
        <f t="shared" ref="AT120:AW120" si="107">+AT121+AT122</f>
        <v>0</v>
      </c>
      <c r="AU120" s="5365">
        <f t="shared" si="107"/>
        <v>0</v>
      </c>
      <c r="AV120" s="5365">
        <f t="shared" si="107"/>
        <v>0</v>
      </c>
      <c r="AW120" s="5365">
        <f t="shared" si="107"/>
        <v>7.27</v>
      </c>
      <c r="AX120" s="5365">
        <f t="shared" ref="AX120:BE120" si="108">+AX121+AX122</f>
        <v>0</v>
      </c>
      <c r="AY120" s="5365">
        <f t="shared" si="108"/>
        <v>0</v>
      </c>
      <c r="AZ120" s="5365">
        <f t="shared" si="108"/>
        <v>0</v>
      </c>
      <c r="BA120" s="5365">
        <f t="shared" si="49"/>
        <v>0</v>
      </c>
      <c r="BB120" s="5365">
        <f t="shared" si="108"/>
        <v>0</v>
      </c>
      <c r="BC120" s="5352">
        <f t="shared" si="50"/>
        <v>0</v>
      </c>
      <c r="BD120" s="5365">
        <f t="shared" si="108"/>
        <v>0</v>
      </c>
      <c r="BE120" s="4253">
        <f t="shared" si="108"/>
        <v>7.27</v>
      </c>
      <c r="BF120" s="26"/>
      <c r="BG120" s="26"/>
    </row>
    <row r="121" spans="1:59" x14ac:dyDescent="0.25">
      <c r="B121" s="899" t="s">
        <v>1495</v>
      </c>
      <c r="C121" s="5348" t="s">
        <v>361</v>
      </c>
      <c r="D121" s="5368"/>
      <c r="E121" s="5368">
        <v>5.08</v>
      </c>
      <c r="F121" s="5368"/>
      <c r="G121" s="5368"/>
      <c r="H121" s="5369"/>
      <c r="I121" s="5369">
        <f t="shared" si="96"/>
        <v>5.08</v>
      </c>
      <c r="J121" s="5368"/>
      <c r="K121" s="5368"/>
      <c r="L121" s="5368"/>
      <c r="M121" s="5370">
        <f t="shared" si="97"/>
        <v>5.08</v>
      </c>
      <c r="N121" s="5368"/>
      <c r="O121" s="5368"/>
      <c r="P121" s="5368"/>
      <c r="Q121" s="5351">
        <f t="shared" si="98"/>
        <v>5.08</v>
      </c>
      <c r="R121" s="5368"/>
      <c r="S121" s="5368"/>
      <c r="T121" s="5368"/>
      <c r="U121" s="5351">
        <f t="shared" si="45"/>
        <v>5.08</v>
      </c>
      <c r="V121" s="5368"/>
      <c r="W121" s="5368"/>
      <c r="X121" s="5368"/>
      <c r="Y121" s="5370">
        <f t="shared" si="46"/>
        <v>0</v>
      </c>
      <c r="Z121" s="5368"/>
      <c r="AA121" s="5352">
        <f t="shared" si="47"/>
        <v>5.08</v>
      </c>
      <c r="AB121" s="5368"/>
      <c r="AC121" s="5368"/>
      <c r="AD121" s="5368"/>
      <c r="AE121" s="5351">
        <f t="shared" si="99"/>
        <v>5.08</v>
      </c>
      <c r="AF121" s="5368"/>
      <c r="AG121" s="5368"/>
      <c r="AH121" s="5368"/>
      <c r="AI121" s="5351">
        <f t="shared" si="100"/>
        <v>5.08</v>
      </c>
      <c r="AJ121" s="5368"/>
      <c r="AK121" s="5368"/>
      <c r="AL121" s="5368"/>
      <c r="AM121" s="5370">
        <f t="shared" si="48"/>
        <v>0</v>
      </c>
      <c r="AN121" s="5368"/>
      <c r="AO121" s="5351">
        <f t="shared" si="51"/>
        <v>5.08</v>
      </c>
      <c r="AP121" s="5368"/>
      <c r="AQ121" s="5368"/>
      <c r="AR121" s="5368"/>
      <c r="AS121" s="5351">
        <f t="shared" ref="AS121:AS122" si="109">+AO121+AQ121</f>
        <v>5.08</v>
      </c>
      <c r="AT121" s="5368"/>
      <c r="AU121" s="5368"/>
      <c r="AV121" s="5368"/>
      <c r="AW121" s="5353">
        <f t="shared" ref="AW121:AW122" si="110">+AS121+AU121</f>
        <v>5.08</v>
      </c>
      <c r="AX121" s="5368"/>
      <c r="AY121" s="5368"/>
      <c r="AZ121" s="5368"/>
      <c r="BA121" s="5370">
        <f t="shared" si="49"/>
        <v>0</v>
      </c>
      <c r="BB121" s="5368"/>
      <c r="BC121" s="5352">
        <f t="shared" si="50"/>
        <v>0</v>
      </c>
      <c r="BD121" s="5368"/>
      <c r="BE121" s="218">
        <f t="shared" ref="BE121:BE122" si="111">+AW121+AY121</f>
        <v>5.08</v>
      </c>
      <c r="BF121" s="26"/>
      <c r="BG121" s="26"/>
    </row>
    <row r="122" spans="1:59" x14ac:dyDescent="0.25">
      <c r="B122" s="899" t="s">
        <v>1350</v>
      </c>
      <c r="C122" s="5348" t="s">
        <v>361</v>
      </c>
      <c r="D122" s="5368"/>
      <c r="E122" s="5368">
        <v>2.19</v>
      </c>
      <c r="F122" s="5368"/>
      <c r="G122" s="5368"/>
      <c r="H122" s="5369"/>
      <c r="I122" s="5369">
        <f t="shared" si="96"/>
        <v>2.19</v>
      </c>
      <c r="J122" s="5368"/>
      <c r="K122" s="5368"/>
      <c r="L122" s="5368"/>
      <c r="M122" s="5370">
        <f t="shared" si="97"/>
        <v>2.19</v>
      </c>
      <c r="N122" s="5368"/>
      <c r="O122" s="5368"/>
      <c r="P122" s="5368"/>
      <c r="Q122" s="5351">
        <f t="shared" si="98"/>
        <v>2.19</v>
      </c>
      <c r="R122" s="5368"/>
      <c r="S122" s="5368"/>
      <c r="T122" s="5368"/>
      <c r="U122" s="5351">
        <f t="shared" si="45"/>
        <v>2.19</v>
      </c>
      <c r="V122" s="5368"/>
      <c r="W122" s="5368"/>
      <c r="X122" s="5368"/>
      <c r="Y122" s="5370">
        <f t="shared" si="46"/>
        <v>0</v>
      </c>
      <c r="Z122" s="5368"/>
      <c r="AA122" s="5352">
        <f t="shared" si="47"/>
        <v>2.19</v>
      </c>
      <c r="AB122" s="5368"/>
      <c r="AC122" s="5368"/>
      <c r="AD122" s="5368"/>
      <c r="AE122" s="5351">
        <f t="shared" si="99"/>
        <v>2.19</v>
      </c>
      <c r="AF122" s="5368"/>
      <c r="AG122" s="5368"/>
      <c r="AH122" s="5368"/>
      <c r="AI122" s="5351">
        <f t="shared" si="100"/>
        <v>2.19</v>
      </c>
      <c r="AJ122" s="5368"/>
      <c r="AK122" s="5368"/>
      <c r="AL122" s="5368"/>
      <c r="AM122" s="5370">
        <f t="shared" si="48"/>
        <v>0</v>
      </c>
      <c r="AN122" s="5368"/>
      <c r="AO122" s="5351">
        <f t="shared" si="51"/>
        <v>2.19</v>
      </c>
      <c r="AP122" s="5368"/>
      <c r="AQ122" s="5368"/>
      <c r="AR122" s="5368"/>
      <c r="AS122" s="5351">
        <f t="shared" si="109"/>
        <v>2.19</v>
      </c>
      <c r="AT122" s="5368"/>
      <c r="AU122" s="5368"/>
      <c r="AV122" s="5368"/>
      <c r="AW122" s="5353">
        <f t="shared" si="110"/>
        <v>2.19</v>
      </c>
      <c r="AX122" s="5368"/>
      <c r="AY122" s="5368"/>
      <c r="AZ122" s="5368"/>
      <c r="BA122" s="5370">
        <f t="shared" si="49"/>
        <v>0</v>
      </c>
      <c r="BB122" s="5368"/>
      <c r="BC122" s="5352">
        <f t="shared" si="50"/>
        <v>0</v>
      </c>
      <c r="BD122" s="5368"/>
      <c r="BE122" s="218">
        <f t="shared" si="111"/>
        <v>2.19</v>
      </c>
      <c r="BF122" s="26"/>
      <c r="BG122" s="26"/>
    </row>
    <row r="123" spans="1:59" x14ac:dyDescent="0.25">
      <c r="B123" s="906" t="s">
        <v>1000</v>
      </c>
      <c r="C123" s="5348" t="s">
        <v>361</v>
      </c>
      <c r="D123" s="5365"/>
      <c r="E123" s="5365">
        <f>+E124</f>
        <v>5.3</v>
      </c>
      <c r="F123" s="5365">
        <f t="shared" ref="F123:BE123" si="112">+F124</f>
        <v>0</v>
      </c>
      <c r="G123" s="5365">
        <f t="shared" si="112"/>
        <v>0</v>
      </c>
      <c r="H123" s="5365">
        <f t="shared" si="112"/>
        <v>0</v>
      </c>
      <c r="I123" s="5365">
        <f t="shared" si="112"/>
        <v>5.3</v>
      </c>
      <c r="J123" s="5365">
        <f t="shared" si="112"/>
        <v>0</v>
      </c>
      <c r="K123" s="5365">
        <f t="shared" si="112"/>
        <v>0</v>
      </c>
      <c r="L123" s="5365">
        <f t="shared" si="112"/>
        <v>0</v>
      </c>
      <c r="M123" s="5365">
        <f t="shared" si="112"/>
        <v>5.3</v>
      </c>
      <c r="N123" s="5365">
        <f t="shared" si="112"/>
        <v>0</v>
      </c>
      <c r="O123" s="5365">
        <f t="shared" si="112"/>
        <v>0</v>
      </c>
      <c r="P123" s="5365">
        <f t="shared" si="112"/>
        <v>0</v>
      </c>
      <c r="Q123" s="5365">
        <f t="shared" si="112"/>
        <v>5.3</v>
      </c>
      <c r="R123" s="5365">
        <f t="shared" si="112"/>
        <v>0</v>
      </c>
      <c r="S123" s="5365">
        <f t="shared" si="112"/>
        <v>0</v>
      </c>
      <c r="T123" s="5365">
        <f t="shared" si="112"/>
        <v>0</v>
      </c>
      <c r="U123" s="5365">
        <f t="shared" si="112"/>
        <v>5.3</v>
      </c>
      <c r="V123" s="5365">
        <f t="shared" si="112"/>
        <v>0</v>
      </c>
      <c r="W123" s="5365">
        <f t="shared" si="112"/>
        <v>0</v>
      </c>
      <c r="X123" s="5365">
        <f t="shared" si="112"/>
        <v>0</v>
      </c>
      <c r="Y123" s="5365">
        <f t="shared" si="46"/>
        <v>0</v>
      </c>
      <c r="Z123" s="5365">
        <f t="shared" si="112"/>
        <v>0</v>
      </c>
      <c r="AA123" s="5352">
        <f t="shared" si="47"/>
        <v>5.3</v>
      </c>
      <c r="AB123" s="5365">
        <f t="shared" si="112"/>
        <v>0</v>
      </c>
      <c r="AC123" s="5365">
        <f t="shared" si="112"/>
        <v>0</v>
      </c>
      <c r="AD123" s="5365">
        <f t="shared" si="112"/>
        <v>0</v>
      </c>
      <c r="AE123" s="5365">
        <f t="shared" si="112"/>
        <v>5.3</v>
      </c>
      <c r="AF123" s="5365">
        <f t="shared" si="112"/>
        <v>0</v>
      </c>
      <c r="AG123" s="5365">
        <f t="shared" si="112"/>
        <v>0</v>
      </c>
      <c r="AH123" s="5365">
        <f t="shared" si="112"/>
        <v>0</v>
      </c>
      <c r="AI123" s="5365">
        <f t="shared" si="112"/>
        <v>5.3</v>
      </c>
      <c r="AJ123" s="5365">
        <f t="shared" si="112"/>
        <v>0</v>
      </c>
      <c r="AK123" s="5365">
        <f t="shared" si="112"/>
        <v>0</v>
      </c>
      <c r="AL123" s="5365">
        <f t="shared" si="112"/>
        <v>0</v>
      </c>
      <c r="AM123" s="5365">
        <f t="shared" si="48"/>
        <v>0</v>
      </c>
      <c r="AN123" s="5365">
        <f t="shared" si="112"/>
        <v>0</v>
      </c>
      <c r="AO123" s="5365">
        <f t="shared" si="51"/>
        <v>5.3</v>
      </c>
      <c r="AP123" s="5365">
        <f t="shared" si="112"/>
        <v>0</v>
      </c>
      <c r="AQ123" s="5365">
        <f t="shared" si="112"/>
        <v>0</v>
      </c>
      <c r="AR123" s="5365">
        <f t="shared" si="112"/>
        <v>0</v>
      </c>
      <c r="AS123" s="5365">
        <f t="shared" si="112"/>
        <v>5.3</v>
      </c>
      <c r="AT123" s="5365">
        <f t="shared" si="112"/>
        <v>0</v>
      </c>
      <c r="AU123" s="5365">
        <f t="shared" si="112"/>
        <v>4.53</v>
      </c>
      <c r="AV123" s="5365">
        <f t="shared" si="112"/>
        <v>0</v>
      </c>
      <c r="AW123" s="5365">
        <f t="shared" si="112"/>
        <v>9.83</v>
      </c>
      <c r="AX123" s="5365">
        <f t="shared" si="112"/>
        <v>0</v>
      </c>
      <c r="AY123" s="5365">
        <f t="shared" si="112"/>
        <v>0</v>
      </c>
      <c r="AZ123" s="5365">
        <f t="shared" si="112"/>
        <v>0</v>
      </c>
      <c r="BA123" s="5365">
        <f t="shared" si="49"/>
        <v>4.53</v>
      </c>
      <c r="BB123" s="5365">
        <f t="shared" si="112"/>
        <v>0</v>
      </c>
      <c r="BC123" s="5352">
        <f t="shared" si="50"/>
        <v>4.53</v>
      </c>
      <c r="BD123" s="5365">
        <f t="shared" si="112"/>
        <v>0</v>
      </c>
      <c r="BE123" s="4253">
        <f t="shared" si="112"/>
        <v>9.83</v>
      </c>
      <c r="BF123" s="26"/>
      <c r="BG123" s="26"/>
    </row>
    <row r="124" spans="1:59" x14ac:dyDescent="0.25">
      <c r="B124" s="8" t="s">
        <v>912</v>
      </c>
      <c r="C124" s="5348" t="s">
        <v>361</v>
      </c>
      <c r="D124" s="5368"/>
      <c r="E124" s="5368">
        <v>5.3</v>
      </c>
      <c r="F124" s="5368"/>
      <c r="G124" s="5368"/>
      <c r="H124" s="5369"/>
      <c r="I124" s="5369">
        <f t="shared" si="96"/>
        <v>5.3</v>
      </c>
      <c r="J124" s="5368"/>
      <c r="K124" s="5368"/>
      <c r="L124" s="5368"/>
      <c r="M124" s="5370">
        <f t="shared" si="97"/>
        <v>5.3</v>
      </c>
      <c r="N124" s="5368"/>
      <c r="O124" s="5368"/>
      <c r="P124" s="5368"/>
      <c r="Q124" s="5351">
        <f t="shared" si="98"/>
        <v>5.3</v>
      </c>
      <c r="R124" s="5368"/>
      <c r="S124" s="5368"/>
      <c r="T124" s="5368"/>
      <c r="U124" s="5351">
        <f t="shared" si="45"/>
        <v>5.3</v>
      </c>
      <c r="V124" s="5368"/>
      <c r="W124" s="5368"/>
      <c r="X124" s="5368"/>
      <c r="Y124" s="5370">
        <f t="shared" si="46"/>
        <v>0</v>
      </c>
      <c r="Z124" s="5368"/>
      <c r="AA124" s="5352">
        <f t="shared" si="47"/>
        <v>5.3</v>
      </c>
      <c r="AB124" s="5368"/>
      <c r="AC124" s="5368"/>
      <c r="AD124" s="5368"/>
      <c r="AE124" s="5351">
        <f t="shared" si="99"/>
        <v>5.3</v>
      </c>
      <c r="AF124" s="5368"/>
      <c r="AG124" s="5368"/>
      <c r="AH124" s="5368"/>
      <c r="AI124" s="5351">
        <f t="shared" si="100"/>
        <v>5.3</v>
      </c>
      <c r="AJ124" s="5368"/>
      <c r="AK124" s="5368"/>
      <c r="AL124" s="5368"/>
      <c r="AM124" s="5370">
        <f t="shared" si="48"/>
        <v>0</v>
      </c>
      <c r="AN124" s="5368"/>
      <c r="AO124" s="5351">
        <f t="shared" si="51"/>
        <v>5.3</v>
      </c>
      <c r="AP124" s="5368"/>
      <c r="AQ124" s="5368"/>
      <c r="AR124" s="5368"/>
      <c r="AS124" s="5351">
        <f t="shared" ref="AS124" si="113">+AO124+AQ124</f>
        <v>5.3</v>
      </c>
      <c r="AT124" s="5368"/>
      <c r="AU124" s="5368">
        <v>4.53</v>
      </c>
      <c r="AV124" s="5368"/>
      <c r="AW124" s="5353">
        <f t="shared" ref="AW124" si="114">+AS124+AU124</f>
        <v>9.83</v>
      </c>
      <c r="AX124" s="5368"/>
      <c r="AY124" s="5368"/>
      <c r="AZ124" s="5368"/>
      <c r="BA124" s="5370">
        <f t="shared" si="49"/>
        <v>4.53</v>
      </c>
      <c r="BB124" s="5368"/>
      <c r="BC124" s="5352">
        <f t="shared" si="50"/>
        <v>4.53</v>
      </c>
      <c r="BD124" s="5368"/>
      <c r="BE124" s="218">
        <f t="shared" ref="BE124" si="115">+AW124+AY124</f>
        <v>9.83</v>
      </c>
      <c r="BF124" s="26"/>
      <c r="BG124" s="26"/>
    </row>
    <row r="125" spans="1:59" x14ac:dyDescent="0.25">
      <c r="B125" s="906" t="s">
        <v>1418</v>
      </c>
      <c r="C125" s="5348" t="s">
        <v>361</v>
      </c>
      <c r="D125" s="5368"/>
      <c r="E125" s="5365">
        <f>+E126</f>
        <v>0</v>
      </c>
      <c r="F125" s="5365">
        <f t="shared" ref="F125:BE125" si="116">+F126</f>
        <v>0</v>
      </c>
      <c r="G125" s="5365">
        <f t="shared" si="116"/>
        <v>0</v>
      </c>
      <c r="H125" s="5365">
        <f t="shared" si="116"/>
        <v>0</v>
      </c>
      <c r="I125" s="5365">
        <f t="shared" si="116"/>
        <v>0</v>
      </c>
      <c r="J125" s="5365">
        <f t="shared" si="116"/>
        <v>0</v>
      </c>
      <c r="K125" s="5365">
        <f t="shared" si="116"/>
        <v>0</v>
      </c>
      <c r="L125" s="5365">
        <f t="shared" si="116"/>
        <v>0</v>
      </c>
      <c r="M125" s="5365">
        <f t="shared" si="116"/>
        <v>0</v>
      </c>
      <c r="N125" s="5365">
        <f t="shared" si="116"/>
        <v>0</v>
      </c>
      <c r="O125" s="5365">
        <f t="shared" si="116"/>
        <v>0</v>
      </c>
      <c r="P125" s="5365">
        <f t="shared" si="116"/>
        <v>0</v>
      </c>
      <c r="Q125" s="5365">
        <f t="shared" si="116"/>
        <v>0</v>
      </c>
      <c r="R125" s="5365">
        <f t="shared" si="116"/>
        <v>0</v>
      </c>
      <c r="S125" s="5365">
        <f t="shared" si="116"/>
        <v>0</v>
      </c>
      <c r="T125" s="5365">
        <f t="shared" si="116"/>
        <v>0</v>
      </c>
      <c r="U125" s="5365">
        <f t="shared" si="116"/>
        <v>0</v>
      </c>
      <c r="V125" s="5365">
        <f t="shared" si="116"/>
        <v>0</v>
      </c>
      <c r="W125" s="5365">
        <f t="shared" si="116"/>
        <v>0</v>
      </c>
      <c r="X125" s="5365">
        <f t="shared" si="116"/>
        <v>0</v>
      </c>
      <c r="Y125" s="5365">
        <f t="shared" si="46"/>
        <v>0</v>
      </c>
      <c r="Z125" s="5365">
        <f t="shared" si="116"/>
        <v>0</v>
      </c>
      <c r="AA125" s="5352">
        <f t="shared" si="47"/>
        <v>0</v>
      </c>
      <c r="AB125" s="5365">
        <f t="shared" si="116"/>
        <v>0</v>
      </c>
      <c r="AC125" s="5365">
        <f t="shared" si="116"/>
        <v>0</v>
      </c>
      <c r="AD125" s="5365">
        <f t="shared" si="116"/>
        <v>0</v>
      </c>
      <c r="AE125" s="5365">
        <f t="shared" si="116"/>
        <v>0</v>
      </c>
      <c r="AF125" s="5365">
        <f t="shared" si="116"/>
        <v>0</v>
      </c>
      <c r="AG125" s="5365">
        <f t="shared" si="116"/>
        <v>600.65</v>
      </c>
      <c r="AH125" s="5365">
        <f t="shared" si="116"/>
        <v>0</v>
      </c>
      <c r="AI125" s="5365">
        <f t="shared" si="116"/>
        <v>600.65</v>
      </c>
      <c r="AJ125" s="5365">
        <f t="shared" si="116"/>
        <v>0</v>
      </c>
      <c r="AK125" s="5365">
        <f t="shared" si="116"/>
        <v>0</v>
      </c>
      <c r="AL125" s="5365">
        <f t="shared" si="116"/>
        <v>0</v>
      </c>
      <c r="AM125" s="5365">
        <f t="shared" si="48"/>
        <v>600.65</v>
      </c>
      <c r="AN125" s="5365">
        <f t="shared" si="116"/>
        <v>0</v>
      </c>
      <c r="AO125" s="5365">
        <f t="shared" si="51"/>
        <v>600.65</v>
      </c>
      <c r="AP125" s="5365">
        <f t="shared" si="116"/>
        <v>0</v>
      </c>
      <c r="AQ125" s="5365">
        <f t="shared" si="116"/>
        <v>0</v>
      </c>
      <c r="AR125" s="5365">
        <f t="shared" si="116"/>
        <v>0</v>
      </c>
      <c r="AS125" s="5365">
        <f t="shared" si="116"/>
        <v>600.65</v>
      </c>
      <c r="AT125" s="5365">
        <f t="shared" si="116"/>
        <v>0</v>
      </c>
      <c r="AU125" s="5365">
        <f t="shared" si="116"/>
        <v>0</v>
      </c>
      <c r="AV125" s="5365">
        <f t="shared" si="116"/>
        <v>0</v>
      </c>
      <c r="AW125" s="5365">
        <f t="shared" si="116"/>
        <v>600.65</v>
      </c>
      <c r="AX125" s="5365">
        <f t="shared" si="116"/>
        <v>0</v>
      </c>
      <c r="AY125" s="5365">
        <f t="shared" si="116"/>
        <v>377.2</v>
      </c>
      <c r="AZ125" s="5365">
        <f t="shared" si="116"/>
        <v>0</v>
      </c>
      <c r="BA125" s="5365">
        <f t="shared" si="49"/>
        <v>377.2</v>
      </c>
      <c r="BB125" s="5365">
        <f t="shared" si="116"/>
        <v>0</v>
      </c>
      <c r="BC125" s="5352">
        <f t="shared" si="50"/>
        <v>977.84999999999991</v>
      </c>
      <c r="BD125" s="5365">
        <f t="shared" si="116"/>
        <v>0</v>
      </c>
      <c r="BE125" s="4253">
        <f t="shared" si="116"/>
        <v>977.84999999999991</v>
      </c>
      <c r="BF125" s="26"/>
      <c r="BG125" s="26"/>
    </row>
    <row r="126" spans="1:59" x14ac:dyDescent="0.25">
      <c r="B126" s="8" t="s">
        <v>1419</v>
      </c>
      <c r="C126" s="5348" t="s">
        <v>361</v>
      </c>
      <c r="D126" s="5368"/>
      <c r="E126" s="5368"/>
      <c r="F126" s="5368"/>
      <c r="G126" s="5368"/>
      <c r="H126" s="5369"/>
      <c r="I126" s="5369">
        <f t="shared" si="96"/>
        <v>0</v>
      </c>
      <c r="J126" s="5368"/>
      <c r="K126" s="5368"/>
      <c r="L126" s="5368"/>
      <c r="M126" s="5370">
        <f t="shared" si="97"/>
        <v>0</v>
      </c>
      <c r="N126" s="5368"/>
      <c r="O126" s="5368"/>
      <c r="P126" s="5368"/>
      <c r="Q126" s="5351">
        <f t="shared" si="98"/>
        <v>0</v>
      </c>
      <c r="R126" s="5368"/>
      <c r="S126" s="5368"/>
      <c r="T126" s="5368"/>
      <c r="U126" s="5351">
        <f t="shared" si="45"/>
        <v>0</v>
      </c>
      <c r="V126" s="5368"/>
      <c r="W126" s="5368"/>
      <c r="X126" s="5368"/>
      <c r="Y126" s="5370">
        <f t="shared" si="46"/>
        <v>0</v>
      </c>
      <c r="Z126" s="5368"/>
      <c r="AA126" s="5352">
        <f t="shared" si="47"/>
        <v>0</v>
      </c>
      <c r="AB126" s="5368"/>
      <c r="AC126" s="5368"/>
      <c r="AD126" s="5368"/>
      <c r="AE126" s="5351">
        <f t="shared" si="99"/>
        <v>0</v>
      </c>
      <c r="AF126" s="5368"/>
      <c r="AG126" s="5368">
        <v>600.65</v>
      </c>
      <c r="AH126" s="5368"/>
      <c r="AI126" s="5351">
        <f t="shared" si="100"/>
        <v>600.65</v>
      </c>
      <c r="AJ126" s="5368"/>
      <c r="AK126" s="5368"/>
      <c r="AL126" s="5368"/>
      <c r="AM126" s="5370">
        <f t="shared" si="48"/>
        <v>600.65</v>
      </c>
      <c r="AN126" s="5368"/>
      <c r="AO126" s="5351">
        <f t="shared" si="51"/>
        <v>600.65</v>
      </c>
      <c r="AP126" s="5368"/>
      <c r="AQ126" s="5368"/>
      <c r="AR126" s="5368"/>
      <c r="AS126" s="5351">
        <f t="shared" ref="AS126:AS127" si="117">+AO126+AQ126</f>
        <v>600.65</v>
      </c>
      <c r="AT126" s="5368"/>
      <c r="AU126" s="5368"/>
      <c r="AV126" s="5368"/>
      <c r="AW126" s="5353">
        <f t="shared" ref="AW126:AW127" si="118">+AS126+AU126</f>
        <v>600.65</v>
      </c>
      <c r="AX126" s="5368"/>
      <c r="AY126" s="5368">
        <v>377.2</v>
      </c>
      <c r="AZ126" s="5368"/>
      <c r="BA126" s="5370">
        <f t="shared" si="49"/>
        <v>377.2</v>
      </c>
      <c r="BB126" s="5368"/>
      <c r="BC126" s="5352">
        <f t="shared" si="50"/>
        <v>977.84999999999991</v>
      </c>
      <c r="BD126" s="5368"/>
      <c r="BE126" s="218">
        <f t="shared" ref="BE126:BE127" si="119">+AW126+AY126</f>
        <v>977.84999999999991</v>
      </c>
      <c r="BF126" s="26"/>
      <c r="BG126" s="26"/>
    </row>
    <row r="127" spans="1:59" ht="16.5" thickBot="1" x14ac:dyDescent="0.3">
      <c r="A127" s="183"/>
      <c r="B127" s="906" t="s">
        <v>1133</v>
      </c>
      <c r="C127" s="5348" t="s">
        <v>361</v>
      </c>
      <c r="D127" s="5368"/>
      <c r="E127" s="5371">
        <v>17.809999999999999</v>
      </c>
      <c r="F127" s="5371"/>
      <c r="G127" s="5371">
        <v>0</v>
      </c>
      <c r="H127" s="5371"/>
      <c r="I127" s="5371">
        <f t="shared" si="96"/>
        <v>17.809999999999999</v>
      </c>
      <c r="J127" s="5371"/>
      <c r="K127" s="5371">
        <v>28.32</v>
      </c>
      <c r="L127" s="5371"/>
      <c r="M127" s="5372">
        <f t="shared" si="97"/>
        <v>46.129999999999995</v>
      </c>
      <c r="N127" s="5371"/>
      <c r="O127" s="5371">
        <v>0</v>
      </c>
      <c r="P127" s="5371"/>
      <c r="Q127" s="5371">
        <f t="shared" si="98"/>
        <v>46.129999999999995</v>
      </c>
      <c r="R127" s="5371"/>
      <c r="S127" s="5371">
        <v>48.18</v>
      </c>
      <c r="T127" s="5371"/>
      <c r="U127" s="5371">
        <f t="shared" si="45"/>
        <v>94.31</v>
      </c>
      <c r="V127" s="5371"/>
      <c r="W127" s="5371">
        <v>0</v>
      </c>
      <c r="X127" s="5371"/>
      <c r="Y127" s="5372">
        <f t="shared" si="46"/>
        <v>48.18</v>
      </c>
      <c r="Z127" s="5371"/>
      <c r="AA127" s="5373">
        <f t="shared" si="47"/>
        <v>94.31</v>
      </c>
      <c r="AB127" s="5371"/>
      <c r="AC127" s="5371">
        <v>100.1</v>
      </c>
      <c r="AD127" s="5371"/>
      <c r="AE127" s="5371">
        <f t="shared" si="99"/>
        <v>194.41</v>
      </c>
      <c r="AF127" s="5371"/>
      <c r="AG127" s="5371"/>
      <c r="AH127" s="5371"/>
      <c r="AI127" s="5371">
        <f t="shared" si="100"/>
        <v>194.41</v>
      </c>
      <c r="AJ127" s="5371"/>
      <c r="AK127" s="5371">
        <v>8.25</v>
      </c>
      <c r="AL127" s="5371"/>
      <c r="AM127" s="5372">
        <f t="shared" si="48"/>
        <v>108.35</v>
      </c>
      <c r="AN127" s="5371"/>
      <c r="AO127" s="5371">
        <f t="shared" si="51"/>
        <v>202.66</v>
      </c>
      <c r="AP127" s="5371"/>
      <c r="AQ127" s="5371"/>
      <c r="AR127" s="5371"/>
      <c r="AS127" s="5371">
        <f t="shared" si="117"/>
        <v>202.66</v>
      </c>
      <c r="AT127" s="5371"/>
      <c r="AU127" s="5371"/>
      <c r="AV127" s="5371"/>
      <c r="AW127" s="5374">
        <f t="shared" si="118"/>
        <v>202.66</v>
      </c>
      <c r="AX127" s="5371"/>
      <c r="AY127" s="5371">
        <v>2.67</v>
      </c>
      <c r="AZ127" s="5371"/>
      <c r="BA127" s="5372">
        <f t="shared" si="49"/>
        <v>2.67</v>
      </c>
      <c r="BB127" s="5371"/>
      <c r="BC127" s="5373">
        <f t="shared" si="50"/>
        <v>111.02</v>
      </c>
      <c r="BD127" s="5371"/>
      <c r="BE127" s="5375">
        <f t="shared" si="119"/>
        <v>205.32999999999998</v>
      </c>
      <c r="BF127" s="26"/>
      <c r="BG127" s="26"/>
    </row>
    <row r="128" spans="1:59" ht="26.25" thickBot="1" x14ac:dyDescent="0.3">
      <c r="A128" s="183"/>
      <c r="B128" s="6159" t="s">
        <v>1136</v>
      </c>
      <c r="C128" s="6160"/>
      <c r="D128" s="1733"/>
      <c r="E128" s="1733">
        <f>+E116+E120+E123+E125+E127</f>
        <v>30.38</v>
      </c>
      <c r="F128" s="1733">
        <f t="shared" ref="F128:AI128" si="120">+F116+F120+F123+F125+F127</f>
        <v>0</v>
      </c>
      <c r="G128" s="1733">
        <f t="shared" si="120"/>
        <v>9.3000000000000007</v>
      </c>
      <c r="H128" s="1733">
        <f t="shared" si="120"/>
        <v>0</v>
      </c>
      <c r="I128" s="1733">
        <f t="shared" si="120"/>
        <v>39.68</v>
      </c>
      <c r="J128" s="1733">
        <f t="shared" si="120"/>
        <v>0</v>
      </c>
      <c r="K128" s="1733">
        <f t="shared" si="120"/>
        <v>28.32</v>
      </c>
      <c r="L128" s="1733">
        <f t="shared" si="120"/>
        <v>0</v>
      </c>
      <c r="M128" s="1733">
        <f t="shared" si="120"/>
        <v>68</v>
      </c>
      <c r="N128" s="1733">
        <f t="shared" si="120"/>
        <v>0</v>
      </c>
      <c r="O128" s="1733">
        <f t="shared" si="120"/>
        <v>4.8899999999999997</v>
      </c>
      <c r="P128" s="1733">
        <f t="shared" si="120"/>
        <v>0</v>
      </c>
      <c r="Q128" s="1733">
        <f t="shared" si="120"/>
        <v>72.89</v>
      </c>
      <c r="R128" s="1733">
        <f t="shared" si="120"/>
        <v>0</v>
      </c>
      <c r="S128" s="1733">
        <f t="shared" si="120"/>
        <v>48.18</v>
      </c>
      <c r="T128" s="1733">
        <f t="shared" si="120"/>
        <v>0</v>
      </c>
      <c r="U128" s="1733">
        <f t="shared" si="120"/>
        <v>121.07000000000001</v>
      </c>
      <c r="V128" s="1733">
        <f t="shared" si="120"/>
        <v>0</v>
      </c>
      <c r="W128" s="1733">
        <f t="shared" si="120"/>
        <v>18.869999999999997</v>
      </c>
      <c r="X128" s="1733">
        <f t="shared" si="120"/>
        <v>0</v>
      </c>
      <c r="Y128" s="1733">
        <f t="shared" si="46"/>
        <v>71.94</v>
      </c>
      <c r="Z128" s="1733">
        <f t="shared" si="120"/>
        <v>0</v>
      </c>
      <c r="AA128" s="5194">
        <f t="shared" si="47"/>
        <v>139.94</v>
      </c>
      <c r="AB128" s="1733">
        <f t="shared" si="120"/>
        <v>0</v>
      </c>
      <c r="AC128" s="1733">
        <f t="shared" si="120"/>
        <v>108.61999999999999</v>
      </c>
      <c r="AD128" s="1733">
        <f t="shared" si="120"/>
        <v>0</v>
      </c>
      <c r="AE128" s="1733">
        <f t="shared" si="120"/>
        <v>248.56</v>
      </c>
      <c r="AF128" s="1733">
        <f t="shared" si="120"/>
        <v>0</v>
      </c>
      <c r="AG128" s="1733">
        <f t="shared" si="120"/>
        <v>600.65</v>
      </c>
      <c r="AH128" s="1733">
        <f t="shared" si="120"/>
        <v>0</v>
      </c>
      <c r="AI128" s="1733">
        <f t="shared" si="120"/>
        <v>849.20999999999992</v>
      </c>
      <c r="AJ128" s="1733">
        <f t="shared" ref="AJ128:AN128" si="121">+AJ116+AJ120+AJ123+AJ125+AJ127</f>
        <v>0</v>
      </c>
      <c r="AK128" s="1733">
        <f t="shared" si="121"/>
        <v>8.25</v>
      </c>
      <c r="AL128" s="1733">
        <f t="shared" si="121"/>
        <v>0</v>
      </c>
      <c r="AM128" s="1733">
        <f t="shared" si="48"/>
        <v>717.52</v>
      </c>
      <c r="AN128" s="1733">
        <f t="shared" si="121"/>
        <v>0</v>
      </c>
      <c r="AO128" s="1733">
        <f t="shared" si="51"/>
        <v>857.45999999999992</v>
      </c>
      <c r="AP128" s="1733">
        <f t="shared" ref="AP128:AS128" si="122">+AP116+AP120+AP123+AP125+AP127</f>
        <v>0</v>
      </c>
      <c r="AQ128" s="1733">
        <f t="shared" si="122"/>
        <v>77.109999999999985</v>
      </c>
      <c r="AR128" s="1733">
        <f t="shared" si="122"/>
        <v>0</v>
      </c>
      <c r="AS128" s="1733">
        <f t="shared" si="122"/>
        <v>934.56999999999994</v>
      </c>
      <c r="AT128" s="1733">
        <f t="shared" ref="AT128:AW128" si="123">+AT116+AT120+AT123+AT125+AT127</f>
        <v>0</v>
      </c>
      <c r="AU128" s="1733">
        <f t="shared" si="123"/>
        <v>4.53</v>
      </c>
      <c r="AV128" s="1733">
        <f t="shared" si="123"/>
        <v>0</v>
      </c>
      <c r="AW128" s="1733">
        <f t="shared" si="123"/>
        <v>939.09999999999991</v>
      </c>
      <c r="AX128" s="1733">
        <f t="shared" ref="AX128:BE128" si="124">+AX116+AX120+AX123+AX125+AX127</f>
        <v>0</v>
      </c>
      <c r="AY128" s="1733">
        <f t="shared" si="124"/>
        <v>379.87</v>
      </c>
      <c r="AZ128" s="1733">
        <f t="shared" si="124"/>
        <v>0</v>
      </c>
      <c r="BA128" s="1733">
        <f t="shared" si="49"/>
        <v>461.51</v>
      </c>
      <c r="BB128" s="1733">
        <f t="shared" si="124"/>
        <v>0</v>
      </c>
      <c r="BC128" s="5194">
        <f t="shared" si="50"/>
        <v>1179.03</v>
      </c>
      <c r="BD128" s="1733">
        <f t="shared" si="124"/>
        <v>0</v>
      </c>
      <c r="BE128" s="1733">
        <f t="shared" si="124"/>
        <v>1318.9699999999998</v>
      </c>
      <c r="BF128" s="26"/>
      <c r="BG128" s="26"/>
    </row>
    <row r="129" spans="1:59" ht="20.25" x14ac:dyDescent="0.25">
      <c r="A129" s="183"/>
      <c r="H129" s="2259"/>
      <c r="I129" s="2259"/>
      <c r="S129" s="2583"/>
      <c r="T129" s="2583"/>
      <c r="U129" s="2583"/>
      <c r="W129" s="2583"/>
      <c r="X129" s="5183"/>
      <c r="Z129" s="2583"/>
      <c r="AA129" s="2583">
        <f t="shared" si="47"/>
        <v>0</v>
      </c>
      <c r="AB129" s="4052"/>
      <c r="AC129" s="2583"/>
      <c r="AD129" s="2583"/>
      <c r="AE129" s="2583"/>
      <c r="AF129" s="4164"/>
      <c r="AG129" s="2583"/>
      <c r="AH129" s="2583"/>
      <c r="AI129" s="2583"/>
      <c r="AJ129" s="4280"/>
      <c r="AK129" s="2583"/>
      <c r="AL129" s="4280"/>
      <c r="AM129" s="186"/>
      <c r="AN129" s="2583"/>
      <c r="AO129" s="2583"/>
      <c r="AP129" s="4399"/>
      <c r="AQ129" s="2583"/>
      <c r="AR129" s="2583"/>
      <c r="AS129" s="2583"/>
      <c r="AT129" s="4638"/>
      <c r="AU129" s="2583"/>
      <c r="AV129" s="2583"/>
      <c r="AW129" s="2583"/>
      <c r="AX129" s="2583"/>
      <c r="AY129" s="2583"/>
      <c r="AZ129" s="2583"/>
      <c r="BA129" s="186"/>
      <c r="BB129" s="2583"/>
      <c r="BC129" s="2583"/>
      <c r="BD129" s="2583"/>
      <c r="BE129" s="2583"/>
      <c r="BF129" s="26"/>
      <c r="BG129" s="26"/>
    </row>
    <row r="130" spans="1:59" ht="25.5" x14ac:dyDescent="0.25">
      <c r="B130" s="6157" t="s">
        <v>1163</v>
      </c>
      <c r="C130" s="6158"/>
      <c r="D130" s="719"/>
      <c r="E130" s="2556"/>
      <c r="F130" s="719"/>
      <c r="G130" s="2556"/>
      <c r="H130" s="2263"/>
      <c r="I130" s="2263"/>
      <c r="J130" s="719"/>
      <c r="K130" s="2556"/>
      <c r="L130" s="719"/>
      <c r="N130" s="719"/>
      <c r="O130" s="2556"/>
      <c r="P130" s="719"/>
      <c r="Q130" s="2556"/>
      <c r="R130" s="719"/>
      <c r="S130" s="2556"/>
      <c r="U130" s="2556"/>
      <c r="V130" s="719"/>
      <c r="W130" s="3399"/>
      <c r="X130" s="719"/>
      <c r="Z130" s="34"/>
      <c r="AA130" s="34">
        <f t="shared" si="47"/>
        <v>0</v>
      </c>
      <c r="AB130" s="719"/>
      <c r="AC130" s="4052"/>
      <c r="AD130" s="4052"/>
      <c r="AE130" s="4052"/>
      <c r="AF130" s="719"/>
      <c r="AG130" s="4164"/>
      <c r="AH130" s="4164"/>
      <c r="AI130" s="4164"/>
      <c r="AJ130" s="719"/>
      <c r="AK130" s="4280"/>
      <c r="AL130" s="719"/>
      <c r="AM130" s="186"/>
      <c r="AN130" s="4280"/>
      <c r="AO130" s="4280"/>
      <c r="AP130" s="719"/>
      <c r="AQ130" s="4399"/>
      <c r="AR130" s="4399"/>
      <c r="AS130" s="4399"/>
      <c r="AT130" s="719"/>
      <c r="AU130" s="4638"/>
      <c r="AV130" s="4638"/>
      <c r="AX130" s="34"/>
      <c r="AY130" s="34"/>
      <c r="AZ130" s="34"/>
      <c r="BA130" s="186"/>
      <c r="BB130" s="34"/>
      <c r="BC130" s="34"/>
      <c r="BD130" s="34"/>
      <c r="BE130" s="34"/>
      <c r="BF130" s="26"/>
      <c r="BG130" s="26"/>
    </row>
    <row r="131" spans="1:59" ht="22.5" x14ac:dyDescent="0.25">
      <c r="B131" s="1394" t="s">
        <v>713</v>
      </c>
      <c r="C131" s="446"/>
      <c r="D131" s="538"/>
      <c r="E131" s="481"/>
      <c r="F131" s="481"/>
      <c r="G131" s="481"/>
      <c r="H131" s="2266"/>
      <c r="I131" s="2266"/>
      <c r="J131" s="481"/>
      <c r="K131" s="481"/>
      <c r="L131" s="481"/>
      <c r="M131" s="3628"/>
      <c r="N131" s="481"/>
      <c r="O131" s="481"/>
      <c r="P131" s="481"/>
      <c r="Q131" s="481"/>
      <c r="R131" s="481"/>
      <c r="S131" s="719"/>
      <c r="T131" s="719"/>
      <c r="U131" s="719"/>
      <c r="V131" s="481"/>
      <c r="W131" s="719"/>
      <c r="X131" s="481"/>
      <c r="Y131" s="3628">
        <f t="shared" si="46"/>
        <v>0</v>
      </c>
      <c r="Z131" s="481"/>
      <c r="AA131" s="625">
        <f t="shared" si="47"/>
        <v>0</v>
      </c>
      <c r="AB131" s="481"/>
      <c r="AC131" s="719"/>
      <c r="AD131" s="719"/>
      <c r="AE131" s="719"/>
      <c r="AF131" s="481"/>
      <c r="AG131" s="719"/>
      <c r="AH131" s="719"/>
      <c r="AI131" s="719"/>
      <c r="AJ131" s="481"/>
      <c r="AK131" s="719"/>
      <c r="AL131" s="481"/>
      <c r="AM131" s="3628">
        <f t="shared" si="48"/>
        <v>0</v>
      </c>
      <c r="AN131" s="719"/>
      <c r="AO131" s="719"/>
      <c r="AP131" s="481"/>
      <c r="AQ131" s="719"/>
      <c r="AR131" s="719"/>
      <c r="AS131" s="719"/>
      <c r="AT131" s="481"/>
      <c r="AU131" s="719"/>
      <c r="AV131" s="719"/>
      <c r="AW131" s="1416"/>
      <c r="AX131" s="481"/>
      <c r="AY131" s="719"/>
      <c r="AZ131" s="481"/>
      <c r="BA131" s="3628">
        <f t="shared" si="49"/>
        <v>0</v>
      </c>
      <c r="BB131" s="481"/>
      <c r="BC131" s="625"/>
      <c r="BD131" s="719"/>
      <c r="BE131" s="1416"/>
      <c r="BF131" s="26"/>
      <c r="BG131" s="26"/>
    </row>
    <row r="132" spans="1:59" ht="18.75" x14ac:dyDescent="0.25">
      <c r="B132" s="2599" t="s">
        <v>1395</v>
      </c>
      <c r="C132" s="193" t="s">
        <v>361</v>
      </c>
      <c r="D132" s="1636"/>
      <c r="E132" s="720">
        <v>23.69</v>
      </c>
      <c r="F132" s="720"/>
      <c r="G132" s="720">
        <v>75.319999999999993</v>
      </c>
      <c r="H132" s="2263"/>
      <c r="I132" s="2263">
        <f t="shared" si="96"/>
        <v>99.009999999999991</v>
      </c>
      <c r="J132" s="720"/>
      <c r="K132" s="720"/>
      <c r="L132" s="720"/>
      <c r="M132" s="1436">
        <f t="shared" ref="M132:M170" si="125">+E132+G132+K132</f>
        <v>99.009999999999991</v>
      </c>
      <c r="N132" s="720"/>
      <c r="O132" s="720">
        <v>199.9</v>
      </c>
      <c r="P132" s="720"/>
      <c r="Q132" s="709">
        <f t="shared" ref="Q132:Q175" si="126">+M132+O132</f>
        <v>298.90999999999997</v>
      </c>
      <c r="R132" s="720"/>
      <c r="S132" s="2619">
        <v>99.490000000000009</v>
      </c>
      <c r="T132" s="481"/>
      <c r="U132" s="2621">
        <f t="shared" ref="U132:U161" si="127">+Q132+S132</f>
        <v>398.4</v>
      </c>
      <c r="V132" s="720"/>
      <c r="W132" s="3395"/>
      <c r="X132" s="720"/>
      <c r="Y132" s="1436">
        <f t="shared" si="46"/>
        <v>299.39</v>
      </c>
      <c r="Z132" s="720"/>
      <c r="AA132" s="625">
        <f t="shared" si="47"/>
        <v>398.4</v>
      </c>
      <c r="AB132" s="720"/>
      <c r="AC132" s="4048"/>
      <c r="AD132" s="481"/>
      <c r="AE132" s="4022">
        <f t="shared" ref="AE132:AE148" si="128">+AA132+AC132</f>
        <v>398.4</v>
      </c>
      <c r="AF132" s="720"/>
      <c r="AG132" s="4220">
        <v>323.20999999999998</v>
      </c>
      <c r="AH132" s="481"/>
      <c r="AI132" s="4022">
        <f t="shared" ref="AI132:AI148" si="129">+AE132+AG132</f>
        <v>721.6099999999999</v>
      </c>
      <c r="AJ132" s="720"/>
      <c r="AK132" s="4276"/>
      <c r="AL132" s="720"/>
      <c r="AM132" s="1436">
        <f t="shared" si="48"/>
        <v>323.20999999999998</v>
      </c>
      <c r="AN132" s="481"/>
      <c r="AO132" s="4022">
        <f t="shared" si="51"/>
        <v>721.6099999999999</v>
      </c>
      <c r="AP132" s="720"/>
      <c r="AQ132" s="4397"/>
      <c r="AR132" s="481"/>
      <c r="AS132" s="4022">
        <f t="shared" ref="AS132:AS148" si="130">+AO132+AQ132</f>
        <v>721.6099999999999</v>
      </c>
      <c r="AT132" s="720"/>
      <c r="AU132" s="4634"/>
      <c r="AV132" s="481"/>
      <c r="AW132" s="311">
        <f t="shared" ref="AW132:AW148" si="131">+AS132+AU132</f>
        <v>721.6099999999999</v>
      </c>
      <c r="AX132" s="720"/>
      <c r="AY132" s="5182"/>
      <c r="AZ132" s="720"/>
      <c r="BA132" s="1436">
        <f t="shared" si="49"/>
        <v>0</v>
      </c>
      <c r="BB132" s="720"/>
      <c r="BC132" s="625">
        <f t="shared" si="50"/>
        <v>323.20999999999998</v>
      </c>
      <c r="BD132" s="481"/>
      <c r="BE132" s="311">
        <f t="shared" ref="BE132:BE145" si="132">+AW132+AY132</f>
        <v>721.6099999999999</v>
      </c>
      <c r="BF132" s="26"/>
      <c r="BG132" s="26"/>
    </row>
    <row r="133" spans="1:59" x14ac:dyDescent="0.25">
      <c r="B133" s="2599" t="s">
        <v>1497</v>
      </c>
      <c r="C133" s="193" t="s">
        <v>361</v>
      </c>
      <c r="D133" s="1636"/>
      <c r="E133" s="720">
        <v>100</v>
      </c>
      <c r="F133" s="720"/>
      <c r="G133" s="720"/>
      <c r="H133" s="2263"/>
      <c r="I133" s="2263">
        <f t="shared" si="96"/>
        <v>100</v>
      </c>
      <c r="J133" s="720"/>
      <c r="K133" s="720"/>
      <c r="L133" s="720"/>
      <c r="M133" s="1436">
        <f t="shared" si="125"/>
        <v>100</v>
      </c>
      <c r="N133" s="720"/>
      <c r="O133" s="720"/>
      <c r="P133" s="720"/>
      <c r="Q133" s="709">
        <f t="shared" si="126"/>
        <v>100</v>
      </c>
      <c r="R133" s="720"/>
      <c r="S133" s="720"/>
      <c r="T133" s="720"/>
      <c r="U133" s="2621">
        <f t="shared" si="127"/>
        <v>100</v>
      </c>
      <c r="V133" s="720"/>
      <c r="W133" s="720"/>
      <c r="X133" s="720"/>
      <c r="Y133" s="1436">
        <f t="shared" ref="Y133:Y198" si="133">+O133+S133+W133</f>
        <v>0</v>
      </c>
      <c r="Z133" s="720"/>
      <c r="AA133" s="625">
        <f t="shared" ref="AA133:AA198" si="134">M133+Y133</f>
        <v>100</v>
      </c>
      <c r="AB133" s="720"/>
      <c r="AC133" s="720"/>
      <c r="AD133" s="720"/>
      <c r="AE133" s="4022">
        <f t="shared" si="128"/>
        <v>100</v>
      </c>
      <c r="AF133" s="720"/>
      <c r="AG133" s="720"/>
      <c r="AH133" s="720"/>
      <c r="AI133" s="4022">
        <f t="shared" si="129"/>
        <v>100</v>
      </c>
      <c r="AJ133" s="720"/>
      <c r="AK133" s="720"/>
      <c r="AL133" s="720"/>
      <c r="AM133" s="1436">
        <f t="shared" ref="AM133:AM198" si="135">+AC133+AG133+AK133</f>
        <v>0</v>
      </c>
      <c r="AN133" s="720"/>
      <c r="AO133" s="4022">
        <f t="shared" si="51"/>
        <v>100</v>
      </c>
      <c r="AP133" s="720"/>
      <c r="AQ133" s="720"/>
      <c r="AR133" s="720"/>
      <c r="AS133" s="4022">
        <f t="shared" si="130"/>
        <v>100</v>
      </c>
      <c r="AT133" s="720"/>
      <c r="AU133" s="720"/>
      <c r="AV133" s="720"/>
      <c r="AW133" s="311">
        <f t="shared" si="131"/>
        <v>100</v>
      </c>
      <c r="AX133" s="720"/>
      <c r="AY133" s="720"/>
      <c r="AZ133" s="720"/>
      <c r="BA133" s="1436">
        <f t="shared" ref="BA133:BA198" si="136">+AQ133+AU133+AY133</f>
        <v>0</v>
      </c>
      <c r="BB133" s="720"/>
      <c r="BC133" s="625">
        <f t="shared" si="50"/>
        <v>0</v>
      </c>
      <c r="BD133" s="720"/>
      <c r="BE133" s="311">
        <f t="shared" si="132"/>
        <v>100</v>
      </c>
      <c r="BF133" s="26"/>
      <c r="BG133" s="26"/>
    </row>
    <row r="134" spans="1:59" x14ac:dyDescent="0.25">
      <c r="B134" s="2599" t="s">
        <v>1566</v>
      </c>
      <c r="C134" s="193" t="s">
        <v>361</v>
      </c>
      <c r="D134" s="1636"/>
      <c r="E134" s="720"/>
      <c r="F134" s="720"/>
      <c r="G134" s="720">
        <v>408</v>
      </c>
      <c r="H134" s="2263"/>
      <c r="I134" s="2263">
        <f t="shared" si="96"/>
        <v>408</v>
      </c>
      <c r="J134" s="720"/>
      <c r="K134" s="720"/>
      <c r="L134" s="720"/>
      <c r="M134" s="1436">
        <f t="shared" si="125"/>
        <v>408</v>
      </c>
      <c r="N134" s="720"/>
      <c r="O134" s="720"/>
      <c r="P134" s="720"/>
      <c r="Q134" s="709">
        <f t="shared" si="126"/>
        <v>408</v>
      </c>
      <c r="R134" s="720"/>
      <c r="S134" s="720"/>
      <c r="T134" s="720"/>
      <c r="U134" s="2621">
        <f t="shared" si="127"/>
        <v>408</v>
      </c>
      <c r="V134" s="720"/>
      <c r="W134" s="720"/>
      <c r="X134" s="720"/>
      <c r="Y134" s="1436">
        <f t="shared" si="133"/>
        <v>0</v>
      </c>
      <c r="Z134" s="720"/>
      <c r="AA134" s="625">
        <f t="shared" si="134"/>
        <v>408</v>
      </c>
      <c r="AB134" s="720"/>
      <c r="AC134" s="720"/>
      <c r="AD134" s="720"/>
      <c r="AE134" s="4022">
        <f t="shared" si="128"/>
        <v>408</v>
      </c>
      <c r="AF134" s="720"/>
      <c r="AG134" s="720"/>
      <c r="AH134" s="720"/>
      <c r="AI134" s="4022">
        <f t="shared" si="129"/>
        <v>408</v>
      </c>
      <c r="AJ134" s="720"/>
      <c r="AK134" s="720"/>
      <c r="AL134" s="720"/>
      <c r="AM134" s="1436">
        <f t="shared" si="135"/>
        <v>0</v>
      </c>
      <c r="AN134" s="720"/>
      <c r="AO134" s="4022">
        <f t="shared" si="51"/>
        <v>408</v>
      </c>
      <c r="AP134" s="720"/>
      <c r="AQ134" s="720"/>
      <c r="AR134" s="720"/>
      <c r="AS134" s="4022">
        <f t="shared" si="130"/>
        <v>408</v>
      </c>
      <c r="AT134" s="720"/>
      <c r="AU134" s="720"/>
      <c r="AV134" s="720"/>
      <c r="AW134" s="311">
        <f t="shared" si="131"/>
        <v>408</v>
      </c>
      <c r="AX134" s="720"/>
      <c r="AY134" s="720"/>
      <c r="AZ134" s="720"/>
      <c r="BA134" s="1436">
        <f t="shared" si="136"/>
        <v>0</v>
      </c>
      <c r="BB134" s="720"/>
      <c r="BC134" s="625">
        <f t="shared" ref="BC134:BC201" si="137">BA134+AM134</f>
        <v>0</v>
      </c>
      <c r="BD134" s="720"/>
      <c r="BE134" s="311">
        <f t="shared" si="132"/>
        <v>408</v>
      </c>
      <c r="BF134" s="26"/>
      <c r="BG134" s="26"/>
    </row>
    <row r="135" spans="1:59" x14ac:dyDescent="0.25">
      <c r="B135" s="2599" t="s">
        <v>1567</v>
      </c>
      <c r="C135" s="193" t="s">
        <v>361</v>
      </c>
      <c r="D135" s="1636"/>
      <c r="E135" s="720"/>
      <c r="F135" s="720"/>
      <c r="G135" s="720">
        <v>99.19</v>
      </c>
      <c r="H135" s="2263"/>
      <c r="I135" s="2263">
        <f t="shared" si="96"/>
        <v>99.19</v>
      </c>
      <c r="J135" s="720"/>
      <c r="K135" s="720"/>
      <c r="L135" s="720"/>
      <c r="M135" s="1436">
        <f t="shared" si="125"/>
        <v>99.19</v>
      </c>
      <c r="N135" s="720"/>
      <c r="O135" s="720"/>
      <c r="P135" s="720"/>
      <c r="Q135" s="709">
        <f t="shared" si="126"/>
        <v>99.19</v>
      </c>
      <c r="R135" s="720"/>
      <c r="S135" s="720"/>
      <c r="T135" s="720"/>
      <c r="U135" s="2621">
        <f t="shared" si="127"/>
        <v>99.19</v>
      </c>
      <c r="V135" s="720"/>
      <c r="W135" s="720"/>
      <c r="X135" s="720"/>
      <c r="Y135" s="1436">
        <f t="shared" si="133"/>
        <v>0</v>
      </c>
      <c r="Z135" s="720"/>
      <c r="AA135" s="625">
        <f t="shared" si="134"/>
        <v>99.19</v>
      </c>
      <c r="AB135" s="720"/>
      <c r="AC135" s="720"/>
      <c r="AD135" s="720"/>
      <c r="AE135" s="4022">
        <f t="shared" si="128"/>
        <v>99.19</v>
      </c>
      <c r="AF135" s="720"/>
      <c r="AG135" s="720">
        <v>99.11</v>
      </c>
      <c r="AH135" s="720"/>
      <c r="AI135" s="4022">
        <f t="shared" si="129"/>
        <v>198.3</v>
      </c>
      <c r="AJ135" s="720"/>
      <c r="AK135" s="720"/>
      <c r="AL135" s="720"/>
      <c r="AM135" s="1436">
        <f t="shared" si="135"/>
        <v>99.11</v>
      </c>
      <c r="AN135" s="720"/>
      <c r="AO135" s="4022">
        <f t="shared" si="51"/>
        <v>198.3</v>
      </c>
      <c r="AP135" s="720"/>
      <c r="AQ135" s="720">
        <v>32.44</v>
      </c>
      <c r="AR135" s="720"/>
      <c r="AS135" s="4022">
        <f t="shared" si="130"/>
        <v>230.74</v>
      </c>
      <c r="AT135" s="720"/>
      <c r="AU135" s="720">
        <v>65.430000000000007</v>
      </c>
      <c r="AV135" s="720"/>
      <c r="AW135" s="311">
        <f t="shared" si="131"/>
        <v>296.17</v>
      </c>
      <c r="AX135" s="720"/>
      <c r="AY135" s="720">
        <v>19.989999999999998</v>
      </c>
      <c r="AZ135" s="720"/>
      <c r="BA135" s="1436">
        <f t="shared" si="136"/>
        <v>117.86</v>
      </c>
      <c r="BB135" s="720"/>
      <c r="BC135" s="625">
        <f t="shared" si="137"/>
        <v>216.97</v>
      </c>
      <c r="BD135" s="720"/>
      <c r="BE135" s="311">
        <f t="shared" si="132"/>
        <v>316.16000000000003</v>
      </c>
      <c r="BF135" s="26"/>
      <c r="BG135" s="26"/>
    </row>
    <row r="136" spans="1:59" x14ac:dyDescent="0.25">
      <c r="B136" s="2599" t="s">
        <v>1568</v>
      </c>
      <c r="C136" s="193" t="s">
        <v>361</v>
      </c>
      <c r="D136" s="1636"/>
      <c r="E136" s="720"/>
      <c r="F136" s="720"/>
      <c r="G136" s="720">
        <v>0.5</v>
      </c>
      <c r="H136" s="2263"/>
      <c r="I136" s="2263">
        <f t="shared" si="96"/>
        <v>0.5</v>
      </c>
      <c r="J136" s="720"/>
      <c r="K136" s="720"/>
      <c r="L136" s="720"/>
      <c r="M136" s="1436">
        <f t="shared" si="125"/>
        <v>0.5</v>
      </c>
      <c r="N136" s="720"/>
      <c r="O136" s="720"/>
      <c r="P136" s="720"/>
      <c r="Q136" s="709">
        <f t="shared" si="126"/>
        <v>0.5</v>
      </c>
      <c r="R136" s="720"/>
      <c r="S136" s="720"/>
      <c r="T136" s="720"/>
      <c r="U136" s="2621">
        <f t="shared" si="127"/>
        <v>0.5</v>
      </c>
      <c r="V136" s="720"/>
      <c r="W136" s="720"/>
      <c r="X136" s="720"/>
      <c r="Y136" s="1436">
        <f t="shared" si="133"/>
        <v>0</v>
      </c>
      <c r="Z136" s="720"/>
      <c r="AA136" s="625">
        <f t="shared" si="134"/>
        <v>0.5</v>
      </c>
      <c r="AB136" s="720"/>
      <c r="AC136" s="720"/>
      <c r="AD136" s="720"/>
      <c r="AE136" s="4022">
        <f t="shared" si="128"/>
        <v>0.5</v>
      </c>
      <c r="AF136" s="720"/>
      <c r="AG136" s="720"/>
      <c r="AH136" s="720"/>
      <c r="AI136" s="4022">
        <f t="shared" si="129"/>
        <v>0.5</v>
      </c>
      <c r="AJ136" s="720"/>
      <c r="AK136" s="720"/>
      <c r="AL136" s="720"/>
      <c r="AM136" s="1436">
        <f t="shared" si="135"/>
        <v>0</v>
      </c>
      <c r="AN136" s="720"/>
      <c r="AO136" s="4022">
        <f t="shared" si="51"/>
        <v>0.5</v>
      </c>
      <c r="AP136" s="720"/>
      <c r="AQ136" s="720"/>
      <c r="AR136" s="720"/>
      <c r="AS136" s="4022">
        <f t="shared" si="130"/>
        <v>0.5</v>
      </c>
      <c r="AT136" s="720"/>
      <c r="AU136" s="720"/>
      <c r="AV136" s="720"/>
      <c r="AW136" s="311">
        <f t="shared" si="131"/>
        <v>0.5</v>
      </c>
      <c r="AX136" s="720"/>
      <c r="AY136" s="720"/>
      <c r="AZ136" s="720"/>
      <c r="BA136" s="1436">
        <f t="shared" si="136"/>
        <v>0</v>
      </c>
      <c r="BB136" s="720"/>
      <c r="BC136" s="625">
        <f t="shared" si="137"/>
        <v>0</v>
      </c>
      <c r="BD136" s="720"/>
      <c r="BE136" s="311">
        <f t="shared" si="132"/>
        <v>0.5</v>
      </c>
      <c r="BF136" s="26"/>
      <c r="BG136" s="26"/>
    </row>
    <row r="137" spans="1:59" x14ac:dyDescent="0.25">
      <c r="B137" s="2599" t="s">
        <v>1641</v>
      </c>
      <c r="C137" s="193" t="s">
        <v>361</v>
      </c>
      <c r="D137" s="1636"/>
      <c r="E137" s="720"/>
      <c r="F137" s="720"/>
      <c r="G137" s="720"/>
      <c r="H137" s="2263"/>
      <c r="I137" s="2263">
        <f t="shared" si="96"/>
        <v>0</v>
      </c>
      <c r="J137" s="720"/>
      <c r="K137" s="720">
        <v>2.84</v>
      </c>
      <c r="L137" s="720"/>
      <c r="M137" s="1436">
        <f t="shared" si="125"/>
        <v>2.84</v>
      </c>
      <c r="N137" s="720"/>
      <c r="O137" s="720"/>
      <c r="P137" s="720"/>
      <c r="Q137" s="709">
        <f t="shared" si="126"/>
        <v>2.84</v>
      </c>
      <c r="R137" s="720"/>
      <c r="S137" s="720"/>
      <c r="T137" s="720"/>
      <c r="U137" s="2621">
        <f t="shared" si="127"/>
        <v>2.84</v>
      </c>
      <c r="V137" s="720"/>
      <c r="W137" s="720">
        <v>1.04</v>
      </c>
      <c r="X137" s="720"/>
      <c r="Y137" s="1436">
        <f t="shared" si="133"/>
        <v>1.04</v>
      </c>
      <c r="Z137" s="720"/>
      <c r="AA137" s="625">
        <f t="shared" si="134"/>
        <v>3.88</v>
      </c>
      <c r="AB137" s="720"/>
      <c r="AC137" s="720"/>
      <c r="AD137" s="720"/>
      <c r="AE137" s="4022">
        <f t="shared" si="128"/>
        <v>3.88</v>
      </c>
      <c r="AF137" s="720"/>
      <c r="AG137" s="720"/>
      <c r="AH137" s="720"/>
      <c r="AI137" s="4022">
        <f t="shared" si="129"/>
        <v>3.88</v>
      </c>
      <c r="AJ137" s="720"/>
      <c r="AK137" s="720"/>
      <c r="AL137" s="720"/>
      <c r="AM137" s="1436">
        <f t="shared" si="135"/>
        <v>0</v>
      </c>
      <c r="AN137" s="720"/>
      <c r="AO137" s="4022">
        <f t="shared" si="51"/>
        <v>3.88</v>
      </c>
      <c r="AP137" s="720"/>
      <c r="AQ137" s="720"/>
      <c r="AR137" s="720"/>
      <c r="AS137" s="4022">
        <f t="shared" si="130"/>
        <v>3.88</v>
      </c>
      <c r="AT137" s="720"/>
      <c r="AU137" s="720"/>
      <c r="AV137" s="720"/>
      <c r="AW137" s="311">
        <f t="shared" si="131"/>
        <v>3.88</v>
      </c>
      <c r="AX137" s="720"/>
      <c r="AY137" s="720"/>
      <c r="AZ137" s="720"/>
      <c r="BA137" s="1436">
        <f t="shared" si="136"/>
        <v>0</v>
      </c>
      <c r="BB137" s="720"/>
      <c r="BC137" s="625">
        <f t="shared" si="137"/>
        <v>0</v>
      </c>
      <c r="BD137" s="720"/>
      <c r="BE137" s="311">
        <f t="shared" si="132"/>
        <v>3.88</v>
      </c>
      <c r="BF137" s="26"/>
      <c r="BG137" s="26"/>
    </row>
    <row r="138" spans="1:59" x14ac:dyDescent="0.25">
      <c r="B138" s="2599" t="s">
        <v>1643</v>
      </c>
      <c r="C138" s="193" t="s">
        <v>361</v>
      </c>
      <c r="D138" s="1636"/>
      <c r="E138" s="720"/>
      <c r="F138" s="720"/>
      <c r="G138" s="720"/>
      <c r="H138" s="2263"/>
      <c r="I138" s="2263">
        <f t="shared" si="96"/>
        <v>0</v>
      </c>
      <c r="J138" s="720"/>
      <c r="K138" s="720">
        <v>1.33</v>
      </c>
      <c r="L138" s="720"/>
      <c r="M138" s="1436">
        <f t="shared" si="125"/>
        <v>1.33</v>
      </c>
      <c r="N138" s="720"/>
      <c r="O138" s="720"/>
      <c r="P138" s="720"/>
      <c r="Q138" s="709">
        <f t="shared" si="126"/>
        <v>1.33</v>
      </c>
      <c r="R138" s="720"/>
      <c r="S138" s="720"/>
      <c r="T138" s="720"/>
      <c r="U138" s="2621">
        <f t="shared" si="127"/>
        <v>1.33</v>
      </c>
      <c r="V138" s="720"/>
      <c r="W138" s="720"/>
      <c r="X138" s="720"/>
      <c r="Y138" s="1436">
        <f t="shared" si="133"/>
        <v>0</v>
      </c>
      <c r="Z138" s="720"/>
      <c r="AA138" s="625">
        <f t="shared" si="134"/>
        <v>1.33</v>
      </c>
      <c r="AB138" s="720"/>
      <c r="AC138" s="720"/>
      <c r="AD138" s="720"/>
      <c r="AE138" s="4022">
        <f t="shared" si="128"/>
        <v>1.33</v>
      </c>
      <c r="AF138" s="720"/>
      <c r="AG138" s="720"/>
      <c r="AH138" s="720"/>
      <c r="AI138" s="4022">
        <f t="shared" si="129"/>
        <v>1.33</v>
      </c>
      <c r="AJ138" s="720"/>
      <c r="AK138" s="720"/>
      <c r="AL138" s="720"/>
      <c r="AM138" s="1436">
        <f t="shared" si="135"/>
        <v>0</v>
      </c>
      <c r="AN138" s="720"/>
      <c r="AO138" s="4022">
        <f t="shared" ref="AO138:AO211" si="138">AI138+AK138</f>
        <v>1.33</v>
      </c>
      <c r="AP138" s="720"/>
      <c r="AQ138" s="720"/>
      <c r="AR138" s="720"/>
      <c r="AS138" s="4022">
        <f t="shared" si="130"/>
        <v>1.33</v>
      </c>
      <c r="AT138" s="720"/>
      <c r="AU138" s="720"/>
      <c r="AV138" s="720"/>
      <c r="AW138" s="311">
        <f t="shared" si="131"/>
        <v>1.33</v>
      </c>
      <c r="AX138" s="720"/>
      <c r="AY138" s="720"/>
      <c r="AZ138" s="720"/>
      <c r="BA138" s="1436">
        <f t="shared" si="136"/>
        <v>0</v>
      </c>
      <c r="BB138" s="720"/>
      <c r="BC138" s="625">
        <f t="shared" si="137"/>
        <v>0</v>
      </c>
      <c r="BD138" s="720"/>
      <c r="BE138" s="311">
        <f t="shared" si="132"/>
        <v>1.33</v>
      </c>
      <c r="BF138" s="26"/>
      <c r="BG138" s="26"/>
    </row>
    <row r="139" spans="1:59" x14ac:dyDescent="0.25">
      <c r="B139" s="2599" t="s">
        <v>1701</v>
      </c>
      <c r="C139" s="193" t="s">
        <v>361</v>
      </c>
      <c r="D139" s="1636"/>
      <c r="E139" s="720"/>
      <c r="F139" s="720"/>
      <c r="G139" s="720"/>
      <c r="H139" s="2263"/>
      <c r="I139" s="2263"/>
      <c r="J139" s="720"/>
      <c r="K139" s="720"/>
      <c r="L139" s="720"/>
      <c r="M139" s="1436">
        <f t="shared" si="125"/>
        <v>0</v>
      </c>
      <c r="N139" s="720"/>
      <c r="O139" s="720">
        <v>3</v>
      </c>
      <c r="P139" s="720"/>
      <c r="Q139" s="709">
        <f t="shared" si="126"/>
        <v>3</v>
      </c>
      <c r="R139" s="720"/>
      <c r="S139" s="720"/>
      <c r="T139" s="720"/>
      <c r="U139" s="2621">
        <f t="shared" si="127"/>
        <v>3</v>
      </c>
      <c r="V139" s="720"/>
      <c r="W139" s="720"/>
      <c r="X139" s="720"/>
      <c r="Y139" s="1436">
        <f t="shared" si="133"/>
        <v>3</v>
      </c>
      <c r="Z139" s="720"/>
      <c r="AA139" s="625">
        <f t="shared" si="134"/>
        <v>3</v>
      </c>
      <c r="AB139" s="720"/>
      <c r="AC139" s="720"/>
      <c r="AD139" s="720"/>
      <c r="AE139" s="4022">
        <f t="shared" si="128"/>
        <v>3</v>
      </c>
      <c r="AF139" s="720"/>
      <c r="AG139" s="720"/>
      <c r="AH139" s="720"/>
      <c r="AI139" s="4022">
        <f t="shared" si="129"/>
        <v>3</v>
      </c>
      <c r="AJ139" s="720"/>
      <c r="AK139" s="720"/>
      <c r="AL139" s="720"/>
      <c r="AM139" s="1436">
        <f t="shared" si="135"/>
        <v>0</v>
      </c>
      <c r="AN139" s="720"/>
      <c r="AO139" s="4022">
        <f t="shared" si="138"/>
        <v>3</v>
      </c>
      <c r="AP139" s="720"/>
      <c r="AQ139" s="720"/>
      <c r="AR139" s="720"/>
      <c r="AS139" s="4022">
        <f t="shared" si="130"/>
        <v>3</v>
      </c>
      <c r="AT139" s="720"/>
      <c r="AU139" s="720"/>
      <c r="AV139" s="720"/>
      <c r="AW139" s="311">
        <f t="shared" si="131"/>
        <v>3</v>
      </c>
      <c r="AX139" s="720"/>
      <c r="AY139" s="720"/>
      <c r="AZ139" s="720"/>
      <c r="BA139" s="1436">
        <f t="shared" si="136"/>
        <v>0</v>
      </c>
      <c r="BB139" s="720"/>
      <c r="BC139" s="625">
        <f t="shared" si="137"/>
        <v>0</v>
      </c>
      <c r="BD139" s="720"/>
      <c r="BE139" s="311">
        <f t="shared" si="132"/>
        <v>3</v>
      </c>
      <c r="BF139" s="26"/>
      <c r="BG139" s="26"/>
    </row>
    <row r="140" spans="1:59" s="4342" customFormat="1" x14ac:dyDescent="0.25">
      <c r="B140" s="2599" t="s">
        <v>1901</v>
      </c>
      <c r="C140" s="193" t="s">
        <v>361</v>
      </c>
      <c r="D140" s="1636"/>
      <c r="E140" s="720"/>
      <c r="F140" s="720"/>
      <c r="G140" s="720"/>
      <c r="H140" s="2263"/>
      <c r="I140" s="2263"/>
      <c r="J140" s="720"/>
      <c r="K140" s="720"/>
      <c r="L140" s="720"/>
      <c r="M140" s="1436"/>
      <c r="N140" s="720"/>
      <c r="O140" s="720"/>
      <c r="P140" s="720"/>
      <c r="Q140" s="4022"/>
      <c r="R140" s="720"/>
      <c r="S140" s="720"/>
      <c r="T140" s="720"/>
      <c r="U140" s="4022"/>
      <c r="V140" s="720"/>
      <c r="W140" s="720"/>
      <c r="X140" s="720"/>
      <c r="Y140" s="1436">
        <f t="shared" si="133"/>
        <v>0</v>
      </c>
      <c r="Z140" s="720"/>
      <c r="AA140" s="625">
        <f t="shared" si="134"/>
        <v>0</v>
      </c>
      <c r="AB140" s="720"/>
      <c r="AC140" s="720"/>
      <c r="AD140" s="720"/>
      <c r="AE140" s="4022"/>
      <c r="AF140" s="720"/>
      <c r="AG140" s="720"/>
      <c r="AH140" s="720"/>
      <c r="AI140" s="4022">
        <f t="shared" si="129"/>
        <v>0</v>
      </c>
      <c r="AJ140" s="720"/>
      <c r="AK140" s="720">
        <v>149.37</v>
      </c>
      <c r="AL140" s="720"/>
      <c r="AM140" s="1436">
        <f t="shared" si="135"/>
        <v>149.37</v>
      </c>
      <c r="AN140" s="720"/>
      <c r="AO140" s="4022">
        <f t="shared" ref="AO140" si="139">AI140+AK140</f>
        <v>149.37</v>
      </c>
      <c r="AP140" s="720"/>
      <c r="AQ140" s="720"/>
      <c r="AR140" s="720"/>
      <c r="AS140" s="4022">
        <f t="shared" si="130"/>
        <v>149.37</v>
      </c>
      <c r="AT140" s="720"/>
      <c r="AU140" s="720"/>
      <c r="AV140" s="720"/>
      <c r="AW140" s="311">
        <f t="shared" si="131"/>
        <v>149.37</v>
      </c>
      <c r="AX140" s="720"/>
      <c r="AY140" s="720"/>
      <c r="AZ140" s="720"/>
      <c r="BA140" s="1436">
        <f t="shared" si="136"/>
        <v>0</v>
      </c>
      <c r="BB140" s="720"/>
      <c r="BC140" s="625">
        <f t="shared" si="137"/>
        <v>149.37</v>
      </c>
      <c r="BD140" s="720"/>
      <c r="BE140" s="311">
        <f t="shared" si="132"/>
        <v>149.37</v>
      </c>
      <c r="BF140" s="26"/>
      <c r="BG140" s="26"/>
    </row>
    <row r="141" spans="1:59" x14ac:dyDescent="0.25">
      <c r="B141" s="2599" t="s">
        <v>1572</v>
      </c>
      <c r="C141" s="193" t="s">
        <v>361</v>
      </c>
      <c r="D141" s="1636"/>
      <c r="E141" s="720"/>
      <c r="F141" s="720"/>
      <c r="G141" s="720">
        <v>200</v>
      </c>
      <c r="H141" s="2263"/>
      <c r="I141" s="2263">
        <f t="shared" si="96"/>
        <v>200</v>
      </c>
      <c r="J141" s="720"/>
      <c r="K141" s="720"/>
      <c r="L141" s="720"/>
      <c r="M141" s="1436">
        <f t="shared" si="125"/>
        <v>200</v>
      </c>
      <c r="N141" s="720"/>
      <c r="O141" s="720"/>
      <c r="P141" s="720"/>
      <c r="Q141" s="709">
        <f t="shared" si="126"/>
        <v>200</v>
      </c>
      <c r="R141" s="720"/>
      <c r="S141" s="720"/>
      <c r="T141" s="720"/>
      <c r="U141" s="2621">
        <f t="shared" si="127"/>
        <v>200</v>
      </c>
      <c r="V141" s="720"/>
      <c r="W141" s="720"/>
      <c r="X141" s="720"/>
      <c r="Y141" s="1436">
        <f t="shared" si="133"/>
        <v>0</v>
      </c>
      <c r="Z141" s="720"/>
      <c r="AA141" s="625">
        <f t="shared" si="134"/>
        <v>200</v>
      </c>
      <c r="AB141" s="720"/>
      <c r="AC141" s="720"/>
      <c r="AD141" s="720"/>
      <c r="AE141" s="4022">
        <f t="shared" si="128"/>
        <v>200</v>
      </c>
      <c r="AF141" s="720"/>
      <c r="AG141" s="720"/>
      <c r="AH141" s="720"/>
      <c r="AI141" s="4022">
        <f t="shared" si="129"/>
        <v>200</v>
      </c>
      <c r="AJ141" s="720"/>
      <c r="AK141" s="720"/>
      <c r="AL141" s="720"/>
      <c r="AM141" s="1436">
        <f t="shared" si="135"/>
        <v>0</v>
      </c>
      <c r="AN141" s="720"/>
      <c r="AO141" s="4022">
        <f t="shared" si="138"/>
        <v>200</v>
      </c>
      <c r="AP141" s="720"/>
      <c r="AQ141" s="720"/>
      <c r="AR141" s="720"/>
      <c r="AS141" s="4022">
        <f t="shared" si="130"/>
        <v>200</v>
      </c>
      <c r="AT141" s="720"/>
      <c r="AU141" s="720"/>
      <c r="AV141" s="720"/>
      <c r="AW141" s="311">
        <f t="shared" si="131"/>
        <v>200</v>
      </c>
      <c r="AX141" s="720"/>
      <c r="AY141" s="720"/>
      <c r="AZ141" s="720"/>
      <c r="BA141" s="1436">
        <f t="shared" si="136"/>
        <v>0</v>
      </c>
      <c r="BB141" s="720"/>
      <c r="BC141" s="625">
        <f t="shared" si="137"/>
        <v>0</v>
      </c>
      <c r="BD141" s="720"/>
      <c r="BE141" s="311">
        <f t="shared" si="132"/>
        <v>200</v>
      </c>
      <c r="BF141" s="26"/>
      <c r="BG141" s="26"/>
    </row>
    <row r="142" spans="1:59" x14ac:dyDescent="0.25">
      <c r="B142" s="2599" t="s">
        <v>1573</v>
      </c>
      <c r="C142" s="193" t="s">
        <v>361</v>
      </c>
      <c r="D142" s="1636"/>
      <c r="E142" s="720"/>
      <c r="F142" s="720"/>
      <c r="G142" s="720">
        <v>1150</v>
      </c>
      <c r="H142" s="2263"/>
      <c r="I142" s="2263">
        <f t="shared" si="96"/>
        <v>1150</v>
      </c>
      <c r="J142" s="720"/>
      <c r="K142" s="720"/>
      <c r="L142" s="720"/>
      <c r="M142" s="1436">
        <f t="shared" si="125"/>
        <v>1150</v>
      </c>
      <c r="N142" s="720"/>
      <c r="O142" s="720"/>
      <c r="P142" s="720"/>
      <c r="Q142" s="709">
        <f t="shared" si="126"/>
        <v>1150</v>
      </c>
      <c r="R142" s="720"/>
      <c r="S142" s="720"/>
      <c r="T142" s="720"/>
      <c r="U142" s="2621">
        <f t="shared" si="127"/>
        <v>1150</v>
      </c>
      <c r="V142" s="720"/>
      <c r="W142" s="720"/>
      <c r="X142" s="720"/>
      <c r="Y142" s="1436">
        <f t="shared" si="133"/>
        <v>0</v>
      </c>
      <c r="Z142" s="720"/>
      <c r="AA142" s="625">
        <f t="shared" si="134"/>
        <v>1150</v>
      </c>
      <c r="AB142" s="720"/>
      <c r="AC142" s="720"/>
      <c r="AD142" s="720"/>
      <c r="AE142" s="4022">
        <f t="shared" si="128"/>
        <v>1150</v>
      </c>
      <c r="AF142" s="720"/>
      <c r="AG142" s="720"/>
      <c r="AH142" s="720"/>
      <c r="AI142" s="4022">
        <f t="shared" si="129"/>
        <v>1150</v>
      </c>
      <c r="AJ142" s="720"/>
      <c r="AK142" s="720"/>
      <c r="AL142" s="720"/>
      <c r="AM142" s="1436">
        <f t="shared" si="135"/>
        <v>0</v>
      </c>
      <c r="AN142" s="720"/>
      <c r="AO142" s="4022">
        <f t="shared" si="138"/>
        <v>1150</v>
      </c>
      <c r="AP142" s="720"/>
      <c r="AQ142" s="720"/>
      <c r="AR142" s="720"/>
      <c r="AS142" s="4022">
        <f t="shared" si="130"/>
        <v>1150</v>
      </c>
      <c r="AT142" s="720"/>
      <c r="AU142" s="720"/>
      <c r="AV142" s="720"/>
      <c r="AW142" s="311">
        <f t="shared" si="131"/>
        <v>1150</v>
      </c>
      <c r="AX142" s="720"/>
      <c r="AY142" s="720"/>
      <c r="AZ142" s="720"/>
      <c r="BA142" s="1436">
        <f t="shared" si="136"/>
        <v>0</v>
      </c>
      <c r="BB142" s="720"/>
      <c r="BC142" s="625">
        <f t="shared" si="137"/>
        <v>0</v>
      </c>
      <c r="BD142" s="720"/>
      <c r="BE142" s="311">
        <f t="shared" si="132"/>
        <v>1150</v>
      </c>
      <c r="BF142" s="26"/>
      <c r="BG142" s="26"/>
    </row>
    <row r="143" spans="1:59" x14ac:dyDescent="0.25">
      <c r="B143" s="2599" t="s">
        <v>1574</v>
      </c>
      <c r="C143" s="193" t="s">
        <v>361</v>
      </c>
      <c r="D143" s="1636"/>
      <c r="E143" s="720"/>
      <c r="F143" s="720"/>
      <c r="G143" s="720">
        <v>400</v>
      </c>
      <c r="H143" s="2263"/>
      <c r="I143" s="2263">
        <f t="shared" si="96"/>
        <v>400</v>
      </c>
      <c r="J143" s="720"/>
      <c r="K143" s="720"/>
      <c r="L143" s="720"/>
      <c r="M143" s="1436">
        <f t="shared" si="125"/>
        <v>400</v>
      </c>
      <c r="N143" s="720"/>
      <c r="O143" s="720"/>
      <c r="P143" s="720"/>
      <c r="Q143" s="709">
        <f t="shared" si="126"/>
        <v>400</v>
      </c>
      <c r="R143" s="720"/>
      <c r="S143" s="720"/>
      <c r="T143" s="720"/>
      <c r="U143" s="2621">
        <f t="shared" si="127"/>
        <v>400</v>
      </c>
      <c r="V143" s="720"/>
      <c r="W143" s="720"/>
      <c r="X143" s="720"/>
      <c r="Y143" s="1436">
        <f t="shared" si="133"/>
        <v>0</v>
      </c>
      <c r="Z143" s="720"/>
      <c r="AA143" s="625">
        <f t="shared" si="134"/>
        <v>400</v>
      </c>
      <c r="AB143" s="720"/>
      <c r="AC143" s="720"/>
      <c r="AD143" s="720"/>
      <c r="AE143" s="4022">
        <f t="shared" si="128"/>
        <v>400</v>
      </c>
      <c r="AF143" s="720"/>
      <c r="AG143" s="720"/>
      <c r="AH143" s="720"/>
      <c r="AI143" s="4022">
        <f t="shared" si="129"/>
        <v>400</v>
      </c>
      <c r="AJ143" s="720"/>
      <c r="AK143" s="720"/>
      <c r="AL143" s="720"/>
      <c r="AM143" s="1436">
        <f t="shared" si="135"/>
        <v>0</v>
      </c>
      <c r="AN143" s="720"/>
      <c r="AO143" s="4022">
        <f t="shared" si="138"/>
        <v>400</v>
      </c>
      <c r="AP143" s="720"/>
      <c r="AQ143" s="720"/>
      <c r="AR143" s="720"/>
      <c r="AS143" s="4022">
        <f t="shared" si="130"/>
        <v>400</v>
      </c>
      <c r="AT143" s="720"/>
      <c r="AU143" s="720"/>
      <c r="AV143" s="720"/>
      <c r="AW143" s="311">
        <f t="shared" si="131"/>
        <v>400</v>
      </c>
      <c r="AX143" s="720"/>
      <c r="AY143" s="720"/>
      <c r="AZ143" s="720"/>
      <c r="BA143" s="1436">
        <f t="shared" si="136"/>
        <v>0</v>
      </c>
      <c r="BB143" s="720"/>
      <c r="BC143" s="625">
        <f t="shared" si="137"/>
        <v>0</v>
      </c>
      <c r="BD143" s="720"/>
      <c r="BE143" s="311">
        <f t="shared" si="132"/>
        <v>400</v>
      </c>
      <c r="BF143" s="26"/>
      <c r="BG143" s="26"/>
    </row>
    <row r="144" spans="1:59" x14ac:dyDescent="0.25">
      <c r="B144" s="2599" t="s">
        <v>1575</v>
      </c>
      <c r="C144" s="193" t="s">
        <v>361</v>
      </c>
      <c r="D144" s="1636"/>
      <c r="E144" s="720"/>
      <c r="F144" s="720"/>
      <c r="G144" s="720">
        <v>88</v>
      </c>
      <c r="H144" s="2263"/>
      <c r="I144" s="2263">
        <f t="shared" si="96"/>
        <v>88</v>
      </c>
      <c r="J144" s="720"/>
      <c r="K144" s="720"/>
      <c r="L144" s="720"/>
      <c r="M144" s="1436">
        <f t="shared" si="125"/>
        <v>88</v>
      </c>
      <c r="N144" s="720"/>
      <c r="O144" s="720"/>
      <c r="P144" s="720"/>
      <c r="Q144" s="709">
        <f t="shared" si="126"/>
        <v>88</v>
      </c>
      <c r="R144" s="720"/>
      <c r="S144" s="720"/>
      <c r="T144" s="720"/>
      <c r="U144" s="2621">
        <f t="shared" si="127"/>
        <v>88</v>
      </c>
      <c r="V144" s="720"/>
      <c r="W144" s="720"/>
      <c r="X144" s="720"/>
      <c r="Y144" s="1436">
        <f t="shared" si="133"/>
        <v>0</v>
      </c>
      <c r="Z144" s="720"/>
      <c r="AA144" s="625">
        <f t="shared" si="134"/>
        <v>88</v>
      </c>
      <c r="AB144" s="720"/>
      <c r="AC144" s="720"/>
      <c r="AD144" s="720"/>
      <c r="AE144" s="4022">
        <f t="shared" si="128"/>
        <v>88</v>
      </c>
      <c r="AF144" s="720"/>
      <c r="AG144" s="720"/>
      <c r="AH144" s="720"/>
      <c r="AI144" s="4022">
        <f t="shared" si="129"/>
        <v>88</v>
      </c>
      <c r="AJ144" s="720"/>
      <c r="AK144" s="720"/>
      <c r="AL144" s="720"/>
      <c r="AM144" s="1436">
        <f t="shared" si="135"/>
        <v>0</v>
      </c>
      <c r="AN144" s="720"/>
      <c r="AO144" s="4022">
        <f t="shared" si="138"/>
        <v>88</v>
      </c>
      <c r="AP144" s="720"/>
      <c r="AQ144" s="720"/>
      <c r="AR144" s="720"/>
      <c r="AS144" s="4022">
        <f t="shared" si="130"/>
        <v>88</v>
      </c>
      <c r="AT144" s="720"/>
      <c r="AU144" s="720"/>
      <c r="AV144" s="720"/>
      <c r="AW144" s="311">
        <f t="shared" si="131"/>
        <v>88</v>
      </c>
      <c r="AX144" s="720"/>
      <c r="AY144" s="720"/>
      <c r="AZ144" s="720"/>
      <c r="BA144" s="1436">
        <f t="shared" si="136"/>
        <v>0</v>
      </c>
      <c r="BB144" s="720"/>
      <c r="BC144" s="625">
        <f t="shared" si="137"/>
        <v>0</v>
      </c>
      <c r="BD144" s="720"/>
      <c r="BE144" s="311">
        <f t="shared" si="132"/>
        <v>88</v>
      </c>
      <c r="BF144" s="26"/>
      <c r="BG144" s="26"/>
    </row>
    <row r="145" spans="2:59" x14ac:dyDescent="0.25">
      <c r="B145" s="2599" t="s">
        <v>1576</v>
      </c>
      <c r="C145" s="193" t="s">
        <v>361</v>
      </c>
      <c r="D145" s="1636"/>
      <c r="E145" s="720"/>
      <c r="F145" s="720"/>
      <c r="G145" s="720">
        <v>509</v>
      </c>
      <c r="H145" s="2263"/>
      <c r="I145" s="2263">
        <f t="shared" si="96"/>
        <v>509</v>
      </c>
      <c r="J145" s="720"/>
      <c r="K145" s="720"/>
      <c r="L145" s="720"/>
      <c r="M145" s="1436">
        <f t="shared" si="125"/>
        <v>509</v>
      </c>
      <c r="N145" s="720"/>
      <c r="O145" s="720"/>
      <c r="P145" s="720"/>
      <c r="Q145" s="709">
        <f t="shared" si="126"/>
        <v>509</v>
      </c>
      <c r="R145" s="720"/>
      <c r="S145" s="720"/>
      <c r="T145" s="720"/>
      <c r="U145" s="2621">
        <f t="shared" si="127"/>
        <v>509</v>
      </c>
      <c r="V145" s="720"/>
      <c r="W145" s="720"/>
      <c r="X145" s="720"/>
      <c r="Y145" s="1436">
        <f t="shared" si="133"/>
        <v>0</v>
      </c>
      <c r="Z145" s="720"/>
      <c r="AA145" s="625">
        <f t="shared" si="134"/>
        <v>509</v>
      </c>
      <c r="AB145" s="720"/>
      <c r="AC145" s="720"/>
      <c r="AD145" s="720"/>
      <c r="AE145" s="4022">
        <f t="shared" si="128"/>
        <v>509</v>
      </c>
      <c r="AF145" s="720"/>
      <c r="AG145" s="720"/>
      <c r="AH145" s="720"/>
      <c r="AI145" s="4022">
        <f t="shared" si="129"/>
        <v>509</v>
      </c>
      <c r="AJ145" s="720"/>
      <c r="AK145" s="720"/>
      <c r="AL145" s="720"/>
      <c r="AM145" s="1436">
        <f t="shared" si="135"/>
        <v>0</v>
      </c>
      <c r="AN145" s="720"/>
      <c r="AO145" s="4022">
        <f t="shared" si="138"/>
        <v>509</v>
      </c>
      <c r="AP145" s="720"/>
      <c r="AQ145" s="720"/>
      <c r="AR145" s="720"/>
      <c r="AS145" s="4022">
        <f t="shared" si="130"/>
        <v>509</v>
      </c>
      <c r="AT145" s="720"/>
      <c r="AU145" s="720"/>
      <c r="AV145" s="720"/>
      <c r="AW145" s="311">
        <f t="shared" si="131"/>
        <v>509</v>
      </c>
      <c r="AX145" s="720"/>
      <c r="AY145" s="720"/>
      <c r="AZ145" s="720"/>
      <c r="BA145" s="1436">
        <f t="shared" si="136"/>
        <v>0</v>
      </c>
      <c r="BB145" s="720"/>
      <c r="BC145" s="625">
        <f t="shared" si="137"/>
        <v>0</v>
      </c>
      <c r="BD145" s="720"/>
      <c r="BE145" s="311">
        <f t="shared" si="132"/>
        <v>509</v>
      </c>
      <c r="BF145" s="26"/>
      <c r="BG145" s="26"/>
    </row>
    <row r="146" spans="2:59" s="4109" customFormat="1" x14ac:dyDescent="0.25">
      <c r="B146" s="2599" t="s">
        <v>1851</v>
      </c>
      <c r="C146" s="193" t="s">
        <v>361</v>
      </c>
      <c r="D146" s="1636"/>
      <c r="E146" s="720"/>
      <c r="F146" s="720"/>
      <c r="G146" s="720"/>
      <c r="H146" s="2263"/>
      <c r="I146" s="2263"/>
      <c r="J146" s="720"/>
      <c r="K146" s="720"/>
      <c r="L146" s="720"/>
      <c r="M146" s="1436"/>
      <c r="N146" s="720"/>
      <c r="O146" s="720"/>
      <c r="P146" s="720"/>
      <c r="Q146" s="4022"/>
      <c r="R146" s="720"/>
      <c r="S146" s="720"/>
      <c r="T146" s="720"/>
      <c r="U146" s="4022"/>
      <c r="V146" s="720"/>
      <c r="W146" s="720"/>
      <c r="X146" s="720"/>
      <c r="Y146" s="1436">
        <f t="shared" si="133"/>
        <v>0</v>
      </c>
      <c r="Z146" s="720"/>
      <c r="AA146" s="625">
        <f t="shared" si="134"/>
        <v>0</v>
      </c>
      <c r="AB146" s="720"/>
      <c r="AC146" s="720">
        <v>1000</v>
      </c>
      <c r="AD146" s="720"/>
      <c r="AE146" s="4022">
        <f t="shared" si="128"/>
        <v>1000</v>
      </c>
      <c r="AF146" s="720"/>
      <c r="AG146" s="720"/>
      <c r="AH146" s="720"/>
      <c r="AI146" s="4022">
        <f t="shared" si="129"/>
        <v>1000</v>
      </c>
      <c r="AJ146" s="720"/>
      <c r="AK146" s="720"/>
      <c r="AL146" s="720"/>
      <c r="AM146" s="1436">
        <f t="shared" si="135"/>
        <v>1000</v>
      </c>
      <c r="AN146" s="720"/>
      <c r="AO146" s="4022">
        <f t="shared" si="138"/>
        <v>1000</v>
      </c>
      <c r="AP146" s="720"/>
      <c r="AQ146" s="720"/>
      <c r="AR146" s="720"/>
      <c r="AS146" s="4022">
        <f t="shared" si="130"/>
        <v>1000</v>
      </c>
      <c r="AT146" s="720"/>
      <c r="AU146" s="720"/>
      <c r="AV146" s="720"/>
      <c r="AW146" s="311">
        <f t="shared" si="131"/>
        <v>1000</v>
      </c>
      <c r="AX146" s="720"/>
      <c r="AY146" s="720">
        <v>1000</v>
      </c>
      <c r="AZ146" s="720"/>
      <c r="BA146" s="1436">
        <f t="shared" si="136"/>
        <v>1000</v>
      </c>
      <c r="BB146" s="720"/>
      <c r="BC146" s="625">
        <f t="shared" ref="BC146:BC147" si="140">BA146+AM146</f>
        <v>2000</v>
      </c>
      <c r="BD146" s="720"/>
      <c r="BE146" s="311">
        <f t="shared" ref="BE146:BE147" si="141">+AW146+AY146</f>
        <v>2000</v>
      </c>
      <c r="BF146" s="26"/>
      <c r="BG146" s="26"/>
    </row>
    <row r="147" spans="2:59" s="5183" customFormat="1" x14ac:dyDescent="0.25">
      <c r="B147" s="5201" t="s">
        <v>1976</v>
      </c>
      <c r="C147" s="4733" t="s">
        <v>361</v>
      </c>
      <c r="D147" s="1636"/>
      <c r="E147" s="4734"/>
      <c r="F147" s="4734"/>
      <c r="G147" s="4734"/>
      <c r="H147" s="4739"/>
      <c r="I147" s="4739"/>
      <c r="J147" s="4734"/>
      <c r="K147" s="4734"/>
      <c r="L147" s="4734"/>
      <c r="M147" s="4741"/>
      <c r="N147" s="4734"/>
      <c r="O147" s="4734"/>
      <c r="P147" s="4734"/>
      <c r="Q147" s="4740"/>
      <c r="R147" s="4734"/>
      <c r="S147" s="4734"/>
      <c r="T147" s="4734"/>
      <c r="U147" s="4740"/>
      <c r="V147" s="4734"/>
      <c r="W147" s="4734"/>
      <c r="X147" s="4734"/>
      <c r="Y147" s="4741">
        <f t="shared" si="133"/>
        <v>0</v>
      </c>
      <c r="Z147" s="720"/>
      <c r="AA147" s="625">
        <f t="shared" si="134"/>
        <v>0</v>
      </c>
      <c r="AB147" s="4734"/>
      <c r="AC147" s="4734"/>
      <c r="AD147" s="4734"/>
      <c r="AE147" s="4740"/>
      <c r="AF147" s="4734"/>
      <c r="AG147" s="4734"/>
      <c r="AH147" s="4734"/>
      <c r="AI147" s="4740"/>
      <c r="AJ147" s="4734"/>
      <c r="AK147" s="4734"/>
      <c r="AL147" s="4734"/>
      <c r="AM147" s="4741">
        <f t="shared" si="135"/>
        <v>0</v>
      </c>
      <c r="AN147" s="4734"/>
      <c r="AO147" s="4740"/>
      <c r="AP147" s="4734"/>
      <c r="AQ147" s="4734"/>
      <c r="AR147" s="4734"/>
      <c r="AS147" s="4740"/>
      <c r="AT147" s="4734"/>
      <c r="AU147" s="4734"/>
      <c r="AV147" s="4734"/>
      <c r="AW147" s="311">
        <f t="shared" si="131"/>
        <v>0</v>
      </c>
      <c r="AX147" s="4734"/>
      <c r="AY147" s="720">
        <v>2000</v>
      </c>
      <c r="AZ147" s="4734"/>
      <c r="BA147" s="4741">
        <f t="shared" si="136"/>
        <v>2000</v>
      </c>
      <c r="BB147" s="720"/>
      <c r="BC147" s="625">
        <f t="shared" si="140"/>
        <v>2000</v>
      </c>
      <c r="BD147" s="720"/>
      <c r="BE147" s="311">
        <f t="shared" si="141"/>
        <v>2000</v>
      </c>
      <c r="BF147" s="26"/>
      <c r="BG147" s="26"/>
    </row>
    <row r="148" spans="2:59" x14ac:dyDescent="0.25">
      <c r="B148" s="2599" t="s">
        <v>1577</v>
      </c>
      <c r="C148" s="193" t="s">
        <v>361</v>
      </c>
      <c r="D148" s="1636"/>
      <c r="E148" s="720"/>
      <c r="F148" s="720"/>
      <c r="G148" s="720">
        <v>100</v>
      </c>
      <c r="H148" s="2263"/>
      <c r="I148" s="2263">
        <f t="shared" si="96"/>
        <v>100</v>
      </c>
      <c r="J148" s="720"/>
      <c r="K148" s="720"/>
      <c r="L148" s="720"/>
      <c r="M148" s="1436">
        <f t="shared" si="125"/>
        <v>100</v>
      </c>
      <c r="N148" s="720"/>
      <c r="O148" s="720"/>
      <c r="P148" s="720"/>
      <c r="Q148" s="709">
        <f t="shared" si="126"/>
        <v>100</v>
      </c>
      <c r="R148" s="720"/>
      <c r="S148" s="720"/>
      <c r="T148" s="720"/>
      <c r="U148" s="2621">
        <f t="shared" si="127"/>
        <v>100</v>
      </c>
      <c r="V148" s="720"/>
      <c r="W148" s="720"/>
      <c r="X148" s="720"/>
      <c r="Y148" s="1436">
        <f t="shared" si="133"/>
        <v>0</v>
      </c>
      <c r="Z148" s="720"/>
      <c r="AA148" s="625">
        <f t="shared" si="134"/>
        <v>100</v>
      </c>
      <c r="AB148" s="720"/>
      <c r="AC148" s="720"/>
      <c r="AD148" s="720"/>
      <c r="AE148" s="4022">
        <f t="shared" si="128"/>
        <v>100</v>
      </c>
      <c r="AF148" s="720"/>
      <c r="AG148" s="720"/>
      <c r="AH148" s="720"/>
      <c r="AI148" s="4022">
        <f t="shared" si="129"/>
        <v>100</v>
      </c>
      <c r="AJ148" s="720"/>
      <c r="AK148" s="720"/>
      <c r="AL148" s="720"/>
      <c r="AM148" s="1436">
        <f t="shared" si="135"/>
        <v>0</v>
      </c>
      <c r="AN148" s="720"/>
      <c r="AO148" s="4022">
        <f t="shared" si="138"/>
        <v>100</v>
      </c>
      <c r="AP148" s="720"/>
      <c r="AQ148" s="720"/>
      <c r="AR148" s="720"/>
      <c r="AS148" s="4022">
        <f t="shared" si="130"/>
        <v>100</v>
      </c>
      <c r="AT148" s="720"/>
      <c r="AU148" s="720"/>
      <c r="AV148" s="720"/>
      <c r="AW148" s="311">
        <f t="shared" si="131"/>
        <v>100</v>
      </c>
      <c r="AX148" s="720"/>
      <c r="AY148" s="720"/>
      <c r="AZ148" s="720"/>
      <c r="BA148" s="1436">
        <f t="shared" si="136"/>
        <v>0</v>
      </c>
      <c r="BB148" s="720"/>
      <c r="BC148" s="625">
        <f t="shared" ref="BC148" si="142">BA148+AM148</f>
        <v>0</v>
      </c>
      <c r="BD148" s="720"/>
      <c r="BE148" s="311">
        <f t="shared" ref="BE148" si="143">+AW148+AY148</f>
        <v>100</v>
      </c>
      <c r="BF148" s="26"/>
      <c r="BG148" s="26"/>
    </row>
    <row r="149" spans="2:59" x14ac:dyDescent="0.25">
      <c r="B149" s="2599" t="s">
        <v>1569</v>
      </c>
      <c r="C149" s="193" t="s">
        <v>361</v>
      </c>
      <c r="D149" s="1636"/>
      <c r="E149" s="720"/>
      <c r="F149" s="720"/>
      <c r="G149" s="720">
        <v>749</v>
      </c>
      <c r="H149" s="2263"/>
      <c r="I149" s="2263">
        <f>+E149+G149</f>
        <v>749</v>
      </c>
      <c r="J149" s="720"/>
      <c r="K149" s="720"/>
      <c r="L149" s="720"/>
      <c r="M149" s="1436">
        <f t="shared" si="125"/>
        <v>749</v>
      </c>
      <c r="N149" s="720"/>
      <c r="O149" s="720"/>
      <c r="P149" s="720"/>
      <c r="Q149" s="709">
        <f>+M149+O149</f>
        <v>749</v>
      </c>
      <c r="R149" s="720"/>
      <c r="S149" s="720"/>
      <c r="T149" s="720"/>
      <c r="U149" s="2621">
        <f>+Q149+S149</f>
        <v>749</v>
      </c>
      <c r="V149" s="720"/>
      <c r="W149" s="720"/>
      <c r="X149" s="720"/>
      <c r="Y149" s="1436">
        <f t="shared" si="133"/>
        <v>0</v>
      </c>
      <c r="Z149" s="720"/>
      <c r="AA149" s="625">
        <f t="shared" si="134"/>
        <v>749</v>
      </c>
      <c r="AB149" s="720"/>
      <c r="AC149" s="720"/>
      <c r="AD149" s="720"/>
      <c r="AE149" s="4022">
        <f>+AA149+AC149</f>
        <v>749</v>
      </c>
      <c r="AF149" s="720"/>
      <c r="AG149" s="720"/>
      <c r="AH149" s="720"/>
      <c r="AI149" s="4022">
        <f>+AE149+AG149</f>
        <v>749</v>
      </c>
      <c r="AJ149" s="720"/>
      <c r="AK149" s="720"/>
      <c r="AL149" s="720"/>
      <c r="AM149" s="1436">
        <f t="shared" si="135"/>
        <v>0</v>
      </c>
      <c r="AN149" s="720"/>
      <c r="AO149" s="4022">
        <f t="shared" si="138"/>
        <v>749</v>
      </c>
      <c r="AP149" s="720"/>
      <c r="AQ149" s="720"/>
      <c r="AR149" s="720"/>
      <c r="AS149" s="4022">
        <f>+AO149+AQ149</f>
        <v>749</v>
      </c>
      <c r="AT149" s="720"/>
      <c r="AU149" s="720"/>
      <c r="AV149" s="720"/>
      <c r="AW149" s="311">
        <f>+AS149+AU149</f>
        <v>749</v>
      </c>
      <c r="AX149" s="720"/>
      <c r="AY149" s="720"/>
      <c r="AZ149" s="720"/>
      <c r="BA149" s="1436">
        <f t="shared" si="136"/>
        <v>0</v>
      </c>
      <c r="BB149" s="720"/>
      <c r="BC149" s="625">
        <f t="shared" si="137"/>
        <v>0</v>
      </c>
      <c r="BD149" s="720"/>
      <c r="BE149" s="311">
        <f>+AW149+AY149</f>
        <v>749</v>
      </c>
      <c r="BF149" s="26"/>
      <c r="BG149" s="26"/>
    </row>
    <row r="150" spans="2:59" x14ac:dyDescent="0.25">
      <c r="B150" s="2599" t="s">
        <v>1578</v>
      </c>
      <c r="C150" s="193" t="s">
        <v>361</v>
      </c>
      <c r="D150" s="1636"/>
      <c r="E150" s="720"/>
      <c r="F150" s="720"/>
      <c r="G150" s="720">
        <v>1006</v>
      </c>
      <c r="H150" s="2263"/>
      <c r="I150" s="2263">
        <f t="shared" si="96"/>
        <v>1006</v>
      </c>
      <c r="J150" s="720"/>
      <c r="K150" s="720"/>
      <c r="L150" s="720"/>
      <c r="M150" s="1436">
        <f t="shared" si="125"/>
        <v>1006</v>
      </c>
      <c r="N150" s="720"/>
      <c r="O150" s="720"/>
      <c r="P150" s="720"/>
      <c r="Q150" s="709">
        <f t="shared" si="126"/>
        <v>1006</v>
      </c>
      <c r="R150" s="720"/>
      <c r="S150" s="720"/>
      <c r="T150" s="720"/>
      <c r="U150" s="2621">
        <f t="shared" si="127"/>
        <v>1006</v>
      </c>
      <c r="V150" s="720"/>
      <c r="W150" s="720"/>
      <c r="X150" s="720"/>
      <c r="Y150" s="1436">
        <f t="shared" si="133"/>
        <v>0</v>
      </c>
      <c r="Z150" s="720"/>
      <c r="AA150" s="625">
        <f t="shared" si="134"/>
        <v>1006</v>
      </c>
      <c r="AB150" s="720"/>
      <c r="AC150" s="720"/>
      <c r="AD150" s="720"/>
      <c r="AE150" s="4022">
        <f t="shared" ref="AE150:AE151" si="144">+AA150+AC150</f>
        <v>1006</v>
      </c>
      <c r="AF150" s="720"/>
      <c r="AG150" s="720"/>
      <c r="AH150" s="720"/>
      <c r="AI150" s="4022">
        <f t="shared" ref="AI150:AI170" si="145">+AE150+AG150</f>
        <v>1006</v>
      </c>
      <c r="AJ150" s="720"/>
      <c r="AK150" s="720"/>
      <c r="AL150" s="720"/>
      <c r="AM150" s="1436">
        <f t="shared" si="135"/>
        <v>0</v>
      </c>
      <c r="AN150" s="720"/>
      <c r="AO150" s="4022">
        <f t="shared" si="138"/>
        <v>1006</v>
      </c>
      <c r="AP150" s="720"/>
      <c r="AQ150" s="720"/>
      <c r="AR150" s="720"/>
      <c r="AS150" s="4022">
        <f t="shared" ref="AS150:AS170" si="146">+AO150+AQ150</f>
        <v>1006</v>
      </c>
      <c r="AT150" s="720"/>
      <c r="AU150" s="720"/>
      <c r="AV150" s="720"/>
      <c r="AW150" s="311">
        <f t="shared" ref="AW150:AW170" si="147">+AS150+AU150</f>
        <v>1006</v>
      </c>
      <c r="AX150" s="720"/>
      <c r="AY150" s="720"/>
      <c r="AZ150" s="720"/>
      <c r="BA150" s="1436">
        <f t="shared" si="136"/>
        <v>0</v>
      </c>
      <c r="BB150" s="720"/>
      <c r="BC150" s="625">
        <f t="shared" si="137"/>
        <v>0</v>
      </c>
      <c r="BD150" s="720"/>
      <c r="BE150" s="311">
        <f t="shared" ref="BE150:BE170" si="148">+AW150+AY150</f>
        <v>1006</v>
      </c>
      <c r="BF150" s="26"/>
      <c r="BG150" s="26"/>
    </row>
    <row r="151" spans="2:59" s="3399" customFormat="1" x14ac:dyDescent="0.25">
      <c r="B151" s="2599" t="s">
        <v>1807</v>
      </c>
      <c r="C151" s="193" t="s">
        <v>361</v>
      </c>
      <c r="D151" s="1636"/>
      <c r="E151" s="720"/>
      <c r="F151" s="720"/>
      <c r="G151" s="720"/>
      <c r="H151" s="2263"/>
      <c r="I151" s="2263"/>
      <c r="J151" s="720"/>
      <c r="K151" s="720"/>
      <c r="L151" s="720"/>
      <c r="M151" s="1436">
        <f t="shared" si="125"/>
        <v>0</v>
      </c>
      <c r="N151" s="720"/>
      <c r="O151" s="720"/>
      <c r="P151" s="720"/>
      <c r="Q151" s="3400"/>
      <c r="R151" s="720"/>
      <c r="S151" s="720"/>
      <c r="T151" s="720"/>
      <c r="U151" s="3400"/>
      <c r="V151" s="720"/>
      <c r="W151" s="720">
        <v>500</v>
      </c>
      <c r="X151" s="720"/>
      <c r="Y151" s="1436">
        <f t="shared" si="133"/>
        <v>500</v>
      </c>
      <c r="Z151" s="720"/>
      <c r="AA151" s="625">
        <f t="shared" si="134"/>
        <v>500</v>
      </c>
      <c r="AB151" s="720"/>
      <c r="AC151" s="720"/>
      <c r="AD151" s="720"/>
      <c r="AE151" s="4022">
        <f t="shared" si="144"/>
        <v>500</v>
      </c>
      <c r="AF151" s="720"/>
      <c r="AG151" s="720"/>
      <c r="AH151" s="720"/>
      <c r="AI151" s="4022">
        <f t="shared" si="145"/>
        <v>500</v>
      </c>
      <c r="AJ151" s="720"/>
      <c r="AK151" s="720"/>
      <c r="AL151" s="720"/>
      <c r="AM151" s="1436">
        <f t="shared" si="135"/>
        <v>0</v>
      </c>
      <c r="AN151" s="720"/>
      <c r="AO151" s="4022">
        <f t="shared" si="138"/>
        <v>500</v>
      </c>
      <c r="AP151" s="720"/>
      <c r="AQ151" s="720"/>
      <c r="AR151" s="720"/>
      <c r="AS151" s="4022">
        <f t="shared" si="146"/>
        <v>500</v>
      </c>
      <c r="AT151" s="720"/>
      <c r="AU151" s="720"/>
      <c r="AV151" s="720"/>
      <c r="AW151" s="311">
        <f t="shared" si="147"/>
        <v>500</v>
      </c>
      <c r="AX151" s="720"/>
      <c r="AY151" s="720"/>
      <c r="AZ151" s="720"/>
      <c r="BA151" s="1436">
        <f t="shared" si="136"/>
        <v>0</v>
      </c>
      <c r="BB151" s="720"/>
      <c r="BC151" s="625">
        <f t="shared" si="137"/>
        <v>0</v>
      </c>
      <c r="BD151" s="720"/>
      <c r="BE151" s="311">
        <f t="shared" si="148"/>
        <v>500</v>
      </c>
      <c r="BF151" s="26"/>
      <c r="BG151" s="26"/>
    </row>
    <row r="152" spans="2:59" x14ac:dyDescent="0.25">
      <c r="B152" s="2599" t="s">
        <v>1642</v>
      </c>
      <c r="C152" s="193" t="s">
        <v>361</v>
      </c>
      <c r="D152" s="1636"/>
      <c r="E152" s="720"/>
      <c r="F152" s="720"/>
      <c r="G152" s="720"/>
      <c r="H152" s="2263"/>
      <c r="I152" s="2263">
        <f t="shared" si="96"/>
        <v>0</v>
      </c>
      <c r="J152" s="720"/>
      <c r="K152" s="720">
        <v>417.34</v>
      </c>
      <c r="L152" s="720"/>
      <c r="M152" s="1436">
        <f t="shared" si="125"/>
        <v>417.34</v>
      </c>
      <c r="N152" s="720"/>
      <c r="O152" s="720">
        <v>83.18</v>
      </c>
      <c r="P152" s="720"/>
      <c r="Q152" s="709">
        <f t="shared" si="126"/>
        <v>500.52</v>
      </c>
      <c r="R152" s="720"/>
      <c r="S152" s="720"/>
      <c r="T152" s="720"/>
      <c r="U152" s="2621">
        <f t="shared" si="127"/>
        <v>500.52</v>
      </c>
      <c r="V152" s="720"/>
      <c r="W152" s="720"/>
      <c r="X152" s="720"/>
      <c r="Y152" s="1436">
        <f t="shared" si="133"/>
        <v>83.18</v>
      </c>
      <c r="Z152" s="720"/>
      <c r="AA152" s="625">
        <f t="shared" si="134"/>
        <v>500.52</v>
      </c>
      <c r="AB152" s="720"/>
      <c r="AC152" s="720"/>
      <c r="AD152" s="720"/>
      <c r="AE152" s="4022">
        <f t="shared" ref="AE152:AE160" si="149">+AA152+AC152</f>
        <v>500.52</v>
      </c>
      <c r="AF152" s="720"/>
      <c r="AG152" s="720"/>
      <c r="AH152" s="720"/>
      <c r="AI152" s="4022">
        <f t="shared" si="145"/>
        <v>500.52</v>
      </c>
      <c r="AJ152" s="720"/>
      <c r="AK152" s="720"/>
      <c r="AL152" s="720"/>
      <c r="AM152" s="1436">
        <f t="shared" si="135"/>
        <v>0</v>
      </c>
      <c r="AN152" s="720"/>
      <c r="AO152" s="4022">
        <f t="shared" si="138"/>
        <v>500.52</v>
      </c>
      <c r="AP152" s="720"/>
      <c r="AQ152" s="720"/>
      <c r="AR152" s="720"/>
      <c r="AS152" s="4022">
        <f t="shared" si="146"/>
        <v>500.52</v>
      </c>
      <c r="AT152" s="720"/>
      <c r="AU152" s="720"/>
      <c r="AV152" s="720"/>
      <c r="AW152" s="311">
        <f t="shared" si="147"/>
        <v>500.52</v>
      </c>
      <c r="AX152" s="720"/>
      <c r="AY152" s="720"/>
      <c r="AZ152" s="720"/>
      <c r="BA152" s="1436">
        <f t="shared" si="136"/>
        <v>0</v>
      </c>
      <c r="BB152" s="720"/>
      <c r="BC152" s="625">
        <f t="shared" si="137"/>
        <v>0</v>
      </c>
      <c r="BD152" s="720"/>
      <c r="BE152" s="311">
        <f t="shared" si="148"/>
        <v>500.52</v>
      </c>
      <c r="BF152" s="26"/>
      <c r="BG152" s="26"/>
    </row>
    <row r="153" spans="2:59" s="4342" customFormat="1" x14ac:dyDescent="0.25">
      <c r="B153" s="2599" t="s">
        <v>1902</v>
      </c>
      <c r="C153" s="193" t="s">
        <v>361</v>
      </c>
      <c r="D153" s="1636"/>
      <c r="E153" s="720"/>
      <c r="F153" s="720"/>
      <c r="G153" s="720"/>
      <c r="H153" s="2263"/>
      <c r="I153" s="2263"/>
      <c r="J153" s="720"/>
      <c r="K153" s="720"/>
      <c r="L153" s="720"/>
      <c r="M153" s="1436"/>
      <c r="N153" s="720"/>
      <c r="O153" s="720"/>
      <c r="P153" s="720"/>
      <c r="Q153" s="4022"/>
      <c r="R153" s="720"/>
      <c r="S153" s="720"/>
      <c r="T153" s="720"/>
      <c r="U153" s="4022"/>
      <c r="V153" s="720"/>
      <c r="W153" s="720"/>
      <c r="X153" s="720"/>
      <c r="Y153" s="1436">
        <f t="shared" si="133"/>
        <v>0</v>
      </c>
      <c r="Z153" s="720"/>
      <c r="AA153" s="625">
        <f t="shared" si="134"/>
        <v>0</v>
      </c>
      <c r="AB153" s="720"/>
      <c r="AC153" s="720"/>
      <c r="AD153" s="720"/>
      <c r="AE153" s="4022"/>
      <c r="AF153" s="720"/>
      <c r="AG153" s="720"/>
      <c r="AH153" s="720"/>
      <c r="AI153" s="4022">
        <f t="shared" si="145"/>
        <v>0</v>
      </c>
      <c r="AJ153" s="720"/>
      <c r="AK153" s="720">
        <v>29.22</v>
      </c>
      <c r="AL153" s="720"/>
      <c r="AM153" s="1436">
        <f t="shared" si="135"/>
        <v>29.22</v>
      </c>
      <c r="AN153" s="720"/>
      <c r="AO153" s="4022">
        <f t="shared" si="138"/>
        <v>29.22</v>
      </c>
      <c r="AP153" s="720"/>
      <c r="AQ153" s="720"/>
      <c r="AR153" s="720"/>
      <c r="AS153" s="4022">
        <f t="shared" si="146"/>
        <v>29.22</v>
      </c>
      <c r="AT153" s="720"/>
      <c r="AU153" s="720"/>
      <c r="AV153" s="720"/>
      <c r="AW153" s="311">
        <f t="shared" si="147"/>
        <v>29.22</v>
      </c>
      <c r="AX153" s="720"/>
      <c r="AY153" s="720"/>
      <c r="AZ153" s="720"/>
      <c r="BA153" s="1436">
        <f t="shared" si="136"/>
        <v>0</v>
      </c>
      <c r="BB153" s="720"/>
      <c r="BC153" s="625">
        <f t="shared" si="137"/>
        <v>29.22</v>
      </c>
      <c r="BD153" s="720"/>
      <c r="BE153" s="311">
        <f t="shared" si="148"/>
        <v>29.22</v>
      </c>
      <c r="BF153" s="26"/>
      <c r="BG153" s="26"/>
    </row>
    <row r="154" spans="2:59" x14ac:dyDescent="0.25">
      <c r="B154" s="2599" t="s">
        <v>1570</v>
      </c>
      <c r="C154" s="193" t="s">
        <v>361</v>
      </c>
      <c r="D154" s="1636"/>
      <c r="E154" s="720"/>
      <c r="F154" s="720"/>
      <c r="G154" s="720">
        <v>14.49</v>
      </c>
      <c r="H154" s="2263"/>
      <c r="I154" s="2263">
        <f t="shared" si="96"/>
        <v>14.49</v>
      </c>
      <c r="J154" s="720"/>
      <c r="K154" s="720"/>
      <c r="L154" s="720"/>
      <c r="M154" s="1436">
        <f t="shared" si="125"/>
        <v>14.49</v>
      </c>
      <c r="N154" s="720"/>
      <c r="O154" s="720"/>
      <c r="P154" s="720"/>
      <c r="Q154" s="709">
        <f t="shared" si="126"/>
        <v>14.49</v>
      </c>
      <c r="R154" s="720"/>
      <c r="S154" s="720"/>
      <c r="T154" s="720"/>
      <c r="U154" s="2621">
        <f t="shared" si="127"/>
        <v>14.49</v>
      </c>
      <c r="V154" s="720"/>
      <c r="W154" s="720"/>
      <c r="X154" s="720"/>
      <c r="Y154" s="1436">
        <f t="shared" si="133"/>
        <v>0</v>
      </c>
      <c r="Z154" s="720"/>
      <c r="AA154" s="625">
        <f t="shared" si="134"/>
        <v>14.49</v>
      </c>
      <c r="AB154" s="720"/>
      <c r="AC154" s="720"/>
      <c r="AD154" s="720"/>
      <c r="AE154" s="4022">
        <f t="shared" si="149"/>
        <v>14.49</v>
      </c>
      <c r="AF154" s="720"/>
      <c r="AG154" s="720"/>
      <c r="AH154" s="720"/>
      <c r="AI154" s="4022">
        <f t="shared" si="145"/>
        <v>14.49</v>
      </c>
      <c r="AJ154" s="720"/>
      <c r="AK154" s="720"/>
      <c r="AL154" s="720"/>
      <c r="AM154" s="1436">
        <f t="shared" si="135"/>
        <v>0</v>
      </c>
      <c r="AN154" s="720"/>
      <c r="AO154" s="4022">
        <f t="shared" si="138"/>
        <v>14.49</v>
      </c>
      <c r="AP154" s="720"/>
      <c r="AQ154" s="720"/>
      <c r="AR154" s="720"/>
      <c r="AS154" s="4022">
        <f t="shared" si="146"/>
        <v>14.49</v>
      </c>
      <c r="AT154" s="720"/>
      <c r="AU154" s="720"/>
      <c r="AV154" s="720"/>
      <c r="AW154" s="311">
        <f t="shared" si="147"/>
        <v>14.49</v>
      </c>
      <c r="AX154" s="720"/>
      <c r="AY154" s="720"/>
      <c r="AZ154" s="720"/>
      <c r="BA154" s="1436">
        <f t="shared" si="136"/>
        <v>0</v>
      </c>
      <c r="BB154" s="720"/>
      <c r="BC154" s="625">
        <f t="shared" si="137"/>
        <v>0</v>
      </c>
      <c r="BD154" s="720"/>
      <c r="BE154" s="311">
        <f t="shared" si="148"/>
        <v>14.49</v>
      </c>
      <c r="BF154" s="26"/>
      <c r="BG154" s="26"/>
    </row>
    <row r="155" spans="2:59" s="4342" customFormat="1" x14ac:dyDescent="0.25">
      <c r="B155" s="2599" t="s">
        <v>1900</v>
      </c>
      <c r="C155" s="193" t="s">
        <v>361</v>
      </c>
      <c r="D155" s="1636"/>
      <c r="E155" s="720"/>
      <c r="F155" s="720"/>
      <c r="G155" s="720"/>
      <c r="H155" s="2263"/>
      <c r="I155" s="2263">
        <f t="shared" si="96"/>
        <v>0</v>
      </c>
      <c r="J155" s="720"/>
      <c r="K155" s="720"/>
      <c r="L155" s="720"/>
      <c r="M155" s="1436">
        <f t="shared" si="125"/>
        <v>0</v>
      </c>
      <c r="N155" s="720"/>
      <c r="O155" s="720"/>
      <c r="P155" s="720"/>
      <c r="Q155" s="4022">
        <f t="shared" si="126"/>
        <v>0</v>
      </c>
      <c r="R155" s="720"/>
      <c r="S155" s="720"/>
      <c r="T155" s="720"/>
      <c r="U155" s="4022"/>
      <c r="V155" s="720"/>
      <c r="W155" s="720"/>
      <c r="X155" s="720"/>
      <c r="Y155" s="1436">
        <f t="shared" si="133"/>
        <v>0</v>
      </c>
      <c r="Z155" s="720"/>
      <c r="AA155" s="625">
        <f t="shared" si="134"/>
        <v>0</v>
      </c>
      <c r="AB155" s="720"/>
      <c r="AC155" s="720"/>
      <c r="AD155" s="720"/>
      <c r="AE155" s="4022"/>
      <c r="AF155" s="720"/>
      <c r="AG155" s="720"/>
      <c r="AH155" s="720"/>
      <c r="AI155" s="4022">
        <f t="shared" si="145"/>
        <v>0</v>
      </c>
      <c r="AJ155" s="720"/>
      <c r="AK155" s="720">
        <v>4</v>
      </c>
      <c r="AL155" s="720"/>
      <c r="AM155" s="1436">
        <f t="shared" si="135"/>
        <v>4</v>
      </c>
      <c r="AN155" s="720"/>
      <c r="AO155" s="4022">
        <f t="shared" ref="AO155" si="150">AI155+AK155</f>
        <v>4</v>
      </c>
      <c r="AP155" s="720"/>
      <c r="AQ155" s="720"/>
      <c r="AR155" s="720"/>
      <c r="AS155" s="4022">
        <f t="shared" si="146"/>
        <v>4</v>
      </c>
      <c r="AT155" s="720"/>
      <c r="AU155" s="720"/>
      <c r="AV155" s="720"/>
      <c r="AW155" s="311">
        <f t="shared" si="147"/>
        <v>4</v>
      </c>
      <c r="AX155" s="720"/>
      <c r="AY155" s="720"/>
      <c r="AZ155" s="720"/>
      <c r="BA155" s="1436">
        <f t="shared" si="136"/>
        <v>0</v>
      </c>
      <c r="BB155" s="720"/>
      <c r="BC155" s="625">
        <f t="shared" si="137"/>
        <v>4</v>
      </c>
      <c r="BD155" s="720"/>
      <c r="BE155" s="311">
        <f t="shared" si="148"/>
        <v>4</v>
      </c>
      <c r="BF155" s="26"/>
      <c r="BG155" s="26"/>
    </row>
    <row r="156" spans="2:59" x14ac:dyDescent="0.25">
      <c r="B156" s="2599" t="s">
        <v>1571</v>
      </c>
      <c r="C156" s="193" t="s">
        <v>361</v>
      </c>
      <c r="D156" s="1636"/>
      <c r="E156" s="720"/>
      <c r="F156" s="720"/>
      <c r="G156" s="720">
        <v>19.54</v>
      </c>
      <c r="H156" s="2263"/>
      <c r="I156" s="2263">
        <f t="shared" si="96"/>
        <v>19.54</v>
      </c>
      <c r="J156" s="720"/>
      <c r="K156" s="720"/>
      <c r="L156" s="720"/>
      <c r="M156" s="1436">
        <f t="shared" si="125"/>
        <v>19.54</v>
      </c>
      <c r="N156" s="720"/>
      <c r="O156" s="720"/>
      <c r="P156" s="720"/>
      <c r="Q156" s="709">
        <f t="shared" si="126"/>
        <v>19.54</v>
      </c>
      <c r="R156" s="720"/>
      <c r="S156" s="720"/>
      <c r="T156" s="720"/>
      <c r="U156" s="2621">
        <f t="shared" si="127"/>
        <v>19.54</v>
      </c>
      <c r="V156" s="720"/>
      <c r="W156" s="720"/>
      <c r="X156" s="720"/>
      <c r="Y156" s="1436">
        <f t="shared" si="133"/>
        <v>0</v>
      </c>
      <c r="Z156" s="720"/>
      <c r="AA156" s="625">
        <f t="shared" si="134"/>
        <v>19.54</v>
      </c>
      <c r="AB156" s="720"/>
      <c r="AC156" s="720"/>
      <c r="AD156" s="720"/>
      <c r="AE156" s="4022">
        <f t="shared" si="149"/>
        <v>19.54</v>
      </c>
      <c r="AF156" s="720"/>
      <c r="AG156" s="720"/>
      <c r="AH156" s="720"/>
      <c r="AI156" s="4022">
        <f t="shared" si="145"/>
        <v>19.54</v>
      </c>
      <c r="AJ156" s="720"/>
      <c r="AK156" s="720"/>
      <c r="AL156" s="720"/>
      <c r="AM156" s="1436">
        <f t="shared" si="135"/>
        <v>0</v>
      </c>
      <c r="AN156" s="720"/>
      <c r="AO156" s="4022">
        <f t="shared" si="138"/>
        <v>19.54</v>
      </c>
      <c r="AP156" s="720"/>
      <c r="AQ156" s="720"/>
      <c r="AR156" s="720"/>
      <c r="AS156" s="4022">
        <f t="shared" si="146"/>
        <v>19.54</v>
      </c>
      <c r="AT156" s="720"/>
      <c r="AU156" s="720"/>
      <c r="AV156" s="720"/>
      <c r="AW156" s="311">
        <f t="shared" si="147"/>
        <v>19.54</v>
      </c>
      <c r="AX156" s="720"/>
      <c r="AY156" s="720"/>
      <c r="AZ156" s="720"/>
      <c r="BA156" s="1436">
        <f t="shared" si="136"/>
        <v>0</v>
      </c>
      <c r="BB156" s="720"/>
      <c r="BC156" s="625">
        <f t="shared" si="137"/>
        <v>0</v>
      </c>
      <c r="BD156" s="720"/>
      <c r="BE156" s="311">
        <f t="shared" si="148"/>
        <v>19.54</v>
      </c>
      <c r="BF156" s="26"/>
      <c r="BG156" s="26"/>
    </row>
    <row r="157" spans="2:59" x14ac:dyDescent="0.25">
      <c r="B157" s="2599" t="s">
        <v>1644</v>
      </c>
      <c r="C157" s="193" t="s">
        <v>361</v>
      </c>
      <c r="D157" s="1636"/>
      <c r="E157" s="720"/>
      <c r="F157" s="720"/>
      <c r="G157" s="720"/>
      <c r="H157" s="2263"/>
      <c r="I157" s="2263">
        <f t="shared" si="96"/>
        <v>0</v>
      </c>
      <c r="J157" s="720"/>
      <c r="K157" s="720">
        <v>3</v>
      </c>
      <c r="L157" s="720"/>
      <c r="M157" s="1436">
        <f t="shared" si="125"/>
        <v>3</v>
      </c>
      <c r="N157" s="720"/>
      <c r="O157" s="720"/>
      <c r="P157" s="720"/>
      <c r="Q157" s="709">
        <f t="shared" si="126"/>
        <v>3</v>
      </c>
      <c r="R157" s="720"/>
      <c r="S157" s="720"/>
      <c r="T157" s="720"/>
      <c r="U157" s="2621">
        <f t="shared" si="127"/>
        <v>3</v>
      </c>
      <c r="V157" s="720"/>
      <c r="W157" s="720">
        <v>3.84</v>
      </c>
      <c r="X157" s="720"/>
      <c r="Y157" s="1436">
        <f t="shared" si="133"/>
        <v>3.84</v>
      </c>
      <c r="Z157" s="720"/>
      <c r="AA157" s="625">
        <f t="shared" si="134"/>
        <v>6.84</v>
      </c>
      <c r="AB157" s="720"/>
      <c r="AC157" s="720"/>
      <c r="AD157" s="720"/>
      <c r="AE157" s="4022">
        <f t="shared" si="149"/>
        <v>6.84</v>
      </c>
      <c r="AF157" s="720"/>
      <c r="AG157" s="720"/>
      <c r="AH157" s="720"/>
      <c r="AI157" s="4022">
        <f t="shared" si="145"/>
        <v>6.84</v>
      </c>
      <c r="AJ157" s="720"/>
      <c r="AK157" s="720"/>
      <c r="AL157" s="720"/>
      <c r="AM157" s="1436">
        <f t="shared" si="135"/>
        <v>0</v>
      </c>
      <c r="AN157" s="720"/>
      <c r="AO157" s="4022">
        <f t="shared" si="138"/>
        <v>6.84</v>
      </c>
      <c r="AP157" s="720"/>
      <c r="AQ157" s="720"/>
      <c r="AR157" s="720"/>
      <c r="AS157" s="4022">
        <f t="shared" si="146"/>
        <v>6.84</v>
      </c>
      <c r="AT157" s="720"/>
      <c r="AU157" s="720"/>
      <c r="AV157" s="720"/>
      <c r="AW157" s="311">
        <f t="shared" si="147"/>
        <v>6.84</v>
      </c>
      <c r="AX157" s="720"/>
      <c r="AY157" s="720"/>
      <c r="AZ157" s="720"/>
      <c r="BA157" s="1436">
        <f t="shared" si="136"/>
        <v>0</v>
      </c>
      <c r="BB157" s="720"/>
      <c r="BC157" s="625">
        <f t="shared" si="137"/>
        <v>0</v>
      </c>
      <c r="BD157" s="720"/>
      <c r="BE157" s="311">
        <f t="shared" si="148"/>
        <v>6.84</v>
      </c>
      <c r="BF157" s="26"/>
      <c r="BG157" s="26"/>
    </row>
    <row r="158" spans="2:59" x14ac:dyDescent="0.25">
      <c r="B158" s="2599" t="s">
        <v>1498</v>
      </c>
      <c r="C158" s="193" t="s">
        <v>361</v>
      </c>
      <c r="D158" s="1636"/>
      <c r="E158" s="720">
        <v>451</v>
      </c>
      <c r="F158" s="720"/>
      <c r="G158" s="720"/>
      <c r="H158" s="2263"/>
      <c r="I158" s="2263">
        <f t="shared" si="96"/>
        <v>451</v>
      </c>
      <c r="J158" s="720"/>
      <c r="K158" s="720"/>
      <c r="L158" s="720"/>
      <c r="M158" s="1436">
        <f t="shared" si="125"/>
        <v>451</v>
      </c>
      <c r="N158" s="720"/>
      <c r="O158" s="720"/>
      <c r="P158" s="720"/>
      <c r="Q158" s="709">
        <f t="shared" si="126"/>
        <v>451</v>
      </c>
      <c r="R158" s="720"/>
      <c r="S158" s="720"/>
      <c r="T158" s="720"/>
      <c r="U158" s="2621">
        <f t="shared" si="127"/>
        <v>451</v>
      </c>
      <c r="V158" s="720"/>
      <c r="W158" s="720"/>
      <c r="X158" s="720"/>
      <c r="Y158" s="1436">
        <f t="shared" si="133"/>
        <v>0</v>
      </c>
      <c r="Z158" s="720"/>
      <c r="AA158" s="625">
        <f t="shared" si="134"/>
        <v>451</v>
      </c>
      <c r="AB158" s="720"/>
      <c r="AC158" s="720"/>
      <c r="AD158" s="720"/>
      <c r="AE158" s="4022">
        <f t="shared" si="149"/>
        <v>451</v>
      </c>
      <c r="AF158" s="720"/>
      <c r="AG158" s="720"/>
      <c r="AH158" s="720"/>
      <c r="AI158" s="4022">
        <f t="shared" si="145"/>
        <v>451</v>
      </c>
      <c r="AJ158" s="720"/>
      <c r="AK158" s="720"/>
      <c r="AL158" s="720"/>
      <c r="AM158" s="1436">
        <f t="shared" si="135"/>
        <v>0</v>
      </c>
      <c r="AN158" s="720"/>
      <c r="AO158" s="4022">
        <f t="shared" si="138"/>
        <v>451</v>
      </c>
      <c r="AP158" s="720"/>
      <c r="AQ158" s="720"/>
      <c r="AR158" s="720"/>
      <c r="AS158" s="4022">
        <f t="shared" si="146"/>
        <v>451</v>
      </c>
      <c r="AT158" s="720"/>
      <c r="AU158" s="720"/>
      <c r="AV158" s="720"/>
      <c r="AW158" s="311">
        <f t="shared" si="147"/>
        <v>451</v>
      </c>
      <c r="AX158" s="720"/>
      <c r="AY158" s="720"/>
      <c r="AZ158" s="720"/>
      <c r="BA158" s="1436">
        <f t="shared" si="136"/>
        <v>0</v>
      </c>
      <c r="BB158" s="720"/>
      <c r="BC158" s="625">
        <f t="shared" si="137"/>
        <v>0</v>
      </c>
      <c r="BD158" s="720"/>
      <c r="BE158" s="311">
        <f t="shared" si="148"/>
        <v>451</v>
      </c>
      <c r="BF158" s="26"/>
      <c r="BG158" s="26"/>
    </row>
    <row r="159" spans="2:59" s="4221" customFormat="1" x14ac:dyDescent="0.25">
      <c r="B159" s="2599" t="s">
        <v>1876</v>
      </c>
      <c r="C159" s="193" t="s">
        <v>361</v>
      </c>
      <c r="D159" s="1636"/>
      <c r="E159" s="720"/>
      <c r="F159" s="720"/>
      <c r="G159" s="720"/>
      <c r="H159" s="2263"/>
      <c r="I159" s="2263"/>
      <c r="J159" s="720"/>
      <c r="K159" s="720"/>
      <c r="L159" s="720"/>
      <c r="M159" s="1436">
        <f t="shared" si="125"/>
        <v>0</v>
      </c>
      <c r="N159" s="720"/>
      <c r="O159" s="720"/>
      <c r="P159" s="720"/>
      <c r="Q159" s="4022"/>
      <c r="R159" s="720"/>
      <c r="S159" s="720"/>
      <c r="T159" s="720"/>
      <c r="U159" s="4022"/>
      <c r="V159" s="720"/>
      <c r="W159" s="720"/>
      <c r="X159" s="720"/>
      <c r="Y159" s="1436">
        <f t="shared" si="133"/>
        <v>0</v>
      </c>
      <c r="Z159" s="720"/>
      <c r="AA159" s="625">
        <f t="shared" si="134"/>
        <v>0</v>
      </c>
      <c r="AB159" s="720"/>
      <c r="AC159" s="720"/>
      <c r="AD159" s="720"/>
      <c r="AE159" s="4022">
        <f t="shared" si="149"/>
        <v>0</v>
      </c>
      <c r="AF159" s="720"/>
      <c r="AG159" s="720">
        <v>100</v>
      </c>
      <c r="AH159" s="720"/>
      <c r="AI159" s="4022">
        <f t="shared" si="145"/>
        <v>100</v>
      </c>
      <c r="AJ159" s="720"/>
      <c r="AK159" s="720"/>
      <c r="AL159" s="720"/>
      <c r="AM159" s="1436">
        <f t="shared" si="135"/>
        <v>100</v>
      </c>
      <c r="AN159" s="720"/>
      <c r="AO159" s="4022">
        <f t="shared" si="138"/>
        <v>100</v>
      </c>
      <c r="AP159" s="720"/>
      <c r="AQ159" s="720"/>
      <c r="AR159" s="720"/>
      <c r="AS159" s="4022">
        <f t="shared" si="146"/>
        <v>100</v>
      </c>
      <c r="AT159" s="720"/>
      <c r="AU159" s="720"/>
      <c r="AV159" s="720"/>
      <c r="AW159" s="311">
        <f t="shared" si="147"/>
        <v>100</v>
      </c>
      <c r="AX159" s="720"/>
      <c r="AY159" s="720"/>
      <c r="AZ159" s="720"/>
      <c r="BA159" s="1436">
        <f t="shared" si="136"/>
        <v>0</v>
      </c>
      <c r="BB159" s="720"/>
      <c r="BC159" s="625">
        <f t="shared" si="137"/>
        <v>100</v>
      </c>
      <c r="BD159" s="720"/>
      <c r="BE159" s="311">
        <f t="shared" si="148"/>
        <v>100</v>
      </c>
      <c r="BF159" s="26"/>
      <c r="BG159" s="26"/>
    </row>
    <row r="160" spans="2:59" s="3399" customFormat="1" x14ac:dyDescent="0.25">
      <c r="B160" s="2599" t="s">
        <v>1808</v>
      </c>
      <c r="C160" s="193" t="s">
        <v>361</v>
      </c>
      <c r="D160" s="1636"/>
      <c r="E160" s="720"/>
      <c r="F160" s="720"/>
      <c r="G160" s="720"/>
      <c r="H160" s="2263"/>
      <c r="I160" s="2263"/>
      <c r="J160" s="720"/>
      <c r="K160" s="720"/>
      <c r="L160" s="720"/>
      <c r="M160" s="1436">
        <f t="shared" si="125"/>
        <v>0</v>
      </c>
      <c r="N160" s="720"/>
      <c r="O160" s="720"/>
      <c r="P160" s="720"/>
      <c r="Q160" s="3400"/>
      <c r="R160" s="720"/>
      <c r="S160" s="720"/>
      <c r="T160" s="720"/>
      <c r="U160" s="3400"/>
      <c r="V160" s="720"/>
      <c r="W160" s="720">
        <v>0.61</v>
      </c>
      <c r="X160" s="720"/>
      <c r="Y160" s="1436">
        <f t="shared" si="133"/>
        <v>0.61</v>
      </c>
      <c r="Z160" s="720"/>
      <c r="AA160" s="625">
        <f t="shared" si="134"/>
        <v>0.61</v>
      </c>
      <c r="AB160" s="720"/>
      <c r="AC160" s="720"/>
      <c r="AD160" s="720"/>
      <c r="AE160" s="4022">
        <f t="shared" si="149"/>
        <v>0.61</v>
      </c>
      <c r="AF160" s="720"/>
      <c r="AG160" s="720"/>
      <c r="AH160" s="720"/>
      <c r="AI160" s="4022">
        <f t="shared" si="145"/>
        <v>0.61</v>
      </c>
      <c r="AJ160" s="720"/>
      <c r="AK160" s="720"/>
      <c r="AL160" s="720"/>
      <c r="AM160" s="1436">
        <f t="shared" si="135"/>
        <v>0</v>
      </c>
      <c r="AN160" s="720"/>
      <c r="AO160" s="4022">
        <f t="shared" si="138"/>
        <v>0.61</v>
      </c>
      <c r="AP160" s="720"/>
      <c r="AQ160" s="720"/>
      <c r="AR160" s="720"/>
      <c r="AS160" s="4022">
        <f t="shared" si="146"/>
        <v>0.61</v>
      </c>
      <c r="AT160" s="720"/>
      <c r="AU160" s="720"/>
      <c r="AV160" s="720"/>
      <c r="AW160" s="311">
        <f t="shared" si="147"/>
        <v>0.61</v>
      </c>
      <c r="AX160" s="720"/>
      <c r="AY160" s="720"/>
      <c r="AZ160" s="720"/>
      <c r="BA160" s="1436">
        <f t="shared" si="136"/>
        <v>0</v>
      </c>
      <c r="BB160" s="720"/>
      <c r="BC160" s="625">
        <f t="shared" si="137"/>
        <v>0</v>
      </c>
      <c r="BD160" s="720"/>
      <c r="BE160" s="311">
        <f t="shared" si="148"/>
        <v>0.61</v>
      </c>
      <c r="BF160" s="26"/>
      <c r="BG160" s="26"/>
    </row>
    <row r="161" spans="1:59" x14ac:dyDescent="0.25">
      <c r="B161" s="2599" t="s">
        <v>1334</v>
      </c>
      <c r="C161" s="193" t="s">
        <v>361</v>
      </c>
      <c r="D161" s="1636"/>
      <c r="E161" s="720">
        <v>1.97</v>
      </c>
      <c r="F161" s="720"/>
      <c r="G161" s="720"/>
      <c r="H161" s="2263"/>
      <c r="I161" s="2263">
        <f t="shared" si="96"/>
        <v>1.97</v>
      </c>
      <c r="J161" s="720"/>
      <c r="K161" s="720"/>
      <c r="L161" s="720"/>
      <c r="M161" s="1436">
        <f t="shared" si="125"/>
        <v>1.97</v>
      </c>
      <c r="N161" s="720"/>
      <c r="O161" s="720"/>
      <c r="P161" s="720"/>
      <c r="Q161" s="709">
        <f t="shared" si="126"/>
        <v>1.97</v>
      </c>
      <c r="R161" s="1732"/>
      <c r="S161" s="720"/>
      <c r="T161" s="720"/>
      <c r="U161" s="2621">
        <f t="shared" si="127"/>
        <v>1.97</v>
      </c>
      <c r="V161" s="1732"/>
      <c r="W161" s="720">
        <v>1.97</v>
      </c>
      <c r="X161" s="720"/>
      <c r="Y161" s="1436">
        <f t="shared" si="133"/>
        <v>1.97</v>
      </c>
      <c r="Z161" s="720"/>
      <c r="AA161" s="625">
        <f t="shared" si="134"/>
        <v>3.94</v>
      </c>
      <c r="AB161" s="1732"/>
      <c r="AC161" s="720"/>
      <c r="AD161" s="720"/>
      <c r="AE161" s="4022">
        <f t="shared" ref="AE161:AE170" si="151">+AA161+AC161</f>
        <v>3.94</v>
      </c>
      <c r="AF161" s="1732"/>
      <c r="AG161" s="720"/>
      <c r="AH161" s="720"/>
      <c r="AI161" s="4022">
        <f t="shared" si="145"/>
        <v>3.94</v>
      </c>
      <c r="AJ161" s="1732"/>
      <c r="AK161" s="720"/>
      <c r="AL161" s="1732"/>
      <c r="AM161" s="1436">
        <f t="shared" si="135"/>
        <v>0</v>
      </c>
      <c r="AN161" s="720"/>
      <c r="AO161" s="4022">
        <f t="shared" si="138"/>
        <v>3.94</v>
      </c>
      <c r="AP161" s="1732"/>
      <c r="AQ161" s="720"/>
      <c r="AR161" s="720"/>
      <c r="AS161" s="4022">
        <f t="shared" si="146"/>
        <v>3.94</v>
      </c>
      <c r="AT161" s="1732"/>
      <c r="AU161" s="720"/>
      <c r="AV161" s="720"/>
      <c r="AW161" s="311">
        <f t="shared" si="147"/>
        <v>3.94</v>
      </c>
      <c r="AX161" s="1732"/>
      <c r="AY161" s="720"/>
      <c r="AZ161" s="1732"/>
      <c r="BA161" s="1436">
        <f t="shared" si="136"/>
        <v>0</v>
      </c>
      <c r="BB161" s="720"/>
      <c r="BC161" s="625">
        <f t="shared" si="137"/>
        <v>0</v>
      </c>
      <c r="BD161" s="720"/>
      <c r="BE161" s="311">
        <f t="shared" si="148"/>
        <v>3.94</v>
      </c>
      <c r="BF161" s="26"/>
      <c r="BG161" s="26"/>
    </row>
    <row r="162" spans="1:59" x14ac:dyDescent="0.25">
      <c r="B162" s="2623" t="s">
        <v>1135</v>
      </c>
      <c r="C162" s="973" t="s">
        <v>361</v>
      </c>
      <c r="D162" s="1732"/>
      <c r="E162" s="1732">
        <f>+E163+E164</f>
        <v>2076.5999999999995</v>
      </c>
      <c r="F162" s="1732"/>
      <c r="G162" s="1732">
        <f>+G163+G164</f>
        <v>1794.87</v>
      </c>
      <c r="H162" s="2262"/>
      <c r="I162" s="2262">
        <f t="shared" ref="I162:I170" si="152">+E162+G162</f>
        <v>3871.4699999999993</v>
      </c>
      <c r="J162" s="1732"/>
      <c r="K162" s="1732">
        <f>+K163+K164</f>
        <v>1710.14</v>
      </c>
      <c r="L162" s="1732"/>
      <c r="M162" s="3609">
        <f t="shared" si="125"/>
        <v>5581.61</v>
      </c>
      <c r="N162" s="1732"/>
      <c r="O162" s="1732">
        <f>+O163+O164</f>
        <v>1492.84</v>
      </c>
      <c r="P162" s="1732"/>
      <c r="Q162" s="1732">
        <f t="shared" si="126"/>
        <v>7074.45</v>
      </c>
      <c r="R162" s="720"/>
      <c r="S162" s="1732">
        <f>+S163+S164</f>
        <v>2089.8399999999992</v>
      </c>
      <c r="T162" s="1732"/>
      <c r="U162" s="1732">
        <f t="shared" ref="U162:U170" si="153">+Q162+S162</f>
        <v>9164.2899999999991</v>
      </c>
      <c r="V162" s="720"/>
      <c r="W162" s="1732">
        <f>+W163+W164</f>
        <v>1795.9100000000005</v>
      </c>
      <c r="X162" s="1732"/>
      <c r="Y162" s="3609">
        <f t="shared" si="133"/>
        <v>5378.59</v>
      </c>
      <c r="Z162" s="236"/>
      <c r="AA162" s="625">
        <f t="shared" si="134"/>
        <v>10960.2</v>
      </c>
      <c r="AB162" s="720"/>
      <c r="AC162" s="1732">
        <f>+AC163+AC164</f>
        <v>1997.2700000000002</v>
      </c>
      <c r="AD162" s="1732"/>
      <c r="AE162" s="1732">
        <f t="shared" si="151"/>
        <v>12957.470000000001</v>
      </c>
      <c r="AF162" s="720"/>
      <c r="AG162" s="1732">
        <f>+AG163+AG164</f>
        <v>2088.58</v>
      </c>
      <c r="AH162" s="1732"/>
      <c r="AI162" s="1732">
        <f t="shared" si="145"/>
        <v>15046.050000000001</v>
      </c>
      <c r="AJ162" s="720"/>
      <c r="AK162" s="1732">
        <f>+AK163+AK164</f>
        <v>1992.31</v>
      </c>
      <c r="AL162" s="720"/>
      <c r="AM162" s="3609">
        <f t="shared" si="135"/>
        <v>6078.16</v>
      </c>
      <c r="AN162" s="1732"/>
      <c r="AO162" s="1732">
        <f t="shared" si="138"/>
        <v>17038.36</v>
      </c>
      <c r="AP162" s="720"/>
      <c r="AQ162" s="1732">
        <f>+AQ163+AQ164</f>
        <v>1993.0400000000002</v>
      </c>
      <c r="AR162" s="1732"/>
      <c r="AS162" s="1732">
        <f t="shared" si="146"/>
        <v>19031.400000000001</v>
      </c>
      <c r="AT162" s="720"/>
      <c r="AU162" s="1732">
        <f>+AU163+AU164</f>
        <v>2290.06</v>
      </c>
      <c r="AV162" s="1732"/>
      <c r="AW162" s="1732">
        <f t="shared" si="147"/>
        <v>21321.460000000003</v>
      </c>
      <c r="AX162" s="720"/>
      <c r="AY162" s="1732">
        <f>+AY163+AY164</f>
        <v>1993.24</v>
      </c>
      <c r="AZ162" s="720"/>
      <c r="BA162" s="3609">
        <f t="shared" si="136"/>
        <v>6276.34</v>
      </c>
      <c r="BB162" s="236"/>
      <c r="BC162" s="625">
        <f t="shared" si="137"/>
        <v>12354.5</v>
      </c>
      <c r="BD162" s="1732"/>
      <c r="BE162" s="1732">
        <f t="shared" si="148"/>
        <v>23314.700000000004</v>
      </c>
      <c r="BF162" s="26"/>
      <c r="BG162" s="26"/>
    </row>
    <row r="163" spans="1:59" x14ac:dyDescent="0.25">
      <c r="B163" s="2626" t="s">
        <v>1164</v>
      </c>
      <c r="C163" s="193" t="s">
        <v>361</v>
      </c>
      <c r="D163" s="1635"/>
      <c r="E163" s="720">
        <v>1997.2499999999995</v>
      </c>
      <c r="F163" s="720"/>
      <c r="G163" s="720">
        <v>1499.04</v>
      </c>
      <c r="H163" s="2263"/>
      <c r="I163" s="2263">
        <f t="shared" si="152"/>
        <v>3496.2899999999995</v>
      </c>
      <c r="J163" s="720"/>
      <c r="K163" s="720">
        <v>1710.14</v>
      </c>
      <c r="L163" s="720"/>
      <c r="M163" s="1436">
        <f t="shared" si="125"/>
        <v>5206.4299999999994</v>
      </c>
      <c r="N163" s="720"/>
      <c r="O163" s="720">
        <v>1492.84</v>
      </c>
      <c r="P163" s="720"/>
      <c r="Q163" s="709">
        <f t="shared" si="126"/>
        <v>6699.2699999999995</v>
      </c>
      <c r="R163" s="1416"/>
      <c r="S163" s="720">
        <v>1795.0599999999993</v>
      </c>
      <c r="T163" s="720"/>
      <c r="U163" s="2564">
        <f t="shared" si="153"/>
        <v>8494.3299999999981</v>
      </c>
      <c r="V163" s="1416"/>
      <c r="W163" s="720">
        <v>1795.9100000000005</v>
      </c>
      <c r="X163" s="720"/>
      <c r="Y163" s="1436">
        <f t="shared" si="133"/>
        <v>5083.8099999999995</v>
      </c>
      <c r="Z163" s="720"/>
      <c r="AA163" s="625">
        <f t="shared" si="134"/>
        <v>10290.239999999998</v>
      </c>
      <c r="AB163" s="1416"/>
      <c r="AC163" s="720">
        <v>1997.2700000000002</v>
      </c>
      <c r="AD163" s="720"/>
      <c r="AE163" s="4022">
        <f t="shared" si="151"/>
        <v>12287.509999999998</v>
      </c>
      <c r="AF163" s="1416"/>
      <c r="AG163" s="720">
        <v>1789.34</v>
      </c>
      <c r="AH163" s="720"/>
      <c r="AI163" s="4022">
        <f t="shared" si="145"/>
        <v>14076.849999999999</v>
      </c>
      <c r="AJ163" s="1416"/>
      <c r="AK163" s="720">
        <v>1992.31</v>
      </c>
      <c r="AL163" s="1416"/>
      <c r="AM163" s="1436">
        <f t="shared" si="135"/>
        <v>5778.92</v>
      </c>
      <c r="AN163" s="720"/>
      <c r="AO163" s="4022">
        <f t="shared" si="138"/>
        <v>16069.159999999998</v>
      </c>
      <c r="AP163" s="1416"/>
      <c r="AQ163" s="720">
        <v>1993.0400000000002</v>
      </c>
      <c r="AR163" s="720"/>
      <c r="AS163" s="4022">
        <f t="shared" si="146"/>
        <v>18062.199999999997</v>
      </c>
      <c r="AT163" s="1416"/>
      <c r="AU163" s="720">
        <v>1996.01</v>
      </c>
      <c r="AV163" s="720"/>
      <c r="AW163" s="311">
        <f t="shared" si="147"/>
        <v>20058.209999999995</v>
      </c>
      <c r="AX163" s="1416"/>
      <c r="AY163" s="720">
        <v>1993.24</v>
      </c>
      <c r="AZ163" s="1416"/>
      <c r="BA163" s="1436">
        <f t="shared" si="136"/>
        <v>5982.29</v>
      </c>
      <c r="BB163" s="720"/>
      <c r="BC163" s="625">
        <f t="shared" si="137"/>
        <v>11761.21</v>
      </c>
      <c r="BD163" s="720"/>
      <c r="BE163" s="311">
        <f t="shared" si="148"/>
        <v>22051.449999999997</v>
      </c>
      <c r="BF163" s="26"/>
      <c r="BG163" s="26"/>
    </row>
    <row r="164" spans="1:59" x14ac:dyDescent="0.25">
      <c r="B164" s="2626" t="s">
        <v>1165</v>
      </c>
      <c r="C164" s="193" t="s">
        <v>361</v>
      </c>
      <c r="D164" s="1635"/>
      <c r="E164" s="1416">
        <v>79.349999999999994</v>
      </c>
      <c r="F164" s="1416"/>
      <c r="G164" s="1416">
        <v>295.83</v>
      </c>
      <c r="H164" s="2262"/>
      <c r="I164" s="2262">
        <f t="shared" si="152"/>
        <v>375.17999999999995</v>
      </c>
      <c r="J164" s="1416"/>
      <c r="K164" s="1416"/>
      <c r="L164" s="1416"/>
      <c r="M164" s="1436">
        <f t="shared" si="125"/>
        <v>375.17999999999995</v>
      </c>
      <c r="N164" s="1416"/>
      <c r="O164" s="1416"/>
      <c r="P164" s="1416"/>
      <c r="Q164" s="709">
        <f t="shared" si="126"/>
        <v>375.17999999999995</v>
      </c>
      <c r="R164" s="425"/>
      <c r="S164" s="719">
        <v>294.78000000000003</v>
      </c>
      <c r="T164" s="1416"/>
      <c r="U164" s="2564">
        <f t="shared" si="153"/>
        <v>669.96</v>
      </c>
      <c r="V164" s="425"/>
      <c r="W164" s="719"/>
      <c r="X164" s="1416"/>
      <c r="Y164" s="1436">
        <f t="shared" si="133"/>
        <v>294.78000000000003</v>
      </c>
      <c r="Z164" s="720"/>
      <c r="AA164" s="625">
        <f t="shared" si="134"/>
        <v>669.96</v>
      </c>
      <c r="AB164" s="425"/>
      <c r="AC164" s="719"/>
      <c r="AD164" s="1416"/>
      <c r="AE164" s="4022">
        <f t="shared" si="151"/>
        <v>669.96</v>
      </c>
      <c r="AF164" s="425"/>
      <c r="AG164" s="719">
        <v>299.24</v>
      </c>
      <c r="AH164" s="1416"/>
      <c r="AI164" s="4022">
        <f t="shared" si="145"/>
        <v>969.2</v>
      </c>
      <c r="AJ164" s="425"/>
      <c r="AK164" s="719"/>
      <c r="AL164" s="425"/>
      <c r="AM164" s="1436">
        <f t="shared" si="135"/>
        <v>299.24</v>
      </c>
      <c r="AN164" s="1416"/>
      <c r="AO164" s="4022">
        <f t="shared" si="138"/>
        <v>969.2</v>
      </c>
      <c r="AP164" s="425"/>
      <c r="AQ164" s="719"/>
      <c r="AR164" s="1416"/>
      <c r="AS164" s="4022">
        <f t="shared" si="146"/>
        <v>969.2</v>
      </c>
      <c r="AT164" s="425"/>
      <c r="AU164" s="719">
        <v>294.05</v>
      </c>
      <c r="AV164" s="1416"/>
      <c r="AW164" s="311">
        <f t="shared" si="147"/>
        <v>1263.25</v>
      </c>
      <c r="AX164" s="425"/>
      <c r="AY164" s="719"/>
      <c r="AZ164" s="425"/>
      <c r="BA164" s="1436">
        <f t="shared" si="136"/>
        <v>294.05</v>
      </c>
      <c r="BB164" s="720"/>
      <c r="BC164" s="625">
        <f t="shared" si="137"/>
        <v>593.29</v>
      </c>
      <c r="BD164" s="1416"/>
      <c r="BE164" s="311">
        <f t="shared" si="148"/>
        <v>1263.25</v>
      </c>
      <c r="BF164" s="26"/>
      <c r="BG164" s="26"/>
    </row>
    <row r="165" spans="1:59" x14ac:dyDescent="0.25">
      <c r="B165" s="2625" t="s">
        <v>1734</v>
      </c>
      <c r="C165" s="193" t="s">
        <v>361</v>
      </c>
      <c r="D165" s="1635"/>
      <c r="E165" s="1416"/>
      <c r="F165" s="1416"/>
      <c r="G165" s="1416"/>
      <c r="H165" s="2262"/>
      <c r="I165" s="2262"/>
      <c r="J165" s="1416"/>
      <c r="K165" s="1416"/>
      <c r="L165" s="1416"/>
      <c r="M165" s="1436">
        <f t="shared" si="125"/>
        <v>0</v>
      </c>
      <c r="N165" s="1416"/>
      <c r="O165" s="1416"/>
      <c r="P165" s="1416"/>
      <c r="Q165" s="2621"/>
      <c r="R165" s="425"/>
      <c r="S165" s="1416">
        <v>1.95</v>
      </c>
      <c r="T165" s="1416"/>
      <c r="U165" s="2621">
        <f t="shared" si="153"/>
        <v>1.95</v>
      </c>
      <c r="V165" s="425"/>
      <c r="W165" s="1416"/>
      <c r="X165" s="1416"/>
      <c r="Y165" s="1436">
        <f t="shared" si="133"/>
        <v>1.95</v>
      </c>
      <c r="Z165" s="720"/>
      <c r="AA165" s="625">
        <f t="shared" si="134"/>
        <v>1.95</v>
      </c>
      <c r="AB165" s="425"/>
      <c r="AC165" s="1416"/>
      <c r="AD165" s="1416"/>
      <c r="AE165" s="4022">
        <f t="shared" si="151"/>
        <v>1.95</v>
      </c>
      <c r="AF165" s="425"/>
      <c r="AG165" s="1416"/>
      <c r="AH165" s="1416"/>
      <c r="AI165" s="4022">
        <f t="shared" si="145"/>
        <v>1.95</v>
      </c>
      <c r="AJ165" s="425"/>
      <c r="AK165" s="1416"/>
      <c r="AL165" s="425"/>
      <c r="AM165" s="1436">
        <f t="shared" si="135"/>
        <v>0</v>
      </c>
      <c r="AN165" s="1416"/>
      <c r="AO165" s="4022">
        <f t="shared" si="138"/>
        <v>1.95</v>
      </c>
      <c r="AP165" s="425"/>
      <c r="AQ165" s="1416"/>
      <c r="AR165" s="1416"/>
      <c r="AS165" s="4022">
        <f t="shared" si="146"/>
        <v>1.95</v>
      </c>
      <c r="AT165" s="425"/>
      <c r="AU165" s="1416">
        <v>9.77</v>
      </c>
      <c r="AV165" s="1416"/>
      <c r="AW165" s="311">
        <f t="shared" si="147"/>
        <v>11.719999999999999</v>
      </c>
      <c r="AX165" s="425"/>
      <c r="AY165" s="1416"/>
      <c r="AZ165" s="425"/>
      <c r="BA165" s="1436">
        <f t="shared" si="136"/>
        <v>9.77</v>
      </c>
      <c r="BB165" s="720"/>
      <c r="BC165" s="625">
        <f t="shared" si="137"/>
        <v>9.77</v>
      </c>
      <c r="BD165" s="1416"/>
      <c r="BE165" s="311">
        <f t="shared" si="148"/>
        <v>11.719999999999999</v>
      </c>
      <c r="BF165" s="26"/>
      <c r="BG165" s="26"/>
    </row>
    <row r="166" spans="1:59" x14ac:dyDescent="0.25">
      <c r="A166" s="2620"/>
      <c r="B166" s="2599" t="s">
        <v>1441</v>
      </c>
      <c r="C166" s="193" t="s">
        <v>361</v>
      </c>
      <c r="D166" s="1635"/>
      <c r="E166" s="425">
        <v>9.14</v>
      </c>
      <c r="F166" s="425"/>
      <c r="G166" s="425"/>
      <c r="H166" s="2264"/>
      <c r="I166" s="2264">
        <f t="shared" si="152"/>
        <v>9.14</v>
      </c>
      <c r="J166" s="425"/>
      <c r="K166" s="425"/>
      <c r="L166" s="425"/>
      <c r="M166" s="1436">
        <f t="shared" si="125"/>
        <v>9.14</v>
      </c>
      <c r="N166" s="425"/>
      <c r="O166" s="425"/>
      <c r="P166" s="425"/>
      <c r="Q166" s="709">
        <f t="shared" si="126"/>
        <v>9.14</v>
      </c>
      <c r="R166" s="1411"/>
      <c r="S166" s="425"/>
      <c r="T166" s="425"/>
      <c r="U166" s="2564">
        <f t="shared" si="153"/>
        <v>9.14</v>
      </c>
      <c r="V166" s="1411"/>
      <c r="W166" s="425"/>
      <c r="X166" s="425"/>
      <c r="Y166" s="1436">
        <f t="shared" si="133"/>
        <v>0</v>
      </c>
      <c r="Z166" s="720"/>
      <c r="AA166" s="625">
        <f t="shared" si="134"/>
        <v>9.14</v>
      </c>
      <c r="AB166" s="3616"/>
      <c r="AC166" s="425"/>
      <c r="AD166" s="425"/>
      <c r="AE166" s="4022">
        <f t="shared" si="151"/>
        <v>9.14</v>
      </c>
      <c r="AF166" s="3616"/>
      <c r="AG166" s="425"/>
      <c r="AH166" s="425"/>
      <c r="AI166" s="4022">
        <f t="shared" si="145"/>
        <v>9.14</v>
      </c>
      <c r="AJ166" s="3616"/>
      <c r="AK166" s="425"/>
      <c r="AL166" s="3616"/>
      <c r="AM166" s="1436">
        <f t="shared" si="135"/>
        <v>0</v>
      </c>
      <c r="AN166" s="425"/>
      <c r="AO166" s="4022">
        <f t="shared" si="138"/>
        <v>9.14</v>
      </c>
      <c r="AP166" s="3616"/>
      <c r="AQ166" s="425"/>
      <c r="AR166" s="425"/>
      <c r="AS166" s="4022">
        <f t="shared" si="146"/>
        <v>9.14</v>
      </c>
      <c r="AT166" s="3616"/>
      <c r="AU166" s="425"/>
      <c r="AV166" s="425"/>
      <c r="AW166" s="311">
        <f t="shared" si="147"/>
        <v>9.14</v>
      </c>
      <c r="AX166" s="3616"/>
      <c r="AY166" s="425"/>
      <c r="AZ166" s="3616"/>
      <c r="BA166" s="1436">
        <f t="shared" si="136"/>
        <v>0</v>
      </c>
      <c r="BB166" s="720"/>
      <c r="BC166" s="625">
        <f t="shared" si="137"/>
        <v>0</v>
      </c>
      <c r="BD166" s="425"/>
      <c r="BE166" s="311">
        <f t="shared" si="148"/>
        <v>9.14</v>
      </c>
      <c r="BF166" s="26"/>
      <c r="BG166" s="26"/>
    </row>
    <row r="167" spans="1:59" s="5183" customFormat="1" x14ac:dyDescent="0.25">
      <c r="B167" s="5201" t="s">
        <v>1805</v>
      </c>
      <c r="C167" s="4733" t="s">
        <v>361</v>
      </c>
      <c r="D167" s="1635"/>
      <c r="E167" s="5161"/>
      <c r="F167" s="5161"/>
      <c r="G167" s="5161"/>
      <c r="H167" s="5202"/>
      <c r="I167" s="5202"/>
      <c r="J167" s="5161"/>
      <c r="K167" s="5161"/>
      <c r="L167" s="5161"/>
      <c r="M167" s="4741"/>
      <c r="N167" s="5161"/>
      <c r="O167" s="5161"/>
      <c r="P167" s="5161"/>
      <c r="Q167" s="4740"/>
      <c r="R167" s="4710"/>
      <c r="S167" s="5161"/>
      <c r="T167" s="5161"/>
      <c r="U167" s="4740"/>
      <c r="V167" s="4710"/>
      <c r="W167" s="5161"/>
      <c r="X167" s="5161"/>
      <c r="Y167" s="4741">
        <f t="shared" si="133"/>
        <v>0</v>
      </c>
      <c r="Z167" s="720"/>
      <c r="AA167" s="625">
        <f t="shared" si="134"/>
        <v>0</v>
      </c>
      <c r="AB167" s="4710"/>
      <c r="AC167" s="5161"/>
      <c r="AD167" s="5161"/>
      <c r="AE167" s="4740"/>
      <c r="AF167" s="4710"/>
      <c r="AG167" s="5161"/>
      <c r="AH167" s="5161"/>
      <c r="AI167" s="4740"/>
      <c r="AJ167" s="4710"/>
      <c r="AK167" s="5161"/>
      <c r="AL167" s="4710"/>
      <c r="AM167" s="4741">
        <f t="shared" si="135"/>
        <v>0</v>
      </c>
      <c r="AN167" s="5161"/>
      <c r="AO167" s="4740"/>
      <c r="AP167" s="4710"/>
      <c r="AQ167" s="5161"/>
      <c r="AR167" s="5161"/>
      <c r="AS167" s="4022">
        <f t="shared" si="146"/>
        <v>0</v>
      </c>
      <c r="AT167" s="4710"/>
      <c r="AU167" s="5161"/>
      <c r="AV167" s="5161"/>
      <c r="AW167" s="311">
        <f t="shared" si="147"/>
        <v>0</v>
      </c>
      <c r="AX167" s="4710"/>
      <c r="AY167" s="5161">
        <v>1.19</v>
      </c>
      <c r="AZ167" s="4710"/>
      <c r="BA167" s="4741">
        <f t="shared" si="136"/>
        <v>1.19</v>
      </c>
      <c r="BB167" s="720"/>
      <c r="BC167" s="625">
        <f t="shared" ref="BC167" si="154">BA167+AM167</f>
        <v>1.19</v>
      </c>
      <c r="BD167" s="425"/>
      <c r="BE167" s="311">
        <f t="shared" ref="BE167" si="155">+AW167+AY167</f>
        <v>1.19</v>
      </c>
      <c r="BF167" s="26"/>
      <c r="BG167" s="26"/>
    </row>
    <row r="168" spans="1:59" x14ac:dyDescent="0.25">
      <c r="B168" s="2599" t="s">
        <v>1244</v>
      </c>
      <c r="C168" s="193" t="s">
        <v>361</v>
      </c>
      <c r="D168" s="1635"/>
      <c r="E168" s="1411">
        <v>1</v>
      </c>
      <c r="F168" s="1411"/>
      <c r="G168" s="1411"/>
      <c r="H168" s="2261"/>
      <c r="I168" s="2261">
        <f t="shared" si="152"/>
        <v>1</v>
      </c>
      <c r="J168" s="1411"/>
      <c r="K168" s="1411"/>
      <c r="L168" s="1411"/>
      <c r="M168" s="1436">
        <f t="shared" si="125"/>
        <v>1</v>
      </c>
      <c r="N168" s="1411"/>
      <c r="O168" s="1411"/>
      <c r="P168" s="1411"/>
      <c r="Q168" s="709">
        <f t="shared" si="126"/>
        <v>1</v>
      </c>
      <c r="R168" s="1411"/>
      <c r="S168" s="1411"/>
      <c r="T168" s="1411"/>
      <c r="U168" s="2564">
        <f t="shared" si="153"/>
        <v>1</v>
      </c>
      <c r="V168" s="1411"/>
      <c r="W168" s="3391"/>
      <c r="X168" s="3616"/>
      <c r="Y168" s="1436">
        <f t="shared" si="133"/>
        <v>0</v>
      </c>
      <c r="Z168" s="720"/>
      <c r="AA168" s="625">
        <f t="shared" si="134"/>
        <v>1</v>
      </c>
      <c r="AB168" s="3616"/>
      <c r="AC168" s="3616"/>
      <c r="AD168" s="3616"/>
      <c r="AE168" s="4022">
        <f t="shared" si="151"/>
        <v>1</v>
      </c>
      <c r="AF168" s="3616"/>
      <c r="AG168" s="3616"/>
      <c r="AH168" s="3616"/>
      <c r="AI168" s="4022">
        <f t="shared" si="145"/>
        <v>1</v>
      </c>
      <c r="AJ168" s="3616"/>
      <c r="AK168" s="3616"/>
      <c r="AL168" s="3616"/>
      <c r="AM168" s="1436">
        <f t="shared" si="135"/>
        <v>0</v>
      </c>
      <c r="AN168" s="3616"/>
      <c r="AO168" s="4022">
        <f t="shared" si="138"/>
        <v>1</v>
      </c>
      <c r="AP168" s="3616"/>
      <c r="AQ168" s="3616"/>
      <c r="AR168" s="3616"/>
      <c r="AS168" s="4022">
        <f t="shared" si="146"/>
        <v>1</v>
      </c>
      <c r="AT168" s="3616"/>
      <c r="AU168" s="3616"/>
      <c r="AV168" s="3616"/>
      <c r="AW168" s="311">
        <f t="shared" si="147"/>
        <v>1</v>
      </c>
      <c r="AX168" s="3616"/>
      <c r="AY168" s="3616"/>
      <c r="AZ168" s="3616"/>
      <c r="BA168" s="1436">
        <f t="shared" si="136"/>
        <v>0</v>
      </c>
      <c r="BB168" s="720"/>
      <c r="BC168" s="625">
        <f t="shared" si="137"/>
        <v>0</v>
      </c>
      <c r="BD168" s="3616"/>
      <c r="BE168" s="311">
        <f t="shared" si="148"/>
        <v>1</v>
      </c>
      <c r="BF168" s="26"/>
      <c r="BG168" s="26"/>
    </row>
    <row r="169" spans="1:59" ht="16.5" thickBot="1" x14ac:dyDescent="0.3">
      <c r="B169" s="2599" t="s">
        <v>1496</v>
      </c>
      <c r="C169" s="193" t="s">
        <v>361</v>
      </c>
      <c r="D169" s="1635"/>
      <c r="E169" s="1411">
        <v>0.99</v>
      </c>
      <c r="F169" s="1411"/>
      <c r="G169" s="1411"/>
      <c r="H169" s="2261"/>
      <c r="I169" s="2261">
        <f t="shared" si="152"/>
        <v>0.99</v>
      </c>
      <c r="J169" s="1411"/>
      <c r="K169" s="1411"/>
      <c r="L169" s="1411"/>
      <c r="M169" s="1436">
        <f t="shared" si="125"/>
        <v>0.99</v>
      </c>
      <c r="N169" s="1411"/>
      <c r="O169" s="1411"/>
      <c r="P169" s="1411"/>
      <c r="Q169" s="709">
        <f t="shared" si="126"/>
        <v>0.99</v>
      </c>
      <c r="R169" s="2247"/>
      <c r="S169" s="1411"/>
      <c r="T169" s="1411"/>
      <c r="U169" s="2564">
        <f t="shared" si="153"/>
        <v>0.99</v>
      </c>
      <c r="V169" s="2247"/>
      <c r="W169" s="3391"/>
      <c r="X169" s="3616"/>
      <c r="Y169" s="1436">
        <f t="shared" si="133"/>
        <v>0</v>
      </c>
      <c r="Z169" s="720"/>
      <c r="AA169" s="625">
        <f t="shared" si="134"/>
        <v>0.99</v>
      </c>
      <c r="AB169" s="2247"/>
      <c r="AC169" s="3616">
        <v>0.99</v>
      </c>
      <c r="AD169" s="3616"/>
      <c r="AE169" s="4022">
        <f t="shared" si="151"/>
        <v>1.98</v>
      </c>
      <c r="AF169" s="2247"/>
      <c r="AG169" s="3616"/>
      <c r="AH169" s="3616"/>
      <c r="AI169" s="4022">
        <f t="shared" si="145"/>
        <v>1.98</v>
      </c>
      <c r="AJ169" s="2247"/>
      <c r="AK169" s="3616"/>
      <c r="AL169" s="2247"/>
      <c r="AM169" s="1436">
        <f t="shared" si="135"/>
        <v>0.99</v>
      </c>
      <c r="AN169" s="3616"/>
      <c r="AO169" s="4022">
        <f t="shared" si="138"/>
        <v>1.98</v>
      </c>
      <c r="AP169" s="2247"/>
      <c r="AQ169" s="3616"/>
      <c r="AR169" s="3616"/>
      <c r="AS169" s="4022">
        <f t="shared" si="146"/>
        <v>1.98</v>
      </c>
      <c r="AT169" s="2247"/>
      <c r="AU169" s="3616"/>
      <c r="AV169" s="3616"/>
      <c r="AW169" s="311">
        <f t="shared" si="147"/>
        <v>1.98</v>
      </c>
      <c r="AX169" s="2247"/>
      <c r="AY169" s="3616"/>
      <c r="AZ169" s="2247"/>
      <c r="BA169" s="1436">
        <f t="shared" si="136"/>
        <v>0</v>
      </c>
      <c r="BB169" s="720"/>
      <c r="BC169" s="625">
        <f t="shared" si="137"/>
        <v>0.99</v>
      </c>
      <c r="BD169" s="3616"/>
      <c r="BE169" s="311">
        <f t="shared" si="148"/>
        <v>1.98</v>
      </c>
      <c r="BF169" s="26"/>
      <c r="BG169" s="26"/>
    </row>
    <row r="170" spans="1:59" ht="21" thickBot="1" x14ac:dyDescent="0.3">
      <c r="A170" s="183"/>
      <c r="B170" s="2624" t="s">
        <v>1166</v>
      </c>
      <c r="C170" s="2245" t="s">
        <v>361</v>
      </c>
      <c r="D170" s="2246"/>
      <c r="E170" s="2247">
        <v>109.80999999999999</v>
      </c>
      <c r="F170" s="2247"/>
      <c r="G170" s="2247">
        <v>119.09</v>
      </c>
      <c r="H170" s="2267"/>
      <c r="I170" s="2267">
        <f t="shared" si="152"/>
        <v>228.89999999999998</v>
      </c>
      <c r="J170" s="2247"/>
      <c r="K170" s="2247">
        <v>148.09</v>
      </c>
      <c r="L170" s="2247"/>
      <c r="M170" s="3609">
        <f t="shared" si="125"/>
        <v>376.99</v>
      </c>
      <c r="N170" s="2247"/>
      <c r="O170" s="2247">
        <v>108.04</v>
      </c>
      <c r="P170" s="2247"/>
      <c r="Q170" s="2433">
        <f t="shared" si="126"/>
        <v>485.03000000000003</v>
      </c>
      <c r="R170" s="1733"/>
      <c r="S170" s="2247">
        <v>119.68</v>
      </c>
      <c r="T170" s="2247"/>
      <c r="U170" s="2433">
        <f t="shared" si="153"/>
        <v>604.71</v>
      </c>
      <c r="V170" s="1733"/>
      <c r="W170" s="2247">
        <v>119.47999999999999</v>
      </c>
      <c r="X170" s="2247"/>
      <c r="Y170" s="3609">
        <f t="shared" si="133"/>
        <v>347.20000000000005</v>
      </c>
      <c r="Z170" s="720"/>
      <c r="AA170" s="5195">
        <f t="shared" si="134"/>
        <v>724.19</v>
      </c>
      <c r="AB170" s="1733"/>
      <c r="AC170" s="2247">
        <v>118.24999999999999</v>
      </c>
      <c r="AD170" s="2247"/>
      <c r="AE170" s="2433">
        <f t="shared" si="151"/>
        <v>842.44</v>
      </c>
      <c r="AF170" s="1733"/>
      <c r="AG170" s="2247">
        <v>135.29</v>
      </c>
      <c r="AH170" s="2247"/>
      <c r="AI170" s="2433">
        <f t="shared" si="145"/>
        <v>977.73</v>
      </c>
      <c r="AJ170" s="1733"/>
      <c r="AK170" s="2247">
        <v>110.26</v>
      </c>
      <c r="AL170" s="1733"/>
      <c r="AM170" s="3609">
        <f t="shared" si="135"/>
        <v>363.79999999999995</v>
      </c>
      <c r="AN170" s="2247"/>
      <c r="AO170" s="2433">
        <f t="shared" si="138"/>
        <v>1087.99</v>
      </c>
      <c r="AP170" s="1733"/>
      <c r="AQ170" s="2247">
        <v>119.36999999999998</v>
      </c>
      <c r="AR170" s="2247"/>
      <c r="AS170" s="2433">
        <f t="shared" si="146"/>
        <v>1207.3599999999999</v>
      </c>
      <c r="AT170" s="1733"/>
      <c r="AU170" s="2247">
        <v>119.36</v>
      </c>
      <c r="AV170" s="2247"/>
      <c r="AW170" s="2433">
        <f t="shared" si="147"/>
        <v>1326.7199999999998</v>
      </c>
      <c r="AX170" s="1733"/>
      <c r="AY170" s="2247">
        <v>146.55000000000001</v>
      </c>
      <c r="AZ170" s="1733"/>
      <c r="BA170" s="3609">
        <f t="shared" si="136"/>
        <v>385.28</v>
      </c>
      <c r="BB170" s="720"/>
      <c r="BC170" s="5195">
        <f t="shared" si="137"/>
        <v>749.07999999999993</v>
      </c>
      <c r="BD170" s="2247"/>
      <c r="BE170" s="2433">
        <f t="shared" si="148"/>
        <v>1473.2699999999998</v>
      </c>
      <c r="BF170" s="26"/>
      <c r="BG170" s="26"/>
    </row>
    <row r="171" spans="1:59" ht="26.25" thickBot="1" x14ac:dyDescent="0.35">
      <c r="A171" s="638"/>
      <c r="B171" s="4242" t="s">
        <v>1311</v>
      </c>
      <c r="C171" s="4243" t="s">
        <v>361</v>
      </c>
      <c r="D171" s="4244"/>
      <c r="E171" s="4245">
        <f>+SUM(E132:E170)-E162</f>
        <v>2774.2</v>
      </c>
      <c r="F171" s="4245">
        <f t="shared" ref="F171:Z171" si="156">+SUM(F132:F170)-F162</f>
        <v>0</v>
      </c>
      <c r="G171" s="4245">
        <f t="shared" si="156"/>
        <v>6733.0000000000009</v>
      </c>
      <c r="H171" s="4245">
        <f t="shared" si="156"/>
        <v>0</v>
      </c>
      <c r="I171" s="4245">
        <f t="shared" si="156"/>
        <v>9507.1999999999971</v>
      </c>
      <c r="J171" s="4245">
        <f t="shared" si="156"/>
        <v>0</v>
      </c>
      <c r="K171" s="4245">
        <f t="shared" si="156"/>
        <v>2282.7399999999998</v>
      </c>
      <c r="L171" s="4245">
        <f t="shared" si="156"/>
        <v>0</v>
      </c>
      <c r="M171" s="4246">
        <f t="shared" si="156"/>
        <v>11789.940000000002</v>
      </c>
      <c r="N171" s="4245">
        <f t="shared" si="156"/>
        <v>0</v>
      </c>
      <c r="O171" s="4245">
        <f t="shared" si="156"/>
        <v>1886.9600000000003</v>
      </c>
      <c r="P171" s="4245">
        <f t="shared" si="156"/>
        <v>0</v>
      </c>
      <c r="Q171" s="4245">
        <f t="shared" si="156"/>
        <v>13676.900000000001</v>
      </c>
      <c r="R171" s="4245">
        <f t="shared" si="156"/>
        <v>0</v>
      </c>
      <c r="S171" s="4245">
        <f t="shared" si="156"/>
        <v>2310.9599999999991</v>
      </c>
      <c r="T171" s="4245">
        <f t="shared" si="156"/>
        <v>0</v>
      </c>
      <c r="U171" s="4245">
        <f t="shared" si="156"/>
        <v>15987.859999999999</v>
      </c>
      <c r="V171" s="4245">
        <f t="shared" si="156"/>
        <v>0</v>
      </c>
      <c r="W171" s="4245">
        <f t="shared" si="156"/>
        <v>2422.8500000000004</v>
      </c>
      <c r="X171" s="4245">
        <f t="shared" si="156"/>
        <v>0</v>
      </c>
      <c r="Y171" s="4246">
        <f t="shared" si="133"/>
        <v>6620.7699999999995</v>
      </c>
      <c r="Z171" s="4245">
        <f t="shared" si="156"/>
        <v>0</v>
      </c>
      <c r="AA171" s="5196">
        <f t="shared" si="134"/>
        <v>18410.710000000003</v>
      </c>
      <c r="AB171" s="4245">
        <f t="shared" ref="AB171:AE171" si="157">+SUM(AB132:AB170)-AB162</f>
        <v>0</v>
      </c>
      <c r="AC171" s="4245">
        <f t="shared" si="157"/>
        <v>3116.51</v>
      </c>
      <c r="AD171" s="4245">
        <f t="shared" si="157"/>
        <v>0</v>
      </c>
      <c r="AE171" s="4245">
        <f t="shared" si="157"/>
        <v>21527.22</v>
      </c>
      <c r="AF171" s="4245">
        <f t="shared" ref="AF171:AI171" si="158">+SUM(AF132:AF170)-AF162</f>
        <v>0</v>
      </c>
      <c r="AG171" s="4245">
        <f t="shared" si="158"/>
        <v>2746.1899999999996</v>
      </c>
      <c r="AH171" s="4245">
        <f t="shared" si="158"/>
        <v>0</v>
      </c>
      <c r="AI171" s="4245">
        <f t="shared" si="158"/>
        <v>24273.409999999996</v>
      </c>
      <c r="AJ171" s="4245">
        <f t="shared" ref="AJ171:AL171" si="159">+SUM(AJ132:AJ170)-AJ162</f>
        <v>0</v>
      </c>
      <c r="AK171" s="4245">
        <f t="shared" si="159"/>
        <v>2285.1600000000003</v>
      </c>
      <c r="AL171" s="4245">
        <f t="shared" si="159"/>
        <v>0</v>
      </c>
      <c r="AM171" s="4246">
        <f t="shared" si="135"/>
        <v>8147.8600000000006</v>
      </c>
      <c r="AN171" s="4245">
        <f t="shared" ref="AN171" si="160">+SUM(AN132:AN170)-AN162</f>
        <v>0</v>
      </c>
      <c r="AO171" s="4245">
        <f t="shared" si="138"/>
        <v>26558.569999999996</v>
      </c>
      <c r="AP171" s="4245">
        <f t="shared" ref="AP171:AS171" si="161">+SUM(AP132:AP170)-AP162</f>
        <v>0</v>
      </c>
      <c r="AQ171" s="4245">
        <f t="shared" si="161"/>
        <v>2144.8500000000004</v>
      </c>
      <c r="AR171" s="4245">
        <f t="shared" si="161"/>
        <v>0</v>
      </c>
      <c r="AS171" s="4245">
        <f t="shared" si="161"/>
        <v>28703.42</v>
      </c>
      <c r="AT171" s="4245">
        <f t="shared" ref="AT171:AW171" si="162">+SUM(AT132:AT170)-AT162</f>
        <v>0</v>
      </c>
      <c r="AU171" s="4245">
        <f t="shared" si="162"/>
        <v>2484.6200000000003</v>
      </c>
      <c r="AV171" s="4245">
        <f t="shared" si="162"/>
        <v>0</v>
      </c>
      <c r="AW171" s="4245">
        <f t="shared" si="162"/>
        <v>31188.040000000005</v>
      </c>
      <c r="AX171" s="4245">
        <f t="shared" ref="AX171:BE171" si="163">+SUM(AX132:AX170)-AX162</f>
        <v>0</v>
      </c>
      <c r="AY171" s="4245">
        <f t="shared" si="163"/>
        <v>5160.9699999999993</v>
      </c>
      <c r="AZ171" s="4245">
        <f t="shared" si="163"/>
        <v>0</v>
      </c>
      <c r="BA171" s="4246">
        <f t="shared" si="136"/>
        <v>9790.44</v>
      </c>
      <c r="BB171" s="4245">
        <f>+SUM(BB132:BB170)-BB162</f>
        <v>0</v>
      </c>
      <c r="BC171" s="5196">
        <f t="shared" si="137"/>
        <v>17938.300000000003</v>
      </c>
      <c r="BD171" s="4245">
        <f t="shared" si="163"/>
        <v>0</v>
      </c>
      <c r="BE171" s="4245">
        <f t="shared" si="163"/>
        <v>36349.01</v>
      </c>
      <c r="BF171" s="26"/>
      <c r="BG171" s="26"/>
    </row>
    <row r="172" spans="1:59" ht="22.5" x14ac:dyDescent="0.25">
      <c r="B172" s="4247" t="s">
        <v>712</v>
      </c>
      <c r="C172" s="241"/>
      <c r="D172" s="4248"/>
      <c r="E172" s="2405"/>
      <c r="F172" s="2405"/>
      <c r="G172" s="2405"/>
      <c r="H172" s="4249"/>
      <c r="I172" s="4249"/>
      <c r="J172" s="2405"/>
      <c r="K172" s="2405"/>
      <c r="L172" s="2405"/>
      <c r="M172" s="4250"/>
      <c r="N172" s="2405"/>
      <c r="O172" s="2405"/>
      <c r="P172" s="2405"/>
      <c r="Q172" s="2405"/>
      <c r="R172" s="4251"/>
      <c r="S172" s="2405"/>
      <c r="T172" s="2405"/>
      <c r="U172" s="2405"/>
      <c r="V172" s="4251"/>
      <c r="W172" s="2405"/>
      <c r="X172" s="2405"/>
      <c r="Y172" s="4250"/>
      <c r="Z172" s="5009"/>
      <c r="AA172" s="5009">
        <f t="shared" si="134"/>
        <v>0</v>
      </c>
      <c r="AB172" s="4251"/>
      <c r="AC172" s="2405"/>
      <c r="AD172" s="2405"/>
      <c r="AE172" s="2405"/>
      <c r="AF172" s="4251"/>
      <c r="AG172" s="2405"/>
      <c r="AH172" s="2405"/>
      <c r="AI172" s="4252"/>
      <c r="AJ172" s="4251"/>
      <c r="AK172" s="2405"/>
      <c r="AL172" s="2405"/>
      <c r="AM172" s="4250"/>
      <c r="AN172" s="2405"/>
      <c r="AO172" s="4252"/>
      <c r="AP172" s="4251"/>
      <c r="AQ172" s="2405"/>
      <c r="AR172" s="2405"/>
      <c r="AS172" s="4252"/>
      <c r="AT172" s="4251"/>
      <c r="AU172" s="2405"/>
      <c r="AV172" s="2405"/>
      <c r="AW172" s="5009"/>
      <c r="AX172" s="5009"/>
      <c r="AY172" s="5009"/>
      <c r="AZ172" s="5009"/>
      <c r="BA172" s="4250"/>
      <c r="BB172" s="5009"/>
      <c r="BC172" s="5009"/>
      <c r="BD172" s="5009"/>
      <c r="BE172" s="5009"/>
      <c r="BF172" s="26"/>
      <c r="BG172" s="26"/>
    </row>
    <row r="173" spans="1:59" ht="18.75" x14ac:dyDescent="0.25">
      <c r="B173" s="637" t="s">
        <v>62</v>
      </c>
      <c r="C173" s="4238" t="s">
        <v>361</v>
      </c>
      <c r="D173" s="1732"/>
      <c r="E173" s="1732">
        <f>SUM(E174:E175)</f>
        <v>0</v>
      </c>
      <c r="F173" s="1732"/>
      <c r="G173" s="1732">
        <f>SUM(G174:G175)</f>
        <v>0</v>
      </c>
      <c r="H173" s="2262"/>
      <c r="I173" s="2262">
        <f t="shared" ref="I173:I177" si="164">+E173+G173</f>
        <v>0</v>
      </c>
      <c r="J173" s="1732"/>
      <c r="K173" s="1732">
        <f>SUM(K174:K175)</f>
        <v>0</v>
      </c>
      <c r="L173" s="1732"/>
      <c r="M173" s="969">
        <f t="shared" ref="M173:M198" si="165">+E173+G173+K173</f>
        <v>0</v>
      </c>
      <c r="N173" s="1732"/>
      <c r="O173" s="1732">
        <f>SUM(O174:O175)</f>
        <v>0</v>
      </c>
      <c r="P173" s="1732"/>
      <c r="Q173" s="1732">
        <f t="shared" si="126"/>
        <v>0</v>
      </c>
      <c r="R173" s="719"/>
      <c r="S173" s="1732">
        <f>SUM(S174:S175)</f>
        <v>0</v>
      </c>
      <c r="T173" s="1732"/>
      <c r="U173" s="1732">
        <f t="shared" ref="U173:U177" si="166">+Q173+S173</f>
        <v>0</v>
      </c>
      <c r="V173" s="719"/>
      <c r="W173" s="1732">
        <f>SUM(W174:W175)</f>
        <v>0</v>
      </c>
      <c r="X173" s="1732"/>
      <c r="Y173" s="969">
        <f t="shared" si="133"/>
        <v>0</v>
      </c>
      <c r="Z173" s="719"/>
      <c r="AA173" s="5197">
        <f t="shared" si="134"/>
        <v>0</v>
      </c>
      <c r="AB173" s="719"/>
      <c r="AC173" s="1732">
        <f>SUM(AC174:AC175)</f>
        <v>3776.23</v>
      </c>
      <c r="AD173" s="1732"/>
      <c r="AE173" s="1732">
        <f t="shared" ref="AE173:AE177" si="167">+AA173+AC173</f>
        <v>3776.23</v>
      </c>
      <c r="AF173" s="719"/>
      <c r="AG173" s="1732">
        <f>SUM(AG174:AG175)</f>
        <v>23090.400000000001</v>
      </c>
      <c r="AH173" s="1732"/>
      <c r="AI173" s="4253">
        <f t="shared" ref="AI173:AI177" si="168">+AE173+AG173</f>
        <v>26866.63</v>
      </c>
      <c r="AJ173" s="719"/>
      <c r="AK173" s="1732">
        <f>SUM(AK174:AK175)</f>
        <v>3744.6</v>
      </c>
      <c r="AL173" s="719"/>
      <c r="AM173" s="969">
        <f t="shared" si="135"/>
        <v>30611.23</v>
      </c>
      <c r="AN173" s="1732"/>
      <c r="AO173" s="4253">
        <f t="shared" si="138"/>
        <v>30611.23</v>
      </c>
      <c r="AP173" s="719"/>
      <c r="AQ173" s="1732">
        <f>SUM(AQ174:AQ175)</f>
        <v>0</v>
      </c>
      <c r="AR173" s="1732"/>
      <c r="AS173" s="4253">
        <f t="shared" ref="AS173:AS177" si="169">+AO173+AQ173</f>
        <v>30611.23</v>
      </c>
      <c r="AT173" s="719"/>
      <c r="AU173" s="1732">
        <f>SUM(AU174:AU175)</f>
        <v>0</v>
      </c>
      <c r="AV173" s="1732"/>
      <c r="AW173" s="4253">
        <f t="shared" ref="AW173:AW177" si="170">+AS173+AU173</f>
        <v>30611.23</v>
      </c>
      <c r="AX173" s="719"/>
      <c r="AY173" s="1732">
        <f>SUM(AY174:AY175)</f>
        <v>0</v>
      </c>
      <c r="AZ173" s="719"/>
      <c r="BA173" s="969">
        <f t="shared" si="136"/>
        <v>0</v>
      </c>
      <c r="BB173" s="719"/>
      <c r="BC173" s="5197">
        <f t="shared" si="137"/>
        <v>30611.23</v>
      </c>
      <c r="BD173" s="1732"/>
      <c r="BE173" s="4253">
        <f t="shared" ref="BE173:BE177" si="171">+AW173+AY173</f>
        <v>30611.23</v>
      </c>
      <c r="BF173" s="26"/>
      <c r="BG173" s="26"/>
    </row>
    <row r="174" spans="1:59" x14ac:dyDescent="0.25">
      <c r="B174" s="8" t="s">
        <v>1001</v>
      </c>
      <c r="C174" s="193" t="s">
        <v>361</v>
      </c>
      <c r="D174" s="719"/>
      <c r="E174" s="719"/>
      <c r="F174" s="719"/>
      <c r="G174" s="719"/>
      <c r="H174" s="2263"/>
      <c r="I174" s="2263">
        <f t="shared" si="164"/>
        <v>0</v>
      </c>
      <c r="J174" s="719"/>
      <c r="K174" s="719"/>
      <c r="L174" s="719"/>
      <c r="M174" s="969">
        <f t="shared" si="165"/>
        <v>0</v>
      </c>
      <c r="N174" s="719"/>
      <c r="O174" s="719"/>
      <c r="P174" s="719"/>
      <c r="Q174" s="4022">
        <f t="shared" si="126"/>
        <v>0</v>
      </c>
      <c r="R174" s="719"/>
      <c r="S174" s="719"/>
      <c r="T174" s="719"/>
      <c r="U174" s="4022">
        <f t="shared" si="166"/>
        <v>0</v>
      </c>
      <c r="V174" s="719"/>
      <c r="W174" s="719"/>
      <c r="X174" s="719"/>
      <c r="Y174" s="969">
        <f t="shared" si="133"/>
        <v>0</v>
      </c>
      <c r="Z174" s="719"/>
      <c r="AA174" s="5197">
        <f t="shared" si="134"/>
        <v>0</v>
      </c>
      <c r="AB174" s="719"/>
      <c r="AC174" s="719"/>
      <c r="AD174" s="719"/>
      <c r="AE174" s="4022">
        <f t="shared" si="167"/>
        <v>0</v>
      </c>
      <c r="AF174" s="719"/>
      <c r="AG174" s="719"/>
      <c r="AH174" s="719"/>
      <c r="AI174" s="1470">
        <f t="shared" si="168"/>
        <v>0</v>
      </c>
      <c r="AJ174" s="719"/>
      <c r="AK174" s="719"/>
      <c r="AL174" s="719"/>
      <c r="AM174" s="969">
        <f t="shared" si="135"/>
        <v>0</v>
      </c>
      <c r="AN174" s="719"/>
      <c r="AO174" s="1470">
        <f t="shared" si="138"/>
        <v>0</v>
      </c>
      <c r="AP174" s="719"/>
      <c r="AQ174" s="719"/>
      <c r="AR174" s="719"/>
      <c r="AS174" s="1470">
        <f t="shared" si="169"/>
        <v>0</v>
      </c>
      <c r="AT174" s="719"/>
      <c r="AU174" s="719"/>
      <c r="AV174" s="719"/>
      <c r="AW174" s="218">
        <f t="shared" si="170"/>
        <v>0</v>
      </c>
      <c r="AX174" s="719"/>
      <c r="AY174" s="719"/>
      <c r="AZ174" s="719"/>
      <c r="BA174" s="969">
        <f t="shared" si="136"/>
        <v>0</v>
      </c>
      <c r="BB174" s="719"/>
      <c r="BC174" s="5197">
        <f t="shared" si="137"/>
        <v>0</v>
      </c>
      <c r="BD174" s="719"/>
      <c r="BE174" s="218">
        <f t="shared" si="171"/>
        <v>0</v>
      </c>
      <c r="BF174" s="26"/>
      <c r="BG174" s="26"/>
    </row>
    <row r="175" spans="1:59" x14ac:dyDescent="0.25">
      <c r="B175" s="8" t="s">
        <v>875</v>
      </c>
      <c r="C175" s="193" t="s">
        <v>361</v>
      </c>
      <c r="D175" s="719"/>
      <c r="E175" s="719"/>
      <c r="F175" s="719"/>
      <c r="G175" s="719"/>
      <c r="H175" s="2263"/>
      <c r="I175" s="2263">
        <f t="shared" si="164"/>
        <v>0</v>
      </c>
      <c r="J175" s="719"/>
      <c r="K175" s="719"/>
      <c r="L175" s="719"/>
      <c r="M175" s="969">
        <f t="shared" si="165"/>
        <v>0</v>
      </c>
      <c r="N175" s="719"/>
      <c r="O175" s="719"/>
      <c r="P175" s="719"/>
      <c r="Q175" s="4022">
        <f t="shared" si="126"/>
        <v>0</v>
      </c>
      <c r="R175" s="719"/>
      <c r="S175" s="719"/>
      <c r="T175" s="719"/>
      <c r="U175" s="4022">
        <f t="shared" si="166"/>
        <v>0</v>
      </c>
      <c r="V175" s="719"/>
      <c r="W175" s="719"/>
      <c r="X175" s="719"/>
      <c r="Y175" s="969">
        <f t="shared" si="133"/>
        <v>0</v>
      </c>
      <c r="Z175" s="719"/>
      <c r="AA175" s="5197">
        <f t="shared" si="134"/>
        <v>0</v>
      </c>
      <c r="AB175" s="719"/>
      <c r="AC175" s="719">
        <v>3776.23</v>
      </c>
      <c r="AD175" s="719"/>
      <c r="AE175" s="4022">
        <f t="shared" si="167"/>
        <v>3776.23</v>
      </c>
      <c r="AF175" s="719"/>
      <c r="AG175" s="719">
        <v>23090.400000000001</v>
      </c>
      <c r="AH175" s="719"/>
      <c r="AI175" s="1470">
        <f t="shared" si="168"/>
        <v>26866.63</v>
      </c>
      <c r="AJ175" s="719"/>
      <c r="AK175" s="719">
        <v>3744.6</v>
      </c>
      <c r="AL175" s="719"/>
      <c r="AM175" s="969">
        <f t="shared" si="135"/>
        <v>30611.23</v>
      </c>
      <c r="AN175" s="719"/>
      <c r="AO175" s="1470">
        <f t="shared" si="138"/>
        <v>30611.23</v>
      </c>
      <c r="AP175" s="719"/>
      <c r="AQ175" s="719"/>
      <c r="AR175" s="719"/>
      <c r="AS175" s="1470">
        <f t="shared" si="169"/>
        <v>30611.23</v>
      </c>
      <c r="AT175" s="719"/>
      <c r="AU175" s="719"/>
      <c r="AV175" s="719"/>
      <c r="AW175" s="218">
        <f t="shared" si="170"/>
        <v>30611.23</v>
      </c>
      <c r="AX175" s="719"/>
      <c r="AY175" s="719"/>
      <c r="AZ175" s="719"/>
      <c r="BA175" s="969">
        <f t="shared" si="136"/>
        <v>0</v>
      </c>
      <c r="BB175" s="719"/>
      <c r="BC175" s="5197">
        <f t="shared" si="137"/>
        <v>30611.23</v>
      </c>
      <c r="BD175" s="719"/>
      <c r="BE175" s="218">
        <f t="shared" si="171"/>
        <v>30611.23</v>
      </c>
      <c r="BF175" s="26"/>
      <c r="BG175" s="26"/>
    </row>
    <row r="176" spans="1:59" s="4713" customFormat="1" ht="18.75" x14ac:dyDescent="0.25">
      <c r="B176" s="637" t="s">
        <v>27</v>
      </c>
      <c r="C176" s="4733"/>
      <c r="D176" s="4742"/>
      <c r="E176" s="4742"/>
      <c r="F176" s="4742"/>
      <c r="G176" s="4742"/>
      <c r="H176" s="4739"/>
      <c r="I176" s="4739"/>
      <c r="J176" s="4742"/>
      <c r="K176" s="4742"/>
      <c r="L176" s="4742"/>
      <c r="M176" s="4743"/>
      <c r="N176" s="4742"/>
      <c r="O176" s="4742"/>
      <c r="P176" s="4742"/>
      <c r="Q176" s="4740"/>
      <c r="R176" s="4742"/>
      <c r="S176" s="4742"/>
      <c r="T176" s="4742"/>
      <c r="U176" s="4740"/>
      <c r="V176" s="4742"/>
      <c r="W176" s="4742"/>
      <c r="X176" s="4742"/>
      <c r="Y176" s="4743">
        <f t="shared" si="133"/>
        <v>0</v>
      </c>
      <c r="Z176" s="4742"/>
      <c r="AA176" s="5197">
        <f t="shared" si="134"/>
        <v>0</v>
      </c>
      <c r="AB176" s="4742"/>
      <c r="AC176" s="4742"/>
      <c r="AD176" s="4742"/>
      <c r="AE176" s="4740"/>
      <c r="AF176" s="4742"/>
      <c r="AG176" s="4742"/>
      <c r="AH176" s="4742"/>
      <c r="AI176" s="1470"/>
      <c r="AJ176" s="4742"/>
      <c r="AK176" s="4742"/>
      <c r="AL176" s="4742"/>
      <c r="AM176" s="4743">
        <f t="shared" si="135"/>
        <v>0</v>
      </c>
      <c r="AN176" s="4742"/>
      <c r="AO176" s="1470"/>
      <c r="AP176" s="4742"/>
      <c r="AQ176" s="4742">
        <v>2113.31</v>
      </c>
      <c r="AR176" s="4742"/>
      <c r="AS176" s="1470">
        <f t="shared" si="169"/>
        <v>2113.31</v>
      </c>
      <c r="AT176" s="4742"/>
      <c r="AU176" s="4742">
        <v>1016.74</v>
      </c>
      <c r="AV176" s="4742"/>
      <c r="AW176" s="218">
        <f t="shared" si="170"/>
        <v>3130.05</v>
      </c>
      <c r="AX176" s="4742"/>
      <c r="AY176" s="4742"/>
      <c r="AZ176" s="4742"/>
      <c r="BA176" s="4743">
        <f t="shared" si="136"/>
        <v>3130.05</v>
      </c>
      <c r="BB176" s="4742"/>
      <c r="BC176" s="5197">
        <f t="shared" si="137"/>
        <v>3130.05</v>
      </c>
      <c r="BD176" s="4742"/>
      <c r="BE176" s="218">
        <f t="shared" si="171"/>
        <v>3130.05</v>
      </c>
      <c r="BF176" s="26"/>
      <c r="BG176" s="26"/>
    </row>
    <row r="177" spans="1:59" ht="18.75" x14ac:dyDescent="0.25">
      <c r="B177" s="1468" t="s">
        <v>1879</v>
      </c>
      <c r="C177" s="4238" t="s">
        <v>361</v>
      </c>
      <c r="D177" s="748"/>
      <c r="E177" s="748"/>
      <c r="F177" s="748"/>
      <c r="G177" s="748"/>
      <c r="H177" s="2268"/>
      <c r="I177" s="2268">
        <f t="shared" si="164"/>
        <v>0</v>
      </c>
      <c r="J177" s="748"/>
      <c r="K177" s="748"/>
      <c r="L177" s="748"/>
      <c r="M177" s="969">
        <f t="shared" si="165"/>
        <v>0</v>
      </c>
      <c r="N177" s="748"/>
      <c r="O177" s="748">
        <v>2735.94</v>
      </c>
      <c r="P177" s="748"/>
      <c r="Q177" s="311">
        <f t="shared" ref="Q177:Q216" si="172">+M177+O177</f>
        <v>2735.94</v>
      </c>
      <c r="R177" s="748"/>
      <c r="S177" s="748"/>
      <c r="T177" s="748"/>
      <c r="U177" s="311">
        <f t="shared" si="166"/>
        <v>2735.94</v>
      </c>
      <c r="V177" s="748"/>
      <c r="W177" s="748"/>
      <c r="X177" s="748"/>
      <c r="Y177" s="969">
        <f t="shared" si="133"/>
        <v>2735.94</v>
      </c>
      <c r="Z177" s="748"/>
      <c r="AA177" s="5197">
        <f t="shared" si="134"/>
        <v>2735.94</v>
      </c>
      <c r="AB177" s="748"/>
      <c r="AC177" s="748"/>
      <c r="AD177" s="748"/>
      <c r="AE177" s="311">
        <f t="shared" si="167"/>
        <v>2735.94</v>
      </c>
      <c r="AF177" s="748"/>
      <c r="AG177" s="748"/>
      <c r="AH177" s="748"/>
      <c r="AI177" s="218">
        <f t="shared" si="168"/>
        <v>2735.94</v>
      </c>
      <c r="AJ177" s="748"/>
      <c r="AK177" s="748"/>
      <c r="AL177" s="748"/>
      <c r="AM177" s="969">
        <f t="shared" si="135"/>
        <v>0</v>
      </c>
      <c r="AN177" s="748"/>
      <c r="AO177" s="218">
        <f t="shared" si="138"/>
        <v>2735.94</v>
      </c>
      <c r="AP177" s="748"/>
      <c r="AQ177" s="748"/>
      <c r="AR177" s="748"/>
      <c r="AS177" s="218">
        <f t="shared" si="169"/>
        <v>2735.94</v>
      </c>
      <c r="AT177" s="748"/>
      <c r="AU177" s="748"/>
      <c r="AV177" s="748"/>
      <c r="AW177" s="218">
        <f t="shared" si="170"/>
        <v>2735.94</v>
      </c>
      <c r="AX177" s="748"/>
      <c r="AY177" s="748"/>
      <c r="AZ177" s="748"/>
      <c r="BA177" s="969">
        <f t="shared" si="136"/>
        <v>0</v>
      </c>
      <c r="BB177" s="748"/>
      <c r="BC177" s="5197">
        <f t="shared" si="137"/>
        <v>0</v>
      </c>
      <c r="BD177" s="748"/>
      <c r="BE177" s="218">
        <f t="shared" si="171"/>
        <v>2735.94</v>
      </c>
      <c r="BF177" s="26"/>
      <c r="BG177" s="26"/>
    </row>
    <row r="178" spans="1:59" s="4021" customFormat="1" ht="18.75" x14ac:dyDescent="0.25">
      <c r="B178" s="1468" t="s">
        <v>1880</v>
      </c>
      <c r="C178" s="4343" t="s">
        <v>361</v>
      </c>
      <c r="D178" s="748"/>
      <c r="E178" s="748"/>
      <c r="F178" s="748"/>
      <c r="G178" s="748">
        <v>103.06</v>
      </c>
      <c r="H178" s="2268"/>
      <c r="I178" s="2268">
        <f>+E178+G178</f>
        <v>103.06</v>
      </c>
      <c r="J178" s="748"/>
      <c r="K178" s="748"/>
      <c r="L178" s="748"/>
      <c r="M178" s="969">
        <f t="shared" si="165"/>
        <v>103.06</v>
      </c>
      <c r="N178" s="748"/>
      <c r="O178" s="748"/>
      <c r="P178" s="748"/>
      <c r="Q178" s="311">
        <f>+M178+O178</f>
        <v>103.06</v>
      </c>
      <c r="R178" s="748"/>
      <c r="S178" s="748">
        <v>237.26</v>
      </c>
      <c r="T178" s="748"/>
      <c r="U178" s="311">
        <f>+Q178+S178</f>
        <v>340.32</v>
      </c>
      <c r="V178" s="748"/>
      <c r="W178" s="748"/>
      <c r="X178" s="748"/>
      <c r="Y178" s="969">
        <f t="shared" si="133"/>
        <v>237.26</v>
      </c>
      <c r="Z178" s="748"/>
      <c r="AA178" s="5197">
        <f t="shared" si="134"/>
        <v>340.32</v>
      </c>
      <c r="AB178" s="748"/>
      <c r="AC178" s="748"/>
      <c r="AD178" s="748"/>
      <c r="AE178" s="311">
        <f>+AA178+AC178</f>
        <v>340.32</v>
      </c>
      <c r="AF178" s="748"/>
      <c r="AG178" s="748"/>
      <c r="AH178" s="748"/>
      <c r="AI178" s="218">
        <f>+AE178+AG178</f>
        <v>340.32</v>
      </c>
      <c r="AJ178" s="748"/>
      <c r="AK178" s="748"/>
      <c r="AL178" s="748"/>
      <c r="AM178" s="969">
        <f t="shared" si="135"/>
        <v>0</v>
      </c>
      <c r="AN178" s="748"/>
      <c r="AO178" s="218">
        <f t="shared" si="138"/>
        <v>340.32</v>
      </c>
      <c r="AP178" s="748"/>
      <c r="AQ178" s="748"/>
      <c r="AR178" s="748"/>
      <c r="AS178" s="218">
        <f>+AO178+AQ178</f>
        <v>340.32</v>
      </c>
      <c r="AT178" s="748"/>
      <c r="AU178" s="748"/>
      <c r="AV178" s="748"/>
      <c r="AW178" s="218">
        <f>+AS178+AU178</f>
        <v>340.32</v>
      </c>
      <c r="AX178" s="748"/>
      <c r="AY178" s="748"/>
      <c r="AZ178" s="748"/>
      <c r="BA178" s="969">
        <f t="shared" si="136"/>
        <v>0</v>
      </c>
      <c r="BB178" s="748"/>
      <c r="BC178" s="5197">
        <f t="shared" si="137"/>
        <v>0</v>
      </c>
      <c r="BD178" s="748"/>
      <c r="BE178" s="218">
        <f>+AW178+AY178</f>
        <v>340.32</v>
      </c>
      <c r="BF178" s="26"/>
      <c r="BG178" s="26"/>
    </row>
    <row r="179" spans="1:59" s="4713" customFormat="1" ht="18.75" x14ac:dyDescent="0.25">
      <c r="B179" s="4744" t="s">
        <v>1131</v>
      </c>
      <c r="C179" s="4745" t="s">
        <v>361</v>
      </c>
      <c r="D179" s="4746"/>
      <c r="E179" s="4746"/>
      <c r="F179" s="4746"/>
      <c r="G179" s="4746"/>
      <c r="H179" s="4747"/>
      <c r="I179" s="4747"/>
      <c r="J179" s="4746"/>
      <c r="K179" s="4746"/>
      <c r="L179" s="4746"/>
      <c r="M179" s="1094"/>
      <c r="N179" s="4746"/>
      <c r="O179" s="4746"/>
      <c r="P179" s="4746"/>
      <c r="Q179" s="1095"/>
      <c r="R179" s="4746"/>
      <c r="S179" s="4746"/>
      <c r="T179" s="4746"/>
      <c r="U179" s="1095"/>
      <c r="V179" s="4746"/>
      <c r="W179" s="4746"/>
      <c r="X179" s="4746"/>
      <c r="Y179" s="1094">
        <f t="shared" si="133"/>
        <v>0</v>
      </c>
      <c r="Z179" s="4746"/>
      <c r="AA179" s="5197">
        <f t="shared" si="134"/>
        <v>0</v>
      </c>
      <c r="AB179" s="4746"/>
      <c r="AC179" s="4746"/>
      <c r="AD179" s="4746"/>
      <c r="AE179" s="1095"/>
      <c r="AF179" s="4746"/>
      <c r="AG179" s="4746"/>
      <c r="AH179" s="4746"/>
      <c r="AI179" s="218"/>
      <c r="AJ179" s="4746"/>
      <c r="AK179" s="4746"/>
      <c r="AL179" s="4746"/>
      <c r="AM179" s="1094">
        <f t="shared" si="135"/>
        <v>0</v>
      </c>
      <c r="AN179" s="4746"/>
      <c r="AO179" s="218"/>
      <c r="AP179" s="4746"/>
      <c r="AQ179" s="4746"/>
      <c r="AR179" s="4746"/>
      <c r="AS179" s="218"/>
      <c r="AT179" s="4746"/>
      <c r="AU179" s="4746">
        <v>430.3</v>
      </c>
      <c r="AV179" s="4746"/>
      <c r="AW179" s="218">
        <f t="shared" ref="AW179:AW180" si="173">+AS179+AU179</f>
        <v>430.3</v>
      </c>
      <c r="AX179" s="4746"/>
      <c r="AY179" s="4746"/>
      <c r="AZ179" s="4746"/>
      <c r="BA179" s="1094">
        <f t="shared" si="136"/>
        <v>430.3</v>
      </c>
      <c r="BB179" s="4746"/>
      <c r="BC179" s="5197">
        <f t="shared" si="137"/>
        <v>430.3</v>
      </c>
      <c r="BD179" s="4746"/>
      <c r="BE179" s="218">
        <f t="shared" ref="BE179:BE180" si="174">+AW179+AY179</f>
        <v>430.3</v>
      </c>
      <c r="BF179" s="26"/>
      <c r="BG179" s="26"/>
    </row>
    <row r="180" spans="1:59" s="4713" customFormat="1" ht="18.75" x14ac:dyDescent="0.25">
      <c r="B180" s="4744" t="s">
        <v>1132</v>
      </c>
      <c r="C180" s="4745" t="s">
        <v>361</v>
      </c>
      <c r="D180" s="4746"/>
      <c r="E180" s="4746"/>
      <c r="F180" s="4746"/>
      <c r="G180" s="4746"/>
      <c r="H180" s="4747"/>
      <c r="I180" s="4747"/>
      <c r="J180" s="4746"/>
      <c r="K180" s="4746"/>
      <c r="L180" s="4746"/>
      <c r="M180" s="1094"/>
      <c r="N180" s="4746"/>
      <c r="O180" s="4746"/>
      <c r="P180" s="4746"/>
      <c r="Q180" s="1095"/>
      <c r="R180" s="4746"/>
      <c r="S180" s="4746"/>
      <c r="T180" s="4746"/>
      <c r="U180" s="1095"/>
      <c r="V180" s="4746"/>
      <c r="W180" s="4746"/>
      <c r="X180" s="4746"/>
      <c r="Y180" s="1094">
        <f t="shared" si="133"/>
        <v>0</v>
      </c>
      <c r="Z180" s="4746"/>
      <c r="AA180" s="5197">
        <f t="shared" si="134"/>
        <v>0</v>
      </c>
      <c r="AB180" s="4746"/>
      <c r="AC180" s="4746"/>
      <c r="AD180" s="4746"/>
      <c r="AE180" s="1095"/>
      <c r="AF180" s="4746"/>
      <c r="AG180" s="4746"/>
      <c r="AH180" s="4746"/>
      <c r="AI180" s="218"/>
      <c r="AJ180" s="4746"/>
      <c r="AK180" s="4746"/>
      <c r="AL180" s="4746"/>
      <c r="AM180" s="1094">
        <f t="shared" si="135"/>
        <v>0</v>
      </c>
      <c r="AN180" s="4746"/>
      <c r="AO180" s="218"/>
      <c r="AP180" s="4746"/>
      <c r="AQ180" s="4746"/>
      <c r="AR180" s="4746"/>
      <c r="AS180" s="218"/>
      <c r="AT180" s="4746"/>
      <c r="AU180" s="4746">
        <v>464.02</v>
      </c>
      <c r="AV180" s="4746"/>
      <c r="AW180" s="218">
        <f t="shared" si="173"/>
        <v>464.02</v>
      </c>
      <c r="AX180" s="4746"/>
      <c r="AY180" s="4746"/>
      <c r="AZ180" s="4746"/>
      <c r="BA180" s="1094">
        <f t="shared" si="136"/>
        <v>464.02</v>
      </c>
      <c r="BB180" s="4746"/>
      <c r="BC180" s="5197">
        <f t="shared" si="137"/>
        <v>464.02</v>
      </c>
      <c r="BD180" s="4746"/>
      <c r="BE180" s="218">
        <f t="shared" si="174"/>
        <v>464.02</v>
      </c>
      <c r="BF180" s="26"/>
      <c r="BG180" s="26"/>
    </row>
    <row r="181" spans="1:59" s="4342" customFormat="1" ht="19.5" thickBot="1" x14ac:dyDescent="0.3">
      <c r="B181" s="4344" t="s">
        <v>1899</v>
      </c>
      <c r="C181" s="3983" t="s">
        <v>361</v>
      </c>
      <c r="D181" s="3984"/>
      <c r="E181" s="3984"/>
      <c r="F181" s="3984"/>
      <c r="G181" s="3984"/>
      <c r="H181" s="4254"/>
      <c r="I181" s="4254"/>
      <c r="J181" s="3984"/>
      <c r="K181" s="3984"/>
      <c r="L181" s="3984"/>
      <c r="M181" s="3673"/>
      <c r="N181" s="3984"/>
      <c r="O181" s="3984"/>
      <c r="P181" s="3984"/>
      <c r="Q181" s="4255"/>
      <c r="R181" s="3984"/>
      <c r="S181" s="3984"/>
      <c r="T181" s="3984"/>
      <c r="U181" s="4255"/>
      <c r="V181" s="3984"/>
      <c r="W181" s="3984"/>
      <c r="X181" s="3984"/>
      <c r="Y181" s="3673">
        <f t="shared" si="133"/>
        <v>0</v>
      </c>
      <c r="Z181" s="3984"/>
      <c r="AA181" s="5197">
        <f t="shared" si="134"/>
        <v>0</v>
      </c>
      <c r="AB181" s="3984"/>
      <c r="AC181" s="3984"/>
      <c r="AD181" s="3984"/>
      <c r="AE181" s="4255"/>
      <c r="AF181" s="3984"/>
      <c r="AG181" s="3984"/>
      <c r="AH181" s="3984"/>
      <c r="AI181" s="218">
        <f>+AE181+AG181</f>
        <v>0</v>
      </c>
      <c r="AJ181" s="3984"/>
      <c r="AK181" s="3984">
        <v>1179.46</v>
      </c>
      <c r="AL181" s="3984"/>
      <c r="AM181" s="3673">
        <f t="shared" si="135"/>
        <v>1179.46</v>
      </c>
      <c r="AN181" s="3984"/>
      <c r="AO181" s="218">
        <f t="shared" si="138"/>
        <v>1179.46</v>
      </c>
      <c r="AP181" s="3984"/>
      <c r="AQ181" s="3984">
        <v>401.76000000000005</v>
      </c>
      <c r="AR181" s="3984"/>
      <c r="AS181" s="218">
        <f>+AO181+AQ181</f>
        <v>1581.22</v>
      </c>
      <c r="AT181" s="3984"/>
      <c r="AU181" s="3984">
        <v>782.94</v>
      </c>
      <c r="AV181" s="3984"/>
      <c r="AW181" s="218">
        <f>+AS181+AU181</f>
        <v>2364.16</v>
      </c>
      <c r="AX181" s="3984"/>
      <c r="AY181" s="3984">
        <v>903.46</v>
      </c>
      <c r="AZ181" s="3984"/>
      <c r="BA181" s="3673">
        <f t="shared" si="136"/>
        <v>2088.16</v>
      </c>
      <c r="BB181" s="3984"/>
      <c r="BC181" s="5197">
        <f t="shared" si="137"/>
        <v>3267.62</v>
      </c>
      <c r="BD181" s="3984"/>
      <c r="BE181" s="218">
        <f>+AW181+AY181</f>
        <v>3267.62</v>
      </c>
      <c r="BF181" s="26"/>
      <c r="BG181" s="26"/>
    </row>
    <row r="182" spans="1:59" ht="16.5" thickBot="1" x14ac:dyDescent="0.3">
      <c r="A182" s="183"/>
      <c r="B182" s="408"/>
      <c r="C182" s="183"/>
      <c r="D182" s="184"/>
      <c r="W182" s="3399"/>
      <c r="X182" s="5183"/>
      <c r="Z182" s="5183"/>
      <c r="AA182" s="5183">
        <f t="shared" si="134"/>
        <v>0</v>
      </c>
      <c r="AB182" s="4052"/>
      <c r="AC182" s="4052"/>
      <c r="AD182" s="4052"/>
      <c r="AE182" s="4052"/>
      <c r="AF182" s="4164"/>
      <c r="AG182" s="4164"/>
      <c r="AH182" s="4164"/>
      <c r="AI182" s="4164"/>
      <c r="AJ182" s="4280"/>
      <c r="AK182" s="4280"/>
      <c r="AL182" s="4280"/>
      <c r="AM182" s="186"/>
      <c r="AN182" s="4280"/>
      <c r="AO182" s="4280"/>
      <c r="AP182" s="4399"/>
      <c r="AQ182" s="4399"/>
      <c r="AR182" s="4399"/>
      <c r="AS182" s="4399"/>
      <c r="AT182" s="4638"/>
      <c r="AU182" s="4638"/>
      <c r="AV182" s="4638"/>
      <c r="AX182" s="5183"/>
      <c r="AY182" s="5183"/>
      <c r="BA182" s="186"/>
      <c r="BD182" s="5183"/>
      <c r="BE182" s="34"/>
      <c r="BF182" s="26"/>
      <c r="BG182" s="26"/>
    </row>
    <row r="183" spans="1:59" ht="25.5" x14ac:dyDescent="0.25">
      <c r="A183" s="183"/>
      <c r="B183" s="6155" t="s">
        <v>1167</v>
      </c>
      <c r="C183" s="6156"/>
      <c r="D183" s="2139"/>
      <c r="E183" s="5897"/>
      <c r="F183" s="5897"/>
      <c r="G183" s="5897"/>
      <c r="H183" s="5897"/>
      <c r="I183" s="5897"/>
      <c r="J183" s="5897"/>
      <c r="K183" s="5897"/>
      <c r="L183" s="5897"/>
      <c r="M183" s="5898"/>
      <c r="N183" s="5897"/>
      <c r="O183" s="5897"/>
      <c r="P183" s="5897"/>
      <c r="Q183" s="5899"/>
      <c r="R183" s="1206"/>
      <c r="S183" s="5897"/>
      <c r="T183" s="5897"/>
      <c r="U183" s="5899"/>
      <c r="V183" s="1206"/>
      <c r="W183" s="5897"/>
      <c r="X183" s="5897"/>
      <c r="Y183" s="5898"/>
      <c r="Z183" s="1206"/>
      <c r="AA183" s="1206"/>
      <c r="AB183" s="1206"/>
      <c r="AC183" s="5897"/>
      <c r="AD183" s="5897"/>
      <c r="AE183" s="5899"/>
      <c r="AF183" s="1206"/>
      <c r="AG183" s="5897"/>
      <c r="AH183" s="5897"/>
      <c r="AI183" s="5899"/>
      <c r="AJ183" s="1206"/>
      <c r="AK183" s="5897"/>
      <c r="AL183" s="5897"/>
      <c r="AM183" s="5898"/>
      <c r="AN183" s="5897"/>
      <c r="AO183" s="5899"/>
      <c r="AP183" s="1206"/>
      <c r="AQ183" s="5897"/>
      <c r="AR183" s="5897"/>
      <c r="AS183" s="5899"/>
      <c r="AT183" s="1206"/>
      <c r="AU183" s="5897"/>
      <c r="AV183" s="5897"/>
      <c r="AW183" s="5900"/>
      <c r="AX183" s="1206"/>
      <c r="AY183" s="1206"/>
      <c r="AZ183" s="1206"/>
      <c r="BA183" s="5898"/>
      <c r="BB183" s="1206"/>
      <c r="BC183" s="1206"/>
      <c r="BD183" s="5897"/>
      <c r="BE183" s="5900"/>
      <c r="BF183" s="26"/>
      <c r="BG183" s="26"/>
    </row>
    <row r="184" spans="1:59" ht="18.75" x14ac:dyDescent="0.25">
      <c r="A184" s="183"/>
      <c r="B184" s="637" t="s">
        <v>349</v>
      </c>
      <c r="C184" s="4482" t="s">
        <v>361</v>
      </c>
      <c r="D184" s="4484"/>
      <c r="E184" s="748">
        <f>E185+E186+E187</f>
        <v>5419.4</v>
      </c>
      <c r="F184" s="748">
        <f>F185+F186+F187</f>
        <v>0</v>
      </c>
      <c r="G184" s="748">
        <f>G185+G186+G187</f>
        <v>2045</v>
      </c>
      <c r="H184" s="2268"/>
      <c r="I184" s="2268">
        <f t="shared" ref="I184:I216" si="175">+E184+G184</f>
        <v>7464.4</v>
      </c>
      <c r="J184" s="748"/>
      <c r="K184" s="748">
        <f>K185+K186+K187</f>
        <v>0</v>
      </c>
      <c r="L184" s="748"/>
      <c r="M184" s="969">
        <f t="shared" si="165"/>
        <v>7464.4</v>
      </c>
      <c r="N184" s="748"/>
      <c r="O184" s="748">
        <f>O185+O186+O187</f>
        <v>0</v>
      </c>
      <c r="P184" s="748"/>
      <c r="Q184" s="306">
        <f t="shared" si="172"/>
        <v>7464.4</v>
      </c>
      <c r="R184" s="4481"/>
      <c r="S184" s="748">
        <f>S185+S186+S187</f>
        <v>0</v>
      </c>
      <c r="T184" s="748"/>
      <c r="U184" s="306">
        <f t="shared" ref="U184:U216" si="176">+Q184+S184</f>
        <v>7464.4</v>
      </c>
      <c r="V184" s="4481"/>
      <c r="W184" s="748">
        <f>W185+W186+W187</f>
        <v>2050</v>
      </c>
      <c r="X184" s="748"/>
      <c r="Y184" s="969">
        <f t="shared" si="133"/>
        <v>2050</v>
      </c>
      <c r="Z184" s="3616"/>
      <c r="AA184" s="5198">
        <f t="shared" si="134"/>
        <v>9514.4</v>
      </c>
      <c r="AB184" s="4481"/>
      <c r="AC184" s="748">
        <f>AC185+AC186+AC187</f>
        <v>8382</v>
      </c>
      <c r="AD184" s="748"/>
      <c r="AE184" s="306">
        <f t="shared" ref="AE184:AE212" si="177">+AA184+AC184</f>
        <v>17896.400000000001</v>
      </c>
      <c r="AF184" s="4481"/>
      <c r="AG184" s="748">
        <f>AG185+AG186+AG187</f>
        <v>2244</v>
      </c>
      <c r="AH184" s="748"/>
      <c r="AI184" s="306">
        <f t="shared" ref="AI184:AI212" si="178">+AE184+AG184</f>
        <v>20140.400000000001</v>
      </c>
      <c r="AJ184" s="4481"/>
      <c r="AK184" s="748">
        <f>AK185+AK186+AK187</f>
        <v>3617</v>
      </c>
      <c r="AL184" s="3616"/>
      <c r="AM184" s="969">
        <f t="shared" si="135"/>
        <v>14243</v>
      </c>
      <c r="AN184" s="748"/>
      <c r="AO184" s="306">
        <f t="shared" si="138"/>
        <v>23757.4</v>
      </c>
      <c r="AP184" s="4481"/>
      <c r="AQ184" s="748">
        <f>AQ185+AQ186+AQ187</f>
        <v>4491</v>
      </c>
      <c r="AR184" s="748"/>
      <c r="AS184" s="306">
        <f t="shared" ref="AS184:AS212" si="179">+AO184+AQ184</f>
        <v>28248.400000000001</v>
      </c>
      <c r="AT184" s="4626"/>
      <c r="AU184" s="748">
        <f>AU185+AU186+AU187</f>
        <v>4512</v>
      </c>
      <c r="AV184" s="748"/>
      <c r="AW184" s="306">
        <f t="shared" ref="AW184:AW194" si="180">+AS184+AU184</f>
        <v>32760.400000000001</v>
      </c>
      <c r="AX184" s="5178"/>
      <c r="AY184" s="748">
        <f>AY185+AY186+AY187</f>
        <v>4376</v>
      </c>
      <c r="AZ184" s="3616"/>
      <c r="BA184" s="969">
        <f t="shared" si="136"/>
        <v>13379</v>
      </c>
      <c r="BB184" s="3616"/>
      <c r="BC184" s="5198">
        <f t="shared" si="137"/>
        <v>27622</v>
      </c>
      <c r="BD184" s="748"/>
      <c r="BE184" s="306">
        <f t="shared" ref="BE184:BE212" si="181">+AW184+AY184</f>
        <v>37136.400000000001</v>
      </c>
      <c r="BF184" s="26"/>
      <c r="BG184" s="26"/>
    </row>
    <row r="185" spans="1:59" x14ac:dyDescent="0.25">
      <c r="A185" s="183"/>
      <c r="B185" s="8" t="s">
        <v>876</v>
      </c>
      <c r="C185" s="193" t="s">
        <v>361</v>
      </c>
      <c r="D185" s="193"/>
      <c r="E185" s="3616">
        <v>1167.2</v>
      </c>
      <c r="F185" s="3616"/>
      <c r="G185" s="3616">
        <v>0</v>
      </c>
      <c r="H185" s="2261"/>
      <c r="I185" s="2261">
        <f t="shared" si="175"/>
        <v>1167.2</v>
      </c>
      <c r="J185" s="3616"/>
      <c r="K185" s="3616">
        <v>0</v>
      </c>
      <c r="L185" s="3616"/>
      <c r="M185" s="969">
        <f t="shared" si="165"/>
        <v>1167.2</v>
      </c>
      <c r="N185" s="3616"/>
      <c r="O185" s="3616"/>
      <c r="P185" s="3616"/>
      <c r="Q185" s="53">
        <f t="shared" si="172"/>
        <v>1167.2</v>
      </c>
      <c r="R185" s="4481"/>
      <c r="S185" s="3616"/>
      <c r="T185" s="3616"/>
      <c r="U185" s="53">
        <f t="shared" si="176"/>
        <v>1167.2</v>
      </c>
      <c r="V185" s="4481"/>
      <c r="W185" s="3616"/>
      <c r="X185" s="3616"/>
      <c r="Y185" s="969">
        <f t="shared" si="133"/>
        <v>0</v>
      </c>
      <c r="Z185" s="3616"/>
      <c r="AA185" s="5199">
        <f t="shared" si="134"/>
        <v>1167.2</v>
      </c>
      <c r="AB185" s="4481"/>
      <c r="AC185" s="3616">
        <v>4054</v>
      </c>
      <c r="AD185" s="3616"/>
      <c r="AE185" s="53">
        <f t="shared" si="177"/>
        <v>5221.2</v>
      </c>
      <c r="AF185" s="4481"/>
      <c r="AG185" s="3616">
        <v>2244</v>
      </c>
      <c r="AH185" s="3616"/>
      <c r="AI185" s="53">
        <f t="shared" si="178"/>
        <v>7465.2</v>
      </c>
      <c r="AJ185" s="4481"/>
      <c r="AK185" s="3616">
        <v>3617</v>
      </c>
      <c r="AL185" s="3616"/>
      <c r="AM185" s="969">
        <f t="shared" si="135"/>
        <v>9915</v>
      </c>
      <c r="AN185" s="3616"/>
      <c r="AO185" s="53">
        <f t="shared" si="138"/>
        <v>11082.2</v>
      </c>
      <c r="AP185" s="4481"/>
      <c r="AQ185" s="3616">
        <v>4491</v>
      </c>
      <c r="AR185" s="3616"/>
      <c r="AS185" s="53">
        <f t="shared" si="179"/>
        <v>15573.2</v>
      </c>
      <c r="AT185" s="4626"/>
      <c r="AU185" s="3616">
        <v>4512</v>
      </c>
      <c r="AV185" s="3616"/>
      <c r="AW185" s="3121">
        <f t="shared" si="180"/>
        <v>20085.2</v>
      </c>
      <c r="AX185" s="5178"/>
      <c r="AY185" s="3616">
        <v>4376</v>
      </c>
      <c r="AZ185" s="3616"/>
      <c r="BA185" s="969">
        <f t="shared" si="136"/>
        <v>13379</v>
      </c>
      <c r="BB185" s="3616"/>
      <c r="BC185" s="5199">
        <f t="shared" si="137"/>
        <v>23294</v>
      </c>
      <c r="BD185" s="3616"/>
      <c r="BE185" s="3121">
        <f t="shared" si="181"/>
        <v>24461.200000000001</v>
      </c>
      <c r="BF185" s="26"/>
      <c r="BG185" s="26"/>
    </row>
    <row r="186" spans="1:59" x14ac:dyDescent="0.25">
      <c r="A186" s="183"/>
      <c r="B186" s="8" t="s">
        <v>875</v>
      </c>
      <c r="C186" s="193" t="s">
        <v>361</v>
      </c>
      <c r="D186" s="193"/>
      <c r="E186" s="3616">
        <v>4252.2</v>
      </c>
      <c r="F186" s="3616"/>
      <c r="G186" s="3616">
        <v>2045</v>
      </c>
      <c r="H186" s="2261"/>
      <c r="I186" s="2261">
        <f t="shared" si="175"/>
        <v>6297.2</v>
      </c>
      <c r="J186" s="3616"/>
      <c r="K186" s="3616">
        <v>0</v>
      </c>
      <c r="L186" s="3616"/>
      <c r="M186" s="969">
        <f t="shared" si="165"/>
        <v>6297.2</v>
      </c>
      <c r="N186" s="3616"/>
      <c r="O186" s="3616"/>
      <c r="P186" s="3616"/>
      <c r="Q186" s="53">
        <f t="shared" si="172"/>
        <v>6297.2</v>
      </c>
      <c r="R186" s="4481"/>
      <c r="S186" s="3616"/>
      <c r="T186" s="3616"/>
      <c r="U186" s="53">
        <f t="shared" si="176"/>
        <v>6297.2</v>
      </c>
      <c r="V186" s="4481"/>
      <c r="W186" s="3616">
        <v>2050</v>
      </c>
      <c r="X186" s="3616"/>
      <c r="Y186" s="969">
        <f t="shared" si="133"/>
        <v>2050</v>
      </c>
      <c r="Z186" s="3616"/>
      <c r="AA186" s="5199">
        <f t="shared" si="134"/>
        <v>8347.2000000000007</v>
      </c>
      <c r="AB186" s="4481"/>
      <c r="AC186" s="3616">
        <v>4328</v>
      </c>
      <c r="AD186" s="3616"/>
      <c r="AE186" s="53">
        <f t="shared" si="177"/>
        <v>12675.2</v>
      </c>
      <c r="AF186" s="4481"/>
      <c r="AG186" s="3616"/>
      <c r="AH186" s="3616"/>
      <c r="AI186" s="53">
        <f t="shared" si="178"/>
        <v>12675.2</v>
      </c>
      <c r="AJ186" s="4481"/>
      <c r="AK186" s="3616"/>
      <c r="AL186" s="3616"/>
      <c r="AM186" s="969">
        <f t="shared" si="135"/>
        <v>4328</v>
      </c>
      <c r="AN186" s="3616"/>
      <c r="AO186" s="53">
        <f t="shared" si="138"/>
        <v>12675.2</v>
      </c>
      <c r="AP186" s="4481"/>
      <c r="AQ186" s="3616"/>
      <c r="AR186" s="3616"/>
      <c r="AS186" s="53">
        <f t="shared" si="179"/>
        <v>12675.2</v>
      </c>
      <c r="AT186" s="4626"/>
      <c r="AU186" s="3616"/>
      <c r="AV186" s="3616"/>
      <c r="AW186" s="3121">
        <f t="shared" si="180"/>
        <v>12675.2</v>
      </c>
      <c r="AX186" s="5178"/>
      <c r="AY186" s="3616"/>
      <c r="AZ186" s="3616"/>
      <c r="BA186" s="969">
        <f t="shared" si="136"/>
        <v>0</v>
      </c>
      <c r="BB186" s="3616"/>
      <c r="BC186" s="5199">
        <f t="shared" si="137"/>
        <v>4328</v>
      </c>
      <c r="BD186" s="3616"/>
      <c r="BE186" s="3121">
        <f t="shared" si="181"/>
        <v>12675.2</v>
      </c>
      <c r="BF186" s="26"/>
      <c r="BG186" s="26"/>
    </row>
    <row r="187" spans="1:59" x14ac:dyDescent="0.25">
      <c r="A187" s="183"/>
      <c r="B187" s="8" t="s">
        <v>1001</v>
      </c>
      <c r="C187" s="193" t="s">
        <v>361</v>
      </c>
      <c r="D187" s="193"/>
      <c r="E187" s="3616">
        <v>0</v>
      </c>
      <c r="F187" s="3616"/>
      <c r="G187" s="3616">
        <v>0</v>
      </c>
      <c r="H187" s="3616"/>
      <c r="I187" s="3616">
        <f t="shared" si="175"/>
        <v>0</v>
      </c>
      <c r="J187" s="3616"/>
      <c r="K187" s="3616">
        <v>0</v>
      </c>
      <c r="L187" s="3616"/>
      <c r="M187" s="969">
        <f t="shared" si="165"/>
        <v>0</v>
      </c>
      <c r="N187" s="3616"/>
      <c r="O187" s="3616">
        <v>0</v>
      </c>
      <c r="P187" s="3616"/>
      <c r="Q187" s="53">
        <f t="shared" si="172"/>
        <v>0</v>
      </c>
      <c r="R187" s="4481"/>
      <c r="S187" s="3616"/>
      <c r="T187" s="3616"/>
      <c r="U187" s="53">
        <f t="shared" si="176"/>
        <v>0</v>
      </c>
      <c r="V187" s="4481"/>
      <c r="W187" s="3616"/>
      <c r="X187" s="3616"/>
      <c r="Y187" s="969">
        <f t="shared" si="133"/>
        <v>0</v>
      </c>
      <c r="Z187" s="3616"/>
      <c r="AA187" s="5199">
        <f t="shared" si="134"/>
        <v>0</v>
      </c>
      <c r="AB187" s="4481"/>
      <c r="AC187" s="3616">
        <v>0</v>
      </c>
      <c r="AD187" s="3616"/>
      <c r="AE187" s="53">
        <f t="shared" si="177"/>
        <v>0</v>
      </c>
      <c r="AF187" s="4481"/>
      <c r="AG187" s="3616"/>
      <c r="AH187" s="3616"/>
      <c r="AI187" s="53">
        <f t="shared" si="178"/>
        <v>0</v>
      </c>
      <c r="AJ187" s="4481"/>
      <c r="AK187" s="3616"/>
      <c r="AL187" s="3616"/>
      <c r="AM187" s="969">
        <f t="shared" si="135"/>
        <v>0</v>
      </c>
      <c r="AN187" s="3616"/>
      <c r="AO187" s="53">
        <f t="shared" si="138"/>
        <v>0</v>
      </c>
      <c r="AP187" s="4481"/>
      <c r="AQ187" s="3616"/>
      <c r="AR187" s="3616"/>
      <c r="AS187" s="53">
        <f t="shared" si="179"/>
        <v>0</v>
      </c>
      <c r="AT187" s="4626"/>
      <c r="AU187" s="3616"/>
      <c r="AV187" s="3616"/>
      <c r="AW187" s="3121">
        <f t="shared" si="180"/>
        <v>0</v>
      </c>
      <c r="AX187" s="5178"/>
      <c r="AY187" s="3616"/>
      <c r="AZ187" s="3616"/>
      <c r="BA187" s="969">
        <f t="shared" si="136"/>
        <v>0</v>
      </c>
      <c r="BB187" s="3616"/>
      <c r="BC187" s="5199">
        <f t="shared" si="137"/>
        <v>0</v>
      </c>
      <c r="BD187" s="3616"/>
      <c r="BE187" s="3121">
        <f t="shared" si="181"/>
        <v>0</v>
      </c>
      <c r="BF187" s="26"/>
      <c r="BG187" s="26"/>
    </row>
    <row r="188" spans="1:59" ht="15.75" customHeight="1" x14ac:dyDescent="0.25">
      <c r="A188" s="183"/>
      <c r="B188" s="637" t="s">
        <v>1468</v>
      </c>
      <c r="C188" s="4482"/>
      <c r="D188" s="4484"/>
      <c r="E188" s="748">
        <f t="shared" ref="E188:K188" si="182">E189</f>
        <v>0</v>
      </c>
      <c r="F188" s="748">
        <f t="shared" si="182"/>
        <v>0</v>
      </c>
      <c r="G188" s="748">
        <f t="shared" si="182"/>
        <v>0</v>
      </c>
      <c r="H188" s="2268">
        <f t="shared" si="182"/>
        <v>0</v>
      </c>
      <c r="I188" s="2268">
        <f t="shared" si="182"/>
        <v>0</v>
      </c>
      <c r="J188" s="748">
        <f t="shared" si="182"/>
        <v>0</v>
      </c>
      <c r="K188" s="748">
        <f t="shared" si="182"/>
        <v>9.25</v>
      </c>
      <c r="L188" s="748"/>
      <c r="M188" s="969">
        <f t="shared" si="165"/>
        <v>9.25</v>
      </c>
      <c r="N188" s="748"/>
      <c r="O188" s="748">
        <f t="shared" ref="O188:W188" si="183">O189</f>
        <v>0</v>
      </c>
      <c r="P188" s="748">
        <f t="shared" si="183"/>
        <v>0</v>
      </c>
      <c r="Q188" s="306">
        <f t="shared" si="183"/>
        <v>9.25</v>
      </c>
      <c r="R188" s="4481">
        <f t="shared" si="183"/>
        <v>0</v>
      </c>
      <c r="S188" s="748">
        <f t="shared" si="183"/>
        <v>0</v>
      </c>
      <c r="T188" s="748">
        <f t="shared" si="183"/>
        <v>0</v>
      </c>
      <c r="U188" s="306">
        <f t="shared" si="183"/>
        <v>9.25</v>
      </c>
      <c r="V188" s="4481">
        <f t="shared" si="183"/>
        <v>0</v>
      </c>
      <c r="W188" s="748">
        <f t="shared" si="183"/>
        <v>0</v>
      </c>
      <c r="X188" s="748"/>
      <c r="Y188" s="969">
        <f t="shared" si="133"/>
        <v>0</v>
      </c>
      <c r="Z188" s="3616"/>
      <c r="AA188" s="5198">
        <f t="shared" si="134"/>
        <v>9.25</v>
      </c>
      <c r="AB188" s="4481"/>
      <c r="AC188" s="748">
        <f t="shared" ref="AC188:AK188" si="184">AC189</f>
        <v>0</v>
      </c>
      <c r="AD188" s="748">
        <f t="shared" si="184"/>
        <v>0</v>
      </c>
      <c r="AE188" s="306">
        <f t="shared" si="184"/>
        <v>9.25</v>
      </c>
      <c r="AF188" s="4481">
        <f t="shared" si="184"/>
        <v>0</v>
      </c>
      <c r="AG188" s="748">
        <f t="shared" si="184"/>
        <v>0</v>
      </c>
      <c r="AH188" s="748">
        <f t="shared" si="184"/>
        <v>0</v>
      </c>
      <c r="AI188" s="306">
        <f t="shared" si="184"/>
        <v>9.25</v>
      </c>
      <c r="AJ188" s="4481">
        <f t="shared" si="184"/>
        <v>0</v>
      </c>
      <c r="AK188" s="748">
        <f t="shared" si="184"/>
        <v>0</v>
      </c>
      <c r="AL188" s="3616"/>
      <c r="AM188" s="969">
        <f t="shared" si="135"/>
        <v>0</v>
      </c>
      <c r="AN188" s="748"/>
      <c r="AO188" s="306">
        <f t="shared" si="138"/>
        <v>9.25</v>
      </c>
      <c r="AP188" s="4481"/>
      <c r="AQ188" s="748">
        <f>AQ189</f>
        <v>0</v>
      </c>
      <c r="AR188" s="748"/>
      <c r="AS188" s="306">
        <f t="shared" si="179"/>
        <v>9.25</v>
      </c>
      <c r="AT188" s="4626"/>
      <c r="AU188" s="748">
        <f>AU189</f>
        <v>0</v>
      </c>
      <c r="AV188" s="748"/>
      <c r="AW188" s="306">
        <f t="shared" si="180"/>
        <v>9.25</v>
      </c>
      <c r="AX188" s="5178"/>
      <c r="AY188" s="748">
        <f>AY189</f>
        <v>0</v>
      </c>
      <c r="AZ188" s="3616"/>
      <c r="BA188" s="969">
        <f t="shared" si="136"/>
        <v>0</v>
      </c>
      <c r="BB188" s="3616"/>
      <c r="BC188" s="5198">
        <f t="shared" si="137"/>
        <v>0</v>
      </c>
      <c r="BD188" s="748"/>
      <c r="BE188" s="306">
        <f t="shared" si="181"/>
        <v>9.25</v>
      </c>
      <c r="BF188" s="26"/>
      <c r="BG188" s="26"/>
    </row>
    <row r="189" spans="1:59" ht="15.75" customHeight="1" x14ac:dyDescent="0.25">
      <c r="A189" s="183"/>
      <c r="B189" s="8" t="s">
        <v>1929</v>
      </c>
      <c r="C189" s="193" t="s">
        <v>361</v>
      </c>
      <c r="D189" s="193"/>
      <c r="E189" s="3616">
        <v>0</v>
      </c>
      <c r="F189" s="3616"/>
      <c r="G189" s="3616">
        <v>0</v>
      </c>
      <c r="H189" s="3616"/>
      <c r="I189" s="3616">
        <f t="shared" si="175"/>
        <v>0</v>
      </c>
      <c r="J189" s="3616"/>
      <c r="K189" s="3616">
        <v>9.25</v>
      </c>
      <c r="L189" s="3616"/>
      <c r="M189" s="969">
        <f t="shared" si="165"/>
        <v>9.25</v>
      </c>
      <c r="N189" s="3616"/>
      <c r="O189" s="3616">
        <v>0</v>
      </c>
      <c r="P189" s="3616"/>
      <c r="Q189" s="53">
        <f t="shared" si="172"/>
        <v>9.25</v>
      </c>
      <c r="R189" s="4481"/>
      <c r="S189" s="3616"/>
      <c r="T189" s="3616"/>
      <c r="U189" s="53">
        <f t="shared" si="176"/>
        <v>9.25</v>
      </c>
      <c r="V189" s="4481"/>
      <c r="W189" s="3616"/>
      <c r="X189" s="3616"/>
      <c r="Y189" s="969">
        <f t="shared" si="133"/>
        <v>0</v>
      </c>
      <c r="Z189" s="3616"/>
      <c r="AA189" s="5199">
        <f t="shared" si="134"/>
        <v>9.25</v>
      </c>
      <c r="AB189" s="4481"/>
      <c r="AC189" s="3616"/>
      <c r="AD189" s="3616"/>
      <c r="AE189" s="53">
        <f t="shared" si="177"/>
        <v>9.25</v>
      </c>
      <c r="AF189" s="4481"/>
      <c r="AG189" s="3616"/>
      <c r="AH189" s="3616"/>
      <c r="AI189" s="53">
        <f t="shared" si="178"/>
        <v>9.25</v>
      </c>
      <c r="AJ189" s="4481"/>
      <c r="AK189" s="3616"/>
      <c r="AL189" s="3616"/>
      <c r="AM189" s="969">
        <f t="shared" si="135"/>
        <v>0</v>
      </c>
      <c r="AN189" s="3616"/>
      <c r="AO189" s="53">
        <f t="shared" si="138"/>
        <v>9.25</v>
      </c>
      <c r="AP189" s="4481"/>
      <c r="AQ189" s="3616"/>
      <c r="AR189" s="3616"/>
      <c r="AS189" s="53">
        <f t="shared" si="179"/>
        <v>9.25</v>
      </c>
      <c r="AT189" s="4626"/>
      <c r="AU189" s="3616"/>
      <c r="AV189" s="3616"/>
      <c r="AW189" s="3121">
        <f t="shared" si="180"/>
        <v>9.25</v>
      </c>
      <c r="AX189" s="5178"/>
      <c r="AY189" s="3616"/>
      <c r="AZ189" s="3616"/>
      <c r="BA189" s="969">
        <f t="shared" si="136"/>
        <v>0</v>
      </c>
      <c r="BB189" s="3616"/>
      <c r="BC189" s="5199">
        <f t="shared" si="137"/>
        <v>0</v>
      </c>
      <c r="BD189" s="3616"/>
      <c r="BE189" s="3121">
        <f t="shared" si="181"/>
        <v>9.25</v>
      </c>
      <c r="BF189" s="26"/>
      <c r="BG189" s="26"/>
    </row>
    <row r="190" spans="1:59" ht="15.75" customHeight="1" x14ac:dyDescent="0.25">
      <c r="A190" s="183"/>
      <c r="B190" s="637" t="s">
        <v>1930</v>
      </c>
      <c r="C190" s="4482"/>
      <c r="D190" s="4484"/>
      <c r="E190" s="748">
        <f>E191+E194+E193+E192</f>
        <v>0</v>
      </c>
      <c r="F190" s="748">
        <f>F191+F194</f>
        <v>0</v>
      </c>
      <c r="G190" s="748">
        <f>G191+G194+G193+G192</f>
        <v>0</v>
      </c>
      <c r="H190" s="2268">
        <f>H191+H194</f>
        <v>0</v>
      </c>
      <c r="I190" s="2268">
        <f>I191+I194</f>
        <v>0</v>
      </c>
      <c r="J190" s="748">
        <f>J191+J194</f>
        <v>0</v>
      </c>
      <c r="K190" s="748">
        <f>K191+K194+K193+K192</f>
        <v>2.08</v>
      </c>
      <c r="L190" s="748"/>
      <c r="M190" s="969">
        <f t="shared" si="165"/>
        <v>2.08</v>
      </c>
      <c r="N190" s="748"/>
      <c r="O190" s="748">
        <f>O191+O194+O193+O192</f>
        <v>10</v>
      </c>
      <c r="P190" s="748">
        <f>P191+P194</f>
        <v>0</v>
      </c>
      <c r="Q190" s="306">
        <f>Q191+Q194</f>
        <v>10</v>
      </c>
      <c r="R190" s="4481">
        <f>R191+R194</f>
        <v>0</v>
      </c>
      <c r="S190" s="748">
        <f>S191+S194+S193+S192</f>
        <v>0</v>
      </c>
      <c r="T190" s="748">
        <f>T191+T194</f>
        <v>0</v>
      </c>
      <c r="U190" s="306">
        <f>U191+U194</f>
        <v>10</v>
      </c>
      <c r="V190" s="4481">
        <f>V191+V194</f>
        <v>0</v>
      </c>
      <c r="W190" s="748">
        <f>W191+W194+W193+W192</f>
        <v>0</v>
      </c>
      <c r="X190" s="748"/>
      <c r="Y190" s="969">
        <f t="shared" si="133"/>
        <v>10</v>
      </c>
      <c r="Z190" s="3616"/>
      <c r="AA190" s="5198">
        <f t="shared" si="134"/>
        <v>12.08</v>
      </c>
      <c r="AB190" s="4481"/>
      <c r="AC190" s="748">
        <f>AC191+AC194+AC193+AC192</f>
        <v>0</v>
      </c>
      <c r="AD190" s="748">
        <f>AD191+AD194</f>
        <v>0</v>
      </c>
      <c r="AE190" s="306">
        <f>AE191+AE194</f>
        <v>12.08</v>
      </c>
      <c r="AF190" s="4481">
        <f>AF191+AF194</f>
        <v>0</v>
      </c>
      <c r="AG190" s="748">
        <f>AG191+AG194+AG193+AG192</f>
        <v>0</v>
      </c>
      <c r="AH190" s="748">
        <f>AH191+AH194</f>
        <v>0</v>
      </c>
      <c r="AI190" s="306">
        <f>AI191+AI194</f>
        <v>12.08</v>
      </c>
      <c r="AJ190" s="4481">
        <f>AJ191+AJ194</f>
        <v>0</v>
      </c>
      <c r="AK190" s="748">
        <f>AK191+AK194+AK193+AK192</f>
        <v>3.1</v>
      </c>
      <c r="AL190" s="3616"/>
      <c r="AM190" s="969">
        <f t="shared" si="135"/>
        <v>3.1</v>
      </c>
      <c r="AN190" s="748"/>
      <c r="AO190" s="306">
        <f t="shared" si="138"/>
        <v>15.18</v>
      </c>
      <c r="AP190" s="4481"/>
      <c r="AQ190" s="748">
        <f>AQ191+AQ194+AQ193+AQ192</f>
        <v>1.54</v>
      </c>
      <c r="AR190" s="748"/>
      <c r="AS190" s="306">
        <f t="shared" si="179"/>
        <v>16.72</v>
      </c>
      <c r="AT190" s="4626"/>
      <c r="AU190" s="748">
        <f>AU191+AU194+AU193+AU192</f>
        <v>10</v>
      </c>
      <c r="AV190" s="748"/>
      <c r="AW190" s="306">
        <f t="shared" si="180"/>
        <v>26.72</v>
      </c>
      <c r="AX190" s="5178"/>
      <c r="AY190" s="748">
        <f>AY191+AY194+AY193+AY192</f>
        <v>0</v>
      </c>
      <c r="AZ190" s="3616"/>
      <c r="BA190" s="969">
        <f t="shared" si="136"/>
        <v>11.54</v>
      </c>
      <c r="BB190" s="3616"/>
      <c r="BC190" s="5198">
        <f t="shared" si="137"/>
        <v>14.639999999999999</v>
      </c>
      <c r="BD190" s="748"/>
      <c r="BE190" s="306">
        <f t="shared" si="181"/>
        <v>26.72</v>
      </c>
      <c r="BF190" s="26"/>
      <c r="BG190" s="26"/>
    </row>
    <row r="191" spans="1:59" ht="15.75" customHeight="1" x14ac:dyDescent="0.25">
      <c r="A191" s="183"/>
      <c r="B191" s="8" t="s">
        <v>1001</v>
      </c>
      <c r="C191" s="193" t="s">
        <v>361</v>
      </c>
      <c r="D191" s="193"/>
      <c r="E191" s="3616">
        <v>0</v>
      </c>
      <c r="F191" s="3616"/>
      <c r="G191" s="3616">
        <v>0</v>
      </c>
      <c r="H191" s="3616"/>
      <c r="I191" s="3616">
        <f t="shared" si="175"/>
        <v>0</v>
      </c>
      <c r="J191" s="3616"/>
      <c r="K191" s="3616"/>
      <c r="L191" s="3616"/>
      <c r="M191" s="969">
        <f t="shared" si="165"/>
        <v>0</v>
      </c>
      <c r="N191" s="3616"/>
      <c r="O191" s="3616">
        <v>10</v>
      </c>
      <c r="P191" s="3616"/>
      <c r="Q191" s="53">
        <f t="shared" si="172"/>
        <v>10</v>
      </c>
      <c r="R191" s="4481"/>
      <c r="S191" s="3616"/>
      <c r="T191" s="3616"/>
      <c r="U191" s="53">
        <f t="shared" si="176"/>
        <v>10</v>
      </c>
      <c r="V191" s="4481"/>
      <c r="W191" s="3616"/>
      <c r="X191" s="3616"/>
      <c r="Y191" s="969">
        <f t="shared" si="133"/>
        <v>10</v>
      </c>
      <c r="Z191" s="3616"/>
      <c r="AA191" s="5199">
        <f t="shared" si="134"/>
        <v>10</v>
      </c>
      <c r="AB191" s="4481"/>
      <c r="AC191" s="3616"/>
      <c r="AD191" s="3616"/>
      <c r="AE191" s="53">
        <f t="shared" si="177"/>
        <v>10</v>
      </c>
      <c r="AF191" s="4481"/>
      <c r="AG191" s="3616"/>
      <c r="AH191" s="3616"/>
      <c r="AI191" s="53">
        <f t="shared" si="178"/>
        <v>10</v>
      </c>
      <c r="AJ191" s="4481"/>
      <c r="AK191" s="3616"/>
      <c r="AL191" s="3616"/>
      <c r="AM191" s="969">
        <f t="shared" si="135"/>
        <v>0</v>
      </c>
      <c r="AN191" s="3616"/>
      <c r="AO191" s="53">
        <f t="shared" si="138"/>
        <v>10</v>
      </c>
      <c r="AP191" s="4481"/>
      <c r="AQ191" s="3616"/>
      <c r="AR191" s="3616"/>
      <c r="AS191" s="53">
        <f t="shared" si="179"/>
        <v>10</v>
      </c>
      <c r="AT191" s="4626"/>
      <c r="AU191" s="3616"/>
      <c r="AV191" s="3616"/>
      <c r="AW191" s="3121">
        <f t="shared" si="180"/>
        <v>10</v>
      </c>
      <c r="AX191" s="5178"/>
      <c r="AY191" s="3616"/>
      <c r="AZ191" s="3616"/>
      <c r="BA191" s="969">
        <f t="shared" si="136"/>
        <v>0</v>
      </c>
      <c r="BB191" s="3616"/>
      <c r="BC191" s="5199">
        <f t="shared" si="137"/>
        <v>0</v>
      </c>
      <c r="BD191" s="3616"/>
      <c r="BE191" s="3121">
        <f t="shared" si="181"/>
        <v>10</v>
      </c>
      <c r="BF191" s="26"/>
      <c r="BG191" s="26"/>
    </row>
    <row r="192" spans="1:59" s="5728" customFormat="1" ht="15.75" customHeight="1" x14ac:dyDescent="0.25">
      <c r="A192" s="183"/>
      <c r="B192" s="8" t="s">
        <v>875</v>
      </c>
      <c r="C192" s="5348"/>
      <c r="D192" s="5348"/>
      <c r="E192" s="5720"/>
      <c r="F192" s="5720"/>
      <c r="G192" s="5720"/>
      <c r="H192" s="5720"/>
      <c r="I192" s="5720"/>
      <c r="J192" s="5720"/>
      <c r="K192" s="5720"/>
      <c r="L192" s="5720"/>
      <c r="M192" s="969">
        <f t="shared" si="165"/>
        <v>0</v>
      </c>
      <c r="N192" s="5720"/>
      <c r="O192" s="5720"/>
      <c r="P192" s="5720"/>
      <c r="Q192" s="53"/>
      <c r="R192" s="5727"/>
      <c r="S192" s="5720"/>
      <c r="T192" s="5720"/>
      <c r="U192" s="53"/>
      <c r="V192" s="5727"/>
      <c r="W192" s="5720"/>
      <c r="X192" s="5720"/>
      <c r="Y192" s="969">
        <f t="shared" si="133"/>
        <v>0</v>
      </c>
      <c r="Z192" s="5720"/>
      <c r="AA192" s="5199">
        <f t="shared" si="134"/>
        <v>0</v>
      </c>
      <c r="AB192" s="5727"/>
      <c r="AC192" s="5720"/>
      <c r="AD192" s="5720"/>
      <c r="AE192" s="53"/>
      <c r="AF192" s="5727"/>
      <c r="AG192" s="5720"/>
      <c r="AH192" s="5720"/>
      <c r="AI192" s="53"/>
      <c r="AJ192" s="5727"/>
      <c r="AK192" s="5720"/>
      <c r="AL192" s="5720"/>
      <c r="AM192" s="969">
        <f t="shared" si="135"/>
        <v>0</v>
      </c>
      <c r="AN192" s="5720"/>
      <c r="AO192" s="53"/>
      <c r="AP192" s="5727"/>
      <c r="AQ192" s="5720">
        <v>1.54</v>
      </c>
      <c r="AR192" s="5720"/>
      <c r="AS192" s="53">
        <f t="shared" si="179"/>
        <v>1.54</v>
      </c>
      <c r="AT192" s="5727"/>
      <c r="AU192" s="5720"/>
      <c r="AV192" s="5720"/>
      <c r="AW192" s="3121">
        <f t="shared" si="180"/>
        <v>1.54</v>
      </c>
      <c r="AX192" s="5727"/>
      <c r="AY192" s="5720"/>
      <c r="AZ192" s="5720"/>
      <c r="BA192" s="969">
        <f t="shared" si="136"/>
        <v>1.54</v>
      </c>
      <c r="BB192" s="5720"/>
      <c r="BC192" s="5199">
        <f t="shared" si="137"/>
        <v>1.54</v>
      </c>
      <c r="BD192" s="5720"/>
      <c r="BE192" s="3121">
        <f t="shared" si="181"/>
        <v>1.54</v>
      </c>
      <c r="BF192" s="26"/>
      <c r="BG192" s="26"/>
    </row>
    <row r="193" spans="1:59" s="5728" customFormat="1" ht="15.75" customHeight="1" x14ac:dyDescent="0.25">
      <c r="A193" s="183"/>
      <c r="B193" s="8" t="s">
        <v>1929</v>
      </c>
      <c r="C193" s="5348"/>
      <c r="D193" s="5348"/>
      <c r="E193" s="5720"/>
      <c r="F193" s="5720"/>
      <c r="G193" s="5720"/>
      <c r="H193" s="5720"/>
      <c r="I193" s="5720"/>
      <c r="J193" s="5720"/>
      <c r="K193" s="5720"/>
      <c r="L193" s="5720"/>
      <c r="M193" s="969">
        <f t="shared" si="165"/>
        <v>0</v>
      </c>
      <c r="N193" s="5720"/>
      <c r="O193" s="5720"/>
      <c r="P193" s="5720"/>
      <c r="Q193" s="53"/>
      <c r="R193" s="5727"/>
      <c r="S193" s="5720"/>
      <c r="T193" s="5720"/>
      <c r="U193" s="53"/>
      <c r="V193" s="5727"/>
      <c r="W193" s="5720"/>
      <c r="X193" s="5720"/>
      <c r="Y193" s="969">
        <f t="shared" si="133"/>
        <v>0</v>
      </c>
      <c r="Z193" s="5720"/>
      <c r="AA193" s="5199">
        <f t="shared" si="134"/>
        <v>0</v>
      </c>
      <c r="AB193" s="5727"/>
      <c r="AC193" s="5720"/>
      <c r="AD193" s="5720"/>
      <c r="AE193" s="53"/>
      <c r="AF193" s="5727"/>
      <c r="AG193" s="5720"/>
      <c r="AH193" s="5720"/>
      <c r="AI193" s="53"/>
      <c r="AJ193" s="5727"/>
      <c r="AK193" s="5720"/>
      <c r="AL193" s="5720"/>
      <c r="AM193" s="969">
        <f t="shared" si="135"/>
        <v>0</v>
      </c>
      <c r="AN193" s="5720"/>
      <c r="AO193" s="53"/>
      <c r="AP193" s="5727"/>
      <c r="AQ193" s="5720"/>
      <c r="AR193" s="5720"/>
      <c r="AS193" s="53">
        <f t="shared" si="179"/>
        <v>0</v>
      </c>
      <c r="AT193" s="5727"/>
      <c r="AU193" s="5720">
        <v>10</v>
      </c>
      <c r="AV193" s="5720"/>
      <c r="AW193" s="3121">
        <f t="shared" si="180"/>
        <v>10</v>
      </c>
      <c r="AX193" s="5727"/>
      <c r="AY193" s="5720"/>
      <c r="AZ193" s="5720"/>
      <c r="BA193" s="969">
        <f t="shared" si="136"/>
        <v>10</v>
      </c>
      <c r="BB193" s="5720"/>
      <c r="BC193" s="5199">
        <f t="shared" si="137"/>
        <v>10</v>
      </c>
      <c r="BD193" s="5720"/>
      <c r="BE193" s="3121">
        <f t="shared" si="181"/>
        <v>10</v>
      </c>
      <c r="BF193" s="26"/>
      <c r="BG193" s="26"/>
    </row>
    <row r="194" spans="1:59" s="4483" customFormat="1" ht="15.75" customHeight="1" x14ac:dyDescent="0.25">
      <c r="A194" s="183"/>
      <c r="B194" s="8" t="s">
        <v>1827</v>
      </c>
      <c r="C194" s="193"/>
      <c r="D194" s="193"/>
      <c r="E194" s="3616"/>
      <c r="F194" s="3616"/>
      <c r="G194" s="3616"/>
      <c r="H194" s="3616"/>
      <c r="I194" s="3616"/>
      <c r="J194" s="3616"/>
      <c r="K194" s="3616">
        <v>2.08</v>
      </c>
      <c r="L194" s="3616"/>
      <c r="M194" s="969">
        <f t="shared" si="165"/>
        <v>2.08</v>
      </c>
      <c r="N194" s="3616"/>
      <c r="O194" s="3616"/>
      <c r="P194" s="3616"/>
      <c r="Q194" s="53"/>
      <c r="R194" s="4481"/>
      <c r="S194" s="3616"/>
      <c r="T194" s="3616"/>
      <c r="U194" s="53"/>
      <c r="V194" s="4481"/>
      <c r="W194" s="3616"/>
      <c r="X194" s="3616"/>
      <c r="Y194" s="969">
        <f t="shared" si="133"/>
        <v>0</v>
      </c>
      <c r="Z194" s="3616"/>
      <c r="AA194" s="5199">
        <f t="shared" si="134"/>
        <v>2.08</v>
      </c>
      <c r="AB194" s="4481"/>
      <c r="AC194" s="3616"/>
      <c r="AD194" s="3616"/>
      <c r="AE194" s="53">
        <f t="shared" si="177"/>
        <v>2.08</v>
      </c>
      <c r="AF194" s="4481"/>
      <c r="AG194" s="3616"/>
      <c r="AH194" s="3616"/>
      <c r="AI194" s="53">
        <f t="shared" si="178"/>
        <v>2.08</v>
      </c>
      <c r="AJ194" s="4481"/>
      <c r="AK194" s="3616">
        <v>3.1</v>
      </c>
      <c r="AL194" s="3616"/>
      <c r="AM194" s="969">
        <f t="shared" si="135"/>
        <v>3.1</v>
      </c>
      <c r="AN194" s="3616"/>
      <c r="AO194" s="53">
        <f t="shared" si="138"/>
        <v>5.18</v>
      </c>
      <c r="AP194" s="4481"/>
      <c r="AQ194" s="3616"/>
      <c r="AR194" s="3616"/>
      <c r="AS194" s="53">
        <f t="shared" si="179"/>
        <v>5.18</v>
      </c>
      <c r="AT194" s="4626"/>
      <c r="AU194" s="3616"/>
      <c r="AV194" s="3616"/>
      <c r="AW194" s="3121">
        <f t="shared" si="180"/>
        <v>5.18</v>
      </c>
      <c r="AX194" s="5178"/>
      <c r="AY194" s="3616"/>
      <c r="AZ194" s="3616"/>
      <c r="BA194" s="969">
        <f t="shared" si="136"/>
        <v>0</v>
      </c>
      <c r="BB194" s="3616"/>
      <c r="BC194" s="5199">
        <f t="shared" si="137"/>
        <v>3.1</v>
      </c>
      <c r="BD194" s="3616"/>
      <c r="BE194" s="3121">
        <f t="shared" si="181"/>
        <v>5.18</v>
      </c>
      <c r="BF194" s="26"/>
      <c r="BG194" s="26"/>
    </row>
    <row r="195" spans="1:59" ht="15.75" customHeight="1" x14ac:dyDescent="0.25">
      <c r="A195" s="183"/>
      <c r="B195" s="637" t="s">
        <v>1928</v>
      </c>
      <c r="C195" s="4482"/>
      <c r="D195" s="4484"/>
      <c r="E195" s="748">
        <f>E196</f>
        <v>0</v>
      </c>
      <c r="F195" s="748">
        <f t="shared" ref="F195:K195" si="185">F196</f>
        <v>0</v>
      </c>
      <c r="G195" s="748">
        <f t="shared" si="185"/>
        <v>0</v>
      </c>
      <c r="H195" s="2268">
        <f t="shared" si="185"/>
        <v>0</v>
      </c>
      <c r="I195" s="2268">
        <f t="shared" si="185"/>
        <v>0</v>
      </c>
      <c r="J195" s="748">
        <f t="shared" si="185"/>
        <v>0</v>
      </c>
      <c r="K195" s="748">
        <f t="shared" si="185"/>
        <v>0</v>
      </c>
      <c r="L195" s="748"/>
      <c r="M195" s="969">
        <f t="shared" si="165"/>
        <v>0</v>
      </c>
      <c r="N195" s="748"/>
      <c r="O195" s="748">
        <f t="shared" ref="O195:W195" si="186">O196</f>
        <v>0</v>
      </c>
      <c r="P195" s="748">
        <f t="shared" si="186"/>
        <v>0</v>
      </c>
      <c r="Q195" s="306">
        <f t="shared" si="186"/>
        <v>0</v>
      </c>
      <c r="R195" s="4481">
        <f t="shared" si="186"/>
        <v>0</v>
      </c>
      <c r="S195" s="748">
        <f t="shared" si="186"/>
        <v>0</v>
      </c>
      <c r="T195" s="748">
        <f t="shared" si="186"/>
        <v>0</v>
      </c>
      <c r="U195" s="306">
        <f t="shared" si="186"/>
        <v>0</v>
      </c>
      <c r="V195" s="4481">
        <f t="shared" si="186"/>
        <v>0</v>
      </c>
      <c r="W195" s="748">
        <f t="shared" si="186"/>
        <v>0</v>
      </c>
      <c r="X195" s="748"/>
      <c r="Y195" s="969">
        <f t="shared" si="133"/>
        <v>0</v>
      </c>
      <c r="Z195" s="3616"/>
      <c r="AA195" s="5198">
        <f t="shared" si="134"/>
        <v>0</v>
      </c>
      <c r="AB195" s="4481"/>
      <c r="AC195" s="748">
        <f t="shared" ref="AC195:AK195" si="187">AC196</f>
        <v>0</v>
      </c>
      <c r="AD195" s="748">
        <f t="shared" si="187"/>
        <v>0</v>
      </c>
      <c r="AE195" s="306">
        <f t="shared" si="187"/>
        <v>0</v>
      </c>
      <c r="AF195" s="4481">
        <f t="shared" si="187"/>
        <v>0</v>
      </c>
      <c r="AG195" s="748">
        <f t="shared" si="187"/>
        <v>0</v>
      </c>
      <c r="AH195" s="748">
        <f t="shared" si="187"/>
        <v>0</v>
      </c>
      <c r="AI195" s="306">
        <f t="shared" si="187"/>
        <v>0</v>
      </c>
      <c r="AJ195" s="4481">
        <f t="shared" si="187"/>
        <v>0</v>
      </c>
      <c r="AK195" s="748">
        <f t="shared" si="187"/>
        <v>5</v>
      </c>
      <c r="AL195" s="3616"/>
      <c r="AM195" s="969">
        <f t="shared" si="135"/>
        <v>5</v>
      </c>
      <c r="AN195" s="748"/>
      <c r="AO195" s="306">
        <f t="shared" si="138"/>
        <v>5</v>
      </c>
      <c r="AP195" s="4481"/>
      <c r="AQ195" s="748">
        <f>AQ196</f>
        <v>0</v>
      </c>
      <c r="AR195" s="748"/>
      <c r="AS195" s="306">
        <f t="shared" si="179"/>
        <v>5</v>
      </c>
      <c r="AT195" s="4626"/>
      <c r="AU195" s="748">
        <f>AU196</f>
        <v>0</v>
      </c>
      <c r="AV195" s="748"/>
      <c r="AW195" s="306">
        <f t="shared" ref="AW195:AW212" si="188">+AS195+AU195</f>
        <v>5</v>
      </c>
      <c r="AX195" s="5178"/>
      <c r="AY195" s="748">
        <f>AY196</f>
        <v>0</v>
      </c>
      <c r="AZ195" s="3616"/>
      <c r="BA195" s="969">
        <f t="shared" si="136"/>
        <v>0</v>
      </c>
      <c r="BB195" s="3616"/>
      <c r="BC195" s="5198">
        <f t="shared" si="137"/>
        <v>5</v>
      </c>
      <c r="BD195" s="748"/>
      <c r="BE195" s="306">
        <f t="shared" si="181"/>
        <v>5</v>
      </c>
      <c r="BF195" s="26"/>
      <c r="BG195" s="26"/>
    </row>
    <row r="196" spans="1:59" ht="15.75" customHeight="1" x14ac:dyDescent="0.25">
      <c r="A196" s="183"/>
      <c r="B196" s="8" t="s">
        <v>1929</v>
      </c>
      <c r="C196" s="193" t="s">
        <v>361</v>
      </c>
      <c r="D196" s="193"/>
      <c r="E196" s="3616">
        <v>0</v>
      </c>
      <c r="F196" s="3616"/>
      <c r="G196" s="3616">
        <v>0</v>
      </c>
      <c r="H196" s="3616"/>
      <c r="I196" s="3616">
        <f t="shared" si="175"/>
        <v>0</v>
      </c>
      <c r="J196" s="3616"/>
      <c r="K196" s="3616">
        <v>0</v>
      </c>
      <c r="L196" s="3616"/>
      <c r="M196" s="969">
        <f t="shared" si="165"/>
        <v>0</v>
      </c>
      <c r="N196" s="3616"/>
      <c r="O196" s="3616">
        <v>0</v>
      </c>
      <c r="P196" s="3616"/>
      <c r="Q196" s="53">
        <f t="shared" si="172"/>
        <v>0</v>
      </c>
      <c r="R196" s="4481"/>
      <c r="S196" s="3616"/>
      <c r="T196" s="3616"/>
      <c r="U196" s="53">
        <f t="shared" si="176"/>
        <v>0</v>
      </c>
      <c r="V196" s="4481"/>
      <c r="W196" s="3616"/>
      <c r="X196" s="3616"/>
      <c r="Y196" s="969">
        <f t="shared" si="133"/>
        <v>0</v>
      </c>
      <c r="Z196" s="3616"/>
      <c r="AA196" s="5199">
        <f t="shared" si="134"/>
        <v>0</v>
      </c>
      <c r="AB196" s="4481"/>
      <c r="AC196" s="3616"/>
      <c r="AD196" s="3616"/>
      <c r="AE196" s="53">
        <f t="shared" si="177"/>
        <v>0</v>
      </c>
      <c r="AF196" s="4481"/>
      <c r="AG196" s="3616"/>
      <c r="AH196" s="3616"/>
      <c r="AI196" s="53">
        <f t="shared" si="178"/>
        <v>0</v>
      </c>
      <c r="AJ196" s="4481"/>
      <c r="AK196" s="3616">
        <v>5</v>
      </c>
      <c r="AL196" s="3616"/>
      <c r="AM196" s="969">
        <f t="shared" si="135"/>
        <v>5</v>
      </c>
      <c r="AN196" s="3616"/>
      <c r="AO196" s="53">
        <f t="shared" si="138"/>
        <v>5</v>
      </c>
      <c r="AP196" s="4481"/>
      <c r="AQ196" s="3616"/>
      <c r="AR196" s="3616"/>
      <c r="AS196" s="53">
        <f t="shared" si="179"/>
        <v>5</v>
      </c>
      <c r="AT196" s="4626"/>
      <c r="AU196" s="3616"/>
      <c r="AV196" s="3616"/>
      <c r="AW196" s="3121">
        <f t="shared" si="188"/>
        <v>5</v>
      </c>
      <c r="AX196" s="5178"/>
      <c r="AY196" s="3616"/>
      <c r="AZ196" s="3616"/>
      <c r="BA196" s="969">
        <f t="shared" si="136"/>
        <v>0</v>
      </c>
      <c r="BB196" s="3616"/>
      <c r="BC196" s="5199">
        <f t="shared" si="137"/>
        <v>5</v>
      </c>
      <c r="BD196" s="3616"/>
      <c r="BE196" s="3121">
        <f t="shared" si="181"/>
        <v>5</v>
      </c>
      <c r="BF196" s="26"/>
      <c r="BG196" s="26"/>
    </row>
    <row r="197" spans="1:59" ht="18.75" hidden="1" customHeight="1" x14ac:dyDescent="0.25">
      <c r="B197" s="637" t="s">
        <v>1324</v>
      </c>
      <c r="C197" s="980"/>
      <c r="D197" s="242"/>
      <c r="E197" s="3616"/>
      <c r="F197" s="3616"/>
      <c r="G197" s="3616"/>
      <c r="H197" s="3616"/>
      <c r="I197" s="3616">
        <f t="shared" si="175"/>
        <v>0</v>
      </c>
      <c r="J197" s="3616"/>
      <c r="K197" s="3616"/>
      <c r="L197" s="3616"/>
      <c r="M197" s="969">
        <f t="shared" si="165"/>
        <v>0</v>
      </c>
      <c r="N197" s="3616"/>
      <c r="O197" s="3616"/>
      <c r="P197" s="3616"/>
      <c r="Q197" s="53">
        <f t="shared" si="172"/>
        <v>0</v>
      </c>
      <c r="R197" s="4481"/>
      <c r="S197" s="3616"/>
      <c r="T197" s="3616"/>
      <c r="U197" s="53">
        <f t="shared" si="176"/>
        <v>0</v>
      </c>
      <c r="V197" s="4481"/>
      <c r="W197" s="3616"/>
      <c r="X197" s="3616"/>
      <c r="Y197" s="969">
        <f t="shared" si="133"/>
        <v>0</v>
      </c>
      <c r="Z197" s="3616"/>
      <c r="AA197" s="5199">
        <f t="shared" si="134"/>
        <v>0</v>
      </c>
      <c r="AB197" s="4481"/>
      <c r="AC197" s="3616"/>
      <c r="AD197" s="3616"/>
      <c r="AE197" s="53">
        <f t="shared" si="177"/>
        <v>0</v>
      </c>
      <c r="AF197" s="4481"/>
      <c r="AG197" s="3616"/>
      <c r="AH197" s="3616"/>
      <c r="AI197" s="53">
        <f t="shared" si="178"/>
        <v>0</v>
      </c>
      <c r="AJ197" s="4481"/>
      <c r="AK197" s="3616"/>
      <c r="AL197" s="3616"/>
      <c r="AM197" s="969">
        <f t="shared" si="135"/>
        <v>0</v>
      </c>
      <c r="AN197" s="3616"/>
      <c r="AO197" s="53">
        <f t="shared" si="138"/>
        <v>0</v>
      </c>
      <c r="AP197" s="4481"/>
      <c r="AQ197" s="3616"/>
      <c r="AR197" s="3616"/>
      <c r="AS197" s="53">
        <f t="shared" si="179"/>
        <v>0</v>
      </c>
      <c r="AT197" s="4626"/>
      <c r="AU197" s="3616"/>
      <c r="AV197" s="3616"/>
      <c r="AW197" s="3121">
        <f t="shared" si="188"/>
        <v>0</v>
      </c>
      <c r="AX197" s="5178"/>
      <c r="AY197" s="3616"/>
      <c r="AZ197" s="3616"/>
      <c r="BA197" s="969">
        <f t="shared" si="136"/>
        <v>0</v>
      </c>
      <c r="BB197" s="3616"/>
      <c r="BC197" s="5199">
        <f t="shared" si="137"/>
        <v>0</v>
      </c>
      <c r="BD197" s="3616"/>
      <c r="BE197" s="3121">
        <f t="shared" si="181"/>
        <v>0</v>
      </c>
      <c r="BF197" s="26"/>
      <c r="BG197" s="26"/>
    </row>
    <row r="198" spans="1:59" ht="15.75" hidden="1" customHeight="1" x14ac:dyDescent="0.25">
      <c r="B198" s="8" t="s">
        <v>1168</v>
      </c>
      <c r="C198" s="193" t="s">
        <v>361</v>
      </c>
      <c r="D198" s="193"/>
      <c r="E198" s="3616">
        <v>0</v>
      </c>
      <c r="F198" s="3616"/>
      <c r="G198" s="3616">
        <v>0</v>
      </c>
      <c r="H198" s="3616"/>
      <c r="I198" s="3616">
        <f t="shared" si="175"/>
        <v>0</v>
      </c>
      <c r="J198" s="3616"/>
      <c r="K198" s="3616">
        <v>0</v>
      </c>
      <c r="L198" s="3616"/>
      <c r="M198" s="969">
        <f t="shared" si="165"/>
        <v>0</v>
      </c>
      <c r="N198" s="3616"/>
      <c r="O198" s="3616">
        <v>0</v>
      </c>
      <c r="P198" s="3616"/>
      <c r="Q198" s="53">
        <f t="shared" si="172"/>
        <v>0</v>
      </c>
      <c r="R198" s="4481"/>
      <c r="S198" s="3616"/>
      <c r="T198" s="3616"/>
      <c r="U198" s="53">
        <f t="shared" si="176"/>
        <v>0</v>
      </c>
      <c r="V198" s="4481"/>
      <c r="W198" s="3616"/>
      <c r="X198" s="3616"/>
      <c r="Y198" s="969">
        <f t="shared" si="133"/>
        <v>0</v>
      </c>
      <c r="Z198" s="3616"/>
      <c r="AA198" s="5199">
        <f t="shared" si="134"/>
        <v>0</v>
      </c>
      <c r="AB198" s="4481"/>
      <c r="AC198" s="3616"/>
      <c r="AD198" s="3616"/>
      <c r="AE198" s="53">
        <f t="shared" si="177"/>
        <v>0</v>
      </c>
      <c r="AF198" s="4481"/>
      <c r="AG198" s="3616"/>
      <c r="AH198" s="3616"/>
      <c r="AI198" s="53">
        <f t="shared" si="178"/>
        <v>0</v>
      </c>
      <c r="AJ198" s="4481"/>
      <c r="AK198" s="3616"/>
      <c r="AL198" s="3616"/>
      <c r="AM198" s="969">
        <f t="shared" si="135"/>
        <v>0</v>
      </c>
      <c r="AN198" s="3616"/>
      <c r="AO198" s="53">
        <f t="shared" si="138"/>
        <v>0</v>
      </c>
      <c r="AP198" s="4481"/>
      <c r="AQ198" s="3616"/>
      <c r="AR198" s="3616"/>
      <c r="AS198" s="53">
        <f t="shared" si="179"/>
        <v>0</v>
      </c>
      <c r="AT198" s="4626"/>
      <c r="AU198" s="3616"/>
      <c r="AV198" s="3616"/>
      <c r="AW198" s="3121">
        <f t="shared" si="188"/>
        <v>0</v>
      </c>
      <c r="AX198" s="5178"/>
      <c r="AY198" s="3616"/>
      <c r="AZ198" s="3616"/>
      <c r="BA198" s="969">
        <f t="shared" si="136"/>
        <v>0</v>
      </c>
      <c r="BB198" s="3616"/>
      <c r="BC198" s="5199">
        <f t="shared" si="137"/>
        <v>0</v>
      </c>
      <c r="BD198" s="3616"/>
      <c r="BE198" s="3121">
        <f t="shared" si="181"/>
        <v>0</v>
      </c>
      <c r="BF198" s="26"/>
      <c r="BG198" s="26"/>
    </row>
    <row r="199" spans="1:59" ht="18.75" customHeight="1" x14ac:dyDescent="0.25">
      <c r="B199" s="637" t="s">
        <v>1343</v>
      </c>
      <c r="C199" s="4482"/>
      <c r="D199" s="4484"/>
      <c r="E199" s="748">
        <f t="shared" ref="E199:K199" si="189">E200</f>
        <v>0</v>
      </c>
      <c r="F199" s="748">
        <f t="shared" si="189"/>
        <v>0</v>
      </c>
      <c r="G199" s="748">
        <f t="shared" si="189"/>
        <v>0</v>
      </c>
      <c r="H199" s="2268">
        <f t="shared" si="189"/>
        <v>0</v>
      </c>
      <c r="I199" s="2268">
        <f t="shared" si="189"/>
        <v>0</v>
      </c>
      <c r="J199" s="748">
        <f t="shared" si="189"/>
        <v>0</v>
      </c>
      <c r="K199" s="748">
        <f t="shared" si="189"/>
        <v>0</v>
      </c>
      <c r="L199" s="748"/>
      <c r="M199" s="969">
        <f t="shared" ref="M199:M216" si="190">+E199+G199+K199</f>
        <v>0</v>
      </c>
      <c r="N199" s="748"/>
      <c r="O199" s="748">
        <f t="shared" ref="O199:W199" si="191">O200</f>
        <v>0</v>
      </c>
      <c r="P199" s="748">
        <f t="shared" si="191"/>
        <v>0</v>
      </c>
      <c r="Q199" s="306">
        <f t="shared" si="191"/>
        <v>0</v>
      </c>
      <c r="R199" s="4481">
        <f t="shared" si="191"/>
        <v>0</v>
      </c>
      <c r="S199" s="748">
        <f t="shared" si="191"/>
        <v>0</v>
      </c>
      <c r="T199" s="748">
        <f t="shared" si="191"/>
        <v>0</v>
      </c>
      <c r="U199" s="306">
        <f t="shared" si="191"/>
        <v>0</v>
      </c>
      <c r="V199" s="4481">
        <f t="shared" si="191"/>
        <v>0</v>
      </c>
      <c r="W199" s="748">
        <f t="shared" si="191"/>
        <v>0</v>
      </c>
      <c r="X199" s="748"/>
      <c r="Y199" s="969">
        <f t="shared" ref="Y199:Y216" si="192">+O199+S199+W199</f>
        <v>0</v>
      </c>
      <c r="Z199" s="3616"/>
      <c r="AA199" s="5198">
        <f t="shared" ref="AA199:AA216" si="193">M199+Y199</f>
        <v>0</v>
      </c>
      <c r="AB199" s="4481"/>
      <c r="AC199" s="748">
        <f t="shared" ref="AC199:AK199" si="194">AC200</f>
        <v>0</v>
      </c>
      <c r="AD199" s="748">
        <f t="shared" si="194"/>
        <v>0</v>
      </c>
      <c r="AE199" s="306">
        <f t="shared" si="194"/>
        <v>0</v>
      </c>
      <c r="AF199" s="4481">
        <f t="shared" si="194"/>
        <v>0</v>
      </c>
      <c r="AG199" s="748">
        <f t="shared" si="194"/>
        <v>259.73</v>
      </c>
      <c r="AH199" s="748">
        <f t="shared" si="194"/>
        <v>0</v>
      </c>
      <c r="AI199" s="306">
        <f t="shared" si="194"/>
        <v>259.73</v>
      </c>
      <c r="AJ199" s="4481">
        <f t="shared" si="194"/>
        <v>0</v>
      </c>
      <c r="AK199" s="748">
        <f t="shared" si="194"/>
        <v>331.93</v>
      </c>
      <c r="AL199" s="3616"/>
      <c r="AM199" s="969">
        <f t="shared" ref="AM199:AM216" si="195">+AC199+AG199+AK199</f>
        <v>591.66000000000008</v>
      </c>
      <c r="AN199" s="748"/>
      <c r="AO199" s="306">
        <f t="shared" si="138"/>
        <v>591.66000000000008</v>
      </c>
      <c r="AP199" s="4481"/>
      <c r="AQ199" s="748">
        <f>AQ200</f>
        <v>0</v>
      </c>
      <c r="AR199" s="748"/>
      <c r="AS199" s="306">
        <f t="shared" si="179"/>
        <v>591.66000000000008</v>
      </c>
      <c r="AT199" s="4626"/>
      <c r="AU199" s="748">
        <f>AU200</f>
        <v>0</v>
      </c>
      <c r="AV199" s="748"/>
      <c r="AW199" s="306">
        <f t="shared" si="188"/>
        <v>591.66000000000008</v>
      </c>
      <c r="AX199" s="5178"/>
      <c r="AY199" s="748">
        <f>AY200</f>
        <v>0</v>
      </c>
      <c r="AZ199" s="3616"/>
      <c r="BA199" s="969">
        <f t="shared" ref="BA199:BA216" si="196">+AQ199+AU199+AY199</f>
        <v>0</v>
      </c>
      <c r="BB199" s="3616"/>
      <c r="BC199" s="5198">
        <f t="shared" si="137"/>
        <v>591.66000000000008</v>
      </c>
      <c r="BD199" s="748"/>
      <c r="BE199" s="306">
        <f t="shared" si="181"/>
        <v>591.66000000000008</v>
      </c>
      <c r="BF199" s="26"/>
      <c r="BG199" s="26"/>
    </row>
    <row r="200" spans="1:59" ht="18.75" customHeight="1" x14ac:dyDescent="0.25">
      <c r="B200" s="8" t="s">
        <v>876</v>
      </c>
      <c r="C200" s="193" t="s">
        <v>361</v>
      </c>
      <c r="D200" s="193"/>
      <c r="E200" s="3616">
        <v>0</v>
      </c>
      <c r="F200" s="3616">
        <v>0</v>
      </c>
      <c r="G200" s="3616">
        <v>0</v>
      </c>
      <c r="H200" s="3616">
        <v>0</v>
      </c>
      <c r="I200" s="3616">
        <f t="shared" si="175"/>
        <v>0</v>
      </c>
      <c r="J200" s="3616">
        <v>0</v>
      </c>
      <c r="K200" s="3616">
        <v>0</v>
      </c>
      <c r="L200" s="3616"/>
      <c r="M200" s="969">
        <f t="shared" si="190"/>
        <v>0</v>
      </c>
      <c r="N200" s="3616"/>
      <c r="O200" s="3616">
        <v>0</v>
      </c>
      <c r="P200" s="3616"/>
      <c r="Q200" s="53">
        <f t="shared" si="172"/>
        <v>0</v>
      </c>
      <c r="R200" s="898"/>
      <c r="S200" s="3616"/>
      <c r="T200" s="3616"/>
      <c r="U200" s="53">
        <f t="shared" si="176"/>
        <v>0</v>
      </c>
      <c r="V200" s="898"/>
      <c r="W200" s="3616"/>
      <c r="X200" s="3616"/>
      <c r="Y200" s="969">
        <f t="shared" si="192"/>
        <v>0</v>
      </c>
      <c r="Z200" s="3616"/>
      <c r="AA200" s="5199">
        <f t="shared" si="193"/>
        <v>0</v>
      </c>
      <c r="AB200" s="898"/>
      <c r="AC200" s="3616"/>
      <c r="AD200" s="3616"/>
      <c r="AE200" s="53">
        <f t="shared" si="177"/>
        <v>0</v>
      </c>
      <c r="AF200" s="898"/>
      <c r="AG200" s="3616">
        <v>259.73</v>
      </c>
      <c r="AH200" s="3616"/>
      <c r="AI200" s="53">
        <f t="shared" si="178"/>
        <v>259.73</v>
      </c>
      <c r="AJ200" s="898"/>
      <c r="AK200" s="3616">
        <v>331.93</v>
      </c>
      <c r="AL200" s="748"/>
      <c r="AM200" s="969">
        <f t="shared" si="195"/>
        <v>591.66000000000008</v>
      </c>
      <c r="AN200" s="3616"/>
      <c r="AO200" s="53">
        <f t="shared" si="138"/>
        <v>591.66000000000008</v>
      </c>
      <c r="AP200" s="898"/>
      <c r="AQ200" s="3616"/>
      <c r="AR200" s="3616"/>
      <c r="AS200" s="53">
        <f t="shared" si="179"/>
        <v>591.66000000000008</v>
      </c>
      <c r="AT200" s="898"/>
      <c r="AU200" s="3616"/>
      <c r="AV200" s="3616"/>
      <c r="AW200" s="3121">
        <f t="shared" si="188"/>
        <v>591.66000000000008</v>
      </c>
      <c r="AX200" s="898"/>
      <c r="AY200" s="3616"/>
      <c r="AZ200" s="748"/>
      <c r="BA200" s="969">
        <f t="shared" si="196"/>
        <v>0</v>
      </c>
      <c r="BB200" s="3616"/>
      <c r="BC200" s="5199">
        <f t="shared" si="137"/>
        <v>591.66000000000008</v>
      </c>
      <c r="BD200" s="3616"/>
      <c r="BE200" s="3121">
        <f t="shared" si="181"/>
        <v>591.66000000000008</v>
      </c>
      <c r="BF200" s="26"/>
      <c r="BG200" s="26"/>
    </row>
    <row r="201" spans="1:59" ht="18.75" customHeight="1" x14ac:dyDescent="0.25">
      <c r="B201" s="637" t="s">
        <v>1262</v>
      </c>
      <c r="C201" s="4482" t="s">
        <v>361</v>
      </c>
      <c r="D201" s="4484"/>
      <c r="E201" s="748">
        <f>+E202+E203</f>
        <v>0</v>
      </c>
      <c r="F201" s="748"/>
      <c r="G201" s="748">
        <f>+G202+G203</f>
        <v>0</v>
      </c>
      <c r="H201" s="2268"/>
      <c r="I201" s="2268">
        <f t="shared" si="175"/>
        <v>0</v>
      </c>
      <c r="J201" s="748"/>
      <c r="K201" s="748">
        <f>+K202+K203</f>
        <v>0</v>
      </c>
      <c r="L201" s="748"/>
      <c r="M201" s="969">
        <f t="shared" si="190"/>
        <v>0</v>
      </c>
      <c r="N201" s="748"/>
      <c r="O201" s="748">
        <f>+O202+O203</f>
        <v>0</v>
      </c>
      <c r="P201" s="748"/>
      <c r="Q201" s="306">
        <f t="shared" si="172"/>
        <v>0</v>
      </c>
      <c r="R201" s="4481"/>
      <c r="S201" s="748">
        <f>+S202+S203</f>
        <v>0</v>
      </c>
      <c r="T201" s="748"/>
      <c r="U201" s="306">
        <f t="shared" si="176"/>
        <v>0</v>
      </c>
      <c r="V201" s="4481"/>
      <c r="W201" s="748">
        <f>+W202+W203</f>
        <v>0</v>
      </c>
      <c r="X201" s="748"/>
      <c r="Y201" s="969">
        <f t="shared" si="192"/>
        <v>0</v>
      </c>
      <c r="Z201" s="3616"/>
      <c r="AA201" s="5198">
        <f t="shared" si="193"/>
        <v>0</v>
      </c>
      <c r="AB201" s="4481"/>
      <c r="AC201" s="748">
        <f>+AC202+AC203</f>
        <v>0</v>
      </c>
      <c r="AD201" s="748"/>
      <c r="AE201" s="306">
        <f t="shared" si="177"/>
        <v>0</v>
      </c>
      <c r="AF201" s="4481"/>
      <c r="AG201" s="748"/>
      <c r="AH201" s="748"/>
      <c r="AI201" s="306">
        <f t="shared" si="178"/>
        <v>0</v>
      </c>
      <c r="AJ201" s="4481"/>
      <c r="AK201" s="748">
        <f>+AK202+AK203</f>
        <v>0</v>
      </c>
      <c r="AL201" s="3616"/>
      <c r="AM201" s="969">
        <f t="shared" si="195"/>
        <v>0</v>
      </c>
      <c r="AN201" s="748"/>
      <c r="AO201" s="306">
        <f t="shared" si="138"/>
        <v>0</v>
      </c>
      <c r="AP201" s="4481"/>
      <c r="AQ201" s="748"/>
      <c r="AR201" s="748"/>
      <c r="AS201" s="306">
        <f t="shared" si="179"/>
        <v>0</v>
      </c>
      <c r="AT201" s="4626"/>
      <c r="AU201" s="748"/>
      <c r="AV201" s="748"/>
      <c r="AW201" s="306">
        <f t="shared" si="188"/>
        <v>0</v>
      </c>
      <c r="AX201" s="5178"/>
      <c r="AY201" s="748"/>
      <c r="AZ201" s="3616"/>
      <c r="BA201" s="969">
        <f t="shared" si="196"/>
        <v>0</v>
      </c>
      <c r="BB201" s="3616"/>
      <c r="BC201" s="5198">
        <f t="shared" si="137"/>
        <v>0</v>
      </c>
      <c r="BD201" s="748"/>
      <c r="BE201" s="306">
        <f t="shared" si="181"/>
        <v>0</v>
      </c>
      <c r="BF201" s="26"/>
      <c r="BG201" s="26"/>
    </row>
    <row r="202" spans="1:59" ht="15.75" customHeight="1" x14ac:dyDescent="0.25">
      <c r="B202" s="8" t="s">
        <v>875</v>
      </c>
      <c r="C202" s="193" t="s">
        <v>361</v>
      </c>
      <c r="D202" s="242"/>
      <c r="E202" s="3616"/>
      <c r="F202" s="3616"/>
      <c r="G202" s="3616"/>
      <c r="H202" s="3616"/>
      <c r="I202" s="3616">
        <f t="shared" si="175"/>
        <v>0</v>
      </c>
      <c r="J202" s="3616"/>
      <c r="K202" s="3616">
        <v>0</v>
      </c>
      <c r="L202" s="3616"/>
      <c r="M202" s="969">
        <f t="shared" si="190"/>
        <v>0</v>
      </c>
      <c r="N202" s="3616"/>
      <c r="O202" s="3616">
        <v>0</v>
      </c>
      <c r="P202" s="3616"/>
      <c r="Q202" s="53">
        <f t="shared" si="172"/>
        <v>0</v>
      </c>
      <c r="R202" s="4481"/>
      <c r="S202" s="3616"/>
      <c r="T202" s="3616"/>
      <c r="U202" s="53">
        <f t="shared" si="176"/>
        <v>0</v>
      </c>
      <c r="V202" s="4481"/>
      <c r="W202" s="3616"/>
      <c r="X202" s="3616"/>
      <c r="Y202" s="969">
        <f t="shared" si="192"/>
        <v>0</v>
      </c>
      <c r="Z202" s="3616"/>
      <c r="AA202" s="5199">
        <f t="shared" si="193"/>
        <v>0</v>
      </c>
      <c r="AB202" s="4481"/>
      <c r="AC202" s="3616"/>
      <c r="AD202" s="3616"/>
      <c r="AE202" s="53">
        <f t="shared" si="177"/>
        <v>0</v>
      </c>
      <c r="AF202" s="4481"/>
      <c r="AG202" s="3616"/>
      <c r="AH202" s="3616"/>
      <c r="AI202" s="53">
        <f t="shared" si="178"/>
        <v>0</v>
      </c>
      <c r="AJ202" s="4481"/>
      <c r="AK202" s="3616"/>
      <c r="AL202" s="3616"/>
      <c r="AM202" s="969">
        <f t="shared" si="195"/>
        <v>0</v>
      </c>
      <c r="AN202" s="3616"/>
      <c r="AO202" s="53">
        <f t="shared" si="138"/>
        <v>0</v>
      </c>
      <c r="AP202" s="4481"/>
      <c r="AQ202" s="3616"/>
      <c r="AR202" s="3616"/>
      <c r="AS202" s="53">
        <f t="shared" si="179"/>
        <v>0</v>
      </c>
      <c r="AT202" s="4626"/>
      <c r="AU202" s="3616"/>
      <c r="AV202" s="3616"/>
      <c r="AW202" s="3121">
        <f t="shared" si="188"/>
        <v>0</v>
      </c>
      <c r="AX202" s="5178"/>
      <c r="AY202" s="3616"/>
      <c r="AZ202" s="3616"/>
      <c r="BA202" s="969">
        <f t="shared" si="196"/>
        <v>0</v>
      </c>
      <c r="BB202" s="3616"/>
      <c r="BC202" s="5199">
        <f t="shared" ref="BC202:BC216" si="197">BA202+AM202</f>
        <v>0</v>
      </c>
      <c r="BD202" s="3616"/>
      <c r="BE202" s="3121">
        <f t="shared" si="181"/>
        <v>0</v>
      </c>
      <c r="BF202" s="26"/>
      <c r="BG202" s="26"/>
    </row>
    <row r="203" spans="1:59" ht="15.75" customHeight="1" x14ac:dyDescent="0.25">
      <c r="B203" s="8" t="s">
        <v>1001</v>
      </c>
      <c r="C203" s="193" t="s">
        <v>361</v>
      </c>
      <c r="D203" s="193"/>
      <c r="E203" s="3616"/>
      <c r="F203" s="3616"/>
      <c r="G203" s="3616"/>
      <c r="H203" s="3616"/>
      <c r="I203" s="3616">
        <f t="shared" si="175"/>
        <v>0</v>
      </c>
      <c r="J203" s="3616"/>
      <c r="K203" s="3616">
        <v>0</v>
      </c>
      <c r="L203" s="3616"/>
      <c r="M203" s="969">
        <f t="shared" si="190"/>
        <v>0</v>
      </c>
      <c r="N203" s="3616"/>
      <c r="O203" s="3616"/>
      <c r="P203" s="3616"/>
      <c r="Q203" s="53">
        <f t="shared" si="172"/>
        <v>0</v>
      </c>
      <c r="R203" s="4481"/>
      <c r="S203" s="3616"/>
      <c r="T203" s="3616"/>
      <c r="U203" s="53">
        <f t="shared" si="176"/>
        <v>0</v>
      </c>
      <c r="V203" s="4481"/>
      <c r="W203" s="3616"/>
      <c r="X203" s="3616"/>
      <c r="Y203" s="969">
        <f t="shared" si="192"/>
        <v>0</v>
      </c>
      <c r="Z203" s="3616"/>
      <c r="AA203" s="5199">
        <f t="shared" si="193"/>
        <v>0</v>
      </c>
      <c r="AB203" s="4481"/>
      <c r="AC203" s="3616"/>
      <c r="AD203" s="3616"/>
      <c r="AE203" s="53">
        <f t="shared" si="177"/>
        <v>0</v>
      </c>
      <c r="AF203" s="4481"/>
      <c r="AG203" s="3616"/>
      <c r="AH203" s="3616"/>
      <c r="AI203" s="53">
        <f t="shared" si="178"/>
        <v>0</v>
      </c>
      <c r="AJ203" s="4481"/>
      <c r="AK203" s="3616"/>
      <c r="AL203" s="3616"/>
      <c r="AM203" s="969">
        <f t="shared" si="195"/>
        <v>0</v>
      </c>
      <c r="AN203" s="3616"/>
      <c r="AO203" s="53">
        <f t="shared" si="138"/>
        <v>0</v>
      </c>
      <c r="AP203" s="4481"/>
      <c r="AQ203" s="3616"/>
      <c r="AR203" s="3616"/>
      <c r="AS203" s="53">
        <f t="shared" si="179"/>
        <v>0</v>
      </c>
      <c r="AT203" s="4626"/>
      <c r="AU203" s="3616"/>
      <c r="AV203" s="3616"/>
      <c r="AW203" s="3121">
        <f t="shared" si="188"/>
        <v>0</v>
      </c>
      <c r="AX203" s="5178"/>
      <c r="AY203" s="3616"/>
      <c r="AZ203" s="3616"/>
      <c r="BA203" s="969">
        <f t="shared" si="196"/>
        <v>0</v>
      </c>
      <c r="BB203" s="3616"/>
      <c r="BC203" s="5199">
        <f t="shared" si="197"/>
        <v>0</v>
      </c>
      <c r="BD203" s="3616"/>
      <c r="BE203" s="3121">
        <f t="shared" si="181"/>
        <v>0</v>
      </c>
      <c r="BF203" s="26"/>
      <c r="BG203" s="26"/>
    </row>
    <row r="204" spans="1:59" ht="18.75" x14ac:dyDescent="0.25">
      <c r="B204" s="637" t="s">
        <v>1931</v>
      </c>
      <c r="C204" s="4482"/>
      <c r="D204" s="4484"/>
      <c r="E204" s="748">
        <f>E205</f>
        <v>0</v>
      </c>
      <c r="F204" s="748">
        <f t="shared" ref="F204:K204" si="198">F205</f>
        <v>0</v>
      </c>
      <c r="G204" s="748">
        <f t="shared" si="198"/>
        <v>0</v>
      </c>
      <c r="H204" s="2268">
        <f t="shared" si="198"/>
        <v>0</v>
      </c>
      <c r="I204" s="2268">
        <f t="shared" si="198"/>
        <v>0</v>
      </c>
      <c r="J204" s="748">
        <f t="shared" si="198"/>
        <v>0</v>
      </c>
      <c r="K204" s="748">
        <f t="shared" si="198"/>
        <v>4</v>
      </c>
      <c r="L204" s="748"/>
      <c r="M204" s="969">
        <f t="shared" si="190"/>
        <v>4</v>
      </c>
      <c r="N204" s="748"/>
      <c r="O204" s="748">
        <f t="shared" ref="O204:W204" si="199">O205</f>
        <v>0</v>
      </c>
      <c r="P204" s="748">
        <f t="shared" si="199"/>
        <v>0</v>
      </c>
      <c r="Q204" s="306">
        <f t="shared" si="199"/>
        <v>4</v>
      </c>
      <c r="R204" s="4481">
        <f t="shared" si="199"/>
        <v>0</v>
      </c>
      <c r="S204" s="748">
        <f t="shared" si="199"/>
        <v>0</v>
      </c>
      <c r="T204" s="748">
        <f t="shared" si="199"/>
        <v>0</v>
      </c>
      <c r="U204" s="306">
        <f t="shared" si="199"/>
        <v>4</v>
      </c>
      <c r="V204" s="4481">
        <f t="shared" si="199"/>
        <v>0</v>
      </c>
      <c r="W204" s="748">
        <f t="shared" si="199"/>
        <v>0</v>
      </c>
      <c r="X204" s="748"/>
      <c r="Y204" s="969">
        <f t="shared" si="192"/>
        <v>0</v>
      </c>
      <c r="Z204" s="3616"/>
      <c r="AA204" s="5198">
        <f t="shared" si="193"/>
        <v>4</v>
      </c>
      <c r="AB204" s="4481"/>
      <c r="AC204" s="748">
        <f t="shared" ref="AC204:AK204" si="200">AC205</f>
        <v>0</v>
      </c>
      <c r="AD204" s="748">
        <f t="shared" si="200"/>
        <v>0</v>
      </c>
      <c r="AE204" s="306">
        <f t="shared" si="200"/>
        <v>4</v>
      </c>
      <c r="AF204" s="4481">
        <f t="shared" si="200"/>
        <v>0</v>
      </c>
      <c r="AG204" s="748">
        <f t="shared" si="200"/>
        <v>0</v>
      </c>
      <c r="AH204" s="748">
        <f t="shared" si="200"/>
        <v>0</v>
      </c>
      <c r="AI204" s="306">
        <f t="shared" si="200"/>
        <v>4</v>
      </c>
      <c r="AJ204" s="4481">
        <f t="shared" si="200"/>
        <v>0</v>
      </c>
      <c r="AK204" s="748">
        <f t="shared" si="200"/>
        <v>10</v>
      </c>
      <c r="AL204" s="3616"/>
      <c r="AM204" s="969">
        <f t="shared" si="195"/>
        <v>10</v>
      </c>
      <c r="AN204" s="748"/>
      <c r="AO204" s="306">
        <f t="shared" si="138"/>
        <v>14</v>
      </c>
      <c r="AP204" s="4481"/>
      <c r="AQ204" s="748">
        <f>AQ205</f>
        <v>0</v>
      </c>
      <c r="AR204" s="748"/>
      <c r="AS204" s="306">
        <f t="shared" si="179"/>
        <v>14</v>
      </c>
      <c r="AT204" s="4626"/>
      <c r="AU204" s="748">
        <f>AU205</f>
        <v>0</v>
      </c>
      <c r="AV204" s="748"/>
      <c r="AW204" s="306">
        <f t="shared" si="188"/>
        <v>14</v>
      </c>
      <c r="AX204" s="5178"/>
      <c r="AY204" s="748">
        <f>AY205</f>
        <v>0</v>
      </c>
      <c r="AZ204" s="3616"/>
      <c r="BA204" s="969">
        <f t="shared" si="196"/>
        <v>0</v>
      </c>
      <c r="BB204" s="3616"/>
      <c r="BC204" s="5198">
        <f t="shared" si="197"/>
        <v>10</v>
      </c>
      <c r="BD204" s="748"/>
      <c r="BE204" s="306">
        <f t="shared" si="181"/>
        <v>14</v>
      </c>
      <c r="BF204" s="26"/>
      <c r="BG204" s="26"/>
    </row>
    <row r="205" spans="1:59" x14ac:dyDescent="0.25">
      <c r="B205" s="8" t="s">
        <v>1827</v>
      </c>
      <c r="C205" s="193" t="s">
        <v>361</v>
      </c>
      <c r="D205" s="973"/>
      <c r="E205" s="3616"/>
      <c r="F205" s="3616"/>
      <c r="G205" s="3616"/>
      <c r="H205" s="3616"/>
      <c r="I205" s="3616">
        <f t="shared" si="175"/>
        <v>0</v>
      </c>
      <c r="J205" s="3616"/>
      <c r="K205" s="3616">
        <v>4</v>
      </c>
      <c r="L205" s="3616"/>
      <c r="M205" s="969">
        <f t="shared" si="190"/>
        <v>4</v>
      </c>
      <c r="N205" s="3616"/>
      <c r="O205" s="3616"/>
      <c r="P205" s="3616"/>
      <c r="Q205" s="53">
        <f t="shared" si="172"/>
        <v>4</v>
      </c>
      <c r="R205" s="2461"/>
      <c r="S205" s="3616"/>
      <c r="T205" s="3616"/>
      <c r="U205" s="53">
        <f t="shared" si="176"/>
        <v>4</v>
      </c>
      <c r="V205" s="2461"/>
      <c r="W205" s="3616"/>
      <c r="X205" s="3616"/>
      <c r="Y205" s="969">
        <f t="shared" si="192"/>
        <v>0</v>
      </c>
      <c r="Z205" s="3616"/>
      <c r="AA205" s="5199">
        <f t="shared" si="193"/>
        <v>4</v>
      </c>
      <c r="AB205" s="2461"/>
      <c r="AC205" s="3616"/>
      <c r="AD205" s="3616"/>
      <c r="AE205" s="53">
        <f t="shared" si="177"/>
        <v>4</v>
      </c>
      <c r="AF205" s="2461"/>
      <c r="AG205" s="3616"/>
      <c r="AH205" s="3616"/>
      <c r="AI205" s="53">
        <f t="shared" si="178"/>
        <v>4</v>
      </c>
      <c r="AJ205" s="2461"/>
      <c r="AK205" s="3616">
        <v>10</v>
      </c>
      <c r="AL205" s="719"/>
      <c r="AM205" s="969">
        <f t="shared" si="195"/>
        <v>10</v>
      </c>
      <c r="AN205" s="3616"/>
      <c r="AO205" s="53">
        <f t="shared" si="138"/>
        <v>14</v>
      </c>
      <c r="AP205" s="2461"/>
      <c r="AQ205" s="3616"/>
      <c r="AR205" s="3616"/>
      <c r="AS205" s="53">
        <f t="shared" si="179"/>
        <v>14</v>
      </c>
      <c r="AT205" s="2461"/>
      <c r="AU205" s="3616"/>
      <c r="AV205" s="3616"/>
      <c r="AW205" s="3121">
        <f t="shared" si="188"/>
        <v>14</v>
      </c>
      <c r="AX205" s="2461"/>
      <c r="AY205" s="3616"/>
      <c r="AZ205" s="719"/>
      <c r="BA205" s="969">
        <f t="shared" si="196"/>
        <v>0</v>
      </c>
      <c r="BB205" s="3616"/>
      <c r="BC205" s="5199">
        <f t="shared" si="197"/>
        <v>10</v>
      </c>
      <c r="BD205" s="3616"/>
      <c r="BE205" s="3121">
        <f t="shared" si="181"/>
        <v>14</v>
      </c>
      <c r="BF205" s="26"/>
      <c r="BG205" s="26"/>
    </row>
    <row r="206" spans="1:59" ht="18.75" customHeight="1" x14ac:dyDescent="0.25">
      <c r="B206" s="637" t="s">
        <v>1926</v>
      </c>
      <c r="C206" s="4482"/>
      <c r="D206" s="4484"/>
      <c r="E206" s="748">
        <f>E207</f>
        <v>0</v>
      </c>
      <c r="F206" s="748">
        <f t="shared" ref="F206" si="201">F207</f>
        <v>0</v>
      </c>
      <c r="G206" s="748">
        <f t="shared" ref="G206" si="202">G207</f>
        <v>0</v>
      </c>
      <c r="H206" s="2268">
        <f t="shared" ref="H206" si="203">H207</f>
        <v>0</v>
      </c>
      <c r="I206" s="2268">
        <f t="shared" ref="I206" si="204">I207</f>
        <v>0</v>
      </c>
      <c r="J206" s="748">
        <f t="shared" ref="J206" si="205">J207</f>
        <v>0</v>
      </c>
      <c r="K206" s="748">
        <f t="shared" ref="K206" si="206">K207</f>
        <v>0</v>
      </c>
      <c r="L206" s="748"/>
      <c r="M206" s="969">
        <f t="shared" si="190"/>
        <v>0</v>
      </c>
      <c r="N206" s="748"/>
      <c r="O206" s="748">
        <f t="shared" ref="O206" si="207">O207</f>
        <v>19.93</v>
      </c>
      <c r="P206" s="748">
        <f t="shared" ref="P206" si="208">P207</f>
        <v>0</v>
      </c>
      <c r="Q206" s="306">
        <f t="shared" ref="Q206" si="209">Q207</f>
        <v>19.93</v>
      </c>
      <c r="R206" s="4481">
        <f t="shared" ref="R206" si="210">R207</f>
        <v>0</v>
      </c>
      <c r="S206" s="748">
        <f t="shared" ref="S206" si="211">S207</f>
        <v>29.88</v>
      </c>
      <c r="T206" s="748">
        <f t="shared" ref="T206" si="212">T207</f>
        <v>0</v>
      </c>
      <c r="U206" s="306">
        <f t="shared" ref="U206" si="213">U207</f>
        <v>49.81</v>
      </c>
      <c r="V206" s="4481">
        <f t="shared" ref="V206" si="214">V207</f>
        <v>0</v>
      </c>
      <c r="W206" s="748">
        <f t="shared" ref="W206" si="215">W207</f>
        <v>0</v>
      </c>
      <c r="X206" s="748"/>
      <c r="Y206" s="969">
        <f t="shared" si="192"/>
        <v>49.81</v>
      </c>
      <c r="Z206" s="3616"/>
      <c r="AA206" s="5198">
        <f t="shared" si="193"/>
        <v>49.81</v>
      </c>
      <c r="AB206" s="4481"/>
      <c r="AC206" s="748">
        <f t="shared" ref="AC206" si="216">AC207</f>
        <v>0</v>
      </c>
      <c r="AD206" s="748">
        <f t="shared" ref="AD206" si="217">AD207</f>
        <v>0</v>
      </c>
      <c r="AE206" s="306">
        <f t="shared" ref="AE206" si="218">AE207</f>
        <v>49.81</v>
      </c>
      <c r="AF206" s="4481">
        <f t="shared" ref="AF206" si="219">AF207</f>
        <v>0</v>
      </c>
      <c r="AG206" s="748">
        <f t="shared" ref="AG206" si="220">AG207</f>
        <v>0</v>
      </c>
      <c r="AH206" s="748">
        <f t="shared" ref="AH206" si="221">AH207</f>
        <v>0</v>
      </c>
      <c r="AI206" s="306">
        <f t="shared" ref="AI206" si="222">AI207</f>
        <v>49.81</v>
      </c>
      <c r="AJ206" s="4481">
        <f t="shared" ref="AJ206" si="223">AJ207</f>
        <v>0</v>
      </c>
      <c r="AK206" s="748">
        <f t="shared" ref="AK206" si="224">AK207</f>
        <v>0</v>
      </c>
      <c r="AL206" s="3616"/>
      <c r="AM206" s="969">
        <f t="shared" si="195"/>
        <v>0</v>
      </c>
      <c r="AN206" s="748"/>
      <c r="AO206" s="306">
        <f t="shared" ref="AO206" si="225">AI206+AK206</f>
        <v>49.81</v>
      </c>
      <c r="AP206" s="4481"/>
      <c r="AQ206" s="748">
        <f>AQ207</f>
        <v>0</v>
      </c>
      <c r="AR206" s="748"/>
      <c r="AS206" s="306">
        <f t="shared" ref="AS206" si="226">+AO206+AQ206</f>
        <v>49.81</v>
      </c>
      <c r="AT206" s="4626"/>
      <c r="AU206" s="748">
        <f>AU207</f>
        <v>0</v>
      </c>
      <c r="AV206" s="748"/>
      <c r="AW206" s="306">
        <f t="shared" si="188"/>
        <v>49.81</v>
      </c>
      <c r="AX206" s="5178"/>
      <c r="AY206" s="748">
        <f>AY207</f>
        <v>0</v>
      </c>
      <c r="AZ206" s="3616"/>
      <c r="BA206" s="969">
        <f t="shared" si="196"/>
        <v>0</v>
      </c>
      <c r="BB206" s="3616"/>
      <c r="BC206" s="5198">
        <f t="shared" si="197"/>
        <v>0</v>
      </c>
      <c r="BD206" s="748"/>
      <c r="BE206" s="306">
        <f t="shared" si="181"/>
        <v>49.81</v>
      </c>
      <c r="BF206" s="26"/>
      <c r="BG206" s="26"/>
    </row>
    <row r="207" spans="1:59" ht="15.75" customHeight="1" x14ac:dyDescent="0.25">
      <c r="B207" s="8" t="s">
        <v>1001</v>
      </c>
      <c r="C207" s="193" t="s">
        <v>361</v>
      </c>
      <c r="D207" s="193"/>
      <c r="E207" s="3616">
        <v>0</v>
      </c>
      <c r="F207" s="3616"/>
      <c r="G207" s="3616">
        <v>0</v>
      </c>
      <c r="H207" s="3616"/>
      <c r="I207" s="3616">
        <f t="shared" si="175"/>
        <v>0</v>
      </c>
      <c r="J207" s="3616"/>
      <c r="K207" s="3616">
        <v>0</v>
      </c>
      <c r="L207" s="3616"/>
      <c r="M207" s="969">
        <f t="shared" si="190"/>
        <v>0</v>
      </c>
      <c r="N207" s="3616"/>
      <c r="O207" s="3616">
        <v>19.93</v>
      </c>
      <c r="P207" s="3616"/>
      <c r="Q207" s="53">
        <f t="shared" si="172"/>
        <v>19.93</v>
      </c>
      <c r="R207" s="4481"/>
      <c r="S207" s="3616">
        <v>29.88</v>
      </c>
      <c r="T207" s="3616"/>
      <c r="U207" s="53">
        <f t="shared" si="176"/>
        <v>49.81</v>
      </c>
      <c r="V207" s="4481"/>
      <c r="W207" s="3616"/>
      <c r="X207" s="3616"/>
      <c r="Y207" s="969">
        <f t="shared" si="192"/>
        <v>49.81</v>
      </c>
      <c r="Z207" s="3616"/>
      <c r="AA207" s="5199">
        <f t="shared" si="193"/>
        <v>49.81</v>
      </c>
      <c r="AB207" s="4481"/>
      <c r="AC207" s="3616"/>
      <c r="AD207" s="3616"/>
      <c r="AE207" s="53">
        <f t="shared" si="177"/>
        <v>49.81</v>
      </c>
      <c r="AF207" s="4481"/>
      <c r="AG207" s="3616"/>
      <c r="AH207" s="3616"/>
      <c r="AI207" s="53">
        <f t="shared" si="178"/>
        <v>49.81</v>
      </c>
      <c r="AJ207" s="4481"/>
      <c r="AK207" s="3616"/>
      <c r="AL207" s="3616"/>
      <c r="AM207" s="969">
        <f t="shared" si="195"/>
        <v>0</v>
      </c>
      <c r="AN207" s="3616"/>
      <c r="AO207" s="53">
        <f t="shared" si="138"/>
        <v>49.81</v>
      </c>
      <c r="AP207" s="4481"/>
      <c r="AQ207" s="3616"/>
      <c r="AR207" s="3616"/>
      <c r="AS207" s="53">
        <f t="shared" si="179"/>
        <v>49.81</v>
      </c>
      <c r="AT207" s="4626"/>
      <c r="AU207" s="3616"/>
      <c r="AV207" s="3616"/>
      <c r="AW207" s="3121">
        <f t="shared" si="188"/>
        <v>49.81</v>
      </c>
      <c r="AX207" s="5178"/>
      <c r="AY207" s="3616"/>
      <c r="AZ207" s="3616"/>
      <c r="BA207" s="969">
        <f t="shared" si="196"/>
        <v>0</v>
      </c>
      <c r="BB207" s="3616"/>
      <c r="BC207" s="5199">
        <f t="shared" si="197"/>
        <v>0</v>
      </c>
      <c r="BD207" s="3616"/>
      <c r="BE207" s="3121">
        <f t="shared" si="181"/>
        <v>49.81</v>
      </c>
      <c r="BF207" s="26"/>
      <c r="BG207" s="26"/>
    </row>
    <row r="208" spans="1:59" ht="18.75" x14ac:dyDescent="0.25">
      <c r="B208" s="637" t="s">
        <v>1385</v>
      </c>
      <c r="C208" s="4482"/>
      <c r="D208" s="4484"/>
      <c r="E208" s="748">
        <f>E209</f>
        <v>7963.1</v>
      </c>
      <c r="F208" s="748">
        <f t="shared" ref="F208" si="227">F209</f>
        <v>0</v>
      </c>
      <c r="G208" s="748">
        <f t="shared" ref="G208" si="228">G209</f>
        <v>0</v>
      </c>
      <c r="H208" s="2268">
        <f t="shared" ref="H208" si="229">H209</f>
        <v>0</v>
      </c>
      <c r="I208" s="2268">
        <f t="shared" ref="I208" si="230">I209</f>
        <v>7963.1</v>
      </c>
      <c r="J208" s="748">
        <f t="shared" ref="J208" si="231">J209</f>
        <v>0</v>
      </c>
      <c r="K208" s="748">
        <f t="shared" ref="K208" si="232">K209</f>
        <v>7674.3</v>
      </c>
      <c r="L208" s="748"/>
      <c r="M208" s="969">
        <f t="shared" si="190"/>
        <v>15637.400000000001</v>
      </c>
      <c r="N208" s="748"/>
      <c r="O208" s="748">
        <f t="shared" ref="O208" si="233">O209</f>
        <v>3239.9</v>
      </c>
      <c r="P208" s="748">
        <f t="shared" ref="P208" si="234">P209</f>
        <v>0</v>
      </c>
      <c r="Q208" s="306">
        <f t="shared" ref="Q208" si="235">Q209</f>
        <v>18877.300000000003</v>
      </c>
      <c r="R208" s="4481">
        <f t="shared" ref="R208" si="236">R209</f>
        <v>0</v>
      </c>
      <c r="S208" s="748">
        <f t="shared" ref="S208" si="237">S209</f>
        <v>3973.8</v>
      </c>
      <c r="T208" s="748">
        <f t="shared" ref="T208" si="238">T209</f>
        <v>0</v>
      </c>
      <c r="U208" s="306">
        <f t="shared" ref="U208" si="239">U209</f>
        <v>22851.100000000002</v>
      </c>
      <c r="V208" s="4481">
        <f t="shared" ref="V208" si="240">V209</f>
        <v>0</v>
      </c>
      <c r="W208" s="748">
        <f t="shared" ref="W208" si="241">W209</f>
        <v>8065.5</v>
      </c>
      <c r="X208" s="748"/>
      <c r="Y208" s="969">
        <f t="shared" si="192"/>
        <v>15279.2</v>
      </c>
      <c r="Z208" s="3616"/>
      <c r="AA208" s="5198">
        <f t="shared" si="193"/>
        <v>30916.600000000002</v>
      </c>
      <c r="AB208" s="4481"/>
      <c r="AC208" s="748">
        <f t="shared" ref="AC208" si="242">AC209</f>
        <v>3870</v>
      </c>
      <c r="AD208" s="748">
        <f t="shared" ref="AD208" si="243">AD209</f>
        <v>0</v>
      </c>
      <c r="AE208" s="306">
        <f t="shared" ref="AE208" si="244">AE209</f>
        <v>34786.600000000006</v>
      </c>
      <c r="AF208" s="4481">
        <f t="shared" ref="AF208" si="245">AF209</f>
        <v>0</v>
      </c>
      <c r="AG208" s="748">
        <f t="shared" ref="AG208" si="246">AG209</f>
        <v>3864.14</v>
      </c>
      <c r="AH208" s="748">
        <f t="shared" ref="AH208" si="247">AH209</f>
        <v>0</v>
      </c>
      <c r="AI208" s="306">
        <f t="shared" ref="AI208" si="248">AI209</f>
        <v>38650.740000000005</v>
      </c>
      <c r="AJ208" s="4481">
        <f t="shared" ref="AJ208" si="249">AJ209</f>
        <v>0</v>
      </c>
      <c r="AK208" s="748">
        <f t="shared" ref="AK208" si="250">AK209</f>
        <v>3822.91</v>
      </c>
      <c r="AL208" s="3616"/>
      <c r="AM208" s="969">
        <f t="shared" si="195"/>
        <v>11557.05</v>
      </c>
      <c r="AN208" s="748"/>
      <c r="AO208" s="306">
        <f t="shared" ref="AO208" si="251">AI208+AK208</f>
        <v>42473.650000000009</v>
      </c>
      <c r="AP208" s="4481"/>
      <c r="AQ208" s="748">
        <f>AQ209</f>
        <v>3787.71</v>
      </c>
      <c r="AR208" s="748"/>
      <c r="AS208" s="306">
        <f t="shared" ref="AS208" si="252">+AO208+AQ208</f>
        <v>46261.360000000008</v>
      </c>
      <c r="AT208" s="4626"/>
      <c r="AU208" s="748">
        <f>AU209</f>
        <v>3787.71</v>
      </c>
      <c r="AV208" s="748"/>
      <c r="AW208" s="306">
        <f t="shared" si="188"/>
        <v>50049.070000000007</v>
      </c>
      <c r="AX208" s="5178"/>
      <c r="AY208" s="748">
        <f>AY209</f>
        <v>0</v>
      </c>
      <c r="AZ208" s="3616"/>
      <c r="BA208" s="969">
        <f t="shared" si="196"/>
        <v>7575.42</v>
      </c>
      <c r="BB208" s="3616"/>
      <c r="BC208" s="5198">
        <f t="shared" si="197"/>
        <v>19132.47</v>
      </c>
      <c r="BD208" s="748"/>
      <c r="BE208" s="306">
        <f t="shared" si="181"/>
        <v>50049.070000000007</v>
      </c>
      <c r="BF208" s="26"/>
      <c r="BG208" s="26"/>
    </row>
    <row r="209" spans="2:59" ht="18.75" x14ac:dyDescent="0.25">
      <c r="B209" s="8" t="s">
        <v>1001</v>
      </c>
      <c r="C209" s="193" t="s">
        <v>361</v>
      </c>
      <c r="D209" s="193"/>
      <c r="E209" s="3616">
        <v>7963.1</v>
      </c>
      <c r="F209" s="3616"/>
      <c r="G209" s="3616"/>
      <c r="H209" s="3616"/>
      <c r="I209" s="3616">
        <f t="shared" si="175"/>
        <v>7963.1</v>
      </c>
      <c r="J209" s="3616"/>
      <c r="K209" s="3616">
        <v>7674.3</v>
      </c>
      <c r="L209" s="3616"/>
      <c r="M209" s="969">
        <f t="shared" si="190"/>
        <v>15637.400000000001</v>
      </c>
      <c r="N209" s="3616"/>
      <c r="O209" s="3616">
        <v>3239.9</v>
      </c>
      <c r="P209" s="3616"/>
      <c r="Q209" s="53">
        <f t="shared" si="172"/>
        <v>18877.300000000003</v>
      </c>
      <c r="R209" s="898"/>
      <c r="S209" s="3616">
        <v>3973.8</v>
      </c>
      <c r="T209" s="3616"/>
      <c r="U209" s="53">
        <f t="shared" si="176"/>
        <v>22851.100000000002</v>
      </c>
      <c r="V209" s="898"/>
      <c r="W209" s="3616">
        <v>8065.5</v>
      </c>
      <c r="X209" s="3616"/>
      <c r="Y209" s="969">
        <f t="shared" si="192"/>
        <v>15279.2</v>
      </c>
      <c r="Z209" s="3616"/>
      <c r="AA209" s="5199">
        <f t="shared" si="193"/>
        <v>30916.600000000002</v>
      </c>
      <c r="AB209" s="898"/>
      <c r="AC209" s="3616">
        <v>3870</v>
      </c>
      <c r="AD209" s="3616"/>
      <c r="AE209" s="53">
        <f t="shared" si="177"/>
        <v>34786.600000000006</v>
      </c>
      <c r="AF209" s="898"/>
      <c r="AG209" s="3616">
        <v>3864.14</v>
      </c>
      <c r="AH209" s="3616"/>
      <c r="AI209" s="53">
        <f t="shared" si="178"/>
        <v>38650.740000000005</v>
      </c>
      <c r="AJ209" s="898"/>
      <c r="AK209" s="3616">
        <v>3822.91</v>
      </c>
      <c r="AL209" s="748"/>
      <c r="AM209" s="969">
        <f t="shared" si="195"/>
        <v>11557.05</v>
      </c>
      <c r="AN209" s="3616"/>
      <c r="AO209" s="53">
        <f t="shared" si="138"/>
        <v>42473.650000000009</v>
      </c>
      <c r="AP209" s="898"/>
      <c r="AQ209" s="3616">
        <v>3787.71</v>
      </c>
      <c r="AR209" s="3616"/>
      <c r="AS209" s="53">
        <f t="shared" si="179"/>
        <v>46261.360000000008</v>
      </c>
      <c r="AT209" s="898"/>
      <c r="AU209" s="3616">
        <v>3787.71</v>
      </c>
      <c r="AV209" s="3616"/>
      <c r="AW209" s="3121">
        <f t="shared" si="188"/>
        <v>50049.070000000007</v>
      </c>
      <c r="AX209" s="898"/>
      <c r="AY209" s="3616"/>
      <c r="AZ209" s="748"/>
      <c r="BA209" s="969">
        <f t="shared" si="196"/>
        <v>7575.42</v>
      </c>
      <c r="BB209" s="3616"/>
      <c r="BC209" s="5199">
        <f t="shared" si="197"/>
        <v>19132.47</v>
      </c>
      <c r="BD209" s="3616"/>
      <c r="BE209" s="3121">
        <f t="shared" si="181"/>
        <v>50049.070000000007</v>
      </c>
      <c r="BF209" s="26"/>
      <c r="BG209" s="26"/>
    </row>
    <row r="210" spans="2:59" ht="18.75" x14ac:dyDescent="0.25">
      <c r="B210" s="637" t="s">
        <v>1353</v>
      </c>
      <c r="C210" s="4482" t="s">
        <v>361</v>
      </c>
      <c r="D210" s="4484"/>
      <c r="E210" s="748">
        <f>+E211+E212</f>
        <v>8232.9</v>
      </c>
      <c r="F210" s="748"/>
      <c r="G210" s="748">
        <f>+G211+G212</f>
        <v>8205.7999999999993</v>
      </c>
      <c r="H210" s="2268"/>
      <c r="I210" s="2268">
        <f t="shared" si="175"/>
        <v>16438.699999999997</v>
      </c>
      <c r="J210" s="748"/>
      <c r="K210" s="748">
        <f>+K211+K212</f>
        <v>4118.62</v>
      </c>
      <c r="L210" s="748"/>
      <c r="M210" s="969">
        <f t="shared" si="190"/>
        <v>20557.319999999996</v>
      </c>
      <c r="N210" s="748"/>
      <c r="O210" s="748">
        <f>+O211+O212</f>
        <v>0</v>
      </c>
      <c r="P210" s="748"/>
      <c r="Q210" s="306">
        <f t="shared" si="172"/>
        <v>20557.319999999996</v>
      </c>
      <c r="R210" s="4481"/>
      <c r="S210" s="748">
        <f>+S211+S212</f>
        <v>8204.2999999999993</v>
      </c>
      <c r="T210" s="748"/>
      <c r="U210" s="306">
        <f t="shared" si="176"/>
        <v>28761.619999999995</v>
      </c>
      <c r="V210" s="4481"/>
      <c r="W210" s="748">
        <f>+W211+W212</f>
        <v>12261.18</v>
      </c>
      <c r="X210" s="748"/>
      <c r="Y210" s="969">
        <f t="shared" si="192"/>
        <v>20465.48</v>
      </c>
      <c r="Z210" s="3616"/>
      <c r="AA210" s="5198">
        <f t="shared" si="193"/>
        <v>41022.799999999996</v>
      </c>
      <c r="AB210" s="4481"/>
      <c r="AC210" s="748">
        <f>+AC211+AC212</f>
        <v>8195</v>
      </c>
      <c r="AD210" s="748"/>
      <c r="AE210" s="306">
        <f t="shared" si="177"/>
        <v>49217.799999999996</v>
      </c>
      <c r="AF210" s="4481"/>
      <c r="AG210" s="748">
        <f>+AG211+AG212</f>
        <v>8213.02</v>
      </c>
      <c r="AH210" s="748"/>
      <c r="AI210" s="306">
        <f t="shared" si="178"/>
        <v>57430.819999999992</v>
      </c>
      <c r="AJ210" s="4481"/>
      <c r="AK210" s="748">
        <f>+AK211+AK212</f>
        <v>8200.9</v>
      </c>
      <c r="AL210" s="3616"/>
      <c r="AM210" s="969">
        <f t="shared" si="195"/>
        <v>24608.92</v>
      </c>
      <c r="AN210" s="748"/>
      <c r="AO210" s="306">
        <f t="shared" si="138"/>
        <v>65631.719999999987</v>
      </c>
      <c r="AP210" s="4481"/>
      <c r="AQ210" s="748">
        <f>+AQ211+AQ212</f>
        <v>4135.2700000000004</v>
      </c>
      <c r="AR210" s="748"/>
      <c r="AS210" s="306">
        <f t="shared" si="179"/>
        <v>69766.989999999991</v>
      </c>
      <c r="AT210" s="4626"/>
      <c r="AU210" s="748">
        <f>+AU211+AU212</f>
        <v>0</v>
      </c>
      <c r="AV210" s="748"/>
      <c r="AW210" s="306">
        <f t="shared" si="188"/>
        <v>69766.989999999991</v>
      </c>
      <c r="AX210" s="5178"/>
      <c r="AY210" s="748">
        <f>+AY211+AY212</f>
        <v>4135</v>
      </c>
      <c r="AZ210" s="3616"/>
      <c r="BA210" s="969">
        <f t="shared" si="196"/>
        <v>8270.27</v>
      </c>
      <c r="BB210" s="3616"/>
      <c r="BC210" s="5198">
        <f t="shared" si="197"/>
        <v>32879.19</v>
      </c>
      <c r="BD210" s="748"/>
      <c r="BE210" s="306">
        <f t="shared" si="181"/>
        <v>73901.989999999991</v>
      </c>
      <c r="BF210" s="26"/>
      <c r="BG210" s="26"/>
    </row>
    <row r="211" spans="2:59" ht="15.75" hidden="1" customHeight="1" x14ac:dyDescent="0.25">
      <c r="B211" s="8" t="s">
        <v>1001</v>
      </c>
      <c r="C211" s="193" t="s">
        <v>361</v>
      </c>
      <c r="D211" s="980"/>
      <c r="E211" s="3616"/>
      <c r="F211" s="3616"/>
      <c r="G211" s="3616"/>
      <c r="H211" s="3616"/>
      <c r="I211" s="3616">
        <f t="shared" si="175"/>
        <v>0</v>
      </c>
      <c r="J211" s="3616"/>
      <c r="K211" s="3616"/>
      <c r="L211" s="3616"/>
      <c r="M211" s="4110">
        <f t="shared" si="190"/>
        <v>0</v>
      </c>
      <c r="N211" s="3616"/>
      <c r="O211" s="3616"/>
      <c r="P211" s="3616"/>
      <c r="Q211" s="53"/>
      <c r="R211" s="4481"/>
      <c r="S211" s="3616"/>
      <c r="T211" s="3616"/>
      <c r="U211" s="53"/>
      <c r="V211" s="4481"/>
      <c r="W211" s="3616"/>
      <c r="X211" s="3616"/>
      <c r="Y211" s="4110">
        <f t="shared" si="192"/>
        <v>0</v>
      </c>
      <c r="Z211" s="3616"/>
      <c r="AA211" s="5199">
        <f t="shared" si="193"/>
        <v>0</v>
      </c>
      <c r="AB211" s="4481"/>
      <c r="AC211" s="3616"/>
      <c r="AD211" s="3616"/>
      <c r="AE211" s="53">
        <f t="shared" si="177"/>
        <v>0</v>
      </c>
      <c r="AF211" s="4481"/>
      <c r="AG211" s="3616"/>
      <c r="AH211" s="3616"/>
      <c r="AI211" s="53">
        <f t="shared" si="178"/>
        <v>0</v>
      </c>
      <c r="AJ211" s="4481"/>
      <c r="AK211" s="3616"/>
      <c r="AL211" s="3616"/>
      <c r="AM211" s="4110">
        <f t="shared" si="195"/>
        <v>0</v>
      </c>
      <c r="AN211" s="3616"/>
      <c r="AO211" s="53">
        <f t="shared" si="138"/>
        <v>0</v>
      </c>
      <c r="AP211" s="4481"/>
      <c r="AQ211" s="3616"/>
      <c r="AR211" s="3616"/>
      <c r="AS211" s="53">
        <f t="shared" si="179"/>
        <v>0</v>
      </c>
      <c r="AT211" s="4626"/>
      <c r="AU211" s="3616"/>
      <c r="AV211" s="3616"/>
      <c r="AW211" s="3121">
        <f t="shared" si="188"/>
        <v>0</v>
      </c>
      <c r="AX211" s="5178"/>
      <c r="AY211" s="3616"/>
      <c r="AZ211" s="3616"/>
      <c r="BA211" s="4110">
        <f t="shared" si="196"/>
        <v>0</v>
      </c>
      <c r="BB211" s="3616"/>
      <c r="BC211" s="5199">
        <f t="shared" si="197"/>
        <v>0</v>
      </c>
      <c r="BD211" s="3616"/>
      <c r="BE211" s="3121">
        <f t="shared" si="181"/>
        <v>0</v>
      </c>
      <c r="BF211" s="26"/>
      <c r="BG211" s="26"/>
    </row>
    <row r="212" spans="2:59" x14ac:dyDescent="0.25">
      <c r="B212" s="8" t="s">
        <v>1998</v>
      </c>
      <c r="C212" s="193" t="s">
        <v>361</v>
      </c>
      <c r="D212" s="193"/>
      <c r="E212" s="3616">
        <v>8232.9</v>
      </c>
      <c r="F212" s="3616"/>
      <c r="G212" s="3616">
        <v>8205.7999999999993</v>
      </c>
      <c r="H212" s="3616"/>
      <c r="I212" s="3616">
        <f t="shared" si="175"/>
        <v>16438.699999999997</v>
      </c>
      <c r="J212" s="3616"/>
      <c r="K212" s="3616">
        <v>4118.62</v>
      </c>
      <c r="L212" s="3616"/>
      <c r="M212" s="969">
        <f t="shared" si="190"/>
        <v>20557.319999999996</v>
      </c>
      <c r="N212" s="3616"/>
      <c r="O212" s="3616">
        <v>0</v>
      </c>
      <c r="P212" s="3616"/>
      <c r="Q212" s="53">
        <f t="shared" si="172"/>
        <v>20557.319999999996</v>
      </c>
      <c r="R212" s="4481"/>
      <c r="S212" s="3616">
        <v>8204.2999999999993</v>
      </c>
      <c r="T212" s="3616"/>
      <c r="U212" s="53">
        <f t="shared" si="176"/>
        <v>28761.619999999995</v>
      </c>
      <c r="V212" s="4481"/>
      <c r="W212" s="3616">
        <v>12261.18</v>
      </c>
      <c r="X212" s="3616"/>
      <c r="Y212" s="969">
        <f t="shared" si="192"/>
        <v>20465.48</v>
      </c>
      <c r="Z212" s="3616"/>
      <c r="AA212" s="5199">
        <f t="shared" si="193"/>
        <v>41022.799999999996</v>
      </c>
      <c r="AB212" s="4481"/>
      <c r="AC212" s="3616">
        <v>8195</v>
      </c>
      <c r="AD212" s="3616"/>
      <c r="AE212" s="53">
        <f t="shared" si="177"/>
        <v>49217.799999999996</v>
      </c>
      <c r="AF212" s="4481"/>
      <c r="AG212" s="3616">
        <v>8213.02</v>
      </c>
      <c r="AH212" s="3616"/>
      <c r="AI212" s="53">
        <f t="shared" si="178"/>
        <v>57430.819999999992</v>
      </c>
      <c r="AJ212" s="3075"/>
      <c r="AK212" s="2783">
        <v>8200.9</v>
      </c>
      <c r="AL212" s="2783"/>
      <c r="AM212" s="969">
        <f t="shared" si="195"/>
        <v>24608.92</v>
      </c>
      <c r="AN212" s="3616"/>
      <c r="AO212" s="53">
        <f t="shared" ref="AO212" si="253">AI212+AK212</f>
        <v>65631.719999999987</v>
      </c>
      <c r="AP212" s="4481"/>
      <c r="AQ212" s="3616">
        <v>4135.2700000000004</v>
      </c>
      <c r="AR212" s="3616"/>
      <c r="AS212" s="53">
        <f t="shared" si="179"/>
        <v>69766.989999999991</v>
      </c>
      <c r="AT212" s="4626"/>
      <c r="AU212" s="3616"/>
      <c r="AV212" s="3616"/>
      <c r="AW212" s="3121">
        <f t="shared" si="188"/>
        <v>69766.989999999991</v>
      </c>
      <c r="AX212" s="5178"/>
      <c r="AY212" s="3616">
        <v>4135</v>
      </c>
      <c r="AZ212" s="2783"/>
      <c r="BA212" s="969">
        <f t="shared" si="196"/>
        <v>8270.27</v>
      </c>
      <c r="BB212" s="3616"/>
      <c r="BC212" s="5199">
        <f t="shared" si="197"/>
        <v>32879.19</v>
      </c>
      <c r="BD212" s="3616"/>
      <c r="BE212" s="3121">
        <f t="shared" si="181"/>
        <v>73901.989999999991</v>
      </c>
      <c r="BF212" s="26"/>
      <c r="BG212" s="26"/>
    </row>
    <row r="213" spans="2:59" ht="18.75" hidden="1" customHeight="1" x14ac:dyDescent="0.25">
      <c r="B213" s="637" t="s">
        <v>1412</v>
      </c>
      <c r="C213" s="4482"/>
      <c r="D213" s="4484"/>
      <c r="E213" s="748"/>
      <c r="F213" s="748"/>
      <c r="G213" s="748"/>
      <c r="H213" s="748"/>
      <c r="I213" s="748">
        <f t="shared" si="175"/>
        <v>0</v>
      </c>
      <c r="J213" s="748"/>
      <c r="K213" s="748"/>
      <c r="L213" s="748"/>
      <c r="M213" s="969">
        <f t="shared" si="190"/>
        <v>0</v>
      </c>
      <c r="N213" s="748"/>
      <c r="O213" s="748"/>
      <c r="P213" s="748"/>
      <c r="Q213" s="2346">
        <f t="shared" si="172"/>
        <v>0</v>
      </c>
      <c r="R213" s="4481"/>
      <c r="S213" s="748"/>
      <c r="T213" s="748"/>
      <c r="U213" s="2346">
        <f t="shared" si="176"/>
        <v>0</v>
      </c>
      <c r="V213" s="4481"/>
      <c r="W213" s="748"/>
      <c r="X213" s="748"/>
      <c r="Y213" s="969">
        <f t="shared" si="192"/>
        <v>0</v>
      </c>
      <c r="Z213" s="3616">
        <f>+V213+X213</f>
        <v>0</v>
      </c>
      <c r="AA213" s="5198">
        <f t="shared" si="193"/>
        <v>0</v>
      </c>
      <c r="AB213" s="4481"/>
      <c r="AC213" s="748"/>
      <c r="AD213" s="748"/>
      <c r="AE213" s="2346"/>
      <c r="AF213" s="4481"/>
      <c r="AG213" s="748"/>
      <c r="AH213" s="748"/>
      <c r="AI213" s="2346"/>
      <c r="AJ213" s="4481"/>
      <c r="AK213" s="748"/>
      <c r="AL213" s="3616"/>
      <c r="AM213" s="969">
        <f t="shared" si="195"/>
        <v>0</v>
      </c>
      <c r="AN213" s="748"/>
      <c r="AO213" s="2346"/>
      <c r="AP213" s="4481"/>
      <c r="AQ213" s="748"/>
      <c r="AR213" s="748"/>
      <c r="AS213" s="2346"/>
      <c r="AT213" s="4626"/>
      <c r="AU213" s="748"/>
      <c r="AV213" s="748"/>
      <c r="AW213" s="2346"/>
      <c r="AX213" s="5178"/>
      <c r="AY213" s="748"/>
      <c r="AZ213" s="3616"/>
      <c r="BA213" s="969">
        <f t="shared" si="196"/>
        <v>0</v>
      </c>
      <c r="BB213" s="3616">
        <f>+AX213+AZ213</f>
        <v>0</v>
      </c>
      <c r="BC213" s="5198">
        <f t="shared" si="197"/>
        <v>0</v>
      </c>
      <c r="BD213" s="748"/>
      <c r="BE213" s="2346"/>
      <c r="BF213" s="26"/>
      <c r="BG213" s="26"/>
    </row>
    <row r="214" spans="2:59" ht="15.75" hidden="1" customHeight="1" x14ac:dyDescent="0.25">
      <c r="B214" s="8" t="s">
        <v>876</v>
      </c>
      <c r="C214" s="193" t="s">
        <v>361</v>
      </c>
      <c r="D214" s="193"/>
      <c r="E214" s="3616">
        <v>0</v>
      </c>
      <c r="F214" s="3616"/>
      <c r="G214" s="3616">
        <v>0</v>
      </c>
      <c r="H214" s="3616"/>
      <c r="I214" s="3616">
        <f t="shared" si="175"/>
        <v>0</v>
      </c>
      <c r="J214" s="3616"/>
      <c r="K214" s="3616">
        <v>0</v>
      </c>
      <c r="L214" s="3616"/>
      <c r="M214" s="969">
        <f t="shared" si="190"/>
        <v>0</v>
      </c>
      <c r="N214" s="3616"/>
      <c r="O214" s="3616">
        <v>0</v>
      </c>
      <c r="P214" s="3616"/>
      <c r="Q214" s="3616">
        <f t="shared" si="172"/>
        <v>0</v>
      </c>
      <c r="R214" s="3616"/>
      <c r="S214" s="3616"/>
      <c r="T214" s="3616"/>
      <c r="U214" s="3616">
        <f t="shared" si="176"/>
        <v>0</v>
      </c>
      <c r="V214" s="3616"/>
      <c r="W214" s="3616"/>
      <c r="X214" s="3616"/>
      <c r="Y214" s="969">
        <f t="shared" si="192"/>
        <v>0</v>
      </c>
      <c r="Z214" s="719"/>
      <c r="AA214" s="5200">
        <f t="shared" si="193"/>
        <v>0</v>
      </c>
      <c r="AB214" s="2783"/>
      <c r="AC214" s="3616"/>
      <c r="AD214" s="3616"/>
      <c r="AE214" s="3616"/>
      <c r="AF214" s="3616"/>
      <c r="AG214" s="3616"/>
      <c r="AH214" s="3616"/>
      <c r="AI214" s="3616"/>
      <c r="AJ214" s="3616"/>
      <c r="AK214" s="3616"/>
      <c r="AL214" s="3616"/>
      <c r="AM214" s="969">
        <f t="shared" si="195"/>
        <v>0</v>
      </c>
      <c r="AN214" s="3616"/>
      <c r="AO214" s="3616"/>
      <c r="AP214" s="3616"/>
      <c r="AQ214" s="3616"/>
      <c r="AR214" s="3616"/>
      <c r="AS214" s="2784"/>
      <c r="AT214" s="3616"/>
      <c r="AU214" s="3616"/>
      <c r="AV214" s="3616"/>
      <c r="AW214" s="5010"/>
      <c r="AX214" s="3616"/>
      <c r="AY214" s="3616"/>
      <c r="AZ214" s="3616"/>
      <c r="BA214" s="969">
        <f t="shared" si="196"/>
        <v>0</v>
      </c>
      <c r="BB214" s="719"/>
      <c r="BC214" s="5200">
        <f t="shared" si="197"/>
        <v>0</v>
      </c>
      <c r="BD214" s="3616"/>
      <c r="BE214" s="5010"/>
      <c r="BF214" s="26"/>
      <c r="BG214" s="26"/>
    </row>
    <row r="215" spans="2:59" ht="18.75" x14ac:dyDescent="0.25">
      <c r="B215" s="637" t="s">
        <v>1671</v>
      </c>
      <c r="C215" s="4482" t="s">
        <v>361</v>
      </c>
      <c r="D215" s="4484"/>
      <c r="E215" s="748">
        <f>+E216+E217</f>
        <v>0</v>
      </c>
      <c r="F215" s="748"/>
      <c r="G215" s="748">
        <f>+G216+G217</f>
        <v>14.97</v>
      </c>
      <c r="H215" s="2268"/>
      <c r="I215" s="2268">
        <f t="shared" ref="I215" si="254">+E215+G215</f>
        <v>14.97</v>
      </c>
      <c r="J215" s="748"/>
      <c r="K215" s="748">
        <f>+K216+K217</f>
        <v>0</v>
      </c>
      <c r="L215" s="748"/>
      <c r="M215" s="969">
        <f t="shared" ref="M215" si="255">+E215+G215+K215</f>
        <v>14.97</v>
      </c>
      <c r="N215" s="748"/>
      <c r="O215" s="748">
        <f>+O216+O217</f>
        <v>0</v>
      </c>
      <c r="P215" s="748"/>
      <c r="Q215" s="306">
        <f t="shared" ref="Q215" si="256">+M215+O215</f>
        <v>14.97</v>
      </c>
      <c r="R215" s="4481"/>
      <c r="S215" s="748">
        <f>+S216+S217</f>
        <v>0</v>
      </c>
      <c r="T215" s="748"/>
      <c r="U215" s="306">
        <f t="shared" ref="U215" si="257">+Q215+S215</f>
        <v>14.97</v>
      </c>
      <c r="V215" s="4481"/>
      <c r="W215" s="748">
        <f>+W216+W217</f>
        <v>0</v>
      </c>
      <c r="X215" s="748"/>
      <c r="Y215" s="969">
        <f t="shared" si="192"/>
        <v>0</v>
      </c>
      <c r="Z215" s="3616"/>
      <c r="AA215" s="5198">
        <f t="shared" si="193"/>
        <v>14.97</v>
      </c>
      <c r="AB215" s="4481"/>
      <c r="AC215" s="748">
        <f>+AC216+AC217</f>
        <v>0</v>
      </c>
      <c r="AD215" s="748"/>
      <c r="AE215" s="306">
        <f t="shared" ref="AE215:AE216" si="258">+AA215+AC215</f>
        <v>14.97</v>
      </c>
      <c r="AF215" s="4481"/>
      <c r="AG215" s="748">
        <f>+AG216+AG217</f>
        <v>0</v>
      </c>
      <c r="AH215" s="748"/>
      <c r="AI215" s="306">
        <f t="shared" ref="AI215:AI216" si="259">+AE215+AG215</f>
        <v>14.97</v>
      </c>
      <c r="AJ215" s="4481"/>
      <c r="AK215" s="748">
        <f>+AK216+AK217</f>
        <v>0</v>
      </c>
      <c r="AL215" s="3616"/>
      <c r="AM215" s="969">
        <f t="shared" si="195"/>
        <v>0</v>
      </c>
      <c r="AN215" s="748"/>
      <c r="AO215" s="306">
        <f t="shared" ref="AO215" si="260">AI215+AK215</f>
        <v>14.97</v>
      </c>
      <c r="AP215" s="4481"/>
      <c r="AQ215" s="748">
        <f>+AQ216+AQ217</f>
        <v>0</v>
      </c>
      <c r="AR215" s="748"/>
      <c r="AS215" s="306">
        <f t="shared" ref="AS215" si="261">+AO215+AQ215</f>
        <v>14.97</v>
      </c>
      <c r="AT215" s="4626"/>
      <c r="AU215" s="748">
        <f>+AU216+AU217</f>
        <v>0</v>
      </c>
      <c r="AV215" s="748"/>
      <c r="AW215" s="306">
        <f t="shared" ref="AW215:AW216" si="262">+AS215+AU215</f>
        <v>14.97</v>
      </c>
      <c r="AX215" s="5178"/>
      <c r="AY215" s="748">
        <f>+AY216+AY217</f>
        <v>0</v>
      </c>
      <c r="AZ215" s="3616"/>
      <c r="BA215" s="969">
        <f t="shared" si="196"/>
        <v>0</v>
      </c>
      <c r="BB215" s="3616"/>
      <c r="BC215" s="5198">
        <f t="shared" si="197"/>
        <v>0</v>
      </c>
      <c r="BD215" s="748"/>
      <c r="BE215" s="306">
        <f t="shared" ref="BE215:BE216" si="263">+AW215+AY215</f>
        <v>14.97</v>
      </c>
      <c r="BF215" s="26"/>
      <c r="BG215" s="26"/>
    </row>
    <row r="216" spans="2:59" ht="19.5" thickBot="1" x14ac:dyDescent="0.3">
      <c r="B216" s="4491" t="s">
        <v>1001</v>
      </c>
      <c r="C216" s="1100" t="s">
        <v>361</v>
      </c>
      <c r="D216" s="1100"/>
      <c r="E216" s="273">
        <v>0</v>
      </c>
      <c r="F216" s="273"/>
      <c r="G216" s="273">
        <v>14.97</v>
      </c>
      <c r="H216" s="273"/>
      <c r="I216" s="273">
        <f t="shared" si="175"/>
        <v>14.97</v>
      </c>
      <c r="J216" s="273"/>
      <c r="K216" s="273">
        <v>0</v>
      </c>
      <c r="L216" s="273"/>
      <c r="M216" s="3673">
        <f t="shared" si="190"/>
        <v>14.97</v>
      </c>
      <c r="N216" s="273"/>
      <c r="O216" s="273"/>
      <c r="P216" s="273"/>
      <c r="Q216" s="273">
        <f t="shared" si="172"/>
        <v>14.97</v>
      </c>
      <c r="R216" s="273"/>
      <c r="S216" s="273"/>
      <c r="T216" s="273"/>
      <c r="U216" s="273">
        <f t="shared" si="176"/>
        <v>14.97</v>
      </c>
      <c r="V216" s="273"/>
      <c r="W216" s="273"/>
      <c r="X216" s="273"/>
      <c r="Y216" s="3673">
        <f t="shared" si="192"/>
        <v>0</v>
      </c>
      <c r="Z216" s="3616"/>
      <c r="AA216" s="5199">
        <f t="shared" si="193"/>
        <v>14.97</v>
      </c>
      <c r="AB216" s="4492"/>
      <c r="AC216" s="273"/>
      <c r="AD216" s="273"/>
      <c r="AE216" s="53">
        <f t="shared" si="258"/>
        <v>14.97</v>
      </c>
      <c r="AF216" s="273"/>
      <c r="AG216" s="273"/>
      <c r="AH216" s="273"/>
      <c r="AI216" s="53">
        <f t="shared" si="259"/>
        <v>14.97</v>
      </c>
      <c r="AJ216" s="273"/>
      <c r="AK216" s="273"/>
      <c r="AL216" s="273"/>
      <c r="AM216" s="3673">
        <f t="shared" si="195"/>
        <v>0</v>
      </c>
      <c r="AN216" s="748"/>
      <c r="AO216" s="53">
        <f t="shared" ref="AO216" si="264">AI216+AK216</f>
        <v>14.97</v>
      </c>
      <c r="AP216" s="273"/>
      <c r="AQ216" s="273"/>
      <c r="AR216" s="273"/>
      <c r="AS216" s="53">
        <f t="shared" ref="AS216" si="265">+AO216+AQ216</f>
        <v>14.97</v>
      </c>
      <c r="AT216" s="273"/>
      <c r="AU216" s="273"/>
      <c r="AV216" s="273"/>
      <c r="AW216" s="3121">
        <f t="shared" si="262"/>
        <v>14.97</v>
      </c>
      <c r="AX216" s="273"/>
      <c r="AY216" s="273"/>
      <c r="AZ216" s="273"/>
      <c r="BA216" s="3673">
        <f t="shared" si="196"/>
        <v>0</v>
      </c>
      <c r="BB216" s="3616"/>
      <c r="BC216" s="5199">
        <f t="shared" si="197"/>
        <v>0</v>
      </c>
      <c r="BD216" s="273"/>
      <c r="BE216" s="3121">
        <f t="shared" si="263"/>
        <v>14.97</v>
      </c>
      <c r="BF216" s="26"/>
      <c r="BG216" s="26"/>
    </row>
    <row r="217" spans="2:59" x14ac:dyDescent="0.25">
      <c r="AF217" s="4164"/>
      <c r="AG217" s="4164"/>
      <c r="AH217" s="4164"/>
      <c r="AI217" s="4164"/>
      <c r="AJ217" s="26"/>
      <c r="AP217" s="4399"/>
      <c r="AQ217" s="4399"/>
      <c r="AR217" s="4399"/>
      <c r="AS217" s="4399"/>
    </row>
    <row r="218" spans="2:59" ht="15" x14ac:dyDescent="0.25">
      <c r="E218" s="26"/>
      <c r="F218" s="26"/>
      <c r="G218" s="26"/>
      <c r="H218" s="26"/>
      <c r="I218" s="26"/>
      <c r="J218" s="26"/>
      <c r="K218" s="26"/>
      <c r="L218" s="26"/>
      <c r="M218" s="26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Z218" s="26"/>
      <c r="AA218" s="26"/>
      <c r="AB218" s="26"/>
      <c r="AC218" s="26"/>
      <c r="AD218" s="26"/>
      <c r="AE218" s="26"/>
      <c r="AF218" s="26"/>
      <c r="AG218" s="26"/>
      <c r="AH218" s="26"/>
      <c r="AI218" s="26"/>
      <c r="AJ218" s="26"/>
      <c r="AK218" s="26"/>
      <c r="AL218" s="26"/>
      <c r="AM218" s="26"/>
      <c r="AN218" s="26"/>
      <c r="AO218" s="26"/>
      <c r="AP218" s="26"/>
      <c r="AQ218" s="26"/>
      <c r="AR218" s="26"/>
      <c r="AS218" s="26"/>
      <c r="AT218" s="26"/>
      <c r="AU218" s="26"/>
      <c r="AY218" s="26"/>
      <c r="BA218" s="26"/>
      <c r="BC218" s="26"/>
      <c r="BE218" s="26"/>
    </row>
    <row r="219" spans="2:59" x14ac:dyDescent="0.25">
      <c r="AP219" s="4399"/>
      <c r="AQ219" s="4399"/>
      <c r="AR219" s="4399"/>
      <c r="AS219" s="4399"/>
      <c r="AU219" s="1518"/>
    </row>
  </sheetData>
  <mergeCells count="34">
    <mergeCell ref="AX3:AY3"/>
    <mergeCell ref="BD3:BE3"/>
    <mergeCell ref="AZ3:BA3"/>
    <mergeCell ref="BB3:BC3"/>
    <mergeCell ref="P3:Q3"/>
    <mergeCell ref="AB3:AC3"/>
    <mergeCell ref="V3:W3"/>
    <mergeCell ref="X3:Y3"/>
    <mergeCell ref="AP3:AQ3"/>
    <mergeCell ref="AT3:AU3"/>
    <mergeCell ref="AV3:AW3"/>
    <mergeCell ref="AF3:AG3"/>
    <mergeCell ref="AH3:AI3"/>
    <mergeCell ref="AD3:AE3"/>
    <mergeCell ref="AR3:AS3"/>
    <mergeCell ref="AJ3:AK3"/>
    <mergeCell ref="B2:AA2"/>
    <mergeCell ref="B3:B4"/>
    <mergeCell ref="C3:C4"/>
    <mergeCell ref="D3:E3"/>
    <mergeCell ref="F3:G3"/>
    <mergeCell ref="H3:I3"/>
    <mergeCell ref="J3:K3"/>
    <mergeCell ref="L3:M3"/>
    <mergeCell ref="N3:O3"/>
    <mergeCell ref="R3:S3"/>
    <mergeCell ref="T3:U3"/>
    <mergeCell ref="Z3:AA3"/>
    <mergeCell ref="AL3:AM3"/>
    <mergeCell ref="AN3:AO3"/>
    <mergeCell ref="B183:C183"/>
    <mergeCell ref="B130:C130"/>
    <mergeCell ref="B128:C128"/>
    <mergeCell ref="B113:C113"/>
  </mergeCells>
  <conditionalFormatting sqref="B66:B97">
    <cfRule type="duplicateValues" dxfId="177" priority="1"/>
  </conditionalFormatting>
  <pageMargins left="0.7" right="0.7" top="0.75" bottom="0.75" header="0.3" footer="0.3"/>
  <pageSetup paperSize="9" scale="31" orientation="landscape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tabColor rgb="FFFF6699"/>
    <pageSetUpPr fitToPage="1"/>
  </sheetPr>
  <dimension ref="B2:BF25"/>
  <sheetViews>
    <sheetView workbookViewId="0">
      <pane xSplit="4" ySplit="2" topLeftCell="AY3" activePane="bottomRight" state="frozen"/>
      <selection pane="topRight" activeCell="E1" sqref="E1"/>
      <selection pane="bottomLeft" activeCell="A2" sqref="A2"/>
      <selection pane="bottomRight" activeCell="BF20" sqref="BF20"/>
    </sheetView>
  </sheetViews>
  <sheetFormatPr defaultRowHeight="18.75" x14ac:dyDescent="0.3"/>
  <cols>
    <col min="2" max="2" width="41.7109375" style="658" bestFit="1" customWidth="1"/>
    <col min="3" max="3" width="16.140625" style="658" bestFit="1" customWidth="1"/>
    <col min="4" max="4" width="12.140625" style="3910" customWidth="1"/>
    <col min="5" max="5" width="14.85546875" style="658" customWidth="1"/>
    <col min="6" max="6" width="12.7109375" style="658" customWidth="1"/>
    <col min="7" max="7" width="12.85546875" style="658" customWidth="1"/>
    <col min="8" max="8" width="12.5703125" style="658" customWidth="1"/>
    <col min="9" max="9" width="10.5703125" style="658" hidden="1" customWidth="1"/>
    <col min="10" max="10" width="11.28515625" style="658" hidden="1" customWidth="1"/>
    <col min="11" max="14" width="9.85546875" style="658" customWidth="1"/>
    <col min="15" max="16" width="9.85546875" customWidth="1"/>
    <col min="17" max="18" width="9.85546875" hidden="1" customWidth="1"/>
    <col min="19" max="20" width="9.85546875" customWidth="1"/>
    <col min="21" max="21" width="12" hidden="1" customWidth="1"/>
    <col min="22" max="22" width="11.28515625" hidden="1" customWidth="1"/>
    <col min="23" max="23" width="9.85546875" customWidth="1"/>
    <col min="24" max="25" width="9.85546875" bestFit="1" customWidth="1"/>
    <col min="26" max="26" width="9.85546875" customWidth="1"/>
    <col min="27" max="27" width="15.85546875" customWidth="1"/>
    <col min="28" max="28" width="11.28515625" customWidth="1"/>
    <col min="29" max="30" width="10" bestFit="1" customWidth="1"/>
    <col min="31" max="32" width="11.28515625" hidden="1" customWidth="1"/>
    <col min="33" max="34" width="9.85546875" bestFit="1" customWidth="1"/>
    <col min="35" max="36" width="11.28515625" hidden="1" customWidth="1"/>
    <col min="37" max="40" width="10" bestFit="1" customWidth="1"/>
    <col min="41" max="42" width="11.28515625" hidden="1" customWidth="1"/>
    <col min="43" max="44" width="10" bestFit="1" customWidth="1"/>
    <col min="45" max="46" width="11.28515625" hidden="1" customWidth="1"/>
    <col min="47" max="48" width="10" bestFit="1" customWidth="1"/>
    <col min="49" max="50" width="11.28515625" hidden="1" customWidth="1"/>
    <col min="51" max="52" width="9.85546875" bestFit="1" customWidth="1"/>
    <col min="53" max="54" width="9.85546875" style="5139" customWidth="1"/>
    <col min="55" max="56" width="11.28515625" style="5139" bestFit="1" customWidth="1"/>
    <col min="57" max="58" width="11.28515625" bestFit="1" customWidth="1"/>
  </cols>
  <sheetData>
    <row r="2" spans="2:58" x14ac:dyDescent="0.3">
      <c r="B2" s="6178" t="s">
        <v>1047</v>
      </c>
      <c r="C2" s="6178"/>
      <c r="D2" s="6178"/>
      <c r="E2" s="6178"/>
      <c r="F2" s="6178"/>
      <c r="G2" s="6178"/>
      <c r="H2" s="6178"/>
      <c r="I2" s="6178"/>
      <c r="J2" s="6178"/>
      <c r="K2" s="6178"/>
      <c r="L2" s="6178"/>
      <c r="M2" s="6178"/>
      <c r="N2" s="6178"/>
      <c r="O2" s="6178"/>
      <c r="P2" s="6178"/>
      <c r="Q2" s="6178"/>
      <c r="R2" s="6178"/>
      <c r="S2" s="6178"/>
      <c r="T2" s="6178"/>
      <c r="U2" s="6178"/>
      <c r="V2" s="6178"/>
    </row>
    <row r="3" spans="2:58" ht="19.5" thickBot="1" x14ac:dyDescent="0.35"/>
    <row r="4" spans="2:58" ht="19.5" thickBot="1" x14ac:dyDescent="0.3">
      <c r="B4" s="6179" t="s">
        <v>175</v>
      </c>
      <c r="C4" s="6181" t="s">
        <v>176</v>
      </c>
      <c r="D4" s="6186" t="s">
        <v>1472</v>
      </c>
      <c r="E4" s="6110" t="s">
        <v>1470</v>
      </c>
      <c r="F4" s="6171"/>
      <c r="G4" s="6110" t="s">
        <v>1526</v>
      </c>
      <c r="H4" s="6171"/>
      <c r="I4" s="6183" t="s">
        <v>15</v>
      </c>
      <c r="J4" s="6184"/>
      <c r="K4" s="6110" t="s">
        <v>1621</v>
      </c>
      <c r="L4" s="6110"/>
      <c r="M4" s="6174" t="s">
        <v>662</v>
      </c>
      <c r="N4" s="6175"/>
      <c r="O4" s="6110" t="s">
        <v>1331</v>
      </c>
      <c r="P4" s="6171"/>
      <c r="Q4" s="6185" t="s">
        <v>672</v>
      </c>
      <c r="R4" s="6173"/>
      <c r="S4" s="6110" t="s">
        <v>1731</v>
      </c>
      <c r="T4" s="6171"/>
      <c r="U4" s="6172" t="s">
        <v>866</v>
      </c>
      <c r="V4" s="6173"/>
      <c r="W4" s="6110" t="s">
        <v>1766</v>
      </c>
      <c r="X4" s="6110"/>
      <c r="Y4" s="6174" t="s">
        <v>682</v>
      </c>
      <c r="Z4" s="6175"/>
      <c r="AA4" s="6176" t="s">
        <v>679</v>
      </c>
      <c r="AB4" s="6177"/>
      <c r="AC4" s="6110" t="s">
        <v>1831</v>
      </c>
      <c r="AD4" s="6171"/>
      <c r="AE4" s="6172" t="s">
        <v>1148</v>
      </c>
      <c r="AF4" s="6173"/>
      <c r="AG4" s="6110" t="s">
        <v>1863</v>
      </c>
      <c r="AH4" s="6171"/>
      <c r="AI4" s="6172" t="s">
        <v>1864</v>
      </c>
      <c r="AJ4" s="6173"/>
      <c r="AK4" s="6110" t="s">
        <v>1888</v>
      </c>
      <c r="AL4" s="6110"/>
      <c r="AM4" s="6174" t="s">
        <v>684</v>
      </c>
      <c r="AN4" s="6175"/>
      <c r="AO4" s="6172" t="s">
        <v>1890</v>
      </c>
      <c r="AP4" s="6173"/>
      <c r="AQ4" s="6110" t="s">
        <v>1918</v>
      </c>
      <c r="AR4" s="6171"/>
      <c r="AS4" s="6172" t="s">
        <v>1919</v>
      </c>
      <c r="AT4" s="6173"/>
      <c r="AU4" s="6110" t="s">
        <v>1940</v>
      </c>
      <c r="AV4" s="6171"/>
      <c r="AW4" s="6172" t="s">
        <v>1941</v>
      </c>
      <c r="AX4" s="6173"/>
      <c r="AY4" s="6110" t="s">
        <v>1965</v>
      </c>
      <c r="AZ4" s="6171"/>
      <c r="BA4" s="6174" t="s">
        <v>685</v>
      </c>
      <c r="BB4" s="6175"/>
      <c r="BC4" s="6176" t="s">
        <v>693</v>
      </c>
      <c r="BD4" s="6177"/>
      <c r="BE4" s="6172" t="s">
        <v>1513</v>
      </c>
      <c r="BF4" s="6173"/>
    </row>
    <row r="5" spans="2:58" x14ac:dyDescent="0.25">
      <c r="B5" s="6180"/>
      <c r="C5" s="6182"/>
      <c r="D5" s="6187"/>
      <c r="E5" s="704" t="s">
        <v>177</v>
      </c>
      <c r="F5" s="705" t="s">
        <v>178</v>
      </c>
      <c r="G5" s="704" t="s">
        <v>177</v>
      </c>
      <c r="H5" s="705" t="s">
        <v>178</v>
      </c>
      <c r="I5" s="1515" t="s">
        <v>177</v>
      </c>
      <c r="J5" s="1788" t="s">
        <v>178</v>
      </c>
      <c r="K5" s="704" t="s">
        <v>177</v>
      </c>
      <c r="L5" s="3877" t="s">
        <v>178</v>
      </c>
      <c r="M5" s="3890" t="s">
        <v>177</v>
      </c>
      <c r="N5" s="3891" t="s">
        <v>178</v>
      </c>
      <c r="O5" s="704" t="s">
        <v>177</v>
      </c>
      <c r="P5" s="705" t="s">
        <v>178</v>
      </c>
      <c r="Q5" s="1492" t="s">
        <v>177</v>
      </c>
      <c r="R5" s="1493" t="s">
        <v>178</v>
      </c>
      <c r="S5" s="704" t="s">
        <v>177</v>
      </c>
      <c r="T5" s="705" t="s">
        <v>178</v>
      </c>
      <c r="U5" s="1492" t="s">
        <v>177</v>
      </c>
      <c r="V5" s="1493" t="s">
        <v>178</v>
      </c>
      <c r="W5" s="704" t="s">
        <v>177</v>
      </c>
      <c r="X5" s="3877" t="s">
        <v>178</v>
      </c>
      <c r="Y5" s="3890" t="s">
        <v>177</v>
      </c>
      <c r="Z5" s="3891" t="s">
        <v>178</v>
      </c>
      <c r="AA5" s="3898" t="s">
        <v>177</v>
      </c>
      <c r="AB5" s="3899" t="s">
        <v>178</v>
      </c>
      <c r="AC5" s="704" t="s">
        <v>177</v>
      </c>
      <c r="AD5" s="705" t="s">
        <v>178</v>
      </c>
      <c r="AE5" s="1492" t="s">
        <v>177</v>
      </c>
      <c r="AF5" s="1493" t="s">
        <v>178</v>
      </c>
      <c r="AG5" s="704" t="s">
        <v>177</v>
      </c>
      <c r="AH5" s="705" t="s">
        <v>178</v>
      </c>
      <c r="AI5" s="1492" t="s">
        <v>177</v>
      </c>
      <c r="AJ5" s="1493" t="s">
        <v>178</v>
      </c>
      <c r="AK5" s="704" t="s">
        <v>177</v>
      </c>
      <c r="AL5" s="3877" t="s">
        <v>178</v>
      </c>
      <c r="AM5" s="3890" t="s">
        <v>177</v>
      </c>
      <c r="AN5" s="3891" t="s">
        <v>178</v>
      </c>
      <c r="AO5" s="1492" t="s">
        <v>177</v>
      </c>
      <c r="AP5" s="1493" t="s">
        <v>178</v>
      </c>
      <c r="AQ5" s="704" t="s">
        <v>177</v>
      </c>
      <c r="AR5" s="705" t="s">
        <v>178</v>
      </c>
      <c r="AS5" s="1492" t="s">
        <v>177</v>
      </c>
      <c r="AT5" s="1493" t="s">
        <v>178</v>
      </c>
      <c r="AU5" s="704" t="s">
        <v>177</v>
      </c>
      <c r="AV5" s="705" t="s">
        <v>178</v>
      </c>
      <c r="AW5" s="1492" t="s">
        <v>177</v>
      </c>
      <c r="AX5" s="1493" t="s">
        <v>178</v>
      </c>
      <c r="AY5" s="704" t="s">
        <v>177</v>
      </c>
      <c r="AZ5" s="705" t="s">
        <v>178</v>
      </c>
      <c r="BA5" s="3890" t="s">
        <v>177</v>
      </c>
      <c r="BB5" s="3891" t="s">
        <v>178</v>
      </c>
      <c r="BC5" s="3898" t="s">
        <v>177</v>
      </c>
      <c r="BD5" s="3899" t="s">
        <v>178</v>
      </c>
      <c r="BE5" s="1492" t="s">
        <v>177</v>
      </c>
      <c r="BF5" s="1493" t="s">
        <v>178</v>
      </c>
    </row>
    <row r="6" spans="2:58" x14ac:dyDescent="0.3">
      <c r="B6" s="1789" t="s">
        <v>1002</v>
      </c>
      <c r="C6" s="243" t="s">
        <v>68</v>
      </c>
      <c r="D6" s="6188" t="s">
        <v>1473</v>
      </c>
      <c r="E6" s="298">
        <f>+'B-FCE'!E6</f>
        <v>236000</v>
      </c>
      <c r="F6" s="298">
        <f>+'B-FCE'!F6</f>
        <v>231705</v>
      </c>
      <c r="G6" s="298">
        <f>+'B-FCE'!G6</f>
        <v>197000</v>
      </c>
      <c r="H6" s="298">
        <f>+'B-FCE'!H6</f>
        <v>186324.9</v>
      </c>
      <c r="I6" s="294">
        <f>+'B-FCE'!I6</f>
        <v>433000</v>
      </c>
      <c r="J6" s="250">
        <f>+'B-FCE'!J6</f>
        <v>418029.9</v>
      </c>
      <c r="K6" s="298">
        <f>+'B-FCE'!K6</f>
        <v>201000</v>
      </c>
      <c r="L6" s="3878">
        <f>+'B-FCE'!L6</f>
        <v>213361</v>
      </c>
      <c r="M6" s="1408">
        <f>+'B-FCE'!M6</f>
        <v>634000</v>
      </c>
      <c r="N6" s="296">
        <f>+'B-FCE'!N6</f>
        <v>631390.9</v>
      </c>
      <c r="O6" s="1659">
        <f>+'B-FCE'!O6</f>
        <v>239000</v>
      </c>
      <c r="P6" s="298">
        <f>+'B-FCE'!P6</f>
        <v>245255</v>
      </c>
      <c r="Q6" s="294">
        <f>+'B-FCE'!Q6</f>
        <v>873000</v>
      </c>
      <c r="R6" s="250">
        <f>+'B-FCE'!R6</f>
        <v>876645.9</v>
      </c>
      <c r="S6" s="2562">
        <f>+'B-FCE'!S6</f>
        <v>239000</v>
      </c>
      <c r="T6" s="298">
        <f>+'B-FCE'!T6</f>
        <v>240285</v>
      </c>
      <c r="U6" s="294">
        <f>+'B-FCE'!U6</f>
        <v>1112000</v>
      </c>
      <c r="V6" s="294">
        <f>+'B-FCE'!V6</f>
        <v>1116930.8999999999</v>
      </c>
      <c r="W6" s="3382">
        <f>+'B-FCE'!W6</f>
        <v>232000</v>
      </c>
      <c r="X6" s="3878">
        <f>+'B-FCE'!X6</f>
        <v>229120</v>
      </c>
      <c r="Y6" s="1408">
        <f>+'B-FCE'!Y6</f>
        <v>710000</v>
      </c>
      <c r="Z6" s="296">
        <f>+'B-FCE'!Z6</f>
        <v>714660</v>
      </c>
      <c r="AA6" s="1410">
        <f>+'B-FCE'!AA6</f>
        <v>1344000</v>
      </c>
      <c r="AB6" s="3900">
        <f>+'B-FCE'!AB6</f>
        <v>1346050.9</v>
      </c>
      <c r="AC6" s="4048">
        <f>+'B-FCE'!AC6</f>
        <v>246000</v>
      </c>
      <c r="AD6" s="4048">
        <f>+'B-FCE'!AD6</f>
        <v>243314</v>
      </c>
      <c r="AE6" s="4050">
        <f>+'B-FCE'!AE6</f>
        <v>1590000</v>
      </c>
      <c r="AF6" s="4050">
        <f>+'B-FCE'!AF6</f>
        <v>1589364.9</v>
      </c>
      <c r="AG6" s="4160">
        <f>+'B-FCE'!AG6</f>
        <v>238000</v>
      </c>
      <c r="AH6" s="4160">
        <f>+'B-FCE'!AH6</f>
        <v>206094</v>
      </c>
      <c r="AI6" s="4161">
        <f>+'B-FCE'!AI6</f>
        <v>1828000</v>
      </c>
      <c r="AJ6" s="4161">
        <f>+'B-FCE'!AJ6</f>
        <v>1795458.9</v>
      </c>
      <c r="AK6" s="4276">
        <f>+'B-FCE'!AK6</f>
        <v>247000</v>
      </c>
      <c r="AL6" s="3878">
        <f>+'B-FCE'!AL6</f>
        <v>228212.69999999995</v>
      </c>
      <c r="AM6" s="1408">
        <f>+'B-FCE'!AM6</f>
        <v>731000</v>
      </c>
      <c r="AN6" s="296">
        <f>+'B-FCE'!AN6</f>
        <v>677620.7</v>
      </c>
      <c r="AO6" s="4277">
        <f>+'B-FCE'!AO6</f>
        <v>2075000</v>
      </c>
      <c r="AP6" s="4277">
        <f>+'B-FCE'!AP6</f>
        <v>2023671.5999999999</v>
      </c>
      <c r="AQ6" s="4397">
        <f>+'B-FCE'!AQ6</f>
        <v>247000</v>
      </c>
      <c r="AR6" s="4397">
        <f>+'B-FCE'!AR6</f>
        <v>232525.2</v>
      </c>
      <c r="AS6" s="4394">
        <f>+'B-FCE'!AS6</f>
        <v>2322000</v>
      </c>
      <c r="AT6" s="4394">
        <f>+'B-FCE'!AT6</f>
        <v>2256196.7999999998</v>
      </c>
      <c r="AU6" s="4634">
        <f>+'B-FCE'!AU6</f>
        <v>230000</v>
      </c>
      <c r="AV6" s="4634">
        <f>+'B-FCE'!AV6</f>
        <v>230199.20000000007</v>
      </c>
      <c r="AW6" s="4635">
        <f>+'B-FCE'!AW6</f>
        <v>2552000</v>
      </c>
      <c r="AX6" s="4635">
        <f>+'B-FCE'!AX6</f>
        <v>2486396</v>
      </c>
      <c r="AY6" s="5135">
        <f>+'B-FCE'!AY6</f>
        <v>248000</v>
      </c>
      <c r="AZ6" s="5135">
        <f>+'B-FCE'!AZ6</f>
        <v>234872.10000000003</v>
      </c>
      <c r="BA6" s="3893">
        <f>+'B-FCE'!BA6</f>
        <v>725000</v>
      </c>
      <c r="BB6" s="2360">
        <f>+'B-FCE'!BB6</f>
        <v>697596.50000000012</v>
      </c>
      <c r="BC6" s="3901">
        <f>+'B-FCE'!BC6</f>
        <v>1456000</v>
      </c>
      <c r="BD6" s="3902">
        <f>+'B-FCE'!BD6</f>
        <v>1375217.2000000002</v>
      </c>
      <c r="BE6" s="1513">
        <f>+'B-FCE'!BE6</f>
        <v>2800000</v>
      </c>
      <c r="BF6" s="1513">
        <f>+'B-FCE'!BF6</f>
        <v>2721268.1</v>
      </c>
    </row>
    <row r="7" spans="2:58" x14ac:dyDescent="0.3">
      <c r="B7" s="1790"/>
      <c r="C7" s="900"/>
      <c r="D7" s="6189"/>
      <c r="E7" s="900"/>
      <c r="F7" s="900"/>
      <c r="G7" s="900"/>
      <c r="H7" s="900"/>
      <c r="I7" s="2064"/>
      <c r="J7" s="2065"/>
      <c r="K7" s="900"/>
      <c r="L7" s="3879"/>
      <c r="M7" s="3892"/>
      <c r="N7" s="2359"/>
      <c r="O7" s="3884"/>
      <c r="P7" s="900"/>
      <c r="Q7" s="2430"/>
      <c r="R7" s="2431"/>
      <c r="S7" s="900"/>
      <c r="T7" s="2064"/>
      <c r="U7" s="2064"/>
      <c r="V7" s="2064"/>
      <c r="W7" s="900"/>
      <c r="X7" s="3897"/>
      <c r="Y7" s="3892"/>
      <c r="Z7" s="2359"/>
      <c r="AA7" s="3908"/>
      <c r="AB7" s="3909"/>
      <c r="AC7" s="900"/>
      <c r="AD7" s="2064"/>
      <c r="AE7" s="2064"/>
      <c r="AF7" s="2064"/>
      <c r="AG7" s="900"/>
      <c r="AH7" s="2064"/>
      <c r="AI7" s="2064"/>
      <c r="AJ7" s="2064"/>
      <c r="AK7" s="900"/>
      <c r="AL7" s="3897"/>
      <c r="AM7" s="3892"/>
      <c r="AN7" s="2359"/>
      <c r="AO7" s="2064"/>
      <c r="AP7" s="2064"/>
      <c r="AQ7" s="900"/>
      <c r="AR7" s="2064"/>
      <c r="AS7" s="2064"/>
      <c r="AT7" s="2064"/>
      <c r="AU7" s="900"/>
      <c r="AV7" s="2064"/>
      <c r="AW7" s="2064"/>
      <c r="AX7" s="2064"/>
      <c r="AY7" s="900"/>
      <c r="AZ7" s="2064"/>
      <c r="BA7" s="3892"/>
      <c r="BB7" s="2359"/>
      <c r="BC7" s="3908"/>
      <c r="BD7" s="3909"/>
      <c r="BE7" s="2064"/>
      <c r="BF7" s="2064"/>
    </row>
    <row r="8" spans="2:58" x14ac:dyDescent="0.3">
      <c r="B8" s="1790" t="s">
        <v>1003</v>
      </c>
      <c r="C8" s="243" t="s">
        <v>68</v>
      </c>
      <c r="D8" s="6189"/>
      <c r="E8" s="902">
        <f>+'B-FCE'!E22</f>
        <v>89680</v>
      </c>
      <c r="F8" s="902">
        <f>+'B-FCE'!F22</f>
        <v>91405.30545</v>
      </c>
      <c r="G8" s="902">
        <f>+'B-FCE'!G22</f>
        <v>75254</v>
      </c>
      <c r="H8" s="902">
        <f>+'B-FCE'!H22</f>
        <v>75348.7</v>
      </c>
      <c r="I8" s="1513">
        <f>+'B-FCE'!I22</f>
        <v>164934</v>
      </c>
      <c r="J8" s="1791">
        <f>+'B-FCE'!J22</f>
        <v>166754.00545</v>
      </c>
      <c r="K8" s="902">
        <f>+'B-FCE'!K22</f>
        <v>80400</v>
      </c>
      <c r="L8" s="3880">
        <f>+'B-FCE'!L22</f>
        <v>88737.527000000002</v>
      </c>
      <c r="M8" s="3893">
        <f>+'B-FCE'!M22</f>
        <v>245334</v>
      </c>
      <c r="N8" s="2360">
        <f>+'B-FCE'!N22</f>
        <v>255491.53245</v>
      </c>
      <c r="O8" s="3885">
        <f>+'B-FCE'!O22</f>
        <v>92493</v>
      </c>
      <c r="P8" s="902">
        <f>+'B-FCE'!P22</f>
        <v>95364.012000000002</v>
      </c>
      <c r="Q8" s="1513">
        <f>+'B-FCE'!Q22</f>
        <v>337827</v>
      </c>
      <c r="R8" s="1791">
        <f>+'B-FCE'!R22</f>
        <v>350855.54444999999</v>
      </c>
      <c r="S8" s="902">
        <f>+'B-FCE'!S22</f>
        <v>92493</v>
      </c>
      <c r="T8" s="902">
        <f>+'B-FCE'!T22</f>
        <v>95885.481</v>
      </c>
      <c r="U8" s="1513">
        <f>+'B-FCE'!U22</f>
        <v>430320</v>
      </c>
      <c r="V8" s="1513">
        <f>+'B-FCE'!V22</f>
        <v>446741.02544999996</v>
      </c>
      <c r="W8" s="902">
        <f>+'B-FCE'!W22</f>
        <v>88856</v>
      </c>
      <c r="X8" s="3880">
        <f>+'B-FCE'!X22</f>
        <v>88264.843000000023</v>
      </c>
      <c r="Y8" s="3893">
        <f>+'B-FCE'!Y22</f>
        <v>273842</v>
      </c>
      <c r="Z8" s="2360">
        <f>+'B-FCE'!Z22</f>
        <v>279514.33600000001</v>
      </c>
      <c r="AA8" s="3901">
        <f>+'B-FCE'!AA22</f>
        <v>519176</v>
      </c>
      <c r="AB8" s="3902">
        <f>+'B-FCE'!AB22</f>
        <v>535005.86844999995</v>
      </c>
      <c r="AC8" s="902">
        <f>+'B-FCE'!AC22</f>
        <v>92250</v>
      </c>
      <c r="AD8" s="902">
        <f>+'B-FCE'!AD22</f>
        <v>93470.74</v>
      </c>
      <c r="AE8" s="1513">
        <f>+'B-FCE'!AE22</f>
        <v>611426</v>
      </c>
      <c r="AF8" s="1513">
        <f>+'B-FCE'!AF22</f>
        <v>628476.60844999994</v>
      </c>
      <c r="AG8" s="902">
        <f>+'B-FCE'!AG22</f>
        <v>89250</v>
      </c>
      <c r="AH8" s="902">
        <f>+'B-FCE'!AH22</f>
        <v>84629.112000000008</v>
      </c>
      <c r="AI8" s="1513">
        <f>+'B-FCE'!AI22</f>
        <v>700676</v>
      </c>
      <c r="AJ8" s="1513">
        <f>+'B-FCE'!AJ22</f>
        <v>713105.72044999991</v>
      </c>
      <c r="AK8" s="902">
        <f>+'B-FCE'!AK22</f>
        <v>92625</v>
      </c>
      <c r="AL8" s="3880">
        <f>+'B-FCE'!AL22</f>
        <v>89132.321599999981</v>
      </c>
      <c r="AM8" s="3893">
        <f>+'B-FCE'!AM22</f>
        <v>274125</v>
      </c>
      <c r="AN8" s="2360">
        <f>+'B-FCE'!AN22</f>
        <v>267232.17359999998</v>
      </c>
      <c r="AO8" s="1513">
        <f>+'B-FCE'!AO22</f>
        <v>793301</v>
      </c>
      <c r="AP8" s="1513">
        <f>+'B-FCE'!AP22</f>
        <v>802238.04204999993</v>
      </c>
      <c r="AQ8" s="902">
        <f>+'B-FCE'!AQ22</f>
        <v>92625</v>
      </c>
      <c r="AR8" s="902">
        <f>+'B-FCE'!AR22</f>
        <v>86598.645349999992</v>
      </c>
      <c r="AS8" s="1513">
        <f>+'B-FCE'!AS22</f>
        <v>885926</v>
      </c>
      <c r="AT8" s="1513">
        <f>+'B-FCE'!AT22</f>
        <v>888836.68739999994</v>
      </c>
      <c r="AU8" s="902">
        <f>+'B-FCE'!AU22</f>
        <v>86250</v>
      </c>
      <c r="AV8" s="902">
        <f>+'B-FCE'!AV22</f>
        <v>85601.520100000009</v>
      </c>
      <c r="AW8" s="1513">
        <f>+'B-FCE'!AW22</f>
        <v>972176</v>
      </c>
      <c r="AX8" s="1513">
        <f>+'B-FCE'!AX22</f>
        <v>974438.2074999999</v>
      </c>
      <c r="AY8" s="902">
        <f>+'B-FCE'!AY22</f>
        <v>93000</v>
      </c>
      <c r="AZ8" s="902">
        <f>+'B-FCE'!AZ22</f>
        <v>88250.282849999989</v>
      </c>
      <c r="BA8" s="3893">
        <f>+'B-FCE'!BA22</f>
        <v>271875</v>
      </c>
      <c r="BB8" s="2360">
        <f>+'B-FCE'!BB22</f>
        <v>260450.44829999999</v>
      </c>
      <c r="BC8" s="3901">
        <f>+'B-FCE'!BC22</f>
        <v>546000</v>
      </c>
      <c r="BD8" s="3902">
        <f>+'B-FCE'!BD22</f>
        <v>527682.62189999991</v>
      </c>
      <c r="BE8" s="1513">
        <f>+'B-FCE'!BE22</f>
        <v>1065176</v>
      </c>
      <c r="BF8" s="1513">
        <f>+'B-FCE'!BF22</f>
        <v>1062688.4903499999</v>
      </c>
    </row>
    <row r="9" spans="2:58" x14ac:dyDescent="0.3">
      <c r="B9" s="1790" t="s">
        <v>1004</v>
      </c>
      <c r="C9" s="243" t="s">
        <v>68</v>
      </c>
      <c r="D9" s="6189"/>
      <c r="E9" s="902">
        <f>+'B-FCE'!E23</f>
        <v>7080</v>
      </c>
      <c r="F9" s="902">
        <f>+'B-FCE'!F23</f>
        <v>8686.6204500000003</v>
      </c>
      <c r="G9" s="902">
        <f>+'B-FCE'!G23</f>
        <v>6501</v>
      </c>
      <c r="H9" s="902">
        <f>+'B-FCE'!H23</f>
        <v>7587</v>
      </c>
      <c r="I9" s="1513">
        <f>+'B-FCE'!I23</f>
        <v>13581</v>
      </c>
      <c r="J9" s="1791">
        <f>+'B-FCE'!J23</f>
        <v>16273.62045</v>
      </c>
      <c r="K9" s="902">
        <f>+'B-FCE'!K23</f>
        <v>8040</v>
      </c>
      <c r="L9" s="3880">
        <f>+'B-FCE'!L23</f>
        <v>9099.8909999999996</v>
      </c>
      <c r="M9" s="3893">
        <f>+'B-FCE'!M23</f>
        <v>21621</v>
      </c>
      <c r="N9" s="2360">
        <f>+'B-FCE'!N23</f>
        <v>25373.511449999998</v>
      </c>
      <c r="O9" s="3885">
        <f>+'B-FCE'!O23</f>
        <v>9560</v>
      </c>
      <c r="P9" s="902">
        <f>+'B-FCE'!P23</f>
        <v>11862.025999999998</v>
      </c>
      <c r="Q9" s="1513">
        <f>+'B-FCE'!Q23</f>
        <v>31181</v>
      </c>
      <c r="R9" s="1791">
        <f>+'B-FCE'!R23</f>
        <v>37235.537449999996</v>
      </c>
      <c r="S9" s="902">
        <f>+'B-FCE'!S23</f>
        <v>7887</v>
      </c>
      <c r="T9" s="902">
        <f>+'B-FCE'!T23</f>
        <v>12407.683000000001</v>
      </c>
      <c r="U9" s="1513">
        <f>+'B-FCE'!U23</f>
        <v>39068</v>
      </c>
      <c r="V9" s="1513">
        <f>+'B-FCE'!V23</f>
        <v>49643.220449999993</v>
      </c>
      <c r="W9" s="902">
        <f>+'B-FCE'!W23</f>
        <v>7424</v>
      </c>
      <c r="X9" s="3880">
        <f>+'B-FCE'!X23</f>
        <v>11590.965999999999</v>
      </c>
      <c r="Y9" s="3893">
        <f>+'B-FCE'!Y23</f>
        <v>24871</v>
      </c>
      <c r="Z9" s="2360">
        <f>+'B-FCE'!Z23</f>
        <v>35860.674999999996</v>
      </c>
      <c r="AA9" s="3901">
        <f>+'B-FCE'!AA23</f>
        <v>46492</v>
      </c>
      <c r="AB9" s="3902">
        <f>+'B-FCE'!AB23</f>
        <v>61234.186449999994</v>
      </c>
      <c r="AC9" s="902">
        <f>+'B-FCE'!AC23</f>
        <v>7380</v>
      </c>
      <c r="AD9" s="902">
        <f>+'B-FCE'!AD23</f>
        <v>11969.614</v>
      </c>
      <c r="AE9" s="1513">
        <f>+'B-FCE'!AE23</f>
        <v>53872</v>
      </c>
      <c r="AF9" s="1513">
        <f>+'B-FCE'!AF23</f>
        <v>73203.800449999995</v>
      </c>
      <c r="AG9" s="902">
        <f>+'B-FCE'!AG23</f>
        <v>7140</v>
      </c>
      <c r="AH9" s="902">
        <f>+'B-FCE'!AH23</f>
        <v>10461.449000000001</v>
      </c>
      <c r="AI9" s="1513">
        <f>+'B-FCE'!AI23</f>
        <v>61012</v>
      </c>
      <c r="AJ9" s="1513">
        <f>+'B-FCE'!AJ23</f>
        <v>83665.249450000003</v>
      </c>
      <c r="AK9" s="902">
        <f>+'B-FCE'!AK23</f>
        <v>7410</v>
      </c>
      <c r="AL9" s="3880">
        <f>+'B-FCE'!AL23</f>
        <v>11832.332</v>
      </c>
      <c r="AM9" s="3893">
        <f>+'B-FCE'!AM23</f>
        <v>21930</v>
      </c>
      <c r="AN9" s="2360">
        <f>+'B-FCE'!AN23</f>
        <v>34263.395000000004</v>
      </c>
      <c r="AO9" s="1513">
        <f>+'B-FCE'!AO23</f>
        <v>68422</v>
      </c>
      <c r="AP9" s="1513">
        <f>+'B-FCE'!AP23</f>
        <v>95497.581449999998</v>
      </c>
      <c r="AQ9" s="902">
        <f>+'B-FCE'!AQ23</f>
        <v>7410</v>
      </c>
      <c r="AR9" s="902">
        <f>+'B-FCE'!AR23</f>
        <v>12345.266900000002</v>
      </c>
      <c r="AS9" s="1513">
        <f>+'B-FCE'!AS23</f>
        <v>75832</v>
      </c>
      <c r="AT9" s="1513">
        <f>+'B-FCE'!AT23</f>
        <v>107842.84835</v>
      </c>
      <c r="AU9" s="902">
        <f>+'B-FCE'!AU23</f>
        <v>6900</v>
      </c>
      <c r="AV9" s="902">
        <f>+'B-FCE'!AV23</f>
        <v>10140.301599999997</v>
      </c>
      <c r="AW9" s="1513">
        <f>+'B-FCE'!AW23</f>
        <v>82732</v>
      </c>
      <c r="AX9" s="1513">
        <f>+'B-FCE'!AX23</f>
        <v>117983.14994999999</v>
      </c>
      <c r="AY9" s="902">
        <f>+'B-FCE'!AY23</f>
        <v>7440</v>
      </c>
      <c r="AZ9" s="902">
        <f>+'B-FCE'!AZ23</f>
        <v>10626.56256</v>
      </c>
      <c r="BA9" s="3893">
        <f>+'B-FCE'!BA23</f>
        <v>21750</v>
      </c>
      <c r="BB9" s="2360">
        <f>+'B-FCE'!BB23</f>
        <v>33112.13106</v>
      </c>
      <c r="BC9" s="3901">
        <f>+'B-FCE'!BC23</f>
        <v>43680</v>
      </c>
      <c r="BD9" s="3902">
        <f>+'B-FCE'!BD23</f>
        <v>67375.526060000004</v>
      </c>
      <c r="BE9" s="1513">
        <f>+'B-FCE'!BE23</f>
        <v>90172</v>
      </c>
      <c r="BF9" s="1513">
        <f>+'B-FCE'!BF23</f>
        <v>128609.71251</v>
      </c>
    </row>
    <row r="10" spans="2:58" x14ac:dyDescent="0.3">
      <c r="B10" s="1790" t="s">
        <v>1005</v>
      </c>
      <c r="C10" s="243" t="s">
        <v>68</v>
      </c>
      <c r="D10" s="6189"/>
      <c r="E10" s="902">
        <f>+'B-FCE'!E63</f>
        <v>11231.071428571435</v>
      </c>
      <c r="F10" s="902">
        <f>+'B-FCE'!F63</f>
        <v>11904.0548</v>
      </c>
      <c r="G10" s="902">
        <f>+'B-FCE'!G63</f>
        <v>9489.4196428571595</v>
      </c>
      <c r="H10" s="902">
        <f>+'B-FCE'!H63</f>
        <v>6605.7924999999996</v>
      </c>
      <c r="I10" s="1513">
        <f>+'B-FCE'!I63</f>
        <v>20720.491071428594</v>
      </c>
      <c r="J10" s="1791">
        <f>+'B-FCE'!J63</f>
        <v>18509.847300000001</v>
      </c>
      <c r="K10" s="902">
        <f>+'B-FCE'!K63</f>
        <v>10265.357142857159</v>
      </c>
      <c r="L10" s="3880">
        <f>+'B-FCE'!L63</f>
        <v>10919.314</v>
      </c>
      <c r="M10" s="3893">
        <f>+'B-FCE'!M63</f>
        <v>30985.848214285754</v>
      </c>
      <c r="N10" s="2360">
        <f>+'B-FCE'!N63</f>
        <v>29429.1613</v>
      </c>
      <c r="O10" s="3885">
        <f>+'B-FCE'!O63</f>
        <v>11845.437500000015</v>
      </c>
      <c r="P10" s="902">
        <f>+'B-FCE'!P63</f>
        <v>8255.6941999999999</v>
      </c>
      <c r="Q10" s="1513">
        <f>+'B-FCE'!Q63</f>
        <v>42831.285714285768</v>
      </c>
      <c r="R10" s="1791">
        <f>+'B-FCE'!R63</f>
        <v>37684.855499999998</v>
      </c>
      <c r="S10" s="902">
        <f>+'B-FCE'!S63</f>
        <v>11651.250000000015</v>
      </c>
      <c r="T10" s="902">
        <f>+'B-FCE'!T63</f>
        <v>10230.663700000001</v>
      </c>
      <c r="U10" s="1513">
        <f>+'B-FCE'!U63</f>
        <v>54482.535714285783</v>
      </c>
      <c r="V10" s="1513">
        <f>+'B-FCE'!V63</f>
        <v>47915.519199999995</v>
      </c>
      <c r="W10" s="902">
        <f>+'B-FCE'!W63</f>
        <v>11175.357142857159</v>
      </c>
      <c r="X10" s="3880">
        <f>+'B-FCE'!X63</f>
        <v>8218.5936000000002</v>
      </c>
      <c r="Y10" s="3893">
        <f>+'B-FCE'!Y63</f>
        <v>34672.044642857189</v>
      </c>
      <c r="Z10" s="2360">
        <f>+'B-FCE'!Z63</f>
        <v>26704.951500000003</v>
      </c>
      <c r="AA10" s="3901">
        <f>+'B-FCE'!AA63</f>
        <v>65657.892857142942</v>
      </c>
      <c r="AB10" s="3902">
        <f>+'B-FCE'!AB63</f>
        <v>56134.112800000003</v>
      </c>
      <c r="AC10" s="902">
        <f>+'B-FCE'!AC63</f>
        <v>11564.196428571435</v>
      </c>
      <c r="AD10" s="902">
        <f>+'B-FCE'!AD63</f>
        <v>8860.0969000000005</v>
      </c>
      <c r="AE10" s="1513">
        <f>+'B-FCE'!AE63</f>
        <v>77222.089285714377</v>
      </c>
      <c r="AF10" s="1513">
        <f>+'B-FCE'!AF63</f>
        <v>64994.209700000007</v>
      </c>
      <c r="AG10" s="902">
        <f>+'B-FCE'!AG63</f>
        <v>11188.125000000015</v>
      </c>
      <c r="AH10" s="902">
        <f>+'B-FCE'!AH63</f>
        <v>14124.6801</v>
      </c>
      <c r="AI10" s="1513">
        <f>+'B-FCE'!AI63</f>
        <v>88410.214285714392</v>
      </c>
      <c r="AJ10" s="1513">
        <f>+'B-FCE'!AJ63</f>
        <v>79118.889800000004</v>
      </c>
      <c r="AK10" s="902">
        <f>+'B-FCE'!AK63</f>
        <v>11611.20535714287</v>
      </c>
      <c r="AL10" s="3880">
        <f>+'B-FCE'!AL63</f>
        <v>9079.0815999999995</v>
      </c>
      <c r="AM10" s="3893">
        <f>+'B-FCE'!AM63</f>
        <v>34363.526785714319</v>
      </c>
      <c r="AN10" s="2360">
        <f>+'B-FCE'!AN63</f>
        <v>32063.8586</v>
      </c>
      <c r="AO10" s="1513">
        <f>+'B-FCE'!AO63</f>
        <v>100021.41964285726</v>
      </c>
      <c r="AP10" s="1513">
        <f>+'B-FCE'!AP63</f>
        <v>88197.971400000009</v>
      </c>
      <c r="AQ10" s="902">
        <f>+'B-FCE'!AQ63</f>
        <v>11611.20535714287</v>
      </c>
      <c r="AR10" s="902">
        <f>+'B-FCE'!AR63</f>
        <v>9653.134399999999</v>
      </c>
      <c r="AS10" s="1513">
        <f>+'B-FCE'!AS63</f>
        <v>111632.62500000013</v>
      </c>
      <c r="AT10" s="1513">
        <f>+'B-FCE'!AT63</f>
        <v>97851.105800000005</v>
      </c>
      <c r="AU10" s="902">
        <f>+'B-FCE'!AU63</f>
        <v>10812.05357142858</v>
      </c>
      <c r="AV10" s="902">
        <f>+'B-FCE'!AV63</f>
        <v>9605.8585000000003</v>
      </c>
      <c r="AW10" s="1513">
        <f>+'B-FCE'!AW63</f>
        <v>122444.67857142871</v>
      </c>
      <c r="AX10" s="1513">
        <f>+'B-FCE'!AX63</f>
        <v>107456.96430000001</v>
      </c>
      <c r="AY10" s="902">
        <f>+'B-FCE'!AY63</f>
        <v>11658.214285714304</v>
      </c>
      <c r="AZ10" s="902">
        <f>+'B-FCE'!AZ63</f>
        <v>9869.1389999999992</v>
      </c>
      <c r="BA10" s="3893">
        <f>+'B-FCE'!BA63</f>
        <v>34081.473214285754</v>
      </c>
      <c r="BB10" s="2360">
        <f>+'B-FCE'!BB63</f>
        <v>29128.131899999997</v>
      </c>
      <c r="BC10" s="3901">
        <f>+'B-FCE'!BC63</f>
        <v>68445.000000000073</v>
      </c>
      <c r="BD10" s="3902">
        <f>+'B-FCE'!BD63</f>
        <v>61191.9905</v>
      </c>
      <c r="BE10" s="1513">
        <f>+'B-FCE'!BE63</f>
        <v>134102.89285714302</v>
      </c>
      <c r="BF10" s="1513">
        <f>+'B-FCE'!BF63</f>
        <v>117326.1033</v>
      </c>
    </row>
    <row r="11" spans="2:58" x14ac:dyDescent="0.3">
      <c r="B11" s="1790" t="s">
        <v>1007</v>
      </c>
      <c r="C11" s="243" t="s">
        <v>68</v>
      </c>
      <c r="D11" s="6189"/>
      <c r="E11" s="902">
        <f>+'B-FCE'!E32</f>
        <v>0</v>
      </c>
      <c r="F11" s="902">
        <f>+'B-FCE'!F32</f>
        <v>0</v>
      </c>
      <c r="G11" s="902">
        <f>+'B-FCE'!G32</f>
        <v>1000</v>
      </c>
      <c r="H11" s="902">
        <f>+'B-FCE'!H32</f>
        <v>1918</v>
      </c>
      <c r="I11" s="1513">
        <f>+'B-FCE'!I32</f>
        <v>1000</v>
      </c>
      <c r="J11" s="1791">
        <f>+'B-FCE'!J32</f>
        <v>1918</v>
      </c>
      <c r="K11" s="902">
        <f>+'B-FCE'!K32</f>
        <v>4000</v>
      </c>
      <c r="L11" s="3880">
        <f>+'B-FCE'!L32</f>
        <v>1011</v>
      </c>
      <c r="M11" s="3893">
        <f>+'B-FCE'!M32</f>
        <v>5000</v>
      </c>
      <c r="N11" s="2360">
        <f>+'B-FCE'!N32</f>
        <v>2929</v>
      </c>
      <c r="O11" s="3885">
        <f>+'B-FCE'!O32</f>
        <v>0</v>
      </c>
      <c r="P11" s="902">
        <f>+'B-FCE'!P32</f>
        <v>975</v>
      </c>
      <c r="Q11" s="1513">
        <f>+'B-FCE'!Q32</f>
        <v>5000</v>
      </c>
      <c r="R11" s="1791">
        <f>+'B-FCE'!R32</f>
        <v>3904</v>
      </c>
      <c r="S11" s="902">
        <f>+'B-FCE'!S32</f>
        <v>0</v>
      </c>
      <c r="T11" s="902">
        <f>+'B-FCE'!T32</f>
        <v>0</v>
      </c>
      <c r="U11" s="1513">
        <f>+'B-FCE'!U32</f>
        <v>5000</v>
      </c>
      <c r="V11" s="1513">
        <f>+'B-FCE'!V32</f>
        <v>3904</v>
      </c>
      <c r="W11" s="902">
        <f>+'B-FCE'!W32</f>
        <v>0</v>
      </c>
      <c r="X11" s="3880">
        <f>+'B-FCE'!X32</f>
        <v>0</v>
      </c>
      <c r="Y11" s="3893">
        <f>+'B-FCE'!Y32</f>
        <v>0</v>
      </c>
      <c r="Z11" s="2360">
        <f>+'B-FCE'!Z32</f>
        <v>975</v>
      </c>
      <c r="AA11" s="3901">
        <f>+'B-FCE'!AA32</f>
        <v>5000</v>
      </c>
      <c r="AB11" s="3902">
        <f>+'B-FCE'!AB32</f>
        <v>3904</v>
      </c>
      <c r="AC11" s="902">
        <f>+'B-FCE'!AC32</f>
        <v>0</v>
      </c>
      <c r="AD11" s="902">
        <f>+'B-FCE'!AD32</f>
        <v>0</v>
      </c>
      <c r="AE11" s="1513">
        <f>+'B-FCE'!AE32</f>
        <v>5000</v>
      </c>
      <c r="AF11" s="1513">
        <f>+'B-FCE'!AF32</f>
        <v>3904</v>
      </c>
      <c r="AG11" s="902">
        <f>+'B-FCE'!AG32</f>
        <v>0</v>
      </c>
      <c r="AH11" s="902">
        <f>+'B-FCE'!AH32</f>
        <v>0</v>
      </c>
      <c r="AI11" s="1513">
        <f>+'B-FCE'!AI32</f>
        <v>5000</v>
      </c>
      <c r="AJ11" s="1513">
        <f>+'B-FCE'!AJ32</f>
        <v>3904</v>
      </c>
      <c r="AK11" s="902">
        <f>+'B-FCE'!AK32</f>
        <v>0</v>
      </c>
      <c r="AL11" s="3880">
        <f>+'B-FCE'!AL32</f>
        <v>0</v>
      </c>
      <c r="AM11" s="3893">
        <f>+'B-FCE'!AM32</f>
        <v>0</v>
      </c>
      <c r="AN11" s="2360">
        <f>+'B-FCE'!AN32</f>
        <v>0</v>
      </c>
      <c r="AO11" s="1513">
        <f>+'B-FCE'!AO32</f>
        <v>5000</v>
      </c>
      <c r="AP11" s="1513">
        <f>+'B-FCE'!AP32</f>
        <v>3904</v>
      </c>
      <c r="AQ11" s="902">
        <f>+'B-FCE'!AQ32</f>
        <v>0</v>
      </c>
      <c r="AR11" s="902">
        <f>+'B-FCE'!AR32</f>
        <v>1000</v>
      </c>
      <c r="AS11" s="1513">
        <f>+'B-FCE'!AS32</f>
        <v>5000</v>
      </c>
      <c r="AT11" s="1513">
        <f>+'B-FCE'!AT32</f>
        <v>4904</v>
      </c>
      <c r="AU11" s="902">
        <f>+'B-FCE'!AU32</f>
        <v>0</v>
      </c>
      <c r="AV11" s="902">
        <f>+'B-FCE'!AV32</f>
        <v>0</v>
      </c>
      <c r="AW11" s="1513">
        <f>+'B-FCE'!AW32</f>
        <v>5000</v>
      </c>
      <c r="AX11" s="1513">
        <f>+'B-FCE'!AX32</f>
        <v>4904</v>
      </c>
      <c r="AY11" s="902">
        <f>+'B-FCE'!AY32</f>
        <v>0</v>
      </c>
      <c r="AZ11" s="902">
        <f>+'B-FCE'!AZ32</f>
        <v>0</v>
      </c>
      <c r="BA11" s="3893">
        <f>+'B-FCE'!BA32</f>
        <v>0</v>
      </c>
      <c r="BB11" s="2360">
        <f>+'B-FCE'!BB32</f>
        <v>1000</v>
      </c>
      <c r="BC11" s="3901">
        <f>+'B-FCE'!BC32</f>
        <v>0</v>
      </c>
      <c r="BD11" s="3902">
        <f>+'B-FCE'!BD32</f>
        <v>1000</v>
      </c>
      <c r="BE11" s="1513">
        <f>+'B-FCE'!BE32</f>
        <v>5000</v>
      </c>
      <c r="BF11" s="1513">
        <f>+'B-FCE'!BF32</f>
        <v>4904</v>
      </c>
    </row>
    <row r="12" spans="2:58" x14ac:dyDescent="0.3">
      <c r="B12" s="1790" t="s">
        <v>1006</v>
      </c>
      <c r="C12" s="243" t="s">
        <v>68</v>
      </c>
      <c r="D12" s="6189"/>
      <c r="E12" s="902">
        <f t="shared" ref="E12:AB12" si="0">SUM(E8:E11)</f>
        <v>107991.07142857143</v>
      </c>
      <c r="F12" s="902">
        <f t="shared" si="0"/>
        <v>111995.9807</v>
      </c>
      <c r="G12" s="902">
        <f t="shared" ref="G12:H12" si="1">SUM(G8:G11)</f>
        <v>92244.419642857159</v>
      </c>
      <c r="H12" s="902">
        <f t="shared" si="1"/>
        <v>91459.492499999993</v>
      </c>
      <c r="I12" s="1513">
        <f t="shared" si="0"/>
        <v>200235.49107142858</v>
      </c>
      <c r="J12" s="1791">
        <f t="shared" si="0"/>
        <v>203455.47319999998</v>
      </c>
      <c r="K12" s="902">
        <f t="shared" ref="K12:L12" si="2">SUM(K8:K11)</f>
        <v>102705.35714285716</v>
      </c>
      <c r="L12" s="3880">
        <f t="shared" si="2"/>
        <v>109767.732</v>
      </c>
      <c r="M12" s="3893">
        <f t="shared" ref="M12:P12" si="3">SUM(M8:M11)</f>
        <v>302940.84821428574</v>
      </c>
      <c r="N12" s="2360">
        <f t="shared" si="3"/>
        <v>313223.20519999997</v>
      </c>
      <c r="O12" s="3885">
        <f t="shared" si="3"/>
        <v>113898.43750000001</v>
      </c>
      <c r="P12" s="902">
        <f t="shared" si="3"/>
        <v>116456.7322</v>
      </c>
      <c r="Q12" s="1513">
        <f t="shared" ref="Q12:S12" si="4">SUM(Q8:Q11)</f>
        <v>416839.2857142858</v>
      </c>
      <c r="R12" s="1791">
        <f t="shared" si="4"/>
        <v>429679.9374</v>
      </c>
      <c r="S12" s="902">
        <f t="shared" si="4"/>
        <v>112031.25000000001</v>
      </c>
      <c r="T12" s="902">
        <f t="shared" si="0"/>
        <v>118523.82770000001</v>
      </c>
      <c r="U12" s="1513">
        <f t="shared" si="0"/>
        <v>528870.5357142858</v>
      </c>
      <c r="V12" s="1513">
        <f t="shared" si="0"/>
        <v>548203.76509999996</v>
      </c>
      <c r="W12" s="902">
        <f t="shared" ref="W12" si="5">SUM(W8:W11)</f>
        <v>107455.35714285716</v>
      </c>
      <c r="X12" s="3880">
        <f t="shared" ref="X12" si="6">SUM(X8:X11)</f>
        <v>108074.40260000003</v>
      </c>
      <c r="Y12" s="3893">
        <f t="shared" ref="Y12:Z12" si="7">SUM(Y8:Y11)</f>
        <v>333385.04464285716</v>
      </c>
      <c r="Z12" s="2360">
        <f t="shared" si="7"/>
        <v>343054.96250000002</v>
      </c>
      <c r="AA12" s="3901">
        <f t="shared" si="0"/>
        <v>636325.89285714296</v>
      </c>
      <c r="AB12" s="3902">
        <f t="shared" si="0"/>
        <v>656278.16769999999</v>
      </c>
      <c r="AC12" s="902">
        <f t="shared" ref="AC12" si="8">SUM(AC8:AC11)</f>
        <v>111194.19642857143</v>
      </c>
      <c r="AD12" s="902">
        <f t="shared" ref="AD12:AG12" si="9">SUM(AD8:AD11)</f>
        <v>114300.45090000001</v>
      </c>
      <c r="AE12" s="1513">
        <f t="shared" si="9"/>
        <v>747520.08928571432</v>
      </c>
      <c r="AF12" s="1513">
        <f t="shared" si="9"/>
        <v>770578.61859999993</v>
      </c>
      <c r="AG12" s="902">
        <f t="shared" si="9"/>
        <v>107578.12500000001</v>
      </c>
      <c r="AH12" s="902">
        <f t="shared" ref="AH12:AN12" si="10">SUM(AH8:AH11)</f>
        <v>109215.24110000001</v>
      </c>
      <c r="AI12" s="1513">
        <f t="shared" si="10"/>
        <v>855098.21428571444</v>
      </c>
      <c r="AJ12" s="1513">
        <f t="shared" si="10"/>
        <v>879793.85969999991</v>
      </c>
      <c r="AK12" s="902">
        <f t="shared" si="10"/>
        <v>111646.20535714287</v>
      </c>
      <c r="AL12" s="3880">
        <f t="shared" si="10"/>
        <v>110043.73519999998</v>
      </c>
      <c r="AM12" s="3893">
        <f t="shared" si="10"/>
        <v>330418.52678571432</v>
      </c>
      <c r="AN12" s="2360">
        <f t="shared" si="10"/>
        <v>333559.42719999998</v>
      </c>
      <c r="AO12" s="1513">
        <f t="shared" ref="AO12:AT12" si="11">SUM(AO8:AO11)</f>
        <v>966744.41964285728</v>
      </c>
      <c r="AP12" s="1513">
        <f t="shared" si="11"/>
        <v>989837.59490000003</v>
      </c>
      <c r="AQ12" s="902">
        <f t="shared" si="11"/>
        <v>111646.20535714287</v>
      </c>
      <c r="AR12" s="902">
        <f t="shared" si="11"/>
        <v>109597.04664999999</v>
      </c>
      <c r="AS12" s="1513">
        <f t="shared" si="11"/>
        <v>1078390.6250000002</v>
      </c>
      <c r="AT12" s="1513">
        <f t="shared" si="11"/>
        <v>1099434.6415499998</v>
      </c>
      <c r="AU12" s="902">
        <f t="shared" ref="AU12:AX12" si="12">SUM(AU8:AU11)</f>
        <v>103962.05357142858</v>
      </c>
      <c r="AV12" s="902">
        <f t="shared" si="12"/>
        <v>105347.6802</v>
      </c>
      <c r="AW12" s="1513">
        <f t="shared" si="12"/>
        <v>1182352.6785714286</v>
      </c>
      <c r="AX12" s="1513">
        <f t="shared" si="12"/>
        <v>1204782.3217500001</v>
      </c>
      <c r="AY12" s="902">
        <f t="shared" ref="AY12:BF12" si="13">SUM(AY8:AY11)</f>
        <v>112098.2142857143</v>
      </c>
      <c r="AZ12" s="902">
        <f t="shared" si="13"/>
        <v>108745.98440999999</v>
      </c>
      <c r="BA12" s="3893">
        <f t="shared" si="13"/>
        <v>327706.47321428574</v>
      </c>
      <c r="BB12" s="2360">
        <f t="shared" si="13"/>
        <v>323690.71125999995</v>
      </c>
      <c r="BC12" s="3901">
        <f t="shared" ref="BC12:BD12" si="14">SUM(BC8:BC11)</f>
        <v>658125.00000000012</v>
      </c>
      <c r="BD12" s="3902">
        <f t="shared" si="14"/>
        <v>657250.13845999993</v>
      </c>
      <c r="BE12" s="1513">
        <f t="shared" si="13"/>
        <v>1294450.892857143</v>
      </c>
      <c r="BF12" s="1513">
        <f t="shared" si="13"/>
        <v>1313528.3061599999</v>
      </c>
    </row>
    <row r="13" spans="2:58" x14ac:dyDescent="0.3">
      <c r="B13" s="1790" t="s">
        <v>871</v>
      </c>
      <c r="C13" s="901" t="s">
        <v>51</v>
      </c>
      <c r="D13" s="6189"/>
      <c r="E13" s="903">
        <f>+'Maj Techno Summ'!E5</f>
        <v>69.500000000000028</v>
      </c>
      <c r="F13" s="903">
        <f>+'Maj Techno Summ'!F5</f>
        <v>69.415591419212731</v>
      </c>
      <c r="G13" s="903">
        <f>+'Maj Techno Summ'!G5</f>
        <v>69.500000000000028</v>
      </c>
      <c r="H13" s="903">
        <f>+'Maj Techno Summ'!H5</f>
        <v>68.896667164199783</v>
      </c>
      <c r="I13" s="1514">
        <f>+'Maj Techno Summ'!I5</f>
        <v>69.500000000000028</v>
      </c>
      <c r="J13" s="1792">
        <f>+'Maj Techno Summ'!J5</f>
        <v>69.160170757866794</v>
      </c>
      <c r="K13" s="903">
        <f>+'Maj Techno Summ'!K5</f>
        <v>69.500000000000028</v>
      </c>
      <c r="L13" s="3881">
        <f>+'Maj Techno Summ'!L5</f>
        <v>69.391251476390337</v>
      </c>
      <c r="M13" s="3894">
        <f>+'Maj Techno Summ'!M5</f>
        <v>69.500000000000028</v>
      </c>
      <c r="N13" s="2361">
        <f>+'Maj Techno Summ'!N5</f>
        <v>69.235834832038222</v>
      </c>
      <c r="O13" s="3886">
        <f>+'Maj Techno Summ'!O5</f>
        <v>69.500000000000028</v>
      </c>
      <c r="P13" s="903">
        <f>+'Maj Techno Summ'!P5</f>
        <v>69.415356426198059</v>
      </c>
      <c r="Q13" s="1514">
        <f>+'Maj Techno Summ'!Q5</f>
        <v>69.500000000000028</v>
      </c>
      <c r="R13" s="1792">
        <f>+'Maj Techno Summ'!R5</f>
        <v>69.281895884883838</v>
      </c>
      <c r="S13" s="903">
        <f>+'Maj Techno Summ'!S5</f>
        <v>69.500000000000028</v>
      </c>
      <c r="T13" s="903">
        <f>+'Maj Techno Summ'!T5</f>
        <v>69.400838328344562</v>
      </c>
      <c r="U13" s="1514">
        <f>+'Maj Techno Summ'!U5</f>
        <v>69.500000000000028</v>
      </c>
      <c r="V13" s="1514">
        <f>+'Maj Techno Summ'!V5</f>
        <v>69.306084510846134</v>
      </c>
      <c r="W13" s="903">
        <f>+'Maj Techno Summ'!W5</f>
        <v>69.500000000000028</v>
      </c>
      <c r="X13" s="3881">
        <f>+'Maj Techno Summ'!X5</f>
        <v>69.384090190185219</v>
      </c>
      <c r="Y13" s="3894">
        <f>+'Maj Techno Summ'!Y5</f>
        <v>69.500000000000028</v>
      </c>
      <c r="Z13" s="2361">
        <f>+'Maj Techno Summ'!Z5</f>
        <v>69.400246556413975</v>
      </c>
      <c r="AA13" s="3903">
        <f>+'Maj Techno Summ'!AA5</f>
        <v>69.500000000000028</v>
      </c>
      <c r="AB13" s="3904">
        <f>+'Maj Techno Summ'!AB5</f>
        <v>69.319009935713908</v>
      </c>
      <c r="AC13" s="903">
        <f>+'Maj Techno Summ'!AC5</f>
        <v>69.500000000000028</v>
      </c>
      <c r="AD13" s="903">
        <f>+'Maj Techno Summ'!AD5</f>
        <v>69.402611365522247</v>
      </c>
      <c r="AE13" s="1514">
        <f>+'Maj Techno Summ'!AE5</f>
        <v>69.500000000000028</v>
      </c>
      <c r="AF13" s="1514">
        <f>+'Maj Techno Summ'!AF5</f>
        <v>69.331423841153878</v>
      </c>
      <c r="AG13" s="903">
        <f>+'Maj Techno Summ'!AG5</f>
        <v>69.500000000000028</v>
      </c>
      <c r="AH13" s="903">
        <f>+'Maj Techno Summ'!AH5</f>
        <v>69.880571416294245</v>
      </c>
      <c r="AI13" s="1514">
        <f>+'Maj Techno Summ'!AI5</f>
        <v>69.500000000000028</v>
      </c>
      <c r="AJ13" s="1514">
        <f>+'Maj Techno Summ'!AJ5</f>
        <v>69.40012905214877</v>
      </c>
      <c r="AK13" s="903">
        <f>+'Maj Techno Summ'!AK5</f>
        <v>69.500000000000028</v>
      </c>
      <c r="AL13" s="3881">
        <f>+'Maj Techno Summ'!AL5</f>
        <v>69.394648812986517</v>
      </c>
      <c r="AM13" s="3894">
        <f>+'Maj Techno Summ'!AM5</f>
        <v>69.500000000000028</v>
      </c>
      <c r="AN13" s="2361">
        <f>+'Maj Techno Summ'!AN5</f>
        <v>69.554701659143021</v>
      </c>
      <c r="AO13" s="1514">
        <f>+'Maj Techno Summ'!AO5</f>
        <v>69.500000000000028</v>
      </c>
      <c r="AP13" s="1514">
        <f>+'Maj Techno Summ'!AP5</f>
        <v>69.399493084539287</v>
      </c>
      <c r="AQ13" s="903">
        <f>+'Maj Techno Summ'!AQ5</f>
        <v>69.500000000000028</v>
      </c>
      <c r="AR13" s="4617">
        <f>+'Maj Techno Summ'!AR5</f>
        <v>69.388274921065303</v>
      </c>
      <c r="AS13" s="1514">
        <f>+'Maj Techno Summ'!AS5</f>
        <v>69.500000000000028</v>
      </c>
      <c r="AT13" s="1514">
        <f>+'Maj Techno Summ'!AT5</f>
        <v>69.398329000162505</v>
      </c>
      <c r="AU13" s="903">
        <f>+'Maj Techno Summ'!AU5</f>
        <v>69.500000000000028</v>
      </c>
      <c r="AV13" s="4617">
        <f>+'Maj Techno Summ'!AV5</f>
        <v>69.39593347201658</v>
      </c>
      <c r="AW13" s="1514">
        <f>+'Maj Techno Summ'!AW5</f>
        <v>69.500000000000028</v>
      </c>
      <c r="AX13" s="1514">
        <f>+'Maj Techno Summ'!AX5</f>
        <v>69.398116749432091</v>
      </c>
      <c r="AY13" s="903">
        <f>+'Maj Techno Summ'!AY5</f>
        <v>69.500000000000028</v>
      </c>
      <c r="AZ13" s="903">
        <f>+'Maj Techno Summ'!AZ5</f>
        <v>69.397095888100608</v>
      </c>
      <c r="BA13" s="3894">
        <f>+'Maj Techno Summ'!BA5</f>
        <v>69.500000000000028</v>
      </c>
      <c r="BB13" s="2361">
        <f>+'Maj Techno Summ'!BB5</f>
        <v>69.393721920410272</v>
      </c>
      <c r="BC13" s="3903">
        <f>+'Maj Techno Summ'!BC5</f>
        <v>69.500000000000028</v>
      </c>
      <c r="BD13" s="3904">
        <f>+'Maj Techno Summ'!BD5</f>
        <v>69.474377287146282</v>
      </c>
      <c r="BE13" s="1514">
        <f>+'Maj Techno Summ'!BE5</f>
        <v>69.500000000000028</v>
      </c>
      <c r="BF13" s="1514">
        <f>+'Maj Techno Summ'!BF5</f>
        <v>69.398028518298972</v>
      </c>
    </row>
    <row r="14" spans="2:58" x14ac:dyDescent="0.3">
      <c r="B14" s="1790" t="s">
        <v>872</v>
      </c>
      <c r="C14" s="243" t="s">
        <v>68</v>
      </c>
      <c r="D14" s="6189"/>
      <c r="E14" s="902">
        <f t="shared" ref="E14:AC14" si="15">+E12*100/E13</f>
        <v>155382.8365878725</v>
      </c>
      <c r="F14" s="902">
        <f t="shared" si="15"/>
        <v>161341.24684415199</v>
      </c>
      <c r="G14" s="902">
        <f t="shared" ref="G14:H14" si="16">+G12*100/G13</f>
        <v>132725.78365878723</v>
      </c>
      <c r="H14" s="902">
        <f t="shared" si="16"/>
        <v>132748.7907100452</v>
      </c>
      <c r="I14" s="1513">
        <f t="shared" si="15"/>
        <v>288108.62024665973</v>
      </c>
      <c r="J14" s="1791">
        <f t="shared" si="15"/>
        <v>294180.11981535982</v>
      </c>
      <c r="K14" s="902">
        <f t="shared" si="15"/>
        <v>147777.49229188074</v>
      </c>
      <c r="L14" s="3880">
        <f t="shared" si="15"/>
        <v>158186.70173047297</v>
      </c>
      <c r="M14" s="3893">
        <f t="shared" ref="M14:P14" si="17">+M12*100/M13</f>
        <v>435886.11253854044</v>
      </c>
      <c r="N14" s="2360">
        <f t="shared" si="17"/>
        <v>452400.41657598229</v>
      </c>
      <c r="O14" s="3885">
        <f t="shared" si="17"/>
        <v>163882.64388489205</v>
      </c>
      <c r="P14" s="902">
        <f t="shared" si="17"/>
        <v>167767.96691063026</v>
      </c>
      <c r="Q14" s="1513">
        <f t="shared" ref="Q14:S14" si="18">+Q12*100/Q13</f>
        <v>599768.75642343261</v>
      </c>
      <c r="R14" s="1791">
        <f t="shared" si="18"/>
        <v>620190.78997771628</v>
      </c>
      <c r="S14" s="902">
        <f t="shared" si="18"/>
        <v>161196.04316546759</v>
      </c>
      <c r="T14" s="902">
        <f t="shared" si="15"/>
        <v>170781.55041765934</v>
      </c>
      <c r="U14" s="1513">
        <f t="shared" si="15"/>
        <v>760964.79958890018</v>
      </c>
      <c r="V14" s="1513">
        <f t="shared" si="15"/>
        <v>790989.37556371151</v>
      </c>
      <c r="W14" s="902">
        <f t="shared" si="15"/>
        <v>154612.02466598147</v>
      </c>
      <c r="X14" s="3880">
        <f t="shared" ref="X14:Z14" si="19">+X12*100/X13</f>
        <v>155762.51314063894</v>
      </c>
      <c r="Y14" s="3893">
        <f t="shared" si="19"/>
        <v>479690.71171634103</v>
      </c>
      <c r="Z14" s="2360">
        <f t="shared" si="19"/>
        <v>494313.75178348675</v>
      </c>
      <c r="AA14" s="3901">
        <f t="shared" si="15"/>
        <v>915576.82425488159</v>
      </c>
      <c r="AB14" s="3902">
        <f t="shared" si="15"/>
        <v>946750.63638189435</v>
      </c>
      <c r="AC14" s="902">
        <f t="shared" si="15"/>
        <v>159991.6495375128</v>
      </c>
      <c r="AD14" s="902">
        <f t="shared" ref="AD14:AG14" si="20">+AD12*100/AD13</f>
        <v>164691.85906855093</v>
      </c>
      <c r="AE14" s="1513">
        <f t="shared" si="20"/>
        <v>1075568.4737923944</v>
      </c>
      <c r="AF14" s="1513">
        <f t="shared" si="20"/>
        <v>1111442.0790859316</v>
      </c>
      <c r="AG14" s="902">
        <f t="shared" si="20"/>
        <v>154788.66906474816</v>
      </c>
      <c r="AH14" s="902">
        <f t="shared" ref="AH14:AQ14" si="21">+AH12*100/AH13</f>
        <v>156288.42020964643</v>
      </c>
      <c r="AI14" s="1513">
        <f t="shared" si="21"/>
        <v>1230357.1428571427</v>
      </c>
      <c r="AJ14" s="1513">
        <f t="shared" si="21"/>
        <v>1267712.1378821987</v>
      </c>
      <c r="AK14" s="902">
        <f t="shared" si="21"/>
        <v>160642.02209660839</v>
      </c>
      <c r="AL14" s="3880">
        <f t="shared" si="21"/>
        <v>158576.68722635915</v>
      </c>
      <c r="AM14" s="3893">
        <f t="shared" si="21"/>
        <v>475422.34069886932</v>
      </c>
      <c r="AN14" s="2360">
        <f t="shared" si="21"/>
        <v>479564.16927014932</v>
      </c>
      <c r="AO14" s="1513">
        <f t="shared" si="21"/>
        <v>1390999.164953751</v>
      </c>
      <c r="AP14" s="1513">
        <f t="shared" si="21"/>
        <v>1426289.37317197</v>
      </c>
      <c r="AQ14" s="902">
        <f t="shared" si="21"/>
        <v>160642.02209660839</v>
      </c>
      <c r="AR14" s="902">
        <f t="shared" ref="AR14:AU14" si="22">+AR12*100/AR13</f>
        <v>157947.50161273699</v>
      </c>
      <c r="AS14" s="1513">
        <f t="shared" si="22"/>
        <v>1551641.1870503596</v>
      </c>
      <c r="AT14" s="1513">
        <f t="shared" si="22"/>
        <v>1584237.9166614017</v>
      </c>
      <c r="AU14" s="902">
        <f t="shared" si="22"/>
        <v>149585.68859198352</v>
      </c>
      <c r="AV14" s="902">
        <f t="shared" ref="AV14:AY14" si="23">+AV12*100/AV13</f>
        <v>151806.70527687433</v>
      </c>
      <c r="AW14" s="1513">
        <f t="shared" si="23"/>
        <v>1701226.8756423427</v>
      </c>
      <c r="AX14" s="1513">
        <f t="shared" si="23"/>
        <v>1736044.6913854608</v>
      </c>
      <c r="AY14" s="902">
        <f t="shared" si="23"/>
        <v>161292.39465570397</v>
      </c>
      <c r="AZ14" s="902">
        <f t="shared" ref="AZ14:BF14" si="24">+AZ12*100/AZ13</f>
        <v>156701.05934309922</v>
      </c>
      <c r="BA14" s="3893">
        <f t="shared" si="24"/>
        <v>471520.10534429585</v>
      </c>
      <c r="BB14" s="2360">
        <f t="shared" si="24"/>
        <v>466455.32521119196</v>
      </c>
      <c r="BC14" s="3901">
        <f t="shared" si="24"/>
        <v>946942.44604316528</v>
      </c>
      <c r="BD14" s="3902">
        <f t="shared" si="24"/>
        <v>946032.42824833537</v>
      </c>
      <c r="BE14" s="1513">
        <f t="shared" si="24"/>
        <v>1862519.2702980468</v>
      </c>
      <c r="BF14" s="1513">
        <f t="shared" si="24"/>
        <v>1892745.8520145812</v>
      </c>
    </row>
    <row r="15" spans="2:58" x14ac:dyDescent="0.3">
      <c r="B15" s="1790" t="s">
        <v>873</v>
      </c>
      <c r="C15" s="243" t="s">
        <v>68</v>
      </c>
      <c r="D15" s="6189"/>
      <c r="E15" s="902">
        <f>+E14*100/(100-'COKE OVENS'!E190)</f>
        <v>169692.86104285921</v>
      </c>
      <c r="F15" s="902">
        <f>+F14*100/(100-'COKE OVENS'!F190)</f>
        <v>176129.91235264632</v>
      </c>
      <c r="G15" s="902">
        <f>+G14*100/(100-'COKE OVENS'!G190)</f>
        <v>144949.20068265151</v>
      </c>
      <c r="H15" s="902">
        <f>+H14*100/(100-'COKE OVENS'!H190)</f>
        <v>144828.19573574775</v>
      </c>
      <c r="I15" s="1513">
        <f>+I14*100/(100-'COKE OVENS'!I190)</f>
        <v>314642.06172551069</v>
      </c>
      <c r="J15" s="1791">
        <f>+J14*100/(100-'COKE OVENS'!J190)</f>
        <v>321047.26045031822</v>
      </c>
      <c r="K15" s="902">
        <f>+K14*100/(100-'COKE OVENS'!K190)</f>
        <v>161387.10050235712</v>
      </c>
      <c r="L15" s="3880">
        <f>+L14*100/(100-'COKE OVENS'!L190)</f>
        <v>172550.18136956394</v>
      </c>
      <c r="M15" s="3893">
        <f>+M14*100/(100-'COKE OVENS'!M190)</f>
        <v>476029.16222786781</v>
      </c>
      <c r="N15" s="2360">
        <f>+N14*100/(100-'COKE OVENS'!N190)</f>
        <v>493639.19190378446</v>
      </c>
      <c r="O15" s="3885">
        <f>+O14*100/(100-'COKE OVENS'!O190)</f>
        <v>178975.46039692964</v>
      </c>
      <c r="P15" s="902">
        <f>+P14*100/(100-'COKE OVENS'!P190)</f>
        <v>183699.63701416549</v>
      </c>
      <c r="Q15" s="1513">
        <f>+Q14*100/(100-'COKE OVENS'!Q190)</f>
        <v>655004.62262479763</v>
      </c>
      <c r="R15" s="1791">
        <f>+R14*100/(100-'COKE OVENS'!R190)</f>
        <v>677331.89786939824</v>
      </c>
      <c r="S15" s="902">
        <f>+S14*100/(100-'COKE OVENS'!S190)</f>
        <v>176041.43645599636</v>
      </c>
      <c r="T15" s="902">
        <f>+T14*100/(100-'COKE OVENS'!T190)</f>
        <v>188906.99157879947</v>
      </c>
      <c r="U15" s="1513">
        <f>+Q15+S15</f>
        <v>831046.05908079399</v>
      </c>
      <c r="V15" s="1513">
        <f>+V14*100/(100-'COKE OVENS'!V190)</f>
        <v>866153.55433120206</v>
      </c>
      <c r="W15" s="902">
        <f>+W14*100/(100-'COKE OVENS'!W190)</f>
        <v>168851.06098807862</v>
      </c>
      <c r="X15" s="3880">
        <f>+X14*100/(100-'COKE OVENS'!X190)</f>
        <v>173891.56574411894</v>
      </c>
      <c r="Y15" s="3893">
        <f>+Y14*100/(100-'COKE OVENS'!Y190)</f>
        <v>523867.95784100454</v>
      </c>
      <c r="Z15" s="2360">
        <f>+Z14*100/(100-'COKE OVENS'!Z190)</f>
        <v>546582.19181934861</v>
      </c>
      <c r="AA15" s="3901">
        <f>+AA14*100/(100-'COKE OVENS'!AA190)</f>
        <v>999897.12006887246</v>
      </c>
      <c r="AB15" s="3902">
        <f>+AB14*100/(100-'COKE OVENS'!AB190)</f>
        <v>1040071.8763380456</v>
      </c>
      <c r="AC15" s="902">
        <f>+AC14*100/(100-'COKE OVENS'!AC190)</f>
        <v>174726.12387040167</v>
      </c>
      <c r="AD15" s="902">
        <f>+AD14*100/(100-'COKE OVENS'!AD190)</f>
        <v>183810.41364914426</v>
      </c>
      <c r="AE15" s="1513">
        <f>+AA15+AC15</f>
        <v>1174623.2439392742</v>
      </c>
      <c r="AF15" s="1513">
        <f>+AF14*100/(100-'COKE OVENS'!AF190)</f>
        <v>1223863.0956178522</v>
      </c>
      <c r="AG15" s="902">
        <f>+AG14*100/(100-'COKE OVENS'!AG190)</f>
        <v>169043.97350063251</v>
      </c>
      <c r="AH15" s="902">
        <f>+AH14*100/(100-'COKE OVENS'!AH190)</f>
        <v>172031.69413989605</v>
      </c>
      <c r="AI15" s="1513">
        <f>+AE15+AG15</f>
        <v>1343667.2174399067</v>
      </c>
      <c r="AJ15" s="1513">
        <f>+AJ14*100/(100-'COKE OVENS'!AJ190)</f>
        <v>1395874.2459865615</v>
      </c>
      <c r="AK15" s="902">
        <f>+AK14*100/(100-'COKE OVENS'!AK190)</f>
        <v>175436.39266662282</v>
      </c>
      <c r="AL15" s="3880">
        <f>+AL14*100/(100-'COKE OVENS'!AL190)</f>
        <v>174594.10082531811</v>
      </c>
      <c r="AM15" s="3893">
        <f>+AM14*100/(100-'COKE OVENS'!AM190)</f>
        <v>519206.49003765691</v>
      </c>
      <c r="AN15" s="2360">
        <f>+AN14*100/(100-'COKE OVENS'!AN190)</f>
        <v>530410.27100389381</v>
      </c>
      <c r="AO15" s="1513">
        <f>+AO14*100/(100-'COKE OVENS'!AO190)</f>
        <v>1519103.6101065294</v>
      </c>
      <c r="AP15" s="1513">
        <f>+AP14*100/(100-'COKE OVENS'!AP190)</f>
        <v>1570468.6674232276</v>
      </c>
      <c r="AQ15" s="902">
        <f>+AQ14*100/(100-'COKE OVENS'!AQ190)</f>
        <v>175436.39266662282</v>
      </c>
      <c r="AR15" s="902">
        <f>+AR14*100/(100-'COKE OVENS'!AR190)</f>
        <v>173044.58421886087</v>
      </c>
      <c r="AS15" s="1513">
        <f>+AO15+AQ15</f>
        <v>1694540.0027731522</v>
      </c>
      <c r="AT15" s="1513">
        <f>+AT14*100/(100-'COKE OVENS'!AT190)</f>
        <v>1743492.9530151095</v>
      </c>
      <c r="AU15" s="902">
        <f>+AU14*100/(100-'COKE OVENS'!AU190)</f>
        <v>163361.82313086334</v>
      </c>
      <c r="AV15" s="902">
        <f>+AV14*100/(100-'COKE OVENS'!AV190)</f>
        <v>166532.51291337732</v>
      </c>
      <c r="AW15" s="1513">
        <f>+AS15+AU15</f>
        <v>1857901.8259040155</v>
      </c>
      <c r="AX15" s="1513">
        <f>+AX14*100/(100-'COKE OVENS'!AX190)</f>
        <v>1910027.0052088688</v>
      </c>
      <c r="AY15" s="902">
        <f>+AY14*100/(100-'COKE OVENS'!AY190)</f>
        <v>176146.66146284397</v>
      </c>
      <c r="AZ15" s="902">
        <f>+AZ14*100/(100-'COKE OVENS'!AZ190)</f>
        <v>171594.11423047789</v>
      </c>
      <c r="BA15" s="3893">
        <f>+BA14*100/(100-'COKE OVENS'!BA190)</f>
        <v>514944.87726033007</v>
      </c>
      <c r="BB15" s="2360">
        <f>+BB14*100/(100-'COKE OVENS'!BB190)</f>
        <v>511165.42056164786</v>
      </c>
      <c r="BC15" s="3901">
        <f>+BC14*100/(100-'COKE OVENS'!BC190)</f>
        <v>1034151.3672979871</v>
      </c>
      <c r="BD15" s="3902">
        <f>+BD14*100/(100-'COKE OVENS'!BD190)</f>
        <v>1041548.4113905618</v>
      </c>
      <c r="BE15" s="1513">
        <f>+BE14*100/(100-'COKE OVENS'!BE190)</f>
        <v>2034048.4873668596</v>
      </c>
      <c r="BF15" s="1513">
        <f>+BF14*100/(100-'COKE OVENS'!BF190)</f>
        <v>2081595.9578403961</v>
      </c>
    </row>
    <row r="16" spans="2:58" x14ac:dyDescent="0.3">
      <c r="B16" s="1790" t="s">
        <v>1518</v>
      </c>
      <c r="C16" s="243" t="s">
        <v>68</v>
      </c>
      <c r="D16" s="6189"/>
      <c r="E16" s="902">
        <f>+E15*100/(100-'COKE OVENS'!E192)</f>
        <v>174043.96004395818</v>
      </c>
      <c r="F16" s="902">
        <f>+F15*100/(100-'COKE OVENS'!F192)</f>
        <v>180646.06395143212</v>
      </c>
      <c r="G16" s="902">
        <f>+G15*100/(100-'COKE OVENS'!G192)</f>
        <v>148665.84685400155</v>
      </c>
      <c r="H16" s="902">
        <f>+H15*100/(100-'COKE OVENS'!H192)</f>
        <v>148541.73921615156</v>
      </c>
      <c r="I16" s="1513">
        <f>+I15*100/(100-'COKE OVENS'!I192)</f>
        <v>322709.80689795967</v>
      </c>
      <c r="J16" s="1791">
        <f>+J15*100/(100-'COKE OVENS'!J192)</f>
        <v>329279.2414875059</v>
      </c>
      <c r="K16" s="902">
        <f>+K15*100/(100-'COKE OVENS'!K192)</f>
        <v>165525.23128446884</v>
      </c>
      <c r="L16" s="3880">
        <f>+L15*100/(100-'COKE OVENS'!L192)</f>
        <v>176974.54499442456</v>
      </c>
      <c r="M16" s="3893">
        <f>+M15*100/(100-'COKE OVENS'!M192)</f>
        <v>488235.03818242857</v>
      </c>
      <c r="N16" s="2360">
        <f>+N15*100/(100-'COKE OVENS'!N192)</f>
        <v>506296.60708080459</v>
      </c>
      <c r="O16" s="3885">
        <f>+O15*100/(100-'COKE OVENS'!O192)</f>
        <v>183564.5747660817</v>
      </c>
      <c r="P16" s="902">
        <f>+P15*100/(100-'COKE OVENS'!P192)</f>
        <v>188409.88411709279</v>
      </c>
      <c r="Q16" s="1513">
        <f>+Q15*100/(100-'COKE OVENS'!Q192)</f>
        <v>671799.61294851033</v>
      </c>
      <c r="R16" s="1791">
        <f>+R15*100/(100-'COKE OVENS'!R192)</f>
        <v>694699.38243015215</v>
      </c>
      <c r="S16" s="902">
        <f>+S15*100/(100-'COKE OVENS'!S192)</f>
        <v>180555.31944204756</v>
      </c>
      <c r="T16" s="902">
        <f>+T15*100/(100-'COKE OVENS'!T192)</f>
        <v>193750.7605936405</v>
      </c>
      <c r="U16" s="1513">
        <f>+U15*100/(100-'COKE OVENS'!U192)</f>
        <v>852354.93239055795</v>
      </c>
      <c r="V16" s="1513">
        <f>+V15*100/(100-'COKE OVENS'!V192)</f>
        <v>888362.61982687388</v>
      </c>
      <c r="W16" s="902">
        <f>+W15*100/(100-'COKE OVENS'!W192)</f>
        <v>173180.57537238835</v>
      </c>
      <c r="X16" s="3880">
        <f>+X15*100/(100-'COKE OVENS'!X192)</f>
        <v>178350.323840122</v>
      </c>
      <c r="Y16" s="3893">
        <f>+Y15*100/(100-'COKE OVENS'!Y192)</f>
        <v>537300.4695805175</v>
      </c>
      <c r="Z16" s="2360">
        <f>+Z15*100/(100-'COKE OVENS'!Z192)</f>
        <v>560597.11981471651</v>
      </c>
      <c r="AA16" s="3901">
        <f>+AA15*100/(100-'COKE OVENS'!AA192)</f>
        <v>1025535.5077629461</v>
      </c>
      <c r="AB16" s="3902">
        <f>+AB15*100/(100-'COKE OVENS'!AB192)</f>
        <v>1066740.3859877391</v>
      </c>
      <c r="AC16" s="902">
        <f>+AC15*100/(100-'COKE OVENS'!AC192)</f>
        <v>179206.28089271966</v>
      </c>
      <c r="AD16" s="902">
        <f>+AD15*100/(100-'COKE OVENS'!AD192)</f>
        <v>188523.5011786095</v>
      </c>
      <c r="AE16" s="1513">
        <f>+AE15*100/(100-'COKE OVENS'!AE192)</f>
        <v>1204741.7886556659</v>
      </c>
      <c r="AF16" s="1513">
        <f>+AF15*100/(100-'COKE OVENS'!AF192)</f>
        <v>1255244.2006336947</v>
      </c>
      <c r="AG16" s="902">
        <f>+AG15*100/(100-'COKE OVENS'!AG192)</f>
        <v>173378.43435962306</v>
      </c>
      <c r="AH16" s="902">
        <f>+AH15*100/(100-'COKE OVENS'!AH192)</f>
        <v>176442.7632204062</v>
      </c>
      <c r="AI16" s="1513">
        <f>+AI15*100/(100-'COKE OVENS'!AI192)</f>
        <v>1378120.2230152888</v>
      </c>
      <c r="AJ16" s="1513">
        <f>+AJ15*100/(100-'COKE OVENS'!AJ192)</f>
        <v>1431665.8933195502</v>
      </c>
      <c r="AK16" s="902">
        <f>+AK15*100/(100-'COKE OVENS'!AK192)</f>
        <v>179934.76170935674</v>
      </c>
      <c r="AL16" s="3880">
        <f>+AL15*100/(100-'COKE OVENS'!AL192)</f>
        <v>179070.87264135189</v>
      </c>
      <c r="AM16" s="3893">
        <f>+AM15*100/(100-'COKE OVENS'!AM192)</f>
        <v>532519.47696169943</v>
      </c>
      <c r="AN16" s="2360">
        <f>+AN15*100/(100-'COKE OVENS'!AN192)</f>
        <v>544010.53436296806</v>
      </c>
      <c r="AO16" s="1513">
        <f>+AO15*100/(100-'COKE OVENS'!AO192)</f>
        <v>1558054.9847246455</v>
      </c>
      <c r="AP16" s="1513">
        <f>+AP15*100/(100-'COKE OVENS'!AP192)</f>
        <v>1610737.0947930538</v>
      </c>
      <c r="AQ16" s="902">
        <f>+AQ15*100/(100-'COKE OVENS'!AQ192)</f>
        <v>179934.76170935674</v>
      </c>
      <c r="AR16" s="902">
        <f>+AR15*100/(100-'COKE OVENS'!AR192)</f>
        <v>177481.62483985731</v>
      </c>
      <c r="AS16" s="1513">
        <f>+AS15*100/(100-'COKE OVENS'!AS192)</f>
        <v>1737989.7464340024</v>
      </c>
      <c r="AT16" s="1513">
        <f>+AT15*100/(100-'COKE OVENS'!AT192)</f>
        <v>1788197.9005283176</v>
      </c>
      <c r="AU16" s="902">
        <f>+AU15*100/(100-'COKE OVENS'!AU192)</f>
        <v>167550.58782652652</v>
      </c>
      <c r="AV16" s="902">
        <f>+AV15*100/(100-'COKE OVENS'!AV192)</f>
        <v>170802.57734705365</v>
      </c>
      <c r="AW16" s="1513">
        <f>+AW15*100/(100-'COKE OVENS'!AW192)</f>
        <v>1905540.3342605284</v>
      </c>
      <c r="AX16" s="1513">
        <f>+AX15*100/(100-'COKE OVENS'!AX192)</f>
        <v>1959002.0566244808</v>
      </c>
      <c r="AY16" s="902">
        <f>+AY15*100/(100-'COKE OVENS'!AY192)</f>
        <v>180663.24252599382</v>
      </c>
      <c r="AZ16" s="902">
        <f>+AZ15*100/(100-'COKE OVENS'!AZ192)</f>
        <v>175993.96331331064</v>
      </c>
      <c r="BA16" s="3893">
        <f>+BA15*100/(100-'COKE OVENS'!BA192)</f>
        <v>528148.59206187702</v>
      </c>
      <c r="BB16" s="2360">
        <f>+BB15*100/(100-'COKE OVENS'!BB192)</f>
        <v>524272.22621707473</v>
      </c>
      <c r="BC16" s="3901">
        <f>+BC15*100/(100-'COKE OVENS'!BC192)</f>
        <v>1060668.0690235766</v>
      </c>
      <c r="BD16" s="3902">
        <f>+BD15*100/(100-'COKE OVENS'!BD192)</f>
        <v>1068254.7809133967</v>
      </c>
      <c r="BE16" s="1513">
        <f>+BE15*100/(100-'COKE OVENS'!BE192)</f>
        <v>2086203.5767865228</v>
      </c>
      <c r="BF16" s="1513">
        <f>+BF15*100/(100-'COKE OVENS'!BF192)</f>
        <v>2134970.2131696371</v>
      </c>
    </row>
    <row r="17" spans="2:58" x14ac:dyDescent="0.3">
      <c r="B17" s="1790" t="s">
        <v>1008</v>
      </c>
      <c r="C17" s="243" t="s">
        <v>68</v>
      </c>
      <c r="D17" s="6189"/>
      <c r="E17" s="904">
        <f>+'B-FCE'!E24/((100-$C$24)/100)</f>
        <v>35913.043478260865</v>
      </c>
      <c r="F17" s="902">
        <f>+'B-FCE'!F111</f>
        <v>32880.307692307695</v>
      </c>
      <c r="G17" s="904">
        <f>+'B-FCE'!G24/((100-$C$24)/100)</f>
        <v>28907.608695652172</v>
      </c>
      <c r="H17" s="902">
        <f>+'B-FCE'!H111</f>
        <v>25479.890109890115</v>
      </c>
      <c r="I17" s="1513">
        <f>+'B-FCE'!I24/((100-$C$24)/100)</f>
        <v>64820.65217391304</v>
      </c>
      <c r="J17" s="1791">
        <f>+'B-FCE'!J111</f>
        <v>58360.197802197814</v>
      </c>
      <c r="K17" s="904">
        <f>+'B-FCE'!K24/((100-$C$24)/100)</f>
        <v>27309.782608695652</v>
      </c>
      <c r="L17" s="3880">
        <f>+'B-FCE'!L111</f>
        <v>26079.406593406602</v>
      </c>
      <c r="M17" s="3893">
        <f>+'B-FCE'!M24/((100-$C$24)/100)</f>
        <v>92130.434782608689</v>
      </c>
      <c r="N17" s="2360">
        <f>+'B-FCE'!N111</f>
        <v>84439.604395604416</v>
      </c>
      <c r="O17" s="3887">
        <f>+'B-FCE'!O24/((100-$C$24)/100)</f>
        <v>34291.304347826088</v>
      </c>
      <c r="P17" s="902">
        <f>+'B-FCE'!P111</f>
        <v>34101.888131868123</v>
      </c>
      <c r="Q17" s="1513">
        <f>+'B-FCE'!Q24/((100-$C$24)/100)</f>
        <v>126421.73913043478</v>
      </c>
      <c r="R17" s="1791">
        <f>+'B-FCE'!R111</f>
        <v>118541.49252747254</v>
      </c>
      <c r="S17" s="904">
        <f>+'B-FCE'!S24/((100-$C$24)/100)</f>
        <v>35070.65217391304</v>
      </c>
      <c r="T17" s="902">
        <f>+'B-FCE'!T111</f>
        <v>32465.235164835158</v>
      </c>
      <c r="U17" s="1513">
        <f>+'B-FCE'!U24/((100-$C$24)/100)</f>
        <v>161492.39130434781</v>
      </c>
      <c r="V17" s="1513">
        <f>+'B-FCE'!V111</f>
        <v>151006.7276923077</v>
      </c>
      <c r="W17" s="904">
        <f>+'B-FCE'!W24/((100-$C$24)/100)</f>
        <v>34043.47826086956</v>
      </c>
      <c r="X17" s="3880">
        <f>+'B-FCE'!X111</f>
        <v>33665.048351648351</v>
      </c>
      <c r="Y17" s="3893">
        <f>+'B-FCE'!Y24/((100-$C$24)/100)</f>
        <v>103405.43478260869</v>
      </c>
      <c r="Z17" s="2360">
        <f>+'B-FCE'!Z111</f>
        <v>100232.17164835164</v>
      </c>
      <c r="AA17" s="3901">
        <f>+'B-FCE'!AA24/((100-$C$24)/100)</f>
        <v>195535.86956521738</v>
      </c>
      <c r="AB17" s="3902">
        <f>+'B-FCE'!AB111</f>
        <v>184671.77604395605</v>
      </c>
      <c r="AC17" s="904">
        <f>+'B-FCE'!AC24/((100-$C$24)/100)</f>
        <v>38771.739130434784</v>
      </c>
      <c r="AD17" s="902">
        <f>+'B-FCE'!AD111</f>
        <v>38628.070329670329</v>
      </c>
      <c r="AE17" s="1513">
        <f>+'B-FCE'!AE24/((100-$C$24)/100)</f>
        <v>234307.60869565216</v>
      </c>
      <c r="AF17" s="1513">
        <f>+'B-FCE'!AF111</f>
        <v>223299.84637362638</v>
      </c>
      <c r="AG17" s="904">
        <f>+'B-FCE'!AG24/((100-$C$24)/100)</f>
        <v>37510.869565217392</v>
      </c>
      <c r="AH17" s="902">
        <f>+'B-FCE'!AH111</f>
        <v>28385.165934065939</v>
      </c>
      <c r="AI17" s="1513">
        <f>+'B-FCE'!AI24/((100-$C$24)/100)</f>
        <v>271818.47826086957</v>
      </c>
      <c r="AJ17" s="1513">
        <f>+'B-FCE'!AJ111</f>
        <v>251685.01230769232</v>
      </c>
      <c r="AK17" s="904">
        <f>+'B-FCE'!AK24/((100-$C$24)/100)</f>
        <v>38929.347826086952</v>
      </c>
      <c r="AL17" s="3880">
        <f>+'B-FCE'!AL111</f>
        <v>33283.028791208788</v>
      </c>
      <c r="AM17" s="3893">
        <f>+'B-FCE'!AM24/((100-$C$24)/100)</f>
        <v>115211.95652173912</v>
      </c>
      <c r="AN17" s="2360">
        <f>+'B-FCE'!AN111</f>
        <v>100296.26505494505</v>
      </c>
      <c r="AO17" s="1513">
        <f>+'B-FCE'!AO24/((100-$C$24)/100)</f>
        <v>310747.82608695648</v>
      </c>
      <c r="AP17" s="1513">
        <f>+'B-FCE'!AP111</f>
        <v>284968.04109890113</v>
      </c>
      <c r="AQ17" s="904">
        <f>+'B-FCE'!AQ24/((100-$C$24)/100)</f>
        <v>38929.347826086952</v>
      </c>
      <c r="AR17" s="902">
        <f>+'B-FCE'!AR111</f>
        <v>36742.722747252752</v>
      </c>
      <c r="AS17" s="1513">
        <f>+'B-FCE'!AS24/((100-$C$24)/100)</f>
        <v>349677.17391304346</v>
      </c>
      <c r="AT17" s="1513">
        <f>+'B-FCE'!AT111</f>
        <v>321710.76384615386</v>
      </c>
      <c r="AU17" s="904">
        <f>+'B-FCE'!AU24/((100-$C$24)/100)</f>
        <v>36250</v>
      </c>
      <c r="AV17" s="902">
        <f>+'B-FCE'!AV111</f>
        <v>36468.377142857142</v>
      </c>
      <c r="AW17" s="1513">
        <f>+'B-FCE'!AW24/((100-$C$24)/100)</f>
        <v>385927.17391304346</v>
      </c>
      <c r="AX17" s="1513">
        <f>+'B-FCE'!AX111</f>
        <v>358179.14098901098</v>
      </c>
      <c r="AY17" s="904">
        <f>+'B-FCE'!AY24/((100-$C$24)/100)</f>
        <v>39086.956521739128</v>
      </c>
      <c r="AZ17" s="902">
        <f>+'B-FCE'!AZ111</f>
        <v>33141.653318681318</v>
      </c>
      <c r="BA17" s="3893">
        <f>+'B-FCE'!BA24/((100-$C$24)/100)</f>
        <v>114266.30434782608</v>
      </c>
      <c r="BB17" s="2360">
        <f>+'B-FCE'!BB111</f>
        <v>106352.75320879121</v>
      </c>
      <c r="BC17" s="3901">
        <f>+'B-FCE'!BC24/((100-$C$24)/100)</f>
        <v>229478.26086956522</v>
      </c>
      <c r="BD17" s="3902">
        <f>+'B-FCE'!BD111</f>
        <v>206649.01826373627</v>
      </c>
      <c r="BE17" s="1513">
        <f>+'B-FCE'!BE24/((100-$C$24)/100)</f>
        <v>425014.13043478259</v>
      </c>
      <c r="BF17" s="1513">
        <f>+'B-FCE'!BF111</f>
        <v>391320.79430769233</v>
      </c>
    </row>
    <row r="18" spans="2:58" x14ac:dyDescent="0.3">
      <c r="B18" s="1790" t="s">
        <v>1517</v>
      </c>
      <c r="C18" s="243" t="s">
        <v>68</v>
      </c>
      <c r="D18" s="6189"/>
      <c r="E18" s="902">
        <f t="shared" ref="E18:J18" si="25">+E17/((100-$C$25)/100)</f>
        <v>36833.890746934223</v>
      </c>
      <c r="F18" s="902">
        <f t="shared" si="25"/>
        <v>33723.392504930969</v>
      </c>
      <c r="G18" s="902">
        <f t="shared" si="25"/>
        <v>29648.829431438127</v>
      </c>
      <c r="H18" s="902">
        <f t="shared" si="25"/>
        <v>26133.220625528324</v>
      </c>
      <c r="I18" s="1513">
        <f t="shared" si="25"/>
        <v>66482.720178372358</v>
      </c>
      <c r="J18" s="1513">
        <f t="shared" si="25"/>
        <v>59856.6131304593</v>
      </c>
      <c r="K18" s="902">
        <f t="shared" ref="K18:L18" si="26">+K17/((100-$C$25)/100)</f>
        <v>28010.033444816054</v>
      </c>
      <c r="L18" s="3880">
        <f t="shared" si="26"/>
        <v>26748.109326570873</v>
      </c>
      <c r="M18" s="3893">
        <f t="shared" ref="M18:P18" si="27">+M17/((100-$C$25)/100)</f>
        <v>94492.753623188401</v>
      </c>
      <c r="N18" s="2360">
        <f t="shared" si="27"/>
        <v>86604.722457030177</v>
      </c>
      <c r="O18" s="3885">
        <f t="shared" si="27"/>
        <v>35170.568561872911</v>
      </c>
      <c r="P18" s="902">
        <f t="shared" si="27"/>
        <v>34976.29551986474</v>
      </c>
      <c r="Q18" s="1513">
        <f t="shared" ref="Q18:S18" si="28">+Q17/((100-$C$25)/100)</f>
        <v>129663.32218506132</v>
      </c>
      <c r="R18" s="1513">
        <f t="shared" si="28"/>
        <v>121581.01797689492</v>
      </c>
      <c r="S18" s="902">
        <f t="shared" si="28"/>
        <v>35969.899665551835</v>
      </c>
      <c r="T18" s="902">
        <f>+T17/((100-$C$25)/100)</f>
        <v>33297.677092138627</v>
      </c>
      <c r="U18" s="1513">
        <f>+U17/((100-$C$25)/100)</f>
        <v>165633.22185061313</v>
      </c>
      <c r="V18" s="1513">
        <f>+V17/((100-$C$25)/100)</f>
        <v>154878.69506903354</v>
      </c>
      <c r="W18" s="902">
        <f t="shared" ref="W18" si="29">+W17/((100-$C$25)/100)</f>
        <v>34916.387959866217</v>
      </c>
      <c r="X18" s="3880">
        <f>+X17/((100-$C$25)/100)</f>
        <v>34528.254719639335</v>
      </c>
      <c r="Y18" s="3893">
        <f t="shared" ref="Y18:AA18" si="30">+Y17/((100-$C$25)/100)</f>
        <v>106056.85618729096</v>
      </c>
      <c r="Z18" s="2360">
        <f t="shared" si="30"/>
        <v>102802.2273316427</v>
      </c>
      <c r="AA18" s="3901">
        <f t="shared" si="30"/>
        <v>200549.60981047936</v>
      </c>
      <c r="AB18" s="3902">
        <f t="shared" ref="AB18:AC18" si="31">+AB17/((100-$C$25)/100)</f>
        <v>189406.94978867288</v>
      </c>
      <c r="AC18" s="902">
        <f t="shared" si="31"/>
        <v>39765.886287625421</v>
      </c>
      <c r="AD18" s="902">
        <f>+AD17/((100-$C$25)/100)</f>
        <v>39618.533671456746</v>
      </c>
      <c r="AE18" s="1513">
        <f>+AE17/((100-$C$25)/100)</f>
        <v>240315.49609810478</v>
      </c>
      <c r="AF18" s="1513">
        <f>+AF17/((100-$C$25)/100)</f>
        <v>229025.48346012962</v>
      </c>
      <c r="AG18" s="902">
        <f t="shared" ref="AG18" si="32">+AG17/((100-$C$25)/100)</f>
        <v>38472.6867335563</v>
      </c>
      <c r="AH18" s="902">
        <f>+AH17/((100-$C$25)/100)</f>
        <v>29112.990701606093</v>
      </c>
      <c r="AI18" s="1513">
        <f>+AI17/((100-$C$25)/100)</f>
        <v>278788.18283166108</v>
      </c>
      <c r="AJ18" s="1513">
        <f>+AJ17/((100-$C$25)/100)</f>
        <v>258138.47416173571</v>
      </c>
      <c r="AK18" s="902">
        <f t="shared" ref="AK18" si="33">+AK17/((100-$C$25)/100)</f>
        <v>39927.536231884056</v>
      </c>
      <c r="AL18" s="3880">
        <f>+AL17/((100-$C$25)/100)</f>
        <v>34136.439785855167</v>
      </c>
      <c r="AM18" s="3893">
        <f t="shared" ref="AM18:AQ18" si="34">+AM17/((100-$C$25)/100)</f>
        <v>118166.10925306576</v>
      </c>
      <c r="AN18" s="2360">
        <f t="shared" si="34"/>
        <v>102867.964158918</v>
      </c>
      <c r="AO18" s="1513">
        <f t="shared" si="34"/>
        <v>318715.71906354511</v>
      </c>
      <c r="AP18" s="1513">
        <f t="shared" si="34"/>
        <v>292274.91394759092</v>
      </c>
      <c r="AQ18" s="902">
        <f t="shared" si="34"/>
        <v>39927.536231884056</v>
      </c>
      <c r="AR18" s="902">
        <f>+AR17/((100-$C$25)/100)</f>
        <v>37684.843843336159</v>
      </c>
      <c r="AS18" s="1513">
        <f>+AS17/((100-$C$25)/100)</f>
        <v>358643.2552954292</v>
      </c>
      <c r="AT18" s="1513">
        <f>+AT17/((100-$C$25)/100)</f>
        <v>329959.75779092702</v>
      </c>
      <c r="AU18" s="902">
        <f t="shared" ref="AU18" si="35">+AU17/((100-$C$25)/100)</f>
        <v>37179.48717948718</v>
      </c>
      <c r="AV18" s="902">
        <f>+AV17/((100-$C$25)/100)</f>
        <v>37403.463736263737</v>
      </c>
      <c r="AW18" s="1513">
        <f>+AW17/((100-$C$25)/100)</f>
        <v>395822.74247491639</v>
      </c>
      <c r="AX18" s="1513">
        <f>+AX17/((100-$C$25)/100)</f>
        <v>367363.22152719076</v>
      </c>
      <c r="AY18" s="902">
        <f t="shared" ref="AY18" si="36">+AY17/((100-$C$25)/100)</f>
        <v>40089.186176142699</v>
      </c>
      <c r="AZ18" s="902">
        <f>+AZ17/((100-$C$25)/100)</f>
        <v>33991.439301211605</v>
      </c>
      <c r="BA18" s="3893">
        <f t="shared" ref="BA18:BF18" si="37">+BA17/((100-$C$25)/100)</f>
        <v>117196.20958751393</v>
      </c>
      <c r="BB18" s="2360">
        <f t="shared" si="37"/>
        <v>109079.74688081151</v>
      </c>
      <c r="BC18" s="3901">
        <f t="shared" si="37"/>
        <v>235362.31884057971</v>
      </c>
      <c r="BD18" s="3902">
        <f t="shared" si="37"/>
        <v>211947.7110397295</v>
      </c>
      <c r="BE18" s="1513">
        <f t="shared" si="37"/>
        <v>435911.9286510591</v>
      </c>
      <c r="BF18" s="1513">
        <f t="shared" si="37"/>
        <v>401354.66082840238</v>
      </c>
    </row>
    <row r="19" spans="2:58" ht="19.5" thickBot="1" x14ac:dyDescent="0.35">
      <c r="B19" s="1790" t="s">
        <v>1009</v>
      </c>
      <c r="C19" s="243" t="s">
        <v>68</v>
      </c>
      <c r="D19" s="6189"/>
      <c r="E19" s="3867">
        <f t="shared" ref="E19:AC19" si="38">+E16+E18</f>
        <v>210877.85079089241</v>
      </c>
      <c r="F19" s="3867">
        <f t="shared" si="38"/>
        <v>214369.45645636308</v>
      </c>
      <c r="G19" s="3867">
        <f t="shared" ref="G19:H19" si="39">+G16+G18</f>
        <v>178314.67628543967</v>
      </c>
      <c r="H19" s="3867">
        <f t="shared" si="39"/>
        <v>174674.9598416799</v>
      </c>
      <c r="I19" s="3868">
        <f t="shared" si="38"/>
        <v>389192.52707633201</v>
      </c>
      <c r="J19" s="3869">
        <f t="shared" si="38"/>
        <v>389135.85461796517</v>
      </c>
      <c r="K19" s="3867">
        <f t="shared" si="38"/>
        <v>193535.26472928489</v>
      </c>
      <c r="L19" s="3882">
        <f t="shared" si="38"/>
        <v>203722.65432099544</v>
      </c>
      <c r="M19" s="3895">
        <f t="shared" ref="M19:P19" si="40">+M16+M18</f>
        <v>582727.79180561693</v>
      </c>
      <c r="N19" s="3870">
        <f t="shared" si="40"/>
        <v>592901.32953783474</v>
      </c>
      <c r="O19" s="3888">
        <f t="shared" si="40"/>
        <v>218735.1433279546</v>
      </c>
      <c r="P19" s="3867">
        <f t="shared" si="40"/>
        <v>223386.17963695753</v>
      </c>
      <c r="Q19" s="3868">
        <f t="shared" ref="Q19:S19" si="41">+Q16+Q18</f>
        <v>801462.93513357162</v>
      </c>
      <c r="R19" s="3869">
        <f t="shared" si="41"/>
        <v>816280.40040704701</v>
      </c>
      <c r="S19" s="3867">
        <f t="shared" si="41"/>
        <v>216525.21910759941</v>
      </c>
      <c r="T19" s="3867">
        <f t="shared" si="38"/>
        <v>227048.43768577912</v>
      </c>
      <c r="U19" s="3868">
        <f t="shared" si="38"/>
        <v>1017988.1542411711</v>
      </c>
      <c r="V19" s="3868">
        <f t="shared" si="38"/>
        <v>1043241.3148959074</v>
      </c>
      <c r="W19" s="3867">
        <f t="shared" si="38"/>
        <v>208096.96333225456</v>
      </c>
      <c r="X19" s="3882">
        <f t="shared" ref="X19:Z19" si="42">+X16+X18</f>
        <v>212878.57855976134</v>
      </c>
      <c r="Y19" s="3895">
        <f t="shared" si="42"/>
        <v>643357.32576780848</v>
      </c>
      <c r="Z19" s="3870">
        <f t="shared" si="42"/>
        <v>663399.34714635927</v>
      </c>
      <c r="AA19" s="3905">
        <f t="shared" si="38"/>
        <v>1226085.1175734254</v>
      </c>
      <c r="AB19" s="3906">
        <f t="shared" si="38"/>
        <v>1256147.3357764119</v>
      </c>
      <c r="AC19" s="3867">
        <f t="shared" si="38"/>
        <v>218972.16718034507</v>
      </c>
      <c r="AD19" s="3867">
        <f t="shared" ref="AD19:AG19" si="43">+AD16+AD18</f>
        <v>228142.03485006624</v>
      </c>
      <c r="AE19" s="3868">
        <f t="shared" si="43"/>
        <v>1445057.2847537708</v>
      </c>
      <c r="AF19" s="3868">
        <f t="shared" si="43"/>
        <v>1484269.6840938244</v>
      </c>
      <c r="AG19" s="3867">
        <f t="shared" si="43"/>
        <v>211851.12109317936</v>
      </c>
      <c r="AH19" s="3867">
        <f t="shared" ref="AH19:AQ19" si="44">+AH16+AH18</f>
        <v>205555.75392201229</v>
      </c>
      <c r="AI19" s="3868">
        <f t="shared" si="44"/>
        <v>1656908.4058469499</v>
      </c>
      <c r="AJ19" s="3868">
        <f t="shared" si="44"/>
        <v>1689804.3674812859</v>
      </c>
      <c r="AK19" s="3867">
        <f t="shared" si="44"/>
        <v>219862.2979412408</v>
      </c>
      <c r="AL19" s="3882">
        <f t="shared" si="44"/>
        <v>213207.31242720707</v>
      </c>
      <c r="AM19" s="3895">
        <f t="shared" si="44"/>
        <v>650685.58621476521</v>
      </c>
      <c r="AN19" s="3870">
        <f t="shared" si="44"/>
        <v>646878.49852188607</v>
      </c>
      <c r="AO19" s="3868">
        <f t="shared" si="44"/>
        <v>1876770.7037881906</v>
      </c>
      <c r="AP19" s="3868">
        <f t="shared" si="44"/>
        <v>1903012.0087406447</v>
      </c>
      <c r="AQ19" s="3867">
        <f t="shared" si="44"/>
        <v>219862.2979412408</v>
      </c>
      <c r="AR19" s="3867">
        <f t="shared" ref="AR19:AU19" si="45">+AR16+AR18</f>
        <v>215166.46868319347</v>
      </c>
      <c r="AS19" s="3868">
        <f t="shared" si="45"/>
        <v>2096633.0017294316</v>
      </c>
      <c r="AT19" s="3868">
        <f t="shared" si="45"/>
        <v>2118157.6583192446</v>
      </c>
      <c r="AU19" s="3867">
        <f t="shared" si="45"/>
        <v>204730.07500601371</v>
      </c>
      <c r="AV19" s="3867">
        <f t="shared" ref="AV19:AY19" si="46">+AV16+AV18</f>
        <v>208206.0410833174</v>
      </c>
      <c r="AW19" s="3868">
        <f t="shared" si="46"/>
        <v>2301363.0767354448</v>
      </c>
      <c r="AX19" s="3868">
        <f t="shared" si="46"/>
        <v>2326365.2781516714</v>
      </c>
      <c r="AY19" s="3867">
        <f t="shared" si="46"/>
        <v>220752.4287021365</v>
      </c>
      <c r="AZ19" s="3867">
        <f t="shared" ref="AZ19:BF19" si="47">+AZ16+AZ18</f>
        <v>209985.40261452226</v>
      </c>
      <c r="BA19" s="3895">
        <f t="shared" si="47"/>
        <v>645344.80164939095</v>
      </c>
      <c r="BB19" s="3870">
        <f t="shared" si="47"/>
        <v>633351.97309788619</v>
      </c>
      <c r="BC19" s="3905">
        <f t="shared" si="47"/>
        <v>1296030.3878641562</v>
      </c>
      <c r="BD19" s="3906">
        <f t="shared" si="47"/>
        <v>1280202.4919531262</v>
      </c>
      <c r="BE19" s="3868">
        <f t="shared" si="47"/>
        <v>2522115.5054375818</v>
      </c>
      <c r="BF19" s="3868">
        <f t="shared" si="47"/>
        <v>2536324.8739980394</v>
      </c>
    </row>
    <row r="20" spans="2:58" ht="19.5" thickBot="1" x14ac:dyDescent="0.35">
      <c r="B20" s="1793" t="s">
        <v>1010</v>
      </c>
      <c r="C20" s="1794" t="s">
        <v>248</v>
      </c>
      <c r="D20" s="6190"/>
      <c r="E20" s="3871">
        <f t="shared" ref="E20:AB20" si="48">+E19*1000/E6</f>
        <v>893.55021521564584</v>
      </c>
      <c r="F20" s="3872">
        <f t="shared" si="48"/>
        <v>925.18269548073226</v>
      </c>
      <c r="G20" s="3872">
        <f t="shared" ref="G20:H20" si="49">+G19*1000/G6</f>
        <v>905.15064104284102</v>
      </c>
      <c r="H20" s="3872">
        <f t="shared" si="49"/>
        <v>937.47512995675788</v>
      </c>
      <c r="I20" s="3873">
        <f t="shared" si="48"/>
        <v>898.82800710469292</v>
      </c>
      <c r="J20" s="3874">
        <f t="shared" si="48"/>
        <v>930.88043371530398</v>
      </c>
      <c r="K20" s="3872">
        <f t="shared" si="48"/>
        <v>962.86201357853179</v>
      </c>
      <c r="L20" s="3883">
        <f t="shared" si="48"/>
        <v>954.82611311812116</v>
      </c>
      <c r="M20" s="3896">
        <f t="shared" ref="M20:P20" si="50">+M19*1000/M6</f>
        <v>919.12900915712453</v>
      </c>
      <c r="N20" s="3875">
        <f t="shared" si="50"/>
        <v>939.040029778438</v>
      </c>
      <c r="O20" s="3889">
        <f t="shared" si="50"/>
        <v>915.2098047194753</v>
      </c>
      <c r="P20" s="3872">
        <f t="shared" si="50"/>
        <v>910.832315903682</v>
      </c>
      <c r="Q20" s="3873">
        <f t="shared" ref="Q20:R20" si="51">+Q19*1000/Q6</f>
        <v>918.0560539903455</v>
      </c>
      <c r="R20" s="3874">
        <f t="shared" si="51"/>
        <v>931.14038451220381</v>
      </c>
      <c r="S20" s="3872">
        <f t="shared" si="48"/>
        <v>905.96325986443264</v>
      </c>
      <c r="T20" s="3872">
        <f t="shared" si="48"/>
        <v>944.9130727501888</v>
      </c>
      <c r="U20" s="3873">
        <f t="shared" si="48"/>
        <v>915.45697323846321</v>
      </c>
      <c r="V20" s="3873">
        <f t="shared" si="48"/>
        <v>934.02493824453018</v>
      </c>
      <c r="W20" s="3872">
        <f t="shared" ref="W20:Z20" si="52">+W19*1000/W6</f>
        <v>896.96966953558001</v>
      </c>
      <c r="X20" s="3883">
        <f t="shared" si="52"/>
        <v>929.11390782018748</v>
      </c>
      <c r="Y20" s="3896">
        <f t="shared" si="52"/>
        <v>906.13707854620907</v>
      </c>
      <c r="Z20" s="3875">
        <f t="shared" si="52"/>
        <v>928.27267112523339</v>
      </c>
      <c r="AA20" s="3907">
        <f t="shared" si="48"/>
        <v>912.26571248022719</v>
      </c>
      <c r="AB20" s="3876">
        <f t="shared" si="48"/>
        <v>933.20938738379959</v>
      </c>
      <c r="AC20" s="3872">
        <f t="shared" ref="AC20:AF20" si="53">+AC19*1000/AC6</f>
        <v>890.13076089571177</v>
      </c>
      <c r="AD20" s="3872">
        <f t="shared" si="53"/>
        <v>937.64450401565978</v>
      </c>
      <c r="AE20" s="3873">
        <f t="shared" si="53"/>
        <v>908.84105959356657</v>
      </c>
      <c r="AF20" s="3873">
        <f t="shared" si="53"/>
        <v>933.87596774901999</v>
      </c>
      <c r="AG20" s="3872">
        <f t="shared" ref="AG20:AP20" si="54">+AG19*1000/AG6</f>
        <v>890.13076089571166</v>
      </c>
      <c r="AH20" s="3872">
        <f t="shared" si="54"/>
        <v>997.38834668652316</v>
      </c>
      <c r="AI20" s="3873">
        <f t="shared" si="54"/>
        <v>906.4050360213073</v>
      </c>
      <c r="AJ20" s="3873">
        <f t="shared" si="54"/>
        <v>941.15458030327852</v>
      </c>
      <c r="AK20" s="3872">
        <f t="shared" si="54"/>
        <v>890.13076089571166</v>
      </c>
      <c r="AL20" s="3883">
        <f t="shared" si="54"/>
        <v>934.24823608505187</v>
      </c>
      <c r="AM20" s="3896">
        <f t="shared" si="54"/>
        <v>890.13076089571166</v>
      </c>
      <c r="AN20" s="3875">
        <f t="shared" si="54"/>
        <v>954.63213936924615</v>
      </c>
      <c r="AO20" s="3873">
        <f t="shared" si="54"/>
        <v>904.46780905454966</v>
      </c>
      <c r="AP20" s="3873">
        <f t="shared" si="54"/>
        <v>940.37590325458189</v>
      </c>
      <c r="AQ20" s="3872">
        <f t="shared" ref="AQ20:AT20" si="55">+AQ19*1000/AQ6</f>
        <v>890.13076089571166</v>
      </c>
      <c r="AR20" s="3872">
        <f t="shared" si="55"/>
        <v>925.34688147002328</v>
      </c>
      <c r="AS20" s="3873">
        <f t="shared" si="55"/>
        <v>902.94272253636154</v>
      </c>
      <c r="AT20" s="3873">
        <f t="shared" si="55"/>
        <v>938.81777437112078</v>
      </c>
      <c r="AU20" s="3872">
        <f t="shared" ref="AU20:AX20" si="56">+AU19*1000/AU6</f>
        <v>890.13076089571189</v>
      </c>
      <c r="AV20" s="3872">
        <f t="shared" si="56"/>
        <v>904.46031560195399</v>
      </c>
      <c r="AW20" s="3873">
        <f t="shared" si="56"/>
        <v>901.78803947313679</v>
      </c>
      <c r="AX20" s="3873">
        <f t="shared" si="56"/>
        <v>935.6374761508913</v>
      </c>
      <c r="AY20" s="3872">
        <f t="shared" ref="AY20:BF20" si="57">+AY19*1000/AY6</f>
        <v>890.13076089571177</v>
      </c>
      <c r="AZ20" s="3872">
        <f t="shared" si="57"/>
        <v>894.04149157997995</v>
      </c>
      <c r="BA20" s="3896">
        <f t="shared" si="57"/>
        <v>890.13076089571166</v>
      </c>
      <c r="BB20" s="3875">
        <f t="shared" si="57"/>
        <v>907.90589273008982</v>
      </c>
      <c r="BC20" s="3907">
        <f t="shared" si="57"/>
        <v>890.13076089571166</v>
      </c>
      <c r="BD20" s="3876">
        <f t="shared" si="57"/>
        <v>930.90930796468081</v>
      </c>
      <c r="BE20" s="3873">
        <f t="shared" si="57"/>
        <v>900.75553765627933</v>
      </c>
      <c r="BF20" s="3873">
        <f t="shared" si="57"/>
        <v>932.0378517640504</v>
      </c>
    </row>
    <row r="21" spans="2:58" x14ac:dyDescent="0.3">
      <c r="M21" s="707"/>
      <c r="Y21" s="707"/>
      <c r="Z21" s="658"/>
    </row>
    <row r="22" spans="2:58" x14ac:dyDescent="0.3">
      <c r="H22" s="707"/>
      <c r="I22" s="707"/>
      <c r="L22" s="707"/>
    </row>
    <row r="23" spans="2:58" x14ac:dyDescent="0.3">
      <c r="I23" s="707"/>
      <c r="J23" s="707"/>
      <c r="AA23" s="3385"/>
    </row>
    <row r="24" spans="2:58" x14ac:dyDescent="0.3">
      <c r="B24" s="2325" t="s">
        <v>1590</v>
      </c>
      <c r="C24" s="2774">
        <v>8</v>
      </c>
    </row>
    <row r="25" spans="2:58" x14ac:dyDescent="0.3">
      <c r="B25" s="2325" t="s">
        <v>1591</v>
      </c>
      <c r="C25" s="2325">
        <v>2.5</v>
      </c>
    </row>
  </sheetData>
  <mergeCells count="32">
    <mergeCell ref="AC4:AD4"/>
    <mergeCell ref="AU4:AV4"/>
    <mergeCell ref="AW4:AX4"/>
    <mergeCell ref="AG4:AH4"/>
    <mergeCell ref="AI4:AJ4"/>
    <mergeCell ref="AE4:AF4"/>
    <mergeCell ref="AQ4:AR4"/>
    <mergeCell ref="AS4:AT4"/>
    <mergeCell ref="AK4:AL4"/>
    <mergeCell ref="AM4:AN4"/>
    <mergeCell ref="AO4:AP4"/>
    <mergeCell ref="D4:D5"/>
    <mergeCell ref="D6:D20"/>
    <mergeCell ref="W4:X4"/>
    <mergeCell ref="Y4:Z4"/>
    <mergeCell ref="AA4:AB4"/>
    <mergeCell ref="AY4:AZ4"/>
    <mergeCell ref="BE4:BF4"/>
    <mergeCell ref="BA4:BB4"/>
    <mergeCell ref="BC4:BD4"/>
    <mergeCell ref="B2:V2"/>
    <mergeCell ref="B4:B5"/>
    <mergeCell ref="C4:C5"/>
    <mergeCell ref="E4:F4"/>
    <mergeCell ref="G4:H4"/>
    <mergeCell ref="I4:J4"/>
    <mergeCell ref="S4:T4"/>
    <mergeCell ref="U4:V4"/>
    <mergeCell ref="O4:P4"/>
    <mergeCell ref="Q4:R4"/>
    <mergeCell ref="K4:L4"/>
    <mergeCell ref="M4:N4"/>
  </mergeCells>
  <printOptions horizontalCentered="1" verticalCentered="1"/>
  <pageMargins left="0" right="0" top="0" bottom="0" header="0" footer="0"/>
  <pageSetup paperSize="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7">
    <tabColor theme="5" tint="-0.249977111117893"/>
    <pageSetUpPr fitToPage="1"/>
  </sheetPr>
  <dimension ref="A1:BK456"/>
  <sheetViews>
    <sheetView topLeftCell="B1" zoomScale="70" zoomScaleNormal="70" workbookViewId="0">
      <pane xSplit="1" topLeftCell="AQ1" activePane="topRight" state="frozen"/>
      <selection activeCell="B1" sqref="B1"/>
      <selection pane="topRight" activeCell="BF292" sqref="BF292"/>
    </sheetView>
  </sheetViews>
  <sheetFormatPr defaultColWidth="9.140625" defaultRowHeight="15" x14ac:dyDescent="0.25"/>
  <cols>
    <col min="1" max="1" width="0.85546875" hidden="1" customWidth="1"/>
    <col min="2" max="2" width="65.85546875" customWidth="1"/>
    <col min="3" max="3" width="41.5703125" bestFit="1" customWidth="1"/>
    <col min="4" max="4" width="17" customWidth="1"/>
    <col min="5" max="8" width="9.85546875" customWidth="1"/>
    <col min="9" max="10" width="9.85546875" hidden="1" customWidth="1"/>
    <col min="11" max="16" width="9.85546875" customWidth="1"/>
    <col min="17" max="18" width="9.85546875" hidden="1" customWidth="1"/>
    <col min="19" max="20" width="9.85546875" customWidth="1"/>
    <col min="21" max="22" width="9.85546875" hidden="1" customWidth="1"/>
    <col min="23" max="26" width="9.85546875" customWidth="1"/>
    <col min="27" max="28" width="11.28515625" style="3458" customWidth="1"/>
    <col min="29" max="30" width="10" customWidth="1"/>
    <col min="31" max="32" width="11.42578125" hidden="1" customWidth="1"/>
    <col min="33" max="33" width="10" customWidth="1"/>
    <col min="34" max="34" width="10.42578125" customWidth="1"/>
    <col min="35" max="36" width="11.42578125" hidden="1" customWidth="1"/>
    <col min="37" max="37" width="10" customWidth="1"/>
    <col min="38" max="38" width="10.42578125" customWidth="1"/>
    <col min="39" max="40" width="10" customWidth="1"/>
    <col min="41" max="42" width="11.42578125" hidden="1" customWidth="1"/>
    <col min="43" max="44" width="10" customWidth="1"/>
    <col min="45" max="46" width="11.42578125" hidden="1" customWidth="1"/>
    <col min="47" max="48" width="10" customWidth="1"/>
    <col min="49" max="50" width="11.42578125" hidden="1" customWidth="1"/>
    <col min="51" max="52" width="10" bestFit="1" customWidth="1"/>
    <col min="53" max="54" width="10" style="5139" customWidth="1"/>
    <col min="55" max="56" width="11.42578125" style="5139" bestFit="1" customWidth="1"/>
    <col min="57" max="58" width="11.42578125" bestFit="1" customWidth="1"/>
    <col min="61" max="61" width="10" bestFit="1" customWidth="1"/>
  </cols>
  <sheetData>
    <row r="1" spans="1:62" ht="20.25" x14ac:dyDescent="0.3">
      <c r="A1" s="188"/>
      <c r="B1" s="1998" t="s">
        <v>380</v>
      </c>
      <c r="C1" s="630"/>
      <c r="G1" s="6241"/>
      <c r="H1" s="6241"/>
      <c r="K1" s="2455"/>
      <c r="L1" s="2455"/>
      <c r="M1" s="2455"/>
      <c r="N1" s="2455"/>
      <c r="O1" s="2455"/>
      <c r="P1" s="2455"/>
      <c r="Q1" s="2455"/>
      <c r="R1" s="2455"/>
      <c r="S1" s="2556"/>
      <c r="T1" s="2556"/>
      <c r="U1" s="2556"/>
      <c r="V1" s="2556"/>
      <c r="W1" s="3399"/>
      <c r="X1" s="3399"/>
      <c r="Y1" s="3399"/>
      <c r="Z1" s="3399"/>
    </row>
    <row r="2" spans="1:62" ht="20.25" x14ac:dyDescent="0.3">
      <c r="A2" s="188"/>
      <c r="B2" s="1999"/>
      <c r="C2" s="630"/>
      <c r="K2" s="2455"/>
      <c r="L2" s="2455"/>
      <c r="M2" s="2455"/>
      <c r="N2" s="2455"/>
      <c r="O2" s="2455"/>
      <c r="P2" s="2455"/>
      <c r="Q2" s="2455"/>
      <c r="R2" s="2455"/>
      <c r="S2" s="2556"/>
      <c r="T2" s="2556"/>
      <c r="U2" s="2556"/>
      <c r="V2" s="2556"/>
      <c r="W2" s="3399"/>
      <c r="X2" s="3399"/>
      <c r="Y2" s="3399"/>
      <c r="Z2" s="3399"/>
    </row>
    <row r="3" spans="1:62" ht="18.75" x14ac:dyDescent="0.25">
      <c r="A3" s="122"/>
      <c r="B3" s="6245" t="s">
        <v>175</v>
      </c>
      <c r="C3" s="6239" t="s">
        <v>176</v>
      </c>
      <c r="D3" s="6239" t="s">
        <v>1469</v>
      </c>
      <c r="E3" s="6239" t="s">
        <v>1470</v>
      </c>
      <c r="F3" s="6239"/>
      <c r="G3" s="6239" t="s">
        <v>1526</v>
      </c>
      <c r="H3" s="6239"/>
      <c r="I3" s="6231" t="s">
        <v>680</v>
      </c>
      <c r="J3" s="6231"/>
      <c r="K3" s="6239" t="s">
        <v>1621</v>
      </c>
      <c r="L3" s="6239"/>
      <c r="M3" s="6213" t="s">
        <v>1622</v>
      </c>
      <c r="N3" s="6213"/>
      <c r="O3" s="6239" t="s">
        <v>1689</v>
      </c>
      <c r="P3" s="6239"/>
      <c r="Q3" s="6231" t="s">
        <v>672</v>
      </c>
      <c r="R3" s="6231"/>
      <c r="S3" s="6239" t="s">
        <v>1731</v>
      </c>
      <c r="T3" s="6239"/>
      <c r="U3" s="6231" t="s">
        <v>866</v>
      </c>
      <c r="V3" s="6231"/>
      <c r="W3" s="6239" t="s">
        <v>1812</v>
      </c>
      <c r="X3" s="6239"/>
      <c r="Y3" s="6213" t="s">
        <v>1813</v>
      </c>
      <c r="Z3" s="6213"/>
      <c r="AA3" s="6214" t="s">
        <v>520</v>
      </c>
      <c r="AB3" s="6214"/>
      <c r="AC3" s="6239" t="s">
        <v>1831</v>
      </c>
      <c r="AD3" s="6239"/>
      <c r="AE3" s="6231" t="s">
        <v>1148</v>
      </c>
      <c r="AF3" s="6231"/>
      <c r="AG3" s="6222" t="s">
        <v>1863</v>
      </c>
      <c r="AH3" s="6223"/>
      <c r="AI3" s="6224" t="s">
        <v>1864</v>
      </c>
      <c r="AJ3" s="6225"/>
      <c r="AK3" s="6239" t="s">
        <v>1888</v>
      </c>
      <c r="AL3" s="6239"/>
      <c r="AM3" s="6213" t="s">
        <v>1891</v>
      </c>
      <c r="AN3" s="6213"/>
      <c r="AO3" s="6231" t="s">
        <v>951</v>
      </c>
      <c r="AP3" s="6231"/>
      <c r="AQ3" s="6222" t="s">
        <v>1918</v>
      </c>
      <c r="AR3" s="6223"/>
      <c r="AS3" s="6224" t="s">
        <v>1919</v>
      </c>
      <c r="AT3" s="6225"/>
      <c r="AU3" s="6222" t="s">
        <v>1940</v>
      </c>
      <c r="AV3" s="6223"/>
      <c r="AW3" s="6224" t="s">
        <v>1941</v>
      </c>
      <c r="AX3" s="6225"/>
      <c r="AY3" s="6222" t="s">
        <v>1965</v>
      </c>
      <c r="AZ3" s="6223"/>
      <c r="BA3" s="6213" t="s">
        <v>1974</v>
      </c>
      <c r="BB3" s="6213"/>
      <c r="BC3" s="6214" t="s">
        <v>558</v>
      </c>
      <c r="BD3" s="6214"/>
      <c r="BE3" s="6224" t="s">
        <v>1513</v>
      </c>
      <c r="BF3" s="6225"/>
    </row>
    <row r="4" spans="1:62" ht="18.75" x14ac:dyDescent="0.25">
      <c r="A4" s="122"/>
      <c r="B4" s="6245"/>
      <c r="C4" s="6239"/>
      <c r="D4" s="6239"/>
      <c r="E4" s="1252" t="s">
        <v>177</v>
      </c>
      <c r="F4" s="1252" t="s">
        <v>178</v>
      </c>
      <c r="G4" s="1252" t="s">
        <v>177</v>
      </c>
      <c r="H4" s="1252" t="s">
        <v>178</v>
      </c>
      <c r="I4" s="2472" t="s">
        <v>177</v>
      </c>
      <c r="J4" s="2472" t="s">
        <v>178</v>
      </c>
      <c r="K4" s="1252" t="s">
        <v>177</v>
      </c>
      <c r="L4" s="1252" t="s">
        <v>178</v>
      </c>
      <c r="M4" s="2473" t="s">
        <v>177</v>
      </c>
      <c r="N4" s="2473" t="s">
        <v>178</v>
      </c>
      <c r="O4" s="1252" t="s">
        <v>177</v>
      </c>
      <c r="P4" s="1252" t="s">
        <v>178</v>
      </c>
      <c r="Q4" s="2472" t="s">
        <v>177</v>
      </c>
      <c r="R4" s="2472" t="s">
        <v>178</v>
      </c>
      <c r="S4" s="2563" t="s">
        <v>177</v>
      </c>
      <c r="T4" s="2563" t="s">
        <v>178</v>
      </c>
      <c r="U4" s="2559" t="s">
        <v>177</v>
      </c>
      <c r="V4" s="2559" t="s">
        <v>178</v>
      </c>
      <c r="W4" s="3397" t="s">
        <v>177</v>
      </c>
      <c r="X4" s="3397" t="s">
        <v>178</v>
      </c>
      <c r="Y4" s="3398" t="s">
        <v>177</v>
      </c>
      <c r="Z4" s="3398" t="s">
        <v>178</v>
      </c>
      <c r="AA4" s="3548" t="s">
        <v>177</v>
      </c>
      <c r="AB4" s="3548" t="s">
        <v>178</v>
      </c>
      <c r="AC4" s="4049" t="s">
        <v>177</v>
      </c>
      <c r="AD4" s="4049" t="s">
        <v>178</v>
      </c>
      <c r="AE4" s="4053" t="s">
        <v>177</v>
      </c>
      <c r="AF4" s="4053" t="s">
        <v>178</v>
      </c>
      <c r="AG4" s="4398" t="s">
        <v>177</v>
      </c>
      <c r="AH4" s="4398" t="s">
        <v>178</v>
      </c>
      <c r="AI4" s="4393" t="s">
        <v>177</v>
      </c>
      <c r="AJ4" s="4393" t="s">
        <v>178</v>
      </c>
      <c r="AK4" s="4278" t="s">
        <v>177</v>
      </c>
      <c r="AL4" s="4278" t="s">
        <v>178</v>
      </c>
      <c r="AM4" s="4281" t="s">
        <v>177</v>
      </c>
      <c r="AN4" s="4281" t="s">
        <v>178</v>
      </c>
      <c r="AO4" s="4279" t="s">
        <v>177</v>
      </c>
      <c r="AP4" s="4279" t="s">
        <v>178</v>
      </c>
      <c r="AQ4" s="4457" t="s">
        <v>177</v>
      </c>
      <c r="AR4" s="4457" t="s">
        <v>178</v>
      </c>
      <c r="AS4" s="4458" t="s">
        <v>177</v>
      </c>
      <c r="AT4" s="4458" t="s">
        <v>178</v>
      </c>
      <c r="AU4" s="4636" t="s">
        <v>177</v>
      </c>
      <c r="AV4" s="4636" t="s">
        <v>178</v>
      </c>
      <c r="AW4" s="4637" t="s">
        <v>177</v>
      </c>
      <c r="AX4" s="4637" t="s">
        <v>178</v>
      </c>
      <c r="AY4" s="5137" t="s">
        <v>177</v>
      </c>
      <c r="AZ4" s="5137" t="s">
        <v>178</v>
      </c>
      <c r="BA4" s="5138" t="s">
        <v>177</v>
      </c>
      <c r="BB4" s="5138" t="s">
        <v>178</v>
      </c>
      <c r="BC4" s="5142" t="s">
        <v>177</v>
      </c>
      <c r="BD4" s="5142" t="s">
        <v>178</v>
      </c>
      <c r="BE4" s="5126" t="s">
        <v>177</v>
      </c>
      <c r="BF4" s="5126" t="s">
        <v>178</v>
      </c>
    </row>
    <row r="5" spans="1:62" s="183" customFormat="1" ht="20.25" x14ac:dyDescent="0.25">
      <c r="A5" s="188"/>
      <c r="B5" s="1271" t="s">
        <v>324</v>
      </c>
      <c r="C5" s="334"/>
      <c r="D5" s="334"/>
      <c r="E5" s="334"/>
      <c r="F5" s="334"/>
      <c r="G5" s="334"/>
      <c r="H5" s="334"/>
      <c r="I5" s="334"/>
      <c r="J5" s="334"/>
      <c r="K5" s="334"/>
      <c r="L5" s="334"/>
      <c r="M5" s="334"/>
      <c r="N5" s="334"/>
      <c r="O5" s="334"/>
      <c r="P5" s="334"/>
      <c r="Q5" s="334"/>
      <c r="R5" s="334"/>
      <c r="S5" s="334"/>
      <c r="T5" s="334"/>
      <c r="U5" s="334"/>
      <c r="V5" s="334"/>
      <c r="W5" s="334"/>
      <c r="X5" s="334"/>
      <c r="Y5" s="334"/>
      <c r="Z5" s="334"/>
      <c r="AA5" s="334"/>
      <c r="AB5" s="334"/>
      <c r="AC5" s="334"/>
      <c r="AD5" s="334"/>
      <c r="AE5" s="334"/>
      <c r="AF5" s="334"/>
      <c r="AG5" s="334"/>
      <c r="AH5" s="334"/>
      <c r="AI5" s="334"/>
      <c r="AJ5" s="334"/>
      <c r="AK5" s="334"/>
      <c r="AL5" s="334"/>
      <c r="AM5" s="334"/>
      <c r="AN5" s="334"/>
      <c r="AO5" s="334"/>
      <c r="AP5" s="334"/>
      <c r="AQ5" s="334"/>
      <c r="AR5" s="334"/>
      <c r="AS5" s="334"/>
      <c r="AT5" s="334"/>
      <c r="AU5" s="334"/>
      <c r="AV5" s="334"/>
      <c r="AW5" s="334"/>
      <c r="AX5" s="334"/>
      <c r="AY5" s="334"/>
      <c r="AZ5" s="334"/>
      <c r="BA5" s="334"/>
      <c r="BB5" s="334"/>
      <c r="BC5" s="334"/>
      <c r="BD5" s="334"/>
      <c r="BE5" s="334"/>
      <c r="BF5" s="334"/>
    </row>
    <row r="6" spans="1:62" s="183" customFormat="1" ht="20.25" x14ac:dyDescent="0.25">
      <c r="A6" s="188"/>
      <c r="B6" s="1246" t="s">
        <v>117</v>
      </c>
      <c r="C6" s="299"/>
      <c r="D6" s="299"/>
      <c r="E6" s="299"/>
      <c r="F6" s="299"/>
      <c r="G6" s="299"/>
      <c r="H6" s="299"/>
      <c r="I6" s="299"/>
      <c r="J6" s="299"/>
      <c r="K6" s="299"/>
      <c r="L6" s="299"/>
      <c r="M6" s="299"/>
      <c r="N6" s="299"/>
      <c r="O6" s="299"/>
      <c r="P6" s="299"/>
      <c r="Q6" s="299"/>
      <c r="R6" s="299"/>
      <c r="S6" s="299"/>
      <c r="T6" s="299"/>
      <c r="U6" s="299"/>
      <c r="V6" s="299"/>
      <c r="W6" s="299"/>
      <c r="X6" s="299"/>
      <c r="Y6" s="299"/>
      <c r="Z6" s="299"/>
      <c r="AA6" s="299"/>
      <c r="AB6" s="299"/>
      <c r="AC6" s="299"/>
      <c r="AD6" s="299"/>
      <c r="AE6" s="299"/>
      <c r="AF6" s="299"/>
      <c r="AG6" s="299"/>
      <c r="AH6" s="299"/>
      <c r="AI6" s="299"/>
      <c r="AJ6" s="299"/>
      <c r="AK6" s="299"/>
      <c r="AL6" s="299"/>
      <c r="AM6" s="299"/>
      <c r="AN6" s="299"/>
      <c r="AO6" s="299"/>
      <c r="AP6" s="299"/>
      <c r="AQ6" s="299"/>
      <c r="AR6" s="299"/>
      <c r="AS6" s="299"/>
      <c r="AT6" s="299"/>
      <c r="AU6" s="299"/>
      <c r="AV6" s="299"/>
      <c r="AW6" s="299"/>
      <c r="AX6" s="299"/>
      <c r="AY6" s="299"/>
      <c r="AZ6" s="299"/>
      <c r="BA6" s="299"/>
      <c r="BB6" s="299"/>
      <c r="BC6" s="299"/>
      <c r="BD6" s="299"/>
      <c r="BE6" s="299"/>
      <c r="BF6" s="299"/>
    </row>
    <row r="7" spans="1:62" ht="20.25" x14ac:dyDescent="0.25">
      <c r="A7" s="122"/>
      <c r="B7" s="2003" t="s">
        <v>77</v>
      </c>
      <c r="C7" s="243" t="s">
        <v>52</v>
      </c>
      <c r="D7" s="6238">
        <v>428500</v>
      </c>
      <c r="E7" s="6238">
        <f>'Maj Production Summ'!E28-E9-E10-E11</f>
        <v>36300</v>
      </c>
      <c r="F7" s="245">
        <v>20341.700000000008</v>
      </c>
      <c r="G7" s="6238">
        <f>'Maj Production Summ'!G28-G9-G10-G11</f>
        <v>31400</v>
      </c>
      <c r="H7" s="245">
        <v>22118.239999999998</v>
      </c>
      <c r="I7" s="6219">
        <f>E7+G7</f>
        <v>67700</v>
      </c>
      <c r="J7" s="2457">
        <f>F7+H7</f>
        <v>42459.94</v>
      </c>
      <c r="K7" s="6238">
        <f>'Maj Production Summ'!K28-K9-K10-K11</f>
        <v>28900</v>
      </c>
      <c r="L7" s="245">
        <v>28473.699999999997</v>
      </c>
      <c r="M7" s="6215">
        <f>I7+K7</f>
        <v>96600</v>
      </c>
      <c r="N7" s="300">
        <f>J7+L7</f>
        <v>70933.64</v>
      </c>
      <c r="O7" s="6238">
        <f>'Maj Production Summ'!O28-O9-O10-O11</f>
        <v>37400</v>
      </c>
      <c r="P7" s="245">
        <v>24809.119999999999</v>
      </c>
      <c r="Q7" s="6219">
        <f>M7+O7</f>
        <v>134000</v>
      </c>
      <c r="R7" s="2457">
        <f>N7+P7</f>
        <v>95742.76</v>
      </c>
      <c r="S7" s="6238">
        <f>'Maj Production Summ'!S28-S9-S10-S11</f>
        <v>37400</v>
      </c>
      <c r="T7" s="245">
        <v>41501.949999999968</v>
      </c>
      <c r="U7" s="6219">
        <f>Q7+S7</f>
        <v>171400</v>
      </c>
      <c r="V7" s="2557">
        <f>R7+T7</f>
        <v>137244.70999999996</v>
      </c>
      <c r="W7" s="6238">
        <f>'Maj Production Summ'!W28-W9-W10-W11</f>
        <v>36300</v>
      </c>
      <c r="X7" s="245">
        <v>36102.400000000009</v>
      </c>
      <c r="Y7" s="6215">
        <f>O7+S7+W7</f>
        <v>111100</v>
      </c>
      <c r="Z7" s="3396">
        <f>P7+T7+X7</f>
        <v>102413.46999999997</v>
      </c>
      <c r="AA7" s="6216">
        <f>M7+Y7</f>
        <v>207700</v>
      </c>
      <c r="AB7" s="3550">
        <f>N7+Z7</f>
        <v>173347.11</v>
      </c>
      <c r="AC7" s="6238">
        <f>'Maj Production Summ'!AC28-AC9-AC10-AC11</f>
        <v>37400</v>
      </c>
      <c r="AD7" s="245">
        <v>33739.030000000006</v>
      </c>
      <c r="AE7" s="6219">
        <f>AA7+AC7</f>
        <v>245100</v>
      </c>
      <c r="AF7" s="4050">
        <f>AB7+AD7</f>
        <v>207086.13999999998</v>
      </c>
      <c r="AG7" s="6217">
        <f>'Maj Production Summ'!AG28-AG9-AG10-AG11</f>
        <v>36400</v>
      </c>
      <c r="AH7" s="245">
        <v>19427.45</v>
      </c>
      <c r="AI7" s="6220">
        <f>AE7+AG7</f>
        <v>281500</v>
      </c>
      <c r="AJ7" s="4394">
        <f>AF7+AH7</f>
        <v>226513.59</v>
      </c>
      <c r="AK7" s="6238">
        <f>'Maj Production Summ'!AK28-AK9-AK10-AK11</f>
        <v>37400</v>
      </c>
      <c r="AL7" s="245">
        <v>19746.249999999996</v>
      </c>
      <c r="AM7" s="6215">
        <f>AC7+AG7+AK7</f>
        <v>111200</v>
      </c>
      <c r="AN7" s="4282">
        <f>AD7+AH7+AL7</f>
        <v>72912.73000000001</v>
      </c>
      <c r="AO7" s="6219">
        <f>AI7+AK7</f>
        <v>318900</v>
      </c>
      <c r="AP7" s="4277">
        <f>AJ7+AL7</f>
        <v>246259.84</v>
      </c>
      <c r="AQ7" s="6217">
        <f>'Maj Production Summ'!AQ28-AQ9-AQ10-AQ11</f>
        <v>37300</v>
      </c>
      <c r="AR7" s="245">
        <v>31632.890000000007</v>
      </c>
      <c r="AS7" s="6220">
        <f>AO7+AQ7</f>
        <v>356200</v>
      </c>
      <c r="AT7" s="4456">
        <f>AP7+AR7</f>
        <v>277892.73</v>
      </c>
      <c r="AU7" s="6217">
        <f>'Maj Production Summ'!AU28-AU9-AU10-AU11</f>
        <v>34900</v>
      </c>
      <c r="AV7" s="245">
        <v>20672.7</v>
      </c>
      <c r="AW7" s="6220">
        <f>AS7+AU7</f>
        <v>391100</v>
      </c>
      <c r="AX7" s="4635">
        <f>AT7+AV7</f>
        <v>298565.43</v>
      </c>
      <c r="AY7" s="6217">
        <f>'Maj Production Summ'!AY28-AY9-AY10-AY11</f>
        <v>37400</v>
      </c>
      <c r="AZ7" s="245">
        <v>31966.900000000009</v>
      </c>
      <c r="BA7" s="6215">
        <f>AQ7+AU7+AY7</f>
        <v>109600</v>
      </c>
      <c r="BB7" s="5136">
        <f>AR7+AV7+AZ7</f>
        <v>84272.49000000002</v>
      </c>
      <c r="BC7" s="6216">
        <f>AM7+BA7</f>
        <v>220800</v>
      </c>
      <c r="BD7" s="5143">
        <f>AN7+BB7</f>
        <v>157185.22000000003</v>
      </c>
      <c r="BE7" s="6220">
        <f>AW7+AY7</f>
        <v>428500</v>
      </c>
      <c r="BF7" s="5127">
        <f>AX7+AZ7</f>
        <v>330532.33</v>
      </c>
      <c r="BG7" s="26"/>
      <c r="BH7" s="26"/>
      <c r="BI7" s="26"/>
      <c r="BJ7" s="26"/>
    </row>
    <row r="8" spans="1:62" ht="20.25" x14ac:dyDescent="0.25">
      <c r="A8" s="122"/>
      <c r="B8" s="2003" t="s">
        <v>78</v>
      </c>
      <c r="C8" s="243" t="s">
        <v>52</v>
      </c>
      <c r="D8" s="6238"/>
      <c r="E8" s="6238"/>
      <c r="F8" s="2456">
        <v>12369.18</v>
      </c>
      <c r="G8" s="6238"/>
      <c r="H8" s="2456">
        <v>8050.5199999999986</v>
      </c>
      <c r="I8" s="6219"/>
      <c r="J8" s="2457">
        <f t="shared" ref="J8:J47" si="0">F8+H8</f>
        <v>20419.699999999997</v>
      </c>
      <c r="K8" s="6238"/>
      <c r="L8" s="2456">
        <v>1090.1399999999999</v>
      </c>
      <c r="M8" s="6215"/>
      <c r="N8" s="300">
        <f t="shared" ref="N8:N11" si="1">J8+L8</f>
        <v>21509.839999999997</v>
      </c>
      <c r="O8" s="6238"/>
      <c r="P8" s="2456">
        <v>11551.780000000002</v>
      </c>
      <c r="Q8" s="6219"/>
      <c r="R8" s="2457">
        <f t="shared" ref="R8:R12" si="2">N8+P8</f>
        <v>33061.619999999995</v>
      </c>
      <c r="S8" s="6238"/>
      <c r="T8" s="2562">
        <v>6665.7400000000016</v>
      </c>
      <c r="U8" s="6219"/>
      <c r="V8" s="2557">
        <f t="shared" ref="V8:V12" si="3">R8+T8</f>
        <v>39727.360000000001</v>
      </c>
      <c r="W8" s="6238"/>
      <c r="X8" s="3395">
        <v>1397.2</v>
      </c>
      <c r="Y8" s="6215"/>
      <c r="Z8" s="3957">
        <f t="shared" ref="Z8:Z11" si="4">P8+T8+X8</f>
        <v>19614.720000000005</v>
      </c>
      <c r="AA8" s="6216"/>
      <c r="AB8" s="3550">
        <f>N8+Z8</f>
        <v>41124.559999999998</v>
      </c>
      <c r="AC8" s="6238"/>
      <c r="AD8" s="4048">
        <v>2774.4</v>
      </c>
      <c r="AE8" s="6219"/>
      <c r="AF8" s="4050">
        <f t="shared" ref="AF8:AF12" si="5">AB8+AD8</f>
        <v>43898.96</v>
      </c>
      <c r="AG8" s="6218"/>
      <c r="AH8" s="4397">
        <v>15822.720000000003</v>
      </c>
      <c r="AI8" s="6221"/>
      <c r="AJ8" s="4394">
        <f t="shared" ref="AJ8:AJ12" si="6">AF8+AH8</f>
        <v>59721.68</v>
      </c>
      <c r="AK8" s="6238"/>
      <c r="AL8" s="4276">
        <v>17246.820000000003</v>
      </c>
      <c r="AM8" s="6215"/>
      <c r="AN8" s="4282">
        <f t="shared" ref="AN8:AN11" si="7">AD8+AH8+AL8</f>
        <v>35843.94</v>
      </c>
      <c r="AO8" s="6219"/>
      <c r="AP8" s="4277">
        <f t="shared" ref="AP8:AP11" si="8">AJ8+AL8</f>
        <v>76968.5</v>
      </c>
      <c r="AQ8" s="6218"/>
      <c r="AR8" s="4455">
        <v>11984.54</v>
      </c>
      <c r="AS8" s="6221"/>
      <c r="AT8" s="4456">
        <f t="shared" ref="AT8:AT12" si="9">AP8+AR8</f>
        <v>88953.040000000008</v>
      </c>
      <c r="AU8" s="6218"/>
      <c r="AV8" s="4634">
        <v>14338.960000000005</v>
      </c>
      <c r="AW8" s="6221"/>
      <c r="AX8" s="4635">
        <f t="shared" ref="AX8:AX12" si="10">AT8+AV8</f>
        <v>103292.00000000001</v>
      </c>
      <c r="AY8" s="6218"/>
      <c r="AZ8" s="5135">
        <v>7930.119999999999</v>
      </c>
      <c r="BA8" s="6215"/>
      <c r="BB8" s="5136">
        <f t="shared" ref="BB8:BB11" si="11">AR8+AV8+AZ8</f>
        <v>34253.62000000001</v>
      </c>
      <c r="BC8" s="6216"/>
      <c r="BD8" s="5143">
        <f t="shared" ref="BD8:BD11" si="12">AN8+BB8</f>
        <v>70097.560000000012</v>
      </c>
      <c r="BE8" s="6221"/>
      <c r="BF8" s="5127">
        <f t="shared" ref="BF8:BF12" si="13">AX8+AZ8</f>
        <v>111222.12000000001</v>
      </c>
      <c r="BG8" s="26"/>
      <c r="BH8" s="26"/>
      <c r="BI8" s="26"/>
      <c r="BJ8" s="26"/>
    </row>
    <row r="9" spans="1:62" ht="20.25" x14ac:dyDescent="0.25">
      <c r="A9" s="122"/>
      <c r="B9" s="2003" t="s">
        <v>141</v>
      </c>
      <c r="C9" s="243" t="s">
        <v>52</v>
      </c>
      <c r="D9" s="2456">
        <v>70000</v>
      </c>
      <c r="E9" s="2456">
        <v>6000</v>
      </c>
      <c r="F9" s="245">
        <v>3952.2000000000007</v>
      </c>
      <c r="G9" s="2456">
        <v>5000</v>
      </c>
      <c r="H9" s="245">
        <v>2739.9</v>
      </c>
      <c r="I9" s="2457">
        <f>E9+G9</f>
        <v>11000</v>
      </c>
      <c r="J9" s="2457">
        <f t="shared" si="0"/>
        <v>6692.1</v>
      </c>
      <c r="K9" s="2456">
        <v>5000</v>
      </c>
      <c r="L9" s="245">
        <v>2659.6200000000003</v>
      </c>
      <c r="M9" s="300">
        <f>I9+K9</f>
        <v>16000</v>
      </c>
      <c r="N9" s="300">
        <f t="shared" si="1"/>
        <v>9351.7200000000012</v>
      </c>
      <c r="O9" s="2456">
        <v>6000</v>
      </c>
      <c r="P9" s="245">
        <v>4680.0800000000008</v>
      </c>
      <c r="Q9" s="2457">
        <f>M9+O9</f>
        <v>22000</v>
      </c>
      <c r="R9" s="2457">
        <f t="shared" si="2"/>
        <v>14031.800000000003</v>
      </c>
      <c r="S9" s="2562">
        <v>6000</v>
      </c>
      <c r="T9" s="245">
        <v>0</v>
      </c>
      <c r="U9" s="2557">
        <f>Q9+S9</f>
        <v>28000</v>
      </c>
      <c r="V9" s="2557">
        <f t="shared" si="3"/>
        <v>14031.800000000003</v>
      </c>
      <c r="W9" s="4013">
        <v>6000</v>
      </c>
      <c r="X9" s="245">
        <v>5539.739999999998</v>
      </c>
      <c r="Y9" s="3396">
        <f>O9+S9+W9</f>
        <v>18000</v>
      </c>
      <c r="Z9" s="3957">
        <f t="shared" si="4"/>
        <v>10219.82</v>
      </c>
      <c r="AA9" s="3550">
        <f>M9+Y9</f>
        <v>34000</v>
      </c>
      <c r="AB9" s="3550">
        <f>N9+Z9</f>
        <v>19571.54</v>
      </c>
      <c r="AC9" s="4048">
        <v>6000</v>
      </c>
      <c r="AD9" s="245">
        <v>5411.1600000000008</v>
      </c>
      <c r="AE9" s="4050">
        <f>AA9+AC9</f>
        <v>40000</v>
      </c>
      <c r="AF9" s="4050">
        <f t="shared" si="5"/>
        <v>24982.7</v>
      </c>
      <c r="AG9" s="4397">
        <v>6000</v>
      </c>
      <c r="AH9" s="245">
        <v>2756</v>
      </c>
      <c r="AI9" s="4394">
        <f>AE9+AG9</f>
        <v>46000</v>
      </c>
      <c r="AJ9" s="4394">
        <f t="shared" si="6"/>
        <v>27738.7</v>
      </c>
      <c r="AK9" s="4276">
        <v>6000</v>
      </c>
      <c r="AL9" s="245">
        <v>2693.4600000000005</v>
      </c>
      <c r="AM9" s="4282">
        <f>AC9+AG9+AK9</f>
        <v>18000</v>
      </c>
      <c r="AN9" s="4282">
        <f t="shared" si="7"/>
        <v>10860.62</v>
      </c>
      <c r="AO9" s="4277">
        <f>AI9+AK9</f>
        <v>52000</v>
      </c>
      <c r="AP9" s="4277">
        <f t="shared" si="8"/>
        <v>30432.16</v>
      </c>
      <c r="AQ9" s="4455">
        <v>6000</v>
      </c>
      <c r="AR9" s="245">
        <v>0</v>
      </c>
      <c r="AS9" s="4456">
        <f>AO9+AQ9</f>
        <v>58000</v>
      </c>
      <c r="AT9" s="4456">
        <f t="shared" si="9"/>
        <v>30432.16</v>
      </c>
      <c r="AU9" s="4634">
        <v>6000</v>
      </c>
      <c r="AV9" s="245">
        <v>0</v>
      </c>
      <c r="AW9" s="4635">
        <f>AS9+AU9</f>
        <v>64000</v>
      </c>
      <c r="AX9" s="4635">
        <f t="shared" si="10"/>
        <v>30432.16</v>
      </c>
      <c r="AY9" s="5135">
        <v>6000</v>
      </c>
      <c r="AZ9" s="245">
        <v>1307.5999999999999</v>
      </c>
      <c r="BA9" s="5136">
        <f>AQ9+AU9+AY9</f>
        <v>18000</v>
      </c>
      <c r="BB9" s="5136">
        <f t="shared" si="11"/>
        <v>1307.5999999999999</v>
      </c>
      <c r="BC9" s="5143">
        <f t="shared" ref="BC9:BC11" si="14">AM9+BA9</f>
        <v>36000</v>
      </c>
      <c r="BD9" s="5143">
        <f t="shared" si="12"/>
        <v>12168.220000000001</v>
      </c>
      <c r="BE9" s="5127">
        <f>AW9+AY9</f>
        <v>70000</v>
      </c>
      <c r="BF9" s="5127">
        <f t="shared" si="13"/>
        <v>31739.759999999998</v>
      </c>
      <c r="BG9" s="26"/>
      <c r="BH9" s="26"/>
      <c r="BI9" s="26"/>
      <c r="BJ9" s="26"/>
    </row>
    <row r="10" spans="1:62" ht="20.25" x14ac:dyDescent="0.25">
      <c r="A10" s="122"/>
      <c r="B10" s="2003" t="s">
        <v>79</v>
      </c>
      <c r="C10" s="243" t="s">
        <v>52</v>
      </c>
      <c r="D10" s="245">
        <v>0</v>
      </c>
      <c r="E10" s="245">
        <v>0</v>
      </c>
      <c r="F10" s="245">
        <v>0</v>
      </c>
      <c r="G10" s="245">
        <v>0</v>
      </c>
      <c r="H10" s="245">
        <v>0</v>
      </c>
      <c r="I10" s="2457">
        <f>E10+G10</f>
        <v>0</v>
      </c>
      <c r="J10" s="2457">
        <f t="shared" si="0"/>
        <v>0</v>
      </c>
      <c r="K10" s="245">
        <v>0</v>
      </c>
      <c r="L10" s="245">
        <v>0</v>
      </c>
      <c r="M10" s="300">
        <f>I10+K10</f>
        <v>0</v>
      </c>
      <c r="N10" s="300">
        <f t="shared" si="1"/>
        <v>0</v>
      </c>
      <c r="O10" s="245"/>
      <c r="P10" s="245">
        <v>0</v>
      </c>
      <c r="Q10" s="2457">
        <f>M10+O10</f>
        <v>0</v>
      </c>
      <c r="R10" s="2457">
        <f t="shared" si="2"/>
        <v>0</v>
      </c>
      <c r="S10" s="245">
        <v>0</v>
      </c>
      <c r="T10" s="245">
        <v>0</v>
      </c>
      <c r="U10" s="2557">
        <f>Q10+S10</f>
        <v>0</v>
      </c>
      <c r="V10" s="2557">
        <f t="shared" si="3"/>
        <v>0</v>
      </c>
      <c r="W10" s="245">
        <v>0</v>
      </c>
      <c r="X10" s="245">
        <v>0</v>
      </c>
      <c r="Y10" s="3396">
        <f t="shared" ref="Y10:Y11" si="15">O10+S10+W10</f>
        <v>0</v>
      </c>
      <c r="Z10" s="3957">
        <f t="shared" si="4"/>
        <v>0</v>
      </c>
      <c r="AA10" s="3550">
        <f>M10+Y10</f>
        <v>0</v>
      </c>
      <c r="AB10" s="3550">
        <f>N10+Z10</f>
        <v>0</v>
      </c>
      <c r="AC10" s="245">
        <v>0</v>
      </c>
      <c r="AD10" s="245">
        <v>0</v>
      </c>
      <c r="AE10" s="4050">
        <f>AA10+AC10</f>
        <v>0</v>
      </c>
      <c r="AF10" s="4050">
        <f t="shared" si="5"/>
        <v>0</v>
      </c>
      <c r="AG10" s="245"/>
      <c r="AH10" s="245">
        <v>0</v>
      </c>
      <c r="AI10" s="4394">
        <f>AE10+AG10</f>
        <v>0</v>
      </c>
      <c r="AJ10" s="4394">
        <f t="shared" si="6"/>
        <v>0</v>
      </c>
      <c r="AK10" s="245"/>
      <c r="AL10" s="245">
        <v>0</v>
      </c>
      <c r="AM10" s="4282">
        <f t="shared" ref="AM10:AM11" si="16">AC10+AG10+AK10</f>
        <v>0</v>
      </c>
      <c r="AN10" s="4282">
        <f t="shared" si="7"/>
        <v>0</v>
      </c>
      <c r="AO10" s="4277">
        <f t="shared" ref="AO10:AO12" si="17">AI10+AK10</f>
        <v>0</v>
      </c>
      <c r="AP10" s="4277">
        <f t="shared" si="8"/>
        <v>0</v>
      </c>
      <c r="AQ10" s="245">
        <v>0</v>
      </c>
      <c r="AR10" s="245">
        <v>0</v>
      </c>
      <c r="AS10" s="4456">
        <f>AO10+AQ10</f>
        <v>0</v>
      </c>
      <c r="AT10" s="4456">
        <f t="shared" si="9"/>
        <v>0</v>
      </c>
      <c r="AU10" s="245">
        <v>0</v>
      </c>
      <c r="AV10" s="245">
        <v>0</v>
      </c>
      <c r="AW10" s="4635">
        <f>AS10+AU10</f>
        <v>0</v>
      </c>
      <c r="AX10" s="4635">
        <f t="shared" si="10"/>
        <v>0</v>
      </c>
      <c r="AY10" s="245">
        <v>0</v>
      </c>
      <c r="AZ10" s="245">
        <v>0</v>
      </c>
      <c r="BA10" s="5136">
        <f t="shared" ref="BA10:BA11" si="18">AQ10+AU10+AY10</f>
        <v>0</v>
      </c>
      <c r="BB10" s="5136">
        <f t="shared" si="11"/>
        <v>0</v>
      </c>
      <c r="BC10" s="5143">
        <f t="shared" si="14"/>
        <v>0</v>
      </c>
      <c r="BD10" s="5143">
        <f t="shared" si="12"/>
        <v>0</v>
      </c>
      <c r="BE10" s="5127">
        <f>AW10+AY10</f>
        <v>0</v>
      </c>
      <c r="BF10" s="5127">
        <f t="shared" si="13"/>
        <v>0</v>
      </c>
      <c r="BG10" s="26"/>
      <c r="BH10" s="26"/>
      <c r="BI10" s="26"/>
      <c r="BJ10" s="26"/>
    </row>
    <row r="11" spans="1:62" ht="20.25" x14ac:dyDescent="0.25">
      <c r="A11" s="122"/>
      <c r="B11" s="2003" t="s">
        <v>580</v>
      </c>
      <c r="C11" s="243" t="s">
        <v>52</v>
      </c>
      <c r="D11" s="2474">
        <v>1500</v>
      </c>
      <c r="E11" s="2474">
        <v>200</v>
      </c>
      <c r="F11" s="245">
        <v>65</v>
      </c>
      <c r="G11" s="2474">
        <v>100</v>
      </c>
      <c r="H11" s="245">
        <v>0</v>
      </c>
      <c r="I11" s="2457">
        <f t="shared" ref="I11:I12" si="19">E11+G11</f>
        <v>300</v>
      </c>
      <c r="J11" s="2457">
        <f t="shared" si="0"/>
        <v>65</v>
      </c>
      <c r="K11" s="2474">
        <v>100</v>
      </c>
      <c r="L11" s="245">
        <v>0</v>
      </c>
      <c r="M11" s="300">
        <f t="shared" ref="M11" si="20">I11+K11</f>
        <v>400</v>
      </c>
      <c r="N11" s="300">
        <f t="shared" si="1"/>
        <v>65</v>
      </c>
      <c r="O11" s="2474">
        <v>100</v>
      </c>
      <c r="P11" s="245">
        <v>0</v>
      </c>
      <c r="Q11" s="2457">
        <f t="shared" ref="Q11:Q12" si="21">M11+O11</f>
        <v>500</v>
      </c>
      <c r="R11" s="2457">
        <f t="shared" si="2"/>
        <v>65</v>
      </c>
      <c r="S11" s="2474">
        <v>100</v>
      </c>
      <c r="T11" s="245">
        <v>0</v>
      </c>
      <c r="U11" s="2557">
        <f t="shared" ref="U11:U12" si="22">Q11+S11</f>
        <v>600</v>
      </c>
      <c r="V11" s="2557">
        <f t="shared" si="3"/>
        <v>65</v>
      </c>
      <c r="W11" s="2474">
        <v>200</v>
      </c>
      <c r="X11" s="245">
        <v>0</v>
      </c>
      <c r="Y11" s="3396">
        <f t="shared" si="15"/>
        <v>400</v>
      </c>
      <c r="Z11" s="3957">
        <f t="shared" si="4"/>
        <v>0</v>
      </c>
      <c r="AA11" s="3550">
        <f>M11+Y11</f>
        <v>800</v>
      </c>
      <c r="AB11" s="3550">
        <f>N11+Z11</f>
        <v>65</v>
      </c>
      <c r="AC11" s="2474">
        <v>100</v>
      </c>
      <c r="AD11" s="245">
        <v>0</v>
      </c>
      <c r="AE11" s="4050">
        <f t="shared" ref="AE11:AE12" si="23">AA11+AC11</f>
        <v>900</v>
      </c>
      <c r="AF11" s="4050">
        <f t="shared" si="5"/>
        <v>65</v>
      </c>
      <c r="AG11" s="2474">
        <v>100</v>
      </c>
      <c r="AH11" s="245">
        <v>0</v>
      </c>
      <c r="AI11" s="4394">
        <f t="shared" ref="AI11:AI12" si="24">AE11+AG11</f>
        <v>1000</v>
      </c>
      <c r="AJ11" s="4394">
        <f t="shared" si="6"/>
        <v>65</v>
      </c>
      <c r="AK11" s="2474">
        <v>100</v>
      </c>
      <c r="AL11" s="245">
        <v>0</v>
      </c>
      <c r="AM11" s="4282">
        <f t="shared" si="16"/>
        <v>300</v>
      </c>
      <c r="AN11" s="4282">
        <f t="shared" si="7"/>
        <v>0</v>
      </c>
      <c r="AO11" s="4277">
        <f t="shared" si="17"/>
        <v>1100</v>
      </c>
      <c r="AP11" s="4277">
        <f t="shared" si="8"/>
        <v>65</v>
      </c>
      <c r="AQ11" s="2474">
        <v>200</v>
      </c>
      <c r="AR11" s="245">
        <v>0</v>
      </c>
      <c r="AS11" s="4456">
        <f t="shared" ref="AS11:AS12" si="25">AO11+AQ11</f>
        <v>1300</v>
      </c>
      <c r="AT11" s="4456">
        <f t="shared" si="9"/>
        <v>65</v>
      </c>
      <c r="AU11" s="2474">
        <v>100</v>
      </c>
      <c r="AV11" s="245">
        <v>0</v>
      </c>
      <c r="AW11" s="4635">
        <f t="shared" ref="AW11:AW12" si="26">AS11+AU11</f>
        <v>1400</v>
      </c>
      <c r="AX11" s="4635">
        <f t="shared" si="10"/>
        <v>65</v>
      </c>
      <c r="AY11" s="2474">
        <v>100</v>
      </c>
      <c r="AZ11" s="245">
        <v>0</v>
      </c>
      <c r="BA11" s="5136">
        <f t="shared" si="18"/>
        <v>400</v>
      </c>
      <c r="BB11" s="5136">
        <f t="shared" si="11"/>
        <v>0</v>
      </c>
      <c r="BC11" s="5143">
        <f t="shared" si="14"/>
        <v>700</v>
      </c>
      <c r="BD11" s="5143">
        <f t="shared" si="12"/>
        <v>0</v>
      </c>
      <c r="BE11" s="5127">
        <f t="shared" ref="BE11:BE12" si="27">AW11+AY11</f>
        <v>1500</v>
      </c>
      <c r="BF11" s="5127">
        <f t="shared" si="13"/>
        <v>65</v>
      </c>
      <c r="BG11" s="26"/>
      <c r="BH11" s="26"/>
      <c r="BI11" s="26"/>
      <c r="BJ11" s="26"/>
    </row>
    <row r="12" spans="1:62" ht="21.2" customHeight="1" x14ac:dyDescent="0.25">
      <c r="A12" s="122"/>
      <c r="B12" s="2463" t="s">
        <v>2</v>
      </c>
      <c r="C12" s="1252" t="s">
        <v>52</v>
      </c>
      <c r="D12" s="781">
        <f>SUM(D7:D11)</f>
        <v>500000</v>
      </c>
      <c r="E12" s="781">
        <f t="shared" ref="E12:F12" si="28">SUM(E7:E11)</f>
        <v>42500</v>
      </c>
      <c r="F12" s="781">
        <f t="shared" si="28"/>
        <v>36728.080000000009</v>
      </c>
      <c r="G12" s="781">
        <f t="shared" ref="G12:H12" si="29">SUM(G7:G11)</f>
        <v>36500</v>
      </c>
      <c r="H12" s="781">
        <f t="shared" si="29"/>
        <v>32908.659999999996</v>
      </c>
      <c r="I12" s="782">
        <f t="shared" si="19"/>
        <v>79000</v>
      </c>
      <c r="J12" s="782">
        <f t="shared" si="0"/>
        <v>69636.740000000005</v>
      </c>
      <c r="K12" s="781">
        <f t="shared" ref="K12:L12" si="30">SUM(K7:K11)</f>
        <v>34000</v>
      </c>
      <c r="L12" s="781">
        <f t="shared" si="30"/>
        <v>32223.459999999995</v>
      </c>
      <c r="M12" s="783">
        <f>E12+G12+K12</f>
        <v>113000</v>
      </c>
      <c r="N12" s="783">
        <f>F12+H12+L12</f>
        <v>101860.2</v>
      </c>
      <c r="O12" s="781">
        <f t="shared" ref="O12:P12" si="31">SUM(O7:O11)</f>
        <v>43500</v>
      </c>
      <c r="P12" s="781">
        <f t="shared" si="31"/>
        <v>41040.980000000003</v>
      </c>
      <c r="Q12" s="782">
        <f t="shared" si="21"/>
        <v>156500</v>
      </c>
      <c r="R12" s="782">
        <f t="shared" si="2"/>
        <v>142901.18</v>
      </c>
      <c r="S12" s="2560">
        <f t="shared" ref="S12:T12" si="32">SUM(S7:S11)</f>
        <v>43500</v>
      </c>
      <c r="T12" s="2560">
        <f t="shared" si="32"/>
        <v>48167.689999999973</v>
      </c>
      <c r="U12" s="2558">
        <f t="shared" si="22"/>
        <v>200000</v>
      </c>
      <c r="V12" s="2558">
        <f t="shared" si="3"/>
        <v>191068.86999999997</v>
      </c>
      <c r="W12" s="3392">
        <f t="shared" ref="W12:X12" si="33">SUM(W7:W11)</f>
        <v>42500</v>
      </c>
      <c r="X12" s="3392">
        <f t="shared" si="33"/>
        <v>43039.340000000004</v>
      </c>
      <c r="Y12" s="3393">
        <f>O12+S12+W12</f>
        <v>129500</v>
      </c>
      <c r="Z12" s="3393">
        <f>P12+T12+X12</f>
        <v>132248.00999999998</v>
      </c>
      <c r="AA12" s="3551">
        <f>M12+Y12</f>
        <v>242500</v>
      </c>
      <c r="AB12" s="3551">
        <f>N12+Z12</f>
        <v>234108.20999999996</v>
      </c>
      <c r="AC12" s="4046">
        <f t="shared" ref="AC12:AD12" si="34">SUM(AC7:AC11)</f>
        <v>43500</v>
      </c>
      <c r="AD12" s="4046">
        <f t="shared" si="34"/>
        <v>41924.590000000011</v>
      </c>
      <c r="AE12" s="4051">
        <f t="shared" si="23"/>
        <v>286000</v>
      </c>
      <c r="AF12" s="4051">
        <f t="shared" si="5"/>
        <v>276032.8</v>
      </c>
      <c r="AG12" s="4395">
        <f t="shared" ref="AG12:AH12" si="35">SUM(AG7:AG11)</f>
        <v>42500</v>
      </c>
      <c r="AH12" s="4395">
        <f t="shared" si="35"/>
        <v>38006.170000000006</v>
      </c>
      <c r="AI12" s="4392">
        <f t="shared" si="24"/>
        <v>328500</v>
      </c>
      <c r="AJ12" s="4392">
        <f t="shared" si="6"/>
        <v>314038.96999999997</v>
      </c>
      <c r="AK12" s="4272">
        <f t="shared" ref="AK12:AL12" si="36">SUM(AK7:AK11)</f>
        <v>43500</v>
      </c>
      <c r="AL12" s="4272">
        <f t="shared" si="36"/>
        <v>39686.53</v>
      </c>
      <c r="AM12" s="4283">
        <f>AC12+AG12+AK12</f>
        <v>129500</v>
      </c>
      <c r="AN12" s="4283">
        <f>AD12+AH12+AL12</f>
        <v>119617.29000000001</v>
      </c>
      <c r="AO12" s="4273">
        <f t="shared" si="17"/>
        <v>372000</v>
      </c>
      <c r="AP12" s="4273">
        <f>AJ12+AL12</f>
        <v>353725.5</v>
      </c>
      <c r="AQ12" s="4452">
        <f t="shared" ref="AQ12:AR12" si="37">SUM(AQ7:AQ11)</f>
        <v>43500</v>
      </c>
      <c r="AR12" s="4452">
        <f t="shared" si="37"/>
        <v>43617.430000000008</v>
      </c>
      <c r="AS12" s="4453">
        <f t="shared" si="25"/>
        <v>415500</v>
      </c>
      <c r="AT12" s="4453">
        <f t="shared" si="9"/>
        <v>397342.93</v>
      </c>
      <c r="AU12" s="4629">
        <f t="shared" ref="AU12:AV12" si="38">SUM(AU7:AU11)</f>
        <v>41000</v>
      </c>
      <c r="AV12" s="4629">
        <f t="shared" si="38"/>
        <v>35011.660000000003</v>
      </c>
      <c r="AW12" s="4630">
        <f t="shared" si="26"/>
        <v>456500</v>
      </c>
      <c r="AX12" s="4630">
        <f t="shared" si="10"/>
        <v>432354.58999999997</v>
      </c>
      <c r="AY12" s="5128">
        <f t="shared" ref="AY12:AZ12" si="39">SUM(AY7:AY11)</f>
        <v>43500</v>
      </c>
      <c r="AZ12" s="5128">
        <f t="shared" si="39"/>
        <v>41204.620000000003</v>
      </c>
      <c r="BA12" s="5129">
        <f>AQ12+AU12+AY12</f>
        <v>128000</v>
      </c>
      <c r="BB12" s="5129">
        <f>AR12+AV12+AZ12</f>
        <v>119833.71000000002</v>
      </c>
      <c r="BC12" s="5140">
        <f>AM12+BA12</f>
        <v>257500</v>
      </c>
      <c r="BD12" s="5140">
        <f>AN12+BB12</f>
        <v>239451.00000000003</v>
      </c>
      <c r="BE12" s="5124">
        <f t="shared" si="27"/>
        <v>500000</v>
      </c>
      <c r="BF12" s="5124">
        <f t="shared" si="13"/>
        <v>473559.20999999996</v>
      </c>
      <c r="BG12" s="26"/>
      <c r="BH12" s="26"/>
      <c r="BI12" s="26"/>
      <c r="BJ12" s="26"/>
    </row>
    <row r="13" spans="1:62" s="183" customFormat="1" ht="20.25" x14ac:dyDescent="0.25">
      <c r="B13" s="1246" t="s">
        <v>98</v>
      </c>
      <c r="C13" s="528"/>
      <c r="D13" s="528"/>
      <c r="E13" s="528"/>
      <c r="F13" s="528"/>
      <c r="G13" s="528"/>
      <c r="H13" s="528"/>
      <c r="I13" s="528"/>
      <c r="J13" s="528"/>
      <c r="K13" s="528"/>
      <c r="L13" s="528"/>
      <c r="M13" s="528"/>
      <c r="N13" s="528"/>
      <c r="O13" s="528"/>
      <c r="P13" s="528"/>
      <c r="Q13" s="528"/>
      <c r="R13" s="528"/>
      <c r="S13" s="528"/>
      <c r="T13" s="528"/>
      <c r="U13" s="528"/>
      <c r="V13" s="528"/>
      <c r="W13" s="528"/>
      <c r="X13" s="528"/>
      <c r="Y13" s="528"/>
      <c r="Z13" s="528"/>
      <c r="AA13" s="528"/>
      <c r="AB13" s="528"/>
      <c r="AC13" s="528"/>
      <c r="AD13" s="528"/>
      <c r="AE13" s="528"/>
      <c r="AF13" s="528"/>
      <c r="AG13" s="528"/>
      <c r="AH13" s="528"/>
      <c r="AI13" s="528"/>
      <c r="AJ13" s="528"/>
      <c r="AK13" s="528"/>
      <c r="AL13" s="528"/>
      <c r="AM13" s="528"/>
      <c r="AN13" s="528"/>
      <c r="AO13" s="528"/>
      <c r="AP13" s="528"/>
      <c r="AQ13" s="528"/>
      <c r="AR13" s="528"/>
      <c r="AS13" s="528"/>
      <c r="AT13" s="528"/>
      <c r="AU13" s="528"/>
      <c r="AV13" s="528"/>
      <c r="AW13" s="528"/>
      <c r="AX13" s="528"/>
      <c r="AY13" s="528"/>
      <c r="AZ13" s="528"/>
      <c r="BA13" s="528"/>
      <c r="BB13" s="528"/>
      <c r="BC13" s="528"/>
      <c r="BD13" s="528"/>
      <c r="BE13" s="528"/>
      <c r="BF13" s="528"/>
      <c r="BG13" s="26"/>
      <c r="BH13" s="26"/>
      <c r="BI13" s="26"/>
      <c r="BJ13" s="26"/>
    </row>
    <row r="14" spans="1:62" ht="20.25" x14ac:dyDescent="0.25">
      <c r="A14" s="122"/>
      <c r="B14" s="2003" t="s">
        <v>77</v>
      </c>
      <c r="C14" s="243" t="s">
        <v>52</v>
      </c>
      <c r="D14" s="6238">
        <v>730000</v>
      </c>
      <c r="E14" s="6238">
        <f>'Maj Production Summ'!E29-E16-E17-E18</f>
        <v>72500</v>
      </c>
      <c r="F14" s="245">
        <v>23189.509999999995</v>
      </c>
      <c r="G14" s="6238">
        <f>'Maj Production Summ'!G29-G16-G17-G18</f>
        <v>62500</v>
      </c>
      <c r="H14" s="245">
        <v>23592</v>
      </c>
      <c r="I14" s="6219">
        <f>E14+G14</f>
        <v>135000</v>
      </c>
      <c r="J14" s="2457">
        <f t="shared" si="0"/>
        <v>46781.509999999995</v>
      </c>
      <c r="K14" s="6238">
        <f>'Maj Production Summ'!K29-K16-K17-K18</f>
        <v>47000</v>
      </c>
      <c r="L14" s="245">
        <v>21225.01</v>
      </c>
      <c r="M14" s="6215">
        <f>I14+K14</f>
        <v>182000</v>
      </c>
      <c r="N14" s="300">
        <f>F14+H14+L14</f>
        <v>68006.51999999999</v>
      </c>
      <c r="O14" s="6238">
        <f>'Maj Production Summ'!O29-O16-O17-O18</f>
        <v>55000</v>
      </c>
      <c r="P14" s="245">
        <v>26123.759999999998</v>
      </c>
      <c r="Q14" s="6219">
        <f>M14+O14</f>
        <v>237000</v>
      </c>
      <c r="R14" s="2457">
        <f t="shared" ref="R14:R19" si="40">N14+P14</f>
        <v>94130.279999999984</v>
      </c>
      <c r="S14" s="6238">
        <f>'Maj Production Summ'!S29-S16-S17-S18</f>
        <v>55000</v>
      </c>
      <c r="T14" s="245">
        <v>54380.010000000046</v>
      </c>
      <c r="U14" s="6219">
        <f>Q14+S14</f>
        <v>292000</v>
      </c>
      <c r="V14" s="2557">
        <f t="shared" ref="V14:V19" si="41">R14+T14</f>
        <v>148510.29000000004</v>
      </c>
      <c r="W14" s="6238">
        <f>'Maj Production Summ'!W29-W16-W17-W18</f>
        <v>53000</v>
      </c>
      <c r="X14" s="245">
        <v>47620.569999999992</v>
      </c>
      <c r="Y14" s="6215">
        <f t="shared" ref="Y14:Y18" si="42">O14+S14+W14</f>
        <v>163000</v>
      </c>
      <c r="Z14" s="3396">
        <f>P14+T14+X14</f>
        <v>128124.34000000004</v>
      </c>
      <c r="AA14" s="6216">
        <f>M14+Y14</f>
        <v>345000</v>
      </c>
      <c r="AB14" s="3550">
        <f>N14+Z14</f>
        <v>196130.86000000004</v>
      </c>
      <c r="AC14" s="6238">
        <f>'Maj Production Summ'!AC29-AC16-AC17-AC18</f>
        <v>55500</v>
      </c>
      <c r="AD14" s="245">
        <v>25207.660000000003</v>
      </c>
      <c r="AE14" s="6219">
        <f>AA14+AC14</f>
        <v>400500</v>
      </c>
      <c r="AF14" s="4050">
        <f t="shared" ref="AF14:AF19" si="43">AB14+AD14</f>
        <v>221338.52000000005</v>
      </c>
      <c r="AG14" s="6217">
        <f>'Maj Production Summ'!AG29-AG16-AG17-AG18</f>
        <v>65000</v>
      </c>
      <c r="AH14" s="245">
        <v>14592.829999999998</v>
      </c>
      <c r="AI14" s="6220">
        <f>AE14+AG14</f>
        <v>465500</v>
      </c>
      <c r="AJ14" s="4394">
        <f t="shared" ref="AJ14:AJ19" si="44">AF14+AH14</f>
        <v>235931.35000000003</v>
      </c>
      <c r="AK14" s="6238">
        <f>'Maj Production Summ'!AK29-AK16-AK17-AK18</f>
        <v>67500</v>
      </c>
      <c r="AL14" s="245">
        <v>24603.4</v>
      </c>
      <c r="AM14" s="6215">
        <f t="shared" ref="AM14:AM18" si="45">AC14+AG14+AK14</f>
        <v>188000</v>
      </c>
      <c r="AN14" s="4282">
        <f>AD14+AH14+AL14</f>
        <v>64403.890000000007</v>
      </c>
      <c r="AO14" s="6219">
        <f>AI14+AK14</f>
        <v>533000</v>
      </c>
      <c r="AP14" s="4277">
        <f>AJ14+AL14</f>
        <v>260534.75000000003</v>
      </c>
      <c r="AQ14" s="6217">
        <f>'Maj Production Summ'!AQ29-AQ16-AQ17-AQ18</f>
        <v>67500</v>
      </c>
      <c r="AR14" s="245">
        <v>30060.599999999991</v>
      </c>
      <c r="AS14" s="6220">
        <f>AO14+AQ14</f>
        <v>600500</v>
      </c>
      <c r="AT14" s="4456">
        <f t="shared" ref="AT14:AT19" si="46">AP14+AR14</f>
        <v>290595.35000000003</v>
      </c>
      <c r="AU14" s="6217">
        <f>'Maj Production Summ'!AU29-AU16-AU17-AU18</f>
        <v>62000</v>
      </c>
      <c r="AV14" s="245">
        <v>32649</v>
      </c>
      <c r="AW14" s="6220">
        <f>AS14+AU14</f>
        <v>662500</v>
      </c>
      <c r="AX14" s="4635">
        <f t="shared" ref="AX14:AX19" si="47">AT14+AV14</f>
        <v>323244.35000000003</v>
      </c>
      <c r="AY14" s="6217">
        <f>'Maj Production Summ'!AY29-AY16-AY17-AY18</f>
        <v>67500</v>
      </c>
      <c r="AZ14" s="245">
        <v>44004.19</v>
      </c>
      <c r="BA14" s="6215">
        <f t="shared" ref="BA14:BA18" si="48">AQ14+AU14+AY14</f>
        <v>197000</v>
      </c>
      <c r="BB14" s="5136">
        <f>AR14+AV14+AZ14</f>
        <v>106713.79</v>
      </c>
      <c r="BC14" s="6216">
        <f>AM14+BA14</f>
        <v>385000</v>
      </c>
      <c r="BD14" s="5143">
        <f t="shared" ref="BD14:BD18" si="49">AN14+BB14</f>
        <v>171117.68</v>
      </c>
      <c r="BE14" s="6220">
        <f>AW14+AY14</f>
        <v>730000</v>
      </c>
      <c r="BF14" s="5127">
        <f t="shared" ref="BF14:BF19" si="50">AX14+AZ14</f>
        <v>367248.54000000004</v>
      </c>
      <c r="BG14" s="26"/>
      <c r="BH14" s="26"/>
      <c r="BI14" s="26"/>
      <c r="BJ14" s="26"/>
    </row>
    <row r="15" spans="1:62" ht="20.25" x14ac:dyDescent="0.25">
      <c r="A15" s="122"/>
      <c r="B15" s="2003" t="s">
        <v>78</v>
      </c>
      <c r="C15" s="243" t="s">
        <v>52</v>
      </c>
      <c r="D15" s="6238"/>
      <c r="E15" s="6238"/>
      <c r="F15" s="2456">
        <v>44072.06</v>
      </c>
      <c r="G15" s="6238"/>
      <c r="H15" s="2456">
        <v>34882.660000000003</v>
      </c>
      <c r="I15" s="6219"/>
      <c r="J15" s="2457">
        <f t="shared" si="0"/>
        <v>78954.720000000001</v>
      </c>
      <c r="K15" s="6238"/>
      <c r="L15" s="2456">
        <v>21854.600000000002</v>
      </c>
      <c r="M15" s="6215"/>
      <c r="N15" s="3568">
        <f t="shared" ref="N15:N18" si="51">F15+H15+L15</f>
        <v>100809.32</v>
      </c>
      <c r="O15" s="6238"/>
      <c r="P15" s="2456">
        <v>50527.579999999994</v>
      </c>
      <c r="Q15" s="6219"/>
      <c r="R15" s="2457">
        <f t="shared" si="40"/>
        <v>151336.9</v>
      </c>
      <c r="S15" s="6238"/>
      <c r="T15" s="2562">
        <v>31944.78000000001</v>
      </c>
      <c r="U15" s="6219"/>
      <c r="V15" s="2557">
        <f t="shared" si="41"/>
        <v>183281.68</v>
      </c>
      <c r="W15" s="6238"/>
      <c r="X15" s="3395">
        <v>15450.519999999999</v>
      </c>
      <c r="Y15" s="6215">
        <f t="shared" si="42"/>
        <v>0</v>
      </c>
      <c r="Z15" s="3568">
        <f t="shared" ref="Z15:Z18" si="52">P15+T15+X15</f>
        <v>97922.880000000005</v>
      </c>
      <c r="AA15" s="6216"/>
      <c r="AB15" s="3565">
        <f t="shared" ref="AB15:AB18" si="53">N15+Z15</f>
        <v>198732.2</v>
      </c>
      <c r="AC15" s="6238"/>
      <c r="AD15" s="4048">
        <v>34967.869999999995</v>
      </c>
      <c r="AE15" s="6219"/>
      <c r="AF15" s="4050">
        <f t="shared" si="43"/>
        <v>233700.07</v>
      </c>
      <c r="AG15" s="6218"/>
      <c r="AH15" s="4397">
        <v>43582.990000000013</v>
      </c>
      <c r="AI15" s="6221"/>
      <c r="AJ15" s="4394">
        <f t="shared" si="44"/>
        <v>277283.06</v>
      </c>
      <c r="AK15" s="6238"/>
      <c r="AL15" s="4276">
        <v>44804.58</v>
      </c>
      <c r="AM15" s="6215">
        <f t="shared" si="45"/>
        <v>0</v>
      </c>
      <c r="AN15" s="4282">
        <f t="shared" ref="AN15:AN18" si="54">AD15+AH15+AL15</f>
        <v>123355.44000000002</v>
      </c>
      <c r="AO15" s="6219"/>
      <c r="AP15" s="4277">
        <f t="shared" ref="AP15:AP19" si="55">AJ15+AL15</f>
        <v>322087.64</v>
      </c>
      <c r="AQ15" s="6218"/>
      <c r="AR15" s="4455">
        <v>35742.58</v>
      </c>
      <c r="AS15" s="6221"/>
      <c r="AT15" s="4456">
        <f t="shared" si="46"/>
        <v>357830.22000000003</v>
      </c>
      <c r="AU15" s="6218"/>
      <c r="AV15" s="4634">
        <v>32320.649999999987</v>
      </c>
      <c r="AW15" s="6221"/>
      <c r="AX15" s="4635">
        <f t="shared" si="47"/>
        <v>390150.87</v>
      </c>
      <c r="AY15" s="6218"/>
      <c r="AZ15" s="5135">
        <v>23829.56</v>
      </c>
      <c r="BA15" s="6215">
        <f t="shared" si="48"/>
        <v>0</v>
      </c>
      <c r="BB15" s="5136">
        <f t="shared" ref="BB15:BB18" si="56">AR15+AV15+AZ15</f>
        <v>91892.789999999979</v>
      </c>
      <c r="BC15" s="6216"/>
      <c r="BD15" s="5143">
        <f t="shared" si="49"/>
        <v>215248.22999999998</v>
      </c>
      <c r="BE15" s="6221"/>
      <c r="BF15" s="5127">
        <f t="shared" si="50"/>
        <v>413980.43</v>
      </c>
      <c r="BG15" s="26"/>
      <c r="BH15" s="26"/>
      <c r="BI15" s="26"/>
      <c r="BJ15" s="26"/>
    </row>
    <row r="16" spans="1:62" ht="20.25" x14ac:dyDescent="0.25">
      <c r="A16" s="122"/>
      <c r="B16" s="2003" t="s">
        <v>141</v>
      </c>
      <c r="C16" s="243" t="s">
        <v>52</v>
      </c>
      <c r="D16" s="2456">
        <v>120000</v>
      </c>
      <c r="E16" s="2456">
        <v>0</v>
      </c>
      <c r="F16" s="245">
        <v>0</v>
      </c>
      <c r="G16" s="2456">
        <v>0</v>
      </c>
      <c r="H16" s="245">
        <v>0</v>
      </c>
      <c r="I16" s="2457">
        <f t="shared" ref="I16:I19" si="57">E16+G16</f>
        <v>0</v>
      </c>
      <c r="J16" s="2457">
        <f t="shared" si="0"/>
        <v>0</v>
      </c>
      <c r="K16" s="2456">
        <v>0</v>
      </c>
      <c r="L16" s="245">
        <v>0</v>
      </c>
      <c r="M16" s="300">
        <f t="shared" ref="M16:M18" si="58">I16+K16</f>
        <v>0</v>
      </c>
      <c r="N16" s="3568">
        <f t="shared" si="51"/>
        <v>0</v>
      </c>
      <c r="O16" s="2456">
        <v>20000</v>
      </c>
      <c r="P16" s="245">
        <v>0</v>
      </c>
      <c r="Q16" s="2457">
        <f t="shared" ref="Q16:Q19" si="59">M16+O16</f>
        <v>20000</v>
      </c>
      <c r="R16" s="2457">
        <f t="shared" si="40"/>
        <v>0</v>
      </c>
      <c r="S16" s="2562">
        <v>20000</v>
      </c>
      <c r="T16" s="245">
        <v>0</v>
      </c>
      <c r="U16" s="2557">
        <f t="shared" ref="U16:U19" si="60">Q16+S16</f>
        <v>40000</v>
      </c>
      <c r="V16" s="2557">
        <f t="shared" si="41"/>
        <v>0</v>
      </c>
      <c r="W16" s="3395">
        <v>20000</v>
      </c>
      <c r="X16" s="245">
        <v>0</v>
      </c>
      <c r="Y16" s="3396">
        <f t="shared" si="42"/>
        <v>60000</v>
      </c>
      <c r="Z16" s="3568">
        <f t="shared" si="52"/>
        <v>0</v>
      </c>
      <c r="AA16" s="3550">
        <f>M16+Y16</f>
        <v>60000</v>
      </c>
      <c r="AB16" s="3565">
        <f t="shared" si="53"/>
        <v>0</v>
      </c>
      <c r="AC16" s="4048">
        <v>20000</v>
      </c>
      <c r="AD16" s="245">
        <v>0</v>
      </c>
      <c r="AE16" s="4050">
        <f t="shared" ref="AE16:AE19" si="61">AA16+AC16</f>
        <v>80000</v>
      </c>
      <c r="AF16" s="4050">
        <f t="shared" si="43"/>
        <v>0</v>
      </c>
      <c r="AG16" s="4397">
        <v>8000</v>
      </c>
      <c r="AH16" s="245">
        <v>0</v>
      </c>
      <c r="AI16" s="4394">
        <f t="shared" ref="AI16:AI19" si="62">AE16+AG16</f>
        <v>88000</v>
      </c>
      <c r="AJ16" s="4394">
        <f t="shared" si="44"/>
        <v>0</v>
      </c>
      <c r="AK16" s="4276">
        <v>8000</v>
      </c>
      <c r="AL16" s="245">
        <v>0</v>
      </c>
      <c r="AM16" s="4282">
        <f t="shared" si="45"/>
        <v>36000</v>
      </c>
      <c r="AN16" s="4282">
        <f t="shared" si="54"/>
        <v>0</v>
      </c>
      <c r="AO16" s="4277">
        <f>AI16+AK16</f>
        <v>96000</v>
      </c>
      <c r="AP16" s="4277">
        <f t="shared" si="55"/>
        <v>0</v>
      </c>
      <c r="AQ16" s="4455">
        <v>8000</v>
      </c>
      <c r="AR16" s="245">
        <v>0</v>
      </c>
      <c r="AS16" s="4456">
        <f t="shared" ref="AS16:AS19" si="63">AO16+AQ16</f>
        <v>104000</v>
      </c>
      <c r="AT16" s="4456">
        <f t="shared" si="46"/>
        <v>0</v>
      </c>
      <c r="AU16" s="4634">
        <v>8000</v>
      </c>
      <c r="AV16" s="245">
        <v>0</v>
      </c>
      <c r="AW16" s="4635">
        <f t="shared" ref="AW16:AW19" si="64">AS16+AU16</f>
        <v>112000</v>
      </c>
      <c r="AX16" s="4635">
        <f t="shared" si="47"/>
        <v>0</v>
      </c>
      <c r="AY16" s="5135">
        <v>8000</v>
      </c>
      <c r="AZ16" s="245">
        <v>173.48000000000002</v>
      </c>
      <c r="BA16" s="5136">
        <f t="shared" si="48"/>
        <v>24000</v>
      </c>
      <c r="BB16" s="5136">
        <f t="shared" si="56"/>
        <v>173.48000000000002</v>
      </c>
      <c r="BC16" s="5143">
        <f t="shared" ref="BC16:BC18" si="65">AM16+BA16</f>
        <v>60000</v>
      </c>
      <c r="BD16" s="5143">
        <f t="shared" si="49"/>
        <v>173.48000000000002</v>
      </c>
      <c r="BE16" s="5127">
        <f t="shared" ref="BE16:BE19" si="66">AW16+AY16</f>
        <v>120000</v>
      </c>
      <c r="BF16" s="5127">
        <f t="shared" si="50"/>
        <v>173.48000000000002</v>
      </c>
      <c r="BG16" s="26"/>
      <c r="BH16" s="26"/>
      <c r="BI16" s="26"/>
      <c r="BJ16" s="26"/>
    </row>
    <row r="17" spans="1:62" ht="20.25" x14ac:dyDescent="0.25">
      <c r="A17" s="122"/>
      <c r="B17" s="2003" t="s">
        <v>79</v>
      </c>
      <c r="C17" s="243" t="s">
        <v>52</v>
      </c>
      <c r="D17" s="245">
        <v>0</v>
      </c>
      <c r="E17" s="245">
        <v>0</v>
      </c>
      <c r="F17" s="245">
        <v>0</v>
      </c>
      <c r="G17" s="245">
        <v>0</v>
      </c>
      <c r="H17" s="245">
        <v>0</v>
      </c>
      <c r="I17" s="2457">
        <f t="shared" si="57"/>
        <v>0</v>
      </c>
      <c r="J17" s="2457">
        <f t="shared" si="0"/>
        <v>0</v>
      </c>
      <c r="K17" s="245">
        <v>0</v>
      </c>
      <c r="L17" s="245">
        <v>0</v>
      </c>
      <c r="M17" s="300">
        <f t="shared" si="58"/>
        <v>0</v>
      </c>
      <c r="N17" s="3568">
        <f t="shared" si="51"/>
        <v>0</v>
      </c>
      <c r="O17" s="245">
        <v>0</v>
      </c>
      <c r="P17" s="245">
        <v>0</v>
      </c>
      <c r="Q17" s="2457">
        <f t="shared" si="59"/>
        <v>0</v>
      </c>
      <c r="R17" s="2457">
        <f t="shared" si="40"/>
        <v>0</v>
      </c>
      <c r="S17" s="245">
        <v>0</v>
      </c>
      <c r="T17" s="245">
        <v>0</v>
      </c>
      <c r="U17" s="2557">
        <f t="shared" si="60"/>
        <v>0</v>
      </c>
      <c r="V17" s="2557">
        <f t="shared" si="41"/>
        <v>0</v>
      </c>
      <c r="W17" s="245">
        <v>0</v>
      </c>
      <c r="X17" s="245">
        <v>0</v>
      </c>
      <c r="Y17" s="3396">
        <f t="shared" si="42"/>
        <v>0</v>
      </c>
      <c r="Z17" s="3568">
        <f t="shared" si="52"/>
        <v>0</v>
      </c>
      <c r="AA17" s="3550">
        <f>M17+Y17</f>
        <v>0</v>
      </c>
      <c r="AB17" s="3565">
        <f t="shared" si="53"/>
        <v>0</v>
      </c>
      <c r="AC17" s="245">
        <v>0</v>
      </c>
      <c r="AD17" s="245">
        <v>0</v>
      </c>
      <c r="AE17" s="4050">
        <f t="shared" si="61"/>
        <v>0</v>
      </c>
      <c r="AF17" s="4050">
        <f t="shared" si="43"/>
        <v>0</v>
      </c>
      <c r="AG17" s="245">
        <v>0</v>
      </c>
      <c r="AH17" s="245">
        <v>0</v>
      </c>
      <c r="AI17" s="4394">
        <f t="shared" si="62"/>
        <v>0</v>
      </c>
      <c r="AJ17" s="4394">
        <f t="shared" si="44"/>
        <v>0</v>
      </c>
      <c r="AK17" s="245">
        <v>0</v>
      </c>
      <c r="AL17" s="245">
        <v>0</v>
      </c>
      <c r="AM17" s="4282">
        <f t="shared" si="45"/>
        <v>0</v>
      </c>
      <c r="AN17" s="4282">
        <f t="shared" si="54"/>
        <v>0</v>
      </c>
      <c r="AO17" s="4277">
        <f t="shared" ref="AO17:AO19" si="67">AI17+AK17</f>
        <v>0</v>
      </c>
      <c r="AP17" s="4277">
        <f t="shared" si="55"/>
        <v>0</v>
      </c>
      <c r="AQ17" s="245">
        <v>0</v>
      </c>
      <c r="AR17" s="245">
        <v>0</v>
      </c>
      <c r="AS17" s="4456">
        <f t="shared" si="63"/>
        <v>0</v>
      </c>
      <c r="AT17" s="4456">
        <f t="shared" si="46"/>
        <v>0</v>
      </c>
      <c r="AU17" s="245"/>
      <c r="AV17" s="245">
        <v>0</v>
      </c>
      <c r="AW17" s="4635">
        <f t="shared" si="64"/>
        <v>0</v>
      </c>
      <c r="AX17" s="4635">
        <f t="shared" si="47"/>
        <v>0</v>
      </c>
      <c r="AY17" s="245">
        <v>0</v>
      </c>
      <c r="AZ17" s="245">
        <v>0</v>
      </c>
      <c r="BA17" s="5136">
        <f t="shared" si="48"/>
        <v>0</v>
      </c>
      <c r="BB17" s="5136">
        <f t="shared" si="56"/>
        <v>0</v>
      </c>
      <c r="BC17" s="5143">
        <f t="shared" si="65"/>
        <v>0</v>
      </c>
      <c r="BD17" s="5143">
        <f t="shared" si="49"/>
        <v>0</v>
      </c>
      <c r="BE17" s="5127">
        <f t="shared" si="66"/>
        <v>0</v>
      </c>
      <c r="BF17" s="5127">
        <f t="shared" si="50"/>
        <v>0</v>
      </c>
      <c r="BG17" s="26"/>
      <c r="BH17" s="26"/>
      <c r="BI17" s="26"/>
      <c r="BJ17" s="26"/>
    </row>
    <row r="18" spans="1:62" ht="20.25" x14ac:dyDescent="0.25">
      <c r="A18" s="122"/>
      <c r="B18" s="2003" t="s">
        <v>580</v>
      </c>
      <c r="C18" s="243" t="s">
        <v>52</v>
      </c>
      <c r="D18" s="2456">
        <v>0</v>
      </c>
      <c r="E18" s="2456">
        <v>0</v>
      </c>
      <c r="F18" s="245">
        <v>0</v>
      </c>
      <c r="G18" s="2456">
        <v>0</v>
      </c>
      <c r="H18" s="245">
        <v>0</v>
      </c>
      <c r="I18" s="2457">
        <f t="shared" si="57"/>
        <v>0</v>
      </c>
      <c r="J18" s="2457">
        <f t="shared" si="0"/>
        <v>0</v>
      </c>
      <c r="K18" s="2456">
        <v>0</v>
      </c>
      <c r="L18" s="245">
        <v>0</v>
      </c>
      <c r="M18" s="300">
        <f t="shared" si="58"/>
        <v>0</v>
      </c>
      <c r="N18" s="3568">
        <f t="shared" si="51"/>
        <v>0</v>
      </c>
      <c r="O18" s="2456">
        <v>0</v>
      </c>
      <c r="P18" s="245">
        <v>0</v>
      </c>
      <c r="Q18" s="2457">
        <f t="shared" si="59"/>
        <v>0</v>
      </c>
      <c r="R18" s="2457">
        <f t="shared" si="40"/>
        <v>0</v>
      </c>
      <c r="S18" s="2562">
        <v>0</v>
      </c>
      <c r="T18" s="245">
        <v>0</v>
      </c>
      <c r="U18" s="2557">
        <f t="shared" si="60"/>
        <v>0</v>
      </c>
      <c r="V18" s="2557">
        <f t="shared" si="41"/>
        <v>0</v>
      </c>
      <c r="W18" s="3395">
        <v>0</v>
      </c>
      <c r="X18" s="245">
        <v>0</v>
      </c>
      <c r="Y18" s="3396">
        <f t="shared" si="42"/>
        <v>0</v>
      </c>
      <c r="Z18" s="3568">
        <f t="shared" si="52"/>
        <v>0</v>
      </c>
      <c r="AA18" s="3550">
        <f>M18+Y18</f>
        <v>0</v>
      </c>
      <c r="AB18" s="3565">
        <f t="shared" si="53"/>
        <v>0</v>
      </c>
      <c r="AC18" s="4048">
        <v>0</v>
      </c>
      <c r="AD18" s="245">
        <v>0</v>
      </c>
      <c r="AE18" s="4050">
        <f t="shared" si="61"/>
        <v>0</v>
      </c>
      <c r="AF18" s="4050">
        <f t="shared" si="43"/>
        <v>0</v>
      </c>
      <c r="AG18" s="4397">
        <v>0</v>
      </c>
      <c r="AH18" s="245">
        <v>0</v>
      </c>
      <c r="AI18" s="4394">
        <f t="shared" si="62"/>
        <v>0</v>
      </c>
      <c r="AJ18" s="4394">
        <f t="shared" si="44"/>
        <v>0</v>
      </c>
      <c r="AK18" s="4276">
        <v>0</v>
      </c>
      <c r="AL18" s="245">
        <v>0</v>
      </c>
      <c r="AM18" s="4282">
        <f t="shared" si="45"/>
        <v>0</v>
      </c>
      <c r="AN18" s="4282">
        <f t="shared" si="54"/>
        <v>0</v>
      </c>
      <c r="AO18" s="4277">
        <f t="shared" si="67"/>
        <v>0</v>
      </c>
      <c r="AP18" s="4277">
        <f t="shared" si="55"/>
        <v>0</v>
      </c>
      <c r="AQ18" s="4455">
        <v>0</v>
      </c>
      <c r="AR18" s="245">
        <v>0</v>
      </c>
      <c r="AS18" s="4456">
        <f t="shared" si="63"/>
        <v>0</v>
      </c>
      <c r="AT18" s="4456">
        <f t="shared" si="46"/>
        <v>0</v>
      </c>
      <c r="AU18" s="4634"/>
      <c r="AV18" s="245">
        <v>0</v>
      </c>
      <c r="AW18" s="4635">
        <f t="shared" si="64"/>
        <v>0</v>
      </c>
      <c r="AX18" s="4635">
        <f t="shared" si="47"/>
        <v>0</v>
      </c>
      <c r="AY18" s="5135">
        <v>0</v>
      </c>
      <c r="AZ18" s="245">
        <v>0</v>
      </c>
      <c r="BA18" s="5136">
        <f t="shared" si="48"/>
        <v>0</v>
      </c>
      <c r="BB18" s="5136">
        <f t="shared" si="56"/>
        <v>0</v>
      </c>
      <c r="BC18" s="5143">
        <f t="shared" si="65"/>
        <v>0</v>
      </c>
      <c r="BD18" s="5143">
        <f t="shared" si="49"/>
        <v>0</v>
      </c>
      <c r="BE18" s="5127">
        <f t="shared" si="66"/>
        <v>0</v>
      </c>
      <c r="BF18" s="5127">
        <f t="shared" si="50"/>
        <v>0</v>
      </c>
      <c r="BG18" s="26"/>
      <c r="BH18" s="26"/>
      <c r="BI18" s="26"/>
      <c r="BJ18" s="26"/>
    </row>
    <row r="19" spans="1:62" ht="21.2" customHeight="1" x14ac:dyDescent="0.25">
      <c r="A19" s="122"/>
      <c r="B19" s="2463" t="s">
        <v>2</v>
      </c>
      <c r="C19" s="1252" t="s">
        <v>52</v>
      </c>
      <c r="D19" s="781">
        <f>SUM(D14:D18)</f>
        <v>850000</v>
      </c>
      <c r="E19" s="781">
        <f t="shared" ref="E19:F19" si="68">SUM(E14:E18)</f>
        <v>72500</v>
      </c>
      <c r="F19" s="781">
        <f t="shared" si="68"/>
        <v>67261.569999999992</v>
      </c>
      <c r="G19" s="781">
        <f t="shared" ref="G19:H19" si="69">SUM(G14:G18)</f>
        <v>62500</v>
      </c>
      <c r="H19" s="781">
        <f t="shared" si="69"/>
        <v>58474.66</v>
      </c>
      <c r="I19" s="782">
        <f t="shared" si="57"/>
        <v>135000</v>
      </c>
      <c r="J19" s="782">
        <f t="shared" si="0"/>
        <v>125736.23</v>
      </c>
      <c r="K19" s="781">
        <f t="shared" ref="K19:L19" si="70">SUM(K14:K18)</f>
        <v>47000</v>
      </c>
      <c r="L19" s="781">
        <f t="shared" si="70"/>
        <v>43079.61</v>
      </c>
      <c r="M19" s="3566">
        <f>E19+G19+K19</f>
        <v>182000</v>
      </c>
      <c r="N19" s="3566">
        <f>F19+H19+L19</f>
        <v>168815.84</v>
      </c>
      <c r="O19" s="781">
        <f t="shared" ref="O19:P19" si="71">SUM(O14:O18)</f>
        <v>75000</v>
      </c>
      <c r="P19" s="781">
        <f t="shared" si="71"/>
        <v>76651.34</v>
      </c>
      <c r="Q19" s="782">
        <f t="shared" si="59"/>
        <v>257000</v>
      </c>
      <c r="R19" s="782">
        <f t="shared" si="40"/>
        <v>245467.18</v>
      </c>
      <c r="S19" s="2560">
        <f t="shared" ref="S19:T19" si="72">SUM(S14:S18)</f>
        <v>75000</v>
      </c>
      <c r="T19" s="2560">
        <f t="shared" si="72"/>
        <v>86324.790000000052</v>
      </c>
      <c r="U19" s="2558">
        <f t="shared" si="60"/>
        <v>332000</v>
      </c>
      <c r="V19" s="2558">
        <f t="shared" si="41"/>
        <v>331791.97000000003</v>
      </c>
      <c r="W19" s="3392">
        <f t="shared" ref="W19:X19" si="73">SUM(W14:W18)</f>
        <v>73000</v>
      </c>
      <c r="X19" s="3392">
        <f t="shared" si="73"/>
        <v>63071.089999999989</v>
      </c>
      <c r="Y19" s="3566">
        <f>O19+S19+W19</f>
        <v>223000</v>
      </c>
      <c r="Z19" s="3566">
        <f>P19+T19+X19</f>
        <v>226047.22000000006</v>
      </c>
      <c r="AA19" s="3551">
        <f>M19+Y19</f>
        <v>405000</v>
      </c>
      <c r="AB19" s="3551">
        <f>N19+Z19</f>
        <v>394863.06000000006</v>
      </c>
      <c r="AC19" s="4046">
        <f t="shared" ref="AC19:AD19" si="74">SUM(AC14:AC18)</f>
        <v>75500</v>
      </c>
      <c r="AD19" s="4046">
        <f t="shared" si="74"/>
        <v>60175.53</v>
      </c>
      <c r="AE19" s="4051">
        <f t="shared" si="61"/>
        <v>480500</v>
      </c>
      <c r="AF19" s="4051">
        <f t="shared" si="43"/>
        <v>455038.59000000008</v>
      </c>
      <c r="AG19" s="4395">
        <f t="shared" ref="AG19:AH19" si="75">SUM(AG14:AG18)</f>
        <v>73000</v>
      </c>
      <c r="AH19" s="4395">
        <f t="shared" si="75"/>
        <v>58175.820000000007</v>
      </c>
      <c r="AI19" s="4392">
        <f t="shared" si="62"/>
        <v>553500</v>
      </c>
      <c r="AJ19" s="4392">
        <f t="shared" si="44"/>
        <v>513214.41000000009</v>
      </c>
      <c r="AK19" s="4272">
        <f t="shared" ref="AK19:AL19" si="76">SUM(AK14:AK18)</f>
        <v>75500</v>
      </c>
      <c r="AL19" s="4272">
        <f t="shared" si="76"/>
        <v>69407.98000000001</v>
      </c>
      <c r="AM19" s="4283">
        <f>AC19+AG19+AK19</f>
        <v>224000</v>
      </c>
      <c r="AN19" s="4283">
        <f>AD19+AH19+AL19</f>
        <v>187759.33000000002</v>
      </c>
      <c r="AO19" s="4273">
        <f t="shared" si="67"/>
        <v>629000</v>
      </c>
      <c r="AP19" s="4273">
        <f t="shared" si="55"/>
        <v>582622.39000000013</v>
      </c>
      <c r="AQ19" s="4452">
        <f t="shared" ref="AQ19:AR19" si="77">SUM(AQ14:AQ18)</f>
        <v>75500</v>
      </c>
      <c r="AR19" s="4452">
        <f t="shared" si="77"/>
        <v>65803.179999999993</v>
      </c>
      <c r="AS19" s="4453">
        <f t="shared" si="63"/>
        <v>704500</v>
      </c>
      <c r="AT19" s="4453">
        <f t="shared" si="46"/>
        <v>648425.57000000007</v>
      </c>
      <c r="AU19" s="4629">
        <f t="shared" ref="AU19:AV19" si="78">SUM(AU14:AU18)</f>
        <v>70000</v>
      </c>
      <c r="AV19" s="4629">
        <f t="shared" si="78"/>
        <v>64969.649999999987</v>
      </c>
      <c r="AW19" s="4630">
        <f t="shared" si="64"/>
        <v>774500</v>
      </c>
      <c r="AX19" s="4630">
        <f t="shared" si="47"/>
        <v>713395.22000000009</v>
      </c>
      <c r="AY19" s="5128">
        <f t="shared" ref="AY19:AZ19" si="79">SUM(AY14:AY18)</f>
        <v>75500</v>
      </c>
      <c r="AZ19" s="5128">
        <f t="shared" si="79"/>
        <v>68007.23</v>
      </c>
      <c r="BA19" s="5129">
        <f>AQ19+AU19+AY19</f>
        <v>221000</v>
      </c>
      <c r="BB19" s="5129">
        <f>AR19+AV19+AZ19</f>
        <v>198780.06</v>
      </c>
      <c r="BC19" s="5140">
        <f>AM19+BA19</f>
        <v>445000</v>
      </c>
      <c r="BD19" s="5140">
        <f>AN19+BB19</f>
        <v>386539.39</v>
      </c>
      <c r="BE19" s="5124">
        <f t="shared" si="66"/>
        <v>850000</v>
      </c>
      <c r="BF19" s="5124">
        <f t="shared" si="50"/>
        <v>781402.45000000007</v>
      </c>
      <c r="BG19" s="26"/>
      <c r="BH19" s="26"/>
      <c r="BI19" s="26"/>
      <c r="BJ19" s="26"/>
    </row>
    <row r="20" spans="1:62" s="183" customFormat="1" ht="20.25" x14ac:dyDescent="0.3">
      <c r="A20" s="188"/>
      <c r="B20" s="1246" t="s">
        <v>118</v>
      </c>
      <c r="C20" s="299"/>
      <c r="D20" s="299"/>
      <c r="E20" s="2462"/>
      <c r="F20" s="2462"/>
      <c r="G20" s="2462"/>
      <c r="H20" s="2462"/>
      <c r="I20" s="2462"/>
      <c r="J20" s="2462"/>
      <c r="K20" s="2462"/>
      <c r="L20" s="2462"/>
      <c r="M20" s="2462"/>
      <c r="N20" s="2462"/>
      <c r="O20" s="2462"/>
      <c r="P20" s="2462"/>
      <c r="Q20" s="2462"/>
      <c r="R20" s="2462"/>
      <c r="S20" s="2462"/>
      <c r="T20" s="2462"/>
      <c r="U20" s="2462"/>
      <c r="V20" s="2462"/>
      <c r="W20" s="2462"/>
      <c r="X20" s="2462"/>
      <c r="Y20" s="2462"/>
      <c r="Z20" s="2462"/>
      <c r="AA20" s="2462"/>
      <c r="AB20" s="2462"/>
      <c r="AC20" s="2462"/>
      <c r="AD20" s="2462"/>
      <c r="AE20" s="2462"/>
      <c r="AF20" s="2462"/>
      <c r="AG20" s="2462"/>
      <c r="AH20" s="2462"/>
      <c r="AI20" s="2462"/>
      <c r="AJ20" s="2462"/>
      <c r="AK20" s="2462"/>
      <c r="AL20" s="2462"/>
      <c r="AM20" s="2462"/>
      <c r="AN20" s="2462"/>
      <c r="AO20" s="2462"/>
      <c r="AP20" s="2462"/>
      <c r="AQ20" s="2462"/>
      <c r="AR20" s="2462"/>
      <c r="AS20" s="2462"/>
      <c r="AT20" s="2462"/>
      <c r="AU20" s="2462"/>
      <c r="AV20" s="2462"/>
      <c r="AW20" s="2462"/>
      <c r="AX20" s="2462"/>
      <c r="AY20" s="2462"/>
      <c r="AZ20" s="2462"/>
      <c r="BA20" s="2462"/>
      <c r="BB20" s="2462"/>
      <c r="BC20" s="2462"/>
      <c r="BD20" s="2462"/>
      <c r="BE20" s="2462"/>
      <c r="BF20" s="2462"/>
      <c r="BG20" s="26"/>
      <c r="BH20" s="26"/>
      <c r="BI20" s="26"/>
      <c r="BJ20" s="26"/>
    </row>
    <row r="21" spans="1:62" ht="20.25" x14ac:dyDescent="0.25">
      <c r="A21" s="122"/>
      <c r="B21" s="2003" t="s">
        <v>77</v>
      </c>
      <c r="C21" s="243" t="s">
        <v>52</v>
      </c>
      <c r="D21" s="6238">
        <v>505000</v>
      </c>
      <c r="E21" s="6238">
        <f>'Maj Production Summ'!E30-E23-E24-E25</f>
        <v>44500</v>
      </c>
      <c r="F21" s="2456">
        <v>27473.81</v>
      </c>
      <c r="G21" s="6238">
        <f>'Maj Production Summ'!G30-G23-G24-G25</f>
        <v>37500</v>
      </c>
      <c r="H21" s="2456">
        <v>20242.939999999995</v>
      </c>
      <c r="I21" s="6219">
        <f>E21+G21</f>
        <v>82000</v>
      </c>
      <c r="J21" s="2457">
        <f t="shared" si="0"/>
        <v>47716.75</v>
      </c>
      <c r="K21" s="6238">
        <f>'Maj Production Summ'!K30-K23-K24-K25</f>
        <v>36000</v>
      </c>
      <c r="L21" s="2456">
        <v>19451.769999999997</v>
      </c>
      <c r="M21" s="6215">
        <f>E21+G21+K21</f>
        <v>118000</v>
      </c>
      <c r="N21" s="300">
        <f>F21+H21+L21</f>
        <v>67168.51999999999</v>
      </c>
      <c r="O21" s="6238">
        <f>'Maj Production Summ'!O30-O23-O24-O25</f>
        <v>46000</v>
      </c>
      <c r="P21" s="2456">
        <v>28265.879999999997</v>
      </c>
      <c r="Q21" s="6219">
        <f>M21+O21</f>
        <v>164000</v>
      </c>
      <c r="R21" s="2457">
        <f t="shared" ref="R21:R26" si="80">N21+P21</f>
        <v>95434.4</v>
      </c>
      <c r="S21" s="6238">
        <f>'Maj Production Summ'!S30-S23-S24-S25</f>
        <v>43500</v>
      </c>
      <c r="T21" s="2562">
        <v>35622.210000000043</v>
      </c>
      <c r="U21" s="6219">
        <f>Q21+S21</f>
        <v>207500</v>
      </c>
      <c r="V21" s="2557">
        <f t="shared" ref="V21:V26" si="81">R21+T21</f>
        <v>131056.61000000004</v>
      </c>
      <c r="W21" s="6238">
        <f>'Maj Production Summ'!W30-W23-W24-W25</f>
        <v>42000</v>
      </c>
      <c r="X21" s="3395">
        <v>26733.68</v>
      </c>
      <c r="Y21" s="6215">
        <f>O21+S21+W21</f>
        <v>131500</v>
      </c>
      <c r="Z21" s="3568">
        <f>P21+T21+X21</f>
        <v>90621.770000000048</v>
      </c>
      <c r="AA21" s="6216">
        <f>M21+Y21</f>
        <v>249500</v>
      </c>
      <c r="AB21" s="3550">
        <f>N21+Z21</f>
        <v>157790.29000000004</v>
      </c>
      <c r="AC21" s="6238">
        <f>'Maj Production Summ'!AC30-AC23-AC24-AC25</f>
        <v>43500</v>
      </c>
      <c r="AD21" s="4048">
        <v>26772.13</v>
      </c>
      <c r="AE21" s="6219">
        <f>AA21+AC21</f>
        <v>293000</v>
      </c>
      <c r="AF21" s="4050">
        <f t="shared" ref="AF21:AF26" si="82">AB21+AD21</f>
        <v>184562.42000000004</v>
      </c>
      <c r="AG21" s="6217">
        <f>'Maj Production Summ'!AG30-AG23-AG24-AG25</f>
        <v>42000</v>
      </c>
      <c r="AH21" s="4397">
        <v>24393.479999999996</v>
      </c>
      <c r="AI21" s="6220">
        <f>AE21+AG21</f>
        <v>335000</v>
      </c>
      <c r="AJ21" s="4394">
        <f t="shared" ref="AJ21:AJ26" si="83">AF21+AH21</f>
        <v>208955.90000000002</v>
      </c>
      <c r="AK21" s="6238">
        <f>'Maj Production Summ'!AK30-AK23-AK24-AK25</f>
        <v>43500</v>
      </c>
      <c r="AL21" s="4276">
        <v>27547.809999999998</v>
      </c>
      <c r="AM21" s="6215">
        <f>AC21+AG21+AK21</f>
        <v>129000</v>
      </c>
      <c r="AN21" s="4282">
        <f>AD21+AH21+AL21</f>
        <v>78713.42</v>
      </c>
      <c r="AO21" s="6219">
        <f>AI21+AK21</f>
        <v>378500</v>
      </c>
      <c r="AP21" s="4277">
        <f>AJ21+AL21</f>
        <v>236503.71000000002</v>
      </c>
      <c r="AQ21" s="6217">
        <f>'Maj Production Summ'!AQ30-AQ23-AQ24-AQ25</f>
        <v>43500</v>
      </c>
      <c r="AR21" s="4455">
        <v>25406.52</v>
      </c>
      <c r="AS21" s="6220">
        <f>AO21+AQ21</f>
        <v>422000</v>
      </c>
      <c r="AT21" s="4456">
        <f t="shared" ref="AT21:AT26" si="84">AP21+AR21</f>
        <v>261910.23</v>
      </c>
      <c r="AU21" s="6217">
        <f>'Maj Production Summ'!AU30-AU23-AU24-AU25</f>
        <v>39500</v>
      </c>
      <c r="AV21" s="4634">
        <v>28366.81</v>
      </c>
      <c r="AW21" s="6220">
        <f>AS21+AU21</f>
        <v>461500</v>
      </c>
      <c r="AX21" s="4635">
        <f t="shared" ref="AX21:AX26" si="85">AT21+AV21</f>
        <v>290277.04000000004</v>
      </c>
      <c r="AY21" s="6217">
        <f>'Maj Production Summ'!AY30-AY23-AY24-AY25</f>
        <v>43500</v>
      </c>
      <c r="AZ21" s="5135">
        <v>36992.46</v>
      </c>
      <c r="BA21" s="6215">
        <f>AQ21+AU21+AY21</f>
        <v>126500</v>
      </c>
      <c r="BB21" s="5136">
        <f>AR21+AV21+AZ21</f>
        <v>90765.790000000008</v>
      </c>
      <c r="BC21" s="6216">
        <f>AM21+BA21</f>
        <v>255500</v>
      </c>
      <c r="BD21" s="5143">
        <f t="shared" ref="BD21:BD25" si="86">AN21+BB21</f>
        <v>169479.21000000002</v>
      </c>
      <c r="BE21" s="6220">
        <f>AW21+AY21</f>
        <v>505000</v>
      </c>
      <c r="BF21" s="5127">
        <f t="shared" ref="BF21:BF26" si="87">AX21+AZ21</f>
        <v>327269.50000000006</v>
      </c>
      <c r="BG21" s="26"/>
      <c r="BH21" s="26"/>
      <c r="BI21" s="26"/>
      <c r="BJ21" s="26"/>
    </row>
    <row r="22" spans="1:62" ht="20.25" x14ac:dyDescent="0.25">
      <c r="A22" s="122"/>
      <c r="B22" s="2003" t="s">
        <v>78</v>
      </c>
      <c r="C22" s="243" t="s">
        <v>52</v>
      </c>
      <c r="D22" s="6238"/>
      <c r="E22" s="6238"/>
      <c r="F22" s="2456">
        <v>10073.790000000001</v>
      </c>
      <c r="G22" s="6238"/>
      <c r="H22" s="2456">
        <v>9556.5500000000011</v>
      </c>
      <c r="I22" s="6219"/>
      <c r="J22" s="2457">
        <f t="shared" si="0"/>
        <v>19630.340000000004</v>
      </c>
      <c r="K22" s="6238"/>
      <c r="L22" s="2456">
        <v>4216.2999999999993</v>
      </c>
      <c r="M22" s="6215"/>
      <c r="N22" s="3568">
        <f t="shared" ref="N22:N25" si="88">F22+H22+L22</f>
        <v>23846.640000000003</v>
      </c>
      <c r="O22" s="6238"/>
      <c r="P22" s="2456">
        <v>9955.0899999999983</v>
      </c>
      <c r="Q22" s="6219"/>
      <c r="R22" s="2457">
        <f t="shared" si="80"/>
        <v>33801.730000000003</v>
      </c>
      <c r="S22" s="6238"/>
      <c r="T22" s="2562">
        <v>8881.52</v>
      </c>
      <c r="U22" s="6219"/>
      <c r="V22" s="2557">
        <f t="shared" si="81"/>
        <v>42683.25</v>
      </c>
      <c r="W22" s="6238"/>
      <c r="X22" s="3395">
        <v>6423.33</v>
      </c>
      <c r="Y22" s="6215"/>
      <c r="Z22" s="3568">
        <f>P22+T22+X22</f>
        <v>25259.940000000002</v>
      </c>
      <c r="AA22" s="6216"/>
      <c r="AB22" s="3565">
        <f t="shared" ref="AB22:AB25" si="89">N22+Z22</f>
        <v>49106.58</v>
      </c>
      <c r="AC22" s="6238"/>
      <c r="AD22" s="4048">
        <v>13154.229999999998</v>
      </c>
      <c r="AE22" s="6219"/>
      <c r="AF22" s="4050">
        <f t="shared" si="82"/>
        <v>62260.81</v>
      </c>
      <c r="AG22" s="6218"/>
      <c r="AH22" s="4397">
        <v>15192.729999999996</v>
      </c>
      <c r="AI22" s="6221"/>
      <c r="AJ22" s="4394">
        <f t="shared" si="83"/>
        <v>77453.539999999994</v>
      </c>
      <c r="AK22" s="6238"/>
      <c r="AL22" s="4276">
        <v>13006.840000000002</v>
      </c>
      <c r="AM22" s="6215"/>
      <c r="AN22" s="4282">
        <f>AD22+AH22+AL22</f>
        <v>41353.799999999996</v>
      </c>
      <c r="AO22" s="6219"/>
      <c r="AP22" s="4277">
        <f t="shared" ref="AP22:AP26" si="90">AJ22+AL22</f>
        <v>90460.37999999999</v>
      </c>
      <c r="AQ22" s="6218"/>
      <c r="AR22" s="4455">
        <v>14851.900000000001</v>
      </c>
      <c r="AS22" s="6221"/>
      <c r="AT22" s="4456">
        <f t="shared" si="84"/>
        <v>105312.28</v>
      </c>
      <c r="AU22" s="6218"/>
      <c r="AV22" s="4634">
        <v>10194.320000000003</v>
      </c>
      <c r="AW22" s="6221"/>
      <c r="AX22" s="4635">
        <f t="shared" si="85"/>
        <v>115506.6</v>
      </c>
      <c r="AY22" s="6218"/>
      <c r="AZ22" s="5135">
        <v>9367.760000000002</v>
      </c>
      <c r="BA22" s="6215"/>
      <c r="BB22" s="5136">
        <f>AR22+AV22+AZ22</f>
        <v>34413.98000000001</v>
      </c>
      <c r="BC22" s="6216"/>
      <c r="BD22" s="5143">
        <f t="shared" si="86"/>
        <v>75767.78</v>
      </c>
      <c r="BE22" s="6221"/>
      <c r="BF22" s="5127">
        <f t="shared" si="87"/>
        <v>124874.36000000002</v>
      </c>
      <c r="BG22" s="26"/>
      <c r="BH22" s="26"/>
      <c r="BI22" s="26"/>
      <c r="BJ22" s="26"/>
    </row>
    <row r="23" spans="1:62" ht="20.25" x14ac:dyDescent="0.25">
      <c r="A23" s="122"/>
      <c r="B23" s="2003" t="s">
        <v>141</v>
      </c>
      <c r="C23" s="243"/>
      <c r="D23" s="2456">
        <v>20000</v>
      </c>
      <c r="E23" s="2456">
        <v>0</v>
      </c>
      <c r="F23" s="2456">
        <v>0</v>
      </c>
      <c r="G23" s="2456">
        <v>0</v>
      </c>
      <c r="H23" s="2456">
        <v>0</v>
      </c>
      <c r="I23" s="2457">
        <f t="shared" ref="I23:I26" si="91">E23+G23</f>
        <v>0</v>
      </c>
      <c r="J23" s="2457">
        <f t="shared" si="0"/>
        <v>0</v>
      </c>
      <c r="K23" s="2456">
        <v>0</v>
      </c>
      <c r="L23" s="2456">
        <v>0</v>
      </c>
      <c r="M23" s="300">
        <f>E23+G23+K23</f>
        <v>0</v>
      </c>
      <c r="N23" s="3568">
        <f t="shared" si="88"/>
        <v>0</v>
      </c>
      <c r="O23" s="2456">
        <v>0</v>
      </c>
      <c r="P23" s="2456">
        <v>245.2</v>
      </c>
      <c r="Q23" s="2457">
        <f t="shared" ref="Q23:Q26" si="92">M23+O23</f>
        <v>0</v>
      </c>
      <c r="R23" s="2457">
        <f t="shared" si="80"/>
        <v>245.2</v>
      </c>
      <c r="S23" s="2562">
        <v>2500</v>
      </c>
      <c r="T23" s="2562">
        <v>80.47999999999999</v>
      </c>
      <c r="U23" s="2557">
        <f t="shared" ref="U23:U26" si="93">Q23+S23</f>
        <v>2500</v>
      </c>
      <c r="V23" s="2557">
        <f t="shared" si="81"/>
        <v>325.67999999999995</v>
      </c>
      <c r="W23" s="3395">
        <v>2500</v>
      </c>
      <c r="X23" s="3395">
        <v>77.16</v>
      </c>
      <c r="Y23" s="3568">
        <f>O23+S23+W23</f>
        <v>5000</v>
      </c>
      <c r="Z23" s="3568">
        <f>P23+T23+X23</f>
        <v>402.83999999999992</v>
      </c>
      <c r="AA23" s="3550">
        <f>M23+Y23</f>
        <v>5000</v>
      </c>
      <c r="AB23" s="3565">
        <f t="shared" si="89"/>
        <v>402.83999999999992</v>
      </c>
      <c r="AC23" s="4048">
        <v>2500</v>
      </c>
      <c r="AD23" s="4048">
        <v>222.57</v>
      </c>
      <c r="AE23" s="4050">
        <f t="shared" ref="AE23:AE26" si="94">AA23+AC23</f>
        <v>7500</v>
      </c>
      <c r="AF23" s="4050">
        <f t="shared" si="82"/>
        <v>625.40999999999985</v>
      </c>
      <c r="AG23" s="4397">
        <v>2500</v>
      </c>
      <c r="AH23" s="4397">
        <v>0</v>
      </c>
      <c r="AI23" s="4394">
        <f t="shared" ref="AI23:AI26" si="95">AE23+AG23</f>
        <v>10000</v>
      </c>
      <c r="AJ23" s="4394">
        <f t="shared" si="83"/>
        <v>625.40999999999985</v>
      </c>
      <c r="AK23" s="4276">
        <v>2500</v>
      </c>
      <c r="AL23" s="4276">
        <v>0</v>
      </c>
      <c r="AM23" s="4282">
        <f>AC23+AG23+AK23</f>
        <v>7500</v>
      </c>
      <c r="AN23" s="4282">
        <f>AD23+AH23+AL23</f>
        <v>222.57</v>
      </c>
      <c r="AO23" s="4277">
        <f>AI23+AK23</f>
        <v>12500</v>
      </c>
      <c r="AP23" s="4277">
        <f t="shared" si="90"/>
        <v>625.40999999999985</v>
      </c>
      <c r="AQ23" s="4455">
        <v>2500</v>
      </c>
      <c r="AR23" s="4455">
        <v>33.32</v>
      </c>
      <c r="AS23" s="4456">
        <f t="shared" ref="AS23:AS26" si="96">AO23+AQ23</f>
        <v>15000</v>
      </c>
      <c r="AT23" s="4456">
        <f t="shared" si="84"/>
        <v>658.7299999999999</v>
      </c>
      <c r="AU23" s="4634">
        <v>2500</v>
      </c>
      <c r="AV23" s="4634">
        <v>0</v>
      </c>
      <c r="AW23" s="4635">
        <f t="shared" ref="AW23:AW26" si="97">AS23+AU23</f>
        <v>17500</v>
      </c>
      <c r="AX23" s="4635">
        <f t="shared" si="85"/>
        <v>658.7299999999999</v>
      </c>
      <c r="AY23" s="5135">
        <v>2500</v>
      </c>
      <c r="AZ23" s="5135">
        <v>0</v>
      </c>
      <c r="BA23" s="5136">
        <f>AQ23+AU23+AY23</f>
        <v>7500</v>
      </c>
      <c r="BB23" s="5136">
        <f>AR23+AV23+AZ23</f>
        <v>33.32</v>
      </c>
      <c r="BC23" s="5143">
        <f t="shared" ref="BC23:BC25" si="98">AM23+BA23</f>
        <v>15000</v>
      </c>
      <c r="BD23" s="5143">
        <f t="shared" si="86"/>
        <v>255.89</v>
      </c>
      <c r="BE23" s="5127">
        <f t="shared" ref="BE23:BE26" si="99">AW23+AY23</f>
        <v>20000</v>
      </c>
      <c r="BF23" s="5127">
        <f t="shared" si="87"/>
        <v>658.7299999999999</v>
      </c>
      <c r="BG23" s="26"/>
      <c r="BH23" s="26"/>
      <c r="BI23" s="26"/>
      <c r="BJ23" s="26"/>
    </row>
    <row r="24" spans="1:62" ht="20.25" x14ac:dyDescent="0.25">
      <c r="A24" s="122"/>
      <c r="B24" s="2003" t="s">
        <v>79</v>
      </c>
      <c r="C24" s="243" t="s">
        <v>52</v>
      </c>
      <c r="D24" s="245">
        <v>0</v>
      </c>
      <c r="E24" s="2456">
        <v>0</v>
      </c>
      <c r="F24" s="2456">
        <v>0</v>
      </c>
      <c r="G24" s="2456">
        <v>0</v>
      </c>
      <c r="H24" s="2456">
        <v>0</v>
      </c>
      <c r="I24" s="2457">
        <f t="shared" si="91"/>
        <v>0</v>
      </c>
      <c r="J24" s="2457">
        <f t="shared" si="0"/>
        <v>0</v>
      </c>
      <c r="K24" s="2456">
        <v>0</v>
      </c>
      <c r="L24" s="2456">
        <v>0</v>
      </c>
      <c r="M24" s="3568">
        <f t="shared" ref="M24:M25" si="100">E24+G24+K24</f>
        <v>0</v>
      </c>
      <c r="N24" s="3568">
        <f t="shared" si="88"/>
        <v>0</v>
      </c>
      <c r="O24" s="2456">
        <v>0</v>
      </c>
      <c r="P24" s="2456">
        <v>0</v>
      </c>
      <c r="Q24" s="2457">
        <f t="shared" si="92"/>
        <v>0</v>
      </c>
      <c r="R24" s="2457">
        <f t="shared" si="80"/>
        <v>0</v>
      </c>
      <c r="S24" s="2562">
        <v>0</v>
      </c>
      <c r="T24" s="2562">
        <v>0</v>
      </c>
      <c r="U24" s="2557">
        <f t="shared" si="93"/>
        <v>0</v>
      </c>
      <c r="V24" s="2557">
        <f t="shared" si="81"/>
        <v>0</v>
      </c>
      <c r="W24" s="3395">
        <v>0</v>
      </c>
      <c r="X24" s="3395">
        <v>0</v>
      </c>
      <c r="Y24" s="3568">
        <f t="shared" ref="Y24:Y25" si="101">O24+S24+W24</f>
        <v>0</v>
      </c>
      <c r="Z24" s="3568">
        <f t="shared" ref="Z24:Z25" si="102">P24+T24+X24</f>
        <v>0</v>
      </c>
      <c r="AA24" s="3550">
        <f>M24+Y24</f>
        <v>0</v>
      </c>
      <c r="AB24" s="3565">
        <f t="shared" si="89"/>
        <v>0</v>
      </c>
      <c r="AC24" s="4048">
        <v>0</v>
      </c>
      <c r="AD24" s="4048">
        <v>0</v>
      </c>
      <c r="AE24" s="4050">
        <f t="shared" si="94"/>
        <v>0</v>
      </c>
      <c r="AF24" s="4050">
        <f t="shared" si="82"/>
        <v>0</v>
      </c>
      <c r="AG24" s="4397">
        <v>0</v>
      </c>
      <c r="AH24" s="4397">
        <v>0</v>
      </c>
      <c r="AI24" s="4394">
        <f t="shared" si="95"/>
        <v>0</v>
      </c>
      <c r="AJ24" s="4394">
        <f t="shared" si="83"/>
        <v>0</v>
      </c>
      <c r="AK24" s="4276">
        <v>0</v>
      </c>
      <c r="AL24" s="4276">
        <v>0</v>
      </c>
      <c r="AM24" s="4282">
        <f t="shared" ref="AM24:AM25" si="103">AC24+AG24+AK24</f>
        <v>0</v>
      </c>
      <c r="AN24" s="4282">
        <f t="shared" ref="AN24:AN25" si="104">AD24+AH24+AL24</f>
        <v>0</v>
      </c>
      <c r="AO24" s="4277">
        <f t="shared" ref="AO24:AO26" si="105">AI24+AK24</f>
        <v>0</v>
      </c>
      <c r="AP24" s="4277">
        <f t="shared" si="90"/>
        <v>0</v>
      </c>
      <c r="AQ24" s="4455">
        <v>0</v>
      </c>
      <c r="AR24" s="4455">
        <v>0</v>
      </c>
      <c r="AS24" s="4456">
        <f t="shared" si="96"/>
        <v>0</v>
      </c>
      <c r="AT24" s="4456">
        <f t="shared" si="84"/>
        <v>0</v>
      </c>
      <c r="AU24" s="4634"/>
      <c r="AV24" s="4634">
        <v>0</v>
      </c>
      <c r="AW24" s="4635">
        <f t="shared" si="97"/>
        <v>0</v>
      </c>
      <c r="AX24" s="4635">
        <f t="shared" si="85"/>
        <v>0</v>
      </c>
      <c r="AY24" s="5135">
        <v>0</v>
      </c>
      <c r="AZ24" s="5135">
        <v>0</v>
      </c>
      <c r="BA24" s="5136">
        <f t="shared" ref="BA24:BA25" si="106">AQ24+AU24+AY24</f>
        <v>0</v>
      </c>
      <c r="BB24" s="5136">
        <f t="shared" ref="BB24:BB25" si="107">AR24+AV24+AZ24</f>
        <v>0</v>
      </c>
      <c r="BC24" s="5143">
        <f t="shared" si="98"/>
        <v>0</v>
      </c>
      <c r="BD24" s="5143">
        <f t="shared" si="86"/>
        <v>0</v>
      </c>
      <c r="BE24" s="5127">
        <f t="shared" si="99"/>
        <v>0</v>
      </c>
      <c r="BF24" s="5127">
        <f t="shared" si="87"/>
        <v>0</v>
      </c>
      <c r="BG24" s="26"/>
      <c r="BH24" s="26"/>
      <c r="BI24" s="26"/>
      <c r="BJ24" s="26"/>
    </row>
    <row r="25" spans="1:62" ht="20.25" x14ac:dyDescent="0.25">
      <c r="A25" s="122"/>
      <c r="B25" s="2003" t="s">
        <v>580</v>
      </c>
      <c r="C25" s="243" t="s">
        <v>52</v>
      </c>
      <c r="D25" s="2456">
        <v>0</v>
      </c>
      <c r="E25" s="2456">
        <v>0</v>
      </c>
      <c r="F25" s="2456">
        <v>0</v>
      </c>
      <c r="G25" s="2456">
        <v>0</v>
      </c>
      <c r="H25" s="2456">
        <v>0</v>
      </c>
      <c r="I25" s="2457">
        <f t="shared" si="91"/>
        <v>0</v>
      </c>
      <c r="J25" s="2457">
        <f t="shared" si="0"/>
        <v>0</v>
      </c>
      <c r="K25" s="2456">
        <v>0</v>
      </c>
      <c r="L25" s="2456">
        <v>0</v>
      </c>
      <c r="M25" s="3568">
        <f t="shared" si="100"/>
        <v>0</v>
      </c>
      <c r="N25" s="3568">
        <f t="shared" si="88"/>
        <v>0</v>
      </c>
      <c r="O25" s="2456">
        <v>0</v>
      </c>
      <c r="P25" s="2456">
        <v>0</v>
      </c>
      <c r="Q25" s="2457">
        <f t="shared" si="92"/>
        <v>0</v>
      </c>
      <c r="R25" s="2457">
        <f t="shared" si="80"/>
        <v>0</v>
      </c>
      <c r="S25" s="2562">
        <v>0</v>
      </c>
      <c r="T25" s="2562">
        <v>0</v>
      </c>
      <c r="U25" s="2557">
        <f t="shared" si="93"/>
        <v>0</v>
      </c>
      <c r="V25" s="2557">
        <f t="shared" si="81"/>
        <v>0</v>
      </c>
      <c r="W25" s="3395">
        <v>0</v>
      </c>
      <c r="X25" s="3395">
        <v>0</v>
      </c>
      <c r="Y25" s="3568">
        <f t="shared" si="101"/>
        <v>0</v>
      </c>
      <c r="Z25" s="3568">
        <f t="shared" si="102"/>
        <v>0</v>
      </c>
      <c r="AA25" s="3550">
        <f>M25+Y25</f>
        <v>0</v>
      </c>
      <c r="AB25" s="3565">
        <f t="shared" si="89"/>
        <v>0</v>
      </c>
      <c r="AC25" s="4048">
        <v>0</v>
      </c>
      <c r="AD25" s="4048">
        <v>0</v>
      </c>
      <c r="AE25" s="4050">
        <f t="shared" si="94"/>
        <v>0</v>
      </c>
      <c r="AF25" s="4050">
        <f t="shared" si="82"/>
        <v>0</v>
      </c>
      <c r="AG25" s="4397">
        <v>0</v>
      </c>
      <c r="AH25" s="4397">
        <v>0</v>
      </c>
      <c r="AI25" s="4394">
        <f t="shared" si="95"/>
        <v>0</v>
      </c>
      <c r="AJ25" s="4394">
        <f t="shared" si="83"/>
        <v>0</v>
      </c>
      <c r="AK25" s="4276">
        <v>0</v>
      </c>
      <c r="AL25" s="4276">
        <v>0</v>
      </c>
      <c r="AM25" s="4282">
        <f t="shared" si="103"/>
        <v>0</v>
      </c>
      <c r="AN25" s="4282">
        <f t="shared" si="104"/>
        <v>0</v>
      </c>
      <c r="AO25" s="4277">
        <f t="shared" si="105"/>
        <v>0</v>
      </c>
      <c r="AP25" s="4277">
        <f t="shared" si="90"/>
        <v>0</v>
      </c>
      <c r="AQ25" s="4455">
        <v>0</v>
      </c>
      <c r="AR25" s="4455">
        <v>0</v>
      </c>
      <c r="AS25" s="4456">
        <f t="shared" si="96"/>
        <v>0</v>
      </c>
      <c r="AT25" s="4456">
        <f t="shared" si="84"/>
        <v>0</v>
      </c>
      <c r="AU25" s="4634"/>
      <c r="AV25" s="4634">
        <v>0</v>
      </c>
      <c r="AW25" s="4635">
        <f t="shared" si="97"/>
        <v>0</v>
      </c>
      <c r="AX25" s="4635">
        <f t="shared" si="85"/>
        <v>0</v>
      </c>
      <c r="AY25" s="5135">
        <v>0</v>
      </c>
      <c r="AZ25" s="5135">
        <v>0</v>
      </c>
      <c r="BA25" s="5136">
        <f t="shared" si="106"/>
        <v>0</v>
      </c>
      <c r="BB25" s="5136">
        <f t="shared" si="107"/>
        <v>0</v>
      </c>
      <c r="BC25" s="5143">
        <f t="shared" si="98"/>
        <v>0</v>
      </c>
      <c r="BD25" s="5143">
        <f t="shared" si="86"/>
        <v>0</v>
      </c>
      <c r="BE25" s="5127">
        <f t="shared" si="99"/>
        <v>0</v>
      </c>
      <c r="BF25" s="5127">
        <f t="shared" si="87"/>
        <v>0</v>
      </c>
      <c r="BG25" s="26"/>
      <c r="BH25" s="26"/>
      <c r="BI25" s="26"/>
      <c r="BJ25" s="26"/>
    </row>
    <row r="26" spans="1:62" ht="21.2" customHeight="1" x14ac:dyDescent="0.25">
      <c r="A26" s="122"/>
      <c r="B26" s="2463" t="s">
        <v>2</v>
      </c>
      <c r="C26" s="1252" t="s">
        <v>52</v>
      </c>
      <c r="D26" s="781">
        <f>SUM(D21:D25)</f>
        <v>525000</v>
      </c>
      <c r="E26" s="748">
        <f t="shared" ref="E26:F26" si="108">SUM(E21:E25)</f>
        <v>44500</v>
      </c>
      <c r="F26" s="748">
        <f t="shared" si="108"/>
        <v>37547.600000000006</v>
      </c>
      <c r="G26" s="748">
        <f t="shared" ref="G26:H26" si="109">SUM(G21:G25)</f>
        <v>37500</v>
      </c>
      <c r="H26" s="748">
        <f t="shared" si="109"/>
        <v>29799.489999999998</v>
      </c>
      <c r="I26" s="782">
        <f t="shared" si="91"/>
        <v>82000</v>
      </c>
      <c r="J26" s="782">
        <f t="shared" si="0"/>
        <v>67347.09</v>
      </c>
      <c r="K26" s="748">
        <f t="shared" ref="K26:L26" si="110">SUM(K21:K25)</f>
        <v>36000</v>
      </c>
      <c r="L26" s="748">
        <f t="shared" si="110"/>
        <v>23668.069999999996</v>
      </c>
      <c r="M26" s="783">
        <f>E26+G26+K26</f>
        <v>118000</v>
      </c>
      <c r="N26" s="783">
        <f>F26+H26+L26</f>
        <v>91015.159999999989</v>
      </c>
      <c r="O26" s="748">
        <f t="shared" ref="O26:P26" si="111">SUM(O21:O25)</f>
        <v>46000</v>
      </c>
      <c r="P26" s="748">
        <f t="shared" si="111"/>
        <v>38466.169999999991</v>
      </c>
      <c r="Q26" s="782">
        <f t="shared" si="92"/>
        <v>164000</v>
      </c>
      <c r="R26" s="782">
        <f t="shared" si="80"/>
        <v>129481.32999999999</v>
      </c>
      <c r="S26" s="748">
        <f t="shared" ref="S26:T26" si="112">SUM(S21:S25)</f>
        <v>46000</v>
      </c>
      <c r="T26" s="748">
        <f t="shared" si="112"/>
        <v>44584.210000000043</v>
      </c>
      <c r="U26" s="2558">
        <f t="shared" si="93"/>
        <v>210000</v>
      </c>
      <c r="V26" s="2558">
        <f t="shared" si="81"/>
        <v>174065.54000000004</v>
      </c>
      <c r="W26" s="748">
        <f t="shared" ref="W26:X26" si="113">SUM(W21:W25)</f>
        <v>44500</v>
      </c>
      <c r="X26" s="748">
        <f t="shared" si="113"/>
        <v>33234.170000000006</v>
      </c>
      <c r="Y26" s="3566">
        <f>O26+S26+W26</f>
        <v>136500</v>
      </c>
      <c r="Z26" s="3566">
        <f>P26+T26+X26</f>
        <v>116284.55000000005</v>
      </c>
      <c r="AA26" s="3551">
        <f>M26+Y26</f>
        <v>254500</v>
      </c>
      <c r="AB26" s="3551">
        <f>N26+Z26</f>
        <v>207299.71000000002</v>
      </c>
      <c r="AC26" s="748">
        <f t="shared" ref="AC26:AD26" si="114">SUM(AC21:AC25)</f>
        <v>46000</v>
      </c>
      <c r="AD26" s="748">
        <f t="shared" si="114"/>
        <v>40148.93</v>
      </c>
      <c r="AE26" s="4051">
        <f t="shared" si="94"/>
        <v>300500</v>
      </c>
      <c r="AF26" s="4051">
        <f t="shared" si="82"/>
        <v>247448.64</v>
      </c>
      <c r="AG26" s="748">
        <f t="shared" ref="AG26:AH26" si="115">SUM(AG21:AG25)</f>
        <v>44500</v>
      </c>
      <c r="AH26" s="748">
        <f t="shared" si="115"/>
        <v>39586.209999999992</v>
      </c>
      <c r="AI26" s="4392">
        <f t="shared" si="95"/>
        <v>345000</v>
      </c>
      <c r="AJ26" s="4392">
        <f t="shared" si="83"/>
        <v>287034.84999999998</v>
      </c>
      <c r="AK26" s="748">
        <f t="shared" ref="AK26:AL26" si="116">SUM(AK21:AK25)</f>
        <v>46000</v>
      </c>
      <c r="AL26" s="748">
        <f t="shared" si="116"/>
        <v>40554.65</v>
      </c>
      <c r="AM26" s="4283">
        <f>AC26+AG26+AK26</f>
        <v>136500</v>
      </c>
      <c r="AN26" s="4283">
        <f>AD26+AH26+AL26</f>
        <v>120289.78999999998</v>
      </c>
      <c r="AO26" s="4273">
        <f t="shared" si="105"/>
        <v>391000</v>
      </c>
      <c r="AP26" s="4273">
        <f t="shared" si="90"/>
        <v>327589.5</v>
      </c>
      <c r="AQ26" s="748">
        <f t="shared" ref="AQ26:AR26" si="117">SUM(AQ21:AQ25)</f>
        <v>46000</v>
      </c>
      <c r="AR26" s="748">
        <f t="shared" si="117"/>
        <v>40291.74</v>
      </c>
      <c r="AS26" s="4453">
        <f t="shared" si="96"/>
        <v>437000</v>
      </c>
      <c r="AT26" s="4453">
        <f t="shared" si="84"/>
        <v>367881.24</v>
      </c>
      <c r="AU26" s="748">
        <f t="shared" ref="AU26:AV26" si="118">SUM(AU21:AU25)</f>
        <v>42000</v>
      </c>
      <c r="AV26" s="748">
        <f t="shared" si="118"/>
        <v>38561.130000000005</v>
      </c>
      <c r="AW26" s="4630">
        <f t="shared" si="97"/>
        <v>479000</v>
      </c>
      <c r="AX26" s="4630">
        <f t="shared" si="85"/>
        <v>406442.37</v>
      </c>
      <c r="AY26" s="748">
        <f t="shared" ref="AY26:AZ26" si="119">SUM(AY21:AY25)</f>
        <v>46000</v>
      </c>
      <c r="AZ26" s="748">
        <f t="shared" si="119"/>
        <v>46360.22</v>
      </c>
      <c r="BA26" s="5129">
        <f>AQ26+AU26+AY26</f>
        <v>134000</v>
      </c>
      <c r="BB26" s="5129">
        <f>AR26+AV26+AZ26</f>
        <v>125213.09</v>
      </c>
      <c r="BC26" s="5140">
        <f>AM26+BA26</f>
        <v>270500</v>
      </c>
      <c r="BD26" s="5140">
        <f>AN26+BB26</f>
        <v>245502.87999999998</v>
      </c>
      <c r="BE26" s="5124">
        <f t="shared" si="99"/>
        <v>525000</v>
      </c>
      <c r="BF26" s="5124">
        <f t="shared" si="87"/>
        <v>452802.58999999997</v>
      </c>
      <c r="BG26" s="26"/>
      <c r="BH26" s="26"/>
      <c r="BI26" s="26"/>
      <c r="BJ26" s="26"/>
    </row>
    <row r="27" spans="1:62" s="183" customFormat="1" ht="20.25" x14ac:dyDescent="0.3">
      <c r="A27" s="188"/>
      <c r="B27" s="1246" t="s">
        <v>521</v>
      </c>
      <c r="C27" s="299"/>
      <c r="D27" s="299"/>
      <c r="E27" s="2462"/>
      <c r="F27" s="2462"/>
      <c r="G27" s="2462"/>
      <c r="H27" s="2462"/>
      <c r="I27" s="2462"/>
      <c r="J27" s="2462"/>
      <c r="K27" s="2462"/>
      <c r="L27" s="2462"/>
      <c r="M27" s="2462"/>
      <c r="N27" s="2462"/>
      <c r="O27" s="2462"/>
      <c r="P27" s="2462"/>
      <c r="Q27" s="2462"/>
      <c r="R27" s="2462"/>
      <c r="S27" s="2462"/>
      <c r="T27" s="2462"/>
      <c r="U27" s="2462"/>
      <c r="V27" s="2462"/>
      <c r="W27" s="2462"/>
      <c r="X27" s="2462"/>
      <c r="Y27" s="2462"/>
      <c r="Z27" s="2462"/>
      <c r="AA27" s="2462"/>
      <c r="AB27" s="2462"/>
      <c r="AC27" s="2462"/>
      <c r="AD27" s="2462"/>
      <c r="AE27" s="2462"/>
      <c r="AF27" s="2462"/>
      <c r="AG27" s="2462"/>
      <c r="AH27" s="2462"/>
      <c r="AI27" s="2462"/>
      <c r="AJ27" s="2462"/>
      <c r="AK27" s="2462"/>
      <c r="AL27" s="2462"/>
      <c r="AM27" s="2462"/>
      <c r="AN27" s="2462"/>
      <c r="AO27" s="2462"/>
      <c r="AP27" s="2462"/>
      <c r="AQ27" s="2462"/>
      <c r="AR27" s="2462"/>
      <c r="AS27" s="2462"/>
      <c r="AT27" s="2462"/>
      <c r="AU27" s="2462"/>
      <c r="AV27" s="2462"/>
      <c r="AW27" s="2462"/>
      <c r="AX27" s="2462"/>
      <c r="AY27" s="2462"/>
      <c r="AZ27" s="2462"/>
      <c r="BA27" s="2462"/>
      <c r="BB27" s="2462"/>
      <c r="BC27" s="2462"/>
      <c r="BD27" s="2462"/>
      <c r="BE27" s="2462"/>
      <c r="BF27" s="2462"/>
      <c r="BG27" s="26"/>
      <c r="BH27" s="26"/>
      <c r="BI27" s="26"/>
      <c r="BJ27" s="26"/>
    </row>
    <row r="28" spans="1:62" ht="20.25" x14ac:dyDescent="0.25">
      <c r="A28" s="122"/>
      <c r="B28" s="2003" t="s">
        <v>77</v>
      </c>
      <c r="C28" s="243" t="s">
        <v>52</v>
      </c>
      <c r="D28" s="6238">
        <f>+D35+D42</f>
        <v>529000</v>
      </c>
      <c r="E28" s="6238">
        <f>'Maj Production Summ'!E34-E30-E31-E32</f>
        <v>43500.486872227273</v>
      </c>
      <c r="F28" s="2456">
        <f t="shared" ref="F28:H33" si="120">F35+F42</f>
        <v>33886.25</v>
      </c>
      <c r="G28" s="6238">
        <f>'Maj Production Summ'!G34-G30-G31-G32</f>
        <v>35000.44144996407</v>
      </c>
      <c r="H28" s="2456">
        <f t="shared" si="120"/>
        <v>21729.46</v>
      </c>
      <c r="I28" s="6219">
        <f>E28+G28</f>
        <v>78500.92832219135</v>
      </c>
      <c r="J28" s="2457">
        <f t="shared" si="0"/>
        <v>55615.71</v>
      </c>
      <c r="K28" s="6238">
        <f>'Maj Production Summ'!K34-K30-K31-K32</f>
        <v>49500.27133862226</v>
      </c>
      <c r="L28" s="2456">
        <f t="shared" ref="L28" si="121">L35+L42</f>
        <v>30303.840000000004</v>
      </c>
      <c r="M28" s="6215">
        <f>E28+G28+K28</f>
        <v>128001.19966081361</v>
      </c>
      <c r="N28" s="300">
        <f t="shared" ref="N28:N29" si="122">J28+L28</f>
        <v>85919.55</v>
      </c>
      <c r="O28" s="6238">
        <f>'Maj Production Summ'!O34-O30-O31-O32</f>
        <v>41000.374234374751</v>
      </c>
      <c r="P28" s="2456">
        <f t="shared" ref="P28:P33" si="123">P35+P42</f>
        <v>34242.89</v>
      </c>
      <c r="Q28" s="6219">
        <f>M28+O28</f>
        <v>169001.57389518837</v>
      </c>
      <c r="R28" s="2457">
        <f t="shared" ref="R28:R33" si="124">N28+P28</f>
        <v>120162.44</v>
      </c>
      <c r="S28" s="6238">
        <f>'Maj Production Summ'!S34-S30-S31-S32</f>
        <v>41500.373964374739</v>
      </c>
      <c r="T28" s="2562">
        <f t="shared" ref="T28:T31" si="125">T35+T42</f>
        <v>45365.149999999972</v>
      </c>
      <c r="U28" s="6219">
        <f>Q28+S28</f>
        <v>210501.94785956311</v>
      </c>
      <c r="V28" s="2557">
        <f t="shared" ref="V28:V33" si="126">R28+T28</f>
        <v>165527.58999999997</v>
      </c>
      <c r="W28" s="6238">
        <f>'Maj Production Summ'!W34-W30-W31-W32</f>
        <v>39499.901966540951</v>
      </c>
      <c r="X28" s="3395">
        <f t="shared" ref="X28:X31" si="127">X35+X42</f>
        <v>43849.11</v>
      </c>
      <c r="Y28" s="6215">
        <f>O28+S28+W28</f>
        <v>122000.65016529046</v>
      </c>
      <c r="Z28" s="3396">
        <f t="shared" ref="Y28:Z32" si="128">P28+T28+X28</f>
        <v>123457.14999999998</v>
      </c>
      <c r="AA28" s="6216">
        <f>M28+Y28</f>
        <v>250001.84982610407</v>
      </c>
      <c r="AB28" s="3550">
        <f>N28+Z28</f>
        <v>209376.69999999998</v>
      </c>
      <c r="AC28" s="6238">
        <f>'Maj Production Summ'!AC34-AC30-AC31-AC32</f>
        <v>46999.147549254507</v>
      </c>
      <c r="AD28" s="4048">
        <f t="shared" ref="AD28:AD31" si="129">AD35+AD42</f>
        <v>37937.769999999997</v>
      </c>
      <c r="AE28" s="6219">
        <f>AA28+AC28</f>
        <v>297000.99737535859</v>
      </c>
      <c r="AF28" s="4050">
        <f t="shared" ref="AF28:AF33" si="130">AB28+AD28</f>
        <v>247314.46999999997</v>
      </c>
      <c r="AG28" s="6217">
        <f>'Maj Production Summ'!AG34-AG30-AG31-AG32</f>
        <v>45000.279325031559</v>
      </c>
      <c r="AH28" s="4397">
        <f t="shared" ref="AH28:AH31" si="131">AH35+AH42</f>
        <v>28055.119999999999</v>
      </c>
      <c r="AI28" s="6220">
        <f>AE28+AG28</f>
        <v>342001.27670039015</v>
      </c>
      <c r="AJ28" s="4394">
        <f t="shared" ref="AJ28:AJ33" si="132">AF28+AH28</f>
        <v>275369.58999999997</v>
      </c>
      <c r="AK28" s="6238">
        <f>'Maj Production Summ'!AK34-AK30-AK31-AK32</f>
        <v>47999.543775669597</v>
      </c>
      <c r="AL28" s="4276">
        <f t="shared" ref="AL28:AL31" si="133">AL35+AL42</f>
        <v>39674.47</v>
      </c>
      <c r="AM28" s="6215">
        <f>AC28+AG28+AK28</f>
        <v>139998.97064995565</v>
      </c>
      <c r="AN28" s="4282">
        <f t="shared" ref="AN28:AN32" si="134">AD28+AH28+AL28</f>
        <v>105667.36</v>
      </c>
      <c r="AO28" s="6219">
        <f>AI28+AK28</f>
        <v>390000.82047605974</v>
      </c>
      <c r="AP28" s="4277">
        <f>AJ28+AL28</f>
        <v>315044.05999999994</v>
      </c>
      <c r="AQ28" s="6217">
        <f>'Maj Production Summ'!AQ34-AQ30-AQ31-AQ32</f>
        <v>47499.543775669597</v>
      </c>
      <c r="AR28" s="4455">
        <f t="shared" ref="AR28:AR31" si="135">AR35+AR42</f>
        <v>32673.890000000007</v>
      </c>
      <c r="AS28" s="6220">
        <f>AO28+AQ28</f>
        <v>437500.36425172933</v>
      </c>
      <c r="AT28" s="4456">
        <f t="shared" ref="AT28:AT33" si="136">AP28+AR28</f>
        <v>347717.94999999995</v>
      </c>
      <c r="AU28" s="6217">
        <f>'Maj Production Summ'!AU34-AU30-AU31-AU32</f>
        <v>44499.612159368837</v>
      </c>
      <c r="AV28" s="4634">
        <f t="shared" ref="AV28:AV31" si="137">AV35+AV42</f>
        <v>29901.05000000001</v>
      </c>
      <c r="AW28" s="6220">
        <f>AS28+AU28</f>
        <v>481999.97641109815</v>
      </c>
      <c r="AX28" s="4635">
        <f t="shared" ref="AX28:AX33" si="138">AT28+AV28</f>
        <v>377618.99999999994</v>
      </c>
      <c r="AY28" s="6217">
        <f>'Maj Production Summ'!AY34-AY30-AY31-AY32</f>
        <v>46999.940002084688</v>
      </c>
      <c r="AZ28" s="5135">
        <f t="shared" ref="AZ28:AZ31" si="139">AZ35+AZ42</f>
        <v>40626.659999999996</v>
      </c>
      <c r="BA28" s="6215">
        <f>AQ28+AU28+AY28</f>
        <v>138999.09593712311</v>
      </c>
      <c r="BB28" s="5136">
        <f t="shared" ref="BB28:BB32" si="140">AR28+AV28+AZ28</f>
        <v>103201.60000000001</v>
      </c>
      <c r="BC28" s="6216">
        <f>AM28+BA28</f>
        <v>278998.06658707873</v>
      </c>
      <c r="BD28" s="5143">
        <f t="shared" ref="BD28:BD32" si="141">AN28+BB28</f>
        <v>208868.96000000002</v>
      </c>
      <c r="BE28" s="6220">
        <f>AW28+AY28</f>
        <v>528999.91641318286</v>
      </c>
      <c r="BF28" s="5127">
        <f t="shared" ref="BF28:BF33" si="142">AX28+AZ28</f>
        <v>418245.65999999992</v>
      </c>
      <c r="BG28" s="26"/>
      <c r="BH28" s="26"/>
      <c r="BI28" s="26"/>
      <c r="BJ28" s="26"/>
    </row>
    <row r="29" spans="1:62" ht="20.25" x14ac:dyDescent="0.25">
      <c r="A29" s="122"/>
      <c r="B29" s="2003" t="s">
        <v>78</v>
      </c>
      <c r="C29" s="243" t="s">
        <v>52</v>
      </c>
      <c r="D29" s="6238"/>
      <c r="E29" s="6238"/>
      <c r="F29" s="2456">
        <f t="shared" si="120"/>
        <v>18380.54</v>
      </c>
      <c r="G29" s="6238"/>
      <c r="H29" s="2456">
        <f t="shared" si="120"/>
        <v>17623.010000000009</v>
      </c>
      <c r="I29" s="6219"/>
      <c r="J29" s="2457">
        <f t="shared" si="0"/>
        <v>36003.55000000001</v>
      </c>
      <c r="K29" s="6238"/>
      <c r="L29" s="2456">
        <f t="shared" ref="L29" si="143">L36+L43</f>
        <v>13726.26</v>
      </c>
      <c r="M29" s="6215"/>
      <c r="N29" s="300">
        <f t="shared" si="122"/>
        <v>49729.810000000012</v>
      </c>
      <c r="O29" s="6238"/>
      <c r="P29" s="2456">
        <f t="shared" si="123"/>
        <v>25457.850000000009</v>
      </c>
      <c r="Q29" s="6219"/>
      <c r="R29" s="2457">
        <f t="shared" si="124"/>
        <v>75187.660000000018</v>
      </c>
      <c r="S29" s="6238"/>
      <c r="T29" s="2562">
        <f t="shared" si="125"/>
        <v>10379.59</v>
      </c>
      <c r="U29" s="6219"/>
      <c r="V29" s="2557">
        <f t="shared" si="126"/>
        <v>85567.250000000015</v>
      </c>
      <c r="W29" s="6238"/>
      <c r="X29" s="3395">
        <f t="shared" si="127"/>
        <v>10203.939999999995</v>
      </c>
      <c r="Y29" s="6215"/>
      <c r="Z29" s="3396">
        <f t="shared" si="128"/>
        <v>46041.380000000005</v>
      </c>
      <c r="AA29" s="6216"/>
      <c r="AB29" s="3565">
        <f t="shared" ref="AB29:AB32" si="144">N29+Z29</f>
        <v>95771.190000000017</v>
      </c>
      <c r="AC29" s="6238"/>
      <c r="AD29" s="4048">
        <f t="shared" si="129"/>
        <v>18942.099999999999</v>
      </c>
      <c r="AE29" s="6219"/>
      <c r="AF29" s="4050">
        <f t="shared" si="130"/>
        <v>114713.29000000001</v>
      </c>
      <c r="AG29" s="6218"/>
      <c r="AH29" s="4397">
        <f t="shared" si="131"/>
        <v>14947.749999999993</v>
      </c>
      <c r="AI29" s="6221"/>
      <c r="AJ29" s="4394">
        <f t="shared" si="132"/>
        <v>129661.04000000001</v>
      </c>
      <c r="AK29" s="6238"/>
      <c r="AL29" s="4276">
        <f t="shared" si="133"/>
        <v>14862.669999999998</v>
      </c>
      <c r="AM29" s="6215"/>
      <c r="AN29" s="4282">
        <f t="shared" si="134"/>
        <v>48752.51999999999</v>
      </c>
      <c r="AO29" s="6219"/>
      <c r="AP29" s="4277">
        <f t="shared" ref="AP29:AP47" si="145">AJ29+AL29</f>
        <v>144523.71000000002</v>
      </c>
      <c r="AQ29" s="6218"/>
      <c r="AR29" s="4455">
        <f t="shared" si="135"/>
        <v>11490.309999999998</v>
      </c>
      <c r="AS29" s="6221"/>
      <c r="AT29" s="4456">
        <f t="shared" si="136"/>
        <v>156014.02000000002</v>
      </c>
      <c r="AU29" s="6218"/>
      <c r="AV29" s="4634">
        <f t="shared" si="137"/>
        <v>13827.469999999996</v>
      </c>
      <c r="AW29" s="6221"/>
      <c r="AX29" s="4635">
        <f t="shared" si="138"/>
        <v>169841.49000000002</v>
      </c>
      <c r="AY29" s="6218"/>
      <c r="AZ29" s="5135">
        <f t="shared" si="139"/>
        <v>9486.0000000000036</v>
      </c>
      <c r="BA29" s="6215"/>
      <c r="BB29" s="5136">
        <f t="shared" si="140"/>
        <v>34803.78</v>
      </c>
      <c r="BC29" s="6216"/>
      <c r="BD29" s="5143">
        <f t="shared" si="141"/>
        <v>83556.299999999988</v>
      </c>
      <c r="BE29" s="6221"/>
      <c r="BF29" s="5127">
        <f t="shared" si="142"/>
        <v>179327.49000000002</v>
      </c>
      <c r="BG29" s="26"/>
      <c r="BH29" s="26"/>
      <c r="BI29" s="26"/>
      <c r="BJ29" s="26"/>
    </row>
    <row r="30" spans="1:62" ht="20.25" x14ac:dyDescent="0.25">
      <c r="A30" s="147"/>
      <c r="B30" s="2003" t="s">
        <v>141</v>
      </c>
      <c r="C30" s="243" t="s">
        <v>52</v>
      </c>
      <c r="D30" s="2456">
        <f>+D37+D44</f>
        <v>101000</v>
      </c>
      <c r="E30" s="2456">
        <v>9000</v>
      </c>
      <c r="F30" s="2456">
        <f t="shared" si="120"/>
        <v>1289.0400000000002</v>
      </c>
      <c r="G30" s="2456">
        <v>5000</v>
      </c>
      <c r="H30" s="2456">
        <f t="shared" si="120"/>
        <v>5515.8799999999974</v>
      </c>
      <c r="I30" s="2457">
        <f t="shared" ref="I30:I33" si="146">E30+G30</f>
        <v>14000</v>
      </c>
      <c r="J30" s="2457">
        <f t="shared" si="0"/>
        <v>6804.9199999999973</v>
      </c>
      <c r="K30" s="2456">
        <v>5000</v>
      </c>
      <c r="L30" s="2456">
        <f t="shared" ref="L30" si="147">L37+L44</f>
        <v>2763.7600000000007</v>
      </c>
      <c r="M30" s="3568">
        <f>E30+G30+K30</f>
        <v>19000</v>
      </c>
      <c r="N30" s="3568">
        <f>F30+H30+L30</f>
        <v>9568.6799999999985</v>
      </c>
      <c r="O30" s="2456">
        <v>9000</v>
      </c>
      <c r="P30" s="2456">
        <f t="shared" si="123"/>
        <v>3861.619999999999</v>
      </c>
      <c r="Q30" s="2457">
        <f t="shared" ref="Q30:Q33" si="148">M30+O30</f>
        <v>28000</v>
      </c>
      <c r="R30" s="2457">
        <f t="shared" si="124"/>
        <v>13430.299999999997</v>
      </c>
      <c r="S30" s="2562">
        <v>9000</v>
      </c>
      <c r="T30" s="2562">
        <f t="shared" si="125"/>
        <v>0</v>
      </c>
      <c r="U30" s="2557">
        <f t="shared" ref="U30:U33" si="149">Q30+S30</f>
        <v>37000</v>
      </c>
      <c r="V30" s="2557">
        <f t="shared" si="126"/>
        <v>13430.299999999997</v>
      </c>
      <c r="W30" s="3395">
        <v>9000</v>
      </c>
      <c r="X30" s="3395">
        <f t="shared" si="127"/>
        <v>1353.3200000000002</v>
      </c>
      <c r="Y30" s="3396">
        <f t="shared" si="128"/>
        <v>27000</v>
      </c>
      <c r="Z30" s="3396">
        <f t="shared" si="128"/>
        <v>5214.9399999999987</v>
      </c>
      <c r="AA30" s="3550">
        <f>M30+Y30</f>
        <v>46000</v>
      </c>
      <c r="AB30" s="3565">
        <f t="shared" si="144"/>
        <v>14783.619999999997</v>
      </c>
      <c r="AC30" s="4048">
        <v>9000</v>
      </c>
      <c r="AD30" s="4048">
        <f t="shared" si="129"/>
        <v>2817.4600000000005</v>
      </c>
      <c r="AE30" s="4050">
        <f t="shared" ref="AE30:AE33" si="150">AA30+AC30</f>
        <v>55000</v>
      </c>
      <c r="AF30" s="4050">
        <f t="shared" si="130"/>
        <v>17601.079999999998</v>
      </c>
      <c r="AG30" s="4397">
        <v>9000</v>
      </c>
      <c r="AH30" s="4397">
        <f t="shared" si="131"/>
        <v>1346.7</v>
      </c>
      <c r="AI30" s="4394">
        <f t="shared" ref="AI30:AI33" si="151">AE30+AG30</f>
        <v>64000</v>
      </c>
      <c r="AJ30" s="4394">
        <f t="shared" si="132"/>
        <v>18947.78</v>
      </c>
      <c r="AK30" s="4276">
        <v>9000</v>
      </c>
      <c r="AL30" s="4276">
        <f t="shared" si="133"/>
        <v>0</v>
      </c>
      <c r="AM30" s="4282">
        <f t="shared" ref="AM30:AM32" si="152">AC30+AG30+AK30</f>
        <v>27000</v>
      </c>
      <c r="AN30" s="4282">
        <f t="shared" si="134"/>
        <v>4164.1600000000008</v>
      </c>
      <c r="AO30" s="4277">
        <f>AI30+AK30</f>
        <v>73000</v>
      </c>
      <c r="AP30" s="4277">
        <f t="shared" si="145"/>
        <v>18947.78</v>
      </c>
      <c r="AQ30" s="4455">
        <v>9000</v>
      </c>
      <c r="AR30" s="4455">
        <f t="shared" si="135"/>
        <v>0</v>
      </c>
      <c r="AS30" s="4456">
        <f t="shared" ref="AS30:AS33" si="153">AO30+AQ30</f>
        <v>82000</v>
      </c>
      <c r="AT30" s="4456">
        <f t="shared" si="136"/>
        <v>18947.78</v>
      </c>
      <c r="AU30" s="4634">
        <v>9000</v>
      </c>
      <c r="AV30" s="4634">
        <f t="shared" si="137"/>
        <v>2778.94</v>
      </c>
      <c r="AW30" s="4635">
        <f t="shared" ref="AW30:AW33" si="154">AS30+AU30</f>
        <v>91000</v>
      </c>
      <c r="AX30" s="4635">
        <f t="shared" si="138"/>
        <v>21726.719999999998</v>
      </c>
      <c r="AY30" s="5135">
        <v>10000</v>
      </c>
      <c r="AZ30" s="5135">
        <f t="shared" si="139"/>
        <v>4166.2999999999993</v>
      </c>
      <c r="BA30" s="5136">
        <f t="shared" ref="BA30:BA32" si="155">AQ30+AU30+AY30</f>
        <v>28000</v>
      </c>
      <c r="BB30" s="5136">
        <f t="shared" si="140"/>
        <v>6945.24</v>
      </c>
      <c r="BC30" s="5143">
        <f t="shared" ref="BC30:BC32" si="156">AM30+BA30</f>
        <v>55000</v>
      </c>
      <c r="BD30" s="5143">
        <f t="shared" si="141"/>
        <v>11109.400000000001</v>
      </c>
      <c r="BE30" s="5127">
        <f t="shared" ref="BE30:BE33" si="157">AW30+AY30</f>
        <v>101000</v>
      </c>
      <c r="BF30" s="5127">
        <f t="shared" si="142"/>
        <v>25893.019999999997</v>
      </c>
      <c r="BG30" s="26"/>
      <c r="BH30" s="26"/>
      <c r="BI30" s="26"/>
      <c r="BJ30" s="26"/>
    </row>
    <row r="31" spans="1:62" ht="20.25" x14ac:dyDescent="0.25">
      <c r="A31" s="122"/>
      <c r="B31" s="2003" t="s">
        <v>79</v>
      </c>
      <c r="C31" s="243" t="s">
        <v>52</v>
      </c>
      <c r="D31" s="245">
        <f>+D38+D45</f>
        <v>0</v>
      </c>
      <c r="E31" s="2456">
        <v>0</v>
      </c>
      <c r="F31" s="2456">
        <f t="shared" si="120"/>
        <v>0</v>
      </c>
      <c r="G31" s="2456">
        <v>0</v>
      </c>
      <c r="H31" s="2456">
        <f t="shared" si="120"/>
        <v>103</v>
      </c>
      <c r="I31" s="2457">
        <f t="shared" si="146"/>
        <v>0</v>
      </c>
      <c r="J31" s="2457">
        <f t="shared" si="0"/>
        <v>103</v>
      </c>
      <c r="K31" s="2456">
        <v>0</v>
      </c>
      <c r="L31" s="2456">
        <f t="shared" ref="L31" si="158">L38+L45</f>
        <v>0</v>
      </c>
      <c r="M31" s="3568">
        <f t="shared" ref="M31:M32" si="159">E31+G31+K31</f>
        <v>0</v>
      </c>
      <c r="N31" s="3568">
        <f t="shared" ref="N31:N32" si="160">F31+H31+L31</f>
        <v>103</v>
      </c>
      <c r="O31" s="2456">
        <v>0</v>
      </c>
      <c r="P31" s="2456">
        <f t="shared" si="123"/>
        <v>2735.94</v>
      </c>
      <c r="Q31" s="2457">
        <f t="shared" si="148"/>
        <v>0</v>
      </c>
      <c r="R31" s="2457">
        <f t="shared" si="124"/>
        <v>2838.94</v>
      </c>
      <c r="S31" s="2562">
        <v>0</v>
      </c>
      <c r="T31" s="2562">
        <f t="shared" si="125"/>
        <v>237.26</v>
      </c>
      <c r="U31" s="2557">
        <f t="shared" si="149"/>
        <v>0</v>
      </c>
      <c r="V31" s="2557">
        <f t="shared" si="126"/>
        <v>3076.2</v>
      </c>
      <c r="W31" s="3395">
        <v>0</v>
      </c>
      <c r="X31" s="3395">
        <f t="shared" si="127"/>
        <v>0</v>
      </c>
      <c r="Y31" s="3396">
        <f t="shared" si="128"/>
        <v>0</v>
      </c>
      <c r="Z31" s="3396">
        <f t="shared" si="128"/>
        <v>2973.2</v>
      </c>
      <c r="AA31" s="3550">
        <f>M31+Y31</f>
        <v>0</v>
      </c>
      <c r="AB31" s="3565">
        <f t="shared" si="144"/>
        <v>3076.2</v>
      </c>
      <c r="AC31" s="4048">
        <v>0</v>
      </c>
      <c r="AD31" s="4048">
        <f t="shared" si="129"/>
        <v>0</v>
      </c>
      <c r="AE31" s="4050">
        <f t="shared" si="150"/>
        <v>0</v>
      </c>
      <c r="AF31" s="4050">
        <f t="shared" si="130"/>
        <v>3076.2</v>
      </c>
      <c r="AG31" s="4397">
        <v>0</v>
      </c>
      <c r="AH31" s="4397">
        <f t="shared" si="131"/>
        <v>0</v>
      </c>
      <c r="AI31" s="4394">
        <f t="shared" si="151"/>
        <v>0</v>
      </c>
      <c r="AJ31" s="4394">
        <f t="shared" si="132"/>
        <v>3076.2</v>
      </c>
      <c r="AK31" s="4276">
        <v>0</v>
      </c>
      <c r="AL31" s="4276">
        <f t="shared" si="133"/>
        <v>0</v>
      </c>
      <c r="AM31" s="4282">
        <f t="shared" si="152"/>
        <v>0</v>
      </c>
      <c r="AN31" s="4282">
        <f t="shared" si="134"/>
        <v>0</v>
      </c>
      <c r="AO31" s="4277">
        <f t="shared" ref="AO31:AO33" si="161">AI31+AK31</f>
        <v>0</v>
      </c>
      <c r="AP31" s="4277">
        <f t="shared" si="145"/>
        <v>3076.2</v>
      </c>
      <c r="AQ31" s="4455">
        <v>0</v>
      </c>
      <c r="AR31" s="4455">
        <f t="shared" si="135"/>
        <v>0</v>
      </c>
      <c r="AS31" s="4456">
        <f t="shared" si="153"/>
        <v>0</v>
      </c>
      <c r="AT31" s="4456">
        <f t="shared" si="136"/>
        <v>3076.2</v>
      </c>
      <c r="AU31" s="4634"/>
      <c r="AV31" s="4634">
        <f t="shared" si="137"/>
        <v>0</v>
      </c>
      <c r="AW31" s="4635">
        <f t="shared" si="154"/>
        <v>0</v>
      </c>
      <c r="AX31" s="4635">
        <f t="shared" si="138"/>
        <v>3076.2</v>
      </c>
      <c r="AY31" s="5135">
        <v>0</v>
      </c>
      <c r="AZ31" s="5135">
        <f t="shared" si="139"/>
        <v>0</v>
      </c>
      <c r="BA31" s="5136">
        <f t="shared" si="155"/>
        <v>0</v>
      </c>
      <c r="BB31" s="5136">
        <f t="shared" si="140"/>
        <v>0</v>
      </c>
      <c r="BC31" s="5143">
        <f t="shared" si="156"/>
        <v>0</v>
      </c>
      <c r="BD31" s="5143">
        <f t="shared" si="141"/>
        <v>0</v>
      </c>
      <c r="BE31" s="5127">
        <f t="shared" si="157"/>
        <v>0</v>
      </c>
      <c r="BF31" s="5127">
        <f t="shared" si="142"/>
        <v>3076.2</v>
      </c>
      <c r="BG31" s="26"/>
      <c r="BH31" s="26"/>
      <c r="BI31" s="26"/>
      <c r="BJ31" s="26"/>
    </row>
    <row r="32" spans="1:62" ht="21.2" customHeight="1" x14ac:dyDescent="0.25">
      <c r="A32" s="122"/>
      <c r="B32" s="2003" t="s">
        <v>580</v>
      </c>
      <c r="C32" s="243" t="s">
        <v>52</v>
      </c>
      <c r="D32" s="2456">
        <f>+D39+D46</f>
        <v>20000</v>
      </c>
      <c r="E32" s="2456">
        <v>1500</v>
      </c>
      <c r="F32" s="3567">
        <f>F39+F46</f>
        <v>1856.8500000000001</v>
      </c>
      <c r="G32" s="2456">
        <v>1500</v>
      </c>
      <c r="H32" s="3567">
        <f>H39+H46</f>
        <v>4260.58</v>
      </c>
      <c r="I32" s="2457">
        <f t="shared" si="146"/>
        <v>3000</v>
      </c>
      <c r="J32" s="2457">
        <f t="shared" si="0"/>
        <v>6117.43</v>
      </c>
      <c r="K32" s="2456">
        <v>2000</v>
      </c>
      <c r="L32" s="3567">
        <f>L39+L46</f>
        <v>1412.02</v>
      </c>
      <c r="M32" s="3568">
        <f t="shared" si="159"/>
        <v>5000</v>
      </c>
      <c r="N32" s="3568">
        <f t="shared" si="160"/>
        <v>7529.4500000000007</v>
      </c>
      <c r="O32" s="2456">
        <v>2000</v>
      </c>
      <c r="P32" s="2456">
        <f>P39+P46</f>
        <v>1785.3700000000001</v>
      </c>
      <c r="Q32" s="2457">
        <f t="shared" si="148"/>
        <v>7000</v>
      </c>
      <c r="R32" s="2457">
        <f t="shared" si="124"/>
        <v>9314.8200000000015</v>
      </c>
      <c r="S32" s="2562">
        <v>1500</v>
      </c>
      <c r="T32" s="2562">
        <f>T39+T46</f>
        <v>1518.5299999999997</v>
      </c>
      <c r="U32" s="2557">
        <f t="shared" si="149"/>
        <v>8500</v>
      </c>
      <c r="V32" s="2557">
        <f t="shared" si="126"/>
        <v>10833.350000000002</v>
      </c>
      <c r="W32" s="3395">
        <v>1500</v>
      </c>
      <c r="X32" s="3395">
        <f>X39+X46</f>
        <v>2496.4499999999998</v>
      </c>
      <c r="Y32" s="3396">
        <f t="shared" si="128"/>
        <v>5000</v>
      </c>
      <c r="Z32" s="3396">
        <f t="shared" si="128"/>
        <v>5800.3499999999995</v>
      </c>
      <c r="AA32" s="3550">
        <f>M32+Y32</f>
        <v>10000</v>
      </c>
      <c r="AB32" s="3565">
        <f t="shared" si="144"/>
        <v>13329.8</v>
      </c>
      <c r="AC32" s="4048">
        <v>1500</v>
      </c>
      <c r="AD32" s="4048">
        <f>AD39+AD46</f>
        <v>2994.67</v>
      </c>
      <c r="AE32" s="4050">
        <f t="shared" si="150"/>
        <v>11500</v>
      </c>
      <c r="AF32" s="4050">
        <f t="shared" si="130"/>
        <v>16324.47</v>
      </c>
      <c r="AG32" s="4397">
        <v>1500</v>
      </c>
      <c r="AH32" s="4397">
        <f>AH39+AH46</f>
        <v>2457.0600000000004</v>
      </c>
      <c r="AI32" s="4394">
        <f t="shared" si="151"/>
        <v>13000</v>
      </c>
      <c r="AJ32" s="4394">
        <f t="shared" si="132"/>
        <v>18781.53</v>
      </c>
      <c r="AK32" s="4276">
        <v>1500</v>
      </c>
      <c r="AL32" s="4276">
        <f>AL39+AL46</f>
        <v>1302.0999999999999</v>
      </c>
      <c r="AM32" s="4282">
        <f t="shared" si="152"/>
        <v>4500</v>
      </c>
      <c r="AN32" s="4282">
        <f t="shared" si="134"/>
        <v>6753.83</v>
      </c>
      <c r="AO32" s="4277">
        <f t="shared" si="161"/>
        <v>14500</v>
      </c>
      <c r="AP32" s="4277">
        <f t="shared" si="145"/>
        <v>20083.629999999997</v>
      </c>
      <c r="AQ32" s="4455">
        <v>2000</v>
      </c>
      <c r="AR32" s="4455">
        <f>AR39+AR46</f>
        <v>2913.06</v>
      </c>
      <c r="AS32" s="4456">
        <f t="shared" si="153"/>
        <v>16500</v>
      </c>
      <c r="AT32" s="4456">
        <f t="shared" si="136"/>
        <v>22996.69</v>
      </c>
      <c r="AU32" s="4634">
        <v>1500</v>
      </c>
      <c r="AV32" s="4634">
        <f>AV39+AV46</f>
        <v>2516.6000000000004</v>
      </c>
      <c r="AW32" s="4635">
        <f t="shared" si="154"/>
        <v>18000</v>
      </c>
      <c r="AX32" s="4635">
        <f t="shared" si="138"/>
        <v>25513.29</v>
      </c>
      <c r="AY32" s="5135">
        <v>2000</v>
      </c>
      <c r="AZ32" s="5135">
        <f>AZ39+AZ46</f>
        <v>5071.7</v>
      </c>
      <c r="BA32" s="5136">
        <f t="shared" si="155"/>
        <v>5500</v>
      </c>
      <c r="BB32" s="5136">
        <f t="shared" si="140"/>
        <v>10501.36</v>
      </c>
      <c r="BC32" s="5143">
        <f t="shared" si="156"/>
        <v>10000</v>
      </c>
      <c r="BD32" s="5143">
        <f t="shared" si="141"/>
        <v>17255.190000000002</v>
      </c>
      <c r="BE32" s="5127">
        <f t="shared" si="157"/>
        <v>20000</v>
      </c>
      <c r="BF32" s="5127">
        <f t="shared" si="142"/>
        <v>30584.99</v>
      </c>
      <c r="BG32" s="26"/>
      <c r="BH32" s="26"/>
      <c r="BI32" s="26"/>
      <c r="BJ32" s="26"/>
    </row>
    <row r="33" spans="1:63" ht="21.2" customHeight="1" x14ac:dyDescent="0.25">
      <c r="A33" s="122"/>
      <c r="B33" s="2463" t="s">
        <v>2</v>
      </c>
      <c r="C33" s="1252" t="s">
        <v>52</v>
      </c>
      <c r="D33" s="781">
        <f>SUM(D28:D32)</f>
        <v>650000</v>
      </c>
      <c r="E33" s="748">
        <f t="shared" ref="E33:G33" si="162">SUM(E28:E32)</f>
        <v>54000.486872227273</v>
      </c>
      <c r="F33" s="748">
        <f t="shared" si="120"/>
        <v>55412.680000000008</v>
      </c>
      <c r="G33" s="748">
        <f t="shared" si="162"/>
        <v>41500.44144996407</v>
      </c>
      <c r="H33" s="748">
        <f t="shared" si="120"/>
        <v>49231.930000000008</v>
      </c>
      <c r="I33" s="782">
        <f t="shared" si="146"/>
        <v>95500.92832219135</v>
      </c>
      <c r="J33" s="782">
        <f t="shared" si="0"/>
        <v>104644.61000000002</v>
      </c>
      <c r="K33" s="748">
        <f t="shared" ref="K33" si="163">SUM(K28:K32)</f>
        <v>56500.27133862226</v>
      </c>
      <c r="L33" s="748">
        <f t="shared" ref="L33" si="164">L40+L47</f>
        <v>48205.880000000005</v>
      </c>
      <c r="M33" s="3566">
        <f>E33+G33+K33</f>
        <v>152001.19966081361</v>
      </c>
      <c r="N33" s="3566">
        <f>F33+H33+L33</f>
        <v>152850.49000000002</v>
      </c>
      <c r="O33" s="748">
        <f t="shared" ref="O33" si="165">SUM(O28:O32)</f>
        <v>52000.374234374751</v>
      </c>
      <c r="P33" s="748">
        <f t="shared" si="123"/>
        <v>68083.67</v>
      </c>
      <c r="Q33" s="782">
        <f t="shared" si="148"/>
        <v>204001.57389518837</v>
      </c>
      <c r="R33" s="782">
        <f t="shared" si="124"/>
        <v>220934.16000000003</v>
      </c>
      <c r="S33" s="748">
        <f t="shared" ref="S33" si="166">SUM(S28:S32)</f>
        <v>52000.373964374739</v>
      </c>
      <c r="T33" s="748">
        <f t="shared" ref="T33" si="167">T40+T47</f>
        <v>57500.52999999997</v>
      </c>
      <c r="U33" s="2558">
        <f t="shared" si="149"/>
        <v>256001.94785956311</v>
      </c>
      <c r="V33" s="2558">
        <f t="shared" si="126"/>
        <v>278434.69</v>
      </c>
      <c r="W33" s="748">
        <f t="shared" ref="W33" si="168">SUM(W28:W32)</f>
        <v>49999.901966540951</v>
      </c>
      <c r="X33" s="748">
        <f>X40+X47</f>
        <v>57902.819999999992</v>
      </c>
      <c r="Y33" s="3566">
        <f>O33+S33+W33</f>
        <v>154000.65016529046</v>
      </c>
      <c r="Z33" s="3566">
        <f>P33+T33+X33</f>
        <v>183487.01999999996</v>
      </c>
      <c r="AA33" s="3551">
        <f>M33+Y33</f>
        <v>306001.84982610407</v>
      </c>
      <c r="AB33" s="3551">
        <f>N33+Z33</f>
        <v>336337.51</v>
      </c>
      <c r="AC33" s="748">
        <f t="shared" ref="AC33" si="169">SUM(AC28:AC32)</f>
        <v>57499.147549254507</v>
      </c>
      <c r="AD33" s="748">
        <f t="shared" ref="AD33" si="170">AD40+AD47</f>
        <v>62691.999999999985</v>
      </c>
      <c r="AE33" s="4051">
        <f t="shared" si="150"/>
        <v>363500.99737535859</v>
      </c>
      <c r="AF33" s="4051">
        <f t="shared" si="130"/>
        <v>399029.51</v>
      </c>
      <c r="AG33" s="748">
        <f t="shared" ref="AG33" si="171">SUM(AG28:AG32)</f>
        <v>55500.279325031559</v>
      </c>
      <c r="AH33" s="748">
        <f t="shared" ref="AH33" si="172">AH40+AH47</f>
        <v>46806.62999999999</v>
      </c>
      <c r="AI33" s="4392">
        <f t="shared" si="151"/>
        <v>419001.27670039015</v>
      </c>
      <c r="AJ33" s="4392">
        <f t="shared" si="132"/>
        <v>445836.14</v>
      </c>
      <c r="AK33" s="748">
        <f t="shared" ref="AK33" si="173">SUM(AK28:AK32)</f>
        <v>58499.543775669597</v>
      </c>
      <c r="AL33" s="748">
        <f>AL40+AL47</f>
        <v>55839.24</v>
      </c>
      <c r="AM33" s="4283">
        <f>AC33+AG33+AK33</f>
        <v>171498.97064995565</v>
      </c>
      <c r="AN33" s="4283">
        <f>AD33+AH33+AL33</f>
        <v>165337.86999999997</v>
      </c>
      <c r="AO33" s="4273">
        <f t="shared" si="161"/>
        <v>477500.82047605974</v>
      </c>
      <c r="AP33" s="4273">
        <f t="shared" si="145"/>
        <v>501675.38</v>
      </c>
      <c r="AQ33" s="748">
        <f t="shared" ref="AQ33" si="174">SUM(AQ28:AQ32)</f>
        <v>58499.543775669597</v>
      </c>
      <c r="AR33" s="748">
        <f t="shared" ref="AR33" si="175">AR40+AR47</f>
        <v>47077.26</v>
      </c>
      <c r="AS33" s="4453">
        <f t="shared" si="153"/>
        <v>536000.36425172933</v>
      </c>
      <c r="AT33" s="4453">
        <f t="shared" si="136"/>
        <v>548752.64000000001</v>
      </c>
      <c r="AU33" s="748">
        <f t="shared" ref="AU33" si="176">SUM(AU28:AU32)</f>
        <v>54999.612159368837</v>
      </c>
      <c r="AV33" s="748">
        <f t="shared" ref="AV33" si="177">AV40+AV47</f>
        <v>49024.06</v>
      </c>
      <c r="AW33" s="4630">
        <f t="shared" si="154"/>
        <v>590999.97641109815</v>
      </c>
      <c r="AX33" s="4630">
        <f t="shared" si="138"/>
        <v>597776.69999999995</v>
      </c>
      <c r="AY33" s="748">
        <f t="shared" ref="AY33" si="178">SUM(AY28:AY32)</f>
        <v>58999.940002084688</v>
      </c>
      <c r="AZ33" s="748">
        <f t="shared" ref="AZ33" si="179">AZ40+AZ47</f>
        <v>59350.66</v>
      </c>
      <c r="BA33" s="5129">
        <f>AQ33+AU33+AY33</f>
        <v>172499.09593712311</v>
      </c>
      <c r="BB33" s="5129">
        <f>AR33+AV33+AZ33</f>
        <v>155451.98000000001</v>
      </c>
      <c r="BC33" s="5140">
        <f>AM33+BA33</f>
        <v>343998.06658707873</v>
      </c>
      <c r="BD33" s="5140">
        <f>AN33+BB33</f>
        <v>320789.84999999998</v>
      </c>
      <c r="BE33" s="5124">
        <f t="shared" si="157"/>
        <v>649999.91641318286</v>
      </c>
      <c r="BF33" s="5124">
        <f t="shared" si="142"/>
        <v>657127.36</v>
      </c>
      <c r="BG33" s="26"/>
      <c r="BH33" s="26"/>
      <c r="BI33" s="26"/>
      <c r="BJ33" s="26"/>
    </row>
    <row r="34" spans="1:63" s="183" customFormat="1" ht="20.25" x14ac:dyDescent="0.3">
      <c r="A34" s="188"/>
      <c r="B34" s="1246" t="s">
        <v>1510</v>
      </c>
      <c r="C34" s="299"/>
      <c r="D34" s="2475"/>
      <c r="E34" s="2462"/>
      <c r="F34" s="2462"/>
      <c r="G34" s="2462"/>
      <c r="H34" s="2462"/>
      <c r="I34" s="2462"/>
      <c r="J34" s="2462"/>
      <c r="K34" s="2462"/>
      <c r="L34" s="2462"/>
      <c r="M34" s="2462"/>
      <c r="N34" s="2462"/>
      <c r="O34" s="2462"/>
      <c r="P34" s="2462"/>
      <c r="Q34" s="2462"/>
      <c r="R34" s="2462"/>
      <c r="S34" s="2462"/>
      <c r="T34" s="2462"/>
      <c r="U34" s="2462"/>
      <c r="V34" s="2462"/>
      <c r="W34" s="2462"/>
      <c r="X34" s="2462"/>
      <c r="Y34" s="2462"/>
      <c r="Z34" s="2462"/>
      <c r="AA34" s="2462"/>
      <c r="AB34" s="2462"/>
      <c r="AC34" s="2462"/>
      <c r="AD34" s="2462"/>
      <c r="AE34" s="2462"/>
      <c r="AF34" s="2462"/>
      <c r="AG34" s="2462"/>
      <c r="AH34" s="2462"/>
      <c r="AI34" s="2462"/>
      <c r="AJ34" s="2462"/>
      <c r="AK34" s="2462"/>
      <c r="AL34" s="2462"/>
      <c r="AM34" s="2462"/>
      <c r="AN34" s="2462"/>
      <c r="AO34" s="2462"/>
      <c r="AP34" s="2462"/>
      <c r="AQ34" s="2462"/>
      <c r="AR34" s="2462"/>
      <c r="AS34" s="2462"/>
      <c r="AT34" s="2462"/>
      <c r="AU34" s="2462"/>
      <c r="AV34" s="2462"/>
      <c r="AW34" s="2462"/>
      <c r="AX34" s="2462"/>
      <c r="AY34" s="2462"/>
      <c r="AZ34" s="2462"/>
      <c r="BA34" s="2462"/>
      <c r="BB34" s="2462"/>
      <c r="BC34" s="2462"/>
      <c r="BD34" s="2462"/>
      <c r="BE34" s="2462"/>
      <c r="BF34" s="2462"/>
      <c r="BG34" s="26"/>
      <c r="BH34" s="26"/>
      <c r="BI34" s="26"/>
      <c r="BJ34" s="26"/>
      <c r="BK34" s="670"/>
    </row>
    <row r="35" spans="1:63" ht="20.25" x14ac:dyDescent="0.25">
      <c r="A35" s="122"/>
      <c r="B35" s="2003" t="s">
        <v>77</v>
      </c>
      <c r="C35" s="243" t="s">
        <v>52</v>
      </c>
      <c r="D35" s="6238">
        <v>477000</v>
      </c>
      <c r="E35" s="6238"/>
      <c r="F35" s="2456">
        <v>25943.14</v>
      </c>
      <c r="G35" s="6238"/>
      <c r="H35" s="2456">
        <v>16205.54</v>
      </c>
      <c r="I35" s="6219"/>
      <c r="J35" s="2457">
        <f t="shared" si="0"/>
        <v>42148.68</v>
      </c>
      <c r="K35" s="6238"/>
      <c r="L35" s="2456">
        <v>25111.590000000004</v>
      </c>
      <c r="M35" s="6215"/>
      <c r="N35" s="300">
        <f>F35+H35+L35</f>
        <v>67260.27</v>
      </c>
      <c r="O35" s="6238"/>
      <c r="P35" s="2456">
        <v>27928.609999999997</v>
      </c>
      <c r="Q35" s="6219"/>
      <c r="R35" s="2457">
        <f t="shared" ref="R35:R40" si="180">N35+P35</f>
        <v>95188.88</v>
      </c>
      <c r="S35" s="6238"/>
      <c r="T35" s="2562">
        <v>39143.849999999969</v>
      </c>
      <c r="U35" s="6219"/>
      <c r="V35" s="2557">
        <f t="shared" ref="V35:V40" si="181">R35+T35</f>
        <v>134332.72999999998</v>
      </c>
      <c r="W35" s="6238"/>
      <c r="X35" s="3395">
        <v>36596.47</v>
      </c>
      <c r="Y35" s="6215"/>
      <c r="Z35" s="3396">
        <f>P35+T35+X35</f>
        <v>103668.92999999996</v>
      </c>
      <c r="AA35" s="6216"/>
      <c r="AB35" s="3550">
        <f t="shared" ref="AB35:AB40" si="182">N35+Z35</f>
        <v>170929.19999999995</v>
      </c>
      <c r="AC35" s="6238"/>
      <c r="AD35" s="4048">
        <v>28280.01</v>
      </c>
      <c r="AE35" s="6219"/>
      <c r="AF35" s="4050">
        <f t="shared" ref="AF35:AF40" si="183">AB35+AD35</f>
        <v>199209.20999999996</v>
      </c>
      <c r="AG35" s="6217"/>
      <c r="AH35" s="4397">
        <v>26497.489999999998</v>
      </c>
      <c r="AI35" s="6220"/>
      <c r="AJ35" s="4394">
        <f t="shared" ref="AJ35:AJ40" si="184">AF35+AH35</f>
        <v>225706.69999999995</v>
      </c>
      <c r="AK35" s="6238"/>
      <c r="AL35" s="4276">
        <v>31587.53</v>
      </c>
      <c r="AM35" s="6215"/>
      <c r="AN35" s="4282">
        <f>AD35+AH35+AL35</f>
        <v>86365.03</v>
      </c>
      <c r="AO35" s="6219"/>
      <c r="AP35" s="4277">
        <f t="shared" si="145"/>
        <v>257294.22999999995</v>
      </c>
      <c r="AQ35" s="6217"/>
      <c r="AR35" s="4455">
        <v>25305.990000000005</v>
      </c>
      <c r="AS35" s="6220"/>
      <c r="AT35" s="4456">
        <f t="shared" ref="AT35:AT40" si="185">AP35+AR35</f>
        <v>282600.21999999997</v>
      </c>
      <c r="AU35" s="6217"/>
      <c r="AV35" s="4634">
        <v>25346.950000000008</v>
      </c>
      <c r="AW35" s="6220"/>
      <c r="AX35" s="4635">
        <f t="shared" ref="AX35:AX40" si="186">AT35+AV35</f>
        <v>307947.17</v>
      </c>
      <c r="AY35" s="6217"/>
      <c r="AZ35" s="5135">
        <v>34528.35</v>
      </c>
      <c r="BA35" s="6215"/>
      <c r="BB35" s="5136">
        <f>AR35+AV35+AZ35</f>
        <v>85181.290000000008</v>
      </c>
      <c r="BC35" s="6216"/>
      <c r="BD35" s="5143">
        <f t="shared" ref="BD35:BD39" si="187">AN35+BB35</f>
        <v>171546.32</v>
      </c>
      <c r="BE35" s="6219">
        <v>477000</v>
      </c>
      <c r="BF35" s="5127">
        <f t="shared" ref="BF35:BF40" si="188">AX35+AZ35</f>
        <v>342475.51999999996</v>
      </c>
      <c r="BG35" s="26"/>
      <c r="BH35" s="26"/>
      <c r="BI35" s="26"/>
      <c r="BJ35" s="26"/>
    </row>
    <row r="36" spans="1:63" ht="20.25" x14ac:dyDescent="0.25">
      <c r="A36" s="122"/>
      <c r="B36" s="2003" t="s">
        <v>78</v>
      </c>
      <c r="C36" s="243" t="s">
        <v>52</v>
      </c>
      <c r="D36" s="6238"/>
      <c r="E36" s="6238"/>
      <c r="F36" s="2456">
        <v>17510.330000000002</v>
      </c>
      <c r="G36" s="6238"/>
      <c r="H36" s="2456">
        <v>16730.170000000009</v>
      </c>
      <c r="I36" s="6219"/>
      <c r="J36" s="2457">
        <f t="shared" si="0"/>
        <v>34240.500000000015</v>
      </c>
      <c r="K36" s="6238"/>
      <c r="L36" s="2456">
        <v>12256.84</v>
      </c>
      <c r="M36" s="6215"/>
      <c r="N36" s="3568">
        <f t="shared" ref="N36:N39" si="189">F36+H36+L36</f>
        <v>46497.340000000011</v>
      </c>
      <c r="O36" s="6238"/>
      <c r="P36" s="2456">
        <v>19092.820000000011</v>
      </c>
      <c r="Q36" s="6219"/>
      <c r="R36" s="2457">
        <f t="shared" si="180"/>
        <v>65590.160000000018</v>
      </c>
      <c r="S36" s="6238"/>
      <c r="T36" s="2562">
        <v>8973.65</v>
      </c>
      <c r="U36" s="6219"/>
      <c r="V36" s="2557">
        <f t="shared" si="181"/>
        <v>74563.810000000012</v>
      </c>
      <c r="W36" s="6238"/>
      <c r="X36" s="3395">
        <v>10203.939999999995</v>
      </c>
      <c r="Y36" s="6215"/>
      <c r="Z36" s="3568">
        <f t="shared" ref="Z36:Z39" si="190">P36+T36+X36</f>
        <v>38270.410000000003</v>
      </c>
      <c r="AA36" s="6216"/>
      <c r="AB36" s="3565">
        <f t="shared" si="182"/>
        <v>84767.750000000015</v>
      </c>
      <c r="AC36" s="6238"/>
      <c r="AD36" s="4048">
        <v>17105.919999999998</v>
      </c>
      <c r="AE36" s="6219"/>
      <c r="AF36" s="4050">
        <f t="shared" si="183"/>
        <v>101873.67000000001</v>
      </c>
      <c r="AG36" s="6218"/>
      <c r="AH36" s="4397">
        <v>14947.749999999993</v>
      </c>
      <c r="AI36" s="6221"/>
      <c r="AJ36" s="4394">
        <f t="shared" si="184"/>
        <v>116821.42000000001</v>
      </c>
      <c r="AK36" s="6238"/>
      <c r="AL36" s="4276">
        <v>14862.669999999998</v>
      </c>
      <c r="AM36" s="6215"/>
      <c r="AN36" s="4282">
        <f t="shared" ref="AN36:AN39" si="191">AD36+AH36+AL36</f>
        <v>46916.339999999989</v>
      </c>
      <c r="AO36" s="6219"/>
      <c r="AP36" s="4277">
        <f t="shared" si="145"/>
        <v>131684.09000000003</v>
      </c>
      <c r="AQ36" s="6218"/>
      <c r="AR36" s="4455">
        <v>11490.309999999998</v>
      </c>
      <c r="AS36" s="6221"/>
      <c r="AT36" s="4456">
        <f t="shared" si="185"/>
        <v>143174.40000000002</v>
      </c>
      <c r="AU36" s="6218"/>
      <c r="AV36" s="4634">
        <v>13131.939999999995</v>
      </c>
      <c r="AW36" s="6221"/>
      <c r="AX36" s="4635">
        <f t="shared" si="186"/>
        <v>156306.34000000003</v>
      </c>
      <c r="AY36" s="6218"/>
      <c r="AZ36" s="5135">
        <v>9486.0000000000036</v>
      </c>
      <c r="BA36" s="6215"/>
      <c r="BB36" s="5136">
        <f t="shared" ref="BB36:BB39" si="192">AR36+AV36+AZ36</f>
        <v>34108.25</v>
      </c>
      <c r="BC36" s="6216"/>
      <c r="BD36" s="5143">
        <f t="shared" si="187"/>
        <v>81024.59</v>
      </c>
      <c r="BE36" s="6219"/>
      <c r="BF36" s="5127">
        <f t="shared" si="188"/>
        <v>165792.34000000003</v>
      </c>
      <c r="BG36" s="26"/>
      <c r="BH36" s="26"/>
      <c r="BI36" s="26"/>
      <c r="BJ36" s="26"/>
    </row>
    <row r="37" spans="1:63" ht="20.25" x14ac:dyDescent="0.25">
      <c r="A37" s="122"/>
      <c r="B37" s="2003" t="s">
        <v>141</v>
      </c>
      <c r="C37" s="243" t="s">
        <v>52</v>
      </c>
      <c r="D37" s="2456">
        <v>100000</v>
      </c>
      <c r="E37" s="2456"/>
      <c r="F37" s="2456">
        <v>1289.0400000000002</v>
      </c>
      <c r="G37" s="2456"/>
      <c r="H37" s="2456">
        <v>5515.8799999999974</v>
      </c>
      <c r="I37" s="2457"/>
      <c r="J37" s="2457">
        <f t="shared" si="0"/>
        <v>6804.9199999999973</v>
      </c>
      <c r="K37" s="2456"/>
      <c r="L37" s="2456">
        <v>2763.7600000000007</v>
      </c>
      <c r="M37" s="300"/>
      <c r="N37" s="3568">
        <f t="shared" si="189"/>
        <v>9568.6799999999985</v>
      </c>
      <c r="O37" s="2456"/>
      <c r="P37" s="2456">
        <v>3861.619999999999</v>
      </c>
      <c r="Q37" s="2457"/>
      <c r="R37" s="2457">
        <f t="shared" si="180"/>
        <v>13430.299999999997</v>
      </c>
      <c r="S37" s="2562"/>
      <c r="T37" s="2562">
        <v>0</v>
      </c>
      <c r="U37" s="2557"/>
      <c r="V37" s="2557">
        <f t="shared" si="181"/>
        <v>13430.299999999997</v>
      </c>
      <c r="W37" s="3395"/>
      <c r="X37" s="3395">
        <v>1353.3200000000002</v>
      </c>
      <c r="Y37" s="3396"/>
      <c r="Z37" s="3568">
        <f t="shared" si="190"/>
        <v>5214.9399999999987</v>
      </c>
      <c r="AA37" s="3550"/>
      <c r="AB37" s="3565">
        <f t="shared" si="182"/>
        <v>14783.619999999997</v>
      </c>
      <c r="AC37" s="4048"/>
      <c r="AD37" s="4048">
        <v>2817.4600000000005</v>
      </c>
      <c r="AE37" s="4050"/>
      <c r="AF37" s="4050">
        <f t="shared" si="183"/>
        <v>17601.079999999998</v>
      </c>
      <c r="AG37" s="4397"/>
      <c r="AH37" s="4397">
        <v>1346.7</v>
      </c>
      <c r="AI37" s="4394"/>
      <c r="AJ37" s="4394">
        <f t="shared" si="184"/>
        <v>18947.78</v>
      </c>
      <c r="AK37" s="4276"/>
      <c r="AL37" s="4276">
        <v>0</v>
      </c>
      <c r="AM37" s="4282"/>
      <c r="AN37" s="4282">
        <f t="shared" si="191"/>
        <v>4164.1600000000008</v>
      </c>
      <c r="AO37" s="4277"/>
      <c r="AP37" s="4277">
        <f t="shared" si="145"/>
        <v>18947.78</v>
      </c>
      <c r="AQ37" s="4455"/>
      <c r="AR37" s="4455">
        <v>0</v>
      </c>
      <c r="AS37" s="4456"/>
      <c r="AT37" s="4456">
        <f t="shared" si="185"/>
        <v>18947.78</v>
      </c>
      <c r="AU37" s="4634"/>
      <c r="AV37" s="4634">
        <v>2778.94</v>
      </c>
      <c r="AW37" s="4635"/>
      <c r="AX37" s="4635">
        <f t="shared" si="186"/>
        <v>21726.719999999998</v>
      </c>
      <c r="AY37" s="5135"/>
      <c r="AZ37" s="5135">
        <v>4166.2999999999993</v>
      </c>
      <c r="BA37" s="5136"/>
      <c r="BB37" s="5136">
        <f t="shared" si="192"/>
        <v>6945.24</v>
      </c>
      <c r="BC37" s="5143"/>
      <c r="BD37" s="5143">
        <f t="shared" si="187"/>
        <v>11109.400000000001</v>
      </c>
      <c r="BE37" s="5258">
        <v>100000</v>
      </c>
      <c r="BF37" s="5127">
        <f t="shared" si="188"/>
        <v>25893.019999999997</v>
      </c>
      <c r="BG37" s="26"/>
      <c r="BH37" s="26"/>
      <c r="BI37" s="26"/>
      <c r="BJ37" s="26"/>
    </row>
    <row r="38" spans="1:63" s="4026" customFormat="1" ht="20.25" x14ac:dyDescent="0.25">
      <c r="A38" s="4025"/>
      <c r="B38" s="2003" t="s">
        <v>79</v>
      </c>
      <c r="C38" s="4017" t="s">
        <v>52</v>
      </c>
      <c r="D38" s="4018">
        <v>0</v>
      </c>
      <c r="E38" s="4018"/>
      <c r="F38" s="4018">
        <v>0</v>
      </c>
      <c r="G38" s="4018"/>
      <c r="H38" s="4018">
        <v>0</v>
      </c>
      <c r="I38" s="4020"/>
      <c r="J38" s="4020">
        <f t="shared" si="0"/>
        <v>0</v>
      </c>
      <c r="K38" s="4018"/>
      <c r="L38" s="4018">
        <v>0</v>
      </c>
      <c r="M38" s="4019"/>
      <c r="N38" s="4019">
        <f t="shared" si="189"/>
        <v>0</v>
      </c>
      <c r="O38" s="4018"/>
      <c r="P38" s="4018">
        <v>0</v>
      </c>
      <c r="Q38" s="4020"/>
      <c r="R38" s="4020">
        <f t="shared" si="180"/>
        <v>0</v>
      </c>
      <c r="S38" s="4018"/>
      <c r="T38" s="4018">
        <v>0</v>
      </c>
      <c r="U38" s="4020"/>
      <c r="V38" s="4020">
        <f t="shared" si="181"/>
        <v>0</v>
      </c>
      <c r="W38" s="4018"/>
      <c r="X38" s="4018">
        <v>0</v>
      </c>
      <c r="Y38" s="4019"/>
      <c r="Z38" s="4019">
        <f t="shared" si="190"/>
        <v>0</v>
      </c>
      <c r="AA38" s="4015"/>
      <c r="AB38" s="4015">
        <f t="shared" si="182"/>
        <v>0</v>
      </c>
      <c r="AC38" s="4048"/>
      <c r="AD38" s="4048">
        <v>0</v>
      </c>
      <c r="AE38" s="4050"/>
      <c r="AF38" s="4050">
        <f t="shared" si="183"/>
        <v>0</v>
      </c>
      <c r="AG38" s="4397"/>
      <c r="AH38" s="4397">
        <v>0</v>
      </c>
      <c r="AI38" s="4394"/>
      <c r="AJ38" s="4394">
        <f t="shared" si="184"/>
        <v>0</v>
      </c>
      <c r="AK38" s="4276"/>
      <c r="AL38" s="4276">
        <v>0</v>
      </c>
      <c r="AM38" s="4282"/>
      <c r="AN38" s="4282">
        <f t="shared" si="191"/>
        <v>0</v>
      </c>
      <c r="AO38" s="4277"/>
      <c r="AP38" s="4277">
        <f t="shared" si="145"/>
        <v>0</v>
      </c>
      <c r="AQ38" s="4455"/>
      <c r="AR38" s="4455">
        <v>0</v>
      </c>
      <c r="AS38" s="4456"/>
      <c r="AT38" s="4456">
        <f t="shared" si="185"/>
        <v>0</v>
      </c>
      <c r="AU38" s="4634"/>
      <c r="AV38" s="4634">
        <v>0</v>
      </c>
      <c r="AW38" s="4635"/>
      <c r="AX38" s="4635">
        <f t="shared" si="186"/>
        <v>0</v>
      </c>
      <c r="AY38" s="5135"/>
      <c r="AZ38" s="5135">
        <v>0</v>
      </c>
      <c r="BA38" s="5136"/>
      <c r="BB38" s="5136">
        <f t="shared" si="192"/>
        <v>0</v>
      </c>
      <c r="BC38" s="5143"/>
      <c r="BD38" s="5143">
        <f t="shared" si="187"/>
        <v>0</v>
      </c>
      <c r="BE38" s="5258">
        <v>0</v>
      </c>
      <c r="BF38" s="5127">
        <f t="shared" si="188"/>
        <v>0</v>
      </c>
      <c r="BG38" s="26"/>
      <c r="BH38" s="26"/>
      <c r="BI38" s="26"/>
      <c r="BJ38" s="26"/>
    </row>
    <row r="39" spans="1:63" ht="20.25" x14ac:dyDescent="0.25">
      <c r="A39" s="122"/>
      <c r="B39" s="2003" t="s">
        <v>580</v>
      </c>
      <c r="C39" s="243" t="s">
        <v>52</v>
      </c>
      <c r="D39" s="2456">
        <v>15000</v>
      </c>
      <c r="E39" s="2456"/>
      <c r="F39" s="2456">
        <v>1300.9100000000001</v>
      </c>
      <c r="G39" s="2456"/>
      <c r="H39" s="2456">
        <v>2406.12</v>
      </c>
      <c r="I39" s="2457"/>
      <c r="J39" s="2457">
        <v>2406.12</v>
      </c>
      <c r="K39" s="2456"/>
      <c r="L39" s="2456">
        <v>1412.02</v>
      </c>
      <c r="M39" s="300"/>
      <c r="N39" s="3568">
        <f t="shared" si="189"/>
        <v>5119.0499999999993</v>
      </c>
      <c r="O39" s="2456"/>
      <c r="P39" s="2456">
        <v>1585.38</v>
      </c>
      <c r="Q39" s="2457"/>
      <c r="R39" s="2457">
        <f t="shared" si="180"/>
        <v>6704.4299999999994</v>
      </c>
      <c r="S39" s="2562"/>
      <c r="T39" s="2562">
        <v>1518.5299999999997</v>
      </c>
      <c r="U39" s="2557"/>
      <c r="V39" s="2557">
        <f t="shared" si="181"/>
        <v>8222.9599999999991</v>
      </c>
      <c r="W39" s="3395"/>
      <c r="X39" s="3395">
        <v>1916.96</v>
      </c>
      <c r="Y39" s="3396"/>
      <c r="Z39" s="3568">
        <f t="shared" si="190"/>
        <v>5020.87</v>
      </c>
      <c r="AA39" s="3550"/>
      <c r="AB39" s="3565">
        <f t="shared" si="182"/>
        <v>10139.919999999998</v>
      </c>
      <c r="AC39" s="4048"/>
      <c r="AD39" s="4048">
        <v>2526.1800000000003</v>
      </c>
      <c r="AE39" s="4050"/>
      <c r="AF39" s="4050">
        <f t="shared" si="183"/>
        <v>12666.099999999999</v>
      </c>
      <c r="AG39" s="4397"/>
      <c r="AH39" s="4397">
        <v>1765.8600000000001</v>
      </c>
      <c r="AI39" s="4394"/>
      <c r="AJ39" s="4394">
        <f t="shared" si="184"/>
        <v>14431.96</v>
      </c>
      <c r="AK39" s="4276"/>
      <c r="AL39" s="4276">
        <v>1302.0999999999999</v>
      </c>
      <c r="AM39" s="4282"/>
      <c r="AN39" s="4282">
        <f t="shared" si="191"/>
        <v>5594.1400000000012</v>
      </c>
      <c r="AO39" s="4277"/>
      <c r="AP39" s="4277">
        <f t="shared" si="145"/>
        <v>15734.06</v>
      </c>
      <c r="AQ39" s="4455"/>
      <c r="AR39" s="4455">
        <v>2913.06</v>
      </c>
      <c r="AS39" s="4456"/>
      <c r="AT39" s="4456">
        <f t="shared" si="185"/>
        <v>18647.12</v>
      </c>
      <c r="AU39" s="4634"/>
      <c r="AV39" s="4634">
        <v>1262.6400000000001</v>
      </c>
      <c r="AW39" s="4635"/>
      <c r="AX39" s="4635">
        <f t="shared" si="186"/>
        <v>19909.759999999998</v>
      </c>
      <c r="AY39" s="5135"/>
      <c r="AZ39" s="5135">
        <v>3796.96</v>
      </c>
      <c r="BA39" s="5136"/>
      <c r="BB39" s="5136">
        <f t="shared" si="192"/>
        <v>7972.66</v>
      </c>
      <c r="BC39" s="5143"/>
      <c r="BD39" s="5143">
        <f t="shared" si="187"/>
        <v>13566.800000000001</v>
      </c>
      <c r="BE39" s="5258">
        <v>15000</v>
      </c>
      <c r="BF39" s="5127">
        <f t="shared" si="188"/>
        <v>23706.719999999998</v>
      </c>
      <c r="BG39" s="26"/>
      <c r="BH39" s="26"/>
      <c r="BI39" s="26"/>
      <c r="BJ39" s="26"/>
    </row>
    <row r="40" spans="1:63" ht="21.2" customHeight="1" x14ac:dyDescent="0.25">
      <c r="A40" s="122"/>
      <c r="B40" s="2463" t="s">
        <v>2</v>
      </c>
      <c r="C40" s="1252" t="s">
        <v>52</v>
      </c>
      <c r="D40" s="781">
        <f>SUM(D35:D39)</f>
        <v>592000</v>
      </c>
      <c r="E40" s="748"/>
      <c r="F40" s="748">
        <f>SUM(F35:F39)</f>
        <v>46043.420000000006</v>
      </c>
      <c r="G40" s="748"/>
      <c r="H40" s="748">
        <f>SUM(H35:H39)</f>
        <v>40857.710000000006</v>
      </c>
      <c r="I40" s="782"/>
      <c r="J40" s="782">
        <f t="shared" si="0"/>
        <v>86901.13</v>
      </c>
      <c r="K40" s="748"/>
      <c r="L40" s="748">
        <f>SUM(L35:L39)</f>
        <v>41544.210000000006</v>
      </c>
      <c r="M40" s="783"/>
      <c r="N40" s="783">
        <f>F40+H40+L40</f>
        <v>128445.34000000001</v>
      </c>
      <c r="O40" s="748"/>
      <c r="P40" s="748">
        <f>SUM(P35:P39)</f>
        <v>52468.43</v>
      </c>
      <c r="Q40" s="782"/>
      <c r="R40" s="782">
        <f t="shared" si="180"/>
        <v>180913.77000000002</v>
      </c>
      <c r="S40" s="748"/>
      <c r="T40" s="748">
        <f>SUM(T35:T39)</f>
        <v>49636.02999999997</v>
      </c>
      <c r="U40" s="2558"/>
      <c r="V40" s="2558">
        <f t="shared" si="181"/>
        <v>230549.8</v>
      </c>
      <c r="W40" s="748"/>
      <c r="X40" s="748">
        <f>SUM(X35:X39)</f>
        <v>50070.689999999995</v>
      </c>
      <c r="Y40" s="3393"/>
      <c r="Z40" s="3393">
        <f>P40+T40+X40</f>
        <v>152175.14999999997</v>
      </c>
      <c r="AA40" s="3551"/>
      <c r="AB40" s="3551">
        <f t="shared" si="182"/>
        <v>280620.49</v>
      </c>
      <c r="AC40" s="748"/>
      <c r="AD40" s="748">
        <f>SUM(AD35:AD39)</f>
        <v>50729.569999999992</v>
      </c>
      <c r="AE40" s="4051"/>
      <c r="AF40" s="4051">
        <f t="shared" si="183"/>
        <v>331350.06</v>
      </c>
      <c r="AG40" s="748"/>
      <c r="AH40" s="748">
        <f>SUM(AH35:AH39)</f>
        <v>44557.799999999988</v>
      </c>
      <c r="AI40" s="4392"/>
      <c r="AJ40" s="4392">
        <f t="shared" si="184"/>
        <v>375907.86</v>
      </c>
      <c r="AK40" s="748"/>
      <c r="AL40" s="748">
        <f>SUM(AL35:AL39)</f>
        <v>47752.299999999996</v>
      </c>
      <c r="AM40" s="4283"/>
      <c r="AN40" s="4283">
        <f>AD40+AH40+AL40</f>
        <v>143039.66999999998</v>
      </c>
      <c r="AO40" s="4273"/>
      <c r="AP40" s="4273">
        <f t="shared" si="145"/>
        <v>423660.16</v>
      </c>
      <c r="AQ40" s="748"/>
      <c r="AR40" s="748">
        <f>SUM(AR35:AR39)</f>
        <v>39709.360000000001</v>
      </c>
      <c r="AS40" s="4453"/>
      <c r="AT40" s="4453">
        <f t="shared" si="185"/>
        <v>463369.51999999996</v>
      </c>
      <c r="AU40" s="748"/>
      <c r="AV40" s="748">
        <f>SUM(AV35:AV39)</f>
        <v>42520.47</v>
      </c>
      <c r="AW40" s="4630"/>
      <c r="AX40" s="4630">
        <f t="shared" si="186"/>
        <v>505889.99</v>
      </c>
      <c r="AY40" s="748"/>
      <c r="AZ40" s="748">
        <f>SUM(AZ35:AZ39)</f>
        <v>51977.610000000008</v>
      </c>
      <c r="BA40" s="5129"/>
      <c r="BB40" s="5129">
        <f>AR40+AV40+AZ40</f>
        <v>134207.44</v>
      </c>
      <c r="BC40" s="5140"/>
      <c r="BD40" s="5140">
        <f>AN40+BB40</f>
        <v>277247.11</v>
      </c>
      <c r="BE40" s="5257">
        <f>SUM(BE35:BE39)</f>
        <v>592000</v>
      </c>
      <c r="BF40" s="5124">
        <f t="shared" si="188"/>
        <v>557867.6</v>
      </c>
      <c r="BG40" s="26"/>
      <c r="BH40" s="26"/>
      <c r="BI40" s="26"/>
      <c r="BJ40" s="26"/>
    </row>
    <row r="41" spans="1:63" s="183" customFormat="1" ht="21.2" customHeight="1" x14ac:dyDescent="0.3">
      <c r="A41" s="188"/>
      <c r="B41" s="1246" t="s">
        <v>1511</v>
      </c>
      <c r="C41" s="299"/>
      <c r="D41" s="2475"/>
      <c r="E41" s="2462"/>
      <c r="F41" s="2462"/>
      <c r="G41" s="2462"/>
      <c r="H41" s="2462"/>
      <c r="I41" s="2462"/>
      <c r="J41" s="2462"/>
      <c r="K41" s="2462"/>
      <c r="L41" s="2462"/>
      <c r="M41" s="2462"/>
      <c r="N41" s="2462"/>
      <c r="O41" s="2462"/>
      <c r="P41" s="2462"/>
      <c r="Q41" s="2462"/>
      <c r="R41" s="2462"/>
      <c r="S41" s="2462"/>
      <c r="T41" s="2462"/>
      <c r="U41" s="2462"/>
      <c r="V41" s="2462"/>
      <c r="W41" s="2462"/>
      <c r="X41" s="2462"/>
      <c r="Y41" s="2462"/>
      <c r="Z41" s="2462"/>
      <c r="AA41" s="2462"/>
      <c r="AB41" s="2462"/>
      <c r="AC41" s="2462"/>
      <c r="AD41" s="2462"/>
      <c r="AE41" s="2462"/>
      <c r="AF41" s="2462"/>
      <c r="AG41" s="2462"/>
      <c r="AH41" s="2462"/>
      <c r="AI41" s="2462"/>
      <c r="AJ41" s="2462"/>
      <c r="AK41" s="2462"/>
      <c r="AL41" s="2462"/>
      <c r="AM41" s="2462"/>
      <c r="AN41" s="2462"/>
      <c r="AO41" s="2462"/>
      <c r="AP41" s="2462"/>
      <c r="AQ41" s="2462"/>
      <c r="AR41" s="2462"/>
      <c r="AS41" s="2462"/>
      <c r="AT41" s="2462"/>
      <c r="AU41" s="2462"/>
      <c r="AV41" s="2462"/>
      <c r="AW41" s="2462"/>
      <c r="AX41" s="2462"/>
      <c r="AY41" s="2462"/>
      <c r="AZ41" s="2462"/>
      <c r="BA41" s="2462"/>
      <c r="BB41" s="2462"/>
      <c r="BC41" s="2462"/>
      <c r="BD41" s="2462"/>
      <c r="BE41" s="2475"/>
      <c r="BF41" s="2462"/>
      <c r="BG41" s="26"/>
      <c r="BH41" s="26"/>
      <c r="BI41" s="26"/>
      <c r="BJ41" s="26"/>
    </row>
    <row r="42" spans="1:63" ht="20.25" x14ac:dyDescent="0.25">
      <c r="A42" s="188"/>
      <c r="B42" s="2003" t="s">
        <v>77</v>
      </c>
      <c r="C42" s="243" t="s">
        <v>52</v>
      </c>
      <c r="D42" s="6238">
        <v>52000</v>
      </c>
      <c r="E42" s="6238"/>
      <c r="F42" s="2456">
        <v>7943.11</v>
      </c>
      <c r="G42" s="6238"/>
      <c r="H42" s="2456">
        <v>5523.92</v>
      </c>
      <c r="I42" s="6219"/>
      <c r="J42" s="2457">
        <f t="shared" si="0"/>
        <v>13467.029999999999</v>
      </c>
      <c r="K42" s="6238"/>
      <c r="L42" s="2456">
        <v>5192.2499999999982</v>
      </c>
      <c r="M42" s="6215"/>
      <c r="N42" s="300">
        <f>F42+H42+L42</f>
        <v>18659.28</v>
      </c>
      <c r="O42" s="6238"/>
      <c r="P42" s="2456">
        <v>6314.2799999999988</v>
      </c>
      <c r="Q42" s="6219"/>
      <c r="R42" s="2457">
        <f t="shared" ref="R42:R47" si="193">N42+P42</f>
        <v>24973.559999999998</v>
      </c>
      <c r="S42" s="6238"/>
      <c r="T42" s="2562">
        <v>6221.3</v>
      </c>
      <c r="U42" s="6219"/>
      <c r="V42" s="2557">
        <f t="shared" ref="V42:V47" si="194">R42+T42</f>
        <v>31194.859999999997</v>
      </c>
      <c r="W42" s="6238"/>
      <c r="X42" s="3395">
        <v>7252.6399999999994</v>
      </c>
      <c r="Y42" s="6215"/>
      <c r="Z42" s="3396">
        <f t="shared" ref="Z42:Z47" si="195">P42+T42+X42</f>
        <v>19788.219999999998</v>
      </c>
      <c r="AA42" s="6216"/>
      <c r="AB42" s="3550">
        <f t="shared" ref="AB42:AB47" si="196">N42+Z42</f>
        <v>38447.5</v>
      </c>
      <c r="AC42" s="6238"/>
      <c r="AD42" s="4048">
        <v>9657.7599999999966</v>
      </c>
      <c r="AE42" s="6219"/>
      <c r="AF42" s="4050">
        <f t="shared" ref="AF42:AF47" si="197">AB42+AD42</f>
        <v>48105.259999999995</v>
      </c>
      <c r="AG42" s="6217"/>
      <c r="AH42" s="4397">
        <v>1557.6299999999999</v>
      </c>
      <c r="AI42" s="6220"/>
      <c r="AJ42" s="4394">
        <f t="shared" ref="AJ42:AJ47" si="198">AF42+AH42</f>
        <v>49662.889999999992</v>
      </c>
      <c r="AK42" s="6238"/>
      <c r="AL42" s="4276">
        <v>8086.9400000000005</v>
      </c>
      <c r="AM42" s="6215"/>
      <c r="AN42" s="4282">
        <f t="shared" ref="AN42:AN47" si="199">AD42+AH42+AL42</f>
        <v>19302.329999999994</v>
      </c>
      <c r="AO42" s="6219"/>
      <c r="AP42" s="4277">
        <f t="shared" si="145"/>
        <v>57749.829999999994</v>
      </c>
      <c r="AQ42" s="6217"/>
      <c r="AR42" s="4455">
        <v>7367.9</v>
      </c>
      <c r="AS42" s="6220"/>
      <c r="AT42" s="4456">
        <f t="shared" ref="AT42:AT47" si="200">AP42+AR42</f>
        <v>65117.729999999996</v>
      </c>
      <c r="AU42" s="6217"/>
      <c r="AV42" s="4634">
        <v>4554.1000000000004</v>
      </c>
      <c r="AW42" s="6220"/>
      <c r="AX42" s="4635">
        <f t="shared" ref="AX42:AX47" si="201">AT42+AV42</f>
        <v>69671.83</v>
      </c>
      <c r="AY42" s="6217"/>
      <c r="AZ42" s="5135">
        <v>6098.3099999999995</v>
      </c>
      <c r="BA42" s="6215"/>
      <c r="BB42" s="5136">
        <f t="shared" ref="BB42:BB47" si="202">AR42+AV42+AZ42</f>
        <v>18020.309999999998</v>
      </c>
      <c r="BC42" s="6216"/>
      <c r="BD42" s="5143">
        <f t="shared" ref="BD42:BD46" si="203">AN42+BB42</f>
        <v>37322.639999999992</v>
      </c>
      <c r="BE42" s="6219">
        <v>52000</v>
      </c>
      <c r="BF42" s="5127">
        <f t="shared" ref="BF42:BF47" si="204">AX42+AZ42</f>
        <v>75770.14</v>
      </c>
      <c r="BG42" s="26"/>
      <c r="BH42" s="26"/>
      <c r="BI42" s="26"/>
      <c r="BJ42" s="26"/>
    </row>
    <row r="43" spans="1:63" ht="20.25" x14ac:dyDescent="0.25">
      <c r="A43" s="122"/>
      <c r="B43" s="2003" t="s">
        <v>78</v>
      </c>
      <c r="C43" s="243" t="s">
        <v>52</v>
      </c>
      <c r="D43" s="6238"/>
      <c r="E43" s="6238"/>
      <c r="F43" s="2456">
        <v>870.21</v>
      </c>
      <c r="G43" s="6238"/>
      <c r="H43" s="2456">
        <v>892.83999999999992</v>
      </c>
      <c r="I43" s="6219"/>
      <c r="J43" s="2457">
        <f t="shared" si="0"/>
        <v>1763.05</v>
      </c>
      <c r="K43" s="6238"/>
      <c r="L43" s="2456">
        <v>1469.4199999999998</v>
      </c>
      <c r="M43" s="6215"/>
      <c r="N43" s="3568">
        <f t="shared" ref="N43:N46" si="205">F43+H43+L43</f>
        <v>3232.47</v>
      </c>
      <c r="O43" s="6238"/>
      <c r="P43" s="2456">
        <v>6365.03</v>
      </c>
      <c r="Q43" s="6219"/>
      <c r="R43" s="2457">
        <f t="shared" si="193"/>
        <v>9597.5</v>
      </c>
      <c r="S43" s="6238"/>
      <c r="T43" s="2562">
        <v>1405.94</v>
      </c>
      <c r="U43" s="6219"/>
      <c r="V43" s="2557">
        <f t="shared" si="194"/>
        <v>11003.44</v>
      </c>
      <c r="W43" s="6238"/>
      <c r="X43" s="3395">
        <v>0</v>
      </c>
      <c r="Y43" s="6215"/>
      <c r="Z43" s="3568">
        <f t="shared" si="195"/>
        <v>7770.9699999999993</v>
      </c>
      <c r="AA43" s="6216"/>
      <c r="AB43" s="3565">
        <f t="shared" si="196"/>
        <v>11003.439999999999</v>
      </c>
      <c r="AC43" s="6238"/>
      <c r="AD43" s="4048">
        <v>1836.1799999999994</v>
      </c>
      <c r="AE43" s="6219"/>
      <c r="AF43" s="4050">
        <f t="shared" si="197"/>
        <v>12839.619999999999</v>
      </c>
      <c r="AG43" s="6218"/>
      <c r="AH43" s="4397">
        <v>0</v>
      </c>
      <c r="AI43" s="6221"/>
      <c r="AJ43" s="4394">
        <f t="shared" si="198"/>
        <v>12839.619999999999</v>
      </c>
      <c r="AK43" s="6238"/>
      <c r="AL43" s="4276">
        <v>0</v>
      </c>
      <c r="AM43" s="6215"/>
      <c r="AN43" s="4282">
        <f t="shared" si="199"/>
        <v>1836.1799999999994</v>
      </c>
      <c r="AO43" s="6219"/>
      <c r="AP43" s="4277">
        <f t="shared" si="145"/>
        <v>12839.619999999999</v>
      </c>
      <c r="AQ43" s="6218"/>
      <c r="AR43" s="4455">
        <v>0</v>
      </c>
      <c r="AS43" s="6221"/>
      <c r="AT43" s="4456">
        <f t="shared" si="200"/>
        <v>12839.619999999999</v>
      </c>
      <c r="AU43" s="6218"/>
      <c r="AV43" s="4634">
        <v>695.53000000000009</v>
      </c>
      <c r="AW43" s="6221"/>
      <c r="AX43" s="4635">
        <f t="shared" si="201"/>
        <v>13535.15</v>
      </c>
      <c r="AY43" s="6218"/>
      <c r="AZ43" s="5135">
        <v>0</v>
      </c>
      <c r="BA43" s="6215"/>
      <c r="BB43" s="5136">
        <f t="shared" si="202"/>
        <v>695.53000000000009</v>
      </c>
      <c r="BC43" s="6216"/>
      <c r="BD43" s="5143">
        <f t="shared" si="203"/>
        <v>2531.7099999999996</v>
      </c>
      <c r="BE43" s="6219"/>
      <c r="BF43" s="5127">
        <f t="shared" si="204"/>
        <v>13535.15</v>
      </c>
      <c r="BG43" s="26"/>
      <c r="BH43" s="26"/>
      <c r="BI43" s="26"/>
      <c r="BJ43" s="26"/>
    </row>
    <row r="44" spans="1:63" ht="20.25" x14ac:dyDescent="0.25">
      <c r="A44" s="122"/>
      <c r="B44" s="2003" t="s">
        <v>141</v>
      </c>
      <c r="C44" s="243" t="s">
        <v>52</v>
      </c>
      <c r="D44" s="2456">
        <v>1000</v>
      </c>
      <c r="E44" s="2456"/>
      <c r="F44" s="2456">
        <v>0</v>
      </c>
      <c r="G44" s="2456"/>
      <c r="H44" s="2456">
        <v>0</v>
      </c>
      <c r="I44" s="2457"/>
      <c r="J44" s="2457">
        <f t="shared" si="0"/>
        <v>0</v>
      </c>
      <c r="K44" s="2456"/>
      <c r="L44" s="2456">
        <v>0</v>
      </c>
      <c r="M44" s="300"/>
      <c r="N44" s="3568">
        <f t="shared" si="205"/>
        <v>0</v>
      </c>
      <c r="O44" s="2456"/>
      <c r="P44" s="2456">
        <v>0</v>
      </c>
      <c r="Q44" s="2457"/>
      <c r="R44" s="2457">
        <f t="shared" si="193"/>
        <v>0</v>
      </c>
      <c r="S44" s="2562"/>
      <c r="T44" s="2562">
        <v>0</v>
      </c>
      <c r="U44" s="2557"/>
      <c r="V44" s="2557">
        <f t="shared" si="194"/>
        <v>0</v>
      </c>
      <c r="W44" s="3395"/>
      <c r="X44" s="3395">
        <v>0</v>
      </c>
      <c r="Y44" s="3396"/>
      <c r="Z44" s="3568">
        <f t="shared" si="195"/>
        <v>0</v>
      </c>
      <c r="AA44" s="3550"/>
      <c r="AB44" s="3565">
        <f t="shared" si="196"/>
        <v>0</v>
      </c>
      <c r="AC44" s="4048"/>
      <c r="AD44" s="4048"/>
      <c r="AE44" s="4050"/>
      <c r="AF44" s="4050">
        <f t="shared" si="197"/>
        <v>0</v>
      </c>
      <c r="AG44" s="4397"/>
      <c r="AH44" s="4397">
        <v>0</v>
      </c>
      <c r="AI44" s="4394"/>
      <c r="AJ44" s="4394">
        <f t="shared" si="198"/>
        <v>0</v>
      </c>
      <c r="AK44" s="4276"/>
      <c r="AL44" s="4276">
        <v>0</v>
      </c>
      <c r="AM44" s="4282"/>
      <c r="AN44" s="4282">
        <f t="shared" si="199"/>
        <v>0</v>
      </c>
      <c r="AO44" s="4277"/>
      <c r="AP44" s="4277">
        <f t="shared" si="145"/>
        <v>0</v>
      </c>
      <c r="AQ44" s="4455"/>
      <c r="AR44" s="4455">
        <v>0</v>
      </c>
      <c r="AS44" s="4456"/>
      <c r="AT44" s="4456">
        <f t="shared" si="200"/>
        <v>0</v>
      </c>
      <c r="AU44" s="4634"/>
      <c r="AV44" s="4634">
        <v>0</v>
      </c>
      <c r="AW44" s="4635"/>
      <c r="AX44" s="4635">
        <f t="shared" si="201"/>
        <v>0</v>
      </c>
      <c r="AY44" s="5135"/>
      <c r="AZ44" s="5135">
        <v>0</v>
      </c>
      <c r="BA44" s="5136"/>
      <c r="BB44" s="5136">
        <f t="shared" si="202"/>
        <v>0</v>
      </c>
      <c r="BC44" s="5143"/>
      <c r="BD44" s="5143">
        <f t="shared" si="203"/>
        <v>0</v>
      </c>
      <c r="BE44" s="5258">
        <v>1000</v>
      </c>
      <c r="BF44" s="5127">
        <f t="shared" si="204"/>
        <v>0</v>
      </c>
      <c r="BG44" s="26"/>
      <c r="BH44" s="26"/>
      <c r="BI44" s="26"/>
      <c r="BJ44" s="26"/>
    </row>
    <row r="45" spans="1:63" ht="20.25" x14ac:dyDescent="0.25">
      <c r="A45" s="122"/>
      <c r="B45" s="2003" t="s">
        <v>1828</v>
      </c>
      <c r="C45" s="243" t="s">
        <v>52</v>
      </c>
      <c r="D45" s="245">
        <v>0</v>
      </c>
      <c r="E45" s="2456"/>
      <c r="F45" s="2456">
        <v>0</v>
      </c>
      <c r="G45" s="2456"/>
      <c r="H45" s="2456">
        <v>103</v>
      </c>
      <c r="I45" s="2457"/>
      <c r="J45" s="2457">
        <f t="shared" si="0"/>
        <v>103</v>
      </c>
      <c r="K45" s="2456"/>
      <c r="L45" s="2456">
        <v>0</v>
      </c>
      <c r="M45" s="300"/>
      <c r="N45" s="3568">
        <f t="shared" si="205"/>
        <v>103</v>
      </c>
      <c r="O45" s="2456"/>
      <c r="P45" s="2456">
        <v>2735.94</v>
      </c>
      <c r="Q45" s="2457"/>
      <c r="R45" s="2457">
        <f t="shared" si="193"/>
        <v>2838.94</v>
      </c>
      <c r="S45" s="2562"/>
      <c r="T45" s="2562">
        <v>237.26</v>
      </c>
      <c r="U45" s="2557"/>
      <c r="V45" s="2557">
        <f t="shared" si="194"/>
        <v>3076.2</v>
      </c>
      <c r="W45" s="3395"/>
      <c r="X45" s="3567">
        <v>0</v>
      </c>
      <c r="Y45" s="3396"/>
      <c r="Z45" s="3568">
        <f t="shared" si="195"/>
        <v>2973.2</v>
      </c>
      <c r="AA45" s="3550"/>
      <c r="AB45" s="3565">
        <f t="shared" si="196"/>
        <v>3076.2</v>
      </c>
      <c r="AC45" s="4048"/>
      <c r="AD45" s="4048"/>
      <c r="AE45" s="4050"/>
      <c r="AF45" s="4050">
        <f t="shared" si="197"/>
        <v>3076.2</v>
      </c>
      <c r="AG45" s="4397"/>
      <c r="AH45" s="4397">
        <v>0</v>
      </c>
      <c r="AI45" s="4394"/>
      <c r="AJ45" s="4394">
        <f t="shared" si="198"/>
        <v>3076.2</v>
      </c>
      <c r="AK45" s="4276"/>
      <c r="AL45" s="4276">
        <v>0</v>
      </c>
      <c r="AM45" s="4282"/>
      <c r="AN45" s="4282">
        <f t="shared" si="199"/>
        <v>0</v>
      </c>
      <c r="AO45" s="4277"/>
      <c r="AP45" s="4277">
        <f t="shared" si="145"/>
        <v>3076.2</v>
      </c>
      <c r="AQ45" s="4455"/>
      <c r="AR45" s="4455">
        <v>0</v>
      </c>
      <c r="AS45" s="4456"/>
      <c r="AT45" s="4456">
        <f t="shared" si="200"/>
        <v>3076.2</v>
      </c>
      <c r="AU45" s="4634"/>
      <c r="AV45" s="4634">
        <v>0</v>
      </c>
      <c r="AW45" s="4635"/>
      <c r="AX45" s="4635">
        <f t="shared" si="201"/>
        <v>3076.2</v>
      </c>
      <c r="AY45" s="5135"/>
      <c r="AZ45" s="5135">
        <v>0</v>
      </c>
      <c r="BA45" s="5136"/>
      <c r="BB45" s="5136">
        <f t="shared" si="202"/>
        <v>0</v>
      </c>
      <c r="BC45" s="5143"/>
      <c r="BD45" s="5143">
        <f t="shared" si="203"/>
        <v>0</v>
      </c>
      <c r="BE45" s="5258">
        <v>0</v>
      </c>
      <c r="BF45" s="5127">
        <f t="shared" si="204"/>
        <v>3076.2</v>
      </c>
      <c r="BG45" s="26"/>
      <c r="BH45" s="26"/>
      <c r="BI45" s="26"/>
      <c r="BJ45" s="26"/>
    </row>
    <row r="46" spans="1:63" ht="21.2" customHeight="1" x14ac:dyDescent="0.25">
      <c r="A46" s="122"/>
      <c r="B46" s="2003" t="s">
        <v>1829</v>
      </c>
      <c r="C46" s="243" t="s">
        <v>52</v>
      </c>
      <c r="D46" s="2456">
        <v>5000</v>
      </c>
      <c r="E46" s="2456"/>
      <c r="F46" s="2456">
        <v>555.94000000000005</v>
      </c>
      <c r="G46" s="2456"/>
      <c r="H46" s="4010">
        <v>1854.4599999999998</v>
      </c>
      <c r="I46" s="2457"/>
      <c r="J46" s="2457">
        <f t="shared" si="0"/>
        <v>2410.3999999999996</v>
      </c>
      <c r="K46" s="2456"/>
      <c r="L46" s="4010">
        <f>+L350+L351</f>
        <v>0</v>
      </c>
      <c r="M46" s="300"/>
      <c r="N46" s="3568">
        <f t="shared" si="205"/>
        <v>2410.3999999999996</v>
      </c>
      <c r="O46" s="2456"/>
      <c r="P46" s="4010">
        <v>199.99</v>
      </c>
      <c r="Q46" s="2457"/>
      <c r="R46" s="2457">
        <f t="shared" si="193"/>
        <v>2610.3899999999994</v>
      </c>
      <c r="S46" s="2562"/>
      <c r="T46" s="4010">
        <f>+T350+T351</f>
        <v>0</v>
      </c>
      <c r="U46" s="2557"/>
      <c r="V46" s="2557">
        <f t="shared" si="194"/>
        <v>2610.3899999999994</v>
      </c>
      <c r="W46" s="3395"/>
      <c r="X46" s="4010">
        <v>579.49</v>
      </c>
      <c r="Y46" s="3396"/>
      <c r="Z46" s="3568">
        <f t="shared" si="195"/>
        <v>779.48</v>
      </c>
      <c r="AA46" s="3550"/>
      <c r="AB46" s="3565">
        <f t="shared" si="196"/>
        <v>3189.8799999999997</v>
      </c>
      <c r="AC46" s="4048"/>
      <c r="AD46" s="4048">
        <f>+AD350+AD351</f>
        <v>468.48999999999995</v>
      </c>
      <c r="AE46" s="4050"/>
      <c r="AF46" s="4050">
        <f t="shared" si="197"/>
        <v>3658.3699999999994</v>
      </c>
      <c r="AG46" s="4397"/>
      <c r="AH46" s="4397">
        <f>+AH350+AH351</f>
        <v>691.2</v>
      </c>
      <c r="AI46" s="4394"/>
      <c r="AJ46" s="4394">
        <f t="shared" si="198"/>
        <v>4349.57</v>
      </c>
      <c r="AK46" s="4276"/>
      <c r="AL46" s="4276">
        <v>0</v>
      </c>
      <c r="AM46" s="4282"/>
      <c r="AN46" s="4282">
        <f t="shared" si="199"/>
        <v>1159.69</v>
      </c>
      <c r="AO46" s="4277"/>
      <c r="AP46" s="4277">
        <f t="shared" si="145"/>
        <v>4349.57</v>
      </c>
      <c r="AQ46" s="4455"/>
      <c r="AR46" s="4455">
        <f>+AR350+AR351</f>
        <v>0</v>
      </c>
      <c r="AS46" s="4456"/>
      <c r="AT46" s="4456">
        <f t="shared" si="200"/>
        <v>4349.57</v>
      </c>
      <c r="AU46" s="4634"/>
      <c r="AV46" s="4634">
        <f>+AV350+AV351</f>
        <v>1253.96</v>
      </c>
      <c r="AW46" s="4635"/>
      <c r="AX46" s="4635">
        <f t="shared" si="201"/>
        <v>5603.53</v>
      </c>
      <c r="AY46" s="5135"/>
      <c r="AZ46" s="5135">
        <f>+AZ350+AZ351</f>
        <v>1274.74</v>
      </c>
      <c r="BA46" s="5136"/>
      <c r="BB46" s="5136">
        <f t="shared" si="202"/>
        <v>2528.6999999999998</v>
      </c>
      <c r="BC46" s="5143"/>
      <c r="BD46" s="5143">
        <f t="shared" si="203"/>
        <v>3688.39</v>
      </c>
      <c r="BE46" s="5258">
        <v>5000</v>
      </c>
      <c r="BF46" s="5127">
        <f t="shared" si="204"/>
        <v>6878.2699999999995</v>
      </c>
      <c r="BG46" s="26"/>
      <c r="BH46" s="26"/>
      <c r="BI46" s="26"/>
      <c r="BJ46" s="26"/>
    </row>
    <row r="47" spans="1:63" ht="21.2" customHeight="1" x14ac:dyDescent="0.25">
      <c r="A47" s="122"/>
      <c r="B47" s="2463" t="s">
        <v>2</v>
      </c>
      <c r="C47" s="1252" t="s">
        <v>52</v>
      </c>
      <c r="D47" s="781">
        <f>SUM(D42:D46)</f>
        <v>58000</v>
      </c>
      <c r="E47" s="748"/>
      <c r="F47" s="748">
        <f>SUM(F42:F46)</f>
        <v>9369.26</v>
      </c>
      <c r="G47" s="748"/>
      <c r="H47" s="748">
        <f>SUM(H42:H46)</f>
        <v>8374.2199999999993</v>
      </c>
      <c r="I47" s="782"/>
      <c r="J47" s="782">
        <f t="shared" si="0"/>
        <v>17743.48</v>
      </c>
      <c r="K47" s="748"/>
      <c r="L47" s="748">
        <f>SUM(L42:L46)</f>
        <v>6661.6699999999983</v>
      </c>
      <c r="M47" s="783"/>
      <c r="N47" s="783">
        <f>F47+H47+L47</f>
        <v>24405.149999999998</v>
      </c>
      <c r="O47" s="748"/>
      <c r="P47" s="748">
        <f>SUM(P42:P46)</f>
        <v>15615.239999999998</v>
      </c>
      <c r="Q47" s="782"/>
      <c r="R47" s="782">
        <f t="shared" si="193"/>
        <v>40020.39</v>
      </c>
      <c r="S47" s="748"/>
      <c r="T47" s="748">
        <f>SUM(T42:T46)</f>
        <v>7864.5</v>
      </c>
      <c r="U47" s="2558"/>
      <c r="V47" s="2558">
        <f t="shared" si="194"/>
        <v>47884.89</v>
      </c>
      <c r="W47" s="748"/>
      <c r="X47" s="748">
        <f>SUM(X42:X46)</f>
        <v>7832.1299999999992</v>
      </c>
      <c r="Y47" s="3393"/>
      <c r="Z47" s="3393">
        <f t="shared" si="195"/>
        <v>31311.869999999995</v>
      </c>
      <c r="AA47" s="3551"/>
      <c r="AB47" s="3551">
        <f t="shared" si="196"/>
        <v>55717.01999999999</v>
      </c>
      <c r="AC47" s="748"/>
      <c r="AD47" s="748">
        <f>SUM(AD42:AD46)</f>
        <v>11962.429999999995</v>
      </c>
      <c r="AE47" s="4051"/>
      <c r="AF47" s="4051">
        <f t="shared" si="197"/>
        <v>67679.449999999983</v>
      </c>
      <c r="AG47" s="748"/>
      <c r="AH47" s="748">
        <f>SUM(AH42:AH46)</f>
        <v>2248.83</v>
      </c>
      <c r="AI47" s="4392"/>
      <c r="AJ47" s="4392">
        <f t="shared" si="198"/>
        <v>69928.279999999984</v>
      </c>
      <c r="AK47" s="748"/>
      <c r="AL47" s="748">
        <f>SUM(AL42:AL46)</f>
        <v>8086.9400000000005</v>
      </c>
      <c r="AM47" s="4283"/>
      <c r="AN47" s="4283">
        <f t="shared" si="199"/>
        <v>22298.199999999997</v>
      </c>
      <c r="AO47" s="4273"/>
      <c r="AP47" s="4273">
        <f t="shared" si="145"/>
        <v>78015.219999999987</v>
      </c>
      <c r="AQ47" s="748"/>
      <c r="AR47" s="748">
        <f>SUM(AR42:AR46)</f>
        <v>7367.9</v>
      </c>
      <c r="AS47" s="4453"/>
      <c r="AT47" s="4453">
        <f t="shared" si="200"/>
        <v>85383.119999999981</v>
      </c>
      <c r="AU47" s="748"/>
      <c r="AV47" s="748">
        <f>SUM(AV42:AV46)</f>
        <v>6503.59</v>
      </c>
      <c r="AW47" s="4630"/>
      <c r="AX47" s="4630">
        <f t="shared" si="201"/>
        <v>91886.709999999977</v>
      </c>
      <c r="AY47" s="748"/>
      <c r="AZ47" s="748">
        <f>SUM(AZ42:AZ46)</f>
        <v>7373.0499999999993</v>
      </c>
      <c r="BA47" s="5129"/>
      <c r="BB47" s="5129">
        <f t="shared" si="202"/>
        <v>21244.54</v>
      </c>
      <c r="BC47" s="5140"/>
      <c r="BD47" s="5140">
        <f>AN47+BB47</f>
        <v>43542.74</v>
      </c>
      <c r="BE47" s="5257">
        <f>SUM(BE42:BE46)</f>
        <v>58000</v>
      </c>
      <c r="BF47" s="5124">
        <f t="shared" si="204"/>
        <v>99259.75999999998</v>
      </c>
      <c r="BG47" s="26"/>
      <c r="BH47" s="26"/>
      <c r="BI47" s="26"/>
      <c r="BJ47" s="26"/>
    </row>
    <row r="48" spans="1:63" s="183" customFormat="1" ht="20.25" x14ac:dyDescent="0.25">
      <c r="A48" s="188"/>
      <c r="B48" s="2478"/>
      <c r="C48" s="5260"/>
      <c r="D48" s="748"/>
      <c r="E48" s="748"/>
      <c r="F48" s="748"/>
      <c r="G48" s="748"/>
      <c r="H48" s="748"/>
      <c r="I48" s="748"/>
      <c r="J48" s="748"/>
      <c r="K48" s="748"/>
      <c r="L48" s="748"/>
      <c r="M48" s="748"/>
      <c r="N48" s="748"/>
      <c r="O48" s="748"/>
      <c r="P48" s="748"/>
      <c r="Q48" s="748"/>
      <c r="R48" s="748"/>
      <c r="S48" s="748"/>
      <c r="T48" s="748"/>
      <c r="U48" s="748"/>
      <c r="V48" s="748"/>
      <c r="W48" s="748"/>
      <c r="X48" s="748"/>
      <c r="Y48" s="748"/>
      <c r="Z48" s="748"/>
      <c r="AA48" s="748"/>
      <c r="AB48" s="748"/>
      <c r="AC48" s="748"/>
      <c r="AD48" s="748"/>
      <c r="AE48" s="748"/>
      <c r="AF48" s="748"/>
      <c r="AG48" s="748"/>
      <c r="AH48" s="748"/>
      <c r="AI48" s="748"/>
      <c r="AJ48" s="748"/>
      <c r="AK48" s="748"/>
      <c r="AL48" s="748"/>
      <c r="AM48" s="748"/>
      <c r="AN48" s="748"/>
      <c r="AO48" s="748"/>
      <c r="AP48" s="748"/>
      <c r="AQ48" s="748"/>
      <c r="AR48" s="748"/>
      <c r="AS48" s="748"/>
      <c r="AT48" s="748"/>
      <c r="AU48" s="748"/>
      <c r="AV48" s="748"/>
      <c r="AW48" s="748"/>
      <c r="AX48" s="748"/>
      <c r="AY48" s="748"/>
      <c r="AZ48" s="748"/>
      <c r="BA48" s="748"/>
      <c r="BB48" s="748"/>
      <c r="BC48" s="748"/>
      <c r="BD48" s="748"/>
      <c r="BE48" s="748"/>
      <c r="BF48" s="748"/>
      <c r="BG48" s="26"/>
      <c r="BH48" s="26"/>
      <c r="BI48" s="26"/>
      <c r="BJ48" s="26"/>
    </row>
    <row r="49" spans="1:62" s="183" customFormat="1" ht="20.25" x14ac:dyDescent="0.3">
      <c r="A49" s="188"/>
      <c r="B49" s="1271" t="s">
        <v>120</v>
      </c>
      <c r="C49" s="334"/>
      <c r="D49" s="334"/>
      <c r="E49" s="2476"/>
      <c r="F49" s="2476"/>
      <c r="G49" s="2476"/>
      <c r="H49" s="4625"/>
      <c r="I49" s="2476"/>
      <c r="J49" s="2476"/>
      <c r="K49" s="2476"/>
      <c r="L49" s="2476"/>
      <c r="M49" s="2476"/>
      <c r="N49" s="2476"/>
      <c r="O49" s="2476"/>
      <c r="P49" s="2476"/>
      <c r="Q49" s="2476"/>
      <c r="R49" s="2476"/>
      <c r="S49" s="2476"/>
      <c r="T49" s="2476"/>
      <c r="U49" s="2476"/>
      <c r="V49" s="2476"/>
      <c r="W49" s="2476"/>
      <c r="X49" s="2476"/>
      <c r="Y49" s="2476"/>
      <c r="Z49" s="2476"/>
      <c r="AA49" s="2476"/>
      <c r="AB49" s="2476"/>
      <c r="AC49" s="2476"/>
      <c r="AD49" s="2476"/>
      <c r="AE49" s="2476"/>
      <c r="AF49" s="2476"/>
      <c r="AG49" s="2476"/>
      <c r="AH49" s="2476"/>
      <c r="AI49" s="2476"/>
      <c r="AJ49" s="2476"/>
      <c r="AK49" s="2476"/>
      <c r="AL49" s="2476"/>
      <c r="AM49" s="2476"/>
      <c r="AN49" s="2476"/>
      <c r="AO49" s="2476"/>
      <c r="AP49" s="2476"/>
      <c r="AQ49" s="2476"/>
      <c r="AR49" s="2476"/>
      <c r="AS49" s="2476"/>
      <c r="AT49" s="2476"/>
      <c r="AU49" s="2476"/>
      <c r="AV49" s="2476"/>
      <c r="AW49" s="2476"/>
      <c r="AX49" s="2476"/>
      <c r="AY49" s="2476"/>
      <c r="AZ49" s="2476"/>
      <c r="BA49" s="2476"/>
      <c r="BB49" s="2476"/>
      <c r="BC49" s="2476"/>
      <c r="BD49" s="2476"/>
      <c r="BE49" s="2476"/>
      <c r="BF49" s="2476"/>
      <c r="BG49" s="26"/>
      <c r="BH49" s="26"/>
      <c r="BI49" s="26"/>
      <c r="BJ49" s="26"/>
    </row>
    <row r="50" spans="1:62" ht="20.25" x14ac:dyDescent="0.25">
      <c r="A50" s="122"/>
      <c r="B50" s="2463" t="s">
        <v>77</v>
      </c>
      <c r="C50" s="1252" t="s">
        <v>52</v>
      </c>
      <c r="D50" s="6238">
        <f>+D7+D14+D21+D28</f>
        <v>2192500</v>
      </c>
      <c r="E50" s="6238">
        <f>E7+E14+E21+E28</f>
        <v>196800.48687222728</v>
      </c>
      <c r="F50" s="2456">
        <f>F7+F14+F28+F21</f>
        <v>104891.27</v>
      </c>
      <c r="G50" s="6238">
        <f>G7+G14+G21+G28</f>
        <v>166400.44144996407</v>
      </c>
      <c r="H50" s="2456">
        <f>H7+H14+H28+H21</f>
        <v>87682.639999999985</v>
      </c>
      <c r="I50" s="6219">
        <f>E50+G50</f>
        <v>363200.92832219135</v>
      </c>
      <c r="J50" s="2457">
        <f t="shared" ref="J50:J55" si="206">F50+H50</f>
        <v>192573.90999999997</v>
      </c>
      <c r="K50" s="6238">
        <f>K7+K14+K21+K28</f>
        <v>161400.27133862226</v>
      </c>
      <c r="L50" s="2456">
        <f>L7+L14+L28+L21</f>
        <v>99454.319999999978</v>
      </c>
      <c r="M50" s="6215">
        <f>E50+G50+K50</f>
        <v>524601.19966081367</v>
      </c>
      <c r="N50" s="3568">
        <f t="shared" ref="N50:N53" si="207">F50+H50+L50</f>
        <v>292028.23</v>
      </c>
      <c r="O50" s="6238">
        <f>O7+O14+O21+O28</f>
        <v>179400.37423437476</v>
      </c>
      <c r="P50" s="2456">
        <f>P7+P14+P28+P21</f>
        <v>113441.65</v>
      </c>
      <c r="Q50" s="6219">
        <f>M50+O50</f>
        <v>704001.5738951884</v>
      </c>
      <c r="R50" s="2457">
        <f t="shared" ref="R50:R55" si="208">N50+P50</f>
        <v>405469.88</v>
      </c>
      <c r="S50" s="6238">
        <f>S7+S14+S21+S28</f>
        <v>177400.37396437474</v>
      </c>
      <c r="T50" s="2562">
        <f>T7+T14+T28+T21</f>
        <v>176869.32000000004</v>
      </c>
      <c r="U50" s="6219">
        <f>Q50+S50</f>
        <v>881401.94785956317</v>
      </c>
      <c r="V50" s="2557">
        <f t="shared" ref="V50:V55" si="209">R50+T50</f>
        <v>582339.20000000007</v>
      </c>
      <c r="W50" s="6238">
        <f>W7+W14+W21+W28</f>
        <v>170799.90196654096</v>
      </c>
      <c r="X50" s="3395">
        <f>X7+X14+X28+X21</f>
        <v>154305.76</v>
      </c>
      <c r="Y50" s="6215">
        <f t="shared" ref="Y50:Z55" si="210">O50+S50+W50</f>
        <v>527600.65016529046</v>
      </c>
      <c r="Z50" s="3568">
        <f t="shared" ref="Z50:Z53" si="211">P50+T50+X50</f>
        <v>444616.73000000004</v>
      </c>
      <c r="AA50" s="6216">
        <f>M50+Y50</f>
        <v>1052201.849826104</v>
      </c>
      <c r="AB50" s="3550">
        <f>N50+Z50</f>
        <v>736644.96</v>
      </c>
      <c r="AC50" s="6238">
        <f>AC7+AC14+AC21+AC28</f>
        <v>183399.1475492545</v>
      </c>
      <c r="AD50" s="4048">
        <f>AD7+AD14+AD28+AD21</f>
        <v>123656.59000000001</v>
      </c>
      <c r="AE50" s="6219">
        <f>AA50+AC50</f>
        <v>1235600.9973753586</v>
      </c>
      <c r="AF50" s="4050">
        <f t="shared" ref="AF50:AF55" si="212">AB50+AD50</f>
        <v>860301.54999999993</v>
      </c>
      <c r="AG50" s="6217">
        <f>AG7+AG14+AG21+AG28</f>
        <v>188400.27932503156</v>
      </c>
      <c r="AH50" s="4397">
        <f>AH7+AH14+AH28+AH21</f>
        <v>86468.87999999999</v>
      </c>
      <c r="AI50" s="6220">
        <f>AE50+AG50</f>
        <v>1424001.27670039</v>
      </c>
      <c r="AJ50" s="4394">
        <f t="shared" ref="AJ50:AJ55" si="213">AF50+AH50</f>
        <v>946770.42999999993</v>
      </c>
      <c r="AK50" s="6238">
        <f>AK7+AK14+AK21+AK28</f>
        <v>196399.54377566959</v>
      </c>
      <c r="AL50" s="4276">
        <f>AL7+AL14+AL28+AL21</f>
        <v>111571.93</v>
      </c>
      <c r="AM50" s="6215">
        <f t="shared" ref="AM50:AM51" si="214">AC50+AG50+AK50</f>
        <v>568198.97064995556</v>
      </c>
      <c r="AN50" s="4282">
        <f t="shared" ref="AN50:AN53" si="215">AD50+AH50+AL50</f>
        <v>321697.40000000002</v>
      </c>
      <c r="AO50" s="6219">
        <f>AI50+AK50</f>
        <v>1620400.8204760596</v>
      </c>
      <c r="AP50" s="4277">
        <f t="shared" ref="AP50:AP55" si="216">AJ50+AL50</f>
        <v>1058342.3599999999</v>
      </c>
      <c r="AQ50" s="6217">
        <f>AQ7+AQ14+AQ21+AQ28</f>
        <v>195799.54377566959</v>
      </c>
      <c r="AR50" s="4455">
        <f>AR7+AR14+AR28+AR21</f>
        <v>119773.90000000001</v>
      </c>
      <c r="AS50" s="6220">
        <f>AO50+AQ50</f>
        <v>1816200.3642517291</v>
      </c>
      <c r="AT50" s="4456">
        <f t="shared" ref="AT50:AT55" si="217">AP50+AR50</f>
        <v>1178116.2599999998</v>
      </c>
      <c r="AU50" s="6217">
        <f>AU7+AU14+AU21+AU28</f>
        <v>180899.61215936884</v>
      </c>
      <c r="AV50" s="4634">
        <f>AV7+AV14+AV28+AV21</f>
        <v>111589.56</v>
      </c>
      <c r="AW50" s="6220">
        <f>AS50+AU50</f>
        <v>1997099.9764110979</v>
      </c>
      <c r="AX50" s="4635">
        <f t="shared" ref="AX50:AX55" si="218">AT50+AV50</f>
        <v>1289705.8199999998</v>
      </c>
      <c r="AY50" s="6217">
        <f>AY7+AY14+AY21+AY28</f>
        <v>195399.94000208468</v>
      </c>
      <c r="AZ50" s="5135">
        <f>AZ7+AZ14+AZ28+AZ21</f>
        <v>153590.21</v>
      </c>
      <c r="BA50" s="6215">
        <f t="shared" ref="BA50:BA51" si="219">AQ50+AU50+AY50</f>
        <v>572099.09593712317</v>
      </c>
      <c r="BB50" s="5136">
        <f t="shared" ref="BB50:BB53" si="220">AR50+AV50+AZ50</f>
        <v>384953.67000000004</v>
      </c>
      <c r="BC50" s="6216">
        <f>AM50+BA50</f>
        <v>1140298.0665870789</v>
      </c>
      <c r="BD50" s="5143">
        <f t="shared" ref="BD50:BD54" si="221">AN50+BB50</f>
        <v>706651.07000000007</v>
      </c>
      <c r="BE50" s="6220">
        <f>AW50+AY50</f>
        <v>2192499.9164131824</v>
      </c>
      <c r="BF50" s="5127">
        <f t="shared" ref="BF50:BF55" si="222">AX50+AZ50</f>
        <v>1443296.0299999998</v>
      </c>
      <c r="BG50" s="26"/>
      <c r="BH50" s="26"/>
      <c r="BI50" s="26"/>
      <c r="BJ50" s="26"/>
    </row>
    <row r="51" spans="1:62" ht="20.25" x14ac:dyDescent="0.25">
      <c r="A51" s="122"/>
      <c r="B51" s="2463" t="s">
        <v>78</v>
      </c>
      <c r="C51" s="1252" t="s">
        <v>52</v>
      </c>
      <c r="D51" s="6238"/>
      <c r="E51" s="6238"/>
      <c r="F51" s="2456">
        <f>F8+F15+F29+F22</f>
        <v>84895.57</v>
      </c>
      <c r="G51" s="6238"/>
      <c r="H51" s="2456">
        <f>H8+H15+H29+H22</f>
        <v>70112.740000000005</v>
      </c>
      <c r="I51" s="6219"/>
      <c r="J51" s="2457">
        <f t="shared" si="206"/>
        <v>155008.31</v>
      </c>
      <c r="K51" s="6238"/>
      <c r="L51" s="2456">
        <f>L8+L15+L29+L22</f>
        <v>40887.300000000003</v>
      </c>
      <c r="M51" s="6215"/>
      <c r="N51" s="3568">
        <f t="shared" si="207"/>
        <v>195895.61</v>
      </c>
      <c r="O51" s="6238"/>
      <c r="P51" s="2456">
        <f>P8+P15+P29+P22</f>
        <v>97492.3</v>
      </c>
      <c r="Q51" s="6219"/>
      <c r="R51" s="2457">
        <f t="shared" si="208"/>
        <v>293387.90999999997</v>
      </c>
      <c r="S51" s="6238"/>
      <c r="T51" s="2562">
        <f>T8+T15+T29+T22</f>
        <v>57871.630000000019</v>
      </c>
      <c r="U51" s="6219"/>
      <c r="V51" s="2557">
        <f t="shared" si="209"/>
        <v>351259.54</v>
      </c>
      <c r="W51" s="6238"/>
      <c r="X51" s="3395">
        <f>X8+X15+X29+X22</f>
        <v>33474.989999999991</v>
      </c>
      <c r="Y51" s="6215">
        <f t="shared" si="210"/>
        <v>0</v>
      </c>
      <c r="Z51" s="3568">
        <f t="shared" si="211"/>
        <v>188838.92</v>
      </c>
      <c r="AA51" s="6216"/>
      <c r="AB51" s="3565">
        <f t="shared" ref="AB51:AB54" si="223">N51+Z51</f>
        <v>384734.53</v>
      </c>
      <c r="AC51" s="6238"/>
      <c r="AD51" s="4048">
        <f>AD8+AD15+AD29+AD22</f>
        <v>69838.599999999991</v>
      </c>
      <c r="AE51" s="6219"/>
      <c r="AF51" s="4050">
        <f t="shared" si="212"/>
        <v>454573.13</v>
      </c>
      <c r="AG51" s="6218"/>
      <c r="AH51" s="4397">
        <f>AH8+AH15+AH29+AH22</f>
        <v>89546.19</v>
      </c>
      <c r="AI51" s="6221"/>
      <c r="AJ51" s="4394">
        <f t="shared" si="213"/>
        <v>544119.32000000007</v>
      </c>
      <c r="AK51" s="6238"/>
      <c r="AL51" s="4276">
        <f>AL8+AL15+AL29+AL22</f>
        <v>89920.91</v>
      </c>
      <c r="AM51" s="6215">
        <f t="shared" si="214"/>
        <v>0</v>
      </c>
      <c r="AN51" s="4282">
        <f t="shared" si="215"/>
        <v>249305.69999999998</v>
      </c>
      <c r="AO51" s="6219"/>
      <c r="AP51" s="4277">
        <f t="shared" si="216"/>
        <v>634040.2300000001</v>
      </c>
      <c r="AQ51" s="6218"/>
      <c r="AR51" s="4455">
        <f>AR8+AR15+AR29+AR22</f>
        <v>74069.33</v>
      </c>
      <c r="AS51" s="6221"/>
      <c r="AT51" s="4456">
        <f t="shared" si="217"/>
        <v>708109.56</v>
      </c>
      <c r="AU51" s="6218"/>
      <c r="AV51" s="4634">
        <f>AV8+AV15+AV29+AV22</f>
        <v>70681.399999999994</v>
      </c>
      <c r="AW51" s="6221"/>
      <c r="AX51" s="4635">
        <f t="shared" si="218"/>
        <v>778790.96000000008</v>
      </c>
      <c r="AY51" s="6218"/>
      <c r="AZ51" s="5135">
        <f>AZ8+AZ15+AZ29+AZ22</f>
        <v>50613.44000000001</v>
      </c>
      <c r="BA51" s="6215">
        <f t="shared" si="219"/>
        <v>0</v>
      </c>
      <c r="BB51" s="5136">
        <f t="shared" si="220"/>
        <v>195364.16999999998</v>
      </c>
      <c r="BC51" s="6216"/>
      <c r="BD51" s="5143">
        <f t="shared" si="221"/>
        <v>444669.87</v>
      </c>
      <c r="BE51" s="6221"/>
      <c r="BF51" s="5127">
        <f t="shared" si="222"/>
        <v>829404.40000000014</v>
      </c>
      <c r="BG51" s="26"/>
      <c r="BH51" s="26"/>
      <c r="BI51" s="26"/>
      <c r="BJ51" s="26"/>
    </row>
    <row r="52" spans="1:62" ht="20.25" x14ac:dyDescent="0.25">
      <c r="A52" s="122"/>
      <c r="B52" s="2463" t="s">
        <v>141</v>
      </c>
      <c r="C52" s="1252" t="s">
        <v>52</v>
      </c>
      <c r="D52" s="2456">
        <f t="shared" ref="D52:E54" si="224">+D9+D16+D23+D30</f>
        <v>311000</v>
      </c>
      <c r="E52" s="2456">
        <f t="shared" si="224"/>
        <v>15000</v>
      </c>
      <c r="F52" s="2456">
        <f>F9+F16+F30+F23</f>
        <v>5241.2400000000007</v>
      </c>
      <c r="G52" s="2456">
        <f>+G9+G16+G23+G30</f>
        <v>10000</v>
      </c>
      <c r="H52" s="2456">
        <f>H9+H16+H30+H23</f>
        <v>8255.779999999997</v>
      </c>
      <c r="I52" s="2457">
        <f t="shared" ref="I52:I55" si="225">E52+G52</f>
        <v>25000</v>
      </c>
      <c r="J52" s="2457">
        <f t="shared" si="206"/>
        <v>13497.019999999997</v>
      </c>
      <c r="K52" s="2456">
        <f>+K9+K16+K23+K30</f>
        <v>10000</v>
      </c>
      <c r="L52" s="2456">
        <f>L9+L16+L30+L23</f>
        <v>5423.380000000001</v>
      </c>
      <c r="M52" s="3568">
        <f t="shared" ref="M52:M53" si="226">E52+G52+K52</f>
        <v>35000</v>
      </c>
      <c r="N52" s="3568">
        <f t="shared" si="207"/>
        <v>18920.399999999998</v>
      </c>
      <c r="O52" s="2456">
        <f>+O9+O16+O23+O30</f>
        <v>35000</v>
      </c>
      <c r="P52" s="2456">
        <f>P9+P16+P30+P23</f>
        <v>8786.9000000000015</v>
      </c>
      <c r="Q52" s="2457">
        <f t="shared" ref="Q52:Q55" si="227">M52+O52</f>
        <v>70000</v>
      </c>
      <c r="R52" s="2457">
        <f t="shared" si="208"/>
        <v>27707.3</v>
      </c>
      <c r="S52" s="2562">
        <f>+S9+S16+S23+S30</f>
        <v>37500</v>
      </c>
      <c r="T52" s="2562">
        <f>T9+T16+T30+T23</f>
        <v>80.47999999999999</v>
      </c>
      <c r="U52" s="2557">
        <f t="shared" ref="U52:U55" si="228">Q52+S52</f>
        <v>107500</v>
      </c>
      <c r="V52" s="2557">
        <f t="shared" si="209"/>
        <v>27787.78</v>
      </c>
      <c r="W52" s="3395">
        <f>+W9+W16+W23+W30</f>
        <v>37500</v>
      </c>
      <c r="X52" s="3395">
        <f>X9+X16+X30+X23</f>
        <v>6970.2199999999975</v>
      </c>
      <c r="Y52" s="3396">
        <f>O52+S52+W52</f>
        <v>110000</v>
      </c>
      <c r="Z52" s="3568">
        <f t="shared" si="211"/>
        <v>15837.599999999999</v>
      </c>
      <c r="AA52" s="3550">
        <f>M52+Y52</f>
        <v>145000</v>
      </c>
      <c r="AB52" s="3565">
        <f t="shared" si="223"/>
        <v>34758</v>
      </c>
      <c r="AC52" s="4048">
        <f>+AC9+AC16+AC23+AC30</f>
        <v>37500</v>
      </c>
      <c r="AD52" s="4048">
        <f>AD9+AD16+AD30+AD23</f>
        <v>8451.19</v>
      </c>
      <c r="AE52" s="4050">
        <f t="shared" ref="AE52:AE55" si="229">AA52+AC52</f>
        <v>182500</v>
      </c>
      <c r="AF52" s="4050">
        <f t="shared" si="212"/>
        <v>43209.19</v>
      </c>
      <c r="AG52" s="4397">
        <f>+AG9+AG16+AG23+AG30</f>
        <v>25500</v>
      </c>
      <c r="AH52" s="4397">
        <f>AH9+AH16+AH30+AH23</f>
        <v>4102.7</v>
      </c>
      <c r="AI52" s="4394">
        <f t="shared" ref="AI52:AI55" si="230">AE52+AG52</f>
        <v>208000</v>
      </c>
      <c r="AJ52" s="4394">
        <f t="shared" si="213"/>
        <v>47311.89</v>
      </c>
      <c r="AK52" s="4276">
        <f>+AK9+AK16+AK23+AK30</f>
        <v>25500</v>
      </c>
      <c r="AL52" s="4276">
        <f>AL9+AL16+AL30+AL23</f>
        <v>2693.4600000000005</v>
      </c>
      <c r="AM52" s="4282">
        <f>AC52+AG52+AK52</f>
        <v>88500</v>
      </c>
      <c r="AN52" s="4282">
        <f t="shared" si="215"/>
        <v>15247.35</v>
      </c>
      <c r="AO52" s="4277">
        <f t="shared" ref="AO52:AO55" si="231">AI52+AK52</f>
        <v>233500</v>
      </c>
      <c r="AP52" s="4277">
        <f t="shared" si="216"/>
        <v>50005.35</v>
      </c>
      <c r="AQ52" s="4455">
        <f>+AQ9+AQ16+AQ23+AQ30</f>
        <v>25500</v>
      </c>
      <c r="AR52" s="4455">
        <f>AR9+AR16+AR30+AR23</f>
        <v>33.32</v>
      </c>
      <c r="AS52" s="4456">
        <f t="shared" ref="AS52:AS55" si="232">AO52+AQ52</f>
        <v>259000</v>
      </c>
      <c r="AT52" s="4456">
        <f t="shared" si="217"/>
        <v>50038.67</v>
      </c>
      <c r="AU52" s="4634">
        <f>+AU9+AU16+AU23+AU30</f>
        <v>25500</v>
      </c>
      <c r="AV52" s="4634">
        <f>AV9+AV16+AV30+AV23</f>
        <v>2778.94</v>
      </c>
      <c r="AW52" s="4635">
        <f t="shared" ref="AW52:AW55" si="233">AS52+AU52</f>
        <v>284500</v>
      </c>
      <c r="AX52" s="4635">
        <f t="shared" si="218"/>
        <v>52817.61</v>
      </c>
      <c r="AY52" s="5135">
        <f>+AY9+AY16+AY23+AY30</f>
        <v>26500</v>
      </c>
      <c r="AZ52" s="5135">
        <f>AZ9+AZ16+AZ30+AZ23</f>
        <v>5647.3799999999992</v>
      </c>
      <c r="BA52" s="5136">
        <f>AQ52+AU52+AY52</f>
        <v>77500</v>
      </c>
      <c r="BB52" s="5136">
        <f t="shared" si="220"/>
        <v>8459.64</v>
      </c>
      <c r="BC52" s="5143">
        <f t="shared" ref="BC52:BC54" si="234">AM52+BA52</f>
        <v>166000</v>
      </c>
      <c r="BD52" s="5143">
        <f t="shared" si="221"/>
        <v>23706.989999999998</v>
      </c>
      <c r="BE52" s="5127">
        <f t="shared" ref="BE52:BE55" si="235">AW52+AY52</f>
        <v>311000</v>
      </c>
      <c r="BF52" s="5127">
        <f t="shared" si="222"/>
        <v>58464.99</v>
      </c>
      <c r="BG52" s="26"/>
      <c r="BH52" s="26"/>
      <c r="BI52" s="26"/>
      <c r="BJ52" s="26"/>
    </row>
    <row r="53" spans="1:62" ht="20.25" x14ac:dyDescent="0.25">
      <c r="A53" s="188"/>
      <c r="B53" s="2463" t="s">
        <v>79</v>
      </c>
      <c r="C53" s="1252" t="s">
        <v>52</v>
      </c>
      <c r="D53" s="245">
        <f t="shared" si="224"/>
        <v>0</v>
      </c>
      <c r="E53" s="2456">
        <f t="shared" si="224"/>
        <v>0</v>
      </c>
      <c r="F53" s="2456">
        <f>F10+F17+F31+F24</f>
        <v>0</v>
      </c>
      <c r="G53" s="2456">
        <f>+G10+G17+G24+G31</f>
        <v>0</v>
      </c>
      <c r="H53" s="2456">
        <f>H10+H17+H31+H24</f>
        <v>103</v>
      </c>
      <c r="I53" s="2457">
        <f t="shared" si="225"/>
        <v>0</v>
      </c>
      <c r="J53" s="2457">
        <f t="shared" si="206"/>
        <v>103</v>
      </c>
      <c r="K53" s="2456">
        <f>+K10+K17+K24+K31</f>
        <v>0</v>
      </c>
      <c r="L53" s="2456">
        <f>L10+L17+L31+L24</f>
        <v>0</v>
      </c>
      <c r="M53" s="3568">
        <f t="shared" si="226"/>
        <v>0</v>
      </c>
      <c r="N53" s="3568">
        <f t="shared" si="207"/>
        <v>103</v>
      </c>
      <c r="O53" s="2456">
        <f>+O10+O17+O24+O31</f>
        <v>0</v>
      </c>
      <c r="P53" s="2456">
        <f>P10+P17+P31+P24</f>
        <v>2735.94</v>
      </c>
      <c r="Q53" s="2457">
        <f t="shared" si="227"/>
        <v>0</v>
      </c>
      <c r="R53" s="2457">
        <f t="shared" si="208"/>
        <v>2838.94</v>
      </c>
      <c r="S53" s="2562">
        <f>+S10+S17+S24+S31</f>
        <v>0</v>
      </c>
      <c r="T53" s="2562">
        <f>T10+T17+T31+T24</f>
        <v>237.26</v>
      </c>
      <c r="U53" s="2557">
        <f t="shared" si="228"/>
        <v>0</v>
      </c>
      <c r="V53" s="2557">
        <f t="shared" si="209"/>
        <v>3076.2</v>
      </c>
      <c r="W53" s="3395">
        <f>+W10+W17+W24+W31</f>
        <v>0</v>
      </c>
      <c r="X53" s="3395">
        <f>X10+X17+X31+X24</f>
        <v>0</v>
      </c>
      <c r="Y53" s="3568">
        <f t="shared" ref="Y53:Y54" si="236">O53+S53+W53</f>
        <v>0</v>
      </c>
      <c r="Z53" s="3568">
        <f t="shared" si="211"/>
        <v>2973.2</v>
      </c>
      <c r="AA53" s="3565">
        <f t="shared" ref="AA53:AA54" si="237">M53+Y53</f>
        <v>0</v>
      </c>
      <c r="AB53" s="3565">
        <f t="shared" si="223"/>
        <v>3076.2</v>
      </c>
      <c r="AC53" s="4048">
        <f>+AC10+AC17+AC24+AC31</f>
        <v>0</v>
      </c>
      <c r="AD53" s="4048">
        <f>AD10+AD17+AD31+AD24</f>
        <v>0</v>
      </c>
      <c r="AE53" s="4050">
        <f t="shared" si="229"/>
        <v>0</v>
      </c>
      <c r="AF53" s="4050">
        <f t="shared" si="212"/>
        <v>3076.2</v>
      </c>
      <c r="AG53" s="4397">
        <f>+AG10+AG17+AG24+AG31</f>
        <v>0</v>
      </c>
      <c r="AH53" s="4397">
        <f>AH10+AH17+AH31+AH24</f>
        <v>0</v>
      </c>
      <c r="AI53" s="4394">
        <f t="shared" si="230"/>
        <v>0</v>
      </c>
      <c r="AJ53" s="4394">
        <f t="shared" si="213"/>
        <v>3076.2</v>
      </c>
      <c r="AK53" s="4276">
        <f>+AK10+AK17+AK24+AK31</f>
        <v>0</v>
      </c>
      <c r="AL53" s="4276">
        <f>AL10+AL17+AL31+AL24</f>
        <v>0</v>
      </c>
      <c r="AM53" s="4282">
        <f t="shared" ref="AM53:AM55" si="238">AC53+AG53+AK53</f>
        <v>0</v>
      </c>
      <c r="AN53" s="4282">
        <f t="shared" si="215"/>
        <v>0</v>
      </c>
      <c r="AO53" s="4277">
        <f t="shared" si="231"/>
        <v>0</v>
      </c>
      <c r="AP53" s="4277">
        <f t="shared" si="216"/>
        <v>3076.2</v>
      </c>
      <c r="AQ53" s="4455">
        <f>+AQ10+AQ17+AQ24+AQ31</f>
        <v>0</v>
      </c>
      <c r="AR53" s="4455">
        <f>AR10+AR17+AR31+AR24</f>
        <v>0</v>
      </c>
      <c r="AS53" s="4456">
        <f t="shared" si="232"/>
        <v>0</v>
      </c>
      <c r="AT53" s="4456">
        <f t="shared" si="217"/>
        <v>3076.2</v>
      </c>
      <c r="AU53" s="4634">
        <f>+AU10+AU17+AU24+AU31</f>
        <v>0</v>
      </c>
      <c r="AV53" s="4634">
        <f>AV10+AV17+AV31+AV24</f>
        <v>0</v>
      </c>
      <c r="AW53" s="4635">
        <f t="shared" si="233"/>
        <v>0</v>
      </c>
      <c r="AX53" s="4635">
        <f t="shared" si="218"/>
        <v>3076.2</v>
      </c>
      <c r="AY53" s="5135">
        <f>+AY10+AY17+AY24+AY31</f>
        <v>0</v>
      </c>
      <c r="AZ53" s="5135">
        <f>AZ10+AZ17+AZ31+AZ24</f>
        <v>0</v>
      </c>
      <c r="BA53" s="5136">
        <f t="shared" ref="BA53:BA55" si="239">AQ53+AU53+AY53</f>
        <v>0</v>
      </c>
      <c r="BB53" s="5136">
        <f t="shared" si="220"/>
        <v>0</v>
      </c>
      <c r="BC53" s="5143">
        <f t="shared" si="234"/>
        <v>0</v>
      </c>
      <c r="BD53" s="5143">
        <f t="shared" si="221"/>
        <v>0</v>
      </c>
      <c r="BE53" s="5127">
        <f t="shared" si="235"/>
        <v>0</v>
      </c>
      <c r="BF53" s="5127">
        <f t="shared" si="222"/>
        <v>3076.2</v>
      </c>
      <c r="BG53" s="26"/>
      <c r="BH53" s="26"/>
      <c r="BI53" s="26"/>
      <c r="BJ53" s="26"/>
    </row>
    <row r="54" spans="1:62" ht="20.25" x14ac:dyDescent="0.25">
      <c r="A54" s="122"/>
      <c r="B54" s="2463" t="s">
        <v>580</v>
      </c>
      <c r="C54" s="1252" t="s">
        <v>52</v>
      </c>
      <c r="D54" s="2477">
        <f t="shared" si="224"/>
        <v>21500</v>
      </c>
      <c r="E54" s="2456">
        <f t="shared" si="224"/>
        <v>1700</v>
      </c>
      <c r="F54" s="2456">
        <f>F11+F18+F32+F25</f>
        <v>1921.8500000000001</v>
      </c>
      <c r="G54" s="2456">
        <f>+G11+G18+G25+G32</f>
        <v>1600</v>
      </c>
      <c r="H54" s="2456">
        <f>H11+H18+H32+H25</f>
        <v>4260.58</v>
      </c>
      <c r="I54" s="2457">
        <f t="shared" si="225"/>
        <v>3300</v>
      </c>
      <c r="J54" s="2457">
        <f t="shared" si="206"/>
        <v>6182.43</v>
      </c>
      <c r="K54" s="2456">
        <f>+K11+K18+K25+K32</f>
        <v>2100</v>
      </c>
      <c r="L54" s="2456">
        <f>L11+L18+L32+L25</f>
        <v>1412.02</v>
      </c>
      <c r="M54" s="3568">
        <f t="shared" ref="M54:N54" si="240">E54+G54+K54</f>
        <v>5400</v>
      </c>
      <c r="N54" s="3568">
        <f t="shared" si="240"/>
        <v>7594.4500000000007</v>
      </c>
      <c r="O54" s="2456">
        <f>+O11+O18+O25+O32</f>
        <v>2100</v>
      </c>
      <c r="P54" s="2456">
        <f>P11+P18+P32+P25</f>
        <v>1785.3700000000001</v>
      </c>
      <c r="Q54" s="2457">
        <f t="shared" si="227"/>
        <v>7500</v>
      </c>
      <c r="R54" s="2457">
        <f t="shared" si="208"/>
        <v>9379.8200000000015</v>
      </c>
      <c r="S54" s="2562">
        <f>+S11+S18+S25+S32</f>
        <v>1600</v>
      </c>
      <c r="T54" s="2562">
        <f>T11+T18+T32+T25</f>
        <v>1518.5299999999997</v>
      </c>
      <c r="U54" s="2557">
        <f t="shared" si="228"/>
        <v>9100</v>
      </c>
      <c r="V54" s="2557">
        <f t="shared" si="209"/>
        <v>10898.350000000002</v>
      </c>
      <c r="W54" s="3395">
        <f>+W11+W18+W25+W32</f>
        <v>1700</v>
      </c>
      <c r="X54" s="3395">
        <f>X11+X18+X32+X25</f>
        <v>2496.4499999999998</v>
      </c>
      <c r="Y54" s="3568">
        <f t="shared" si="236"/>
        <v>5400</v>
      </c>
      <c r="Z54" s="3396">
        <f>P54+T54+X54</f>
        <v>5800.3499999999995</v>
      </c>
      <c r="AA54" s="3565">
        <f t="shared" si="237"/>
        <v>10800</v>
      </c>
      <c r="AB54" s="3565">
        <f t="shared" si="223"/>
        <v>13394.8</v>
      </c>
      <c r="AC54" s="4048">
        <f>+AC11+AC18+AC25+AC32</f>
        <v>1600</v>
      </c>
      <c r="AD54" s="4048">
        <f>AD11+AD18+AD32+AD25</f>
        <v>2994.67</v>
      </c>
      <c r="AE54" s="4050">
        <f t="shared" si="229"/>
        <v>12400</v>
      </c>
      <c r="AF54" s="4050">
        <f t="shared" si="212"/>
        <v>16389.47</v>
      </c>
      <c r="AG54" s="4397">
        <f>+AG11+AG18+AG25+AG32</f>
        <v>1600</v>
      </c>
      <c r="AH54" s="4397">
        <f>AH11+AH18+AH32+AH25</f>
        <v>2457.0600000000004</v>
      </c>
      <c r="AI54" s="4394">
        <f t="shared" si="230"/>
        <v>14000</v>
      </c>
      <c r="AJ54" s="4394">
        <f t="shared" si="213"/>
        <v>18846.530000000002</v>
      </c>
      <c r="AK54" s="4276">
        <f>+AK11+AK18+AK25+AK32</f>
        <v>1600</v>
      </c>
      <c r="AL54" s="4276">
        <f>AL11+AL18+AL32+AL25</f>
        <v>1302.0999999999999</v>
      </c>
      <c r="AM54" s="4282">
        <f t="shared" si="238"/>
        <v>4800</v>
      </c>
      <c r="AN54" s="4282">
        <f>AD54+AH54+AL54</f>
        <v>6753.83</v>
      </c>
      <c r="AO54" s="4277">
        <f t="shared" si="231"/>
        <v>15600</v>
      </c>
      <c r="AP54" s="4277">
        <f t="shared" si="216"/>
        <v>20148.63</v>
      </c>
      <c r="AQ54" s="4455">
        <f>+AQ11+AQ18+AQ25+AQ32</f>
        <v>2200</v>
      </c>
      <c r="AR54" s="4455">
        <f>AR11+AR18+AR32+AR25</f>
        <v>2913.06</v>
      </c>
      <c r="AS54" s="4456">
        <f t="shared" si="232"/>
        <v>17800</v>
      </c>
      <c r="AT54" s="4456">
        <f t="shared" si="217"/>
        <v>23061.690000000002</v>
      </c>
      <c r="AU54" s="4634">
        <f>+AU11+AU18+AU25+AU32</f>
        <v>1600</v>
      </c>
      <c r="AV54" s="4634">
        <f>AV11+AV18+AV32+AV25</f>
        <v>2516.6000000000004</v>
      </c>
      <c r="AW54" s="4635">
        <f t="shared" si="233"/>
        <v>19400</v>
      </c>
      <c r="AX54" s="4635">
        <f t="shared" si="218"/>
        <v>25578.29</v>
      </c>
      <c r="AY54" s="5135">
        <f>+AY11+AY18+AY25+AY32</f>
        <v>2100</v>
      </c>
      <c r="AZ54" s="5135">
        <f>AZ11+AZ18+AZ32+AZ25</f>
        <v>5071.7</v>
      </c>
      <c r="BA54" s="5136">
        <f t="shared" si="239"/>
        <v>5900</v>
      </c>
      <c r="BB54" s="5136">
        <f>AR54+AV54+AZ54</f>
        <v>10501.36</v>
      </c>
      <c r="BC54" s="5143">
        <f t="shared" si="234"/>
        <v>10700</v>
      </c>
      <c r="BD54" s="5143">
        <f t="shared" si="221"/>
        <v>17255.190000000002</v>
      </c>
      <c r="BE54" s="5127">
        <f t="shared" si="235"/>
        <v>21500</v>
      </c>
      <c r="BF54" s="5127">
        <f t="shared" si="222"/>
        <v>30649.99</v>
      </c>
      <c r="BG54" s="26"/>
      <c r="BH54" s="26"/>
      <c r="BI54" s="26"/>
      <c r="BJ54" s="26"/>
    </row>
    <row r="55" spans="1:62" ht="20.25" x14ac:dyDescent="0.25">
      <c r="A55" s="122"/>
      <c r="B55" s="2463" t="s">
        <v>2</v>
      </c>
      <c r="C55" s="1252" t="s">
        <v>52</v>
      </c>
      <c r="D55" s="781">
        <f>+D33+D26+D19+D12</f>
        <v>2525000</v>
      </c>
      <c r="E55" s="748">
        <f t="shared" ref="E55:F55" si="241">SUM(E50:E54)</f>
        <v>213500.48687222728</v>
      </c>
      <c r="F55" s="748">
        <f t="shared" si="241"/>
        <v>196949.93000000002</v>
      </c>
      <c r="G55" s="748">
        <f t="shared" ref="G55:H55" si="242">SUM(G50:G54)</f>
        <v>178000.44144996407</v>
      </c>
      <c r="H55" s="748">
        <f t="shared" si="242"/>
        <v>170414.74</v>
      </c>
      <c r="I55" s="782">
        <f t="shared" si="225"/>
        <v>391500.92832219135</v>
      </c>
      <c r="J55" s="782">
        <f t="shared" si="206"/>
        <v>367364.67000000004</v>
      </c>
      <c r="K55" s="748">
        <f t="shared" ref="K55:L55" si="243">SUM(K50:K54)</f>
        <v>173500.27133862226</v>
      </c>
      <c r="L55" s="748">
        <f t="shared" si="243"/>
        <v>147177.01999999999</v>
      </c>
      <c r="M55" s="783">
        <f>E55+G55+K55</f>
        <v>565001.19966081367</v>
      </c>
      <c r="N55" s="3566">
        <f>F55+H55+L55</f>
        <v>514541.69000000006</v>
      </c>
      <c r="O55" s="748">
        <f t="shared" ref="O55:P55" si="244">SUM(O50:O54)</f>
        <v>216500.37423437476</v>
      </c>
      <c r="P55" s="748">
        <f t="shared" si="244"/>
        <v>224242.16</v>
      </c>
      <c r="Q55" s="782">
        <f t="shared" si="227"/>
        <v>781501.5738951884</v>
      </c>
      <c r="R55" s="782">
        <f t="shared" si="208"/>
        <v>738783.85000000009</v>
      </c>
      <c r="S55" s="748">
        <f t="shared" ref="S55:T55" si="245">SUM(S50:S54)</f>
        <v>216500.37396437474</v>
      </c>
      <c r="T55" s="748">
        <f t="shared" si="245"/>
        <v>236577.22000000009</v>
      </c>
      <c r="U55" s="2558">
        <f t="shared" si="228"/>
        <v>998001.94785956317</v>
      </c>
      <c r="V55" s="2558">
        <f t="shared" si="209"/>
        <v>975361.07000000018</v>
      </c>
      <c r="W55" s="748">
        <f t="shared" ref="W55:X55" si="246">SUM(W50:W54)</f>
        <v>209999.90196654096</v>
      </c>
      <c r="X55" s="748">
        <f t="shared" si="246"/>
        <v>197247.42</v>
      </c>
      <c r="Y55" s="3393">
        <f t="shared" ref="Y55" si="247">O55+S55+W55</f>
        <v>643000.65016529046</v>
      </c>
      <c r="Z55" s="3393">
        <f t="shared" si="210"/>
        <v>658066.80000000016</v>
      </c>
      <c r="AA55" s="3551">
        <f>M55+Y55</f>
        <v>1208001.849826104</v>
      </c>
      <c r="AB55" s="3551">
        <f>N55+Z55</f>
        <v>1172608.4900000002</v>
      </c>
      <c r="AC55" s="748">
        <f t="shared" ref="AC55:AD55" si="248">SUM(AC50:AC54)</f>
        <v>222499.1475492545</v>
      </c>
      <c r="AD55" s="748">
        <f t="shared" si="248"/>
        <v>204941.05000000002</v>
      </c>
      <c r="AE55" s="4051">
        <f t="shared" si="229"/>
        <v>1430500.9973753586</v>
      </c>
      <c r="AF55" s="4051">
        <f t="shared" si="212"/>
        <v>1377549.5400000003</v>
      </c>
      <c r="AG55" s="748">
        <f t="shared" ref="AG55:AH55" si="249">SUM(AG50:AG54)</f>
        <v>215500.27932503156</v>
      </c>
      <c r="AH55" s="748">
        <f t="shared" si="249"/>
        <v>182574.83000000002</v>
      </c>
      <c r="AI55" s="4392">
        <f t="shared" si="230"/>
        <v>1646001.27670039</v>
      </c>
      <c r="AJ55" s="4392">
        <f t="shared" si="213"/>
        <v>1560124.3700000003</v>
      </c>
      <c r="AK55" s="748">
        <f t="shared" ref="AK55:AL55" si="250">SUM(AK50:AK54)</f>
        <v>223499.54377566959</v>
      </c>
      <c r="AL55" s="748">
        <f t="shared" si="250"/>
        <v>205488.4</v>
      </c>
      <c r="AM55" s="4283">
        <f t="shared" si="238"/>
        <v>661498.97064995556</v>
      </c>
      <c r="AN55" s="4283">
        <f t="shared" ref="AN55" si="251">AD55+AH55+AL55</f>
        <v>593004.28</v>
      </c>
      <c r="AO55" s="4273">
        <f t="shared" si="231"/>
        <v>1869500.8204760596</v>
      </c>
      <c r="AP55" s="4273">
        <f t="shared" si="216"/>
        <v>1765612.7700000003</v>
      </c>
      <c r="AQ55" s="748">
        <f t="shared" ref="AQ55:AR55" si="252">SUM(AQ50:AQ54)</f>
        <v>223499.54377566959</v>
      </c>
      <c r="AR55" s="748">
        <f t="shared" si="252"/>
        <v>196789.61000000002</v>
      </c>
      <c r="AS55" s="4453">
        <f t="shared" si="232"/>
        <v>2093000.3642517291</v>
      </c>
      <c r="AT55" s="4453">
        <f t="shared" si="217"/>
        <v>1962402.3800000004</v>
      </c>
      <c r="AU55" s="748">
        <f t="shared" ref="AU55:AV55" si="253">SUM(AU50:AU54)</f>
        <v>207999.61215936884</v>
      </c>
      <c r="AV55" s="748">
        <f t="shared" si="253"/>
        <v>187566.5</v>
      </c>
      <c r="AW55" s="4630">
        <f t="shared" si="233"/>
        <v>2300999.9764110981</v>
      </c>
      <c r="AX55" s="4630">
        <f t="shared" si="218"/>
        <v>2149968.8800000004</v>
      </c>
      <c r="AY55" s="748">
        <f t="shared" ref="AY55:AZ55" si="254">SUM(AY50:AY54)</f>
        <v>223999.94000208468</v>
      </c>
      <c r="AZ55" s="748">
        <f t="shared" si="254"/>
        <v>214922.73</v>
      </c>
      <c r="BA55" s="5129">
        <f t="shared" si="239"/>
        <v>655499.09593712317</v>
      </c>
      <c r="BB55" s="5129">
        <f t="shared" ref="BB55" si="255">AR55+AV55+AZ55</f>
        <v>599278.84</v>
      </c>
      <c r="BC55" s="5140">
        <f>AM55+BA55</f>
        <v>1316998.0665870789</v>
      </c>
      <c r="BD55" s="5140">
        <f>AN55+BB55</f>
        <v>1192283.1200000001</v>
      </c>
      <c r="BE55" s="5124">
        <f t="shared" si="235"/>
        <v>2524999.9164131829</v>
      </c>
      <c r="BF55" s="5124">
        <f t="shared" si="222"/>
        <v>2364891.6100000003</v>
      </c>
      <c r="BG55" s="26"/>
      <c r="BH55" s="26"/>
      <c r="BI55" s="26"/>
      <c r="BJ55" s="26"/>
    </row>
    <row r="56" spans="1:62" ht="20.25" x14ac:dyDescent="0.25">
      <c r="A56" s="122"/>
      <c r="B56" s="2478" t="s">
        <v>1153</v>
      </c>
      <c r="C56" s="335" t="s">
        <v>51</v>
      </c>
      <c r="D56" s="335"/>
      <c r="E56" s="2479"/>
      <c r="F56" s="2479">
        <f>+((F50+F52+F53+F54)/F55)*100</f>
        <v>56.894846319569645</v>
      </c>
      <c r="G56" s="2479"/>
      <c r="H56" s="2479">
        <f>+((H50+H52+H53+H54)/H55)*100</f>
        <v>58.857584737094918</v>
      </c>
      <c r="I56" s="2480"/>
      <c r="J56" s="2480">
        <f>+((J50+J52+J53+J54)/J55)*100</f>
        <v>57.805330055282653</v>
      </c>
      <c r="K56" s="2479"/>
      <c r="L56" s="2479">
        <f>+((L50+L52+L53+L54)/L55)*100</f>
        <v>72.21896461825358</v>
      </c>
      <c r="M56" s="2481"/>
      <c r="N56" s="2481">
        <f>+((N50+N52+N53+N54)/N55)*100</f>
        <v>61.928136474228154</v>
      </c>
      <c r="O56" s="2479"/>
      <c r="P56" s="2479">
        <f>+((P50+P52+P53+P54)/P55)*100</f>
        <v>56.523652822466566</v>
      </c>
      <c r="Q56" s="2480"/>
      <c r="R56" s="2480">
        <f>+((R50+R52+R53+R54)/R55)*100</f>
        <v>60.287720149811065</v>
      </c>
      <c r="S56" s="2479"/>
      <c r="T56" s="2479">
        <f>+((T50+T52+T53+T54)/T55)*100</f>
        <v>75.537953316046242</v>
      </c>
      <c r="U56" s="2480"/>
      <c r="V56" s="2480">
        <f>+((V50+V52+V53+V54)/V55)*100</f>
        <v>63.986717247183137</v>
      </c>
      <c r="W56" s="2479"/>
      <c r="X56" s="2479">
        <f>+((X50+X52+X53+X54)/X55)*100</f>
        <v>83.028933914572875</v>
      </c>
      <c r="Y56" s="2481"/>
      <c r="Z56" s="2481">
        <f>+((Z50+Z52+Z53+Z54)/Z55)*100</f>
        <v>71.303989199880604</v>
      </c>
      <c r="AA56" s="3553"/>
      <c r="AB56" s="3553">
        <f>+((AB50+AB52+AB53+AB54)/AB55)*100</f>
        <v>67.189856351799037</v>
      </c>
      <c r="AC56" s="2479"/>
      <c r="AD56" s="2479">
        <f>+((AD50+AD52+AD53+AD54)/AD55)*100</f>
        <v>65.922590910898521</v>
      </c>
      <c r="AE56" s="2480"/>
      <c r="AF56" s="2480">
        <f>+((AF50+AF52+AF53+AF54)/AF55)*100</f>
        <v>67.001322507791599</v>
      </c>
      <c r="AG56" s="2479"/>
      <c r="AH56" s="2479">
        <f>+((AH50+AH52+AH53+AH54)/AH55)*100</f>
        <v>50.953704845295476</v>
      </c>
      <c r="AI56" s="2480"/>
      <c r="AJ56" s="2480">
        <f>+((AJ50+AJ52+AJ53+AJ54)/AJ55)*100</f>
        <v>65.123336929862816</v>
      </c>
      <c r="AK56" s="2479"/>
      <c r="AL56" s="2479">
        <f>+((AL50+AL52+AL53+AL54)/AL55)*100</f>
        <v>56.240396051553276</v>
      </c>
      <c r="AM56" s="2481"/>
      <c r="AN56" s="2481">
        <f>+((AN50+AN52+AN53+AN54)/AN55)*100</f>
        <v>57.958870043905918</v>
      </c>
      <c r="AO56" s="2480"/>
      <c r="AP56" s="2480">
        <f>+((AP50+AP52+AP53+AP54)/AP55)*100</f>
        <v>64.089508142830184</v>
      </c>
      <c r="AQ56" s="2479"/>
      <c r="AR56" s="2479">
        <f>+((AR50+AR52+AR53+AR54)/AR55)*100</f>
        <v>62.361158193260302</v>
      </c>
      <c r="AS56" s="2480"/>
      <c r="AT56" s="2480">
        <f>+((AT50+AT52+AT53+AT54)/AT55)*100</f>
        <v>63.916189298547401</v>
      </c>
      <c r="AU56" s="2479"/>
      <c r="AV56" s="2479">
        <f>+((AV50+AV52+AV53+AV54)/AV55)*100</f>
        <v>62.316618372683827</v>
      </c>
      <c r="AW56" s="2480"/>
      <c r="AX56" s="2480">
        <f>+((AX50+AX52+AX53+AX54)/AX55)*100</f>
        <v>63.77664033909177</v>
      </c>
      <c r="AY56" s="2479"/>
      <c r="AZ56" s="2479">
        <f>+((AZ50+AZ52+AZ53+AZ54)/AZ55)*100</f>
        <v>76.450401500111226</v>
      </c>
      <c r="BA56" s="2481"/>
      <c r="BB56" s="2481">
        <f>+((BB50+BB52+BB53+BB54)/BB55)*100</f>
        <v>67.400122120113579</v>
      </c>
      <c r="BC56" s="3553"/>
      <c r="BD56" s="3553">
        <f>+((BD50+BD52+BD53+BD54)/BD55)*100</f>
        <v>62.70433904993974</v>
      </c>
      <c r="BE56" s="2480"/>
      <c r="BF56" s="2480">
        <f>+((BF50+BF52+BF53+BF54)/BF55)*100</f>
        <v>64.928439151593906</v>
      </c>
      <c r="BG56" s="26"/>
      <c r="BH56" s="26"/>
      <c r="BI56" s="26"/>
      <c r="BJ56" s="26"/>
    </row>
    <row r="57" spans="1:62" s="183" customFormat="1" ht="20.25" x14ac:dyDescent="0.25">
      <c r="A57" s="188"/>
      <c r="B57" s="1271" t="s">
        <v>144</v>
      </c>
      <c r="C57" s="334"/>
      <c r="D57" s="334"/>
      <c r="E57" s="334"/>
      <c r="F57" s="334"/>
      <c r="G57" s="334"/>
      <c r="H57" s="334"/>
      <c r="I57" s="334"/>
      <c r="J57" s="334"/>
      <c r="K57" s="334"/>
      <c r="L57" s="334"/>
      <c r="M57" s="334"/>
      <c r="N57" s="334"/>
      <c r="O57" s="334"/>
      <c r="P57" s="334"/>
      <c r="Q57" s="334"/>
      <c r="R57" s="334"/>
      <c r="S57" s="334"/>
      <c r="T57" s="334"/>
      <c r="U57" s="334"/>
      <c r="V57" s="334"/>
      <c r="W57" s="334"/>
      <c r="X57" s="334"/>
      <c r="Y57" s="334"/>
      <c r="Z57" s="334"/>
      <c r="AA57" s="334"/>
      <c r="AB57" s="334"/>
      <c r="AC57" s="334"/>
      <c r="AD57" s="334"/>
      <c r="AE57" s="334"/>
      <c r="AF57" s="334"/>
      <c r="AG57" s="334"/>
      <c r="AH57" s="334"/>
      <c r="AI57" s="334"/>
      <c r="AJ57" s="334"/>
      <c r="AK57" s="334"/>
      <c r="AL57" s="334"/>
      <c r="AM57" s="334"/>
      <c r="AN57" s="334"/>
      <c r="AO57" s="334"/>
      <c r="AP57" s="334"/>
      <c r="AQ57" s="334"/>
      <c r="AR57" s="334"/>
      <c r="AS57" s="334"/>
      <c r="AT57" s="334"/>
      <c r="AU57" s="334"/>
      <c r="AV57" s="334"/>
      <c r="AW57" s="334"/>
      <c r="AX57" s="334"/>
      <c r="AY57" s="334"/>
      <c r="AZ57" s="334"/>
      <c r="BA57" s="334"/>
      <c r="BB57" s="334"/>
      <c r="BC57" s="334"/>
      <c r="BD57" s="334"/>
      <c r="BE57" s="334"/>
      <c r="BF57" s="334"/>
      <c r="BG57" s="26"/>
      <c r="BH57" s="26"/>
      <c r="BI57" s="26"/>
      <c r="BJ57" s="26"/>
    </row>
    <row r="58" spans="1:62" ht="20.25" x14ac:dyDescent="0.25">
      <c r="A58" s="122"/>
      <c r="B58" s="2003" t="s">
        <v>117</v>
      </c>
      <c r="C58" s="243" t="s">
        <v>52</v>
      </c>
      <c r="D58" s="243">
        <f>+D12</f>
        <v>500000</v>
      </c>
      <c r="E58" s="245">
        <f>+E12</f>
        <v>42500</v>
      </c>
      <c r="F58" s="245">
        <f>+F12</f>
        <v>36728.080000000009</v>
      </c>
      <c r="G58" s="245">
        <f>+G12</f>
        <v>36500</v>
      </c>
      <c r="H58" s="245">
        <f>+H12</f>
        <v>32908.659999999996</v>
      </c>
      <c r="I58" s="2457">
        <f t="shared" ref="I58:J62" si="256">E58+G58</f>
        <v>79000</v>
      </c>
      <c r="J58" s="2457">
        <f t="shared" si="256"/>
        <v>69636.740000000005</v>
      </c>
      <c r="K58" s="245">
        <f>+K12</f>
        <v>34000</v>
      </c>
      <c r="L58" s="245">
        <f>+L12</f>
        <v>32223.459999999995</v>
      </c>
      <c r="M58" s="300">
        <f>E58+G58+K58</f>
        <v>113000</v>
      </c>
      <c r="N58" s="3568">
        <f>F58+H58+L58</f>
        <v>101860.2</v>
      </c>
      <c r="O58" s="245">
        <f>+O12</f>
        <v>43500</v>
      </c>
      <c r="P58" s="245">
        <f>+P12</f>
        <v>41040.980000000003</v>
      </c>
      <c r="Q58" s="2457">
        <f t="shared" ref="Q58:Q62" si="257">M58+O58</f>
        <v>156500</v>
      </c>
      <c r="R58" s="2457">
        <f t="shared" ref="R58:R62" si="258">N58+P58</f>
        <v>142901.18</v>
      </c>
      <c r="S58" s="245">
        <f>+S12</f>
        <v>43500</v>
      </c>
      <c r="T58" s="245">
        <f>+T12</f>
        <v>48167.689999999973</v>
      </c>
      <c r="U58" s="2557">
        <f t="shared" ref="U58:U62" si="259">Q58+S58</f>
        <v>200000</v>
      </c>
      <c r="V58" s="2557">
        <f t="shared" ref="V58:V62" si="260">R58+T58</f>
        <v>191068.86999999997</v>
      </c>
      <c r="W58" s="245">
        <f>+W12</f>
        <v>42500</v>
      </c>
      <c r="X58" s="245">
        <f>+X12</f>
        <v>43039.340000000004</v>
      </c>
      <c r="Y58" s="3396">
        <f>O58+S58+W58</f>
        <v>129500</v>
      </c>
      <c r="Z58" s="3568">
        <f>P58+T58+X58</f>
        <v>132248.00999999998</v>
      </c>
      <c r="AA58" s="3550">
        <f t="shared" ref="AA58:AB62" si="261">M58+Y58</f>
        <v>242500</v>
      </c>
      <c r="AB58" s="3550">
        <f t="shared" si="261"/>
        <v>234108.20999999996</v>
      </c>
      <c r="AC58" s="245">
        <f>+AC12</f>
        <v>43500</v>
      </c>
      <c r="AD58" s="245">
        <f>+AD12</f>
        <v>41924.590000000011</v>
      </c>
      <c r="AE58" s="4050">
        <f t="shared" ref="AE58:AE62" si="262">AA58+AC58</f>
        <v>286000</v>
      </c>
      <c r="AF58" s="4050">
        <f t="shared" ref="AF58:AF62" si="263">AB58+AD58</f>
        <v>276032.8</v>
      </c>
      <c r="AG58" s="245">
        <f>+AG12</f>
        <v>42500</v>
      </c>
      <c r="AH58" s="245">
        <f>+AH12</f>
        <v>38006.170000000006</v>
      </c>
      <c r="AI58" s="4394">
        <f t="shared" ref="AI58:AI62" si="264">AE58+AG58</f>
        <v>328500</v>
      </c>
      <c r="AJ58" s="4394">
        <f t="shared" ref="AJ58:AJ62" si="265">AF58+AH58</f>
        <v>314038.96999999997</v>
      </c>
      <c r="AK58" s="245">
        <f>+AK12</f>
        <v>43500</v>
      </c>
      <c r="AL58" s="245">
        <f>+AL12</f>
        <v>39686.53</v>
      </c>
      <c r="AM58" s="4282">
        <f>AC58+AG58+AK58</f>
        <v>129500</v>
      </c>
      <c r="AN58" s="4282">
        <f>AD58+AH58+AL58</f>
        <v>119617.29000000001</v>
      </c>
      <c r="AO58" s="4277">
        <f t="shared" ref="AO58" si="266">AI58+AK58</f>
        <v>372000</v>
      </c>
      <c r="AP58" s="4277">
        <f t="shared" ref="AP58" si="267">AJ58+AL58</f>
        <v>353725.5</v>
      </c>
      <c r="AQ58" s="245">
        <f>+AQ12</f>
        <v>43500</v>
      </c>
      <c r="AR58" s="245">
        <f>+AR12</f>
        <v>43617.430000000008</v>
      </c>
      <c r="AS58" s="4456">
        <f t="shared" ref="AS58:AS62" si="268">AO58+AQ58</f>
        <v>415500</v>
      </c>
      <c r="AT58" s="4456">
        <f t="shared" ref="AT58:AT62" si="269">AP58+AR58</f>
        <v>397342.93</v>
      </c>
      <c r="AU58" s="245">
        <f>+AU12</f>
        <v>41000</v>
      </c>
      <c r="AV58" s="245">
        <f>+AV12</f>
        <v>35011.660000000003</v>
      </c>
      <c r="AW58" s="4635">
        <f t="shared" ref="AW58:AW62" si="270">AS58+AU58</f>
        <v>456500</v>
      </c>
      <c r="AX58" s="4635">
        <f t="shared" ref="AX58:AX62" si="271">AT58+AV58</f>
        <v>432354.58999999997</v>
      </c>
      <c r="AY58" s="245">
        <f>+AY12</f>
        <v>43500</v>
      </c>
      <c r="AZ58" s="245">
        <f>+AZ12</f>
        <v>41204.620000000003</v>
      </c>
      <c r="BA58" s="5136">
        <f>AQ58+AU58+AY58</f>
        <v>128000</v>
      </c>
      <c r="BB58" s="5136">
        <f>AR58+AV58+AZ58</f>
        <v>119833.71000000002</v>
      </c>
      <c r="BC58" s="5143">
        <f t="shared" ref="BC58:BC61" si="272">AM58+BA58</f>
        <v>257500</v>
      </c>
      <c r="BD58" s="5143">
        <f t="shared" ref="BD58:BD61" si="273">AN58+BB58</f>
        <v>239451.00000000003</v>
      </c>
      <c r="BE58" s="5127">
        <f t="shared" ref="BE58:BE62" si="274">AW58+AY58</f>
        <v>500000</v>
      </c>
      <c r="BF58" s="5127">
        <f t="shared" ref="BF58:BF62" si="275">AX58+AZ58</f>
        <v>473559.20999999996</v>
      </c>
      <c r="BG58" s="26"/>
      <c r="BH58" s="26"/>
      <c r="BI58" s="26"/>
      <c r="BJ58" s="26"/>
    </row>
    <row r="59" spans="1:62" ht="20.25" x14ac:dyDescent="0.25">
      <c r="A59" s="122"/>
      <c r="B59" s="2003" t="s">
        <v>98</v>
      </c>
      <c r="C59" s="243" t="s">
        <v>52</v>
      </c>
      <c r="D59" s="243">
        <f>+D19</f>
        <v>850000</v>
      </c>
      <c r="E59" s="245">
        <f>+E19</f>
        <v>72500</v>
      </c>
      <c r="F59" s="245">
        <f>+F19</f>
        <v>67261.569999999992</v>
      </c>
      <c r="G59" s="245">
        <f>+G19</f>
        <v>62500</v>
      </c>
      <c r="H59" s="245">
        <f>+H19</f>
        <v>58474.66</v>
      </c>
      <c r="I59" s="2457">
        <f t="shared" si="256"/>
        <v>135000</v>
      </c>
      <c r="J59" s="2457">
        <f t="shared" si="256"/>
        <v>125736.23</v>
      </c>
      <c r="K59" s="245">
        <f>+K19</f>
        <v>47000</v>
      </c>
      <c r="L59" s="245">
        <f>+L19</f>
        <v>43079.61</v>
      </c>
      <c r="M59" s="3568">
        <f t="shared" ref="M59:M61" si="276">E59+G59+K59</f>
        <v>182000</v>
      </c>
      <c r="N59" s="3568">
        <f t="shared" ref="N59:N61" si="277">F59+H59+L59</f>
        <v>168815.84</v>
      </c>
      <c r="O59" s="245">
        <f>+O19</f>
        <v>75000</v>
      </c>
      <c r="P59" s="245">
        <f>+P19</f>
        <v>76651.34</v>
      </c>
      <c r="Q59" s="2457">
        <f t="shared" si="257"/>
        <v>257000</v>
      </c>
      <c r="R59" s="2457">
        <f t="shared" si="258"/>
        <v>245467.18</v>
      </c>
      <c r="S59" s="245">
        <f>+S19</f>
        <v>75000</v>
      </c>
      <c r="T59" s="245">
        <f>+T19</f>
        <v>86324.790000000052</v>
      </c>
      <c r="U59" s="2557">
        <f t="shared" si="259"/>
        <v>332000</v>
      </c>
      <c r="V59" s="2557">
        <f t="shared" si="260"/>
        <v>331791.97000000003</v>
      </c>
      <c r="W59" s="245">
        <f>+W19</f>
        <v>73000</v>
      </c>
      <c r="X59" s="245">
        <f>+X19</f>
        <v>63071.089999999989</v>
      </c>
      <c r="Y59" s="3568">
        <f t="shared" ref="Y59:Y61" si="278">O59+S59+W59</f>
        <v>223000</v>
      </c>
      <c r="Z59" s="3568">
        <f t="shared" ref="Z59:Z61" si="279">P59+T59+X59</f>
        <v>226047.22000000006</v>
      </c>
      <c r="AA59" s="3565">
        <f t="shared" ref="AA59:AA61" si="280">M59+Y59</f>
        <v>405000</v>
      </c>
      <c r="AB59" s="3565">
        <f t="shared" ref="AB59:AB61" si="281">N59+Z59</f>
        <v>394863.06000000006</v>
      </c>
      <c r="AC59" s="245">
        <f>+AC19</f>
        <v>75500</v>
      </c>
      <c r="AD59" s="245">
        <f>+AD19</f>
        <v>60175.53</v>
      </c>
      <c r="AE59" s="4050">
        <f t="shared" si="262"/>
        <v>480500</v>
      </c>
      <c r="AF59" s="4050">
        <f t="shared" si="263"/>
        <v>455038.59000000008</v>
      </c>
      <c r="AG59" s="245">
        <f>+AG19</f>
        <v>73000</v>
      </c>
      <c r="AH59" s="245">
        <f>+AH19</f>
        <v>58175.820000000007</v>
      </c>
      <c r="AI59" s="4394">
        <f t="shared" si="264"/>
        <v>553500</v>
      </c>
      <c r="AJ59" s="4394">
        <f t="shared" si="265"/>
        <v>513214.41000000009</v>
      </c>
      <c r="AK59" s="245">
        <f>+AK19</f>
        <v>75500</v>
      </c>
      <c r="AL59" s="245">
        <f>+AL19</f>
        <v>69407.98000000001</v>
      </c>
      <c r="AM59" s="4282">
        <f t="shared" ref="AM59:AM61" si="282">AC59+AG59+AK59</f>
        <v>224000</v>
      </c>
      <c r="AN59" s="4282">
        <f t="shared" ref="AN59:AN61" si="283">AD59+AH59+AL59</f>
        <v>187759.33000000002</v>
      </c>
      <c r="AO59" s="4277">
        <f t="shared" ref="AO59:AO62" si="284">AI59+AK59</f>
        <v>629000</v>
      </c>
      <c r="AP59" s="4277">
        <f t="shared" ref="AP59:AP62" si="285">AJ59+AL59</f>
        <v>582622.39000000013</v>
      </c>
      <c r="AQ59" s="245">
        <f>+AQ19</f>
        <v>75500</v>
      </c>
      <c r="AR59" s="245">
        <f>+AR19</f>
        <v>65803.179999999993</v>
      </c>
      <c r="AS59" s="4456">
        <f t="shared" si="268"/>
        <v>704500</v>
      </c>
      <c r="AT59" s="4456">
        <f t="shared" si="269"/>
        <v>648425.57000000007</v>
      </c>
      <c r="AU59" s="245">
        <f>+AU19</f>
        <v>70000</v>
      </c>
      <c r="AV59" s="245">
        <f>+AV19</f>
        <v>64969.649999999987</v>
      </c>
      <c r="AW59" s="4635">
        <f t="shared" si="270"/>
        <v>774500</v>
      </c>
      <c r="AX59" s="4635">
        <f t="shared" si="271"/>
        <v>713395.22000000009</v>
      </c>
      <c r="AY59" s="245">
        <f>+AY19</f>
        <v>75500</v>
      </c>
      <c r="AZ59" s="245">
        <f>+AZ19</f>
        <v>68007.23</v>
      </c>
      <c r="BA59" s="5136">
        <f t="shared" ref="BA59:BA61" si="286">AQ59+AU59+AY59</f>
        <v>221000</v>
      </c>
      <c r="BB59" s="5136">
        <f t="shared" ref="BB59:BB61" si="287">AR59+AV59+AZ59</f>
        <v>198780.06</v>
      </c>
      <c r="BC59" s="5143">
        <f t="shared" si="272"/>
        <v>445000</v>
      </c>
      <c r="BD59" s="5143">
        <f t="shared" si="273"/>
        <v>386539.39</v>
      </c>
      <c r="BE59" s="5127">
        <f t="shared" si="274"/>
        <v>850000</v>
      </c>
      <c r="BF59" s="5127">
        <f t="shared" si="275"/>
        <v>781402.45000000007</v>
      </c>
      <c r="BG59" s="26"/>
      <c r="BH59" s="26"/>
      <c r="BI59" s="26"/>
      <c r="BJ59" s="26"/>
    </row>
    <row r="60" spans="1:62" ht="20.25" x14ac:dyDescent="0.25">
      <c r="A60" s="122"/>
      <c r="B60" s="2003" t="s">
        <v>118</v>
      </c>
      <c r="C60" s="243" t="s">
        <v>52</v>
      </c>
      <c r="D60" s="243">
        <f>+D26</f>
        <v>525000</v>
      </c>
      <c r="E60" s="245">
        <f>+E26</f>
        <v>44500</v>
      </c>
      <c r="F60" s="245">
        <f>+F26</f>
        <v>37547.600000000006</v>
      </c>
      <c r="G60" s="245">
        <f>+G26</f>
        <v>37500</v>
      </c>
      <c r="H60" s="245">
        <f>+H26</f>
        <v>29799.489999999998</v>
      </c>
      <c r="I60" s="2457">
        <f t="shared" si="256"/>
        <v>82000</v>
      </c>
      <c r="J60" s="2457">
        <f t="shared" si="256"/>
        <v>67347.09</v>
      </c>
      <c r="K60" s="245">
        <f>+K26</f>
        <v>36000</v>
      </c>
      <c r="L60" s="245">
        <f>+L26</f>
        <v>23668.069999999996</v>
      </c>
      <c r="M60" s="3568">
        <f t="shared" si="276"/>
        <v>118000</v>
      </c>
      <c r="N60" s="3568">
        <f t="shared" si="277"/>
        <v>91015.159999999989</v>
      </c>
      <c r="O60" s="245">
        <f>+O26</f>
        <v>46000</v>
      </c>
      <c r="P60" s="245">
        <f>+P26</f>
        <v>38466.169999999991</v>
      </c>
      <c r="Q60" s="2457">
        <f t="shared" si="257"/>
        <v>164000</v>
      </c>
      <c r="R60" s="2457">
        <f t="shared" si="258"/>
        <v>129481.32999999999</v>
      </c>
      <c r="S60" s="245">
        <f>+S26</f>
        <v>46000</v>
      </c>
      <c r="T60" s="245">
        <f>+T26</f>
        <v>44584.210000000043</v>
      </c>
      <c r="U60" s="2557">
        <f t="shared" si="259"/>
        <v>210000</v>
      </c>
      <c r="V60" s="2557">
        <f t="shared" si="260"/>
        <v>174065.54000000004</v>
      </c>
      <c r="W60" s="245">
        <f>+W26</f>
        <v>44500</v>
      </c>
      <c r="X60" s="245">
        <f>+X26</f>
        <v>33234.170000000006</v>
      </c>
      <c r="Y60" s="3568">
        <f t="shared" si="278"/>
        <v>136500</v>
      </c>
      <c r="Z60" s="3568">
        <f t="shared" si="279"/>
        <v>116284.55000000005</v>
      </c>
      <c r="AA60" s="3565">
        <f t="shared" si="280"/>
        <v>254500</v>
      </c>
      <c r="AB60" s="3565">
        <f t="shared" si="281"/>
        <v>207299.71000000002</v>
      </c>
      <c r="AC60" s="245">
        <f>+AC26</f>
        <v>46000</v>
      </c>
      <c r="AD60" s="245">
        <f>+AD26</f>
        <v>40148.93</v>
      </c>
      <c r="AE60" s="4050">
        <f t="shared" si="262"/>
        <v>300500</v>
      </c>
      <c r="AF60" s="4050">
        <f t="shared" si="263"/>
        <v>247448.64</v>
      </c>
      <c r="AG60" s="245">
        <f>+AG26</f>
        <v>44500</v>
      </c>
      <c r="AH60" s="245">
        <f>+AH26</f>
        <v>39586.209999999992</v>
      </c>
      <c r="AI60" s="4394">
        <f t="shared" si="264"/>
        <v>345000</v>
      </c>
      <c r="AJ60" s="4394">
        <f t="shared" si="265"/>
        <v>287034.84999999998</v>
      </c>
      <c r="AK60" s="245">
        <f>+AK26</f>
        <v>46000</v>
      </c>
      <c r="AL60" s="245">
        <f>+AL26</f>
        <v>40554.65</v>
      </c>
      <c r="AM60" s="4282">
        <f t="shared" si="282"/>
        <v>136500</v>
      </c>
      <c r="AN60" s="4282">
        <f t="shared" si="283"/>
        <v>120289.78999999998</v>
      </c>
      <c r="AO60" s="4277">
        <f t="shared" si="284"/>
        <v>391000</v>
      </c>
      <c r="AP60" s="4277">
        <f t="shared" si="285"/>
        <v>327589.5</v>
      </c>
      <c r="AQ60" s="245">
        <f>+AQ26</f>
        <v>46000</v>
      </c>
      <c r="AR60" s="245">
        <f>+AR26</f>
        <v>40291.74</v>
      </c>
      <c r="AS60" s="4456">
        <f t="shared" si="268"/>
        <v>437000</v>
      </c>
      <c r="AT60" s="4456">
        <f t="shared" si="269"/>
        <v>367881.24</v>
      </c>
      <c r="AU60" s="245">
        <f>+AU26</f>
        <v>42000</v>
      </c>
      <c r="AV60" s="245">
        <f>+AV26</f>
        <v>38561.130000000005</v>
      </c>
      <c r="AW60" s="4635">
        <f t="shared" si="270"/>
        <v>479000</v>
      </c>
      <c r="AX60" s="4635">
        <f t="shared" si="271"/>
        <v>406442.37</v>
      </c>
      <c r="AY60" s="245">
        <f>+AY26</f>
        <v>46000</v>
      </c>
      <c r="AZ60" s="245">
        <f>+AZ26</f>
        <v>46360.22</v>
      </c>
      <c r="BA60" s="5136">
        <f t="shared" si="286"/>
        <v>134000</v>
      </c>
      <c r="BB60" s="5136">
        <f t="shared" si="287"/>
        <v>125213.09</v>
      </c>
      <c r="BC60" s="5143">
        <f t="shared" si="272"/>
        <v>270500</v>
      </c>
      <c r="BD60" s="5143">
        <f t="shared" si="273"/>
        <v>245502.87999999998</v>
      </c>
      <c r="BE60" s="5127">
        <f t="shared" si="274"/>
        <v>525000</v>
      </c>
      <c r="BF60" s="5127">
        <f t="shared" si="275"/>
        <v>452802.58999999997</v>
      </c>
      <c r="BG60" s="26"/>
      <c r="BH60" s="26"/>
      <c r="BI60" s="26"/>
      <c r="BJ60" s="26"/>
    </row>
    <row r="61" spans="1:62" ht="20.25" x14ac:dyDescent="0.25">
      <c r="A61" s="188"/>
      <c r="B61" s="2003" t="s">
        <v>521</v>
      </c>
      <c r="C61" s="243" t="s">
        <v>52</v>
      </c>
      <c r="D61" s="245">
        <f>+D33</f>
        <v>650000</v>
      </c>
      <c r="E61" s="245">
        <f>E33</f>
        <v>54000.486872227273</v>
      </c>
      <c r="F61" s="245">
        <f>+F33</f>
        <v>55412.680000000008</v>
      </c>
      <c r="G61" s="245">
        <f>G33</f>
        <v>41500.44144996407</v>
      </c>
      <c r="H61" s="245">
        <f>+H33</f>
        <v>49231.930000000008</v>
      </c>
      <c r="I61" s="2457">
        <f t="shared" si="256"/>
        <v>95500.92832219135</v>
      </c>
      <c r="J61" s="2457">
        <f t="shared" si="256"/>
        <v>104644.61000000002</v>
      </c>
      <c r="K61" s="245">
        <f>K33</f>
        <v>56500.27133862226</v>
      </c>
      <c r="L61" s="245">
        <f>+L33</f>
        <v>48205.880000000005</v>
      </c>
      <c r="M61" s="3568">
        <f t="shared" si="276"/>
        <v>152001.19966081361</v>
      </c>
      <c r="N61" s="3568">
        <f t="shared" si="277"/>
        <v>152850.49000000002</v>
      </c>
      <c r="O61" s="245">
        <f>O33</f>
        <v>52000.374234374751</v>
      </c>
      <c r="P61" s="245">
        <f>+P33</f>
        <v>68083.67</v>
      </c>
      <c r="Q61" s="2457">
        <f t="shared" si="257"/>
        <v>204001.57389518837</v>
      </c>
      <c r="R61" s="2457">
        <f t="shared" si="258"/>
        <v>220934.16000000003</v>
      </c>
      <c r="S61" s="245">
        <f>S33</f>
        <v>52000.373964374739</v>
      </c>
      <c r="T61" s="245">
        <f>+T33</f>
        <v>57500.52999999997</v>
      </c>
      <c r="U61" s="2557">
        <f t="shared" si="259"/>
        <v>256001.94785956311</v>
      </c>
      <c r="V61" s="2557">
        <f t="shared" si="260"/>
        <v>278434.69</v>
      </c>
      <c r="W61" s="245">
        <f>W33</f>
        <v>49999.901966540951</v>
      </c>
      <c r="X61" s="245">
        <f>+X33</f>
        <v>57902.819999999992</v>
      </c>
      <c r="Y61" s="3568">
        <f t="shared" si="278"/>
        <v>154000.65016529046</v>
      </c>
      <c r="Z61" s="3568">
        <f t="shared" si="279"/>
        <v>183487.01999999996</v>
      </c>
      <c r="AA61" s="3565">
        <f t="shared" si="280"/>
        <v>306001.84982610407</v>
      </c>
      <c r="AB61" s="3565">
        <f t="shared" si="281"/>
        <v>336337.51</v>
      </c>
      <c r="AC61" s="245">
        <f>AC33</f>
        <v>57499.147549254507</v>
      </c>
      <c r="AD61" s="245">
        <f>+AD33</f>
        <v>62691.999999999985</v>
      </c>
      <c r="AE61" s="4050">
        <f t="shared" si="262"/>
        <v>363500.99737535859</v>
      </c>
      <c r="AF61" s="4050">
        <f t="shared" si="263"/>
        <v>399029.51</v>
      </c>
      <c r="AG61" s="245">
        <f>AG33</f>
        <v>55500.279325031559</v>
      </c>
      <c r="AH61" s="245">
        <f>+AH33</f>
        <v>46806.62999999999</v>
      </c>
      <c r="AI61" s="4394">
        <f t="shared" si="264"/>
        <v>419001.27670039015</v>
      </c>
      <c r="AJ61" s="4394">
        <f t="shared" si="265"/>
        <v>445836.14</v>
      </c>
      <c r="AK61" s="245">
        <f>AK33</f>
        <v>58499.543775669597</v>
      </c>
      <c r="AL61" s="245">
        <f>+AL33</f>
        <v>55839.24</v>
      </c>
      <c r="AM61" s="4282">
        <f t="shared" si="282"/>
        <v>171498.97064995565</v>
      </c>
      <c r="AN61" s="4282">
        <f t="shared" si="283"/>
        <v>165337.86999999997</v>
      </c>
      <c r="AO61" s="4277">
        <f t="shared" si="284"/>
        <v>477500.82047605974</v>
      </c>
      <c r="AP61" s="4277">
        <f t="shared" si="285"/>
        <v>501675.38</v>
      </c>
      <c r="AQ61" s="245">
        <f>AQ33</f>
        <v>58499.543775669597</v>
      </c>
      <c r="AR61" s="245">
        <f>+AR33</f>
        <v>47077.26</v>
      </c>
      <c r="AS61" s="4456">
        <f t="shared" si="268"/>
        <v>536000.36425172933</v>
      </c>
      <c r="AT61" s="4456">
        <f t="shared" si="269"/>
        <v>548752.64000000001</v>
      </c>
      <c r="AU61" s="245">
        <f>AU33</f>
        <v>54999.612159368837</v>
      </c>
      <c r="AV61" s="245">
        <f>+AV33</f>
        <v>49024.06</v>
      </c>
      <c r="AW61" s="4635">
        <f t="shared" si="270"/>
        <v>590999.97641109815</v>
      </c>
      <c r="AX61" s="4635">
        <f t="shared" si="271"/>
        <v>597776.69999999995</v>
      </c>
      <c r="AY61" s="245">
        <f>AY33</f>
        <v>58999.940002084688</v>
      </c>
      <c r="AZ61" s="245">
        <f>+AZ33</f>
        <v>59350.66</v>
      </c>
      <c r="BA61" s="5136">
        <f t="shared" si="286"/>
        <v>172499.09593712311</v>
      </c>
      <c r="BB61" s="5136">
        <f t="shared" si="287"/>
        <v>155451.98000000001</v>
      </c>
      <c r="BC61" s="5143">
        <f t="shared" si="272"/>
        <v>343998.06658707873</v>
      </c>
      <c r="BD61" s="5143">
        <f t="shared" si="273"/>
        <v>320789.84999999998</v>
      </c>
      <c r="BE61" s="5127">
        <f t="shared" si="274"/>
        <v>649999.91641318286</v>
      </c>
      <c r="BF61" s="5127">
        <f t="shared" si="275"/>
        <v>657127.36</v>
      </c>
      <c r="BG61" s="26"/>
      <c r="BH61" s="26"/>
      <c r="BI61" s="26"/>
      <c r="BJ61" s="26"/>
    </row>
    <row r="62" spans="1:62" ht="20.25" x14ac:dyDescent="0.25">
      <c r="A62" s="122"/>
      <c r="B62" s="2463" t="s">
        <v>2</v>
      </c>
      <c r="C62" s="1252" t="s">
        <v>52</v>
      </c>
      <c r="D62" s="781">
        <f t="shared" ref="D62:F62" si="288">SUM(D58:D61)</f>
        <v>2525000</v>
      </c>
      <c r="E62" s="781">
        <f t="shared" si="288"/>
        <v>213500.48687222728</v>
      </c>
      <c r="F62" s="781">
        <f t="shared" si="288"/>
        <v>196949.93</v>
      </c>
      <c r="G62" s="781">
        <f t="shared" ref="G62:H62" si="289">SUM(G58:G61)</f>
        <v>178000.44144996407</v>
      </c>
      <c r="H62" s="781">
        <f t="shared" si="289"/>
        <v>170414.74</v>
      </c>
      <c r="I62" s="782">
        <f t="shared" si="256"/>
        <v>391500.92832219135</v>
      </c>
      <c r="J62" s="782">
        <f t="shared" si="256"/>
        <v>367364.67</v>
      </c>
      <c r="K62" s="781">
        <f t="shared" ref="K62:L62" si="290">SUM(K58:K61)</f>
        <v>173500.27133862226</v>
      </c>
      <c r="L62" s="781">
        <f t="shared" si="290"/>
        <v>147177.01999999999</v>
      </c>
      <c r="M62" s="783">
        <f>E62+G62+K62</f>
        <v>565001.19966081367</v>
      </c>
      <c r="N62" s="3566">
        <f>F62+H62+L62</f>
        <v>514541.68999999994</v>
      </c>
      <c r="O62" s="781">
        <f t="shared" ref="O62:P62" si="291">SUM(O58:O61)</f>
        <v>216500.37423437476</v>
      </c>
      <c r="P62" s="781">
        <f t="shared" si="291"/>
        <v>224242.15999999997</v>
      </c>
      <c r="Q62" s="782">
        <f t="shared" si="257"/>
        <v>781501.5738951884</v>
      </c>
      <c r="R62" s="782">
        <f t="shared" si="258"/>
        <v>738783.84999999986</v>
      </c>
      <c r="S62" s="2560">
        <f t="shared" ref="S62:T62" si="292">SUM(S58:S61)</f>
        <v>216500.37396437474</v>
      </c>
      <c r="T62" s="2560">
        <f t="shared" si="292"/>
        <v>236577.22000000006</v>
      </c>
      <c r="U62" s="2558">
        <f t="shared" si="259"/>
        <v>998001.94785956317</v>
      </c>
      <c r="V62" s="2558">
        <f t="shared" si="260"/>
        <v>975361.07</v>
      </c>
      <c r="W62" s="3392">
        <f t="shared" ref="W62:X62" si="293">SUM(W58:W61)</f>
        <v>209999.90196654096</v>
      </c>
      <c r="X62" s="3392">
        <f t="shared" si="293"/>
        <v>197247.41999999998</v>
      </c>
      <c r="Y62" s="3393">
        <f>O62+S62+W62</f>
        <v>643000.65016529046</v>
      </c>
      <c r="Z62" s="3566">
        <f>P62+T62+X62</f>
        <v>658066.80000000005</v>
      </c>
      <c r="AA62" s="3551">
        <f t="shared" si="261"/>
        <v>1208001.849826104</v>
      </c>
      <c r="AB62" s="3551">
        <f t="shared" si="261"/>
        <v>1172608.49</v>
      </c>
      <c r="AC62" s="4046">
        <f t="shared" ref="AC62:AD62" si="294">SUM(AC58:AC61)</f>
        <v>222499.1475492545</v>
      </c>
      <c r="AD62" s="4046">
        <f t="shared" si="294"/>
        <v>204941.05</v>
      </c>
      <c r="AE62" s="4051">
        <f t="shared" si="262"/>
        <v>1430500.9973753586</v>
      </c>
      <c r="AF62" s="4051">
        <f t="shared" si="263"/>
        <v>1377549.54</v>
      </c>
      <c r="AG62" s="4395">
        <f t="shared" ref="AG62:AH62" si="295">SUM(AG58:AG61)</f>
        <v>215500.27932503156</v>
      </c>
      <c r="AH62" s="4395">
        <f t="shared" si="295"/>
        <v>182574.83000000002</v>
      </c>
      <c r="AI62" s="4392">
        <f t="shared" si="264"/>
        <v>1646001.27670039</v>
      </c>
      <c r="AJ62" s="4392">
        <f t="shared" si="265"/>
        <v>1560124.37</v>
      </c>
      <c r="AK62" s="4272">
        <f t="shared" ref="AK62:AL62" si="296">SUM(AK58:AK61)</f>
        <v>223499.54377566959</v>
      </c>
      <c r="AL62" s="4272">
        <f t="shared" si="296"/>
        <v>205488.4</v>
      </c>
      <c r="AM62" s="4283">
        <f>AC62+AG62+AK62</f>
        <v>661498.97064995556</v>
      </c>
      <c r="AN62" s="4283">
        <f>AD62+AH62+AL62</f>
        <v>593004.28</v>
      </c>
      <c r="AO62" s="4273">
        <f t="shared" si="284"/>
        <v>1869500.8204760596</v>
      </c>
      <c r="AP62" s="4273">
        <f t="shared" si="285"/>
        <v>1765612.77</v>
      </c>
      <c r="AQ62" s="4452">
        <f t="shared" ref="AQ62:AR62" si="297">SUM(AQ58:AQ61)</f>
        <v>223499.54377566959</v>
      </c>
      <c r="AR62" s="4452">
        <f t="shared" si="297"/>
        <v>196789.61000000002</v>
      </c>
      <c r="AS62" s="4453">
        <f t="shared" si="268"/>
        <v>2093000.3642517291</v>
      </c>
      <c r="AT62" s="4453">
        <f t="shared" si="269"/>
        <v>1962402.3800000001</v>
      </c>
      <c r="AU62" s="4629">
        <f t="shared" ref="AU62:AV62" si="298">SUM(AU58:AU61)</f>
        <v>207999.61215936884</v>
      </c>
      <c r="AV62" s="4629">
        <f t="shared" si="298"/>
        <v>187566.5</v>
      </c>
      <c r="AW62" s="4630">
        <f t="shared" si="270"/>
        <v>2300999.9764110981</v>
      </c>
      <c r="AX62" s="4630">
        <f t="shared" si="271"/>
        <v>2149968.88</v>
      </c>
      <c r="AY62" s="5128">
        <f t="shared" ref="AY62:AZ62" si="299">SUM(AY58:AY61)</f>
        <v>223999.94000208468</v>
      </c>
      <c r="AZ62" s="5128">
        <f t="shared" si="299"/>
        <v>214922.73</v>
      </c>
      <c r="BA62" s="5129">
        <f>AQ62+AU62+AY62</f>
        <v>655499.09593712317</v>
      </c>
      <c r="BB62" s="5129">
        <f>AR62+AV62+AZ62</f>
        <v>599278.84</v>
      </c>
      <c r="BC62" s="5140">
        <f>AM62+BA62</f>
        <v>1316998.0665870789</v>
      </c>
      <c r="BD62" s="5140">
        <f>AN62+BB62</f>
        <v>1192283.1200000001</v>
      </c>
      <c r="BE62" s="5124">
        <f t="shared" si="274"/>
        <v>2524999.9164131829</v>
      </c>
      <c r="BF62" s="5124">
        <f t="shared" si="275"/>
        <v>2364891.61</v>
      </c>
      <c r="BG62" s="26"/>
      <c r="BH62" s="26"/>
      <c r="BI62" s="26"/>
      <c r="BJ62" s="26"/>
    </row>
    <row r="63" spans="1:62" s="183" customFormat="1" ht="20.25" x14ac:dyDescent="0.25">
      <c r="A63" s="188"/>
      <c r="B63" s="3085" t="s">
        <v>325</v>
      </c>
      <c r="C63" s="334"/>
      <c r="D63" s="334"/>
      <c r="E63" s="334"/>
      <c r="F63" s="334"/>
      <c r="G63" s="334"/>
      <c r="H63" s="334"/>
      <c r="I63" s="334"/>
      <c r="J63" s="334"/>
      <c r="K63" s="334"/>
      <c r="L63" s="334"/>
      <c r="M63" s="334"/>
      <c r="N63" s="334"/>
      <c r="O63" s="334"/>
      <c r="P63" s="334"/>
      <c r="Q63" s="334"/>
      <c r="R63" s="334"/>
      <c r="S63" s="334"/>
      <c r="T63" s="334"/>
      <c r="U63" s="334"/>
      <c r="V63" s="334"/>
      <c r="W63" s="334"/>
      <c r="X63" s="334"/>
      <c r="Y63" s="334"/>
      <c r="Z63" s="334"/>
      <c r="AA63" s="334"/>
      <c r="AB63" s="334"/>
      <c r="AC63" s="334"/>
      <c r="AD63" s="334"/>
      <c r="AE63" s="334"/>
      <c r="AF63" s="334"/>
      <c r="AG63" s="334"/>
      <c r="AH63" s="334"/>
      <c r="AI63" s="334"/>
      <c r="AJ63" s="334"/>
      <c r="AK63" s="334"/>
      <c r="AL63" s="334"/>
      <c r="AM63" s="334"/>
      <c r="AN63" s="334"/>
      <c r="AO63" s="334"/>
      <c r="AP63" s="334"/>
      <c r="AQ63" s="334"/>
      <c r="AR63" s="334"/>
      <c r="AS63" s="334"/>
      <c r="AT63" s="334"/>
      <c r="AU63" s="334"/>
      <c r="AV63" s="334"/>
      <c r="AW63" s="334"/>
      <c r="AX63" s="334"/>
      <c r="AY63" s="334"/>
      <c r="AZ63" s="334"/>
      <c r="BA63" s="334"/>
      <c r="BB63" s="334"/>
      <c r="BC63" s="334"/>
      <c r="BD63" s="334"/>
      <c r="BE63" s="334"/>
      <c r="BF63" s="334"/>
      <c r="BG63" s="26"/>
      <c r="BH63" s="26"/>
      <c r="BI63" s="26"/>
      <c r="BJ63" s="26"/>
    </row>
    <row r="64" spans="1:62" s="183" customFormat="1" ht="20.25" x14ac:dyDescent="0.25">
      <c r="A64" s="188"/>
      <c r="B64" s="1246" t="s">
        <v>117</v>
      </c>
      <c r="C64" s="299"/>
      <c r="D64" s="299"/>
      <c r="E64" s="299"/>
      <c r="F64" s="299"/>
      <c r="G64" s="299"/>
      <c r="H64" s="299"/>
      <c r="I64" s="299"/>
      <c r="J64" s="299"/>
      <c r="K64" s="299"/>
      <c r="L64" s="299"/>
      <c r="M64" s="299"/>
      <c r="N64" s="299"/>
      <c r="O64" s="299"/>
      <c r="P64" s="299"/>
      <c r="Q64" s="299"/>
      <c r="R64" s="299"/>
      <c r="S64" s="299"/>
      <c r="T64" s="299"/>
      <c r="U64" s="299"/>
      <c r="V64" s="299"/>
      <c r="W64" s="299"/>
      <c r="X64" s="299"/>
      <c r="Y64" s="299"/>
      <c r="Z64" s="299"/>
      <c r="AA64" s="299"/>
      <c r="AB64" s="299"/>
      <c r="AC64" s="299"/>
      <c r="AD64" s="299"/>
      <c r="AE64" s="299"/>
      <c r="AF64" s="299"/>
      <c r="AG64" s="299"/>
      <c r="AH64" s="299"/>
      <c r="AI64" s="299"/>
      <c r="AJ64" s="299"/>
      <c r="AK64" s="299"/>
      <c r="AL64" s="299"/>
      <c r="AM64" s="299"/>
      <c r="AN64" s="299"/>
      <c r="AO64" s="299"/>
      <c r="AP64" s="299"/>
      <c r="AQ64" s="299"/>
      <c r="AR64" s="299"/>
      <c r="AS64" s="299"/>
      <c r="AT64" s="299"/>
      <c r="AU64" s="299"/>
      <c r="AV64" s="299"/>
      <c r="AW64" s="299"/>
      <c r="AX64" s="299"/>
      <c r="AY64" s="299"/>
      <c r="AZ64" s="299"/>
      <c r="BA64" s="299"/>
      <c r="BB64" s="299"/>
      <c r="BC64" s="299"/>
      <c r="BD64" s="299"/>
      <c r="BE64" s="299"/>
      <c r="BF64" s="299"/>
      <c r="BG64" s="26"/>
      <c r="BH64" s="26"/>
      <c r="BI64" s="26"/>
      <c r="BJ64" s="26"/>
    </row>
    <row r="65" spans="1:62" ht="20.25" x14ac:dyDescent="0.25">
      <c r="A65" s="188"/>
      <c r="B65" s="2003" t="s">
        <v>24</v>
      </c>
      <c r="C65" s="243" t="s">
        <v>52</v>
      </c>
      <c r="D65" s="6239">
        <f>+D58</f>
        <v>500000</v>
      </c>
      <c r="E65" s="6232">
        <f>+E58</f>
        <v>42500</v>
      </c>
      <c r="F65" s="245">
        <v>33073.279999999999</v>
      </c>
      <c r="G65" s="6232">
        <f>+G58</f>
        <v>36500</v>
      </c>
      <c r="H65" s="245">
        <v>28963.200000000001</v>
      </c>
      <c r="I65" s="6226">
        <f>E65+G65</f>
        <v>79000</v>
      </c>
      <c r="J65" s="2457">
        <f t="shared" ref="J65:J83" si="300">F65+H65</f>
        <v>62036.479999999996</v>
      </c>
      <c r="K65" s="6232">
        <f>+K58</f>
        <v>34000</v>
      </c>
      <c r="L65" s="245">
        <v>29385.899999999991</v>
      </c>
      <c r="M65" s="6191">
        <f>E65+G65+K65</f>
        <v>113000</v>
      </c>
      <c r="N65" s="300">
        <f>F65+H65+L65</f>
        <v>91422.37999999999</v>
      </c>
      <c r="O65" s="6232">
        <f>+O58</f>
        <v>43500</v>
      </c>
      <c r="P65" s="245">
        <v>36378.380000000005</v>
      </c>
      <c r="Q65" s="6226">
        <f>M65+O65</f>
        <v>156500</v>
      </c>
      <c r="R65" s="2457">
        <f t="shared" ref="R65:R67" si="301">N65+P65</f>
        <v>127800.76</v>
      </c>
      <c r="S65" s="6232">
        <f>+S58</f>
        <v>43500</v>
      </c>
      <c r="T65" s="245">
        <v>42249.659999999982</v>
      </c>
      <c r="U65" s="6226">
        <f>Q65+S65</f>
        <v>200000</v>
      </c>
      <c r="V65" s="2557">
        <f t="shared" ref="V65:V67" si="302">R65+T65</f>
        <v>170050.41999999998</v>
      </c>
      <c r="W65" s="6232">
        <f>+W58</f>
        <v>42500</v>
      </c>
      <c r="X65" s="245">
        <v>38200.879999999997</v>
      </c>
      <c r="Y65" s="6191">
        <f>O65+S65+W65</f>
        <v>129500</v>
      </c>
      <c r="Z65" s="3396">
        <f>P65+T65+X65</f>
        <v>116828.91999999998</v>
      </c>
      <c r="AA65" s="6192">
        <f>M65+Y65</f>
        <v>242500</v>
      </c>
      <c r="AB65" s="3550">
        <f>N65+Z65</f>
        <v>208251.3</v>
      </c>
      <c r="AC65" s="6232">
        <f>+AC58</f>
        <v>43500</v>
      </c>
      <c r="AD65" s="245">
        <v>35643.80000000001</v>
      </c>
      <c r="AE65" s="6226">
        <f>AA65+AC65</f>
        <v>286000</v>
      </c>
      <c r="AF65" s="4050">
        <f t="shared" ref="AF65:AF67" si="303">AB65+AD65</f>
        <v>243895.1</v>
      </c>
      <c r="AG65" s="6201">
        <f>+AG58</f>
        <v>42500</v>
      </c>
      <c r="AH65" s="245">
        <v>35300.14</v>
      </c>
      <c r="AI65" s="6204">
        <f>AE65+AG65</f>
        <v>328500</v>
      </c>
      <c r="AJ65" s="4394">
        <f t="shared" ref="AJ65:AJ67" si="304">AF65+AH65</f>
        <v>279195.24</v>
      </c>
      <c r="AK65" s="6232">
        <f>+AK58</f>
        <v>43500</v>
      </c>
      <c r="AL65" s="245">
        <v>35082.160000000003</v>
      </c>
      <c r="AM65" s="6191">
        <f>AC65+AG65+AK65</f>
        <v>129500</v>
      </c>
      <c r="AN65" s="4282">
        <f>AD65+AH65+AL65</f>
        <v>106026.1</v>
      </c>
      <c r="AO65" s="6226">
        <f>AI65+AK65</f>
        <v>372000</v>
      </c>
      <c r="AP65" s="4277">
        <f t="shared" ref="AP65:AP83" si="305">AJ65+AL65</f>
        <v>314277.40000000002</v>
      </c>
      <c r="AQ65" s="6201">
        <f>+AQ58</f>
        <v>43500</v>
      </c>
      <c r="AR65" s="245">
        <v>37608.680000000008</v>
      </c>
      <c r="AS65" s="6204">
        <f>AO65+AQ65</f>
        <v>415500</v>
      </c>
      <c r="AT65" s="4456">
        <f t="shared" ref="AT65:AT67" si="306">AP65+AR65</f>
        <v>351886.08000000002</v>
      </c>
      <c r="AU65" s="6201">
        <f>+AU58</f>
        <v>41000</v>
      </c>
      <c r="AV65" s="245">
        <v>30031.940000000006</v>
      </c>
      <c r="AW65" s="6204">
        <f>AS65+AU65</f>
        <v>456500</v>
      </c>
      <c r="AX65" s="4635">
        <f t="shared" ref="AX65:AX67" si="307">AT65+AV65</f>
        <v>381918.02</v>
      </c>
      <c r="AY65" s="6201">
        <f>+AY58</f>
        <v>43500</v>
      </c>
      <c r="AZ65" s="245">
        <v>34784.280000000006</v>
      </c>
      <c r="BA65" s="6191">
        <f>AQ65+AU65+AY65</f>
        <v>128000</v>
      </c>
      <c r="BB65" s="5136">
        <f>AR65+AV65+AZ65</f>
        <v>102424.90000000002</v>
      </c>
      <c r="BC65" s="6192">
        <f>AM65+BA65</f>
        <v>257500</v>
      </c>
      <c r="BD65" s="5143">
        <f t="shared" ref="BD65:BD66" si="308">AN65+BB65</f>
        <v>208451.00000000003</v>
      </c>
      <c r="BE65" s="6204">
        <f>AW65+AY65</f>
        <v>500000</v>
      </c>
      <c r="BF65" s="5127">
        <f t="shared" ref="BF65:BF67" si="309">AX65+AZ65</f>
        <v>416702.30000000005</v>
      </c>
      <c r="BG65" s="26"/>
      <c r="BH65" s="26"/>
      <c r="BI65" s="26"/>
      <c r="BJ65" s="26"/>
    </row>
    <row r="66" spans="1:62" ht="20.25" x14ac:dyDescent="0.25">
      <c r="A66" s="122"/>
      <c r="B66" s="2003" t="s">
        <v>25</v>
      </c>
      <c r="C66" s="243" t="s">
        <v>52</v>
      </c>
      <c r="D66" s="6239"/>
      <c r="E66" s="6232"/>
      <c r="F66" s="245">
        <v>3654.7999999999997</v>
      </c>
      <c r="G66" s="6232"/>
      <c r="H66" s="245">
        <v>3945.46</v>
      </c>
      <c r="I66" s="6226"/>
      <c r="J66" s="2457">
        <f t="shared" si="300"/>
        <v>7600.26</v>
      </c>
      <c r="K66" s="6232"/>
      <c r="L66" s="245">
        <v>2837.5599999999995</v>
      </c>
      <c r="M66" s="6191"/>
      <c r="N66" s="3568">
        <f>F66+H66+L66</f>
        <v>10437.82</v>
      </c>
      <c r="O66" s="6232"/>
      <c r="P66" s="245">
        <v>4662.5999999999995</v>
      </c>
      <c r="Q66" s="6226"/>
      <c r="R66" s="2457">
        <f t="shared" si="301"/>
        <v>15100.419999999998</v>
      </c>
      <c r="S66" s="6232"/>
      <c r="T66" s="245">
        <v>5918.03</v>
      </c>
      <c r="U66" s="6226"/>
      <c r="V66" s="2557">
        <f t="shared" si="302"/>
        <v>21018.449999999997</v>
      </c>
      <c r="W66" s="6232"/>
      <c r="X66" s="245">
        <v>4838.4600000000009</v>
      </c>
      <c r="Y66" s="6191">
        <f t="shared" ref="Y66:Y67" si="310">O66+S66+W66</f>
        <v>0</v>
      </c>
      <c r="Z66" s="3568">
        <f>P66+T66+X66</f>
        <v>15419.09</v>
      </c>
      <c r="AA66" s="6192"/>
      <c r="AB66" s="3565">
        <f>N66+Z66</f>
        <v>25856.91</v>
      </c>
      <c r="AC66" s="6232"/>
      <c r="AD66" s="245">
        <v>6280.7899999999991</v>
      </c>
      <c r="AE66" s="6226"/>
      <c r="AF66" s="4050">
        <f t="shared" si="303"/>
        <v>32137.699999999997</v>
      </c>
      <c r="AG66" s="6202"/>
      <c r="AH66" s="245">
        <v>2706.0300000000007</v>
      </c>
      <c r="AI66" s="6205"/>
      <c r="AJ66" s="4394">
        <f t="shared" si="304"/>
        <v>34843.729999999996</v>
      </c>
      <c r="AK66" s="6232"/>
      <c r="AL66" s="245">
        <v>4604.37</v>
      </c>
      <c r="AM66" s="6191">
        <f t="shared" ref="AM66:AM67" si="311">AC66+AG66+AK66</f>
        <v>0</v>
      </c>
      <c r="AN66" s="4282">
        <f>AD66+AH66+AL66</f>
        <v>13591.189999999999</v>
      </c>
      <c r="AO66" s="6226"/>
      <c r="AP66" s="4277">
        <f t="shared" si="305"/>
        <v>39448.1</v>
      </c>
      <c r="AQ66" s="6202"/>
      <c r="AR66" s="245">
        <v>6008.7500000000009</v>
      </c>
      <c r="AS66" s="6205"/>
      <c r="AT66" s="4456">
        <f t="shared" si="306"/>
        <v>45456.85</v>
      </c>
      <c r="AU66" s="6202"/>
      <c r="AV66" s="245">
        <v>4979.7199999999993</v>
      </c>
      <c r="AW66" s="6205"/>
      <c r="AX66" s="4635">
        <f t="shared" si="307"/>
        <v>50436.57</v>
      </c>
      <c r="AY66" s="6202"/>
      <c r="AZ66" s="245">
        <v>6420.34</v>
      </c>
      <c r="BA66" s="6191">
        <f t="shared" ref="BA66:BA67" si="312">AQ66+AU66+AY66</f>
        <v>0</v>
      </c>
      <c r="BB66" s="5136">
        <f>AR66+AV66+AZ66</f>
        <v>17408.810000000001</v>
      </c>
      <c r="BC66" s="6192"/>
      <c r="BD66" s="5143">
        <f t="shared" si="308"/>
        <v>31000</v>
      </c>
      <c r="BE66" s="6205"/>
      <c r="BF66" s="5127">
        <f t="shared" si="309"/>
        <v>56856.91</v>
      </c>
      <c r="BG66" s="26"/>
      <c r="BH66" s="26"/>
      <c r="BI66" s="26"/>
      <c r="BJ66" s="26"/>
    </row>
    <row r="67" spans="1:62" ht="20.25" x14ac:dyDescent="0.25">
      <c r="A67" s="188"/>
      <c r="B67" s="2463" t="s">
        <v>2</v>
      </c>
      <c r="C67" s="1252" t="s">
        <v>52</v>
      </c>
      <c r="D67" s="6239"/>
      <c r="E67" s="6232"/>
      <c r="F67" s="781">
        <f>SUM(F65:F66)</f>
        <v>36728.080000000002</v>
      </c>
      <c r="G67" s="6232"/>
      <c r="H67" s="781">
        <f>SUM(H65:H66)</f>
        <v>32908.660000000003</v>
      </c>
      <c r="I67" s="6226"/>
      <c r="J67" s="782">
        <f t="shared" si="300"/>
        <v>69636.740000000005</v>
      </c>
      <c r="K67" s="6232"/>
      <c r="L67" s="781">
        <f>SUM(L65:L66)</f>
        <v>32223.459999999992</v>
      </c>
      <c r="M67" s="6191"/>
      <c r="N67" s="783">
        <f>F67+H67+L67</f>
        <v>101860.2</v>
      </c>
      <c r="O67" s="6232"/>
      <c r="P67" s="781">
        <f>SUM(P65:P66)</f>
        <v>41040.980000000003</v>
      </c>
      <c r="Q67" s="6226"/>
      <c r="R67" s="782">
        <f t="shared" si="301"/>
        <v>142901.18</v>
      </c>
      <c r="S67" s="6232"/>
      <c r="T67" s="2560">
        <f>SUM(T65:T66)</f>
        <v>48167.689999999981</v>
      </c>
      <c r="U67" s="6226"/>
      <c r="V67" s="2558">
        <f t="shared" si="302"/>
        <v>191068.86999999997</v>
      </c>
      <c r="W67" s="6232"/>
      <c r="X67" s="3392">
        <f>SUM(X65:X66)</f>
        <v>43039.34</v>
      </c>
      <c r="Y67" s="6191">
        <f t="shared" si="310"/>
        <v>0</v>
      </c>
      <c r="Z67" s="3393">
        <f>P67+T67+X67</f>
        <v>132248.00999999998</v>
      </c>
      <c r="AA67" s="6192"/>
      <c r="AB67" s="3551">
        <f>N67+Z67</f>
        <v>234108.20999999996</v>
      </c>
      <c r="AC67" s="6232"/>
      <c r="AD67" s="4046">
        <f>SUM(AD65:AD66)</f>
        <v>41924.590000000011</v>
      </c>
      <c r="AE67" s="6226"/>
      <c r="AF67" s="4051">
        <f t="shared" si="303"/>
        <v>276032.8</v>
      </c>
      <c r="AG67" s="6203"/>
      <c r="AH67" s="4395">
        <f>SUM(AH65:AH66)</f>
        <v>38006.17</v>
      </c>
      <c r="AI67" s="6206"/>
      <c r="AJ67" s="4392">
        <f t="shared" si="304"/>
        <v>314038.96999999997</v>
      </c>
      <c r="AK67" s="6232"/>
      <c r="AL67" s="4272">
        <f>SUM(AL65:AL66)</f>
        <v>39686.530000000006</v>
      </c>
      <c r="AM67" s="6191">
        <f t="shared" si="311"/>
        <v>0</v>
      </c>
      <c r="AN67" s="4283">
        <f>AD67+AH67+AL67</f>
        <v>119617.29000000001</v>
      </c>
      <c r="AO67" s="6226"/>
      <c r="AP67" s="4273">
        <f t="shared" si="305"/>
        <v>353725.5</v>
      </c>
      <c r="AQ67" s="6203"/>
      <c r="AR67" s="4452">
        <f>SUM(AR65:AR66)</f>
        <v>43617.430000000008</v>
      </c>
      <c r="AS67" s="6206"/>
      <c r="AT67" s="4453">
        <f t="shared" si="306"/>
        <v>397342.93</v>
      </c>
      <c r="AU67" s="6203"/>
      <c r="AV67" s="4629">
        <f>SUM(AV65:AV66)</f>
        <v>35011.660000000003</v>
      </c>
      <c r="AW67" s="6206"/>
      <c r="AX67" s="4630">
        <f t="shared" si="307"/>
        <v>432354.58999999997</v>
      </c>
      <c r="AY67" s="6203"/>
      <c r="AZ67" s="5128">
        <f>SUM(AZ65:AZ66)</f>
        <v>41204.62000000001</v>
      </c>
      <c r="BA67" s="6191">
        <f t="shared" si="312"/>
        <v>0</v>
      </c>
      <c r="BB67" s="5129">
        <f>AR67+AV67+AZ67</f>
        <v>119833.71000000002</v>
      </c>
      <c r="BC67" s="6192"/>
      <c r="BD67" s="5140">
        <f>AN67+BB67</f>
        <v>239451.00000000003</v>
      </c>
      <c r="BE67" s="6206"/>
      <c r="BF67" s="5124">
        <f t="shared" si="309"/>
        <v>473559.20999999996</v>
      </c>
      <c r="BG67" s="26"/>
      <c r="BH67" s="26"/>
      <c r="BI67" s="26"/>
      <c r="BJ67" s="26"/>
    </row>
    <row r="68" spans="1:62" s="183" customFormat="1" ht="20.25" x14ac:dyDescent="0.3">
      <c r="A68" s="188"/>
      <c r="B68" s="1246" t="s">
        <v>98</v>
      </c>
      <c r="C68" s="299"/>
      <c r="D68" s="299"/>
      <c r="E68" s="2482"/>
      <c r="F68" s="2482"/>
      <c r="G68" s="2482"/>
      <c r="H68" s="2482"/>
      <c r="I68" s="2482"/>
      <c r="J68" s="2482"/>
      <c r="K68" s="2482"/>
      <c r="L68" s="2482"/>
      <c r="M68" s="2482"/>
      <c r="N68" s="2482"/>
      <c r="O68" s="2482"/>
      <c r="P68" s="2482"/>
      <c r="Q68" s="2482"/>
      <c r="R68" s="2482"/>
      <c r="S68" s="2482"/>
      <c r="T68" s="2482"/>
      <c r="U68" s="2482"/>
      <c r="V68" s="2482"/>
      <c r="W68" s="2482"/>
      <c r="X68" s="2482"/>
      <c r="Y68" s="2482"/>
      <c r="Z68" s="2482"/>
      <c r="AA68" s="2482"/>
      <c r="AB68" s="2482"/>
      <c r="AC68" s="2482"/>
      <c r="AD68" s="2482"/>
      <c r="AE68" s="2482"/>
      <c r="AF68" s="2482"/>
      <c r="AG68" s="2482"/>
      <c r="AH68" s="2482"/>
      <c r="AI68" s="2482"/>
      <c r="AJ68" s="2482"/>
      <c r="AK68" s="2482"/>
      <c r="AL68" s="2482"/>
      <c r="AM68" s="2482"/>
      <c r="AN68" s="2482"/>
      <c r="AO68" s="2482"/>
      <c r="AP68" s="2482"/>
      <c r="AQ68" s="2482"/>
      <c r="AR68" s="2482"/>
      <c r="AS68" s="2482"/>
      <c r="AT68" s="2482"/>
      <c r="AU68" s="2482"/>
      <c r="AV68" s="2482"/>
      <c r="AW68" s="2482"/>
      <c r="AX68" s="2482"/>
      <c r="AY68" s="2482"/>
      <c r="AZ68" s="2482"/>
      <c r="BA68" s="2482"/>
      <c r="BB68" s="2482"/>
      <c r="BC68" s="2482"/>
      <c r="BD68" s="2482"/>
      <c r="BE68" s="2482"/>
      <c r="BF68" s="2482"/>
      <c r="BG68" s="26"/>
      <c r="BH68" s="26"/>
      <c r="BI68" s="26"/>
      <c r="BJ68" s="26"/>
    </row>
    <row r="69" spans="1:62" ht="21.2" customHeight="1" x14ac:dyDescent="0.25">
      <c r="A69" s="122"/>
      <c r="B69" s="2003" t="s">
        <v>24</v>
      </c>
      <c r="C69" s="243" t="s">
        <v>52</v>
      </c>
      <c r="D69" s="6232">
        <f>+D59</f>
        <v>850000</v>
      </c>
      <c r="E69" s="6232">
        <f>+E59</f>
        <v>72500</v>
      </c>
      <c r="F69" s="245">
        <v>55211.119999999995</v>
      </c>
      <c r="G69" s="6232">
        <f>+G59</f>
        <v>62500</v>
      </c>
      <c r="H69" s="245">
        <v>47467.96</v>
      </c>
      <c r="I69" s="6226">
        <f>E69+G69</f>
        <v>135000</v>
      </c>
      <c r="J69" s="2457">
        <f t="shared" si="300"/>
        <v>102679.07999999999</v>
      </c>
      <c r="K69" s="6232">
        <f>+K59</f>
        <v>47000</v>
      </c>
      <c r="L69" s="245">
        <v>28532.620000000003</v>
      </c>
      <c r="M69" s="6191">
        <f>E69+G69+K69</f>
        <v>182000</v>
      </c>
      <c r="N69" s="3568">
        <f>F69+H69+L69</f>
        <v>131211.69999999998</v>
      </c>
      <c r="O69" s="6232">
        <f>+O59</f>
        <v>75000</v>
      </c>
      <c r="P69" s="245">
        <v>56554.82</v>
      </c>
      <c r="Q69" s="6226">
        <f>M69+O69</f>
        <v>257000</v>
      </c>
      <c r="R69" s="2457">
        <f t="shared" ref="R69:R71" si="313">N69+P69</f>
        <v>187766.52</v>
      </c>
      <c r="S69" s="6232">
        <f>+S59</f>
        <v>75000</v>
      </c>
      <c r="T69" s="245">
        <v>58539.520000000004</v>
      </c>
      <c r="U69" s="6226">
        <f>Q69+S69</f>
        <v>332000</v>
      </c>
      <c r="V69" s="2557">
        <f t="shared" ref="V69:V71" si="314">R69+T69</f>
        <v>246306.03999999998</v>
      </c>
      <c r="W69" s="6232">
        <f>+W59</f>
        <v>73000</v>
      </c>
      <c r="X69" s="245">
        <v>46941.48</v>
      </c>
      <c r="Y69" s="6191">
        <f>O69+S69+W69</f>
        <v>223000</v>
      </c>
      <c r="Z69" s="3568">
        <f>P69+T69+X69</f>
        <v>162035.82</v>
      </c>
      <c r="AA69" s="6192">
        <f>M69+Y69</f>
        <v>405000</v>
      </c>
      <c r="AB69" s="3565">
        <f>N69+Z69</f>
        <v>293247.52</v>
      </c>
      <c r="AC69" s="6232">
        <f>+AC59</f>
        <v>75500</v>
      </c>
      <c r="AD69" s="889">
        <v>48326.619999999995</v>
      </c>
      <c r="AE69" s="6226">
        <f>AA69+AC69</f>
        <v>480500</v>
      </c>
      <c r="AF69" s="4050">
        <f t="shared" ref="AF69:AF71" si="315">AB69+AD69</f>
        <v>341574.14</v>
      </c>
      <c r="AG69" s="6201">
        <f>+AG59</f>
        <v>73000</v>
      </c>
      <c r="AH69" s="889">
        <v>48354.280000000021</v>
      </c>
      <c r="AI69" s="6204">
        <f>AE69+AG69</f>
        <v>553500</v>
      </c>
      <c r="AJ69" s="4394">
        <f t="shared" ref="AJ69:AJ71" si="316">AF69+AH69</f>
        <v>389928.42000000004</v>
      </c>
      <c r="AK69" s="6232">
        <f>+AK59</f>
        <v>75500</v>
      </c>
      <c r="AL69" s="245">
        <v>54906.100000000006</v>
      </c>
      <c r="AM69" s="6191">
        <f>AC69+AG69+AK69</f>
        <v>224000</v>
      </c>
      <c r="AN69" s="4282">
        <f>AD69+AH69+AL69</f>
        <v>151587.00000000003</v>
      </c>
      <c r="AO69" s="6226">
        <f>AI69+AK69</f>
        <v>629000</v>
      </c>
      <c r="AP69" s="4277">
        <f t="shared" si="305"/>
        <v>444834.52</v>
      </c>
      <c r="AQ69" s="6201">
        <f>+AQ59</f>
        <v>75500</v>
      </c>
      <c r="AR69" s="245">
        <v>44621.2</v>
      </c>
      <c r="AS69" s="6204">
        <f>AO69+AQ69</f>
        <v>704500</v>
      </c>
      <c r="AT69" s="4456">
        <f t="shared" ref="AT69:AT71" si="317">AP69+AR69</f>
        <v>489455.72000000003</v>
      </c>
      <c r="AU69" s="6201">
        <f>+AU59</f>
        <v>70000</v>
      </c>
      <c r="AV69" s="245">
        <v>42731.72</v>
      </c>
      <c r="AW69" s="6204">
        <f>AS69+AU69</f>
        <v>774500</v>
      </c>
      <c r="AX69" s="4635">
        <f t="shared" ref="AX69:AX71" si="318">AT69+AV69</f>
        <v>532187.44000000006</v>
      </c>
      <c r="AY69" s="6201">
        <f>+AY59</f>
        <v>75500</v>
      </c>
      <c r="AZ69" s="245">
        <v>43639.1</v>
      </c>
      <c r="BA69" s="6191">
        <f>AQ69+AU69+AY69</f>
        <v>221000</v>
      </c>
      <c r="BB69" s="5136">
        <f>AR69+AV69+AZ69</f>
        <v>130992.01999999999</v>
      </c>
      <c r="BC69" s="6192">
        <f>AM69+BA69</f>
        <v>445000</v>
      </c>
      <c r="BD69" s="5143">
        <f t="shared" ref="BD69:BD70" si="319">AN69+BB69</f>
        <v>282579.02</v>
      </c>
      <c r="BE69" s="6204">
        <f>AW69+AY69</f>
        <v>850000</v>
      </c>
      <c r="BF69" s="5127">
        <f t="shared" ref="BF69:BF71" si="320">AX69+AZ69</f>
        <v>575826.54</v>
      </c>
      <c r="BG69" s="26"/>
      <c r="BH69" s="26"/>
      <c r="BI69" s="26"/>
      <c r="BJ69" s="26"/>
    </row>
    <row r="70" spans="1:62" ht="20.25" x14ac:dyDescent="0.25">
      <c r="A70" s="188"/>
      <c r="B70" s="2003" t="s">
        <v>25</v>
      </c>
      <c r="C70" s="243" t="s">
        <v>52</v>
      </c>
      <c r="D70" s="6232"/>
      <c r="E70" s="6232"/>
      <c r="F70" s="245">
        <v>12050.449999999999</v>
      </c>
      <c r="G70" s="6232"/>
      <c r="H70" s="245">
        <v>11006.699999999999</v>
      </c>
      <c r="I70" s="6226"/>
      <c r="J70" s="2457">
        <f t="shared" si="300"/>
        <v>23057.149999999998</v>
      </c>
      <c r="K70" s="6232"/>
      <c r="L70" s="245">
        <v>14546.99</v>
      </c>
      <c r="M70" s="6191"/>
      <c r="N70" s="3568">
        <f>F70+H70+L70</f>
        <v>37604.14</v>
      </c>
      <c r="O70" s="6232"/>
      <c r="P70" s="245">
        <v>20096.520000000004</v>
      </c>
      <c r="Q70" s="6226"/>
      <c r="R70" s="2457">
        <f t="shared" si="313"/>
        <v>57700.66</v>
      </c>
      <c r="S70" s="6232"/>
      <c r="T70" s="245">
        <v>27785.270000000011</v>
      </c>
      <c r="U70" s="6226"/>
      <c r="V70" s="2557">
        <f t="shared" si="314"/>
        <v>85485.930000000022</v>
      </c>
      <c r="W70" s="6232"/>
      <c r="X70" s="245">
        <v>16129.61</v>
      </c>
      <c r="Y70" s="6191">
        <f t="shared" ref="Y70:Y71" si="321">O70+S70+W70</f>
        <v>0</v>
      </c>
      <c r="Z70" s="3568">
        <f>P70+T70+X70</f>
        <v>64011.400000000016</v>
      </c>
      <c r="AA70" s="6192"/>
      <c r="AB70" s="3565">
        <f>N70+Z70</f>
        <v>101615.54000000001</v>
      </c>
      <c r="AC70" s="6232"/>
      <c r="AD70" s="245">
        <v>11848.909999999998</v>
      </c>
      <c r="AE70" s="6226"/>
      <c r="AF70" s="4050">
        <f t="shared" si="315"/>
        <v>113464.45000000001</v>
      </c>
      <c r="AG70" s="6202"/>
      <c r="AH70" s="245">
        <v>9821.5400000000009</v>
      </c>
      <c r="AI70" s="6205"/>
      <c r="AJ70" s="4394">
        <f t="shared" si="316"/>
        <v>123285.99000000002</v>
      </c>
      <c r="AK70" s="6232"/>
      <c r="AL70" s="245">
        <v>14501.880000000001</v>
      </c>
      <c r="AM70" s="6191">
        <f t="shared" ref="AM70:AM71" si="322">AC70+AG70+AK70</f>
        <v>0</v>
      </c>
      <c r="AN70" s="4282">
        <f>AD70+AH70+AL70</f>
        <v>36172.33</v>
      </c>
      <c r="AO70" s="6226"/>
      <c r="AP70" s="4277">
        <f t="shared" si="305"/>
        <v>137787.87000000002</v>
      </c>
      <c r="AQ70" s="6202"/>
      <c r="AR70" s="245">
        <v>21181.979999999996</v>
      </c>
      <c r="AS70" s="6205"/>
      <c r="AT70" s="4456">
        <f t="shared" si="317"/>
        <v>158969.85000000003</v>
      </c>
      <c r="AU70" s="6202"/>
      <c r="AV70" s="245">
        <v>22237.929999999993</v>
      </c>
      <c r="AW70" s="6205"/>
      <c r="AX70" s="4635">
        <f t="shared" si="318"/>
        <v>181207.78000000003</v>
      </c>
      <c r="AY70" s="6202"/>
      <c r="AZ70" s="245">
        <v>24368.13</v>
      </c>
      <c r="BA70" s="6191">
        <f t="shared" ref="BA70:BA71" si="323">AQ70+AU70+AY70</f>
        <v>0</v>
      </c>
      <c r="BB70" s="5136">
        <f>AR70+AV70+AZ70</f>
        <v>67788.039999999994</v>
      </c>
      <c r="BC70" s="6192"/>
      <c r="BD70" s="5143">
        <f t="shared" si="319"/>
        <v>103960.37</v>
      </c>
      <c r="BE70" s="6205"/>
      <c r="BF70" s="5127">
        <f t="shared" si="320"/>
        <v>205575.91000000003</v>
      </c>
      <c r="BG70" s="26"/>
      <c r="BH70" s="26"/>
      <c r="BI70" s="26"/>
      <c r="BJ70" s="26"/>
    </row>
    <row r="71" spans="1:62" ht="20.25" x14ac:dyDescent="0.25">
      <c r="A71" s="122"/>
      <c r="B71" s="2463" t="s">
        <v>2</v>
      </c>
      <c r="C71" s="1252" t="s">
        <v>52</v>
      </c>
      <c r="D71" s="6232"/>
      <c r="E71" s="6232"/>
      <c r="F71" s="781">
        <f>SUM(F69:F70)</f>
        <v>67261.569999999992</v>
      </c>
      <c r="G71" s="6232"/>
      <c r="H71" s="781">
        <f>SUM(H69:H70)</f>
        <v>58474.659999999996</v>
      </c>
      <c r="I71" s="6226"/>
      <c r="J71" s="782">
        <f t="shared" si="300"/>
        <v>125736.22999999998</v>
      </c>
      <c r="K71" s="6232"/>
      <c r="L71" s="781">
        <f>SUM(L69:L70)</f>
        <v>43079.61</v>
      </c>
      <c r="M71" s="6191"/>
      <c r="N71" s="3566">
        <f>F71+H71+L71</f>
        <v>168815.83999999997</v>
      </c>
      <c r="O71" s="6232"/>
      <c r="P71" s="781">
        <f>SUM(P69:P70)</f>
        <v>76651.34</v>
      </c>
      <c r="Q71" s="6226"/>
      <c r="R71" s="782">
        <f t="shared" si="313"/>
        <v>245467.17999999996</v>
      </c>
      <c r="S71" s="6232"/>
      <c r="T71" s="2560">
        <f>SUM(T69:T70)</f>
        <v>86324.790000000008</v>
      </c>
      <c r="U71" s="6226"/>
      <c r="V71" s="2558">
        <f t="shared" si="314"/>
        <v>331791.96999999997</v>
      </c>
      <c r="W71" s="6232"/>
      <c r="X71" s="3392">
        <f>SUM(X69:X70)</f>
        <v>63071.090000000004</v>
      </c>
      <c r="Y71" s="6191">
        <f t="shared" si="321"/>
        <v>0</v>
      </c>
      <c r="Z71" s="3566">
        <f>P71+T71+X71</f>
        <v>226047.22</v>
      </c>
      <c r="AA71" s="6192"/>
      <c r="AB71" s="3564">
        <f>N71+Z71</f>
        <v>394863.05999999994</v>
      </c>
      <c r="AC71" s="6232"/>
      <c r="AD71" s="4046">
        <f>SUM(AD69:AD70)</f>
        <v>60175.529999999992</v>
      </c>
      <c r="AE71" s="6226"/>
      <c r="AF71" s="4051">
        <f t="shared" si="315"/>
        <v>455038.58999999991</v>
      </c>
      <c r="AG71" s="6203"/>
      <c r="AH71" s="4395">
        <f>SUM(AH69:AH70)</f>
        <v>58175.820000000022</v>
      </c>
      <c r="AI71" s="6206"/>
      <c r="AJ71" s="4392">
        <f t="shared" si="316"/>
        <v>513214.40999999992</v>
      </c>
      <c r="AK71" s="6232"/>
      <c r="AL71" s="4272">
        <f>SUM(AL69:AL70)</f>
        <v>69407.98000000001</v>
      </c>
      <c r="AM71" s="6191">
        <f t="shared" si="322"/>
        <v>0</v>
      </c>
      <c r="AN71" s="4283">
        <f>AD71+AH71+AL71</f>
        <v>187759.33000000002</v>
      </c>
      <c r="AO71" s="6226"/>
      <c r="AP71" s="4273">
        <f t="shared" si="305"/>
        <v>582622.3899999999</v>
      </c>
      <c r="AQ71" s="6203"/>
      <c r="AR71" s="4452">
        <f>SUM(AR69:AR70)</f>
        <v>65803.179999999993</v>
      </c>
      <c r="AS71" s="6206"/>
      <c r="AT71" s="4453">
        <f t="shared" si="317"/>
        <v>648425.56999999983</v>
      </c>
      <c r="AU71" s="6203"/>
      <c r="AV71" s="4629">
        <f>SUM(AV69:AV70)</f>
        <v>64969.649999999994</v>
      </c>
      <c r="AW71" s="6206"/>
      <c r="AX71" s="4630">
        <f t="shared" si="318"/>
        <v>713395.21999999986</v>
      </c>
      <c r="AY71" s="6203"/>
      <c r="AZ71" s="5128">
        <f>SUM(AZ69:AZ70)</f>
        <v>68007.23</v>
      </c>
      <c r="BA71" s="6191">
        <f t="shared" si="323"/>
        <v>0</v>
      </c>
      <c r="BB71" s="5129">
        <f>AR71+AV71+AZ71</f>
        <v>198780.06</v>
      </c>
      <c r="BC71" s="6192"/>
      <c r="BD71" s="5140">
        <f>AN71+BB71</f>
        <v>386539.39</v>
      </c>
      <c r="BE71" s="6206"/>
      <c r="BF71" s="5124">
        <f t="shared" si="320"/>
        <v>781402.44999999984</v>
      </c>
      <c r="BG71" s="26"/>
      <c r="BH71" s="26"/>
      <c r="BI71" s="26"/>
      <c r="BJ71" s="26"/>
    </row>
    <row r="72" spans="1:62" s="183" customFormat="1" ht="20.25" customHeight="1" x14ac:dyDescent="0.3">
      <c r="A72" s="188"/>
      <c r="B72" s="1246" t="s">
        <v>118</v>
      </c>
      <c r="C72" s="299"/>
      <c r="D72" s="299"/>
      <c r="E72" s="2482"/>
      <c r="F72" s="2482"/>
      <c r="G72" s="2482"/>
      <c r="H72" s="2482"/>
      <c r="I72" s="2482"/>
      <c r="J72" s="2482"/>
      <c r="K72" s="2482"/>
      <c r="L72" s="2482"/>
      <c r="M72" s="2482"/>
      <c r="N72" s="2482"/>
      <c r="O72" s="2482"/>
      <c r="P72" s="2482"/>
      <c r="Q72" s="2482"/>
      <c r="R72" s="2482"/>
      <c r="S72" s="2482"/>
      <c r="T72" s="2482"/>
      <c r="U72" s="2482"/>
      <c r="V72" s="2482"/>
      <c r="W72" s="2482"/>
      <c r="X72" s="2482"/>
      <c r="Y72" s="2482"/>
      <c r="Z72" s="2482"/>
      <c r="AA72" s="2482"/>
      <c r="AB72" s="2482"/>
      <c r="AC72" s="2482"/>
      <c r="AD72" s="2482"/>
      <c r="AE72" s="2482"/>
      <c r="AF72" s="2482"/>
      <c r="AG72" s="2482"/>
      <c r="AH72" s="2482"/>
      <c r="AI72" s="2482"/>
      <c r="AJ72" s="2482"/>
      <c r="AK72" s="2482"/>
      <c r="AL72" s="2482"/>
      <c r="AM72" s="2482"/>
      <c r="AN72" s="2482"/>
      <c r="AO72" s="2482"/>
      <c r="AP72" s="2482"/>
      <c r="AQ72" s="2482"/>
      <c r="AR72" s="2482"/>
      <c r="AS72" s="2482"/>
      <c r="AT72" s="2482"/>
      <c r="AU72" s="2482"/>
      <c r="AV72" s="2482"/>
      <c r="AW72" s="2482"/>
      <c r="AX72" s="2482"/>
      <c r="AY72" s="2482"/>
      <c r="AZ72" s="2482"/>
      <c r="BA72" s="2482"/>
      <c r="BB72" s="2482"/>
      <c r="BC72" s="2482"/>
      <c r="BD72" s="2482"/>
      <c r="BE72" s="2482"/>
      <c r="BF72" s="2482"/>
      <c r="BG72" s="26"/>
      <c r="BH72" s="26"/>
      <c r="BI72" s="26"/>
      <c r="BJ72" s="26"/>
    </row>
    <row r="73" spans="1:62" ht="20.25" customHeight="1" x14ac:dyDescent="0.25">
      <c r="A73" s="122"/>
      <c r="B73" s="2003" t="s">
        <v>24</v>
      </c>
      <c r="C73" s="243" t="s">
        <v>52</v>
      </c>
      <c r="D73" s="6232">
        <f>+D60</f>
        <v>525000</v>
      </c>
      <c r="E73" s="6232">
        <f>+E60</f>
        <v>44500</v>
      </c>
      <c r="F73" s="245">
        <v>28280.840000000007</v>
      </c>
      <c r="G73" s="6232">
        <f>+G60</f>
        <v>37500</v>
      </c>
      <c r="H73" s="245">
        <v>21534.7</v>
      </c>
      <c r="I73" s="6226">
        <f>G73+E73</f>
        <v>82000</v>
      </c>
      <c r="J73" s="2457">
        <f t="shared" si="300"/>
        <v>49815.540000000008</v>
      </c>
      <c r="K73" s="6232">
        <f>+K60</f>
        <v>36000</v>
      </c>
      <c r="L73" s="245">
        <v>15518</v>
      </c>
      <c r="M73" s="6191">
        <f>E73+G73+K73</f>
        <v>118000</v>
      </c>
      <c r="N73" s="3568">
        <f>F73+H73+L73</f>
        <v>65333.540000000008</v>
      </c>
      <c r="O73" s="6232">
        <f>+O60</f>
        <v>46000</v>
      </c>
      <c r="P73" s="245">
        <v>26859.920000000002</v>
      </c>
      <c r="Q73" s="6226">
        <f>O73+M73</f>
        <v>164000</v>
      </c>
      <c r="R73" s="2457">
        <f t="shared" ref="R73:R75" si="324">N73+P73</f>
        <v>92193.46</v>
      </c>
      <c r="S73" s="6232">
        <f>+S60</f>
        <v>46000</v>
      </c>
      <c r="T73" s="245">
        <v>32613.24000000002</v>
      </c>
      <c r="U73" s="6226">
        <f>S73+Q73</f>
        <v>210000</v>
      </c>
      <c r="V73" s="2557">
        <f t="shared" ref="V73:V75" si="325">R73+T73</f>
        <v>124806.70000000003</v>
      </c>
      <c r="W73" s="6232">
        <f>+W60</f>
        <v>44500</v>
      </c>
      <c r="X73" s="245">
        <v>24161.75999999998</v>
      </c>
      <c r="Y73" s="6191">
        <f>O73+S73+W73</f>
        <v>136500</v>
      </c>
      <c r="Z73" s="3568">
        <f>P73+T73+X73</f>
        <v>83634.92</v>
      </c>
      <c r="AA73" s="6192">
        <f>M73+Y73</f>
        <v>254500</v>
      </c>
      <c r="AB73" s="3565">
        <f>N73+Z73</f>
        <v>148968.46000000002</v>
      </c>
      <c r="AC73" s="6232">
        <f>+AC60</f>
        <v>46000</v>
      </c>
      <c r="AD73" s="245">
        <v>29935.159999999996</v>
      </c>
      <c r="AE73" s="6226">
        <f>AC73+AA73</f>
        <v>300500</v>
      </c>
      <c r="AF73" s="4050">
        <f t="shared" ref="AF73:AF75" si="326">AB73+AD73</f>
        <v>178903.62000000002</v>
      </c>
      <c r="AG73" s="6201">
        <f>+AG60</f>
        <v>44500</v>
      </c>
      <c r="AH73" s="245">
        <v>33096.039999999994</v>
      </c>
      <c r="AI73" s="6204">
        <f>AG73+AE73</f>
        <v>345000</v>
      </c>
      <c r="AJ73" s="4394">
        <f t="shared" ref="AJ73:AJ75" si="327">AF73+AH73</f>
        <v>211999.66000000003</v>
      </c>
      <c r="AK73" s="6232">
        <f>+AK60</f>
        <v>46000</v>
      </c>
      <c r="AL73" s="245">
        <v>31273.920000000002</v>
      </c>
      <c r="AM73" s="6191">
        <f>AC73+AG73+AK73</f>
        <v>136500</v>
      </c>
      <c r="AN73" s="4282">
        <f>AD73+AH73+AL73</f>
        <v>94305.12</v>
      </c>
      <c r="AO73" s="6226">
        <f>AI73+AK73</f>
        <v>391000</v>
      </c>
      <c r="AP73" s="4277">
        <f t="shared" si="305"/>
        <v>243273.58000000005</v>
      </c>
      <c r="AQ73" s="6201">
        <f>+AQ60</f>
        <v>46000</v>
      </c>
      <c r="AR73" s="245">
        <v>32312.600000000002</v>
      </c>
      <c r="AS73" s="6204">
        <f>AQ73+AO73</f>
        <v>437000</v>
      </c>
      <c r="AT73" s="4456">
        <f t="shared" ref="AT73:AT75" si="328">AP73+AR73</f>
        <v>275586.18000000005</v>
      </c>
      <c r="AU73" s="6201">
        <f>+AU60</f>
        <v>42000</v>
      </c>
      <c r="AV73" s="245">
        <v>26944.860000000008</v>
      </c>
      <c r="AW73" s="6204">
        <f>AU73+AS73</f>
        <v>479000</v>
      </c>
      <c r="AX73" s="4635">
        <f t="shared" ref="AX73:AX75" si="329">AT73+AV73</f>
        <v>302531.04000000004</v>
      </c>
      <c r="AY73" s="6201">
        <f>+AY60</f>
        <v>46000</v>
      </c>
      <c r="AZ73" s="245">
        <v>32757.22</v>
      </c>
      <c r="BA73" s="6191">
        <f>AQ73+AU73+AY73</f>
        <v>134000</v>
      </c>
      <c r="BB73" s="5136">
        <f>AR73+AV73+AZ73</f>
        <v>92014.680000000008</v>
      </c>
      <c r="BC73" s="6192">
        <f>AM73+BA73</f>
        <v>270500</v>
      </c>
      <c r="BD73" s="5143">
        <f t="shared" ref="BD73:BD74" si="330">AN73+BB73</f>
        <v>186319.8</v>
      </c>
      <c r="BE73" s="6204">
        <f>AY73+AW73</f>
        <v>525000</v>
      </c>
      <c r="BF73" s="5127">
        <f t="shared" ref="BF73:BF75" si="331">AX73+AZ73</f>
        <v>335288.26</v>
      </c>
      <c r="BG73" s="26"/>
      <c r="BH73" s="26"/>
      <c r="BI73" s="26"/>
      <c r="BJ73" s="26"/>
    </row>
    <row r="74" spans="1:62" ht="20.25" customHeight="1" x14ac:dyDescent="0.25">
      <c r="A74" s="122"/>
      <c r="B74" s="2003" t="s">
        <v>25</v>
      </c>
      <c r="C74" s="243" t="s">
        <v>52</v>
      </c>
      <c r="D74" s="6232"/>
      <c r="E74" s="6232"/>
      <c r="F74" s="245">
        <v>9266.7599999999984</v>
      </c>
      <c r="G74" s="6232"/>
      <c r="H74" s="245">
        <v>8264.7899999999991</v>
      </c>
      <c r="I74" s="6226"/>
      <c r="J74" s="2457">
        <f t="shared" si="300"/>
        <v>17531.549999999996</v>
      </c>
      <c r="K74" s="6232"/>
      <c r="L74" s="245">
        <v>8150.0699999999988</v>
      </c>
      <c r="M74" s="6191"/>
      <c r="N74" s="3568">
        <f>F74+H74+L74</f>
        <v>25681.619999999995</v>
      </c>
      <c r="O74" s="6232"/>
      <c r="P74" s="245">
        <v>11606.250000000002</v>
      </c>
      <c r="Q74" s="6226"/>
      <c r="R74" s="2457">
        <f t="shared" si="324"/>
        <v>37287.869999999995</v>
      </c>
      <c r="S74" s="6232"/>
      <c r="T74" s="245">
        <v>11970.969999999996</v>
      </c>
      <c r="U74" s="6226"/>
      <c r="V74" s="2557">
        <f t="shared" si="325"/>
        <v>49258.839999999989</v>
      </c>
      <c r="W74" s="6232"/>
      <c r="X74" s="245">
        <v>9072.409999999998</v>
      </c>
      <c r="Y74" s="6191">
        <f t="shared" ref="Y74:Y75" si="332">O74+S74+W74</f>
        <v>0</v>
      </c>
      <c r="Z74" s="3568">
        <f>P74+T74+X74</f>
        <v>32649.629999999997</v>
      </c>
      <c r="AA74" s="6192"/>
      <c r="AB74" s="3565">
        <f>N74+Z74</f>
        <v>58331.249999999993</v>
      </c>
      <c r="AC74" s="6232"/>
      <c r="AD74" s="245">
        <v>10213.77</v>
      </c>
      <c r="AE74" s="6226"/>
      <c r="AF74" s="4050">
        <f t="shared" si="326"/>
        <v>68545.01999999999</v>
      </c>
      <c r="AG74" s="6202"/>
      <c r="AH74" s="245">
        <v>6490.17</v>
      </c>
      <c r="AI74" s="6205"/>
      <c r="AJ74" s="4394">
        <f t="shared" si="327"/>
        <v>75035.189999999988</v>
      </c>
      <c r="AK74" s="6232"/>
      <c r="AL74" s="245">
        <v>9280.7300000000014</v>
      </c>
      <c r="AM74" s="6191">
        <f t="shared" ref="AM74:AM75" si="333">AC74+AG74+AK74</f>
        <v>0</v>
      </c>
      <c r="AN74" s="4282">
        <f>AD74+AH74+AL74</f>
        <v>25984.670000000006</v>
      </c>
      <c r="AO74" s="6226"/>
      <c r="AP74" s="4277">
        <f t="shared" si="305"/>
        <v>84315.919999999984</v>
      </c>
      <c r="AQ74" s="6202"/>
      <c r="AR74" s="245">
        <v>7979.14</v>
      </c>
      <c r="AS74" s="6205"/>
      <c r="AT74" s="4456">
        <f t="shared" si="328"/>
        <v>92295.059999999983</v>
      </c>
      <c r="AU74" s="6202"/>
      <c r="AV74" s="245">
        <v>11616.269999999999</v>
      </c>
      <c r="AW74" s="6205"/>
      <c r="AX74" s="4635">
        <f t="shared" si="329"/>
        <v>103911.32999999999</v>
      </c>
      <c r="AY74" s="6202"/>
      <c r="AZ74" s="245">
        <v>13602.999999999996</v>
      </c>
      <c r="BA74" s="6191">
        <f t="shared" ref="BA74:BA75" si="334">AQ74+AU74+AY74</f>
        <v>0</v>
      </c>
      <c r="BB74" s="5136">
        <f>AR74+AV74+AZ74</f>
        <v>33198.409999999996</v>
      </c>
      <c r="BC74" s="6192"/>
      <c r="BD74" s="5143">
        <f t="shared" si="330"/>
        <v>59183.08</v>
      </c>
      <c r="BE74" s="6205"/>
      <c r="BF74" s="5127">
        <f t="shared" si="331"/>
        <v>117514.32999999999</v>
      </c>
      <c r="BG74" s="26"/>
      <c r="BH74" s="26"/>
      <c r="BI74" s="26"/>
      <c r="BJ74" s="26"/>
    </row>
    <row r="75" spans="1:62" ht="20.25" x14ac:dyDescent="0.25">
      <c r="A75" s="122"/>
      <c r="B75" s="2463" t="s">
        <v>2</v>
      </c>
      <c r="C75" s="1252" t="s">
        <v>52</v>
      </c>
      <c r="D75" s="6232"/>
      <c r="E75" s="6232"/>
      <c r="F75" s="781">
        <f>SUM(F73:F74)</f>
        <v>37547.600000000006</v>
      </c>
      <c r="G75" s="6232"/>
      <c r="H75" s="781">
        <f>SUM(H73:H74)</f>
        <v>29799.489999999998</v>
      </c>
      <c r="I75" s="6226"/>
      <c r="J75" s="782">
        <f t="shared" si="300"/>
        <v>67347.09</v>
      </c>
      <c r="K75" s="6232"/>
      <c r="L75" s="781">
        <f>SUM(L73:L74)</f>
        <v>23668.07</v>
      </c>
      <c r="M75" s="6191"/>
      <c r="N75" s="3566">
        <f>F75+H75+L75</f>
        <v>91015.16</v>
      </c>
      <c r="O75" s="6232"/>
      <c r="P75" s="781">
        <f>SUM(P73:P74)</f>
        <v>38466.170000000006</v>
      </c>
      <c r="Q75" s="6226"/>
      <c r="R75" s="782">
        <f t="shared" si="324"/>
        <v>129481.33000000002</v>
      </c>
      <c r="S75" s="6232"/>
      <c r="T75" s="2560">
        <f>SUM(T73:T74)</f>
        <v>44584.210000000014</v>
      </c>
      <c r="U75" s="6226"/>
      <c r="V75" s="2558">
        <f t="shared" si="325"/>
        <v>174065.54000000004</v>
      </c>
      <c r="W75" s="6232"/>
      <c r="X75" s="3392">
        <f>SUM(X73:X74)</f>
        <v>33234.169999999976</v>
      </c>
      <c r="Y75" s="6191">
        <f t="shared" si="332"/>
        <v>0</v>
      </c>
      <c r="Z75" s="3566">
        <f>P75+T75+X75</f>
        <v>116284.54999999999</v>
      </c>
      <c r="AA75" s="6192"/>
      <c r="AB75" s="3564">
        <f>N75+Z75</f>
        <v>207299.71</v>
      </c>
      <c r="AC75" s="6232"/>
      <c r="AD75" s="4046">
        <f>SUM(AD73:AD74)</f>
        <v>40148.929999999993</v>
      </c>
      <c r="AE75" s="6226"/>
      <c r="AF75" s="4051">
        <f t="shared" si="326"/>
        <v>247448.63999999998</v>
      </c>
      <c r="AG75" s="6203"/>
      <c r="AH75" s="4395">
        <f>SUM(AH73:AH74)</f>
        <v>39586.209999999992</v>
      </c>
      <c r="AI75" s="6206"/>
      <c r="AJ75" s="4392">
        <f t="shared" si="327"/>
        <v>287034.84999999998</v>
      </c>
      <c r="AK75" s="6232"/>
      <c r="AL75" s="4272">
        <f>SUM(AL73:AL74)</f>
        <v>40554.65</v>
      </c>
      <c r="AM75" s="6191">
        <f t="shared" si="333"/>
        <v>0</v>
      </c>
      <c r="AN75" s="4283">
        <f>AD75+AH75+AL75</f>
        <v>120289.78999999998</v>
      </c>
      <c r="AO75" s="6226"/>
      <c r="AP75" s="4273">
        <f t="shared" si="305"/>
        <v>327589.5</v>
      </c>
      <c r="AQ75" s="6203"/>
      <c r="AR75" s="4452">
        <f>SUM(AR73:AR74)</f>
        <v>40291.740000000005</v>
      </c>
      <c r="AS75" s="6206"/>
      <c r="AT75" s="4453">
        <f t="shared" si="328"/>
        <v>367881.24</v>
      </c>
      <c r="AU75" s="6203"/>
      <c r="AV75" s="4629">
        <f>SUM(AV73:AV74)</f>
        <v>38561.130000000005</v>
      </c>
      <c r="AW75" s="6206"/>
      <c r="AX75" s="4630">
        <f t="shared" si="329"/>
        <v>406442.37</v>
      </c>
      <c r="AY75" s="6203"/>
      <c r="AZ75" s="5128">
        <f>SUM(AZ73:AZ74)</f>
        <v>46360.22</v>
      </c>
      <c r="BA75" s="6191">
        <f t="shared" si="334"/>
        <v>0</v>
      </c>
      <c r="BB75" s="5129">
        <f>AR75+AV75+AZ75</f>
        <v>125213.09000000001</v>
      </c>
      <c r="BC75" s="6192"/>
      <c r="BD75" s="5140">
        <f>AN75+BB75</f>
        <v>245502.88</v>
      </c>
      <c r="BE75" s="6206"/>
      <c r="BF75" s="5124">
        <f t="shared" si="331"/>
        <v>452802.58999999997</v>
      </c>
      <c r="BG75" s="26"/>
      <c r="BH75" s="26"/>
      <c r="BI75" s="26"/>
      <c r="BJ75" s="26"/>
    </row>
    <row r="76" spans="1:62" s="183" customFormat="1" ht="20.25" x14ac:dyDescent="0.3">
      <c r="A76" s="188"/>
      <c r="B76" s="1246" t="s">
        <v>521</v>
      </c>
      <c r="C76" s="299"/>
      <c r="D76" s="299"/>
      <c r="E76" s="2482"/>
      <c r="F76" s="2482"/>
      <c r="G76" s="2482"/>
      <c r="H76" s="2482"/>
      <c r="I76" s="2482"/>
      <c r="J76" s="2482"/>
      <c r="K76" s="2482"/>
      <c r="L76" s="2482"/>
      <c r="M76" s="2482"/>
      <c r="N76" s="2482"/>
      <c r="O76" s="2482"/>
      <c r="P76" s="2482"/>
      <c r="Q76" s="2482"/>
      <c r="R76" s="2482"/>
      <c r="S76" s="2482"/>
      <c r="T76" s="2482"/>
      <c r="U76" s="2482"/>
      <c r="V76" s="2482"/>
      <c r="W76" s="2482"/>
      <c r="X76" s="2482"/>
      <c r="Y76" s="2482"/>
      <c r="Z76" s="2482"/>
      <c r="AA76" s="2482"/>
      <c r="AB76" s="2482"/>
      <c r="AC76" s="2482"/>
      <c r="AD76" s="2482"/>
      <c r="AE76" s="2482"/>
      <c r="AF76" s="2482"/>
      <c r="AG76" s="2482"/>
      <c r="AH76" s="2482"/>
      <c r="AI76" s="2482"/>
      <c r="AJ76" s="2482"/>
      <c r="AK76" s="2482"/>
      <c r="AL76" s="2482"/>
      <c r="AM76" s="2482"/>
      <c r="AN76" s="2482"/>
      <c r="AO76" s="2482"/>
      <c r="AP76" s="2482"/>
      <c r="AQ76" s="2482"/>
      <c r="AR76" s="2482"/>
      <c r="AS76" s="2482"/>
      <c r="AT76" s="2482"/>
      <c r="AU76" s="2482"/>
      <c r="AV76" s="2482"/>
      <c r="AW76" s="2482"/>
      <c r="AX76" s="2482"/>
      <c r="AY76" s="2482"/>
      <c r="AZ76" s="2482"/>
      <c r="BA76" s="2482"/>
      <c r="BB76" s="2482"/>
      <c r="BC76" s="2482"/>
      <c r="BD76" s="2482"/>
      <c r="BE76" s="2482"/>
      <c r="BF76" s="2482"/>
      <c r="BG76" s="26"/>
      <c r="BH76" s="26"/>
      <c r="BI76" s="26"/>
      <c r="BJ76" s="26"/>
    </row>
    <row r="77" spans="1:62" ht="20.25" customHeight="1" x14ac:dyDescent="0.25">
      <c r="A77" s="122"/>
      <c r="B77" s="2003" t="s">
        <v>24</v>
      </c>
      <c r="C77" s="243" t="s">
        <v>52</v>
      </c>
      <c r="D77" s="6232">
        <f>+D61</f>
        <v>650000</v>
      </c>
      <c r="E77" s="6232">
        <f>+E61</f>
        <v>54000.486872227273</v>
      </c>
      <c r="F77" s="245">
        <v>43100.840000000004</v>
      </c>
      <c r="G77" s="6232">
        <f>+G61</f>
        <v>41500.44144996407</v>
      </c>
      <c r="H77" s="245">
        <v>43460.960000000006</v>
      </c>
      <c r="I77" s="6226">
        <f>E77+G77</f>
        <v>95500.92832219135</v>
      </c>
      <c r="J77" s="2457">
        <f t="shared" si="300"/>
        <v>86561.800000000017</v>
      </c>
      <c r="K77" s="6232">
        <f>+K61</f>
        <v>56500.27133862226</v>
      </c>
      <c r="L77" s="245">
        <v>38747.420000000006</v>
      </c>
      <c r="M77" s="6191">
        <f>E77+G77+K77</f>
        <v>152001.19966081361</v>
      </c>
      <c r="N77" s="3568">
        <f>F77+H77+L77</f>
        <v>125309.22000000003</v>
      </c>
      <c r="O77" s="6232">
        <f>+O61</f>
        <v>52000.374234374751</v>
      </c>
      <c r="P77" s="245">
        <v>53192.560000000005</v>
      </c>
      <c r="Q77" s="6226">
        <f>M77+O77</f>
        <v>204001.57389518837</v>
      </c>
      <c r="R77" s="2457">
        <f t="shared" ref="R77:R79" si="335">N77+P77</f>
        <v>178501.78000000003</v>
      </c>
      <c r="S77" s="6232">
        <f>+S61</f>
        <v>52000.373964374739</v>
      </c>
      <c r="T77" s="245">
        <v>44995.28</v>
      </c>
      <c r="U77" s="6226">
        <f>Q77+S77</f>
        <v>256001.94785956311</v>
      </c>
      <c r="V77" s="2557">
        <f t="shared" ref="V77:V79" si="336">R77+T77</f>
        <v>223497.06000000003</v>
      </c>
      <c r="W77" s="6232">
        <f>+W61</f>
        <v>49999.901966540951</v>
      </c>
      <c r="X77" s="245">
        <v>45257.579999999994</v>
      </c>
      <c r="Y77" s="6191">
        <f>O77+S77+W77</f>
        <v>154000.65016529046</v>
      </c>
      <c r="Z77" s="3568">
        <f>P77+T77+X77</f>
        <v>143445.41999999998</v>
      </c>
      <c r="AA77" s="6192">
        <f>M77+Y77</f>
        <v>306001.84982610407</v>
      </c>
      <c r="AB77" s="3565">
        <f>N77+Z77</f>
        <v>268754.64</v>
      </c>
      <c r="AC77" s="6232">
        <f>+AC61</f>
        <v>57499.147549254507</v>
      </c>
      <c r="AD77" s="245">
        <v>50967.68</v>
      </c>
      <c r="AE77" s="6226">
        <f>AA77+AC77</f>
        <v>363500.99737535859</v>
      </c>
      <c r="AF77" s="4050">
        <f t="shared" ref="AF77:AF79" si="337">AB77+AD77</f>
        <v>319722.32</v>
      </c>
      <c r="AG77" s="6201">
        <f>+AG61</f>
        <v>55500.279325031559</v>
      </c>
      <c r="AH77" s="245">
        <v>37293.589999999989</v>
      </c>
      <c r="AI77" s="6204">
        <f>AE77+AG77</f>
        <v>419001.27670039015</v>
      </c>
      <c r="AJ77" s="4394">
        <f t="shared" ref="AJ77:AJ79" si="338">AF77+AH77</f>
        <v>357015.91</v>
      </c>
      <c r="AK77" s="6232">
        <f>+AK61</f>
        <v>58499.543775669597</v>
      </c>
      <c r="AL77" s="245">
        <v>44971.14</v>
      </c>
      <c r="AM77" s="6191">
        <f>AC77+AG77+AK77</f>
        <v>171498.97064995565</v>
      </c>
      <c r="AN77" s="4282">
        <f>AD77+AH77+AL77</f>
        <v>133232.40999999997</v>
      </c>
      <c r="AO77" s="6226">
        <f>AI77+AK77</f>
        <v>477500.82047605974</v>
      </c>
      <c r="AP77" s="4277">
        <f t="shared" si="305"/>
        <v>401987.05</v>
      </c>
      <c r="AQ77" s="6201">
        <f>+AQ61</f>
        <v>58499.543775669597</v>
      </c>
      <c r="AR77" s="245">
        <v>37054.42</v>
      </c>
      <c r="AS77" s="6204">
        <f>AO77+AQ77</f>
        <v>536000.36425172933</v>
      </c>
      <c r="AT77" s="4456">
        <f t="shared" ref="AT77:AT79" si="339">AP77+AR77</f>
        <v>439041.47</v>
      </c>
      <c r="AU77" s="6201">
        <f>+AU61</f>
        <v>54999.612159368837</v>
      </c>
      <c r="AV77" s="245">
        <v>34074.340000000011</v>
      </c>
      <c r="AW77" s="6204">
        <f>AS77+AU77</f>
        <v>590999.97641109815</v>
      </c>
      <c r="AX77" s="4635">
        <f t="shared" ref="AX77:AX79" si="340">AT77+AV77</f>
        <v>473115.81</v>
      </c>
      <c r="AY77" s="6201">
        <f>+AY61</f>
        <v>58999.940002084688</v>
      </c>
      <c r="AZ77" s="245">
        <v>47572.099999999991</v>
      </c>
      <c r="BA77" s="6191">
        <f>AQ77+AU77+AY77</f>
        <v>172499.09593712311</v>
      </c>
      <c r="BB77" s="5136">
        <f>AR77+AV77+AZ77</f>
        <v>118700.86</v>
      </c>
      <c r="BC77" s="6192">
        <f>AM77+BA77</f>
        <v>343998.06658707873</v>
      </c>
      <c r="BD77" s="5143">
        <f t="shared" ref="BD77:BD78" si="341">AN77+BB77</f>
        <v>251933.26999999996</v>
      </c>
      <c r="BE77" s="6204">
        <f>AW77+AY77</f>
        <v>649999.91641318286</v>
      </c>
      <c r="BF77" s="5127">
        <f t="shared" ref="BF77:BF79" si="342">AX77+AZ77</f>
        <v>520687.91</v>
      </c>
      <c r="BG77" s="26"/>
      <c r="BH77" s="26"/>
      <c r="BI77" s="26"/>
      <c r="BJ77" s="26"/>
    </row>
    <row r="78" spans="1:62" ht="20.25" customHeight="1" x14ac:dyDescent="0.25">
      <c r="A78" s="122"/>
      <c r="B78" s="2003" t="s">
        <v>25</v>
      </c>
      <c r="C78" s="243" t="s">
        <v>52</v>
      </c>
      <c r="D78" s="6232"/>
      <c r="E78" s="6232"/>
      <c r="F78" s="245">
        <v>12311.840000000002</v>
      </c>
      <c r="G78" s="6232"/>
      <c r="H78" s="245">
        <v>5770.5200000000013</v>
      </c>
      <c r="I78" s="6226"/>
      <c r="J78" s="2457">
        <f t="shared" si="300"/>
        <v>18082.360000000004</v>
      </c>
      <c r="K78" s="6232"/>
      <c r="L78" s="245">
        <v>9458.44</v>
      </c>
      <c r="M78" s="6191"/>
      <c r="N78" s="3568">
        <f>F78+H78+L78</f>
        <v>27540.800000000003</v>
      </c>
      <c r="O78" s="6232"/>
      <c r="P78" s="245">
        <v>14891.170000000009</v>
      </c>
      <c r="Q78" s="6226"/>
      <c r="R78" s="2457">
        <f t="shared" si="335"/>
        <v>42431.970000000016</v>
      </c>
      <c r="S78" s="6232"/>
      <c r="T78" s="245">
        <v>12505.25</v>
      </c>
      <c r="U78" s="6226"/>
      <c r="V78" s="2557">
        <f t="shared" si="336"/>
        <v>54937.220000000016</v>
      </c>
      <c r="W78" s="6232"/>
      <c r="X78" s="245">
        <v>12645.239999999998</v>
      </c>
      <c r="Y78" s="6191">
        <f t="shared" ref="Y78:Y79" si="343">O78+S78+W78</f>
        <v>0</v>
      </c>
      <c r="Z78" s="3568">
        <f>P78+T78+X78</f>
        <v>40041.660000000003</v>
      </c>
      <c r="AA78" s="6192"/>
      <c r="AB78" s="3565">
        <f>N78+Z78</f>
        <v>67582.460000000006</v>
      </c>
      <c r="AC78" s="6232"/>
      <c r="AD78" s="245">
        <v>11724.319999999998</v>
      </c>
      <c r="AE78" s="6226"/>
      <c r="AF78" s="4050">
        <f t="shared" si="337"/>
        <v>79306.78</v>
      </c>
      <c r="AG78" s="6202"/>
      <c r="AH78" s="245">
        <v>9512.9799999999959</v>
      </c>
      <c r="AI78" s="6205"/>
      <c r="AJ78" s="4394">
        <f t="shared" si="338"/>
        <v>88819.76</v>
      </c>
      <c r="AK78" s="6232"/>
      <c r="AL78" s="245">
        <v>10868.099999999997</v>
      </c>
      <c r="AM78" s="6191">
        <f t="shared" ref="AM78:AM79" si="344">AC78+AG78+AK78</f>
        <v>0</v>
      </c>
      <c r="AN78" s="4282">
        <f>AD78+AH78+AL78</f>
        <v>32105.399999999994</v>
      </c>
      <c r="AO78" s="6226"/>
      <c r="AP78" s="4277">
        <f t="shared" si="305"/>
        <v>99687.859999999986</v>
      </c>
      <c r="AQ78" s="6202"/>
      <c r="AR78" s="245">
        <v>10022.779999999999</v>
      </c>
      <c r="AS78" s="6205"/>
      <c r="AT78" s="4456">
        <f t="shared" si="339"/>
        <v>109710.63999999998</v>
      </c>
      <c r="AU78" s="6202"/>
      <c r="AV78" s="245">
        <v>14950.119999999997</v>
      </c>
      <c r="AW78" s="6205"/>
      <c r="AX78" s="4635">
        <f t="shared" si="340"/>
        <v>124660.75999999998</v>
      </c>
      <c r="AY78" s="6202"/>
      <c r="AZ78" s="245">
        <v>11778.860000000004</v>
      </c>
      <c r="BA78" s="6191">
        <f t="shared" ref="BA78:BA79" si="345">AQ78+AU78+AY78</f>
        <v>0</v>
      </c>
      <c r="BB78" s="5136">
        <f>AR78+AV78+AZ78</f>
        <v>36751.759999999995</v>
      </c>
      <c r="BC78" s="6192"/>
      <c r="BD78" s="5143">
        <f t="shared" si="341"/>
        <v>68857.159999999989</v>
      </c>
      <c r="BE78" s="6205"/>
      <c r="BF78" s="5127">
        <f t="shared" si="342"/>
        <v>136439.62</v>
      </c>
      <c r="BG78" s="26"/>
      <c r="BH78" s="26"/>
      <c r="BI78" s="26"/>
      <c r="BJ78" s="26"/>
    </row>
    <row r="79" spans="1:62" ht="20.25" x14ac:dyDescent="0.25">
      <c r="A79" s="122"/>
      <c r="B79" s="2463" t="s">
        <v>2</v>
      </c>
      <c r="C79" s="1252" t="s">
        <v>52</v>
      </c>
      <c r="D79" s="6232"/>
      <c r="E79" s="6232"/>
      <c r="F79" s="781">
        <f>SUM(F77:F78)</f>
        <v>55412.680000000008</v>
      </c>
      <c r="G79" s="6232"/>
      <c r="H79" s="781">
        <f>SUM(H77:H78)</f>
        <v>49231.48000000001</v>
      </c>
      <c r="I79" s="6226"/>
      <c r="J79" s="782">
        <f t="shared" si="300"/>
        <v>104644.16000000002</v>
      </c>
      <c r="K79" s="6232"/>
      <c r="L79" s="781">
        <f>SUM(L77:L78)</f>
        <v>48205.860000000008</v>
      </c>
      <c r="M79" s="6191"/>
      <c r="N79" s="3566">
        <f>F79+H79+L79</f>
        <v>152850.02000000002</v>
      </c>
      <c r="O79" s="6232"/>
      <c r="P79" s="781">
        <f>SUM(P77:P78)</f>
        <v>68083.73000000001</v>
      </c>
      <c r="Q79" s="6226"/>
      <c r="R79" s="782">
        <f t="shared" si="335"/>
        <v>220933.75000000003</v>
      </c>
      <c r="S79" s="6232"/>
      <c r="T79" s="2560">
        <f>SUM(T77:T78)</f>
        <v>57500.53</v>
      </c>
      <c r="U79" s="6226"/>
      <c r="V79" s="2558">
        <f t="shared" si="336"/>
        <v>278434.28000000003</v>
      </c>
      <c r="W79" s="6232"/>
      <c r="X79" s="3392">
        <f>SUM(X77:X78)</f>
        <v>57902.819999999992</v>
      </c>
      <c r="Y79" s="6191">
        <f t="shared" si="343"/>
        <v>0</v>
      </c>
      <c r="Z79" s="3566">
        <f>P79+T79+X79</f>
        <v>183487.08000000002</v>
      </c>
      <c r="AA79" s="6192"/>
      <c r="AB79" s="3564">
        <f>N79+Z79</f>
        <v>336337.10000000003</v>
      </c>
      <c r="AC79" s="6232"/>
      <c r="AD79" s="4046">
        <f>SUM(AD77:AD78)</f>
        <v>62692</v>
      </c>
      <c r="AE79" s="6226"/>
      <c r="AF79" s="4051">
        <f t="shared" si="337"/>
        <v>399029.10000000003</v>
      </c>
      <c r="AG79" s="6203"/>
      <c r="AH79" s="4395">
        <f>SUM(AH77:AH78)</f>
        <v>46806.569999999985</v>
      </c>
      <c r="AI79" s="6206"/>
      <c r="AJ79" s="4392">
        <f t="shared" si="338"/>
        <v>445835.67000000004</v>
      </c>
      <c r="AK79" s="6232"/>
      <c r="AL79" s="4272">
        <f>SUM(AL77:AL78)</f>
        <v>55839.24</v>
      </c>
      <c r="AM79" s="6191">
        <f t="shared" si="344"/>
        <v>0</v>
      </c>
      <c r="AN79" s="4283">
        <f>AD79+AH79+AL79</f>
        <v>165337.80999999997</v>
      </c>
      <c r="AO79" s="6226"/>
      <c r="AP79" s="4273">
        <f t="shared" si="305"/>
        <v>501674.91000000003</v>
      </c>
      <c r="AQ79" s="6203"/>
      <c r="AR79" s="4452">
        <f>SUM(AR77:AR78)</f>
        <v>47077.2</v>
      </c>
      <c r="AS79" s="6206"/>
      <c r="AT79" s="4453">
        <f t="shared" si="339"/>
        <v>548752.11</v>
      </c>
      <c r="AU79" s="6203"/>
      <c r="AV79" s="4629">
        <f>SUM(AV77:AV78)</f>
        <v>49024.460000000006</v>
      </c>
      <c r="AW79" s="6206"/>
      <c r="AX79" s="4630">
        <f t="shared" si="340"/>
        <v>597776.56999999995</v>
      </c>
      <c r="AY79" s="6203"/>
      <c r="AZ79" s="5128">
        <f>SUM(AZ77:AZ78)</f>
        <v>59350.959999999992</v>
      </c>
      <c r="BA79" s="6191">
        <f t="shared" si="345"/>
        <v>0</v>
      </c>
      <c r="BB79" s="5129">
        <f>AR79+AV79+AZ79</f>
        <v>155452.62</v>
      </c>
      <c r="BC79" s="6192"/>
      <c r="BD79" s="5140">
        <f>AN79+BB79</f>
        <v>320790.42999999993</v>
      </c>
      <c r="BE79" s="6206"/>
      <c r="BF79" s="5124">
        <f t="shared" si="342"/>
        <v>657127.52999999991</v>
      </c>
      <c r="BG79" s="26"/>
      <c r="BH79" s="26"/>
      <c r="BI79" s="26"/>
      <c r="BJ79" s="26"/>
    </row>
    <row r="80" spans="1:62" s="183" customFormat="1" ht="20.25" x14ac:dyDescent="0.3">
      <c r="A80" s="188"/>
      <c r="B80" s="1271" t="s">
        <v>119</v>
      </c>
      <c r="C80" s="334"/>
      <c r="D80" s="334"/>
      <c r="E80" s="2476"/>
      <c r="F80" s="2476"/>
      <c r="G80" s="2476"/>
      <c r="H80" s="2476"/>
      <c r="I80" s="2476"/>
      <c r="J80" s="2476"/>
      <c r="K80" s="2476"/>
      <c r="L80" s="2476"/>
      <c r="M80" s="2476"/>
      <c r="N80" s="2476"/>
      <c r="O80" s="2476"/>
      <c r="P80" s="2476"/>
      <c r="Q80" s="2476"/>
      <c r="R80" s="2476"/>
      <c r="S80" s="2476"/>
      <c r="T80" s="2476"/>
      <c r="U80" s="2476"/>
      <c r="V80" s="2476"/>
      <c r="W80" s="2476"/>
      <c r="X80" s="2476"/>
      <c r="Y80" s="2476"/>
      <c r="Z80" s="2476"/>
      <c r="AA80" s="2476"/>
      <c r="AB80" s="2476"/>
      <c r="AC80" s="2476"/>
      <c r="AD80" s="2476"/>
      <c r="AE80" s="2476"/>
      <c r="AF80" s="2476"/>
      <c r="AG80" s="2476"/>
      <c r="AH80" s="2476"/>
      <c r="AI80" s="2476"/>
      <c r="AJ80" s="2476"/>
      <c r="AK80" s="2476"/>
      <c r="AL80" s="2476"/>
      <c r="AM80" s="2476"/>
      <c r="AN80" s="2476"/>
      <c r="AO80" s="2476"/>
      <c r="AP80" s="2476"/>
      <c r="AQ80" s="2476"/>
      <c r="AR80" s="2476"/>
      <c r="AS80" s="2476"/>
      <c r="AT80" s="2476"/>
      <c r="AU80" s="2476"/>
      <c r="AV80" s="2476"/>
      <c r="AW80" s="2476"/>
      <c r="AX80" s="2476"/>
      <c r="AY80" s="2476"/>
      <c r="AZ80" s="2476"/>
      <c r="BA80" s="2476"/>
      <c r="BB80" s="2476"/>
      <c r="BC80" s="2476"/>
      <c r="BD80" s="2476"/>
      <c r="BE80" s="2476"/>
      <c r="BF80" s="2476"/>
      <c r="BG80" s="26"/>
      <c r="BH80" s="26"/>
      <c r="BI80" s="26"/>
      <c r="BJ80" s="26"/>
    </row>
    <row r="81" spans="1:62" ht="20.25" x14ac:dyDescent="0.25">
      <c r="A81" s="122"/>
      <c r="B81" s="2463" t="s">
        <v>24</v>
      </c>
      <c r="C81" s="1252" t="s">
        <v>52</v>
      </c>
      <c r="D81" s="6232">
        <f>+D65+D69+D73+D77</f>
        <v>2525000</v>
      </c>
      <c r="E81" s="6232">
        <f>+E65+E69+E73+E77</f>
        <v>213500.48687222728</v>
      </c>
      <c r="F81" s="781">
        <f>+F65+F69+F73+F77</f>
        <v>159666.08000000002</v>
      </c>
      <c r="G81" s="6232">
        <f>+G65+G69+G73+G77</f>
        <v>178000.44144996407</v>
      </c>
      <c r="H81" s="781">
        <f>+H65+H69+H73+H77</f>
        <v>141426.82</v>
      </c>
      <c r="I81" s="6226">
        <f>E81+G81</f>
        <v>391500.92832219135</v>
      </c>
      <c r="J81" s="782">
        <f t="shared" si="300"/>
        <v>301092.90000000002</v>
      </c>
      <c r="K81" s="6232">
        <f>+K65+K69+K73+K77</f>
        <v>173500.27133862226</v>
      </c>
      <c r="L81" s="781">
        <f>+L65+L69+L73+L77</f>
        <v>112183.94</v>
      </c>
      <c r="M81" s="6191">
        <f>E81+G81+K81</f>
        <v>565001.19966081367</v>
      </c>
      <c r="N81" s="783">
        <f>F81+H81+L81</f>
        <v>413276.84</v>
      </c>
      <c r="O81" s="6232">
        <f>+O65+O69+O73+O77</f>
        <v>216500.37423437476</v>
      </c>
      <c r="P81" s="781">
        <f>+P65+P69+P73+P77</f>
        <v>172985.68000000002</v>
      </c>
      <c r="Q81" s="6226">
        <f>M81+O81</f>
        <v>781501.5738951884</v>
      </c>
      <c r="R81" s="782">
        <f t="shared" ref="R81:R83" si="346">N81+P81</f>
        <v>586262.52</v>
      </c>
      <c r="S81" s="6232">
        <f>+S65+S69+S73+S77</f>
        <v>216500.37396437474</v>
      </c>
      <c r="T81" s="2560">
        <f>+T65+T69+T73+T77</f>
        <v>178397.7</v>
      </c>
      <c r="U81" s="6226">
        <f>Q81+S81</f>
        <v>998001.94785956317</v>
      </c>
      <c r="V81" s="2558">
        <f t="shared" ref="V81:V83" si="347">R81+T81</f>
        <v>764660.22</v>
      </c>
      <c r="W81" s="6232">
        <f>+W65+W69+W73+W77</f>
        <v>209999.90196654096</v>
      </c>
      <c r="X81" s="3392">
        <f>+X65+X69+X73+X77</f>
        <v>154561.69999999998</v>
      </c>
      <c r="Y81" s="6191">
        <f>O81+S81+W81</f>
        <v>643000.65016529046</v>
      </c>
      <c r="Z81" s="3393">
        <f>P81+T81+X81</f>
        <v>505945.07999999996</v>
      </c>
      <c r="AA81" s="6192">
        <f>M81+Y81</f>
        <v>1208001.849826104</v>
      </c>
      <c r="AB81" s="3551">
        <f>N81+Z81</f>
        <v>919221.91999999993</v>
      </c>
      <c r="AC81" s="6232">
        <f>+AC65+AC69+AC73+AC77</f>
        <v>222499.1475492545</v>
      </c>
      <c r="AD81" s="4046">
        <f>+AD65+AD69+AD73+AD77</f>
        <v>164873.26</v>
      </c>
      <c r="AE81" s="6226">
        <f>AA81+AC81</f>
        <v>1430500.9973753586</v>
      </c>
      <c r="AF81" s="4051">
        <f t="shared" ref="AF81:AF83" si="348">AB81+AD81</f>
        <v>1084095.18</v>
      </c>
      <c r="AG81" s="6201">
        <f>+AG65+AG69+AG73+AG77</f>
        <v>215500.27932503156</v>
      </c>
      <c r="AH81" s="4395">
        <f>+AH65+AH69+AH73+AH77</f>
        <v>154044.04999999999</v>
      </c>
      <c r="AI81" s="6204">
        <f>AE81+AG81</f>
        <v>1646001.27670039</v>
      </c>
      <c r="AJ81" s="4392">
        <f t="shared" ref="AJ81:AJ83" si="349">AF81+AH81</f>
        <v>1238139.23</v>
      </c>
      <c r="AK81" s="6232">
        <f>+AK65+AK69+AK73+AK77</f>
        <v>223499.54377566959</v>
      </c>
      <c r="AL81" s="4272">
        <f>+AL65+AL69+AL73+AL77</f>
        <v>166233.32</v>
      </c>
      <c r="AM81" s="6191">
        <f>AC81+AG81+AK81</f>
        <v>661498.97064995556</v>
      </c>
      <c r="AN81" s="4283">
        <f>AD81+AH81+AL81</f>
        <v>485150.63</v>
      </c>
      <c r="AO81" s="6226">
        <f>AI81+AK81</f>
        <v>1869500.8204760596</v>
      </c>
      <c r="AP81" s="4273">
        <f t="shared" si="305"/>
        <v>1404372.55</v>
      </c>
      <c r="AQ81" s="6201">
        <f>+AQ65+AQ69+AQ73+AQ77</f>
        <v>223499.54377566959</v>
      </c>
      <c r="AR81" s="4452">
        <f>+AR65+AR69+AR73+AR77</f>
        <v>151596.90000000002</v>
      </c>
      <c r="AS81" s="6204">
        <f>AO81+AQ81</f>
        <v>2093000.3642517291</v>
      </c>
      <c r="AT81" s="4453">
        <f t="shared" ref="AT81:AT83" si="350">AP81+AR81</f>
        <v>1555969.4500000002</v>
      </c>
      <c r="AU81" s="6201">
        <f>+AU65+AU69+AU73+AU77</f>
        <v>207999.61215936884</v>
      </c>
      <c r="AV81" s="4629">
        <f>+AV65+AV69+AV73+AV77</f>
        <v>133782.86000000004</v>
      </c>
      <c r="AW81" s="6204">
        <f>AS81+AU81</f>
        <v>2300999.9764110981</v>
      </c>
      <c r="AX81" s="4630">
        <f t="shared" ref="AX81:AX83" si="351">AT81+AV81</f>
        <v>1689752.3100000003</v>
      </c>
      <c r="AY81" s="6201">
        <f>+AY65+AY69+AY73+AY77</f>
        <v>223999.94000208468</v>
      </c>
      <c r="AZ81" s="5128">
        <f>+AZ65+AZ69+AZ73+AZ77</f>
        <v>158752.70000000001</v>
      </c>
      <c r="BA81" s="6191">
        <f>AQ81+AU81+AY81</f>
        <v>655499.09593712317</v>
      </c>
      <c r="BB81" s="5129">
        <f>AR81+AV81+AZ81</f>
        <v>444132.46000000008</v>
      </c>
      <c r="BC81" s="6192">
        <f>AM81+BA81</f>
        <v>1316998.0665870789</v>
      </c>
      <c r="BD81" s="5140">
        <f>AN81+BB81</f>
        <v>929283.09000000008</v>
      </c>
      <c r="BE81" s="6204">
        <f>AW81+AY81</f>
        <v>2524999.9164131829</v>
      </c>
      <c r="BF81" s="5124">
        <f t="shared" ref="BF81:BF83" si="352">AX81+AZ81</f>
        <v>1848505.0100000002</v>
      </c>
      <c r="BG81" s="26"/>
      <c r="BH81" s="26"/>
      <c r="BI81" s="26"/>
      <c r="BJ81" s="26"/>
    </row>
    <row r="82" spans="1:62" ht="20.25" x14ac:dyDescent="0.25">
      <c r="A82" s="122"/>
      <c r="B82" s="2478" t="s">
        <v>25</v>
      </c>
      <c r="C82" s="335" t="s">
        <v>52</v>
      </c>
      <c r="D82" s="6232"/>
      <c r="E82" s="6232"/>
      <c r="F82" s="748">
        <f>+F66+F70+F74+F78</f>
        <v>37283.85</v>
      </c>
      <c r="G82" s="6232"/>
      <c r="H82" s="748">
        <f>+H66+H70+H74+H78</f>
        <v>28987.469999999998</v>
      </c>
      <c r="I82" s="6226"/>
      <c r="J82" s="782">
        <f t="shared" si="300"/>
        <v>66271.319999999992</v>
      </c>
      <c r="K82" s="6232"/>
      <c r="L82" s="748">
        <f>+L66+L70+L74+L78</f>
        <v>34993.06</v>
      </c>
      <c r="M82" s="6191"/>
      <c r="N82" s="3566">
        <f t="shared" ref="N82:N83" si="353">F82+H82+L82</f>
        <v>101264.37999999999</v>
      </c>
      <c r="O82" s="6232"/>
      <c r="P82" s="748">
        <f>+P66+P70+P74+P78</f>
        <v>51256.540000000008</v>
      </c>
      <c r="Q82" s="6226"/>
      <c r="R82" s="782">
        <f t="shared" si="346"/>
        <v>152520.91999999998</v>
      </c>
      <c r="S82" s="6232"/>
      <c r="T82" s="748">
        <f>+T66+T70+T74+T78</f>
        <v>58179.520000000004</v>
      </c>
      <c r="U82" s="6226"/>
      <c r="V82" s="2558">
        <f t="shared" si="347"/>
        <v>210700.44</v>
      </c>
      <c r="W82" s="6232"/>
      <c r="X82" s="748">
        <f>+X66+X70+X74+X78</f>
        <v>42685.719999999994</v>
      </c>
      <c r="Y82" s="6191">
        <f t="shared" ref="Y82:Y83" si="354">O82+S82+W82</f>
        <v>0</v>
      </c>
      <c r="Z82" s="3566">
        <f t="shared" ref="Z82:Z83" si="355">P82+T82+X82</f>
        <v>152121.78</v>
      </c>
      <c r="AA82" s="6192"/>
      <c r="AB82" s="3564">
        <f t="shared" ref="AB82:AB83" si="356">N82+Z82</f>
        <v>253386.15999999997</v>
      </c>
      <c r="AC82" s="6232"/>
      <c r="AD82" s="748">
        <f>+AD66+AD70+AD74+AD78</f>
        <v>40067.789999999994</v>
      </c>
      <c r="AE82" s="6226"/>
      <c r="AF82" s="4051">
        <f t="shared" si="348"/>
        <v>293453.94999999995</v>
      </c>
      <c r="AG82" s="6202"/>
      <c r="AH82" s="748">
        <f>+AH66+AH70+AH74+AH78</f>
        <v>28530.719999999998</v>
      </c>
      <c r="AI82" s="6205"/>
      <c r="AJ82" s="4392">
        <f t="shared" si="349"/>
        <v>321984.66999999993</v>
      </c>
      <c r="AK82" s="6232"/>
      <c r="AL82" s="748">
        <f>+AL66+AL70+AL74+AL78</f>
        <v>39255.08</v>
      </c>
      <c r="AM82" s="6191">
        <f t="shared" ref="AM82:AM83" si="357">AC82+AG82+AK82</f>
        <v>0</v>
      </c>
      <c r="AN82" s="4283">
        <f t="shared" ref="AN82:AN83" si="358">AD82+AH82+AL82</f>
        <v>107853.59</v>
      </c>
      <c r="AO82" s="6226"/>
      <c r="AP82" s="4273">
        <f t="shared" si="305"/>
        <v>361239.74999999994</v>
      </c>
      <c r="AQ82" s="6202"/>
      <c r="AR82" s="748">
        <f>+AR66+AR70+AR74+AR78</f>
        <v>45192.649999999994</v>
      </c>
      <c r="AS82" s="6205"/>
      <c r="AT82" s="4453">
        <f t="shared" si="350"/>
        <v>406432.39999999991</v>
      </c>
      <c r="AU82" s="6202"/>
      <c r="AV82" s="748">
        <f>+AV66+AV70+AV74+AV78</f>
        <v>53784.039999999986</v>
      </c>
      <c r="AW82" s="6205"/>
      <c r="AX82" s="4630">
        <f t="shared" si="351"/>
        <v>460216.43999999989</v>
      </c>
      <c r="AY82" s="6202"/>
      <c r="AZ82" s="748">
        <f>+AZ66+AZ70+AZ74+AZ78</f>
        <v>56170.33</v>
      </c>
      <c r="BA82" s="6191">
        <f t="shared" ref="BA82:BA83" si="359">AQ82+AU82+AY82</f>
        <v>0</v>
      </c>
      <c r="BB82" s="5129">
        <f t="shared" ref="BB82:BB83" si="360">AR82+AV82+AZ82</f>
        <v>155147.01999999996</v>
      </c>
      <c r="BC82" s="6192"/>
      <c r="BD82" s="5140">
        <f>AN82+BB82</f>
        <v>263000.61</v>
      </c>
      <c r="BE82" s="6205"/>
      <c r="BF82" s="5124">
        <f t="shared" si="352"/>
        <v>516386.7699999999</v>
      </c>
      <c r="BG82" s="26"/>
      <c r="BH82" s="26"/>
      <c r="BI82" s="26"/>
      <c r="BJ82" s="26"/>
    </row>
    <row r="83" spans="1:62" ht="20.25" customHeight="1" x14ac:dyDescent="0.25">
      <c r="A83" s="122"/>
      <c r="B83" s="2463" t="s">
        <v>2</v>
      </c>
      <c r="C83" s="1252" t="s">
        <v>52</v>
      </c>
      <c r="D83" s="6232"/>
      <c r="E83" s="6232"/>
      <c r="F83" s="781">
        <f>SUM(F81:F82)</f>
        <v>196949.93000000002</v>
      </c>
      <c r="G83" s="6232"/>
      <c r="H83" s="781">
        <f>SUM(H81:H82)</f>
        <v>170414.29</v>
      </c>
      <c r="I83" s="6226"/>
      <c r="J83" s="782">
        <f t="shared" si="300"/>
        <v>367364.22000000003</v>
      </c>
      <c r="K83" s="6232"/>
      <c r="L83" s="781">
        <f>SUM(L81:L82)</f>
        <v>147177</v>
      </c>
      <c r="M83" s="6191"/>
      <c r="N83" s="3566">
        <f t="shared" si="353"/>
        <v>514541.22000000003</v>
      </c>
      <c r="O83" s="6232"/>
      <c r="P83" s="781">
        <f>SUM(P81:P82)</f>
        <v>224242.22000000003</v>
      </c>
      <c r="Q83" s="6226"/>
      <c r="R83" s="782">
        <f t="shared" si="346"/>
        <v>738783.44000000006</v>
      </c>
      <c r="S83" s="6232"/>
      <c r="T83" s="2560">
        <f>SUM(T81:T82)</f>
        <v>236577.22000000003</v>
      </c>
      <c r="U83" s="6226"/>
      <c r="V83" s="2558">
        <f t="shared" si="347"/>
        <v>975360.66000000015</v>
      </c>
      <c r="W83" s="6232"/>
      <c r="X83" s="3392">
        <f>SUM(X81:X82)</f>
        <v>197247.41999999998</v>
      </c>
      <c r="Y83" s="6191">
        <f t="shared" si="354"/>
        <v>0</v>
      </c>
      <c r="Z83" s="3566">
        <f t="shared" si="355"/>
        <v>658066.8600000001</v>
      </c>
      <c r="AA83" s="6192"/>
      <c r="AB83" s="3564">
        <f t="shared" si="356"/>
        <v>1172608.08</v>
      </c>
      <c r="AC83" s="6232"/>
      <c r="AD83" s="4046">
        <f>SUM(AD81:AD82)</f>
        <v>204941.05</v>
      </c>
      <c r="AE83" s="6226"/>
      <c r="AF83" s="4051">
        <f t="shared" si="348"/>
        <v>1377549.1300000001</v>
      </c>
      <c r="AG83" s="6203"/>
      <c r="AH83" s="4395">
        <f>SUM(AH81:AH82)</f>
        <v>182574.77</v>
      </c>
      <c r="AI83" s="6206"/>
      <c r="AJ83" s="4392">
        <f t="shared" si="349"/>
        <v>1560123.9000000001</v>
      </c>
      <c r="AK83" s="6232"/>
      <c r="AL83" s="4272">
        <f>SUM(AL81:AL82)</f>
        <v>205488.40000000002</v>
      </c>
      <c r="AM83" s="6191">
        <f t="shared" si="357"/>
        <v>0</v>
      </c>
      <c r="AN83" s="4283">
        <f t="shared" si="358"/>
        <v>593004.22</v>
      </c>
      <c r="AO83" s="6226"/>
      <c r="AP83" s="4273">
        <f t="shared" si="305"/>
        <v>1765612.3000000003</v>
      </c>
      <c r="AQ83" s="6203"/>
      <c r="AR83" s="4452">
        <f>SUM(AR81:AR82)</f>
        <v>196789.55000000002</v>
      </c>
      <c r="AS83" s="6206"/>
      <c r="AT83" s="4453">
        <f t="shared" si="350"/>
        <v>1962401.8500000003</v>
      </c>
      <c r="AU83" s="6203"/>
      <c r="AV83" s="4629">
        <f>SUM(AV81:AV82)</f>
        <v>187566.90000000002</v>
      </c>
      <c r="AW83" s="6206"/>
      <c r="AX83" s="4630">
        <f t="shared" si="351"/>
        <v>2149968.7500000005</v>
      </c>
      <c r="AY83" s="6203"/>
      <c r="AZ83" s="5128">
        <f>SUM(AZ81:AZ82)</f>
        <v>214923.03000000003</v>
      </c>
      <c r="BA83" s="6191">
        <f t="shared" si="359"/>
        <v>0</v>
      </c>
      <c r="BB83" s="5129">
        <f t="shared" si="360"/>
        <v>599279.4800000001</v>
      </c>
      <c r="BC83" s="6192"/>
      <c r="BD83" s="5140">
        <f>AN83+BB83</f>
        <v>1192283.7000000002</v>
      </c>
      <c r="BE83" s="6206"/>
      <c r="BF83" s="5124">
        <f t="shared" si="352"/>
        <v>2364891.7800000003</v>
      </c>
      <c r="BG83" s="26"/>
      <c r="BH83" s="26"/>
      <c r="BI83" s="26"/>
      <c r="BJ83" s="26"/>
    </row>
    <row r="84" spans="1:62" ht="20.25" x14ac:dyDescent="0.25">
      <c r="A84" s="122"/>
      <c r="B84" s="2463" t="s">
        <v>678</v>
      </c>
      <c r="C84" s="1252" t="s">
        <v>51</v>
      </c>
      <c r="D84" s="1252"/>
      <c r="E84" s="1252"/>
      <c r="F84" s="2483">
        <f>+F82/F83*100</f>
        <v>18.930623636169859</v>
      </c>
      <c r="G84" s="1252"/>
      <c r="H84" s="2483">
        <f>+H82/H83*100</f>
        <v>17.00999957221897</v>
      </c>
      <c r="I84" s="2472"/>
      <c r="J84" s="2480">
        <f>+J82/J83*100</f>
        <v>18.039677353445033</v>
      </c>
      <c r="K84" s="1252"/>
      <c r="L84" s="2483">
        <f>+L82/L83*100</f>
        <v>23.776174266359551</v>
      </c>
      <c r="M84" s="2473"/>
      <c r="N84" s="2481">
        <f>+N82/N83*100</f>
        <v>19.680518501510917</v>
      </c>
      <c r="O84" s="1252"/>
      <c r="P84" s="2483">
        <f>+P82/P83*100</f>
        <v>22.857667035226463</v>
      </c>
      <c r="Q84" s="2472"/>
      <c r="R84" s="2480">
        <f>+R82/R83*100</f>
        <v>20.644875310145007</v>
      </c>
      <c r="S84" s="2563"/>
      <c r="T84" s="2483">
        <f>+T82/T83*100</f>
        <v>24.592190237081997</v>
      </c>
      <c r="U84" s="2559"/>
      <c r="V84" s="2480">
        <f>+V82/V83*100</f>
        <v>21.602310677570284</v>
      </c>
      <c r="W84" s="3397"/>
      <c r="X84" s="2483">
        <f>+X82/X83*100</f>
        <v>21.640698773144916</v>
      </c>
      <c r="Y84" s="3398"/>
      <c r="Z84" s="2481">
        <f>+Z82/Z83*100</f>
        <v>23.116462664599151</v>
      </c>
      <c r="AA84" s="3548"/>
      <c r="AB84" s="3553">
        <f>+AB82/AB83*100</f>
        <v>21.608768037825559</v>
      </c>
      <c r="AC84" s="4049"/>
      <c r="AD84" s="2483">
        <f>+AD82/AD83*100</f>
        <v>19.550885486338633</v>
      </c>
      <c r="AE84" s="4053"/>
      <c r="AF84" s="2480">
        <f>+AF82/AF83*100</f>
        <v>21.302612270532954</v>
      </c>
      <c r="AG84" s="4398"/>
      <c r="AH84" s="2483">
        <f>+AH82/AH83*100</f>
        <v>15.626868926084365</v>
      </c>
      <c r="AI84" s="4393"/>
      <c r="AJ84" s="2480">
        <f>+AJ82/AJ83*100</f>
        <v>20.6384037831867</v>
      </c>
      <c r="AK84" s="4278"/>
      <c r="AL84" s="2483">
        <f>+AL82/AL83*100</f>
        <v>19.103307047989084</v>
      </c>
      <c r="AM84" s="4281"/>
      <c r="AN84" s="2481">
        <f>+AN82/AN83*100</f>
        <v>18.187659777530758</v>
      </c>
      <c r="AO84" s="4279"/>
      <c r="AP84" s="2480">
        <f>+AP82/AP83*100</f>
        <v>20.459743625483345</v>
      </c>
      <c r="AQ84" s="4457"/>
      <c r="AR84" s="2483">
        <f>+AR82/AR83*100</f>
        <v>22.964964348970764</v>
      </c>
      <c r="AS84" s="4458"/>
      <c r="AT84" s="2480">
        <f>+AT82/AT83*100</f>
        <v>20.710967022376167</v>
      </c>
      <c r="AU84" s="4636"/>
      <c r="AV84" s="2483">
        <f>+AV82/AV83*100</f>
        <v>28.674590239535856</v>
      </c>
      <c r="AW84" s="4637"/>
      <c r="AX84" s="2480">
        <f>+AX82/AX83*100</f>
        <v>21.405726943705567</v>
      </c>
      <c r="AY84" s="5137"/>
      <c r="AZ84" s="2483">
        <f>+AZ82/AZ83*100</f>
        <v>26.135091246387134</v>
      </c>
      <c r="BA84" s="5138"/>
      <c r="BB84" s="2481">
        <f>+BB82/BB83*100</f>
        <v>25.888925814713353</v>
      </c>
      <c r="BC84" s="5142"/>
      <c r="BD84" s="3553">
        <f>+BD82/BD83*100</f>
        <v>22.058559552562862</v>
      </c>
      <c r="BE84" s="5126"/>
      <c r="BF84" s="2480">
        <f>+BF82/BF83*100</f>
        <v>21.835534901305287</v>
      </c>
      <c r="BG84" s="26"/>
      <c r="BH84" s="26"/>
      <c r="BI84" s="26"/>
      <c r="BJ84" s="26"/>
    </row>
    <row r="85" spans="1:62" s="183" customFormat="1" ht="49.5" customHeight="1" thickBot="1" x14ac:dyDescent="0.3">
      <c r="A85" s="188"/>
      <c r="B85" s="4522" t="s">
        <v>326</v>
      </c>
      <c r="C85" s="4523" t="s">
        <v>1328</v>
      </c>
      <c r="D85" s="4523"/>
      <c r="E85" s="4523"/>
      <c r="F85" s="4523"/>
      <c r="G85" s="4523"/>
      <c r="H85" s="4523"/>
      <c r="I85" s="4523"/>
      <c r="J85" s="4523"/>
      <c r="K85" s="4523"/>
      <c r="L85" s="4523"/>
      <c r="M85" s="4523"/>
      <c r="N85" s="4523"/>
      <c r="O85" s="4523"/>
      <c r="P85" s="4523"/>
      <c r="Q85" s="4523"/>
      <c r="R85" s="4523"/>
      <c r="S85" s="4523"/>
      <c r="T85" s="4523"/>
      <c r="U85" s="4523"/>
      <c r="V85" s="4523"/>
      <c r="W85" s="4523"/>
      <c r="X85" s="4523"/>
      <c r="Y85" s="4523"/>
      <c r="Z85" s="4523"/>
      <c r="AA85" s="4523"/>
      <c r="AB85" s="4523"/>
      <c r="AC85" s="4523"/>
      <c r="AD85" s="4523"/>
      <c r="AE85" s="4523"/>
      <c r="AF85" s="4523"/>
      <c r="AG85" s="4523"/>
      <c r="AH85" s="4523"/>
      <c r="AI85" s="4523"/>
      <c r="AJ85" s="4523"/>
      <c r="AK85" s="4523"/>
      <c r="AL85" s="4523"/>
      <c r="AM85" s="4523"/>
      <c r="AN85" s="4523"/>
      <c r="AO85" s="4523"/>
      <c r="AP85" s="4523"/>
      <c r="AQ85" s="4523"/>
      <c r="AR85" s="4523"/>
      <c r="AS85" s="4523"/>
      <c r="AT85" s="4523"/>
      <c r="AU85" s="4523"/>
      <c r="AV85" s="4523"/>
      <c r="AW85" s="4523"/>
      <c r="AX85" s="4523"/>
      <c r="AY85" s="4523"/>
      <c r="AZ85" s="4523"/>
      <c r="BA85" s="4523"/>
      <c r="BB85" s="4523"/>
      <c r="BC85" s="4523"/>
      <c r="BD85" s="4523"/>
      <c r="BE85" s="4523"/>
      <c r="BF85" s="4523"/>
      <c r="BG85" s="26"/>
      <c r="BH85" s="26"/>
      <c r="BI85" s="26"/>
      <c r="BJ85" s="26"/>
    </row>
    <row r="86" spans="1:62" ht="20.25" customHeight="1" x14ac:dyDescent="0.25">
      <c r="A86" s="122"/>
      <c r="B86" s="4500" t="s">
        <v>896</v>
      </c>
      <c r="C86" s="4501" t="s">
        <v>940</v>
      </c>
      <c r="D86" s="4501"/>
      <c r="E86" s="4524"/>
      <c r="F86" s="4503">
        <v>363.02000000000004</v>
      </c>
      <c r="G86" s="4524"/>
      <c r="H86" s="4503"/>
      <c r="I86" s="4525"/>
      <c r="J86" s="4505">
        <f t="shared" ref="J86:J130" si="361">F86+H86</f>
        <v>363.02000000000004</v>
      </c>
      <c r="K86" s="4524"/>
      <c r="L86" s="4503"/>
      <c r="M86" s="4526"/>
      <c r="N86" s="4507">
        <f>F86+H86+L86</f>
        <v>363.02000000000004</v>
      </c>
      <c r="O86" s="4524"/>
      <c r="P86" s="4503">
        <v>123.58</v>
      </c>
      <c r="Q86" s="4525"/>
      <c r="R86" s="4505">
        <f t="shared" ref="R86:R130" si="362">N86+P86</f>
        <v>486.6</v>
      </c>
      <c r="S86" s="4524"/>
      <c r="T86" s="4503">
        <v>375.48</v>
      </c>
      <c r="U86" s="4525"/>
      <c r="V86" s="4505">
        <f t="shared" ref="V86:V160" si="363">R86+T86</f>
        <v>862.08</v>
      </c>
      <c r="W86" s="4524"/>
      <c r="X86" s="4503"/>
      <c r="Y86" s="4526"/>
      <c r="Z86" s="4507">
        <f t="shared" ref="Z86:Z154" si="364">P86+T86+X86</f>
        <v>499.06</v>
      </c>
      <c r="AA86" s="4527"/>
      <c r="AB86" s="4509">
        <f t="shared" ref="AB86:AB154" si="365">N86+Z86</f>
        <v>862.08</v>
      </c>
      <c r="AC86" s="4524"/>
      <c r="AD86" s="4503">
        <v>159.63999999999999</v>
      </c>
      <c r="AE86" s="4525"/>
      <c r="AF86" s="4505">
        <f t="shared" ref="AF86:AF160" si="366">AB86+AD86</f>
        <v>1021.72</v>
      </c>
      <c r="AG86" s="4524"/>
      <c r="AH86" s="4503">
        <v>126.75999999999999</v>
      </c>
      <c r="AI86" s="4525"/>
      <c r="AJ86" s="4505">
        <f t="shared" ref="AJ86:AJ160" si="367">AF86+AH86</f>
        <v>1148.48</v>
      </c>
      <c r="AK86" s="4524"/>
      <c r="AL86" s="4503">
        <v>324.22000000000003</v>
      </c>
      <c r="AM86" s="4526"/>
      <c r="AN86" s="4507">
        <f t="shared" ref="AN86:AN154" si="368">AD86+AH86+AL86</f>
        <v>610.62</v>
      </c>
      <c r="AO86" s="4525"/>
      <c r="AP86" s="4505">
        <f t="shared" ref="AP86:AP151" si="369">AJ86+AL86</f>
        <v>1472.7</v>
      </c>
      <c r="AQ86" s="4524"/>
      <c r="AR86" s="4503">
        <v>185.28</v>
      </c>
      <c r="AS86" s="4525"/>
      <c r="AT86" s="2340">
        <f t="shared" ref="AT86:AT160" si="370">AP86+AR86</f>
        <v>1657.98</v>
      </c>
      <c r="AU86" s="4524"/>
      <c r="AV86" s="4503">
        <v>247.88</v>
      </c>
      <c r="AW86" s="4525"/>
      <c r="AX86" s="2340">
        <f t="shared" ref="AX86:AX160" si="371">AT86+AV86</f>
        <v>1905.8600000000001</v>
      </c>
      <c r="AY86" s="4524"/>
      <c r="AZ86" s="4503">
        <v>57.46</v>
      </c>
      <c r="BA86" s="4526"/>
      <c r="BB86" s="4507">
        <f t="shared" ref="BB86:BB95" si="372">AR86+AV86+AZ86</f>
        <v>490.61999999999995</v>
      </c>
      <c r="BC86" s="4527"/>
      <c r="BD86" s="5143">
        <f t="shared" ref="BD86:BD153" si="373">AN86+BB86</f>
        <v>1101.24</v>
      </c>
      <c r="BE86" s="4525"/>
      <c r="BF86" s="2340">
        <f t="shared" ref="BF86:BF160" si="374">AX86+AZ86</f>
        <v>1963.3200000000002</v>
      </c>
      <c r="BG86" s="26"/>
      <c r="BH86" s="26"/>
      <c r="BI86" s="26"/>
      <c r="BJ86" s="26"/>
    </row>
    <row r="87" spans="1:62" ht="20.25" customHeight="1" x14ac:dyDescent="0.25">
      <c r="A87" s="122"/>
      <c r="B87" s="4510" t="s">
        <v>896</v>
      </c>
      <c r="C87" s="2385" t="s">
        <v>1703</v>
      </c>
      <c r="D87" s="2385"/>
      <c r="E87" s="245"/>
      <c r="F87" s="245"/>
      <c r="G87" s="245"/>
      <c r="H87" s="245"/>
      <c r="I87" s="4485"/>
      <c r="J87" s="4485"/>
      <c r="K87" s="245"/>
      <c r="L87" s="245"/>
      <c r="M87" s="4488"/>
      <c r="N87" s="4488">
        <f t="shared" ref="N87:N155" si="375">F87+H87+L87</f>
        <v>0</v>
      </c>
      <c r="O87" s="245"/>
      <c r="P87" s="245">
        <v>252.15999999999997</v>
      </c>
      <c r="Q87" s="4485"/>
      <c r="R87" s="4485">
        <f t="shared" si="362"/>
        <v>252.15999999999997</v>
      </c>
      <c r="S87" s="245"/>
      <c r="T87" s="245">
        <v>237.8</v>
      </c>
      <c r="U87" s="4485"/>
      <c r="V87" s="4485">
        <f t="shared" si="363"/>
        <v>489.96</v>
      </c>
      <c r="W87" s="245"/>
      <c r="X87" s="245"/>
      <c r="Y87" s="4488"/>
      <c r="Z87" s="4488">
        <f t="shared" si="364"/>
        <v>489.96</v>
      </c>
      <c r="AA87" s="4490"/>
      <c r="AB87" s="4490">
        <f t="shared" si="365"/>
        <v>489.96</v>
      </c>
      <c r="AC87" s="245"/>
      <c r="AD87" s="245">
        <v>377.52</v>
      </c>
      <c r="AE87" s="4485"/>
      <c r="AF87" s="4485">
        <f t="shared" si="366"/>
        <v>867.48</v>
      </c>
      <c r="AG87" s="245"/>
      <c r="AH87" s="245">
        <v>367.18</v>
      </c>
      <c r="AI87" s="4485"/>
      <c r="AJ87" s="4485">
        <f t="shared" si="367"/>
        <v>1234.6600000000001</v>
      </c>
      <c r="AK87" s="245"/>
      <c r="AL87" s="245">
        <v>370.20000000000005</v>
      </c>
      <c r="AM87" s="4488"/>
      <c r="AN87" s="4488">
        <f t="shared" si="368"/>
        <v>1114.9000000000001</v>
      </c>
      <c r="AO87" s="4485"/>
      <c r="AP87" s="4485">
        <f t="shared" si="369"/>
        <v>1604.8600000000001</v>
      </c>
      <c r="AQ87" s="245"/>
      <c r="AR87" s="245"/>
      <c r="AS87" s="4485"/>
      <c r="AT87" s="250">
        <f t="shared" si="370"/>
        <v>1604.8600000000001</v>
      </c>
      <c r="AU87" s="245"/>
      <c r="AV87" s="245">
        <v>976.07999999999993</v>
      </c>
      <c r="AW87" s="4635"/>
      <c r="AX87" s="250">
        <f t="shared" si="371"/>
        <v>2580.94</v>
      </c>
      <c r="AY87" s="245"/>
      <c r="AZ87" s="245"/>
      <c r="BA87" s="5136"/>
      <c r="BB87" s="5136">
        <f t="shared" si="372"/>
        <v>976.07999999999993</v>
      </c>
      <c r="BC87" s="5143"/>
      <c r="BD87" s="5143">
        <f t="shared" si="373"/>
        <v>2090.98</v>
      </c>
      <c r="BE87" s="5127"/>
      <c r="BF87" s="250">
        <f t="shared" si="374"/>
        <v>2580.94</v>
      </c>
      <c r="BG87" s="26"/>
      <c r="BH87" s="26"/>
      <c r="BI87" s="26"/>
      <c r="BJ87" s="26"/>
    </row>
    <row r="88" spans="1:62" ht="20.25" x14ac:dyDescent="0.25">
      <c r="A88" s="122"/>
      <c r="B88" s="4510" t="s">
        <v>896</v>
      </c>
      <c r="C88" s="2385" t="s">
        <v>941</v>
      </c>
      <c r="D88" s="2385"/>
      <c r="E88" s="245"/>
      <c r="F88" s="245">
        <v>589.62</v>
      </c>
      <c r="G88" s="245"/>
      <c r="H88" s="245"/>
      <c r="I88" s="4485"/>
      <c r="J88" s="4485">
        <f t="shared" si="361"/>
        <v>589.62</v>
      </c>
      <c r="K88" s="245"/>
      <c r="L88" s="245"/>
      <c r="M88" s="4488"/>
      <c r="N88" s="4488">
        <f t="shared" si="375"/>
        <v>589.62</v>
      </c>
      <c r="O88" s="245"/>
      <c r="P88" s="245">
        <v>688.4799999999999</v>
      </c>
      <c r="Q88" s="4485"/>
      <c r="R88" s="4485">
        <f t="shared" si="362"/>
        <v>1278.0999999999999</v>
      </c>
      <c r="S88" s="245"/>
      <c r="T88" s="245">
        <v>790.1</v>
      </c>
      <c r="U88" s="4485"/>
      <c r="V88" s="4485">
        <f t="shared" si="363"/>
        <v>2068.1999999999998</v>
      </c>
      <c r="W88" s="245"/>
      <c r="X88" s="245"/>
      <c r="Y88" s="4488"/>
      <c r="Z88" s="4488">
        <f t="shared" si="364"/>
        <v>1478.58</v>
      </c>
      <c r="AA88" s="4490"/>
      <c r="AB88" s="4490">
        <f t="shared" si="365"/>
        <v>2068.1999999999998</v>
      </c>
      <c r="AC88" s="245"/>
      <c r="AD88" s="245">
        <v>64.319999999999993</v>
      </c>
      <c r="AE88" s="4485"/>
      <c r="AF88" s="4485">
        <f t="shared" si="366"/>
        <v>2132.52</v>
      </c>
      <c r="AG88" s="245"/>
      <c r="AH88" s="245">
        <v>1275.92</v>
      </c>
      <c r="AI88" s="4485"/>
      <c r="AJ88" s="4485">
        <f t="shared" si="367"/>
        <v>3408.44</v>
      </c>
      <c r="AK88" s="245"/>
      <c r="AL88" s="245">
        <v>572.02</v>
      </c>
      <c r="AM88" s="4488"/>
      <c r="AN88" s="4488">
        <f t="shared" si="368"/>
        <v>1912.26</v>
      </c>
      <c r="AO88" s="4485"/>
      <c r="AP88" s="4485">
        <f t="shared" si="369"/>
        <v>3980.46</v>
      </c>
      <c r="AQ88" s="245"/>
      <c r="AR88" s="245">
        <v>876.6</v>
      </c>
      <c r="AS88" s="4485"/>
      <c r="AT88" s="250">
        <f t="shared" si="370"/>
        <v>4857.0600000000004</v>
      </c>
      <c r="AU88" s="245"/>
      <c r="AV88" s="245">
        <v>1057.5200000000002</v>
      </c>
      <c r="AW88" s="4635"/>
      <c r="AX88" s="250">
        <f t="shared" si="371"/>
        <v>5914.5800000000008</v>
      </c>
      <c r="AY88" s="245"/>
      <c r="AZ88" s="245">
        <v>440.74</v>
      </c>
      <c r="BA88" s="5136"/>
      <c r="BB88" s="5136">
        <f t="shared" si="372"/>
        <v>2374.8600000000006</v>
      </c>
      <c r="BC88" s="5143"/>
      <c r="BD88" s="5143">
        <f t="shared" si="373"/>
        <v>4287.1200000000008</v>
      </c>
      <c r="BE88" s="5127"/>
      <c r="BF88" s="250">
        <f t="shared" si="374"/>
        <v>6355.3200000000006</v>
      </c>
      <c r="BG88" s="26"/>
      <c r="BH88" s="26"/>
      <c r="BI88" s="26"/>
      <c r="BJ88" s="26"/>
    </row>
    <row r="89" spans="1:62" ht="21" thickBot="1" x14ac:dyDescent="0.3">
      <c r="A89" s="122"/>
      <c r="B89" s="4511" t="s">
        <v>896</v>
      </c>
      <c r="C89" s="4512" t="s">
        <v>996</v>
      </c>
      <c r="D89" s="4512"/>
      <c r="E89" s="4514"/>
      <c r="F89" s="4514">
        <v>61.12</v>
      </c>
      <c r="G89" s="4514"/>
      <c r="H89" s="4514"/>
      <c r="I89" s="4516"/>
      <c r="J89" s="4516">
        <f t="shared" si="361"/>
        <v>61.12</v>
      </c>
      <c r="K89" s="4514"/>
      <c r="L89" s="4514"/>
      <c r="M89" s="4518"/>
      <c r="N89" s="4518">
        <f t="shared" si="375"/>
        <v>61.12</v>
      </c>
      <c r="O89" s="4514"/>
      <c r="P89" s="4514"/>
      <c r="Q89" s="4516"/>
      <c r="R89" s="4516">
        <f t="shared" si="362"/>
        <v>61.12</v>
      </c>
      <c r="S89" s="4514"/>
      <c r="T89" s="4514">
        <v>0</v>
      </c>
      <c r="U89" s="4516"/>
      <c r="V89" s="4516">
        <f t="shared" si="363"/>
        <v>61.12</v>
      </c>
      <c r="W89" s="4514"/>
      <c r="X89" s="4514"/>
      <c r="Y89" s="4518"/>
      <c r="Z89" s="4518">
        <f t="shared" si="364"/>
        <v>0</v>
      </c>
      <c r="AA89" s="4520"/>
      <c r="AB89" s="4520">
        <f t="shared" si="365"/>
        <v>61.12</v>
      </c>
      <c r="AC89" s="4514"/>
      <c r="AD89" s="4514"/>
      <c r="AE89" s="4516"/>
      <c r="AF89" s="4516">
        <f t="shared" si="366"/>
        <v>61.12</v>
      </c>
      <c r="AG89" s="4514"/>
      <c r="AH89" s="4514"/>
      <c r="AI89" s="4516"/>
      <c r="AJ89" s="4516">
        <f t="shared" si="367"/>
        <v>61.12</v>
      </c>
      <c r="AK89" s="4514"/>
      <c r="AL89" s="4514"/>
      <c r="AM89" s="4518"/>
      <c r="AN89" s="4518">
        <f t="shared" si="368"/>
        <v>0</v>
      </c>
      <c r="AO89" s="4516"/>
      <c r="AP89" s="4516">
        <f t="shared" si="369"/>
        <v>61.12</v>
      </c>
      <c r="AQ89" s="4514"/>
      <c r="AR89" s="4514"/>
      <c r="AS89" s="4516"/>
      <c r="AT89" s="4521">
        <f t="shared" si="370"/>
        <v>61.12</v>
      </c>
      <c r="AU89" s="4514"/>
      <c r="AV89" s="4514"/>
      <c r="AW89" s="4516"/>
      <c r="AX89" s="4521">
        <f t="shared" si="371"/>
        <v>61.12</v>
      </c>
      <c r="AY89" s="4514"/>
      <c r="AZ89" s="4514">
        <v>180.22</v>
      </c>
      <c r="BA89" s="4518"/>
      <c r="BB89" s="4518">
        <f t="shared" si="372"/>
        <v>180.22</v>
      </c>
      <c r="BC89" s="4520"/>
      <c r="BD89" s="5143">
        <f t="shared" si="373"/>
        <v>180.22</v>
      </c>
      <c r="BE89" s="4516"/>
      <c r="BF89" s="4521">
        <f t="shared" si="374"/>
        <v>241.34</v>
      </c>
      <c r="BG89" s="26"/>
      <c r="BH89" s="26"/>
      <c r="BI89" s="26"/>
      <c r="BJ89" s="26"/>
    </row>
    <row r="90" spans="1:62" ht="20.25" x14ac:dyDescent="0.25">
      <c r="A90" s="122"/>
      <c r="B90" s="4500" t="s">
        <v>913</v>
      </c>
      <c r="C90" s="4501" t="s">
        <v>1703</v>
      </c>
      <c r="D90" s="4501"/>
      <c r="E90" s="4503"/>
      <c r="F90" s="4503"/>
      <c r="G90" s="4503"/>
      <c r="H90" s="4503"/>
      <c r="I90" s="4505"/>
      <c r="J90" s="4505"/>
      <c r="K90" s="4503"/>
      <c r="L90" s="4503"/>
      <c r="M90" s="4507"/>
      <c r="N90" s="4507">
        <f t="shared" si="375"/>
        <v>0</v>
      </c>
      <c r="O90" s="4503"/>
      <c r="P90" s="4503">
        <v>445.21999999999997</v>
      </c>
      <c r="Q90" s="4505"/>
      <c r="R90" s="4505">
        <f t="shared" si="362"/>
        <v>445.21999999999997</v>
      </c>
      <c r="S90" s="4503"/>
      <c r="T90" s="4503">
        <v>0</v>
      </c>
      <c r="U90" s="4505"/>
      <c r="V90" s="4505">
        <f t="shared" si="363"/>
        <v>445.21999999999997</v>
      </c>
      <c r="W90" s="4503"/>
      <c r="X90" s="4503"/>
      <c r="Y90" s="4507"/>
      <c r="Z90" s="4507">
        <f t="shared" si="364"/>
        <v>445.21999999999997</v>
      </c>
      <c r="AA90" s="4509"/>
      <c r="AB90" s="4509">
        <f t="shared" si="365"/>
        <v>445.21999999999997</v>
      </c>
      <c r="AC90" s="4503"/>
      <c r="AD90" s="4503">
        <v>702.96</v>
      </c>
      <c r="AE90" s="4505"/>
      <c r="AF90" s="4505">
        <f t="shared" si="366"/>
        <v>1148.18</v>
      </c>
      <c r="AG90" s="4503"/>
      <c r="AH90" s="4503">
        <v>127.58</v>
      </c>
      <c r="AI90" s="4505"/>
      <c r="AJ90" s="4505">
        <f t="shared" si="367"/>
        <v>1275.76</v>
      </c>
      <c r="AK90" s="4503"/>
      <c r="AL90" s="4503"/>
      <c r="AM90" s="4507"/>
      <c r="AN90" s="4507">
        <f t="shared" si="368"/>
        <v>830.54000000000008</v>
      </c>
      <c r="AO90" s="4505"/>
      <c r="AP90" s="4505">
        <f t="shared" si="369"/>
        <v>1275.76</v>
      </c>
      <c r="AQ90" s="4503"/>
      <c r="AR90" s="4503"/>
      <c r="AS90" s="4505"/>
      <c r="AT90" s="2340">
        <f t="shared" si="370"/>
        <v>1275.76</v>
      </c>
      <c r="AU90" s="4503"/>
      <c r="AV90" s="4503">
        <v>982.86000000000013</v>
      </c>
      <c r="AW90" s="4505"/>
      <c r="AX90" s="2340">
        <f t="shared" si="371"/>
        <v>2258.62</v>
      </c>
      <c r="AY90" s="4503"/>
      <c r="AZ90" s="4503"/>
      <c r="BA90" s="4507"/>
      <c r="BB90" s="4507">
        <f t="shared" si="372"/>
        <v>982.86000000000013</v>
      </c>
      <c r="BC90" s="4509"/>
      <c r="BD90" s="5143">
        <f t="shared" si="373"/>
        <v>1813.4</v>
      </c>
      <c r="BE90" s="4505"/>
      <c r="BF90" s="2340">
        <f t="shared" si="374"/>
        <v>2258.62</v>
      </c>
      <c r="BG90" s="26"/>
      <c r="BH90" s="26"/>
      <c r="BI90" s="26"/>
      <c r="BJ90" s="26"/>
    </row>
    <row r="91" spans="1:62" ht="20.25" customHeight="1" x14ac:dyDescent="0.25">
      <c r="A91" s="122"/>
      <c r="B91" s="4510" t="s">
        <v>913</v>
      </c>
      <c r="C91" s="2385" t="s">
        <v>940</v>
      </c>
      <c r="D91" s="2385"/>
      <c r="E91" s="245"/>
      <c r="F91" s="245">
        <v>801.6</v>
      </c>
      <c r="G91" s="245"/>
      <c r="H91" s="245"/>
      <c r="I91" s="4485"/>
      <c r="J91" s="4485">
        <f t="shared" si="361"/>
        <v>801.6</v>
      </c>
      <c r="K91" s="245"/>
      <c r="L91" s="245"/>
      <c r="M91" s="4488"/>
      <c r="N91" s="4488">
        <f t="shared" si="375"/>
        <v>801.6</v>
      </c>
      <c r="O91" s="245"/>
      <c r="P91" s="245">
        <v>927.81999999999994</v>
      </c>
      <c r="Q91" s="4485"/>
      <c r="R91" s="4485">
        <f t="shared" si="362"/>
        <v>1729.42</v>
      </c>
      <c r="S91" s="245"/>
      <c r="T91" s="245">
        <v>63.38</v>
      </c>
      <c r="U91" s="4485"/>
      <c r="V91" s="4485">
        <f t="shared" si="363"/>
        <v>1792.8000000000002</v>
      </c>
      <c r="W91" s="245"/>
      <c r="X91" s="245"/>
      <c r="Y91" s="4488"/>
      <c r="Z91" s="4488">
        <f t="shared" si="364"/>
        <v>991.19999999999993</v>
      </c>
      <c r="AA91" s="4490"/>
      <c r="AB91" s="4490">
        <f t="shared" si="365"/>
        <v>1792.8</v>
      </c>
      <c r="AC91" s="245"/>
      <c r="AD91" s="245">
        <v>385.53999999999996</v>
      </c>
      <c r="AE91" s="4485"/>
      <c r="AF91" s="4485">
        <f t="shared" si="366"/>
        <v>2178.34</v>
      </c>
      <c r="AG91" s="245"/>
      <c r="AH91" s="245">
        <v>63.72</v>
      </c>
      <c r="AI91" s="4485"/>
      <c r="AJ91" s="4485">
        <f t="shared" si="367"/>
        <v>2242.06</v>
      </c>
      <c r="AK91" s="245"/>
      <c r="AL91" s="245">
        <v>448.64</v>
      </c>
      <c r="AM91" s="4488"/>
      <c r="AN91" s="4488">
        <f t="shared" si="368"/>
        <v>897.9</v>
      </c>
      <c r="AO91" s="4485"/>
      <c r="AP91" s="4485">
        <f t="shared" si="369"/>
        <v>2690.7</v>
      </c>
      <c r="AQ91" s="245"/>
      <c r="AR91" s="245">
        <v>551.38</v>
      </c>
      <c r="AS91" s="4485"/>
      <c r="AT91" s="250">
        <f t="shared" si="370"/>
        <v>3242.08</v>
      </c>
      <c r="AU91" s="245"/>
      <c r="AV91" s="245">
        <v>185.04</v>
      </c>
      <c r="AW91" s="4635"/>
      <c r="AX91" s="250">
        <f t="shared" si="371"/>
        <v>3427.12</v>
      </c>
      <c r="AY91" s="245"/>
      <c r="AZ91" s="245">
        <v>60.98</v>
      </c>
      <c r="BA91" s="5136"/>
      <c r="BB91" s="5136">
        <f t="shared" si="372"/>
        <v>797.4</v>
      </c>
      <c r="BC91" s="5143"/>
      <c r="BD91" s="5143">
        <f t="shared" si="373"/>
        <v>1695.3</v>
      </c>
      <c r="BE91" s="5127"/>
      <c r="BF91" s="250">
        <f t="shared" si="374"/>
        <v>3488.1</v>
      </c>
      <c r="BG91" s="26"/>
      <c r="BH91" s="26"/>
      <c r="BI91" s="26"/>
      <c r="BJ91" s="26"/>
    </row>
    <row r="92" spans="1:62" ht="20.25" customHeight="1" x14ac:dyDescent="0.25">
      <c r="A92" s="122"/>
      <c r="B92" s="4510" t="s">
        <v>913</v>
      </c>
      <c r="C92" s="2385" t="s">
        <v>941</v>
      </c>
      <c r="D92" s="2385"/>
      <c r="E92" s="245"/>
      <c r="F92" s="245">
        <v>674.31999999999994</v>
      </c>
      <c r="G92" s="245"/>
      <c r="H92" s="245"/>
      <c r="I92" s="4485"/>
      <c r="J92" s="4485">
        <f t="shared" si="361"/>
        <v>674.31999999999994</v>
      </c>
      <c r="K92" s="245"/>
      <c r="L92" s="245"/>
      <c r="M92" s="4488"/>
      <c r="N92" s="4488">
        <f t="shared" si="375"/>
        <v>674.31999999999994</v>
      </c>
      <c r="O92" s="245"/>
      <c r="P92" s="245">
        <v>1010.04</v>
      </c>
      <c r="Q92" s="4485"/>
      <c r="R92" s="4485">
        <f t="shared" si="362"/>
        <v>1684.36</v>
      </c>
      <c r="S92" s="245"/>
      <c r="T92" s="245">
        <v>61.74</v>
      </c>
      <c r="U92" s="4485"/>
      <c r="V92" s="4485">
        <f t="shared" si="363"/>
        <v>1746.1</v>
      </c>
      <c r="W92" s="245"/>
      <c r="X92" s="245"/>
      <c r="Y92" s="4488"/>
      <c r="Z92" s="4488">
        <f t="shared" si="364"/>
        <v>1071.78</v>
      </c>
      <c r="AA92" s="4490"/>
      <c r="AB92" s="4490">
        <f t="shared" si="365"/>
        <v>1746.1</v>
      </c>
      <c r="AC92" s="245"/>
      <c r="AD92" s="245">
        <v>1287.24</v>
      </c>
      <c r="AE92" s="4485"/>
      <c r="AF92" s="4485">
        <f t="shared" si="366"/>
        <v>3033.34</v>
      </c>
      <c r="AG92" s="245"/>
      <c r="AH92" s="245">
        <v>190.64</v>
      </c>
      <c r="AI92" s="4485"/>
      <c r="AJ92" s="4485">
        <f t="shared" si="367"/>
        <v>3223.98</v>
      </c>
      <c r="AK92" s="245"/>
      <c r="AL92" s="245">
        <v>512.78</v>
      </c>
      <c r="AM92" s="4488"/>
      <c r="AN92" s="4488">
        <f t="shared" si="368"/>
        <v>1990.66</v>
      </c>
      <c r="AO92" s="4485"/>
      <c r="AP92" s="4485">
        <f t="shared" si="369"/>
        <v>3736.76</v>
      </c>
      <c r="AQ92" s="245"/>
      <c r="AR92" s="245">
        <v>500.22</v>
      </c>
      <c r="AS92" s="4485"/>
      <c r="AT92" s="250">
        <f t="shared" si="370"/>
        <v>4236.9800000000005</v>
      </c>
      <c r="AU92" s="245"/>
      <c r="AV92" s="245">
        <v>250</v>
      </c>
      <c r="AW92" s="4635"/>
      <c r="AX92" s="250">
        <f t="shared" si="371"/>
        <v>4486.9800000000005</v>
      </c>
      <c r="AY92" s="245"/>
      <c r="AZ92" s="245"/>
      <c r="BA92" s="5136"/>
      <c r="BB92" s="5136">
        <f t="shared" si="372"/>
        <v>750.22</v>
      </c>
      <c r="BC92" s="5143"/>
      <c r="BD92" s="5143">
        <f t="shared" si="373"/>
        <v>2740.88</v>
      </c>
      <c r="BE92" s="5127"/>
      <c r="BF92" s="250">
        <f t="shared" si="374"/>
        <v>4486.9800000000005</v>
      </c>
      <c r="BG92" s="26"/>
      <c r="BH92" s="26"/>
      <c r="BI92" s="26"/>
      <c r="BJ92" s="26"/>
    </row>
    <row r="93" spans="1:62" ht="21" thickBot="1" x14ac:dyDescent="0.3">
      <c r="A93" s="122"/>
      <c r="B93" s="4511" t="s">
        <v>913</v>
      </c>
      <c r="C93" s="4512" t="s">
        <v>996</v>
      </c>
      <c r="D93" s="4512"/>
      <c r="E93" s="4514"/>
      <c r="F93" s="4514">
        <v>65.73</v>
      </c>
      <c r="G93" s="4514"/>
      <c r="H93" s="4514"/>
      <c r="I93" s="4516"/>
      <c r="J93" s="4516">
        <f t="shared" si="361"/>
        <v>65.73</v>
      </c>
      <c r="K93" s="4514"/>
      <c r="L93" s="4514"/>
      <c r="M93" s="4518"/>
      <c r="N93" s="4518">
        <f t="shared" si="375"/>
        <v>65.73</v>
      </c>
      <c r="O93" s="4514"/>
      <c r="P93" s="4514"/>
      <c r="Q93" s="4516"/>
      <c r="R93" s="4516">
        <f t="shared" si="362"/>
        <v>65.73</v>
      </c>
      <c r="S93" s="4514"/>
      <c r="T93" s="4514">
        <v>0</v>
      </c>
      <c r="U93" s="4516"/>
      <c r="V93" s="4516">
        <f t="shared" si="363"/>
        <v>65.73</v>
      </c>
      <c r="W93" s="4514"/>
      <c r="X93" s="4514"/>
      <c r="Y93" s="4518"/>
      <c r="Z93" s="4518">
        <f t="shared" si="364"/>
        <v>0</v>
      </c>
      <c r="AA93" s="4520"/>
      <c r="AB93" s="4520">
        <f t="shared" si="365"/>
        <v>65.73</v>
      </c>
      <c r="AC93" s="4514"/>
      <c r="AD93" s="4514"/>
      <c r="AE93" s="4516"/>
      <c r="AF93" s="4516">
        <f t="shared" si="366"/>
        <v>65.73</v>
      </c>
      <c r="AG93" s="4514"/>
      <c r="AH93" s="4514"/>
      <c r="AI93" s="4516"/>
      <c r="AJ93" s="4516">
        <f t="shared" si="367"/>
        <v>65.73</v>
      </c>
      <c r="AK93" s="4514"/>
      <c r="AL93" s="4514"/>
      <c r="AM93" s="4518"/>
      <c r="AN93" s="4518">
        <f t="shared" si="368"/>
        <v>0</v>
      </c>
      <c r="AO93" s="4516"/>
      <c r="AP93" s="4516">
        <f t="shared" si="369"/>
        <v>65.73</v>
      </c>
      <c r="AQ93" s="4514"/>
      <c r="AR93" s="4514"/>
      <c r="AS93" s="4516"/>
      <c r="AT93" s="4521">
        <f t="shared" si="370"/>
        <v>65.73</v>
      </c>
      <c r="AU93" s="4514"/>
      <c r="AV93" s="4514"/>
      <c r="AW93" s="4516"/>
      <c r="AX93" s="4521">
        <f t="shared" si="371"/>
        <v>65.73</v>
      </c>
      <c r="AY93" s="4514"/>
      <c r="AZ93" s="4514">
        <v>61.04</v>
      </c>
      <c r="BA93" s="4518"/>
      <c r="BB93" s="4518">
        <f t="shared" si="372"/>
        <v>61.04</v>
      </c>
      <c r="BC93" s="4520"/>
      <c r="BD93" s="5143">
        <f t="shared" si="373"/>
        <v>61.04</v>
      </c>
      <c r="BE93" s="4516"/>
      <c r="BF93" s="4521">
        <f t="shared" si="374"/>
        <v>126.77000000000001</v>
      </c>
      <c r="BG93" s="26"/>
      <c r="BH93" s="26"/>
      <c r="BI93" s="26"/>
      <c r="BJ93" s="26"/>
    </row>
    <row r="94" spans="1:62" ht="20.25" x14ac:dyDescent="0.25">
      <c r="A94" s="122"/>
      <c r="B94" s="4500" t="s">
        <v>1415</v>
      </c>
      <c r="C94" s="4501" t="s">
        <v>941</v>
      </c>
      <c r="D94" s="4501"/>
      <c r="E94" s="4503"/>
      <c r="F94" s="4503"/>
      <c r="G94" s="4503"/>
      <c r="H94" s="4503">
        <v>187.96</v>
      </c>
      <c r="I94" s="4505"/>
      <c r="J94" s="4505">
        <f t="shared" si="361"/>
        <v>187.96</v>
      </c>
      <c r="K94" s="4503"/>
      <c r="L94" s="4503">
        <v>314.06</v>
      </c>
      <c r="M94" s="4507"/>
      <c r="N94" s="4507">
        <f t="shared" si="375"/>
        <v>502.02</v>
      </c>
      <c r="O94" s="4503"/>
      <c r="P94" s="4503"/>
      <c r="Q94" s="4505"/>
      <c r="R94" s="4505">
        <f t="shared" si="362"/>
        <v>502.02</v>
      </c>
      <c r="S94" s="4503"/>
      <c r="T94" s="4503">
        <v>0</v>
      </c>
      <c r="U94" s="4505"/>
      <c r="V94" s="4505">
        <f t="shared" si="363"/>
        <v>502.02</v>
      </c>
      <c r="W94" s="4503"/>
      <c r="X94" s="4503"/>
      <c r="Y94" s="4507"/>
      <c r="Z94" s="4507">
        <f t="shared" si="364"/>
        <v>0</v>
      </c>
      <c r="AA94" s="4509"/>
      <c r="AB94" s="4509">
        <f t="shared" si="365"/>
        <v>502.02</v>
      </c>
      <c r="AC94" s="4503"/>
      <c r="AD94" s="4503"/>
      <c r="AE94" s="4505"/>
      <c r="AF94" s="4505">
        <f t="shared" si="366"/>
        <v>502.02</v>
      </c>
      <c r="AG94" s="4503"/>
      <c r="AH94" s="4503"/>
      <c r="AI94" s="4505"/>
      <c r="AJ94" s="4505">
        <f t="shared" si="367"/>
        <v>502.02</v>
      </c>
      <c r="AK94" s="4503"/>
      <c r="AL94" s="4503"/>
      <c r="AM94" s="4507"/>
      <c r="AN94" s="4507">
        <f t="shared" si="368"/>
        <v>0</v>
      </c>
      <c r="AO94" s="4505"/>
      <c r="AP94" s="4505">
        <f t="shared" si="369"/>
        <v>502.02</v>
      </c>
      <c r="AQ94" s="4503"/>
      <c r="AR94" s="4503"/>
      <c r="AS94" s="4505"/>
      <c r="AT94" s="2340">
        <f t="shared" si="370"/>
        <v>502.02</v>
      </c>
      <c r="AU94" s="4503"/>
      <c r="AV94" s="4503"/>
      <c r="AW94" s="4505"/>
      <c r="AX94" s="2340">
        <f t="shared" si="371"/>
        <v>502.02</v>
      </c>
      <c r="AY94" s="4503"/>
      <c r="AZ94" s="4503"/>
      <c r="BA94" s="4507"/>
      <c r="BB94" s="4507">
        <f t="shared" si="372"/>
        <v>0</v>
      </c>
      <c r="BC94" s="4509"/>
      <c r="BD94" s="5143">
        <f t="shared" si="373"/>
        <v>0</v>
      </c>
      <c r="BE94" s="4505"/>
      <c r="BF94" s="2340">
        <f t="shared" si="374"/>
        <v>502.02</v>
      </c>
      <c r="BG94" s="26"/>
      <c r="BH94" s="26"/>
      <c r="BI94" s="26"/>
      <c r="BJ94" s="26"/>
    </row>
    <row r="95" spans="1:62" ht="21" thickBot="1" x14ac:dyDescent="0.3">
      <c r="A95" s="122"/>
      <c r="B95" s="4511" t="s">
        <v>1415</v>
      </c>
      <c r="C95" s="4512" t="s">
        <v>940</v>
      </c>
      <c r="D95" s="4512"/>
      <c r="E95" s="4514"/>
      <c r="F95" s="4514"/>
      <c r="G95" s="4514"/>
      <c r="H95" s="4514">
        <v>252.6</v>
      </c>
      <c r="I95" s="4516"/>
      <c r="J95" s="4516">
        <f t="shared" si="361"/>
        <v>252.6</v>
      </c>
      <c r="K95" s="4514"/>
      <c r="L95" s="4514">
        <v>252.98000000000002</v>
      </c>
      <c r="M95" s="4518"/>
      <c r="N95" s="4518">
        <f t="shared" si="375"/>
        <v>505.58000000000004</v>
      </c>
      <c r="O95" s="4514"/>
      <c r="P95" s="4514"/>
      <c r="Q95" s="4516"/>
      <c r="R95" s="4516">
        <f t="shared" si="362"/>
        <v>505.58000000000004</v>
      </c>
      <c r="S95" s="4514"/>
      <c r="T95" s="4514">
        <v>0</v>
      </c>
      <c r="U95" s="4516"/>
      <c r="V95" s="4516">
        <f t="shared" si="363"/>
        <v>505.58000000000004</v>
      </c>
      <c r="W95" s="4514"/>
      <c r="X95" s="4514"/>
      <c r="Y95" s="4518"/>
      <c r="Z95" s="4518">
        <f t="shared" si="364"/>
        <v>0</v>
      </c>
      <c r="AA95" s="4520"/>
      <c r="AB95" s="4520">
        <f t="shared" si="365"/>
        <v>505.58000000000004</v>
      </c>
      <c r="AC95" s="4514"/>
      <c r="AD95" s="4514"/>
      <c r="AE95" s="4516"/>
      <c r="AF95" s="4516">
        <f t="shared" si="366"/>
        <v>505.58000000000004</v>
      </c>
      <c r="AG95" s="4514"/>
      <c r="AH95" s="4514"/>
      <c r="AI95" s="4516"/>
      <c r="AJ95" s="4516">
        <f t="shared" si="367"/>
        <v>505.58000000000004</v>
      </c>
      <c r="AK95" s="4514"/>
      <c r="AL95" s="4514"/>
      <c r="AM95" s="4518"/>
      <c r="AN95" s="4518">
        <f t="shared" si="368"/>
        <v>0</v>
      </c>
      <c r="AO95" s="4516"/>
      <c r="AP95" s="4516">
        <f t="shared" si="369"/>
        <v>505.58000000000004</v>
      </c>
      <c r="AQ95" s="4514"/>
      <c r="AR95" s="4514"/>
      <c r="AS95" s="4516"/>
      <c r="AT95" s="4521">
        <f t="shared" si="370"/>
        <v>505.58000000000004</v>
      </c>
      <c r="AU95" s="4514"/>
      <c r="AV95" s="4514"/>
      <c r="AW95" s="4516"/>
      <c r="AX95" s="4521">
        <f t="shared" si="371"/>
        <v>505.58000000000004</v>
      </c>
      <c r="AY95" s="4514"/>
      <c r="AZ95" s="4514"/>
      <c r="BA95" s="4518"/>
      <c r="BB95" s="4518">
        <f t="shared" si="372"/>
        <v>0</v>
      </c>
      <c r="BC95" s="4520"/>
      <c r="BD95" s="5143">
        <f t="shared" si="373"/>
        <v>0</v>
      </c>
      <c r="BE95" s="4516"/>
      <c r="BF95" s="4521">
        <f t="shared" si="374"/>
        <v>505.58000000000004</v>
      </c>
      <c r="BG95" s="26"/>
      <c r="BH95" s="26"/>
      <c r="BI95" s="26"/>
      <c r="BJ95" s="26"/>
    </row>
    <row r="96" spans="1:62" ht="20.25" x14ac:dyDescent="0.25">
      <c r="A96" s="122"/>
      <c r="B96" s="4500" t="s">
        <v>897</v>
      </c>
      <c r="C96" s="4501" t="s">
        <v>940</v>
      </c>
      <c r="D96" s="4501"/>
      <c r="E96" s="4503"/>
      <c r="F96" s="4503">
        <v>2038.9400000000003</v>
      </c>
      <c r="G96" s="4503"/>
      <c r="H96" s="4503"/>
      <c r="I96" s="4505"/>
      <c r="J96" s="4505">
        <f t="shared" si="361"/>
        <v>2038.9400000000003</v>
      </c>
      <c r="K96" s="4503"/>
      <c r="L96" s="4503">
        <v>1217.1999999999998</v>
      </c>
      <c r="M96" s="4507"/>
      <c r="N96" s="4507">
        <f t="shared" si="375"/>
        <v>3256.1400000000003</v>
      </c>
      <c r="O96" s="4503"/>
      <c r="P96" s="4503">
        <v>510.22</v>
      </c>
      <c r="Q96" s="4505"/>
      <c r="R96" s="4505">
        <f t="shared" si="362"/>
        <v>3766.3600000000006</v>
      </c>
      <c r="S96" s="4503"/>
      <c r="T96" s="4503">
        <v>3191.9700000000007</v>
      </c>
      <c r="U96" s="4505"/>
      <c r="V96" s="4505">
        <f>R96+T96</f>
        <v>6958.3300000000017</v>
      </c>
      <c r="W96" s="4503"/>
      <c r="X96" s="4503">
        <v>2951.2200000000007</v>
      </c>
      <c r="Y96" s="4507"/>
      <c r="Z96" s="4507">
        <f>P96+T96+X96</f>
        <v>6653.4100000000017</v>
      </c>
      <c r="AA96" s="4509"/>
      <c r="AB96" s="4509">
        <f t="shared" si="365"/>
        <v>9909.5500000000029</v>
      </c>
      <c r="AC96" s="4503"/>
      <c r="AD96" s="4503">
        <v>64.099999999999994</v>
      </c>
      <c r="AE96" s="4505"/>
      <c r="AF96" s="4505">
        <f t="shared" si="366"/>
        <v>9973.6500000000033</v>
      </c>
      <c r="AG96" s="4503"/>
      <c r="AH96" s="4503"/>
      <c r="AI96" s="4505"/>
      <c r="AJ96" s="4505">
        <f t="shared" si="367"/>
        <v>9973.6500000000033</v>
      </c>
      <c r="AK96" s="4503"/>
      <c r="AL96" s="4503">
        <v>2612.3799999999997</v>
      </c>
      <c r="AM96" s="4507"/>
      <c r="AN96" s="4507">
        <f t="shared" si="368"/>
        <v>2676.4799999999996</v>
      </c>
      <c r="AO96" s="4505"/>
      <c r="AP96" s="4505">
        <f t="shared" si="369"/>
        <v>12586.030000000002</v>
      </c>
      <c r="AQ96" s="4503"/>
      <c r="AR96" s="4503">
        <v>2490.31</v>
      </c>
      <c r="AS96" s="4505"/>
      <c r="AT96" s="2340">
        <f t="shared" si="370"/>
        <v>15076.340000000002</v>
      </c>
      <c r="AU96" s="4503"/>
      <c r="AV96" s="4503">
        <v>2082.9199999999996</v>
      </c>
      <c r="AW96" s="4505"/>
      <c r="AX96" s="2340">
        <f t="shared" si="371"/>
        <v>17159.260000000002</v>
      </c>
      <c r="AY96" s="4503"/>
      <c r="AZ96" s="4503">
        <v>102.19</v>
      </c>
      <c r="BA96" s="4507"/>
      <c r="BB96" s="4507">
        <f>AR96+AV96+AZ96</f>
        <v>4675.4199999999992</v>
      </c>
      <c r="BC96" s="4509"/>
      <c r="BD96" s="5143">
        <f t="shared" si="373"/>
        <v>7351.8999999999987</v>
      </c>
      <c r="BE96" s="4505"/>
      <c r="BF96" s="2340">
        <f t="shared" si="374"/>
        <v>17261.45</v>
      </c>
      <c r="BG96" s="26"/>
      <c r="BH96" s="26"/>
      <c r="BI96" s="26"/>
      <c r="BJ96" s="26"/>
    </row>
    <row r="97" spans="1:62" ht="20.25" customHeight="1" x14ac:dyDescent="0.25">
      <c r="A97" s="122"/>
      <c r="B97" s="4510" t="s">
        <v>897</v>
      </c>
      <c r="C97" s="2385" t="s">
        <v>996</v>
      </c>
      <c r="D97" s="2385"/>
      <c r="E97" s="889"/>
      <c r="F97" s="245"/>
      <c r="G97" s="889"/>
      <c r="H97" s="245"/>
      <c r="I97" s="2341"/>
      <c r="J97" s="4485">
        <f t="shared" si="361"/>
        <v>0</v>
      </c>
      <c r="K97" s="889"/>
      <c r="L97" s="245"/>
      <c r="M97" s="2465"/>
      <c r="N97" s="4488">
        <f t="shared" si="375"/>
        <v>0</v>
      </c>
      <c r="O97" s="889"/>
      <c r="P97" s="245">
        <v>65.459999999999994</v>
      </c>
      <c r="Q97" s="2341"/>
      <c r="R97" s="4485">
        <f t="shared" si="362"/>
        <v>65.459999999999994</v>
      </c>
      <c r="S97" s="889"/>
      <c r="T97" s="245">
        <v>0</v>
      </c>
      <c r="U97" s="2341"/>
      <c r="V97" s="4485">
        <f t="shared" si="363"/>
        <v>65.459999999999994</v>
      </c>
      <c r="W97" s="889"/>
      <c r="X97" s="245"/>
      <c r="Y97" s="2465"/>
      <c r="Z97" s="4488">
        <f t="shared" si="364"/>
        <v>65.459999999999994</v>
      </c>
      <c r="AA97" s="3554"/>
      <c r="AB97" s="4490">
        <f t="shared" si="365"/>
        <v>65.459999999999994</v>
      </c>
      <c r="AC97" s="889"/>
      <c r="AD97" s="245"/>
      <c r="AE97" s="2341"/>
      <c r="AF97" s="4485">
        <f t="shared" si="366"/>
        <v>65.459999999999994</v>
      </c>
      <c r="AG97" s="889"/>
      <c r="AH97" s="245"/>
      <c r="AI97" s="2341"/>
      <c r="AJ97" s="4485">
        <f t="shared" si="367"/>
        <v>65.459999999999994</v>
      </c>
      <c r="AK97" s="889"/>
      <c r="AL97" s="245"/>
      <c r="AM97" s="2465"/>
      <c r="AN97" s="4488">
        <f t="shared" si="368"/>
        <v>0</v>
      </c>
      <c r="AO97" s="2341"/>
      <c r="AP97" s="4485">
        <f t="shared" si="369"/>
        <v>65.459999999999994</v>
      </c>
      <c r="AQ97" s="889"/>
      <c r="AR97" s="245"/>
      <c r="AS97" s="2341"/>
      <c r="AT97" s="250">
        <f t="shared" si="370"/>
        <v>65.459999999999994</v>
      </c>
      <c r="AU97" s="889"/>
      <c r="AV97" s="245"/>
      <c r="AW97" s="2341"/>
      <c r="AX97" s="250">
        <f t="shared" si="371"/>
        <v>65.459999999999994</v>
      </c>
      <c r="AY97" s="889"/>
      <c r="AZ97" s="245">
        <v>121.28</v>
      </c>
      <c r="BA97" s="2465"/>
      <c r="BB97" s="5136">
        <f t="shared" ref="BB97:BB101" si="376">AR97+AV97+AZ97</f>
        <v>121.28</v>
      </c>
      <c r="BC97" s="3554"/>
      <c r="BD97" s="5143">
        <f t="shared" si="373"/>
        <v>121.28</v>
      </c>
      <c r="BE97" s="2341"/>
      <c r="BF97" s="250">
        <f t="shared" si="374"/>
        <v>186.74</v>
      </c>
      <c r="BG97" s="26"/>
      <c r="BH97" s="26"/>
      <c r="BI97" s="26"/>
      <c r="BJ97" s="26"/>
    </row>
    <row r="98" spans="1:62" s="4213" customFormat="1" ht="20.25" customHeight="1" x14ac:dyDescent="0.25">
      <c r="A98" s="122"/>
      <c r="B98" s="4510" t="s">
        <v>897</v>
      </c>
      <c r="C98" s="2385" t="s">
        <v>953</v>
      </c>
      <c r="D98" s="2385"/>
      <c r="E98" s="889"/>
      <c r="F98" s="245"/>
      <c r="G98" s="889"/>
      <c r="H98" s="245"/>
      <c r="I98" s="2341"/>
      <c r="J98" s="4485"/>
      <c r="K98" s="889"/>
      <c r="L98" s="245"/>
      <c r="M98" s="2465"/>
      <c r="N98" s="4488">
        <f t="shared" si="375"/>
        <v>0</v>
      </c>
      <c r="O98" s="889"/>
      <c r="P98" s="245"/>
      <c r="Q98" s="2341"/>
      <c r="R98" s="4485"/>
      <c r="S98" s="889"/>
      <c r="T98" s="245"/>
      <c r="U98" s="2341"/>
      <c r="V98" s="4485"/>
      <c r="W98" s="889"/>
      <c r="X98" s="245"/>
      <c r="Y98" s="2465"/>
      <c r="Z98" s="4488">
        <f t="shared" si="364"/>
        <v>0</v>
      </c>
      <c r="AA98" s="3554"/>
      <c r="AB98" s="4490">
        <f t="shared" si="365"/>
        <v>0</v>
      </c>
      <c r="AC98" s="889"/>
      <c r="AD98" s="245"/>
      <c r="AE98" s="2341"/>
      <c r="AF98" s="4485">
        <f t="shared" si="366"/>
        <v>0</v>
      </c>
      <c r="AG98" s="889"/>
      <c r="AH98" s="245">
        <v>63.94</v>
      </c>
      <c r="AI98" s="2341"/>
      <c r="AJ98" s="4485">
        <f t="shared" si="367"/>
        <v>63.94</v>
      </c>
      <c r="AK98" s="889"/>
      <c r="AL98" s="245"/>
      <c r="AM98" s="2465"/>
      <c r="AN98" s="4488">
        <f t="shared" si="368"/>
        <v>63.94</v>
      </c>
      <c r="AO98" s="2341"/>
      <c r="AP98" s="4485">
        <f t="shared" si="369"/>
        <v>63.94</v>
      </c>
      <c r="AQ98" s="889"/>
      <c r="AR98" s="245"/>
      <c r="AS98" s="2341"/>
      <c r="AT98" s="250">
        <f t="shared" si="370"/>
        <v>63.94</v>
      </c>
      <c r="AU98" s="889"/>
      <c r="AV98" s="245"/>
      <c r="AW98" s="2341"/>
      <c r="AX98" s="250">
        <f t="shared" si="371"/>
        <v>63.94</v>
      </c>
      <c r="AY98" s="889"/>
      <c r="AZ98" s="245"/>
      <c r="BA98" s="2465"/>
      <c r="BB98" s="5136">
        <f t="shared" si="376"/>
        <v>0</v>
      </c>
      <c r="BC98" s="3554"/>
      <c r="BD98" s="5143">
        <f t="shared" si="373"/>
        <v>63.94</v>
      </c>
      <c r="BE98" s="2341"/>
      <c r="BF98" s="250">
        <f t="shared" si="374"/>
        <v>63.94</v>
      </c>
      <c r="BG98" s="26"/>
      <c r="BH98" s="26"/>
      <c r="BI98" s="26"/>
      <c r="BJ98" s="26"/>
    </row>
    <row r="99" spans="1:62" ht="20.25" customHeight="1" x14ac:dyDescent="0.25">
      <c r="A99" s="122"/>
      <c r="B99" s="4510" t="s">
        <v>897</v>
      </c>
      <c r="C99" s="2385" t="s">
        <v>1703</v>
      </c>
      <c r="D99" s="2385"/>
      <c r="E99" s="889"/>
      <c r="F99" s="245"/>
      <c r="G99" s="889"/>
      <c r="H99" s="245"/>
      <c r="I99" s="2341"/>
      <c r="J99" s="4485"/>
      <c r="K99" s="889"/>
      <c r="L99" s="245"/>
      <c r="M99" s="2465"/>
      <c r="N99" s="4488">
        <f t="shared" si="375"/>
        <v>0</v>
      </c>
      <c r="O99" s="889"/>
      <c r="P99" s="245">
        <v>193.42000000000002</v>
      </c>
      <c r="Q99" s="2341"/>
      <c r="R99" s="4485">
        <f t="shared" si="362"/>
        <v>193.42000000000002</v>
      </c>
      <c r="S99" s="889"/>
      <c r="T99" s="245">
        <v>254.44</v>
      </c>
      <c r="U99" s="2341"/>
      <c r="V99" s="4485">
        <f t="shared" si="363"/>
        <v>447.86</v>
      </c>
      <c r="W99" s="889"/>
      <c r="X99" s="245">
        <v>1207.0800000000002</v>
      </c>
      <c r="Y99" s="2465"/>
      <c r="Z99" s="4488">
        <f t="shared" si="364"/>
        <v>1654.94</v>
      </c>
      <c r="AA99" s="3554"/>
      <c r="AB99" s="4490">
        <f t="shared" si="365"/>
        <v>1654.94</v>
      </c>
      <c r="AC99" s="889"/>
      <c r="AD99" s="245">
        <v>65.44</v>
      </c>
      <c r="AE99" s="2341"/>
      <c r="AF99" s="4485">
        <f t="shared" si="366"/>
        <v>1720.38</v>
      </c>
      <c r="AG99" s="889"/>
      <c r="AH99" s="245"/>
      <c r="AI99" s="2341"/>
      <c r="AJ99" s="4485">
        <f t="shared" si="367"/>
        <v>1720.38</v>
      </c>
      <c r="AK99" s="889"/>
      <c r="AL99" s="245">
        <v>573.26</v>
      </c>
      <c r="AM99" s="2465"/>
      <c r="AN99" s="4488">
        <f t="shared" si="368"/>
        <v>638.70000000000005</v>
      </c>
      <c r="AO99" s="2341"/>
      <c r="AP99" s="4485">
        <f t="shared" si="369"/>
        <v>2293.6400000000003</v>
      </c>
      <c r="AQ99" s="889"/>
      <c r="AR99" s="245">
        <v>493.79999999999995</v>
      </c>
      <c r="AS99" s="2341"/>
      <c r="AT99" s="250">
        <f t="shared" si="370"/>
        <v>2787.4400000000005</v>
      </c>
      <c r="AU99" s="889"/>
      <c r="AV99" s="245"/>
      <c r="AW99" s="2341"/>
      <c r="AX99" s="250">
        <f t="shared" si="371"/>
        <v>2787.4400000000005</v>
      </c>
      <c r="AY99" s="889"/>
      <c r="AZ99" s="245"/>
      <c r="BA99" s="2465"/>
      <c r="BB99" s="5136">
        <f t="shared" si="376"/>
        <v>493.79999999999995</v>
      </c>
      <c r="BC99" s="3554"/>
      <c r="BD99" s="5143">
        <f t="shared" si="373"/>
        <v>1132.5</v>
      </c>
      <c r="BE99" s="2341"/>
      <c r="BF99" s="250">
        <f t="shared" si="374"/>
        <v>2787.4400000000005</v>
      </c>
      <c r="BG99" s="26"/>
      <c r="BH99" s="26"/>
      <c r="BI99" s="26"/>
      <c r="BJ99" s="26"/>
    </row>
    <row r="100" spans="1:62" ht="20.25" customHeight="1" x14ac:dyDescent="0.25">
      <c r="A100" s="122"/>
      <c r="B100" s="4510" t="s">
        <v>897</v>
      </c>
      <c r="C100" s="2385" t="s">
        <v>1625</v>
      </c>
      <c r="D100" s="2385"/>
      <c r="E100" s="889"/>
      <c r="F100" s="245"/>
      <c r="G100" s="889"/>
      <c r="H100" s="245"/>
      <c r="I100" s="2341"/>
      <c r="J100" s="4485"/>
      <c r="K100" s="889"/>
      <c r="L100" s="245"/>
      <c r="M100" s="2465"/>
      <c r="N100" s="4488">
        <f t="shared" si="375"/>
        <v>0</v>
      </c>
      <c r="O100" s="889"/>
      <c r="P100" s="245">
        <v>205.34</v>
      </c>
      <c r="Q100" s="2341"/>
      <c r="R100" s="4485">
        <f t="shared" si="362"/>
        <v>205.34</v>
      </c>
      <c r="S100" s="889"/>
      <c r="T100" s="245">
        <v>418.96</v>
      </c>
      <c r="U100" s="2341"/>
      <c r="V100" s="4485">
        <f t="shared" si="363"/>
        <v>624.29999999999995</v>
      </c>
      <c r="W100" s="889"/>
      <c r="X100" s="245">
        <v>400.86</v>
      </c>
      <c r="Y100" s="2465"/>
      <c r="Z100" s="4488">
        <f t="shared" si="364"/>
        <v>1025.1599999999999</v>
      </c>
      <c r="AA100" s="3554"/>
      <c r="AB100" s="4490">
        <f t="shared" si="365"/>
        <v>1025.1599999999999</v>
      </c>
      <c r="AC100" s="889"/>
      <c r="AD100" s="245">
        <v>131.38</v>
      </c>
      <c r="AE100" s="2341"/>
      <c r="AF100" s="4485">
        <f t="shared" si="366"/>
        <v>1156.54</v>
      </c>
      <c r="AG100" s="889"/>
      <c r="AH100" s="245"/>
      <c r="AI100" s="2341"/>
      <c r="AJ100" s="4485">
        <f t="shared" si="367"/>
        <v>1156.54</v>
      </c>
      <c r="AK100" s="889"/>
      <c r="AL100" s="245">
        <v>309.88</v>
      </c>
      <c r="AM100" s="2465"/>
      <c r="AN100" s="4488">
        <f t="shared" si="368"/>
        <v>441.26</v>
      </c>
      <c r="AO100" s="2341"/>
      <c r="AP100" s="4485">
        <f t="shared" si="369"/>
        <v>1466.42</v>
      </c>
      <c r="AQ100" s="889"/>
      <c r="AR100" s="245">
        <v>248.92</v>
      </c>
      <c r="AS100" s="2341"/>
      <c r="AT100" s="250">
        <f t="shared" si="370"/>
        <v>1715.3400000000001</v>
      </c>
      <c r="AU100" s="889"/>
      <c r="AV100" s="245"/>
      <c r="AW100" s="2341"/>
      <c r="AX100" s="250">
        <f t="shared" si="371"/>
        <v>1715.3400000000001</v>
      </c>
      <c r="AY100" s="889"/>
      <c r="AZ100" s="245"/>
      <c r="BA100" s="2465"/>
      <c r="BB100" s="5136">
        <f t="shared" si="376"/>
        <v>248.92</v>
      </c>
      <c r="BC100" s="3554"/>
      <c r="BD100" s="5143">
        <f t="shared" si="373"/>
        <v>690.18</v>
      </c>
      <c r="BE100" s="2341"/>
      <c r="BF100" s="250">
        <f t="shared" si="374"/>
        <v>1715.3400000000001</v>
      </c>
      <c r="BG100" s="26"/>
      <c r="BH100" s="26"/>
      <c r="BI100" s="26"/>
      <c r="BJ100" s="26"/>
    </row>
    <row r="101" spans="1:62" ht="20.25" customHeight="1" thickBot="1" x14ac:dyDescent="0.3">
      <c r="A101" s="122"/>
      <c r="B101" s="4511" t="s">
        <v>897</v>
      </c>
      <c r="C101" s="4512" t="s">
        <v>941</v>
      </c>
      <c r="D101" s="4512"/>
      <c r="E101" s="4513"/>
      <c r="F101" s="4514">
        <v>432.78</v>
      </c>
      <c r="G101" s="4513"/>
      <c r="H101" s="4514"/>
      <c r="I101" s="4515"/>
      <c r="J101" s="4516">
        <f t="shared" si="361"/>
        <v>432.78</v>
      </c>
      <c r="K101" s="4513"/>
      <c r="L101" s="4514">
        <v>57.32</v>
      </c>
      <c r="M101" s="4517"/>
      <c r="N101" s="4518">
        <f t="shared" si="375"/>
        <v>490.09999999999997</v>
      </c>
      <c r="O101" s="4513"/>
      <c r="P101" s="4514">
        <v>240.84</v>
      </c>
      <c r="Q101" s="4515"/>
      <c r="R101" s="4516">
        <f t="shared" si="362"/>
        <v>730.93999999999994</v>
      </c>
      <c r="S101" s="4513"/>
      <c r="T101" s="4514">
        <v>790.99</v>
      </c>
      <c r="U101" s="4515"/>
      <c r="V101" s="4516">
        <f t="shared" si="363"/>
        <v>1521.9299999999998</v>
      </c>
      <c r="W101" s="4513"/>
      <c r="X101" s="4514">
        <v>1173.8699999999999</v>
      </c>
      <c r="Y101" s="4517"/>
      <c r="Z101" s="4518">
        <f t="shared" si="364"/>
        <v>2205.6999999999998</v>
      </c>
      <c r="AA101" s="4519"/>
      <c r="AB101" s="4520">
        <f t="shared" si="365"/>
        <v>2695.7999999999997</v>
      </c>
      <c r="AC101" s="4513"/>
      <c r="AD101" s="4514"/>
      <c r="AE101" s="4515"/>
      <c r="AF101" s="4516">
        <f t="shared" si="366"/>
        <v>2695.7999999999997</v>
      </c>
      <c r="AG101" s="4513"/>
      <c r="AH101" s="4514"/>
      <c r="AI101" s="4515"/>
      <c r="AJ101" s="4516">
        <f t="shared" si="367"/>
        <v>2695.7999999999997</v>
      </c>
      <c r="AK101" s="4513"/>
      <c r="AL101" s="4514">
        <v>951.09999999999991</v>
      </c>
      <c r="AM101" s="4517"/>
      <c r="AN101" s="4518">
        <f t="shared" si="368"/>
        <v>951.09999999999991</v>
      </c>
      <c r="AO101" s="4515"/>
      <c r="AP101" s="4516">
        <f t="shared" si="369"/>
        <v>3646.8999999999996</v>
      </c>
      <c r="AQ101" s="4513"/>
      <c r="AR101" s="4514">
        <v>992.36</v>
      </c>
      <c r="AS101" s="4515"/>
      <c r="AT101" s="4521">
        <f t="shared" si="370"/>
        <v>4639.2599999999993</v>
      </c>
      <c r="AU101" s="4513"/>
      <c r="AV101" s="4514">
        <v>411.71000000000004</v>
      </c>
      <c r="AW101" s="4515"/>
      <c r="AX101" s="4521">
        <f t="shared" si="371"/>
        <v>5050.9699999999993</v>
      </c>
      <c r="AY101" s="4513"/>
      <c r="AZ101" s="4514"/>
      <c r="BA101" s="4517"/>
      <c r="BB101" s="4518">
        <f t="shared" si="376"/>
        <v>1404.0700000000002</v>
      </c>
      <c r="BC101" s="4519"/>
      <c r="BD101" s="5143">
        <f t="shared" si="373"/>
        <v>2355.17</v>
      </c>
      <c r="BE101" s="4515"/>
      <c r="BF101" s="4521">
        <f t="shared" si="374"/>
        <v>5050.9699999999993</v>
      </c>
      <c r="BG101" s="26"/>
      <c r="BH101" s="26"/>
      <c r="BI101" s="26"/>
      <c r="BJ101" s="26"/>
    </row>
    <row r="102" spans="1:62" ht="21" thickBot="1" x14ac:dyDescent="0.3">
      <c r="A102" s="122"/>
      <c r="B102" s="4500" t="s">
        <v>909</v>
      </c>
      <c r="C102" s="4501" t="s">
        <v>940</v>
      </c>
      <c r="D102" s="4501"/>
      <c r="E102" s="4502"/>
      <c r="F102" s="4503"/>
      <c r="G102" s="4502"/>
      <c r="H102" s="4503">
        <v>564.31999999999994</v>
      </c>
      <c r="I102" s="4504"/>
      <c r="J102" s="4505">
        <f t="shared" si="361"/>
        <v>564.31999999999994</v>
      </c>
      <c r="K102" s="4502"/>
      <c r="L102" s="4503">
        <v>61.72</v>
      </c>
      <c r="M102" s="4506"/>
      <c r="N102" s="4507">
        <f t="shared" si="375"/>
        <v>626.04</v>
      </c>
      <c r="O102" s="4502"/>
      <c r="P102" s="4503">
        <v>61.74</v>
      </c>
      <c r="Q102" s="4504"/>
      <c r="R102" s="4505">
        <f t="shared" si="362"/>
        <v>687.78</v>
      </c>
      <c r="S102" s="4502"/>
      <c r="T102" s="4503"/>
      <c r="U102" s="4504"/>
      <c r="V102" s="4505">
        <f>R102+T102</f>
        <v>687.78</v>
      </c>
      <c r="W102" s="4502"/>
      <c r="X102" s="4503"/>
      <c r="Y102" s="4506"/>
      <c r="Z102" s="4507">
        <f>P102+T102+X102</f>
        <v>61.74</v>
      </c>
      <c r="AA102" s="4508"/>
      <c r="AB102" s="4509">
        <f t="shared" si="365"/>
        <v>687.78</v>
      </c>
      <c r="AC102" s="4502"/>
      <c r="AD102" s="4503"/>
      <c r="AE102" s="4504"/>
      <c r="AF102" s="4505">
        <f t="shared" si="366"/>
        <v>687.78</v>
      </c>
      <c r="AG102" s="4502"/>
      <c r="AH102" s="4503">
        <v>698.14</v>
      </c>
      <c r="AI102" s="4504"/>
      <c r="AJ102" s="4505">
        <f t="shared" si="367"/>
        <v>1385.92</v>
      </c>
      <c r="AK102" s="4502"/>
      <c r="AL102" s="4503"/>
      <c r="AM102" s="4506"/>
      <c r="AN102" s="4507">
        <f t="shared" si="368"/>
        <v>698.14</v>
      </c>
      <c r="AO102" s="4504"/>
      <c r="AP102" s="4505">
        <f t="shared" si="369"/>
        <v>1385.92</v>
      </c>
      <c r="AQ102" s="4502"/>
      <c r="AR102" s="4503"/>
      <c r="AS102" s="4504"/>
      <c r="AT102" s="2340">
        <f t="shared" si="370"/>
        <v>1385.92</v>
      </c>
      <c r="AU102" s="4502"/>
      <c r="AV102" s="4503"/>
      <c r="AW102" s="4504"/>
      <c r="AX102" s="2340">
        <f t="shared" si="371"/>
        <v>1385.92</v>
      </c>
      <c r="AY102" s="4502"/>
      <c r="AZ102" s="4503">
        <v>61.42</v>
      </c>
      <c r="BA102" s="4506"/>
      <c r="BB102" s="4507">
        <f>AR102+AV102+AZ102</f>
        <v>61.42</v>
      </c>
      <c r="BC102" s="4508"/>
      <c r="BD102" s="5143">
        <f t="shared" si="373"/>
        <v>759.56</v>
      </c>
      <c r="BE102" s="4504"/>
      <c r="BF102" s="2340">
        <f t="shared" si="374"/>
        <v>1447.3400000000001</v>
      </c>
      <c r="BG102" s="26"/>
      <c r="BH102" s="26"/>
      <c r="BI102" s="26"/>
      <c r="BJ102" s="26"/>
    </row>
    <row r="103" spans="1:62" s="5192" customFormat="1" ht="21" thickBot="1" x14ac:dyDescent="0.3">
      <c r="A103" s="122"/>
      <c r="B103" s="5222" t="s">
        <v>909</v>
      </c>
      <c r="C103" s="4955" t="s">
        <v>942</v>
      </c>
      <c r="D103" s="4955"/>
      <c r="E103" s="4494"/>
      <c r="F103" s="4495"/>
      <c r="G103" s="4494"/>
      <c r="H103" s="4495"/>
      <c r="I103" s="4496"/>
      <c r="J103" s="5188"/>
      <c r="K103" s="4494"/>
      <c r="L103" s="4495"/>
      <c r="M103" s="4497"/>
      <c r="N103" s="482"/>
      <c r="O103" s="4494"/>
      <c r="P103" s="4495"/>
      <c r="Q103" s="4496"/>
      <c r="R103" s="5188"/>
      <c r="S103" s="4494"/>
      <c r="T103" s="4495"/>
      <c r="U103" s="4496"/>
      <c r="V103" s="5188"/>
      <c r="W103" s="4494"/>
      <c r="X103" s="4495"/>
      <c r="Y103" s="4497"/>
      <c r="Z103" s="482"/>
      <c r="AA103" s="4498"/>
      <c r="AB103" s="4499"/>
      <c r="AC103" s="4494"/>
      <c r="AD103" s="4495"/>
      <c r="AE103" s="4496"/>
      <c r="AF103" s="5188"/>
      <c r="AG103" s="4494"/>
      <c r="AH103" s="4495"/>
      <c r="AI103" s="4496"/>
      <c r="AJ103" s="5188"/>
      <c r="AK103" s="4494"/>
      <c r="AL103" s="4495"/>
      <c r="AM103" s="4497"/>
      <c r="AN103" s="482"/>
      <c r="AO103" s="4496"/>
      <c r="AP103" s="5188"/>
      <c r="AQ103" s="4494"/>
      <c r="AR103" s="4495"/>
      <c r="AS103" s="4496"/>
      <c r="AT103" s="2553"/>
      <c r="AU103" s="4494"/>
      <c r="AV103" s="4495"/>
      <c r="AW103" s="4496"/>
      <c r="AX103" s="2340">
        <f t="shared" si="371"/>
        <v>0</v>
      </c>
      <c r="AY103" s="4494"/>
      <c r="AZ103" s="4495">
        <v>61.74</v>
      </c>
      <c r="BA103" s="4497"/>
      <c r="BB103" s="4507">
        <f>AR103+AV103+AZ103</f>
        <v>61.74</v>
      </c>
      <c r="BC103" s="4498"/>
      <c r="BD103" s="5187">
        <f t="shared" si="373"/>
        <v>61.74</v>
      </c>
      <c r="BE103" s="4496"/>
      <c r="BF103" s="2340">
        <f t="shared" si="374"/>
        <v>61.74</v>
      </c>
      <c r="BG103" s="26"/>
      <c r="BH103" s="26"/>
      <c r="BI103" s="26"/>
      <c r="BJ103" s="26"/>
    </row>
    <row r="104" spans="1:62" s="5192" customFormat="1" ht="20.25" x14ac:dyDescent="0.25">
      <c r="A104" s="122"/>
      <c r="B104" s="5222" t="s">
        <v>909</v>
      </c>
      <c r="C104" s="4955" t="s">
        <v>996</v>
      </c>
      <c r="D104" s="4955"/>
      <c r="E104" s="4494"/>
      <c r="F104" s="4495"/>
      <c r="G104" s="4494"/>
      <c r="H104" s="4495"/>
      <c r="I104" s="4496"/>
      <c r="J104" s="5188"/>
      <c r="K104" s="4494"/>
      <c r="L104" s="4495"/>
      <c r="M104" s="4497"/>
      <c r="N104" s="482"/>
      <c r="O104" s="4494"/>
      <c r="P104" s="4495"/>
      <c r="Q104" s="4496"/>
      <c r="R104" s="5188"/>
      <c r="S104" s="4494"/>
      <c r="T104" s="4495"/>
      <c r="U104" s="4496"/>
      <c r="V104" s="5188"/>
      <c r="W104" s="4494"/>
      <c r="X104" s="4495"/>
      <c r="Y104" s="4497"/>
      <c r="Z104" s="482"/>
      <c r="AA104" s="4498"/>
      <c r="AB104" s="4499"/>
      <c r="AC104" s="4494"/>
      <c r="AD104" s="4495"/>
      <c r="AE104" s="4496"/>
      <c r="AF104" s="5188"/>
      <c r="AG104" s="4494"/>
      <c r="AH104" s="4495"/>
      <c r="AI104" s="4496"/>
      <c r="AJ104" s="5188"/>
      <c r="AK104" s="4494"/>
      <c r="AL104" s="4495"/>
      <c r="AM104" s="4497"/>
      <c r="AN104" s="482"/>
      <c r="AO104" s="4496"/>
      <c r="AP104" s="5188"/>
      <c r="AQ104" s="4494"/>
      <c r="AR104" s="4495"/>
      <c r="AS104" s="4496"/>
      <c r="AT104" s="2553"/>
      <c r="AU104" s="4494"/>
      <c r="AV104" s="4495"/>
      <c r="AW104" s="4496"/>
      <c r="AX104" s="2340">
        <f t="shared" si="371"/>
        <v>0</v>
      </c>
      <c r="AY104" s="4494"/>
      <c r="AZ104" s="4495">
        <v>61.36</v>
      </c>
      <c r="BA104" s="4497"/>
      <c r="BB104" s="4507">
        <f>AR104+AV104+AZ104</f>
        <v>61.36</v>
      </c>
      <c r="BC104" s="4498"/>
      <c r="BD104" s="5187">
        <f t="shared" si="373"/>
        <v>61.36</v>
      </c>
      <c r="BE104" s="4496"/>
      <c r="BF104" s="2340">
        <f t="shared" si="374"/>
        <v>61.36</v>
      </c>
      <c r="BG104" s="26"/>
      <c r="BH104" s="26"/>
      <c r="BI104" s="26"/>
      <c r="BJ104" s="26"/>
    </row>
    <row r="105" spans="1:62" ht="20.25" x14ac:dyDescent="0.25">
      <c r="A105" s="122"/>
      <c r="B105" s="4510" t="s">
        <v>909</v>
      </c>
      <c r="C105" s="2385" t="s">
        <v>1529</v>
      </c>
      <c r="D105" s="2385"/>
      <c r="E105" s="889"/>
      <c r="F105" s="245"/>
      <c r="G105" s="889"/>
      <c r="H105" s="245">
        <v>61.74</v>
      </c>
      <c r="I105" s="2341"/>
      <c r="J105" s="4485">
        <f t="shared" si="361"/>
        <v>61.74</v>
      </c>
      <c r="K105" s="889"/>
      <c r="L105" s="245"/>
      <c r="M105" s="2465"/>
      <c r="N105" s="4488">
        <f t="shared" si="375"/>
        <v>61.74</v>
      </c>
      <c r="O105" s="889"/>
      <c r="P105" s="245"/>
      <c r="Q105" s="2341"/>
      <c r="R105" s="4485">
        <f t="shared" si="362"/>
        <v>61.74</v>
      </c>
      <c r="S105" s="889"/>
      <c r="T105" s="245"/>
      <c r="U105" s="2341"/>
      <c r="V105" s="4485">
        <f t="shared" si="363"/>
        <v>61.74</v>
      </c>
      <c r="W105" s="889"/>
      <c r="X105" s="245"/>
      <c r="Y105" s="2465"/>
      <c r="Z105" s="4488">
        <f t="shared" si="364"/>
        <v>0</v>
      </c>
      <c r="AA105" s="3554"/>
      <c r="AB105" s="4490">
        <f t="shared" si="365"/>
        <v>61.74</v>
      </c>
      <c r="AC105" s="889"/>
      <c r="AD105" s="245"/>
      <c r="AE105" s="2341"/>
      <c r="AF105" s="4485">
        <f t="shared" si="366"/>
        <v>61.74</v>
      </c>
      <c r="AG105" s="889"/>
      <c r="AH105" s="245"/>
      <c r="AI105" s="2341"/>
      <c r="AJ105" s="4485">
        <f t="shared" si="367"/>
        <v>61.74</v>
      </c>
      <c r="AK105" s="889"/>
      <c r="AL105" s="245"/>
      <c r="AM105" s="2465"/>
      <c r="AN105" s="4488">
        <f t="shared" si="368"/>
        <v>0</v>
      </c>
      <c r="AO105" s="2341"/>
      <c r="AP105" s="4485">
        <f t="shared" si="369"/>
        <v>61.74</v>
      </c>
      <c r="AQ105" s="889"/>
      <c r="AR105" s="245"/>
      <c r="AS105" s="2341"/>
      <c r="AT105" s="250">
        <f t="shared" si="370"/>
        <v>61.74</v>
      </c>
      <c r="AU105" s="889"/>
      <c r="AV105" s="245"/>
      <c r="AW105" s="2341"/>
      <c r="AX105" s="250">
        <f t="shared" si="371"/>
        <v>61.74</v>
      </c>
      <c r="AY105" s="889"/>
      <c r="AZ105" s="245"/>
      <c r="BA105" s="2465"/>
      <c r="BB105" s="5136">
        <f t="shared" ref="BB105:BB170" si="377">AR105+AV105+AZ105</f>
        <v>0</v>
      </c>
      <c r="BC105" s="3554"/>
      <c r="BD105" s="5143">
        <f t="shared" si="373"/>
        <v>0</v>
      </c>
      <c r="BE105" s="2341"/>
      <c r="BF105" s="250">
        <f t="shared" si="374"/>
        <v>61.74</v>
      </c>
      <c r="BG105" s="26"/>
      <c r="BH105" s="26"/>
      <c r="BI105" s="26"/>
      <c r="BJ105" s="26"/>
    </row>
    <row r="106" spans="1:62" s="4213" customFormat="1" ht="20.25" x14ac:dyDescent="0.25">
      <c r="A106" s="122"/>
      <c r="B106" s="4510" t="s">
        <v>909</v>
      </c>
      <c r="C106" s="2385" t="s">
        <v>1625</v>
      </c>
      <c r="D106" s="2385"/>
      <c r="E106" s="889"/>
      <c r="F106" s="245"/>
      <c r="G106" s="889"/>
      <c r="H106" s="245"/>
      <c r="I106" s="2341"/>
      <c r="J106" s="4485"/>
      <c r="K106" s="889"/>
      <c r="L106" s="245"/>
      <c r="M106" s="2465"/>
      <c r="N106" s="4488">
        <f t="shared" si="375"/>
        <v>0</v>
      </c>
      <c r="O106" s="889"/>
      <c r="P106" s="245"/>
      <c r="Q106" s="2341"/>
      <c r="R106" s="4485"/>
      <c r="S106" s="889"/>
      <c r="T106" s="245"/>
      <c r="U106" s="2341"/>
      <c r="V106" s="4485"/>
      <c r="W106" s="889"/>
      <c r="X106" s="245"/>
      <c r="Y106" s="2465"/>
      <c r="Z106" s="4488">
        <f t="shared" si="364"/>
        <v>0</v>
      </c>
      <c r="AA106" s="3554"/>
      <c r="AB106" s="4490">
        <f t="shared" si="365"/>
        <v>0</v>
      </c>
      <c r="AC106" s="889"/>
      <c r="AD106" s="245"/>
      <c r="AE106" s="2341"/>
      <c r="AF106" s="4485">
        <f t="shared" si="366"/>
        <v>0</v>
      </c>
      <c r="AG106" s="889"/>
      <c r="AH106" s="245">
        <v>441.02</v>
      </c>
      <c r="AI106" s="2341"/>
      <c r="AJ106" s="4485">
        <f t="shared" si="367"/>
        <v>441.02</v>
      </c>
      <c r="AK106" s="889"/>
      <c r="AL106" s="245"/>
      <c r="AM106" s="2465"/>
      <c r="AN106" s="4488">
        <f t="shared" si="368"/>
        <v>441.02</v>
      </c>
      <c r="AO106" s="2341"/>
      <c r="AP106" s="4485">
        <f t="shared" si="369"/>
        <v>441.02</v>
      </c>
      <c r="AQ106" s="889"/>
      <c r="AR106" s="245"/>
      <c r="AS106" s="2341"/>
      <c r="AT106" s="250">
        <f t="shared" si="370"/>
        <v>441.02</v>
      </c>
      <c r="AU106" s="889"/>
      <c r="AV106" s="245"/>
      <c r="AW106" s="2341"/>
      <c r="AX106" s="250">
        <f t="shared" si="371"/>
        <v>441.02</v>
      </c>
      <c r="AY106" s="889"/>
      <c r="AZ106" s="245"/>
      <c r="BA106" s="2465"/>
      <c r="BB106" s="5136">
        <f t="shared" si="377"/>
        <v>0</v>
      </c>
      <c r="BC106" s="3554"/>
      <c r="BD106" s="5143">
        <f t="shared" si="373"/>
        <v>441.02</v>
      </c>
      <c r="BE106" s="2341"/>
      <c r="BF106" s="250">
        <f t="shared" si="374"/>
        <v>441.02</v>
      </c>
      <c r="BG106" s="26"/>
      <c r="BH106" s="26"/>
      <c r="BI106" s="26"/>
      <c r="BJ106" s="26"/>
    </row>
    <row r="107" spans="1:62" ht="20.25" customHeight="1" x14ac:dyDescent="0.25">
      <c r="A107" s="122"/>
      <c r="B107" s="4510" t="s">
        <v>909</v>
      </c>
      <c r="C107" s="2385" t="s">
        <v>910</v>
      </c>
      <c r="D107" s="2385"/>
      <c r="E107" s="889"/>
      <c r="F107" s="245"/>
      <c r="G107" s="889"/>
      <c r="H107" s="245">
        <v>497.36</v>
      </c>
      <c r="I107" s="2341"/>
      <c r="J107" s="4485">
        <f t="shared" si="361"/>
        <v>497.36</v>
      </c>
      <c r="K107" s="889"/>
      <c r="L107" s="245">
        <v>31.1</v>
      </c>
      <c r="M107" s="2465"/>
      <c r="N107" s="4488">
        <f t="shared" si="375"/>
        <v>528.46</v>
      </c>
      <c r="O107" s="889"/>
      <c r="P107" s="245"/>
      <c r="Q107" s="2341"/>
      <c r="R107" s="4485">
        <f t="shared" si="362"/>
        <v>528.46</v>
      </c>
      <c r="S107" s="889"/>
      <c r="T107" s="245"/>
      <c r="U107" s="2341"/>
      <c r="V107" s="4485">
        <f t="shared" si="363"/>
        <v>528.46</v>
      </c>
      <c r="W107" s="889"/>
      <c r="X107" s="245"/>
      <c r="Y107" s="2465"/>
      <c r="Z107" s="4488">
        <f t="shared" si="364"/>
        <v>0</v>
      </c>
      <c r="AA107" s="3554"/>
      <c r="AB107" s="4490">
        <f t="shared" si="365"/>
        <v>528.46</v>
      </c>
      <c r="AC107" s="889"/>
      <c r="AD107" s="245"/>
      <c r="AE107" s="2341"/>
      <c r="AF107" s="4485">
        <f t="shared" si="366"/>
        <v>528.46</v>
      </c>
      <c r="AG107" s="889"/>
      <c r="AH107" s="245">
        <v>474.66999999999996</v>
      </c>
      <c r="AI107" s="2341"/>
      <c r="AJ107" s="4485">
        <f t="shared" si="367"/>
        <v>1003.13</v>
      </c>
      <c r="AK107" s="889"/>
      <c r="AL107" s="245">
        <v>117.6</v>
      </c>
      <c r="AM107" s="2465"/>
      <c r="AN107" s="4488">
        <f t="shared" si="368"/>
        <v>592.27</v>
      </c>
      <c r="AO107" s="2341"/>
      <c r="AP107" s="4485">
        <f t="shared" si="369"/>
        <v>1120.73</v>
      </c>
      <c r="AQ107" s="889"/>
      <c r="AR107" s="245"/>
      <c r="AS107" s="2341"/>
      <c r="AT107" s="250">
        <f t="shared" si="370"/>
        <v>1120.73</v>
      </c>
      <c r="AU107" s="889"/>
      <c r="AV107" s="245">
        <v>850.21999999999991</v>
      </c>
      <c r="AW107" s="2341"/>
      <c r="AX107" s="250">
        <f t="shared" si="371"/>
        <v>1970.9499999999998</v>
      </c>
      <c r="AY107" s="889"/>
      <c r="AZ107" s="245">
        <v>123.18</v>
      </c>
      <c r="BA107" s="2465"/>
      <c r="BB107" s="5136">
        <f t="shared" si="377"/>
        <v>973.39999999999986</v>
      </c>
      <c r="BC107" s="3554"/>
      <c r="BD107" s="5143">
        <f t="shared" si="373"/>
        <v>1565.6699999999998</v>
      </c>
      <c r="BE107" s="2341"/>
      <c r="BF107" s="250">
        <f t="shared" si="374"/>
        <v>2094.1299999999997</v>
      </c>
      <c r="BG107" s="26"/>
      <c r="BH107" s="26"/>
      <c r="BI107" s="26"/>
      <c r="BJ107" s="26"/>
    </row>
    <row r="108" spans="1:62" ht="20.25" customHeight="1" x14ac:dyDescent="0.25">
      <c r="A108" s="122"/>
      <c r="B108" s="4510" t="s">
        <v>909</v>
      </c>
      <c r="C108" s="2385" t="s">
        <v>953</v>
      </c>
      <c r="D108" s="2385"/>
      <c r="E108" s="889"/>
      <c r="F108" s="245"/>
      <c r="G108" s="889"/>
      <c r="H108" s="245">
        <v>309.10000000000002</v>
      </c>
      <c r="I108" s="2341"/>
      <c r="J108" s="4485">
        <f t="shared" si="361"/>
        <v>309.10000000000002</v>
      </c>
      <c r="K108" s="889"/>
      <c r="L108" s="245"/>
      <c r="M108" s="2465"/>
      <c r="N108" s="4488">
        <f t="shared" si="375"/>
        <v>309.10000000000002</v>
      </c>
      <c r="O108" s="889"/>
      <c r="P108" s="245"/>
      <c r="Q108" s="2341"/>
      <c r="R108" s="4485">
        <f t="shared" si="362"/>
        <v>309.10000000000002</v>
      </c>
      <c r="S108" s="889"/>
      <c r="T108" s="245"/>
      <c r="U108" s="2341"/>
      <c r="V108" s="4485">
        <f t="shared" si="363"/>
        <v>309.10000000000002</v>
      </c>
      <c r="W108" s="889"/>
      <c r="X108" s="245"/>
      <c r="Y108" s="2465"/>
      <c r="Z108" s="4488">
        <f t="shared" si="364"/>
        <v>0</v>
      </c>
      <c r="AA108" s="3554"/>
      <c r="AB108" s="4490">
        <f t="shared" si="365"/>
        <v>309.10000000000002</v>
      </c>
      <c r="AC108" s="889"/>
      <c r="AD108" s="245"/>
      <c r="AE108" s="2341"/>
      <c r="AF108" s="4485">
        <f t="shared" si="366"/>
        <v>309.10000000000002</v>
      </c>
      <c r="AG108" s="889"/>
      <c r="AH108" s="245"/>
      <c r="AI108" s="2341"/>
      <c r="AJ108" s="4485">
        <f t="shared" si="367"/>
        <v>309.10000000000002</v>
      </c>
      <c r="AK108" s="889"/>
      <c r="AL108" s="245"/>
      <c r="AM108" s="2465"/>
      <c r="AN108" s="4488">
        <f t="shared" si="368"/>
        <v>0</v>
      </c>
      <c r="AO108" s="2341"/>
      <c r="AP108" s="4485">
        <f t="shared" si="369"/>
        <v>309.10000000000002</v>
      </c>
      <c r="AQ108" s="889"/>
      <c r="AR108" s="245"/>
      <c r="AS108" s="2341"/>
      <c r="AT108" s="250">
        <f t="shared" si="370"/>
        <v>309.10000000000002</v>
      </c>
      <c r="AU108" s="889"/>
      <c r="AV108" s="245">
        <v>61.94</v>
      </c>
      <c r="AW108" s="2341"/>
      <c r="AX108" s="250">
        <f t="shared" si="371"/>
        <v>371.04</v>
      </c>
      <c r="AY108" s="889"/>
      <c r="AZ108" s="245"/>
      <c r="BA108" s="2465"/>
      <c r="BB108" s="5136">
        <f t="shared" si="377"/>
        <v>61.94</v>
      </c>
      <c r="BC108" s="3554"/>
      <c r="BD108" s="5143">
        <f t="shared" si="373"/>
        <v>61.94</v>
      </c>
      <c r="BE108" s="2341"/>
      <c r="BF108" s="250">
        <f t="shared" si="374"/>
        <v>371.04</v>
      </c>
      <c r="BG108" s="26"/>
      <c r="BH108" s="26"/>
      <c r="BI108" s="26"/>
      <c r="BJ108" s="26"/>
    </row>
    <row r="109" spans="1:62" ht="20.25" customHeight="1" thickBot="1" x14ac:dyDescent="0.3">
      <c r="A109" s="122"/>
      <c r="B109" s="4511" t="s">
        <v>909</v>
      </c>
      <c r="C109" s="4512" t="s">
        <v>941</v>
      </c>
      <c r="D109" s="4512"/>
      <c r="E109" s="4513"/>
      <c r="F109" s="4514"/>
      <c r="G109" s="4513"/>
      <c r="H109" s="4514">
        <v>246.46</v>
      </c>
      <c r="I109" s="4515"/>
      <c r="J109" s="4516">
        <f t="shared" si="361"/>
        <v>246.46</v>
      </c>
      <c r="K109" s="4513"/>
      <c r="L109" s="4514"/>
      <c r="M109" s="4517"/>
      <c r="N109" s="4518">
        <f t="shared" si="375"/>
        <v>246.46</v>
      </c>
      <c r="O109" s="4513"/>
      <c r="P109" s="4514"/>
      <c r="Q109" s="4515"/>
      <c r="R109" s="4516">
        <f t="shared" si="362"/>
        <v>246.46</v>
      </c>
      <c r="S109" s="4513"/>
      <c r="T109" s="4514"/>
      <c r="U109" s="4515"/>
      <c r="V109" s="4516">
        <f t="shared" si="363"/>
        <v>246.46</v>
      </c>
      <c r="W109" s="4513"/>
      <c r="X109" s="4514"/>
      <c r="Y109" s="4517"/>
      <c r="Z109" s="4518">
        <f t="shared" si="364"/>
        <v>0</v>
      </c>
      <c r="AA109" s="4519"/>
      <c r="AB109" s="4520">
        <f t="shared" si="365"/>
        <v>246.46</v>
      </c>
      <c r="AC109" s="4513"/>
      <c r="AD109" s="4514"/>
      <c r="AE109" s="4515"/>
      <c r="AF109" s="4516">
        <f t="shared" si="366"/>
        <v>246.46</v>
      </c>
      <c r="AG109" s="4513"/>
      <c r="AH109" s="4514">
        <v>320.42</v>
      </c>
      <c r="AI109" s="4515"/>
      <c r="AJ109" s="4516">
        <f t="shared" si="367"/>
        <v>566.88</v>
      </c>
      <c r="AK109" s="4513"/>
      <c r="AL109" s="4514">
        <v>119.18</v>
      </c>
      <c r="AM109" s="4517"/>
      <c r="AN109" s="4518">
        <f t="shared" si="368"/>
        <v>439.6</v>
      </c>
      <c r="AO109" s="4515"/>
      <c r="AP109" s="4516">
        <f t="shared" si="369"/>
        <v>686.06</v>
      </c>
      <c r="AQ109" s="4513"/>
      <c r="AR109" s="4514"/>
      <c r="AS109" s="4515"/>
      <c r="AT109" s="4521">
        <f t="shared" si="370"/>
        <v>686.06</v>
      </c>
      <c r="AU109" s="4513"/>
      <c r="AV109" s="4514">
        <v>62.12</v>
      </c>
      <c r="AW109" s="4515"/>
      <c r="AX109" s="4521">
        <f t="shared" si="371"/>
        <v>748.18</v>
      </c>
      <c r="AY109" s="4513"/>
      <c r="AZ109" s="4514"/>
      <c r="BA109" s="4517"/>
      <c r="BB109" s="4518">
        <f t="shared" si="377"/>
        <v>62.12</v>
      </c>
      <c r="BC109" s="4519"/>
      <c r="BD109" s="5143">
        <f t="shared" si="373"/>
        <v>501.72</v>
      </c>
      <c r="BE109" s="4515"/>
      <c r="BF109" s="4521">
        <f t="shared" si="374"/>
        <v>748.18</v>
      </c>
      <c r="BG109" s="26"/>
      <c r="BH109" s="26"/>
      <c r="BI109" s="26"/>
      <c r="BJ109" s="26"/>
    </row>
    <row r="110" spans="1:62" ht="20.25" customHeight="1" x14ac:dyDescent="0.25">
      <c r="A110" s="122"/>
      <c r="B110" s="4538" t="s">
        <v>898</v>
      </c>
      <c r="C110" s="4539" t="s">
        <v>942</v>
      </c>
      <c r="D110" s="4539"/>
      <c r="E110" s="4502"/>
      <c r="F110" s="4503"/>
      <c r="G110" s="4502"/>
      <c r="H110" s="4503">
        <v>65.36</v>
      </c>
      <c r="I110" s="4504"/>
      <c r="J110" s="4505">
        <f t="shared" si="361"/>
        <v>65.36</v>
      </c>
      <c r="K110" s="4502"/>
      <c r="L110" s="4503">
        <v>3213.79</v>
      </c>
      <c r="M110" s="4506"/>
      <c r="N110" s="4507">
        <f t="shared" si="375"/>
        <v>3279.15</v>
      </c>
      <c r="O110" s="4502"/>
      <c r="P110" s="4503">
        <v>123.24</v>
      </c>
      <c r="Q110" s="4504"/>
      <c r="R110" s="4505">
        <f t="shared" si="362"/>
        <v>3402.39</v>
      </c>
      <c r="S110" s="4502"/>
      <c r="T110" s="4503">
        <v>2678.8599999999997</v>
      </c>
      <c r="U110" s="4504"/>
      <c r="V110" s="4505">
        <f t="shared" si="363"/>
        <v>6081.25</v>
      </c>
      <c r="W110" s="4502"/>
      <c r="X110" s="4503"/>
      <c r="Y110" s="4506"/>
      <c r="Z110" s="4507">
        <f t="shared" si="364"/>
        <v>2802.0999999999995</v>
      </c>
      <c r="AA110" s="4508"/>
      <c r="AB110" s="4509">
        <f t="shared" si="365"/>
        <v>6081.25</v>
      </c>
      <c r="AC110" s="4502"/>
      <c r="AD110" s="4503"/>
      <c r="AE110" s="4504"/>
      <c r="AF110" s="4505">
        <f t="shared" si="366"/>
        <v>6081.25</v>
      </c>
      <c r="AG110" s="4502"/>
      <c r="AH110" s="4503">
        <v>2249.2200000000003</v>
      </c>
      <c r="AI110" s="4504"/>
      <c r="AJ110" s="4505">
        <f t="shared" si="367"/>
        <v>8330.4700000000012</v>
      </c>
      <c r="AK110" s="4502"/>
      <c r="AL110" s="4503">
        <v>891.28000000000009</v>
      </c>
      <c r="AM110" s="4506"/>
      <c r="AN110" s="4507">
        <f t="shared" si="368"/>
        <v>3140.5000000000005</v>
      </c>
      <c r="AO110" s="4504"/>
      <c r="AP110" s="4505">
        <f t="shared" si="369"/>
        <v>9221.7500000000018</v>
      </c>
      <c r="AQ110" s="4502"/>
      <c r="AR110" s="4503">
        <v>812.98</v>
      </c>
      <c r="AS110" s="4504"/>
      <c r="AT110" s="2340">
        <f t="shared" si="370"/>
        <v>10034.730000000001</v>
      </c>
      <c r="AU110" s="4502"/>
      <c r="AV110" s="4503">
        <v>400.48</v>
      </c>
      <c r="AW110" s="4504"/>
      <c r="AX110" s="2340">
        <f t="shared" si="371"/>
        <v>10435.210000000001</v>
      </c>
      <c r="AY110" s="4502"/>
      <c r="AZ110" s="4503">
        <v>807.40000000000009</v>
      </c>
      <c r="BA110" s="4506"/>
      <c r="BB110" s="4507">
        <f t="shared" si="377"/>
        <v>2020.8600000000001</v>
      </c>
      <c r="BC110" s="4508"/>
      <c r="BD110" s="5143">
        <f t="shared" si="373"/>
        <v>5161.3600000000006</v>
      </c>
      <c r="BE110" s="4504"/>
      <c r="BF110" s="2340">
        <f t="shared" si="374"/>
        <v>11242.61</v>
      </c>
      <c r="BG110" s="26"/>
      <c r="BH110" s="26"/>
      <c r="BI110" s="26"/>
      <c r="BJ110" s="26"/>
    </row>
    <row r="111" spans="1:62" ht="20.25" x14ac:dyDescent="0.25">
      <c r="A111" s="122"/>
      <c r="B111" s="4510" t="s">
        <v>898</v>
      </c>
      <c r="C111" s="2385" t="s">
        <v>1206</v>
      </c>
      <c r="D111" s="1523"/>
      <c r="E111" s="889"/>
      <c r="F111" s="245"/>
      <c r="G111" s="889"/>
      <c r="H111" s="245"/>
      <c r="I111" s="2341"/>
      <c r="J111" s="4529">
        <f t="shared" si="361"/>
        <v>0</v>
      </c>
      <c r="K111" s="889"/>
      <c r="L111" s="245">
        <v>1341.98</v>
      </c>
      <c r="M111" s="2465"/>
      <c r="N111" s="4533">
        <f t="shared" si="375"/>
        <v>1341.98</v>
      </c>
      <c r="O111" s="889"/>
      <c r="P111" s="245"/>
      <c r="Q111" s="2341"/>
      <c r="R111" s="4529">
        <f t="shared" si="362"/>
        <v>1341.98</v>
      </c>
      <c r="S111" s="889"/>
      <c r="T111" s="245">
        <v>2482.94</v>
      </c>
      <c r="U111" s="2341"/>
      <c r="V111" s="4529">
        <f t="shared" si="363"/>
        <v>3824.92</v>
      </c>
      <c r="W111" s="889"/>
      <c r="X111" s="245"/>
      <c r="Y111" s="2465"/>
      <c r="Z111" s="4533">
        <f t="shared" si="364"/>
        <v>2482.94</v>
      </c>
      <c r="AA111" s="3554"/>
      <c r="AB111" s="4535">
        <f t="shared" si="365"/>
        <v>3824.92</v>
      </c>
      <c r="AC111" s="889"/>
      <c r="AD111" s="245"/>
      <c r="AE111" s="2341"/>
      <c r="AF111" s="4529">
        <f t="shared" si="366"/>
        <v>3824.92</v>
      </c>
      <c r="AG111" s="889"/>
      <c r="AH111" s="245">
        <v>954</v>
      </c>
      <c r="AI111" s="2341"/>
      <c r="AJ111" s="4529">
        <f t="shared" si="367"/>
        <v>4778.92</v>
      </c>
      <c r="AK111" s="889"/>
      <c r="AL111" s="245">
        <v>311.70000000000005</v>
      </c>
      <c r="AM111" s="2465"/>
      <c r="AN111" s="4533">
        <f t="shared" si="368"/>
        <v>1265.7</v>
      </c>
      <c r="AO111" s="2341"/>
      <c r="AP111" s="4529">
        <f t="shared" si="369"/>
        <v>5090.62</v>
      </c>
      <c r="AQ111" s="889"/>
      <c r="AR111" s="245">
        <v>591.29000000000008</v>
      </c>
      <c r="AS111" s="2341"/>
      <c r="AT111" s="250">
        <f t="shared" si="370"/>
        <v>5681.91</v>
      </c>
      <c r="AU111" s="889"/>
      <c r="AV111" s="245">
        <v>280.20999999999998</v>
      </c>
      <c r="AW111" s="2341"/>
      <c r="AX111" s="250">
        <f t="shared" si="371"/>
        <v>5962.12</v>
      </c>
      <c r="AY111" s="889"/>
      <c r="AZ111" s="245">
        <v>61.3</v>
      </c>
      <c r="BA111" s="2465"/>
      <c r="BB111" s="5136">
        <f t="shared" si="377"/>
        <v>932.8</v>
      </c>
      <c r="BC111" s="3554"/>
      <c r="BD111" s="5143">
        <f t="shared" si="373"/>
        <v>2198.5</v>
      </c>
      <c r="BE111" s="2341"/>
      <c r="BF111" s="250">
        <f t="shared" si="374"/>
        <v>6023.42</v>
      </c>
      <c r="BG111" s="26"/>
      <c r="BH111" s="26"/>
      <c r="BI111" s="26"/>
      <c r="BJ111" s="26"/>
    </row>
    <row r="112" spans="1:62" s="4101" customFormat="1" ht="20.25" x14ac:dyDescent="0.25">
      <c r="A112" s="122"/>
      <c r="B112" s="4510" t="s">
        <v>898</v>
      </c>
      <c r="C112" s="2385" t="s">
        <v>915</v>
      </c>
      <c r="D112" s="1523"/>
      <c r="E112" s="889"/>
      <c r="F112" s="245"/>
      <c r="G112" s="889"/>
      <c r="H112" s="245"/>
      <c r="I112" s="2341"/>
      <c r="J112" s="4529"/>
      <c r="K112" s="889"/>
      <c r="L112" s="245"/>
      <c r="M112" s="2465"/>
      <c r="N112" s="4533">
        <f t="shared" si="375"/>
        <v>0</v>
      </c>
      <c r="O112" s="889"/>
      <c r="P112" s="245"/>
      <c r="Q112" s="2341"/>
      <c r="R112" s="4529"/>
      <c r="S112" s="889"/>
      <c r="T112" s="245"/>
      <c r="U112" s="2341"/>
      <c r="V112" s="4529"/>
      <c r="W112" s="889"/>
      <c r="X112" s="245"/>
      <c r="Y112" s="2465"/>
      <c r="Z112" s="4533">
        <f t="shared" ref="Z112" si="378">P112+T112+X112</f>
        <v>0</v>
      </c>
      <c r="AA112" s="3554"/>
      <c r="AB112" s="4535">
        <f t="shared" ref="AB112" si="379">N112+Z112</f>
        <v>0</v>
      </c>
      <c r="AC112" s="889"/>
      <c r="AD112" s="245">
        <v>36.19</v>
      </c>
      <c r="AE112" s="2341"/>
      <c r="AF112" s="4529">
        <f t="shared" si="366"/>
        <v>36.19</v>
      </c>
      <c r="AG112" s="889"/>
      <c r="AH112" s="245"/>
      <c r="AI112" s="2341"/>
      <c r="AJ112" s="4529">
        <f t="shared" si="367"/>
        <v>36.19</v>
      </c>
      <c r="AK112" s="889"/>
      <c r="AL112" s="245"/>
      <c r="AM112" s="2465"/>
      <c r="AN112" s="4533">
        <f t="shared" si="368"/>
        <v>36.19</v>
      </c>
      <c r="AO112" s="2341"/>
      <c r="AP112" s="4529">
        <f t="shared" si="369"/>
        <v>36.19</v>
      </c>
      <c r="AQ112" s="889"/>
      <c r="AR112" s="245"/>
      <c r="AS112" s="2341"/>
      <c r="AT112" s="250">
        <f t="shared" si="370"/>
        <v>36.19</v>
      </c>
      <c r="AU112" s="889"/>
      <c r="AV112" s="245"/>
      <c r="AW112" s="2341"/>
      <c r="AX112" s="250">
        <f t="shared" si="371"/>
        <v>36.19</v>
      </c>
      <c r="AY112" s="889"/>
      <c r="AZ112" s="245"/>
      <c r="BA112" s="2465"/>
      <c r="BB112" s="5136">
        <f t="shared" si="377"/>
        <v>0</v>
      </c>
      <c r="BC112" s="3554"/>
      <c r="BD112" s="5143">
        <f t="shared" si="373"/>
        <v>36.19</v>
      </c>
      <c r="BE112" s="2341"/>
      <c r="BF112" s="250">
        <f t="shared" si="374"/>
        <v>36.19</v>
      </c>
      <c r="BG112" s="26"/>
      <c r="BH112" s="26"/>
      <c r="BI112" s="26"/>
      <c r="BJ112" s="26"/>
    </row>
    <row r="113" spans="1:62" ht="20.25" customHeight="1" x14ac:dyDescent="0.25">
      <c r="A113" s="122"/>
      <c r="B113" s="4540" t="s">
        <v>898</v>
      </c>
      <c r="C113" s="1523" t="s">
        <v>996</v>
      </c>
      <c r="D113" s="1523"/>
      <c r="E113" s="889"/>
      <c r="F113" s="245"/>
      <c r="G113" s="889"/>
      <c r="H113" s="245"/>
      <c r="I113" s="2341"/>
      <c r="J113" s="4529">
        <f t="shared" si="361"/>
        <v>0</v>
      </c>
      <c r="K113" s="889"/>
      <c r="L113" s="245">
        <v>184.2</v>
      </c>
      <c r="M113" s="2465"/>
      <c r="N113" s="4533">
        <f t="shared" si="375"/>
        <v>184.2</v>
      </c>
      <c r="O113" s="889"/>
      <c r="P113" s="245"/>
      <c r="Q113" s="2341"/>
      <c r="R113" s="4529">
        <f t="shared" si="362"/>
        <v>184.2</v>
      </c>
      <c r="S113" s="889"/>
      <c r="T113" s="245">
        <v>63.18</v>
      </c>
      <c r="U113" s="2341"/>
      <c r="V113" s="4529">
        <f t="shared" si="363"/>
        <v>247.38</v>
      </c>
      <c r="W113" s="889"/>
      <c r="X113" s="245"/>
      <c r="Y113" s="2465"/>
      <c r="Z113" s="4533">
        <f t="shared" si="364"/>
        <v>63.18</v>
      </c>
      <c r="AA113" s="3554"/>
      <c r="AB113" s="4535">
        <f t="shared" si="365"/>
        <v>247.38</v>
      </c>
      <c r="AC113" s="889"/>
      <c r="AD113" s="245"/>
      <c r="AE113" s="2341"/>
      <c r="AF113" s="4529">
        <f t="shared" si="366"/>
        <v>247.38</v>
      </c>
      <c r="AG113" s="889"/>
      <c r="AH113" s="245"/>
      <c r="AI113" s="2341"/>
      <c r="AJ113" s="4529">
        <f t="shared" si="367"/>
        <v>247.38</v>
      </c>
      <c r="AK113" s="889"/>
      <c r="AL113" s="245"/>
      <c r="AM113" s="2465"/>
      <c r="AN113" s="4533">
        <f t="shared" si="368"/>
        <v>0</v>
      </c>
      <c r="AO113" s="2341"/>
      <c r="AP113" s="4529">
        <f t="shared" si="369"/>
        <v>247.38</v>
      </c>
      <c r="AQ113" s="889"/>
      <c r="AR113" s="245"/>
      <c r="AS113" s="2341"/>
      <c r="AT113" s="250">
        <f t="shared" si="370"/>
        <v>247.38</v>
      </c>
      <c r="AU113" s="889"/>
      <c r="AV113" s="245"/>
      <c r="AW113" s="2341"/>
      <c r="AX113" s="250">
        <f t="shared" si="371"/>
        <v>247.38</v>
      </c>
      <c r="AY113" s="889"/>
      <c r="AZ113" s="245">
        <v>114.58000000000001</v>
      </c>
      <c r="BA113" s="2465"/>
      <c r="BB113" s="5136">
        <f t="shared" si="377"/>
        <v>114.58000000000001</v>
      </c>
      <c r="BC113" s="3554"/>
      <c r="BD113" s="5143">
        <f t="shared" si="373"/>
        <v>114.58000000000001</v>
      </c>
      <c r="BE113" s="2341"/>
      <c r="BF113" s="250">
        <f t="shared" si="374"/>
        <v>361.96000000000004</v>
      </c>
      <c r="BG113" s="26"/>
      <c r="BH113" s="26"/>
      <c r="BI113" s="26"/>
      <c r="BJ113" s="26"/>
    </row>
    <row r="114" spans="1:62" ht="20.25" x14ac:dyDescent="0.25">
      <c r="A114" s="122"/>
      <c r="B114" s="4540" t="s">
        <v>898</v>
      </c>
      <c r="C114" s="1523" t="s">
        <v>1625</v>
      </c>
      <c r="D114" s="1523"/>
      <c r="E114" s="889"/>
      <c r="F114" s="245"/>
      <c r="G114" s="889"/>
      <c r="H114" s="245"/>
      <c r="I114" s="2341"/>
      <c r="J114" s="4529"/>
      <c r="K114" s="889"/>
      <c r="L114" s="245">
        <v>80.680000000000007</v>
      </c>
      <c r="M114" s="2465"/>
      <c r="N114" s="4533">
        <f t="shared" si="375"/>
        <v>80.680000000000007</v>
      </c>
      <c r="O114" s="889"/>
      <c r="P114" s="245"/>
      <c r="Q114" s="2341"/>
      <c r="R114" s="4529">
        <f t="shared" si="362"/>
        <v>80.680000000000007</v>
      </c>
      <c r="S114" s="889"/>
      <c r="T114" s="245">
        <v>481.55</v>
      </c>
      <c r="U114" s="2341"/>
      <c r="V114" s="4529">
        <f t="shared" si="363"/>
        <v>562.23</v>
      </c>
      <c r="W114" s="889"/>
      <c r="X114" s="245"/>
      <c r="Y114" s="2465"/>
      <c r="Z114" s="4533">
        <f t="shared" si="364"/>
        <v>481.55</v>
      </c>
      <c r="AA114" s="3554"/>
      <c r="AB114" s="4535">
        <f t="shared" si="365"/>
        <v>562.23</v>
      </c>
      <c r="AC114" s="889"/>
      <c r="AD114" s="245"/>
      <c r="AE114" s="2341"/>
      <c r="AF114" s="4529">
        <f t="shared" si="366"/>
        <v>562.23</v>
      </c>
      <c r="AG114" s="889"/>
      <c r="AH114" s="245">
        <v>362.83000000000004</v>
      </c>
      <c r="AI114" s="2341"/>
      <c r="AJ114" s="4529">
        <f t="shared" si="367"/>
        <v>925.06000000000006</v>
      </c>
      <c r="AK114" s="889"/>
      <c r="AL114" s="245">
        <v>365.84000000000003</v>
      </c>
      <c r="AM114" s="2465"/>
      <c r="AN114" s="4533">
        <f t="shared" si="368"/>
        <v>728.67000000000007</v>
      </c>
      <c r="AO114" s="2341"/>
      <c r="AP114" s="4529">
        <f t="shared" si="369"/>
        <v>1290.9000000000001</v>
      </c>
      <c r="AQ114" s="889"/>
      <c r="AR114" s="245"/>
      <c r="AS114" s="2341"/>
      <c r="AT114" s="250">
        <f t="shared" si="370"/>
        <v>1290.9000000000001</v>
      </c>
      <c r="AU114" s="889"/>
      <c r="AV114" s="245"/>
      <c r="AW114" s="2341"/>
      <c r="AX114" s="250">
        <f t="shared" si="371"/>
        <v>1290.9000000000001</v>
      </c>
      <c r="AY114" s="889"/>
      <c r="AZ114" s="245"/>
      <c r="BA114" s="2465"/>
      <c r="BB114" s="5136">
        <f t="shared" si="377"/>
        <v>0</v>
      </c>
      <c r="BC114" s="3554"/>
      <c r="BD114" s="5143">
        <f t="shared" si="373"/>
        <v>728.67000000000007</v>
      </c>
      <c r="BE114" s="2341"/>
      <c r="BF114" s="250">
        <f t="shared" si="374"/>
        <v>1290.9000000000001</v>
      </c>
      <c r="BG114" s="26"/>
      <c r="BH114" s="26"/>
      <c r="BI114" s="26"/>
      <c r="BJ114" s="26"/>
    </row>
    <row r="115" spans="1:62" ht="21" thickBot="1" x14ac:dyDescent="0.3">
      <c r="A115" s="122"/>
      <c r="B115" s="4541" t="s">
        <v>898</v>
      </c>
      <c r="C115" s="4542" t="s">
        <v>1703</v>
      </c>
      <c r="D115" s="4542"/>
      <c r="E115" s="4513"/>
      <c r="F115" s="4514"/>
      <c r="G115" s="4513"/>
      <c r="H115" s="4514"/>
      <c r="I115" s="4515"/>
      <c r="J115" s="4516"/>
      <c r="K115" s="4513"/>
      <c r="L115" s="4514"/>
      <c r="M115" s="4517"/>
      <c r="N115" s="4518">
        <f t="shared" si="375"/>
        <v>0</v>
      </c>
      <c r="O115" s="4513"/>
      <c r="P115" s="4514"/>
      <c r="Q115" s="4515"/>
      <c r="R115" s="4516"/>
      <c r="S115" s="4513"/>
      <c r="T115" s="4514">
        <v>499.26</v>
      </c>
      <c r="U115" s="4515"/>
      <c r="V115" s="4516">
        <f t="shared" si="363"/>
        <v>499.26</v>
      </c>
      <c r="W115" s="4513"/>
      <c r="X115" s="4514"/>
      <c r="Y115" s="4517"/>
      <c r="Z115" s="4518">
        <f t="shared" si="364"/>
        <v>499.26</v>
      </c>
      <c r="AA115" s="4519"/>
      <c r="AB115" s="4520">
        <f t="shared" si="365"/>
        <v>499.26</v>
      </c>
      <c r="AC115" s="4513"/>
      <c r="AD115" s="4514"/>
      <c r="AE115" s="4515"/>
      <c r="AF115" s="4516">
        <f t="shared" si="366"/>
        <v>499.26</v>
      </c>
      <c r="AG115" s="4513"/>
      <c r="AH115" s="4514"/>
      <c r="AI115" s="4515"/>
      <c r="AJ115" s="4516">
        <f t="shared" si="367"/>
        <v>499.26</v>
      </c>
      <c r="AK115" s="4513"/>
      <c r="AL115" s="4514"/>
      <c r="AM115" s="4517"/>
      <c r="AN115" s="4518">
        <f t="shared" si="368"/>
        <v>0</v>
      </c>
      <c r="AO115" s="4515"/>
      <c r="AP115" s="4516">
        <f t="shared" si="369"/>
        <v>499.26</v>
      </c>
      <c r="AQ115" s="4513"/>
      <c r="AR115" s="4514">
        <v>615.14</v>
      </c>
      <c r="AS115" s="4515"/>
      <c r="AT115" s="4521">
        <f t="shared" si="370"/>
        <v>1114.4000000000001</v>
      </c>
      <c r="AU115" s="4513"/>
      <c r="AV115" s="4514">
        <v>61.46</v>
      </c>
      <c r="AW115" s="4515"/>
      <c r="AX115" s="4521">
        <f t="shared" si="371"/>
        <v>1175.8600000000001</v>
      </c>
      <c r="AY115" s="4513"/>
      <c r="AZ115" s="4514"/>
      <c r="BA115" s="4517"/>
      <c r="BB115" s="4518">
        <f t="shared" si="377"/>
        <v>676.6</v>
      </c>
      <c r="BC115" s="4519"/>
      <c r="BD115" s="5143">
        <f t="shared" si="373"/>
        <v>676.6</v>
      </c>
      <c r="BE115" s="4515"/>
      <c r="BF115" s="4521">
        <f t="shared" si="374"/>
        <v>1175.8600000000001</v>
      </c>
      <c r="BG115" s="26"/>
      <c r="BH115" s="26"/>
      <c r="BI115" s="26"/>
      <c r="BJ115" s="26"/>
    </row>
    <row r="116" spans="1:62" ht="20.25" customHeight="1" thickBot="1" x14ac:dyDescent="0.3">
      <c r="A116" s="122"/>
      <c r="B116" s="4543" t="s">
        <v>899</v>
      </c>
      <c r="C116" s="4539" t="s">
        <v>910</v>
      </c>
      <c r="D116" s="4539"/>
      <c r="E116" s="4502"/>
      <c r="F116" s="4503">
        <v>60.86</v>
      </c>
      <c r="G116" s="4502"/>
      <c r="H116" s="4503"/>
      <c r="I116" s="4504"/>
      <c r="J116" s="4505">
        <f t="shared" si="361"/>
        <v>60.86</v>
      </c>
      <c r="K116" s="4502"/>
      <c r="L116" s="4503"/>
      <c r="M116" s="4506"/>
      <c r="N116" s="4507">
        <f t="shared" si="375"/>
        <v>60.86</v>
      </c>
      <c r="O116" s="4502"/>
      <c r="P116" s="4503">
        <v>95.78</v>
      </c>
      <c r="Q116" s="4504"/>
      <c r="R116" s="4505">
        <f t="shared" si="362"/>
        <v>156.63999999999999</v>
      </c>
      <c r="S116" s="4502"/>
      <c r="T116" s="4503">
        <v>480.98000000000008</v>
      </c>
      <c r="U116" s="4504"/>
      <c r="V116" s="4505">
        <f t="shared" si="363"/>
        <v>637.62000000000012</v>
      </c>
      <c r="W116" s="4502"/>
      <c r="X116" s="4503"/>
      <c r="Y116" s="4506"/>
      <c r="Z116" s="4507">
        <f t="shared" si="364"/>
        <v>576.7600000000001</v>
      </c>
      <c r="AA116" s="4508"/>
      <c r="AB116" s="4509">
        <f t="shared" si="365"/>
        <v>637.62000000000012</v>
      </c>
      <c r="AC116" s="4502"/>
      <c r="AD116" s="4503"/>
      <c r="AE116" s="4504"/>
      <c r="AF116" s="4505">
        <f t="shared" si="366"/>
        <v>637.62000000000012</v>
      </c>
      <c r="AG116" s="4502"/>
      <c r="AH116" s="4503">
        <v>371.28</v>
      </c>
      <c r="AI116" s="4504"/>
      <c r="AJ116" s="4505">
        <f t="shared" si="367"/>
        <v>1008.9000000000001</v>
      </c>
      <c r="AK116" s="4502"/>
      <c r="AL116" s="4503"/>
      <c r="AM116" s="4506"/>
      <c r="AN116" s="4507">
        <f t="shared" si="368"/>
        <v>371.28</v>
      </c>
      <c r="AO116" s="4504"/>
      <c r="AP116" s="4505">
        <f t="shared" si="369"/>
        <v>1008.9000000000001</v>
      </c>
      <c r="AQ116" s="4502"/>
      <c r="AR116" s="4503"/>
      <c r="AS116" s="4504"/>
      <c r="AT116" s="2340">
        <f t="shared" si="370"/>
        <v>1008.9000000000001</v>
      </c>
      <c r="AU116" s="4502"/>
      <c r="AV116" s="4503"/>
      <c r="AW116" s="4504"/>
      <c r="AX116" s="2340">
        <f t="shared" si="371"/>
        <v>1008.9000000000001</v>
      </c>
      <c r="AY116" s="4502"/>
      <c r="AZ116" s="4503"/>
      <c r="BA116" s="4506"/>
      <c r="BB116" s="4507">
        <f t="shared" si="377"/>
        <v>0</v>
      </c>
      <c r="BC116" s="4508"/>
      <c r="BD116" s="5143">
        <f t="shared" si="373"/>
        <v>371.28</v>
      </c>
      <c r="BE116" s="4504"/>
      <c r="BF116" s="2340">
        <f t="shared" si="374"/>
        <v>1008.9000000000001</v>
      </c>
      <c r="BG116" s="26"/>
      <c r="BH116" s="26"/>
      <c r="BI116" s="26"/>
      <c r="BJ116" s="26"/>
    </row>
    <row r="117" spans="1:62" s="5192" customFormat="1" ht="20.25" customHeight="1" x14ac:dyDescent="0.25">
      <c r="A117" s="122"/>
      <c r="B117" s="5221" t="s">
        <v>899</v>
      </c>
      <c r="C117" s="4493" t="s">
        <v>996</v>
      </c>
      <c r="D117" s="4493"/>
      <c r="E117" s="4494"/>
      <c r="F117" s="4495"/>
      <c r="G117" s="4494"/>
      <c r="H117" s="4495"/>
      <c r="I117" s="4496"/>
      <c r="J117" s="5188"/>
      <c r="K117" s="4494"/>
      <c r="L117" s="4495"/>
      <c r="M117" s="4497"/>
      <c r="N117" s="482"/>
      <c r="O117" s="4494"/>
      <c r="P117" s="4495"/>
      <c r="Q117" s="4496"/>
      <c r="R117" s="5188"/>
      <c r="S117" s="4494"/>
      <c r="T117" s="4495"/>
      <c r="U117" s="4496"/>
      <c r="V117" s="5188"/>
      <c r="W117" s="4494"/>
      <c r="X117" s="4495"/>
      <c r="Y117" s="4497"/>
      <c r="Z117" s="482"/>
      <c r="AA117" s="4498"/>
      <c r="AB117" s="4499"/>
      <c r="AC117" s="4494"/>
      <c r="AD117" s="4495"/>
      <c r="AE117" s="4496"/>
      <c r="AF117" s="5188"/>
      <c r="AG117" s="4494"/>
      <c r="AH117" s="4495"/>
      <c r="AI117" s="4496"/>
      <c r="AJ117" s="5188"/>
      <c r="AK117" s="4494"/>
      <c r="AL117" s="4495"/>
      <c r="AM117" s="4497"/>
      <c r="AN117" s="482"/>
      <c r="AO117" s="4496"/>
      <c r="AP117" s="5188"/>
      <c r="AQ117" s="4494"/>
      <c r="AR117" s="4495"/>
      <c r="AS117" s="4496"/>
      <c r="AT117" s="2553"/>
      <c r="AU117" s="4494"/>
      <c r="AV117" s="4495"/>
      <c r="AW117" s="4496"/>
      <c r="AX117" s="2340">
        <f t="shared" si="371"/>
        <v>0</v>
      </c>
      <c r="AY117" s="4494"/>
      <c r="AZ117" s="4495">
        <v>179.8</v>
      </c>
      <c r="BA117" s="4497"/>
      <c r="BB117" s="4507">
        <f t="shared" si="377"/>
        <v>179.8</v>
      </c>
      <c r="BC117" s="4498"/>
      <c r="BD117" s="5187">
        <f t="shared" si="373"/>
        <v>179.8</v>
      </c>
      <c r="BE117" s="4496"/>
      <c r="BF117" s="2340">
        <f t="shared" si="374"/>
        <v>179.8</v>
      </c>
      <c r="BG117" s="26"/>
      <c r="BH117" s="26"/>
      <c r="BI117" s="26"/>
      <c r="BJ117" s="26"/>
    </row>
    <row r="118" spans="1:62" ht="20.25" x14ac:dyDescent="0.25">
      <c r="A118" s="122"/>
      <c r="B118" s="4544" t="s">
        <v>899</v>
      </c>
      <c r="C118" s="1523" t="s">
        <v>1704</v>
      </c>
      <c r="D118" s="2385"/>
      <c r="E118" s="889"/>
      <c r="F118" s="245"/>
      <c r="G118" s="889"/>
      <c r="H118" s="245"/>
      <c r="I118" s="2341"/>
      <c r="J118" s="4529"/>
      <c r="K118" s="889"/>
      <c r="L118" s="245"/>
      <c r="M118" s="2465"/>
      <c r="N118" s="4533">
        <f t="shared" si="375"/>
        <v>0</v>
      </c>
      <c r="O118" s="889"/>
      <c r="P118" s="245">
        <v>130.07999999999998</v>
      </c>
      <c r="Q118" s="2341"/>
      <c r="R118" s="4529">
        <f t="shared" si="362"/>
        <v>130.07999999999998</v>
      </c>
      <c r="S118" s="889"/>
      <c r="T118" s="245">
        <v>0</v>
      </c>
      <c r="U118" s="2341"/>
      <c r="V118" s="4529">
        <f t="shared" si="363"/>
        <v>130.07999999999998</v>
      </c>
      <c r="W118" s="889"/>
      <c r="X118" s="245"/>
      <c r="Y118" s="2465"/>
      <c r="Z118" s="4533">
        <f t="shared" si="364"/>
        <v>130.07999999999998</v>
      </c>
      <c r="AA118" s="3554"/>
      <c r="AB118" s="4535">
        <f t="shared" si="365"/>
        <v>130.07999999999998</v>
      </c>
      <c r="AC118" s="889"/>
      <c r="AD118" s="245"/>
      <c r="AE118" s="2341"/>
      <c r="AF118" s="4529">
        <f t="shared" si="366"/>
        <v>130.07999999999998</v>
      </c>
      <c r="AG118" s="889"/>
      <c r="AH118" s="245"/>
      <c r="AI118" s="2341"/>
      <c r="AJ118" s="4529">
        <f t="shared" si="367"/>
        <v>130.07999999999998</v>
      </c>
      <c r="AK118" s="889"/>
      <c r="AL118" s="245"/>
      <c r="AM118" s="2465"/>
      <c r="AN118" s="4533">
        <f t="shared" si="368"/>
        <v>0</v>
      </c>
      <c r="AO118" s="2341"/>
      <c r="AP118" s="4529">
        <f t="shared" si="369"/>
        <v>130.07999999999998</v>
      </c>
      <c r="AQ118" s="889"/>
      <c r="AR118" s="245"/>
      <c r="AS118" s="2341"/>
      <c r="AT118" s="250">
        <f t="shared" si="370"/>
        <v>130.07999999999998</v>
      </c>
      <c r="AU118" s="889"/>
      <c r="AV118" s="245"/>
      <c r="AW118" s="2341"/>
      <c r="AX118" s="250">
        <f t="shared" si="371"/>
        <v>130.07999999999998</v>
      </c>
      <c r="AY118" s="889"/>
      <c r="AZ118" s="245"/>
      <c r="BA118" s="2465"/>
      <c r="BB118" s="5136">
        <f t="shared" si="377"/>
        <v>0</v>
      </c>
      <c r="BC118" s="3554"/>
      <c r="BD118" s="5143">
        <f t="shared" si="373"/>
        <v>0</v>
      </c>
      <c r="BE118" s="2341"/>
      <c r="BF118" s="250">
        <f t="shared" si="374"/>
        <v>130.07999999999998</v>
      </c>
      <c r="BG118" s="26"/>
      <c r="BH118" s="26"/>
      <c r="BI118" s="26"/>
      <c r="BJ118" s="26"/>
    </row>
    <row r="119" spans="1:62" ht="20.25" x14ac:dyDescent="0.25">
      <c r="A119" s="122"/>
      <c r="B119" s="4544" t="s">
        <v>899</v>
      </c>
      <c r="C119" s="1523" t="s">
        <v>1625</v>
      </c>
      <c r="D119" s="2385"/>
      <c r="E119" s="889"/>
      <c r="F119" s="245"/>
      <c r="G119" s="889"/>
      <c r="H119" s="245"/>
      <c r="I119" s="2341"/>
      <c r="J119" s="4529"/>
      <c r="K119" s="889"/>
      <c r="L119" s="245"/>
      <c r="M119" s="2465"/>
      <c r="N119" s="4533">
        <f t="shared" si="375"/>
        <v>0</v>
      </c>
      <c r="O119" s="889"/>
      <c r="P119" s="245">
        <v>89.29</v>
      </c>
      <c r="Q119" s="2341"/>
      <c r="R119" s="4529">
        <f t="shared" si="362"/>
        <v>89.29</v>
      </c>
      <c r="S119" s="889"/>
      <c r="T119" s="245">
        <v>485.62</v>
      </c>
      <c r="U119" s="2341"/>
      <c r="V119" s="4529">
        <f t="shared" si="363"/>
        <v>574.91</v>
      </c>
      <c r="W119" s="889"/>
      <c r="X119" s="245"/>
      <c r="Y119" s="2465"/>
      <c r="Z119" s="4533">
        <f t="shared" si="364"/>
        <v>574.91</v>
      </c>
      <c r="AA119" s="3554"/>
      <c r="AB119" s="4535">
        <f t="shared" si="365"/>
        <v>574.91</v>
      </c>
      <c r="AC119" s="889"/>
      <c r="AD119" s="245"/>
      <c r="AE119" s="2341"/>
      <c r="AF119" s="4529">
        <f t="shared" si="366"/>
        <v>574.91</v>
      </c>
      <c r="AG119" s="889"/>
      <c r="AH119" s="245">
        <v>255.48</v>
      </c>
      <c r="AI119" s="2341"/>
      <c r="AJ119" s="4529">
        <f t="shared" si="367"/>
        <v>830.39</v>
      </c>
      <c r="AK119" s="889"/>
      <c r="AL119" s="245">
        <v>122.7</v>
      </c>
      <c r="AM119" s="2465"/>
      <c r="AN119" s="4533">
        <f t="shared" si="368"/>
        <v>378.18</v>
      </c>
      <c r="AO119" s="2341"/>
      <c r="AP119" s="4529">
        <f t="shared" si="369"/>
        <v>953.09</v>
      </c>
      <c r="AQ119" s="889"/>
      <c r="AR119" s="245"/>
      <c r="AS119" s="2341"/>
      <c r="AT119" s="250">
        <f t="shared" si="370"/>
        <v>953.09</v>
      </c>
      <c r="AU119" s="889"/>
      <c r="AV119" s="245">
        <v>61.16</v>
      </c>
      <c r="AW119" s="2341"/>
      <c r="AX119" s="250">
        <f t="shared" si="371"/>
        <v>1014.25</v>
      </c>
      <c r="AY119" s="889"/>
      <c r="AZ119" s="245"/>
      <c r="BA119" s="2465"/>
      <c r="BB119" s="5136">
        <f t="shared" si="377"/>
        <v>61.16</v>
      </c>
      <c r="BC119" s="3554"/>
      <c r="BD119" s="5143">
        <f t="shared" si="373"/>
        <v>439.34000000000003</v>
      </c>
      <c r="BE119" s="2341"/>
      <c r="BF119" s="250">
        <f t="shared" si="374"/>
        <v>1014.25</v>
      </c>
      <c r="BG119" s="26"/>
      <c r="BH119" s="26"/>
      <c r="BI119" s="26"/>
      <c r="BJ119" s="26"/>
    </row>
    <row r="120" spans="1:62" ht="20.25" x14ac:dyDescent="0.25">
      <c r="A120" s="122"/>
      <c r="B120" s="4544" t="s">
        <v>899</v>
      </c>
      <c r="C120" s="1523" t="s">
        <v>1703</v>
      </c>
      <c r="D120" s="2385"/>
      <c r="E120" s="889"/>
      <c r="F120" s="245"/>
      <c r="G120" s="889"/>
      <c r="H120" s="245"/>
      <c r="I120" s="2341"/>
      <c r="J120" s="4529"/>
      <c r="K120" s="889"/>
      <c r="L120" s="245"/>
      <c r="M120" s="2465"/>
      <c r="N120" s="4533">
        <f t="shared" si="375"/>
        <v>0</v>
      </c>
      <c r="O120" s="889"/>
      <c r="P120" s="245">
        <v>126.63999999999999</v>
      </c>
      <c r="Q120" s="2341"/>
      <c r="R120" s="4529">
        <f t="shared" si="362"/>
        <v>126.63999999999999</v>
      </c>
      <c r="S120" s="889"/>
      <c r="T120" s="245">
        <v>438.96</v>
      </c>
      <c r="U120" s="2341"/>
      <c r="V120" s="4529">
        <f t="shared" si="363"/>
        <v>565.59999999999991</v>
      </c>
      <c r="W120" s="889"/>
      <c r="X120" s="245"/>
      <c r="Y120" s="2465"/>
      <c r="Z120" s="4533">
        <f t="shared" si="364"/>
        <v>565.59999999999991</v>
      </c>
      <c r="AA120" s="3554"/>
      <c r="AB120" s="4535">
        <f t="shared" si="365"/>
        <v>565.59999999999991</v>
      </c>
      <c r="AC120" s="889"/>
      <c r="AD120" s="245">
        <v>62.26</v>
      </c>
      <c r="AE120" s="2341"/>
      <c r="AF120" s="4529">
        <f t="shared" si="366"/>
        <v>627.8599999999999</v>
      </c>
      <c r="AG120" s="889"/>
      <c r="AH120" s="245">
        <v>692.19999999999993</v>
      </c>
      <c r="AI120" s="2341"/>
      <c r="AJ120" s="4529">
        <f t="shared" si="367"/>
        <v>1320.06</v>
      </c>
      <c r="AK120" s="889"/>
      <c r="AL120" s="245"/>
      <c r="AM120" s="2465"/>
      <c r="AN120" s="4533">
        <f t="shared" si="368"/>
        <v>754.45999999999992</v>
      </c>
      <c r="AO120" s="2341"/>
      <c r="AP120" s="4529">
        <f t="shared" si="369"/>
        <v>1320.06</v>
      </c>
      <c r="AQ120" s="889"/>
      <c r="AR120" s="245"/>
      <c r="AS120" s="2341"/>
      <c r="AT120" s="250">
        <f t="shared" si="370"/>
        <v>1320.06</v>
      </c>
      <c r="AU120" s="889"/>
      <c r="AV120" s="245"/>
      <c r="AW120" s="2341"/>
      <c r="AX120" s="250">
        <f t="shared" si="371"/>
        <v>1320.06</v>
      </c>
      <c r="AY120" s="889"/>
      <c r="AZ120" s="245"/>
      <c r="BA120" s="2465"/>
      <c r="BB120" s="5136">
        <f t="shared" si="377"/>
        <v>0</v>
      </c>
      <c r="BC120" s="3554"/>
      <c r="BD120" s="5143">
        <f t="shared" si="373"/>
        <v>754.45999999999992</v>
      </c>
      <c r="BE120" s="2341"/>
      <c r="BF120" s="250">
        <f t="shared" si="374"/>
        <v>1320.06</v>
      </c>
      <c r="BG120" s="26"/>
      <c r="BH120" s="26"/>
      <c r="BI120" s="26"/>
      <c r="BJ120" s="26"/>
    </row>
    <row r="121" spans="1:62" ht="20.25" customHeight="1" x14ac:dyDescent="0.25">
      <c r="A121" s="122"/>
      <c r="B121" s="4544" t="s">
        <v>899</v>
      </c>
      <c r="C121" s="1523" t="s">
        <v>1206</v>
      </c>
      <c r="D121" s="2385"/>
      <c r="E121" s="889"/>
      <c r="F121" s="245">
        <v>518.76</v>
      </c>
      <c r="G121" s="889"/>
      <c r="H121" s="245"/>
      <c r="I121" s="2341"/>
      <c r="J121" s="4529">
        <f t="shared" si="361"/>
        <v>518.76</v>
      </c>
      <c r="K121" s="889"/>
      <c r="L121" s="4532">
        <v>58.929999999999993</v>
      </c>
      <c r="M121" s="2465"/>
      <c r="N121" s="4533">
        <f t="shared" si="375"/>
        <v>577.68999999999994</v>
      </c>
      <c r="O121" s="889"/>
      <c r="P121" s="4532">
        <v>1191.4000000000001</v>
      </c>
      <c r="Q121" s="2341"/>
      <c r="R121" s="4529">
        <f t="shared" si="362"/>
        <v>1769.0900000000001</v>
      </c>
      <c r="S121" s="889"/>
      <c r="T121" s="4532">
        <v>1544.82</v>
      </c>
      <c r="U121" s="2341"/>
      <c r="V121" s="4529">
        <f t="shared" si="363"/>
        <v>3313.91</v>
      </c>
      <c r="W121" s="889"/>
      <c r="X121" s="4532"/>
      <c r="Y121" s="2465"/>
      <c r="Z121" s="4533">
        <f t="shared" si="364"/>
        <v>2736.2200000000003</v>
      </c>
      <c r="AA121" s="3554"/>
      <c r="AB121" s="4535">
        <f t="shared" si="365"/>
        <v>3313.9100000000003</v>
      </c>
      <c r="AC121" s="889"/>
      <c r="AD121" s="4532"/>
      <c r="AE121" s="2341"/>
      <c r="AF121" s="4529">
        <f t="shared" si="366"/>
        <v>3313.9100000000003</v>
      </c>
      <c r="AG121" s="889"/>
      <c r="AH121" s="4532">
        <v>260</v>
      </c>
      <c r="AI121" s="2341"/>
      <c r="AJ121" s="4529">
        <f t="shared" si="367"/>
        <v>3573.9100000000003</v>
      </c>
      <c r="AK121" s="889"/>
      <c r="AL121" s="4532"/>
      <c r="AM121" s="2465"/>
      <c r="AN121" s="4533">
        <f t="shared" si="368"/>
        <v>260</v>
      </c>
      <c r="AO121" s="2341"/>
      <c r="AP121" s="4529">
        <f t="shared" si="369"/>
        <v>3573.9100000000003</v>
      </c>
      <c r="AQ121" s="889"/>
      <c r="AR121" s="4532">
        <v>985.38</v>
      </c>
      <c r="AS121" s="2341"/>
      <c r="AT121" s="250">
        <f t="shared" si="370"/>
        <v>4559.29</v>
      </c>
      <c r="AU121" s="889"/>
      <c r="AV121" s="4634">
        <v>679.26</v>
      </c>
      <c r="AW121" s="2341"/>
      <c r="AX121" s="250">
        <f t="shared" si="371"/>
        <v>5238.55</v>
      </c>
      <c r="AY121" s="889"/>
      <c r="AZ121" s="5135">
        <v>433.67999999999995</v>
      </c>
      <c r="BA121" s="2465"/>
      <c r="BB121" s="5136">
        <f t="shared" si="377"/>
        <v>2098.3199999999997</v>
      </c>
      <c r="BC121" s="3554"/>
      <c r="BD121" s="5143">
        <f t="shared" si="373"/>
        <v>2358.3199999999997</v>
      </c>
      <c r="BE121" s="2341"/>
      <c r="BF121" s="250">
        <f t="shared" si="374"/>
        <v>5672.2300000000005</v>
      </c>
      <c r="BG121" s="26"/>
      <c r="BH121" s="26"/>
      <c r="BI121" s="26"/>
      <c r="BJ121" s="26"/>
    </row>
    <row r="122" spans="1:62" ht="21" thickBot="1" x14ac:dyDescent="0.3">
      <c r="A122" s="122"/>
      <c r="B122" s="4545" t="s">
        <v>899</v>
      </c>
      <c r="C122" s="4542" t="s">
        <v>942</v>
      </c>
      <c r="D122" s="4512"/>
      <c r="E122" s="4513"/>
      <c r="F122" s="4514">
        <v>871.88</v>
      </c>
      <c r="G122" s="4513"/>
      <c r="H122" s="4514">
        <v>57.64</v>
      </c>
      <c r="I122" s="4515"/>
      <c r="J122" s="4516">
        <f t="shared" si="361"/>
        <v>929.52</v>
      </c>
      <c r="K122" s="4513"/>
      <c r="L122" s="4514"/>
      <c r="M122" s="4517"/>
      <c r="N122" s="4518">
        <f t="shared" si="375"/>
        <v>929.52</v>
      </c>
      <c r="O122" s="4513"/>
      <c r="P122" s="4514">
        <v>1206.4899999999998</v>
      </c>
      <c r="Q122" s="4515"/>
      <c r="R122" s="4516">
        <f t="shared" si="362"/>
        <v>2136.0099999999998</v>
      </c>
      <c r="S122" s="4513"/>
      <c r="T122" s="4514">
        <v>1479.6000000000001</v>
      </c>
      <c r="U122" s="4515"/>
      <c r="V122" s="4516">
        <f t="shared" si="363"/>
        <v>3615.6099999999997</v>
      </c>
      <c r="W122" s="4513"/>
      <c r="X122" s="4514">
        <v>62.1</v>
      </c>
      <c r="Y122" s="4517"/>
      <c r="Z122" s="4518">
        <f t="shared" si="364"/>
        <v>2748.19</v>
      </c>
      <c r="AA122" s="4519"/>
      <c r="AB122" s="4520">
        <f t="shared" si="365"/>
        <v>3677.71</v>
      </c>
      <c r="AC122" s="4513"/>
      <c r="AD122" s="4514"/>
      <c r="AE122" s="4515"/>
      <c r="AF122" s="4516">
        <f t="shared" si="366"/>
        <v>3677.71</v>
      </c>
      <c r="AG122" s="4513"/>
      <c r="AH122" s="4514">
        <v>1621.7399999999998</v>
      </c>
      <c r="AI122" s="4515"/>
      <c r="AJ122" s="4516">
        <f t="shared" si="367"/>
        <v>5299.45</v>
      </c>
      <c r="AK122" s="4513"/>
      <c r="AL122" s="4514"/>
      <c r="AM122" s="4517"/>
      <c r="AN122" s="4518">
        <f t="shared" si="368"/>
        <v>1621.7399999999998</v>
      </c>
      <c r="AO122" s="4515"/>
      <c r="AP122" s="4516">
        <f t="shared" si="369"/>
        <v>5299.45</v>
      </c>
      <c r="AQ122" s="4513"/>
      <c r="AR122" s="4514">
        <v>1038.5</v>
      </c>
      <c r="AS122" s="4515"/>
      <c r="AT122" s="4521">
        <f t="shared" si="370"/>
        <v>6337.95</v>
      </c>
      <c r="AU122" s="4513"/>
      <c r="AV122" s="4514">
        <v>364.17999999999995</v>
      </c>
      <c r="AW122" s="4515"/>
      <c r="AX122" s="4521">
        <f t="shared" si="371"/>
        <v>6702.13</v>
      </c>
      <c r="AY122" s="4513"/>
      <c r="AZ122" s="4514">
        <v>806.8900000000001</v>
      </c>
      <c r="BA122" s="4517"/>
      <c r="BB122" s="4518">
        <f t="shared" si="377"/>
        <v>2209.5699999999997</v>
      </c>
      <c r="BC122" s="4519"/>
      <c r="BD122" s="5143">
        <f t="shared" si="373"/>
        <v>3831.3099999999995</v>
      </c>
      <c r="BE122" s="4515"/>
      <c r="BF122" s="4521">
        <f t="shared" si="374"/>
        <v>7509.02</v>
      </c>
      <c r="BG122" s="26"/>
      <c r="BH122" s="26"/>
      <c r="BI122" s="26"/>
      <c r="BJ122" s="26"/>
    </row>
    <row r="123" spans="1:62" ht="20.25" customHeight="1" x14ac:dyDescent="0.25">
      <c r="A123" s="122"/>
      <c r="B123" s="4543" t="s">
        <v>900</v>
      </c>
      <c r="C123" s="4501" t="s">
        <v>942</v>
      </c>
      <c r="D123" s="4501"/>
      <c r="E123" s="4502"/>
      <c r="F123" s="4503"/>
      <c r="G123" s="4502"/>
      <c r="H123" s="4503">
        <v>61.12</v>
      </c>
      <c r="I123" s="4504"/>
      <c r="J123" s="4505">
        <f t="shared" si="361"/>
        <v>61.12</v>
      </c>
      <c r="K123" s="4502"/>
      <c r="L123" s="4503">
        <v>62.34</v>
      </c>
      <c r="M123" s="4506"/>
      <c r="N123" s="4507">
        <f t="shared" si="375"/>
        <v>123.46000000000001</v>
      </c>
      <c r="O123" s="4502"/>
      <c r="P123" s="4503">
        <v>1108.56</v>
      </c>
      <c r="Q123" s="4504"/>
      <c r="R123" s="4505">
        <f t="shared" si="362"/>
        <v>1232.02</v>
      </c>
      <c r="S123" s="4502"/>
      <c r="T123" s="4503">
        <v>309.92</v>
      </c>
      <c r="U123" s="4504"/>
      <c r="V123" s="4505">
        <f t="shared" si="363"/>
        <v>1541.94</v>
      </c>
      <c r="W123" s="4502"/>
      <c r="X123" s="4503"/>
      <c r="Y123" s="4506"/>
      <c r="Z123" s="4507">
        <f t="shared" si="364"/>
        <v>1418.48</v>
      </c>
      <c r="AA123" s="4508"/>
      <c r="AB123" s="4509">
        <f t="shared" si="365"/>
        <v>1541.94</v>
      </c>
      <c r="AC123" s="4502"/>
      <c r="AD123" s="4503"/>
      <c r="AE123" s="4504"/>
      <c r="AF123" s="4505">
        <f t="shared" si="366"/>
        <v>1541.94</v>
      </c>
      <c r="AG123" s="4502"/>
      <c r="AH123" s="4503">
        <v>232.87</v>
      </c>
      <c r="AI123" s="4504"/>
      <c r="AJ123" s="4505">
        <f t="shared" si="367"/>
        <v>1774.81</v>
      </c>
      <c r="AK123" s="4502"/>
      <c r="AL123" s="4503"/>
      <c r="AM123" s="4506"/>
      <c r="AN123" s="4507">
        <f t="shared" si="368"/>
        <v>232.87</v>
      </c>
      <c r="AO123" s="4504"/>
      <c r="AP123" s="4505">
        <f t="shared" si="369"/>
        <v>1774.81</v>
      </c>
      <c r="AQ123" s="4502"/>
      <c r="AR123" s="4503"/>
      <c r="AS123" s="4504"/>
      <c r="AT123" s="2340">
        <f t="shared" si="370"/>
        <v>1774.81</v>
      </c>
      <c r="AU123" s="4502"/>
      <c r="AV123" s="4503"/>
      <c r="AW123" s="4504"/>
      <c r="AX123" s="2340">
        <f t="shared" si="371"/>
        <v>1774.81</v>
      </c>
      <c r="AY123" s="4502"/>
      <c r="AZ123" s="4503"/>
      <c r="BA123" s="4506"/>
      <c r="BB123" s="4507">
        <f t="shared" si="377"/>
        <v>0</v>
      </c>
      <c r="BC123" s="4508"/>
      <c r="BD123" s="5143">
        <f t="shared" si="373"/>
        <v>232.87</v>
      </c>
      <c r="BE123" s="4504"/>
      <c r="BF123" s="2340">
        <f t="shared" si="374"/>
        <v>1774.81</v>
      </c>
      <c r="BG123" s="26"/>
      <c r="BH123" s="26"/>
      <c r="BI123" s="26"/>
      <c r="BJ123" s="26"/>
    </row>
    <row r="124" spans="1:62" ht="20.25" x14ac:dyDescent="0.25">
      <c r="A124" s="122"/>
      <c r="B124" s="4544" t="s">
        <v>900</v>
      </c>
      <c r="C124" s="1523" t="s">
        <v>915</v>
      </c>
      <c r="D124" s="2385"/>
      <c r="E124" s="245"/>
      <c r="F124" s="245"/>
      <c r="G124" s="245"/>
      <c r="H124" s="245">
        <v>761.2</v>
      </c>
      <c r="I124" s="4529"/>
      <c r="J124" s="4529">
        <f t="shared" si="361"/>
        <v>761.2</v>
      </c>
      <c r="K124" s="245"/>
      <c r="L124" s="245">
        <v>62.02</v>
      </c>
      <c r="M124" s="4533"/>
      <c r="N124" s="4533">
        <f t="shared" si="375"/>
        <v>823.22</v>
      </c>
      <c r="O124" s="245"/>
      <c r="P124" s="245">
        <v>91.419999999999987</v>
      </c>
      <c r="Q124" s="4529"/>
      <c r="R124" s="4529">
        <f t="shared" si="362"/>
        <v>914.64</v>
      </c>
      <c r="S124" s="245"/>
      <c r="T124" s="245">
        <v>0</v>
      </c>
      <c r="U124" s="4529"/>
      <c r="V124" s="4529">
        <f t="shared" si="363"/>
        <v>914.64</v>
      </c>
      <c r="W124" s="245"/>
      <c r="X124" s="245"/>
      <c r="Y124" s="4533"/>
      <c r="Z124" s="4533">
        <f t="shared" si="364"/>
        <v>91.419999999999987</v>
      </c>
      <c r="AA124" s="4535"/>
      <c r="AB124" s="4535">
        <f t="shared" si="365"/>
        <v>914.64</v>
      </c>
      <c r="AC124" s="245"/>
      <c r="AD124" s="245"/>
      <c r="AE124" s="4529"/>
      <c r="AF124" s="4529">
        <f t="shared" si="366"/>
        <v>914.64</v>
      </c>
      <c r="AG124" s="245"/>
      <c r="AH124" s="245">
        <v>940.26</v>
      </c>
      <c r="AI124" s="4529"/>
      <c r="AJ124" s="4529">
        <f t="shared" si="367"/>
        <v>1854.9</v>
      </c>
      <c r="AK124" s="245"/>
      <c r="AL124" s="245"/>
      <c r="AM124" s="4533"/>
      <c r="AN124" s="4533">
        <f t="shared" si="368"/>
        <v>940.26</v>
      </c>
      <c r="AO124" s="4529"/>
      <c r="AP124" s="4529">
        <f t="shared" si="369"/>
        <v>1854.9</v>
      </c>
      <c r="AQ124" s="245"/>
      <c r="AR124" s="245"/>
      <c r="AS124" s="4529"/>
      <c r="AT124" s="250">
        <f t="shared" si="370"/>
        <v>1854.9</v>
      </c>
      <c r="AU124" s="245"/>
      <c r="AV124" s="245">
        <v>64.400000000000006</v>
      </c>
      <c r="AW124" s="4635"/>
      <c r="AX124" s="250">
        <f t="shared" si="371"/>
        <v>1919.3000000000002</v>
      </c>
      <c r="AY124" s="245"/>
      <c r="AZ124" s="245"/>
      <c r="BA124" s="5136"/>
      <c r="BB124" s="5136">
        <f t="shared" si="377"/>
        <v>64.400000000000006</v>
      </c>
      <c r="BC124" s="5143"/>
      <c r="BD124" s="5143">
        <f t="shared" si="373"/>
        <v>1004.66</v>
      </c>
      <c r="BE124" s="5127"/>
      <c r="BF124" s="250">
        <f t="shared" si="374"/>
        <v>1919.3000000000002</v>
      </c>
      <c r="BG124" s="26"/>
      <c r="BH124" s="26"/>
      <c r="BI124" s="26"/>
      <c r="BJ124" s="26"/>
    </row>
    <row r="125" spans="1:62" ht="20.25" x14ac:dyDescent="0.25">
      <c r="A125" s="122"/>
      <c r="B125" s="4544" t="s">
        <v>900</v>
      </c>
      <c r="C125" s="1523" t="s">
        <v>943</v>
      </c>
      <c r="D125" s="2385"/>
      <c r="E125" s="245"/>
      <c r="F125" s="245"/>
      <c r="G125" s="245"/>
      <c r="H125" s="245"/>
      <c r="I125" s="4529"/>
      <c r="J125" s="4529">
        <f t="shared" si="361"/>
        <v>0</v>
      </c>
      <c r="K125" s="245"/>
      <c r="L125" s="245"/>
      <c r="M125" s="4533"/>
      <c r="N125" s="4533">
        <f t="shared" si="375"/>
        <v>0</v>
      </c>
      <c r="O125" s="245"/>
      <c r="P125" s="245">
        <v>299.92</v>
      </c>
      <c r="Q125" s="4529"/>
      <c r="R125" s="4529">
        <f t="shared" si="362"/>
        <v>299.92</v>
      </c>
      <c r="S125" s="245"/>
      <c r="T125" s="245">
        <v>0</v>
      </c>
      <c r="U125" s="4529"/>
      <c r="V125" s="4529">
        <f t="shared" si="363"/>
        <v>299.92</v>
      </c>
      <c r="W125" s="245"/>
      <c r="X125" s="245"/>
      <c r="Y125" s="4533"/>
      <c r="Z125" s="4533">
        <f t="shared" si="364"/>
        <v>299.92</v>
      </c>
      <c r="AA125" s="4535"/>
      <c r="AB125" s="4535">
        <f t="shared" si="365"/>
        <v>299.92</v>
      </c>
      <c r="AC125" s="245"/>
      <c r="AD125" s="245"/>
      <c r="AE125" s="4529"/>
      <c r="AF125" s="4529">
        <f t="shared" si="366"/>
        <v>299.92</v>
      </c>
      <c r="AG125" s="245"/>
      <c r="AH125" s="245"/>
      <c r="AI125" s="4529"/>
      <c r="AJ125" s="4529">
        <f t="shared" si="367"/>
        <v>299.92</v>
      </c>
      <c r="AK125" s="245"/>
      <c r="AL125" s="245"/>
      <c r="AM125" s="4533"/>
      <c r="AN125" s="4533">
        <f t="shared" si="368"/>
        <v>0</v>
      </c>
      <c r="AO125" s="4529"/>
      <c r="AP125" s="4529">
        <f t="shared" si="369"/>
        <v>299.92</v>
      </c>
      <c r="AQ125" s="245"/>
      <c r="AR125" s="245"/>
      <c r="AS125" s="4529"/>
      <c r="AT125" s="250">
        <f t="shared" si="370"/>
        <v>299.92</v>
      </c>
      <c r="AU125" s="245"/>
      <c r="AV125" s="245"/>
      <c r="AW125" s="4635"/>
      <c r="AX125" s="250">
        <f t="shared" si="371"/>
        <v>299.92</v>
      </c>
      <c r="AY125" s="245"/>
      <c r="AZ125" s="245"/>
      <c r="BA125" s="5136"/>
      <c r="BB125" s="5136">
        <f t="shared" si="377"/>
        <v>0</v>
      </c>
      <c r="BC125" s="5143"/>
      <c r="BD125" s="5143">
        <f t="shared" si="373"/>
        <v>0</v>
      </c>
      <c r="BE125" s="5127"/>
      <c r="BF125" s="250">
        <f t="shared" si="374"/>
        <v>299.92</v>
      </c>
      <c r="BG125" s="26"/>
      <c r="BH125" s="26"/>
      <c r="BI125" s="26"/>
      <c r="BJ125" s="26"/>
    </row>
    <row r="126" spans="1:62" ht="20.25" x14ac:dyDescent="0.25">
      <c r="A126" s="122"/>
      <c r="B126" s="4544" t="s">
        <v>900</v>
      </c>
      <c r="C126" s="1523" t="s">
        <v>1625</v>
      </c>
      <c r="D126" s="1523"/>
      <c r="E126" s="245"/>
      <c r="F126" s="245"/>
      <c r="G126" s="245"/>
      <c r="H126" s="245"/>
      <c r="I126" s="4529"/>
      <c r="J126" s="4529"/>
      <c r="K126" s="245"/>
      <c r="L126" s="245"/>
      <c r="M126" s="4533"/>
      <c r="N126" s="4533">
        <f t="shared" si="375"/>
        <v>0</v>
      </c>
      <c r="O126" s="245"/>
      <c r="P126" s="245">
        <v>105.67</v>
      </c>
      <c r="Q126" s="4529"/>
      <c r="R126" s="4529">
        <f t="shared" si="362"/>
        <v>105.67</v>
      </c>
      <c r="S126" s="245"/>
      <c r="T126" s="245">
        <v>0</v>
      </c>
      <c r="U126" s="4529"/>
      <c r="V126" s="4529">
        <f t="shared" si="363"/>
        <v>105.67</v>
      </c>
      <c r="W126" s="245"/>
      <c r="X126" s="245"/>
      <c r="Y126" s="4533"/>
      <c r="Z126" s="4533">
        <f t="shared" si="364"/>
        <v>105.67</v>
      </c>
      <c r="AA126" s="4535"/>
      <c r="AB126" s="4535">
        <f t="shared" si="365"/>
        <v>105.67</v>
      </c>
      <c r="AC126" s="245"/>
      <c r="AD126" s="245"/>
      <c r="AE126" s="4529"/>
      <c r="AF126" s="4529">
        <f t="shared" si="366"/>
        <v>105.67</v>
      </c>
      <c r="AG126" s="245"/>
      <c r="AH126" s="245">
        <v>454.34000000000003</v>
      </c>
      <c r="AI126" s="4529"/>
      <c r="AJ126" s="4529">
        <f t="shared" si="367"/>
        <v>560.01</v>
      </c>
      <c r="AK126" s="245"/>
      <c r="AL126" s="245">
        <v>49.52</v>
      </c>
      <c r="AM126" s="4533"/>
      <c r="AN126" s="4533">
        <f t="shared" si="368"/>
        <v>503.86</v>
      </c>
      <c r="AO126" s="4529"/>
      <c r="AP126" s="4529">
        <f t="shared" si="369"/>
        <v>609.53</v>
      </c>
      <c r="AQ126" s="245"/>
      <c r="AR126" s="245"/>
      <c r="AS126" s="4529"/>
      <c r="AT126" s="250">
        <f t="shared" si="370"/>
        <v>609.53</v>
      </c>
      <c r="AU126" s="245"/>
      <c r="AV126" s="245"/>
      <c r="AW126" s="4635"/>
      <c r="AX126" s="250">
        <f t="shared" si="371"/>
        <v>609.53</v>
      </c>
      <c r="AY126" s="245"/>
      <c r="AZ126" s="245"/>
      <c r="BA126" s="5136"/>
      <c r="BB126" s="5136">
        <f t="shared" si="377"/>
        <v>0</v>
      </c>
      <c r="BC126" s="5143"/>
      <c r="BD126" s="5143">
        <f t="shared" si="373"/>
        <v>503.86</v>
      </c>
      <c r="BE126" s="5127"/>
      <c r="BF126" s="250">
        <f t="shared" si="374"/>
        <v>609.53</v>
      </c>
      <c r="BG126" s="26"/>
      <c r="BH126" s="26"/>
      <c r="BI126" s="26"/>
      <c r="BJ126" s="26"/>
    </row>
    <row r="127" spans="1:62" ht="21" thickBot="1" x14ac:dyDescent="0.3">
      <c r="A127" s="122"/>
      <c r="B127" s="4545" t="s">
        <v>900</v>
      </c>
      <c r="C127" s="4542" t="s">
        <v>1208</v>
      </c>
      <c r="D127" s="4512"/>
      <c r="E127" s="4514"/>
      <c r="F127" s="4514"/>
      <c r="G127" s="4514"/>
      <c r="H127" s="4514"/>
      <c r="I127" s="4516"/>
      <c r="J127" s="4516">
        <f t="shared" si="361"/>
        <v>0</v>
      </c>
      <c r="K127" s="4514"/>
      <c r="L127" s="4514"/>
      <c r="M127" s="4518"/>
      <c r="N127" s="4518">
        <f t="shared" si="375"/>
        <v>0</v>
      </c>
      <c r="O127" s="4514"/>
      <c r="P127" s="4514">
        <v>1632.3400000000001</v>
      </c>
      <c r="Q127" s="4516"/>
      <c r="R127" s="4516">
        <f t="shared" si="362"/>
        <v>1632.3400000000001</v>
      </c>
      <c r="S127" s="4514"/>
      <c r="T127" s="4514">
        <v>0</v>
      </c>
      <c r="U127" s="4516"/>
      <c r="V127" s="4516">
        <f t="shared" si="363"/>
        <v>1632.3400000000001</v>
      </c>
      <c r="W127" s="4514"/>
      <c r="X127" s="4514"/>
      <c r="Y127" s="4518"/>
      <c r="Z127" s="4518">
        <f t="shared" si="364"/>
        <v>1632.3400000000001</v>
      </c>
      <c r="AA127" s="4520"/>
      <c r="AB127" s="4520">
        <f t="shared" si="365"/>
        <v>1632.3400000000001</v>
      </c>
      <c r="AC127" s="4514"/>
      <c r="AD127" s="4514"/>
      <c r="AE127" s="4516"/>
      <c r="AF127" s="4516">
        <f t="shared" si="366"/>
        <v>1632.3400000000001</v>
      </c>
      <c r="AG127" s="4514"/>
      <c r="AH127" s="4514">
        <v>424.07999999999993</v>
      </c>
      <c r="AI127" s="4516"/>
      <c r="AJ127" s="4516">
        <f t="shared" si="367"/>
        <v>2056.42</v>
      </c>
      <c r="AK127" s="4514"/>
      <c r="AL127" s="4514"/>
      <c r="AM127" s="4518"/>
      <c r="AN127" s="4518">
        <f t="shared" si="368"/>
        <v>424.07999999999993</v>
      </c>
      <c r="AO127" s="4516"/>
      <c r="AP127" s="4516">
        <f t="shared" si="369"/>
        <v>2056.42</v>
      </c>
      <c r="AQ127" s="4514"/>
      <c r="AR127" s="4514"/>
      <c r="AS127" s="4516"/>
      <c r="AT127" s="4521">
        <f t="shared" si="370"/>
        <v>2056.42</v>
      </c>
      <c r="AU127" s="4514"/>
      <c r="AV127" s="4514"/>
      <c r="AW127" s="4516"/>
      <c r="AX127" s="4521">
        <f t="shared" si="371"/>
        <v>2056.42</v>
      </c>
      <c r="AY127" s="4514"/>
      <c r="AZ127" s="4514"/>
      <c r="BA127" s="4518"/>
      <c r="BB127" s="4518">
        <f t="shared" si="377"/>
        <v>0</v>
      </c>
      <c r="BC127" s="4520"/>
      <c r="BD127" s="5143">
        <f t="shared" si="373"/>
        <v>424.07999999999993</v>
      </c>
      <c r="BE127" s="4516"/>
      <c r="BF127" s="4521">
        <f t="shared" si="374"/>
        <v>2056.42</v>
      </c>
      <c r="BG127" s="26"/>
      <c r="BH127" s="26"/>
      <c r="BI127" s="26"/>
      <c r="BJ127" s="26"/>
    </row>
    <row r="128" spans="1:62" ht="20.25" customHeight="1" x14ac:dyDescent="0.25">
      <c r="A128" s="122"/>
      <c r="B128" s="4543" t="s">
        <v>901</v>
      </c>
      <c r="C128" s="4539" t="s">
        <v>996</v>
      </c>
      <c r="D128" s="4501"/>
      <c r="E128" s="4503"/>
      <c r="F128" s="4503">
        <v>60.4</v>
      </c>
      <c r="G128" s="4503"/>
      <c r="H128" s="4503"/>
      <c r="I128" s="4505"/>
      <c r="J128" s="4505">
        <f t="shared" si="361"/>
        <v>60.4</v>
      </c>
      <c r="K128" s="4503"/>
      <c r="L128" s="4503"/>
      <c r="M128" s="4507"/>
      <c r="N128" s="4507">
        <f t="shared" si="375"/>
        <v>60.4</v>
      </c>
      <c r="O128" s="4503"/>
      <c r="P128" s="4503"/>
      <c r="Q128" s="4505"/>
      <c r="R128" s="4505">
        <f t="shared" si="362"/>
        <v>60.4</v>
      </c>
      <c r="S128" s="4503"/>
      <c r="T128" s="4503">
        <v>0</v>
      </c>
      <c r="U128" s="4505"/>
      <c r="V128" s="4505">
        <f t="shared" si="363"/>
        <v>60.4</v>
      </c>
      <c r="W128" s="4503"/>
      <c r="X128" s="4503">
        <v>65.040000000000006</v>
      </c>
      <c r="Y128" s="4507"/>
      <c r="Z128" s="4507">
        <f t="shared" si="364"/>
        <v>65.040000000000006</v>
      </c>
      <c r="AA128" s="4509"/>
      <c r="AB128" s="4509">
        <f t="shared" si="365"/>
        <v>125.44</v>
      </c>
      <c r="AC128" s="4503"/>
      <c r="AD128" s="4503"/>
      <c r="AE128" s="4505"/>
      <c r="AF128" s="4505">
        <f t="shared" si="366"/>
        <v>125.44</v>
      </c>
      <c r="AG128" s="4503"/>
      <c r="AH128" s="4503"/>
      <c r="AI128" s="4505"/>
      <c r="AJ128" s="4505">
        <f t="shared" si="367"/>
        <v>125.44</v>
      </c>
      <c r="AK128" s="4503"/>
      <c r="AL128" s="4503"/>
      <c r="AM128" s="4507"/>
      <c r="AN128" s="4507">
        <f t="shared" si="368"/>
        <v>0</v>
      </c>
      <c r="AO128" s="4505"/>
      <c r="AP128" s="4505">
        <f t="shared" si="369"/>
        <v>125.44</v>
      </c>
      <c r="AQ128" s="4503"/>
      <c r="AR128" s="4503"/>
      <c r="AS128" s="4505"/>
      <c r="AT128" s="2340">
        <f t="shared" si="370"/>
        <v>125.44</v>
      </c>
      <c r="AU128" s="4503"/>
      <c r="AV128" s="4503"/>
      <c r="AW128" s="4505"/>
      <c r="AX128" s="2340">
        <f t="shared" si="371"/>
        <v>125.44</v>
      </c>
      <c r="AY128" s="4503"/>
      <c r="AZ128" s="4503"/>
      <c r="BA128" s="4507"/>
      <c r="BB128" s="4507">
        <f t="shared" si="377"/>
        <v>0</v>
      </c>
      <c r="BC128" s="4509"/>
      <c r="BD128" s="5143">
        <f t="shared" si="373"/>
        <v>0</v>
      </c>
      <c r="BE128" s="4505"/>
      <c r="BF128" s="2340">
        <f t="shared" si="374"/>
        <v>125.44</v>
      </c>
      <c r="BG128" s="26"/>
      <c r="BH128" s="26"/>
      <c r="BI128" s="26"/>
      <c r="BJ128" s="26"/>
    </row>
    <row r="129" spans="1:62" ht="20.25" x14ac:dyDescent="0.25">
      <c r="A129" s="122"/>
      <c r="B129" s="4544" t="s">
        <v>901</v>
      </c>
      <c r="C129" s="1523" t="s">
        <v>914</v>
      </c>
      <c r="D129" s="2385"/>
      <c r="E129" s="889"/>
      <c r="F129" s="245">
        <v>119.02000000000001</v>
      </c>
      <c r="G129" s="889"/>
      <c r="H129" s="245"/>
      <c r="I129" s="2341"/>
      <c r="J129" s="4529">
        <f t="shared" si="361"/>
        <v>119.02000000000001</v>
      </c>
      <c r="K129" s="889"/>
      <c r="L129" s="245"/>
      <c r="M129" s="2465"/>
      <c r="N129" s="4533">
        <f t="shared" si="375"/>
        <v>119.02000000000001</v>
      </c>
      <c r="O129" s="889"/>
      <c r="P129" s="245"/>
      <c r="Q129" s="2341"/>
      <c r="R129" s="4529">
        <f t="shared" si="362"/>
        <v>119.02000000000001</v>
      </c>
      <c r="S129" s="889"/>
      <c r="T129" s="245">
        <v>30.29</v>
      </c>
      <c r="U129" s="2341"/>
      <c r="V129" s="4529">
        <f t="shared" si="363"/>
        <v>149.31</v>
      </c>
      <c r="W129" s="889"/>
      <c r="X129" s="245"/>
      <c r="Y129" s="2465"/>
      <c r="Z129" s="4533">
        <f t="shared" si="364"/>
        <v>30.29</v>
      </c>
      <c r="AA129" s="3554"/>
      <c r="AB129" s="4535">
        <f t="shared" si="365"/>
        <v>149.31</v>
      </c>
      <c r="AC129" s="889"/>
      <c r="AD129" s="245"/>
      <c r="AE129" s="2341"/>
      <c r="AF129" s="4529">
        <f t="shared" si="366"/>
        <v>149.31</v>
      </c>
      <c r="AG129" s="889"/>
      <c r="AH129" s="245"/>
      <c r="AI129" s="2341"/>
      <c r="AJ129" s="4529">
        <f t="shared" si="367"/>
        <v>149.31</v>
      </c>
      <c r="AK129" s="889"/>
      <c r="AL129" s="245"/>
      <c r="AM129" s="2465"/>
      <c r="AN129" s="4533">
        <f t="shared" si="368"/>
        <v>0</v>
      </c>
      <c r="AO129" s="2341"/>
      <c r="AP129" s="4529">
        <f t="shared" si="369"/>
        <v>149.31</v>
      </c>
      <c r="AQ129" s="889"/>
      <c r="AR129" s="245"/>
      <c r="AS129" s="2341"/>
      <c r="AT129" s="250">
        <f t="shared" si="370"/>
        <v>149.31</v>
      </c>
      <c r="AU129" s="889"/>
      <c r="AV129" s="245"/>
      <c r="AW129" s="2341"/>
      <c r="AX129" s="250">
        <f t="shared" si="371"/>
        <v>149.31</v>
      </c>
      <c r="AY129" s="889"/>
      <c r="AZ129" s="245">
        <v>64.72</v>
      </c>
      <c r="BA129" s="2465"/>
      <c r="BB129" s="5136">
        <f t="shared" si="377"/>
        <v>64.72</v>
      </c>
      <c r="BC129" s="3554"/>
      <c r="BD129" s="5143">
        <f t="shared" si="373"/>
        <v>64.72</v>
      </c>
      <c r="BE129" s="2341"/>
      <c r="BF129" s="250">
        <f t="shared" si="374"/>
        <v>214.03</v>
      </c>
      <c r="BG129" s="26"/>
      <c r="BH129" s="26"/>
      <c r="BI129" s="26"/>
      <c r="BJ129" s="26"/>
    </row>
    <row r="130" spans="1:62" ht="20.25" x14ac:dyDescent="0.25">
      <c r="A130" s="122"/>
      <c r="B130" s="4544" t="s">
        <v>901</v>
      </c>
      <c r="C130" s="1523" t="s">
        <v>1206</v>
      </c>
      <c r="D130" s="4530"/>
      <c r="E130" s="4530"/>
      <c r="F130" s="245">
        <v>427.06</v>
      </c>
      <c r="G130" s="4530"/>
      <c r="H130" s="245">
        <v>1237.44</v>
      </c>
      <c r="I130" s="4528"/>
      <c r="J130" s="4529">
        <f t="shared" si="361"/>
        <v>1664.5</v>
      </c>
      <c r="K130" s="4530"/>
      <c r="L130" s="245">
        <v>259.32</v>
      </c>
      <c r="M130" s="4531"/>
      <c r="N130" s="4533">
        <f t="shared" si="375"/>
        <v>1923.82</v>
      </c>
      <c r="O130" s="4530"/>
      <c r="P130" s="245">
        <v>1365.02</v>
      </c>
      <c r="Q130" s="4528"/>
      <c r="R130" s="4529">
        <f t="shared" si="362"/>
        <v>3288.84</v>
      </c>
      <c r="S130" s="4530"/>
      <c r="T130" s="245">
        <v>3183.3300000000004</v>
      </c>
      <c r="U130" s="4528"/>
      <c r="V130" s="4529">
        <f t="shared" si="363"/>
        <v>6472.17</v>
      </c>
      <c r="W130" s="4530"/>
      <c r="X130" s="245">
        <v>1282.8999999999999</v>
      </c>
      <c r="Y130" s="4531"/>
      <c r="Z130" s="4533">
        <f t="shared" si="364"/>
        <v>5831.25</v>
      </c>
      <c r="AA130" s="4534"/>
      <c r="AB130" s="4535">
        <f t="shared" si="365"/>
        <v>7755.07</v>
      </c>
      <c r="AC130" s="4530"/>
      <c r="AD130" s="245">
        <v>652.58000000000015</v>
      </c>
      <c r="AE130" s="4528"/>
      <c r="AF130" s="4529">
        <f t="shared" si="366"/>
        <v>8407.65</v>
      </c>
      <c r="AG130" s="4530"/>
      <c r="AH130" s="245">
        <v>478.78999999999996</v>
      </c>
      <c r="AI130" s="4528"/>
      <c r="AJ130" s="4529">
        <f t="shared" si="367"/>
        <v>8886.4399999999987</v>
      </c>
      <c r="AK130" s="4530"/>
      <c r="AL130" s="245">
        <v>701.02</v>
      </c>
      <c r="AM130" s="4531"/>
      <c r="AN130" s="4533">
        <f t="shared" si="368"/>
        <v>1832.39</v>
      </c>
      <c r="AO130" s="4528"/>
      <c r="AP130" s="4529">
        <f t="shared" si="369"/>
        <v>9587.4599999999991</v>
      </c>
      <c r="AQ130" s="4530"/>
      <c r="AR130" s="245">
        <v>982.40000000000009</v>
      </c>
      <c r="AS130" s="4528"/>
      <c r="AT130" s="250">
        <f t="shared" si="370"/>
        <v>10569.859999999999</v>
      </c>
      <c r="AU130" s="4632"/>
      <c r="AV130" s="245">
        <v>1049.2600000000002</v>
      </c>
      <c r="AW130" s="4633"/>
      <c r="AX130" s="250">
        <f t="shared" si="371"/>
        <v>11619.119999999999</v>
      </c>
      <c r="AY130" s="5131"/>
      <c r="AZ130" s="245">
        <v>943.36</v>
      </c>
      <c r="BA130" s="5134"/>
      <c r="BB130" s="5136">
        <f t="shared" si="377"/>
        <v>2975.0200000000004</v>
      </c>
      <c r="BC130" s="5141"/>
      <c r="BD130" s="5143">
        <f t="shared" si="373"/>
        <v>4807.4100000000008</v>
      </c>
      <c r="BE130" s="5125"/>
      <c r="BF130" s="250">
        <f t="shared" si="374"/>
        <v>12562.48</v>
      </c>
      <c r="BG130" s="26"/>
      <c r="BH130" s="26"/>
      <c r="BI130" s="26"/>
      <c r="BJ130" s="26"/>
    </row>
    <row r="131" spans="1:62" ht="20.25" x14ac:dyDescent="0.25">
      <c r="A131" s="122"/>
      <c r="B131" s="4544" t="s">
        <v>901</v>
      </c>
      <c r="C131" s="1523" t="s">
        <v>942</v>
      </c>
      <c r="D131" s="1523"/>
      <c r="E131" s="889"/>
      <c r="F131" s="245"/>
      <c r="G131" s="889"/>
      <c r="H131" s="245">
        <v>257.04000000000002</v>
      </c>
      <c r="I131" s="2341"/>
      <c r="J131" s="4529">
        <f t="shared" ref="J131:J181" si="380">F131+H131</f>
        <v>257.04000000000002</v>
      </c>
      <c r="K131" s="889"/>
      <c r="L131" s="245">
        <v>60.68</v>
      </c>
      <c r="M131" s="2465"/>
      <c r="N131" s="4533">
        <f t="shared" si="375"/>
        <v>317.72000000000003</v>
      </c>
      <c r="O131" s="889"/>
      <c r="P131" s="245">
        <v>191.78000000000003</v>
      </c>
      <c r="Q131" s="2341"/>
      <c r="R131" s="4529">
        <f t="shared" ref="R131:R181" si="381">N131+P131</f>
        <v>509.50000000000006</v>
      </c>
      <c r="S131" s="889"/>
      <c r="T131" s="245">
        <v>695.96</v>
      </c>
      <c r="U131" s="2341"/>
      <c r="V131" s="4529">
        <f t="shared" si="363"/>
        <v>1205.46</v>
      </c>
      <c r="W131" s="889"/>
      <c r="X131" s="245">
        <v>324.22000000000003</v>
      </c>
      <c r="Y131" s="2465"/>
      <c r="Z131" s="4533">
        <f t="shared" si="364"/>
        <v>1211.96</v>
      </c>
      <c r="AA131" s="3554"/>
      <c r="AB131" s="4535">
        <f t="shared" si="365"/>
        <v>1529.68</v>
      </c>
      <c r="AC131" s="889"/>
      <c r="AD131" s="245"/>
      <c r="AE131" s="2341"/>
      <c r="AF131" s="4529">
        <f t="shared" si="366"/>
        <v>1529.68</v>
      </c>
      <c r="AG131" s="889"/>
      <c r="AH131" s="245"/>
      <c r="AI131" s="2341"/>
      <c r="AJ131" s="4529">
        <f t="shared" si="367"/>
        <v>1529.68</v>
      </c>
      <c r="AK131" s="889"/>
      <c r="AL131" s="245"/>
      <c r="AM131" s="2465"/>
      <c r="AN131" s="4533">
        <f t="shared" si="368"/>
        <v>0</v>
      </c>
      <c r="AO131" s="2341"/>
      <c r="AP131" s="4529">
        <f t="shared" si="369"/>
        <v>1529.68</v>
      </c>
      <c r="AQ131" s="889"/>
      <c r="AR131" s="245"/>
      <c r="AS131" s="2341"/>
      <c r="AT131" s="250">
        <f t="shared" si="370"/>
        <v>1529.68</v>
      </c>
      <c r="AU131" s="889"/>
      <c r="AV131" s="245"/>
      <c r="AW131" s="2341"/>
      <c r="AX131" s="250">
        <f t="shared" si="371"/>
        <v>1529.68</v>
      </c>
      <c r="AY131" s="889"/>
      <c r="AZ131" s="245"/>
      <c r="BA131" s="2465"/>
      <c r="BB131" s="5136">
        <f t="shared" si="377"/>
        <v>0</v>
      </c>
      <c r="BC131" s="3554"/>
      <c r="BD131" s="5143">
        <f t="shared" si="373"/>
        <v>0</v>
      </c>
      <c r="BE131" s="2341"/>
      <c r="BF131" s="250">
        <f t="shared" si="374"/>
        <v>1529.68</v>
      </c>
      <c r="BG131" s="26"/>
      <c r="BH131" s="26"/>
      <c r="BI131" s="26"/>
      <c r="BJ131" s="26"/>
    </row>
    <row r="132" spans="1:62" ht="20.25" x14ac:dyDescent="0.25">
      <c r="A132" s="122"/>
      <c r="B132" s="4544" t="s">
        <v>901</v>
      </c>
      <c r="C132" s="1523" t="s">
        <v>1044</v>
      </c>
      <c r="D132" s="2385"/>
      <c r="E132" s="889"/>
      <c r="F132" s="245"/>
      <c r="G132" s="889"/>
      <c r="H132" s="245"/>
      <c r="I132" s="2341"/>
      <c r="J132" s="4529">
        <f t="shared" si="380"/>
        <v>0</v>
      </c>
      <c r="K132" s="889"/>
      <c r="L132" s="245"/>
      <c r="M132" s="2465"/>
      <c r="N132" s="4533">
        <f t="shared" si="375"/>
        <v>0</v>
      </c>
      <c r="O132" s="889"/>
      <c r="P132" s="245">
        <v>192.76</v>
      </c>
      <c r="Q132" s="2341"/>
      <c r="R132" s="4529">
        <f t="shared" si="381"/>
        <v>192.76</v>
      </c>
      <c r="S132" s="889"/>
      <c r="T132" s="245">
        <v>0</v>
      </c>
      <c r="U132" s="2341"/>
      <c r="V132" s="4529">
        <f t="shared" si="363"/>
        <v>192.76</v>
      </c>
      <c r="W132" s="889"/>
      <c r="X132" s="245"/>
      <c r="Y132" s="2465"/>
      <c r="Z132" s="4533">
        <f t="shared" si="364"/>
        <v>192.76</v>
      </c>
      <c r="AA132" s="3554"/>
      <c r="AB132" s="4535">
        <f t="shared" si="365"/>
        <v>192.76</v>
      </c>
      <c r="AC132" s="889"/>
      <c r="AD132" s="245"/>
      <c r="AE132" s="2341"/>
      <c r="AF132" s="4529">
        <f t="shared" si="366"/>
        <v>192.76</v>
      </c>
      <c r="AG132" s="889"/>
      <c r="AH132" s="245"/>
      <c r="AI132" s="2341"/>
      <c r="AJ132" s="4529">
        <f t="shared" si="367"/>
        <v>192.76</v>
      </c>
      <c r="AK132" s="889"/>
      <c r="AL132" s="245"/>
      <c r="AM132" s="2465"/>
      <c r="AN132" s="4533">
        <f t="shared" si="368"/>
        <v>0</v>
      </c>
      <c r="AO132" s="2341"/>
      <c r="AP132" s="4529">
        <f t="shared" si="369"/>
        <v>192.76</v>
      </c>
      <c r="AQ132" s="889"/>
      <c r="AR132" s="245"/>
      <c r="AS132" s="2341"/>
      <c r="AT132" s="250">
        <f t="shared" si="370"/>
        <v>192.76</v>
      </c>
      <c r="AU132" s="889"/>
      <c r="AV132" s="245"/>
      <c r="AW132" s="2341"/>
      <c r="AX132" s="250">
        <f t="shared" si="371"/>
        <v>192.76</v>
      </c>
      <c r="AY132" s="889"/>
      <c r="AZ132" s="245"/>
      <c r="BA132" s="2465"/>
      <c r="BB132" s="5136">
        <f t="shared" si="377"/>
        <v>0</v>
      </c>
      <c r="BC132" s="3554"/>
      <c r="BD132" s="5143">
        <f t="shared" si="373"/>
        <v>0</v>
      </c>
      <c r="BE132" s="2341"/>
      <c r="BF132" s="250">
        <f t="shared" si="374"/>
        <v>192.76</v>
      </c>
      <c r="BG132" s="26"/>
      <c r="BH132" s="26"/>
      <c r="BI132" s="26"/>
      <c r="BJ132" s="26"/>
    </row>
    <row r="133" spans="1:62" ht="20.25" x14ac:dyDescent="0.25">
      <c r="A133" s="122"/>
      <c r="B133" s="4544" t="s">
        <v>901</v>
      </c>
      <c r="C133" s="1523" t="s">
        <v>948</v>
      </c>
      <c r="D133" s="2385"/>
      <c r="E133" s="889"/>
      <c r="F133" s="245">
        <v>241.06</v>
      </c>
      <c r="G133" s="889"/>
      <c r="H133" s="245">
        <v>252.89000000000001</v>
      </c>
      <c r="I133" s="2341"/>
      <c r="J133" s="4529">
        <f t="shared" si="380"/>
        <v>493.95000000000005</v>
      </c>
      <c r="K133" s="889"/>
      <c r="L133" s="245">
        <v>158.92000000000002</v>
      </c>
      <c r="M133" s="2465"/>
      <c r="N133" s="4533">
        <f t="shared" si="375"/>
        <v>652.87000000000012</v>
      </c>
      <c r="O133" s="889"/>
      <c r="P133" s="245">
        <v>80.580000000000013</v>
      </c>
      <c r="Q133" s="2341"/>
      <c r="R133" s="4529">
        <f t="shared" si="381"/>
        <v>733.45000000000016</v>
      </c>
      <c r="S133" s="889"/>
      <c r="T133" s="245">
        <v>0</v>
      </c>
      <c r="U133" s="2341"/>
      <c r="V133" s="4529">
        <f t="shared" si="363"/>
        <v>733.45000000000016</v>
      </c>
      <c r="W133" s="889"/>
      <c r="X133" s="245">
        <v>60.6</v>
      </c>
      <c r="Y133" s="2465"/>
      <c r="Z133" s="4533">
        <f t="shared" si="364"/>
        <v>141.18</v>
      </c>
      <c r="AA133" s="3554"/>
      <c r="AB133" s="4535">
        <f t="shared" si="365"/>
        <v>794.05000000000018</v>
      </c>
      <c r="AC133" s="889"/>
      <c r="AD133" s="245">
        <v>192.44</v>
      </c>
      <c r="AE133" s="2341"/>
      <c r="AF133" s="4529">
        <f t="shared" si="366"/>
        <v>986.49000000000024</v>
      </c>
      <c r="AG133" s="889"/>
      <c r="AH133" s="245">
        <v>39.950000000000003</v>
      </c>
      <c r="AI133" s="2341"/>
      <c r="AJ133" s="4529">
        <f t="shared" si="367"/>
        <v>1026.4400000000003</v>
      </c>
      <c r="AK133" s="889"/>
      <c r="AL133" s="245"/>
      <c r="AM133" s="2465"/>
      <c r="AN133" s="4533">
        <f t="shared" si="368"/>
        <v>232.39</v>
      </c>
      <c r="AO133" s="2341"/>
      <c r="AP133" s="4529">
        <f t="shared" si="369"/>
        <v>1026.4400000000003</v>
      </c>
      <c r="AQ133" s="889"/>
      <c r="AR133" s="245"/>
      <c r="AS133" s="2341"/>
      <c r="AT133" s="250">
        <f t="shared" si="370"/>
        <v>1026.4400000000003</v>
      </c>
      <c r="AU133" s="889"/>
      <c r="AV133" s="245">
        <v>80.599999999999994</v>
      </c>
      <c r="AW133" s="2341"/>
      <c r="AX133" s="250">
        <f t="shared" si="371"/>
        <v>1107.0400000000002</v>
      </c>
      <c r="AY133" s="889"/>
      <c r="AZ133" s="245">
        <v>129.26</v>
      </c>
      <c r="BA133" s="2465"/>
      <c r="BB133" s="5136">
        <f t="shared" si="377"/>
        <v>209.85999999999999</v>
      </c>
      <c r="BC133" s="3554"/>
      <c r="BD133" s="5143">
        <f t="shared" si="373"/>
        <v>442.25</v>
      </c>
      <c r="BE133" s="2341"/>
      <c r="BF133" s="250">
        <f t="shared" si="374"/>
        <v>1236.3000000000002</v>
      </c>
      <c r="BG133" s="26"/>
      <c r="BH133" s="26"/>
      <c r="BI133" s="26"/>
      <c r="BJ133" s="26"/>
    </row>
    <row r="134" spans="1:62" ht="20.25" x14ac:dyDescent="0.25">
      <c r="A134" s="122"/>
      <c r="B134" s="4544" t="s">
        <v>901</v>
      </c>
      <c r="C134" s="1523" t="s">
        <v>1207</v>
      </c>
      <c r="D134" s="2385"/>
      <c r="E134" s="889"/>
      <c r="F134" s="245"/>
      <c r="G134" s="889"/>
      <c r="H134" s="245">
        <v>96.44</v>
      </c>
      <c r="I134" s="2341"/>
      <c r="J134" s="4529">
        <f t="shared" si="380"/>
        <v>96.44</v>
      </c>
      <c r="K134" s="889"/>
      <c r="L134" s="245"/>
      <c r="M134" s="2465"/>
      <c r="N134" s="4533">
        <f t="shared" si="375"/>
        <v>96.44</v>
      </c>
      <c r="O134" s="889"/>
      <c r="P134" s="245"/>
      <c r="Q134" s="2341"/>
      <c r="R134" s="4529">
        <f t="shared" si="381"/>
        <v>96.44</v>
      </c>
      <c r="S134" s="889"/>
      <c r="T134" s="245">
        <v>0</v>
      </c>
      <c r="U134" s="2341"/>
      <c r="V134" s="4529">
        <f t="shared" si="363"/>
        <v>96.44</v>
      </c>
      <c r="W134" s="889"/>
      <c r="X134" s="245"/>
      <c r="Y134" s="2465"/>
      <c r="Z134" s="4533">
        <f t="shared" si="364"/>
        <v>0</v>
      </c>
      <c r="AA134" s="3554"/>
      <c r="AB134" s="4535">
        <f t="shared" si="365"/>
        <v>96.44</v>
      </c>
      <c r="AC134" s="889"/>
      <c r="AD134" s="245"/>
      <c r="AE134" s="2341"/>
      <c r="AF134" s="4529">
        <f t="shared" si="366"/>
        <v>96.44</v>
      </c>
      <c r="AG134" s="889"/>
      <c r="AH134" s="245">
        <v>74.78</v>
      </c>
      <c r="AI134" s="2341"/>
      <c r="AJ134" s="4529">
        <f t="shared" si="367"/>
        <v>171.22</v>
      </c>
      <c r="AK134" s="889"/>
      <c r="AL134" s="245">
        <v>32.159999999999997</v>
      </c>
      <c r="AM134" s="2465"/>
      <c r="AN134" s="4533">
        <f t="shared" si="368"/>
        <v>106.94</v>
      </c>
      <c r="AO134" s="2341"/>
      <c r="AP134" s="4529">
        <f t="shared" si="369"/>
        <v>203.38</v>
      </c>
      <c r="AQ134" s="889"/>
      <c r="AR134" s="245"/>
      <c r="AS134" s="2341"/>
      <c r="AT134" s="250">
        <f t="shared" si="370"/>
        <v>203.38</v>
      </c>
      <c r="AU134" s="889"/>
      <c r="AV134" s="245"/>
      <c r="AW134" s="2341"/>
      <c r="AX134" s="250">
        <f t="shared" si="371"/>
        <v>203.38</v>
      </c>
      <c r="AY134" s="889"/>
      <c r="AZ134" s="245"/>
      <c r="BA134" s="2465"/>
      <c r="BB134" s="5136">
        <f t="shared" si="377"/>
        <v>0</v>
      </c>
      <c r="BC134" s="3554"/>
      <c r="BD134" s="5143">
        <f t="shared" si="373"/>
        <v>106.94</v>
      </c>
      <c r="BE134" s="2341"/>
      <c r="BF134" s="250">
        <f t="shared" si="374"/>
        <v>203.38</v>
      </c>
      <c r="BG134" s="26"/>
      <c r="BH134" s="26"/>
      <c r="BI134" s="26"/>
      <c r="BJ134" s="26"/>
    </row>
    <row r="135" spans="1:62" ht="19.5" customHeight="1" x14ac:dyDescent="0.25">
      <c r="A135" s="188"/>
      <c r="B135" s="4544" t="s">
        <v>901</v>
      </c>
      <c r="C135" s="1523" t="s">
        <v>1360</v>
      </c>
      <c r="D135" s="1523"/>
      <c r="E135" s="889"/>
      <c r="F135" s="245"/>
      <c r="G135" s="889"/>
      <c r="H135" s="245"/>
      <c r="I135" s="2341"/>
      <c r="J135" s="4529"/>
      <c r="K135" s="889"/>
      <c r="L135" s="245"/>
      <c r="M135" s="2465"/>
      <c r="N135" s="4533">
        <f t="shared" si="375"/>
        <v>0</v>
      </c>
      <c r="O135" s="889"/>
      <c r="P135" s="245"/>
      <c r="Q135" s="2341"/>
      <c r="R135" s="4529">
        <f t="shared" ref="R135" si="382">N135+P135</f>
        <v>0</v>
      </c>
      <c r="S135" s="889"/>
      <c r="T135" s="245"/>
      <c r="U135" s="2341"/>
      <c r="V135" s="4529">
        <f t="shared" si="363"/>
        <v>0</v>
      </c>
      <c r="W135" s="889"/>
      <c r="X135" s="245">
        <v>981.6</v>
      </c>
      <c r="Y135" s="2465"/>
      <c r="Z135" s="4533">
        <f t="shared" si="364"/>
        <v>981.6</v>
      </c>
      <c r="AA135" s="3554"/>
      <c r="AB135" s="4535">
        <f t="shared" si="365"/>
        <v>981.6</v>
      </c>
      <c r="AC135" s="889"/>
      <c r="AD135" s="245"/>
      <c r="AE135" s="2341"/>
      <c r="AF135" s="4529">
        <f t="shared" si="366"/>
        <v>981.6</v>
      </c>
      <c r="AG135" s="889"/>
      <c r="AH135" s="245"/>
      <c r="AI135" s="2341"/>
      <c r="AJ135" s="4529">
        <f t="shared" si="367"/>
        <v>981.6</v>
      </c>
      <c r="AK135" s="889"/>
      <c r="AL135" s="245"/>
      <c r="AM135" s="2465"/>
      <c r="AN135" s="4533">
        <f t="shared" si="368"/>
        <v>0</v>
      </c>
      <c r="AO135" s="2341"/>
      <c r="AP135" s="4529">
        <f t="shared" si="369"/>
        <v>981.6</v>
      </c>
      <c r="AQ135" s="889"/>
      <c r="AR135" s="245">
        <v>1742.4199999999998</v>
      </c>
      <c r="AS135" s="2341"/>
      <c r="AT135" s="250">
        <f t="shared" si="370"/>
        <v>2724.02</v>
      </c>
      <c r="AU135" s="889"/>
      <c r="AV135" s="245"/>
      <c r="AW135" s="2341"/>
      <c r="AX135" s="250">
        <f t="shared" si="371"/>
        <v>2724.02</v>
      </c>
      <c r="AY135" s="889"/>
      <c r="AZ135" s="245"/>
      <c r="BA135" s="2465"/>
      <c r="BB135" s="5136">
        <f t="shared" si="377"/>
        <v>1742.4199999999998</v>
      </c>
      <c r="BC135" s="3554"/>
      <c r="BD135" s="5143">
        <f t="shared" si="373"/>
        <v>1742.4199999999998</v>
      </c>
      <c r="BE135" s="2341"/>
      <c r="BF135" s="250">
        <f t="shared" si="374"/>
        <v>2724.02</v>
      </c>
      <c r="BG135" s="26"/>
      <c r="BH135" s="26"/>
      <c r="BI135" s="26"/>
      <c r="BJ135" s="26"/>
    </row>
    <row r="136" spans="1:62" ht="19.5" customHeight="1" x14ac:dyDescent="0.25">
      <c r="A136" s="188"/>
      <c r="B136" s="4544" t="s">
        <v>901</v>
      </c>
      <c r="C136" s="1523" t="s">
        <v>1210</v>
      </c>
      <c r="D136" s="1523"/>
      <c r="E136" s="889"/>
      <c r="F136" s="245"/>
      <c r="G136" s="889"/>
      <c r="H136" s="245"/>
      <c r="I136" s="2341"/>
      <c r="J136" s="4529"/>
      <c r="K136" s="889"/>
      <c r="L136" s="245"/>
      <c r="M136" s="2465"/>
      <c r="N136" s="4533">
        <f t="shared" si="375"/>
        <v>0</v>
      </c>
      <c r="O136" s="889"/>
      <c r="P136" s="245"/>
      <c r="Q136" s="2341"/>
      <c r="R136" s="4529">
        <f t="shared" si="381"/>
        <v>0</v>
      </c>
      <c r="S136" s="889"/>
      <c r="T136" s="245"/>
      <c r="U136" s="2341"/>
      <c r="V136" s="4529">
        <f t="shared" ref="V136" si="383">R136+T136</f>
        <v>0</v>
      </c>
      <c r="W136" s="889"/>
      <c r="X136" s="245">
        <v>40.9</v>
      </c>
      <c r="Y136" s="2465"/>
      <c r="Z136" s="4533">
        <f t="shared" si="364"/>
        <v>40.9</v>
      </c>
      <c r="AA136" s="3554"/>
      <c r="AB136" s="4535">
        <f t="shared" si="365"/>
        <v>40.9</v>
      </c>
      <c r="AC136" s="889"/>
      <c r="AD136" s="245">
        <v>1272.6799999999998</v>
      </c>
      <c r="AE136" s="2341"/>
      <c r="AF136" s="4529">
        <f t="shared" si="366"/>
        <v>1313.58</v>
      </c>
      <c r="AG136" s="889"/>
      <c r="AH136" s="245"/>
      <c r="AI136" s="2341"/>
      <c r="AJ136" s="4529">
        <f t="shared" si="367"/>
        <v>1313.58</v>
      </c>
      <c r="AK136" s="889"/>
      <c r="AL136" s="245"/>
      <c r="AM136" s="2465"/>
      <c r="AN136" s="4533">
        <f t="shared" si="368"/>
        <v>1272.6799999999998</v>
      </c>
      <c r="AO136" s="2341"/>
      <c r="AP136" s="4529">
        <f t="shared" si="369"/>
        <v>1313.58</v>
      </c>
      <c r="AQ136" s="889"/>
      <c r="AR136" s="245"/>
      <c r="AS136" s="2341"/>
      <c r="AT136" s="250">
        <f t="shared" si="370"/>
        <v>1313.58</v>
      </c>
      <c r="AU136" s="889"/>
      <c r="AV136" s="245"/>
      <c r="AW136" s="2341"/>
      <c r="AX136" s="250">
        <f t="shared" si="371"/>
        <v>1313.58</v>
      </c>
      <c r="AY136" s="889"/>
      <c r="AZ136" s="245"/>
      <c r="BA136" s="2465"/>
      <c r="BB136" s="5136">
        <f t="shared" si="377"/>
        <v>0</v>
      </c>
      <c r="BC136" s="3554"/>
      <c r="BD136" s="5143">
        <f t="shared" si="373"/>
        <v>1272.6799999999998</v>
      </c>
      <c r="BE136" s="2341"/>
      <c r="BF136" s="250">
        <f t="shared" si="374"/>
        <v>1313.58</v>
      </c>
      <c r="BG136" s="26"/>
      <c r="BH136" s="26"/>
      <c r="BI136" s="26"/>
      <c r="BJ136" s="26"/>
    </row>
    <row r="137" spans="1:62" ht="20.25" x14ac:dyDescent="0.25">
      <c r="A137" s="122"/>
      <c r="B137" s="4544" t="s">
        <v>901</v>
      </c>
      <c r="C137" s="1523" t="s">
        <v>943</v>
      </c>
      <c r="D137" s="4530"/>
      <c r="E137" s="4530"/>
      <c r="F137" s="4530"/>
      <c r="G137" s="4530"/>
      <c r="H137" s="4530"/>
      <c r="I137" s="4528"/>
      <c r="J137" s="4528">
        <f t="shared" si="380"/>
        <v>0</v>
      </c>
      <c r="K137" s="4530"/>
      <c r="L137" s="245">
        <v>41.24</v>
      </c>
      <c r="M137" s="4531"/>
      <c r="N137" s="4533">
        <f t="shared" si="375"/>
        <v>41.24</v>
      </c>
      <c r="O137" s="4530"/>
      <c r="P137" s="245"/>
      <c r="Q137" s="4528"/>
      <c r="R137" s="4529">
        <f t="shared" si="381"/>
        <v>41.24</v>
      </c>
      <c r="S137" s="4530"/>
      <c r="T137" s="245">
        <v>63.54</v>
      </c>
      <c r="U137" s="4528"/>
      <c r="V137" s="4529">
        <f t="shared" si="363"/>
        <v>104.78</v>
      </c>
      <c r="W137" s="4530"/>
      <c r="X137" s="245">
        <v>656.06</v>
      </c>
      <c r="Y137" s="4531"/>
      <c r="Z137" s="4533">
        <f t="shared" si="364"/>
        <v>719.59999999999991</v>
      </c>
      <c r="AA137" s="4534"/>
      <c r="AB137" s="4535">
        <f t="shared" si="365"/>
        <v>760.83999999999992</v>
      </c>
      <c r="AC137" s="4530"/>
      <c r="AD137" s="245">
        <v>262.5</v>
      </c>
      <c r="AE137" s="4528"/>
      <c r="AF137" s="4529">
        <f t="shared" si="366"/>
        <v>1023.3399999999999</v>
      </c>
      <c r="AG137" s="4530"/>
      <c r="AH137" s="245"/>
      <c r="AI137" s="4528"/>
      <c r="AJ137" s="4529">
        <f t="shared" si="367"/>
        <v>1023.3399999999999</v>
      </c>
      <c r="AK137" s="4530"/>
      <c r="AL137" s="245"/>
      <c r="AM137" s="4531"/>
      <c r="AN137" s="4533">
        <f t="shared" si="368"/>
        <v>262.5</v>
      </c>
      <c r="AO137" s="4528"/>
      <c r="AP137" s="4529">
        <f t="shared" si="369"/>
        <v>1023.3399999999999</v>
      </c>
      <c r="AQ137" s="4530"/>
      <c r="AR137" s="245"/>
      <c r="AS137" s="4528"/>
      <c r="AT137" s="250">
        <f t="shared" si="370"/>
        <v>1023.3399999999999</v>
      </c>
      <c r="AU137" s="4632"/>
      <c r="AV137" s="245">
        <v>61.92</v>
      </c>
      <c r="AW137" s="4633"/>
      <c r="AX137" s="250">
        <f t="shared" si="371"/>
        <v>1085.26</v>
      </c>
      <c r="AY137" s="5131"/>
      <c r="AZ137" s="245">
        <v>65.72999999999999</v>
      </c>
      <c r="BA137" s="5134"/>
      <c r="BB137" s="5136">
        <f t="shared" si="377"/>
        <v>127.64999999999999</v>
      </c>
      <c r="BC137" s="5141"/>
      <c r="BD137" s="5143">
        <f t="shared" si="373"/>
        <v>390.15</v>
      </c>
      <c r="BE137" s="5125"/>
      <c r="BF137" s="250">
        <f t="shared" si="374"/>
        <v>1150.99</v>
      </c>
      <c r="BG137" s="26"/>
      <c r="BH137" s="26"/>
      <c r="BI137" s="26"/>
      <c r="BJ137" s="26"/>
    </row>
    <row r="138" spans="1:62" ht="20.25" x14ac:dyDescent="0.25">
      <c r="A138" s="122"/>
      <c r="B138" s="4544" t="s">
        <v>901</v>
      </c>
      <c r="C138" s="1523" t="s">
        <v>915</v>
      </c>
      <c r="D138" s="2385"/>
      <c r="E138" s="889"/>
      <c r="F138" s="245">
        <v>3072.0000000000005</v>
      </c>
      <c r="G138" s="889"/>
      <c r="H138" s="245">
        <v>3608.0900000000006</v>
      </c>
      <c r="I138" s="2341"/>
      <c r="J138" s="4529">
        <f t="shared" si="380"/>
        <v>6680.0900000000011</v>
      </c>
      <c r="K138" s="889"/>
      <c r="L138" s="245">
        <v>4380.0200000000004</v>
      </c>
      <c r="M138" s="2465"/>
      <c r="N138" s="4533">
        <f t="shared" si="375"/>
        <v>11060.11</v>
      </c>
      <c r="O138" s="889"/>
      <c r="P138" s="245">
        <v>5026.05</v>
      </c>
      <c r="Q138" s="2341"/>
      <c r="R138" s="4529">
        <f t="shared" si="381"/>
        <v>16086.16</v>
      </c>
      <c r="S138" s="889"/>
      <c r="T138" s="245">
        <v>8439.2900000000027</v>
      </c>
      <c r="U138" s="2341"/>
      <c r="V138" s="4529">
        <f t="shared" si="363"/>
        <v>24525.450000000004</v>
      </c>
      <c r="W138" s="889"/>
      <c r="X138" s="245">
        <v>10426.509999999995</v>
      </c>
      <c r="Y138" s="2465"/>
      <c r="Z138" s="4533">
        <f t="shared" si="364"/>
        <v>23891.85</v>
      </c>
      <c r="AA138" s="3554"/>
      <c r="AB138" s="4535">
        <f t="shared" si="365"/>
        <v>34951.96</v>
      </c>
      <c r="AC138" s="889"/>
      <c r="AD138" s="245">
        <v>11783.690000000004</v>
      </c>
      <c r="AE138" s="2341"/>
      <c r="AF138" s="4529">
        <f t="shared" si="366"/>
        <v>46735.65</v>
      </c>
      <c r="AG138" s="889"/>
      <c r="AH138" s="245">
        <v>4696.3700000000008</v>
      </c>
      <c r="AI138" s="2341"/>
      <c r="AJ138" s="4529">
        <f t="shared" si="367"/>
        <v>51432.020000000004</v>
      </c>
      <c r="AK138" s="889"/>
      <c r="AL138" s="245">
        <v>4841.1299999999992</v>
      </c>
      <c r="AM138" s="2465"/>
      <c r="AN138" s="4533">
        <f t="shared" si="368"/>
        <v>21321.190000000002</v>
      </c>
      <c r="AO138" s="2341"/>
      <c r="AP138" s="4529">
        <f t="shared" si="369"/>
        <v>56273.15</v>
      </c>
      <c r="AQ138" s="889"/>
      <c r="AR138" s="245">
        <v>5138.24</v>
      </c>
      <c r="AS138" s="2341"/>
      <c r="AT138" s="250">
        <f t="shared" si="370"/>
        <v>61411.39</v>
      </c>
      <c r="AU138" s="889"/>
      <c r="AV138" s="245">
        <v>5421.41</v>
      </c>
      <c r="AW138" s="2341"/>
      <c r="AX138" s="250">
        <f t="shared" si="371"/>
        <v>66832.800000000003</v>
      </c>
      <c r="AY138" s="889"/>
      <c r="AZ138" s="245">
        <v>12002.600000000004</v>
      </c>
      <c r="BA138" s="2465"/>
      <c r="BB138" s="5136">
        <f t="shared" si="377"/>
        <v>22562.250000000004</v>
      </c>
      <c r="BC138" s="3554"/>
      <c r="BD138" s="5143">
        <f t="shared" si="373"/>
        <v>43883.44</v>
      </c>
      <c r="BE138" s="2341"/>
      <c r="BF138" s="250">
        <f t="shared" si="374"/>
        <v>78835.400000000009</v>
      </c>
      <c r="BG138" s="26"/>
      <c r="BH138" s="26"/>
      <c r="BI138" s="26"/>
      <c r="BJ138" s="26"/>
    </row>
    <row r="139" spans="1:62" ht="21" thickBot="1" x14ac:dyDescent="0.3">
      <c r="A139" s="122"/>
      <c r="B139" s="4544" t="s">
        <v>901</v>
      </c>
      <c r="C139" s="1523" t="s">
        <v>1213</v>
      </c>
      <c r="D139" s="2385"/>
      <c r="E139" s="889"/>
      <c r="F139" s="245">
        <v>346.87</v>
      </c>
      <c r="G139" s="889"/>
      <c r="H139" s="245">
        <v>628.79999999999995</v>
      </c>
      <c r="I139" s="2341"/>
      <c r="J139" s="4529">
        <f t="shared" si="380"/>
        <v>975.67</v>
      </c>
      <c r="K139" s="889"/>
      <c r="L139" s="245">
        <v>899.99999999999989</v>
      </c>
      <c r="M139" s="2465"/>
      <c r="N139" s="4533">
        <f t="shared" si="375"/>
        <v>1875.6699999999998</v>
      </c>
      <c r="O139" s="889"/>
      <c r="P139" s="245">
        <v>722.45</v>
      </c>
      <c r="Q139" s="2341"/>
      <c r="R139" s="4529">
        <f t="shared" si="381"/>
        <v>2598.12</v>
      </c>
      <c r="S139" s="889"/>
      <c r="T139" s="245">
        <v>633.04</v>
      </c>
      <c r="U139" s="2341"/>
      <c r="V139" s="4529">
        <f t="shared" si="363"/>
        <v>3231.16</v>
      </c>
      <c r="W139" s="889"/>
      <c r="X139" s="245">
        <v>705.13000000000011</v>
      </c>
      <c r="Y139" s="2465"/>
      <c r="Z139" s="4533">
        <f t="shared" si="364"/>
        <v>2060.62</v>
      </c>
      <c r="AA139" s="3554"/>
      <c r="AB139" s="4535">
        <f t="shared" si="365"/>
        <v>3936.29</v>
      </c>
      <c r="AC139" s="889"/>
      <c r="AD139" s="245">
        <v>842.98</v>
      </c>
      <c r="AE139" s="2341"/>
      <c r="AF139" s="4529">
        <f t="shared" si="366"/>
        <v>4779.2700000000004</v>
      </c>
      <c r="AG139" s="889"/>
      <c r="AH139" s="245">
        <v>778.82000000000016</v>
      </c>
      <c r="AI139" s="2341"/>
      <c r="AJ139" s="4529">
        <f t="shared" si="367"/>
        <v>5558.09</v>
      </c>
      <c r="AK139" s="889"/>
      <c r="AL139" s="245">
        <v>1167.45</v>
      </c>
      <c r="AM139" s="2465"/>
      <c r="AN139" s="4533">
        <f t="shared" si="368"/>
        <v>2789.25</v>
      </c>
      <c r="AO139" s="2341"/>
      <c r="AP139" s="4529">
        <f t="shared" si="369"/>
        <v>6725.54</v>
      </c>
      <c r="AQ139" s="889"/>
      <c r="AR139" s="245">
        <v>658.59999999999991</v>
      </c>
      <c r="AS139" s="2341"/>
      <c r="AT139" s="250">
        <f t="shared" si="370"/>
        <v>7384.1399999999994</v>
      </c>
      <c r="AU139" s="889"/>
      <c r="AV139" s="245">
        <v>981.59999999999991</v>
      </c>
      <c r="AW139" s="2341"/>
      <c r="AX139" s="250">
        <f t="shared" si="371"/>
        <v>8365.74</v>
      </c>
      <c r="AY139" s="889"/>
      <c r="AZ139" s="245">
        <v>990.06999999999994</v>
      </c>
      <c r="BA139" s="2465"/>
      <c r="BB139" s="5136">
        <f t="shared" si="377"/>
        <v>2630.2699999999995</v>
      </c>
      <c r="BC139" s="3554"/>
      <c r="BD139" s="5143">
        <f t="shared" si="373"/>
        <v>5419.5199999999995</v>
      </c>
      <c r="BE139" s="2341"/>
      <c r="BF139" s="250">
        <f t="shared" si="374"/>
        <v>9355.81</v>
      </c>
      <c r="BG139" s="26"/>
      <c r="BH139" s="26"/>
      <c r="BI139" s="26"/>
      <c r="BJ139" s="26"/>
    </row>
    <row r="140" spans="1:62" ht="20.25" x14ac:dyDescent="0.25">
      <c r="A140" s="122"/>
      <c r="B140" s="4543" t="s">
        <v>1051</v>
      </c>
      <c r="C140" s="4539" t="s">
        <v>1209</v>
      </c>
      <c r="D140" s="4501"/>
      <c r="E140" s="4502"/>
      <c r="F140" s="4503">
        <v>101.35</v>
      </c>
      <c r="G140" s="4502"/>
      <c r="H140" s="4503"/>
      <c r="I140" s="4504"/>
      <c r="J140" s="4505">
        <f t="shared" si="380"/>
        <v>101.35</v>
      </c>
      <c r="K140" s="4502"/>
      <c r="L140" s="4503"/>
      <c r="M140" s="4506"/>
      <c r="N140" s="4507">
        <f t="shared" si="375"/>
        <v>101.35</v>
      </c>
      <c r="O140" s="4502"/>
      <c r="P140" s="4503"/>
      <c r="Q140" s="4504"/>
      <c r="R140" s="4505">
        <f t="shared" si="381"/>
        <v>101.35</v>
      </c>
      <c r="S140" s="4502"/>
      <c r="T140" s="4503">
        <v>381.20000000000005</v>
      </c>
      <c r="U140" s="4504"/>
      <c r="V140" s="4505">
        <f t="shared" si="363"/>
        <v>482.55000000000007</v>
      </c>
      <c r="W140" s="4502"/>
      <c r="X140" s="4503">
        <v>28.64</v>
      </c>
      <c r="Y140" s="4506"/>
      <c r="Z140" s="4507">
        <f t="shared" si="364"/>
        <v>409.84000000000003</v>
      </c>
      <c r="AA140" s="4508"/>
      <c r="AB140" s="4509">
        <f t="shared" si="365"/>
        <v>511.19000000000005</v>
      </c>
      <c r="AC140" s="4502"/>
      <c r="AD140" s="4503"/>
      <c r="AE140" s="4504"/>
      <c r="AF140" s="4505">
        <f t="shared" si="366"/>
        <v>511.19000000000005</v>
      </c>
      <c r="AG140" s="4502"/>
      <c r="AH140" s="4503"/>
      <c r="AI140" s="4504"/>
      <c r="AJ140" s="4505">
        <f t="shared" si="367"/>
        <v>511.19000000000005</v>
      </c>
      <c r="AK140" s="4502"/>
      <c r="AL140" s="4503">
        <v>1016.68</v>
      </c>
      <c r="AM140" s="4506"/>
      <c r="AN140" s="4507">
        <f t="shared" si="368"/>
        <v>1016.68</v>
      </c>
      <c r="AO140" s="4504"/>
      <c r="AP140" s="4505">
        <f t="shared" si="369"/>
        <v>1527.87</v>
      </c>
      <c r="AQ140" s="4502"/>
      <c r="AR140" s="4503">
        <v>521.34</v>
      </c>
      <c r="AS140" s="4504"/>
      <c r="AT140" s="2340">
        <f t="shared" si="370"/>
        <v>2049.21</v>
      </c>
      <c r="AU140" s="4502"/>
      <c r="AV140" s="4503"/>
      <c r="AW140" s="4504"/>
      <c r="AX140" s="2340">
        <f t="shared" si="371"/>
        <v>2049.21</v>
      </c>
      <c r="AY140" s="4502"/>
      <c r="AZ140" s="4503"/>
      <c r="BA140" s="4506"/>
      <c r="BB140" s="4507">
        <f t="shared" si="377"/>
        <v>521.34</v>
      </c>
      <c r="BC140" s="4508"/>
      <c r="BD140" s="5143">
        <f t="shared" si="373"/>
        <v>1538.02</v>
      </c>
      <c r="BE140" s="4504"/>
      <c r="BF140" s="2340">
        <f t="shared" si="374"/>
        <v>2049.21</v>
      </c>
      <c r="BG140" s="26"/>
      <c r="BH140" s="26"/>
      <c r="BI140" s="26"/>
      <c r="BJ140" s="26"/>
    </row>
    <row r="141" spans="1:62" ht="20.25" x14ac:dyDescent="0.25">
      <c r="A141" s="122"/>
      <c r="B141" s="4544" t="s">
        <v>1051</v>
      </c>
      <c r="C141" s="1523" t="s">
        <v>1206</v>
      </c>
      <c r="D141" s="2385"/>
      <c r="E141" s="889"/>
      <c r="F141" s="245">
        <v>1041.18</v>
      </c>
      <c r="G141" s="889"/>
      <c r="H141" s="245"/>
      <c r="I141" s="2341"/>
      <c r="J141" s="4529">
        <f t="shared" si="380"/>
        <v>1041.18</v>
      </c>
      <c r="K141" s="889"/>
      <c r="L141" s="245"/>
      <c r="M141" s="2465"/>
      <c r="N141" s="4533">
        <f t="shared" si="375"/>
        <v>1041.18</v>
      </c>
      <c r="O141" s="889"/>
      <c r="P141" s="245"/>
      <c r="Q141" s="2341"/>
      <c r="R141" s="4529">
        <f t="shared" si="381"/>
        <v>1041.18</v>
      </c>
      <c r="S141" s="889"/>
      <c r="T141" s="245">
        <v>0</v>
      </c>
      <c r="U141" s="2341"/>
      <c r="V141" s="4529">
        <f t="shared" si="363"/>
        <v>1041.18</v>
      </c>
      <c r="W141" s="889"/>
      <c r="X141" s="245"/>
      <c r="Y141" s="2465"/>
      <c r="Z141" s="4533">
        <f t="shared" si="364"/>
        <v>0</v>
      </c>
      <c r="AA141" s="3554"/>
      <c r="AB141" s="4535">
        <f t="shared" si="365"/>
        <v>1041.18</v>
      </c>
      <c r="AC141" s="889"/>
      <c r="AD141" s="245"/>
      <c r="AE141" s="2341"/>
      <c r="AF141" s="4529">
        <f t="shared" si="366"/>
        <v>1041.18</v>
      </c>
      <c r="AG141" s="889"/>
      <c r="AH141" s="245"/>
      <c r="AI141" s="2341"/>
      <c r="AJ141" s="4529">
        <f t="shared" si="367"/>
        <v>1041.18</v>
      </c>
      <c r="AK141" s="889"/>
      <c r="AL141" s="245"/>
      <c r="AM141" s="2465"/>
      <c r="AN141" s="4533">
        <f t="shared" si="368"/>
        <v>0</v>
      </c>
      <c r="AO141" s="2341"/>
      <c r="AP141" s="4529">
        <f t="shared" si="369"/>
        <v>1041.18</v>
      </c>
      <c r="AQ141" s="889"/>
      <c r="AR141" s="245">
        <v>611.98</v>
      </c>
      <c r="AS141" s="2341"/>
      <c r="AT141" s="250">
        <f t="shared" si="370"/>
        <v>1653.16</v>
      </c>
      <c r="AU141" s="889"/>
      <c r="AV141" s="245">
        <v>241.28</v>
      </c>
      <c r="AW141" s="2341"/>
      <c r="AX141" s="250">
        <f t="shared" si="371"/>
        <v>1894.44</v>
      </c>
      <c r="AY141" s="889"/>
      <c r="AZ141" s="245">
        <v>128.54</v>
      </c>
      <c r="BA141" s="2465"/>
      <c r="BB141" s="5136">
        <f t="shared" si="377"/>
        <v>981.8</v>
      </c>
      <c r="BC141" s="3554"/>
      <c r="BD141" s="5143">
        <f t="shared" si="373"/>
        <v>981.8</v>
      </c>
      <c r="BE141" s="2341"/>
      <c r="BF141" s="250">
        <f t="shared" si="374"/>
        <v>2022.98</v>
      </c>
      <c r="BG141" s="26"/>
      <c r="BH141" s="26"/>
      <c r="BI141" s="26"/>
      <c r="BJ141" s="26"/>
    </row>
    <row r="142" spans="1:62" ht="20.25" x14ac:dyDescent="0.25">
      <c r="A142" s="122"/>
      <c r="B142" s="4544" t="s">
        <v>1051</v>
      </c>
      <c r="C142" s="1523" t="s">
        <v>915</v>
      </c>
      <c r="D142" s="2385"/>
      <c r="E142" s="889"/>
      <c r="F142" s="245">
        <v>449.55999999999995</v>
      </c>
      <c r="G142" s="889"/>
      <c r="H142" s="245"/>
      <c r="I142" s="2341"/>
      <c r="J142" s="4529">
        <f t="shared" si="380"/>
        <v>449.55999999999995</v>
      </c>
      <c r="K142" s="889"/>
      <c r="L142" s="4532">
        <v>463.73</v>
      </c>
      <c r="M142" s="2465"/>
      <c r="N142" s="4533">
        <f t="shared" si="375"/>
        <v>913.29</v>
      </c>
      <c r="O142" s="889"/>
      <c r="P142" s="4532">
        <v>40.32</v>
      </c>
      <c r="Q142" s="2341"/>
      <c r="R142" s="4529">
        <f t="shared" si="381"/>
        <v>953.61</v>
      </c>
      <c r="S142" s="889"/>
      <c r="T142" s="4532">
        <v>0</v>
      </c>
      <c r="U142" s="2341"/>
      <c r="V142" s="4529">
        <f t="shared" si="363"/>
        <v>953.61</v>
      </c>
      <c r="W142" s="889"/>
      <c r="X142" s="4532">
        <v>59.78</v>
      </c>
      <c r="Y142" s="2465"/>
      <c r="Z142" s="4533">
        <f t="shared" si="364"/>
        <v>100.1</v>
      </c>
      <c r="AA142" s="3554"/>
      <c r="AB142" s="4535">
        <f t="shared" si="365"/>
        <v>1013.39</v>
      </c>
      <c r="AC142" s="889"/>
      <c r="AD142" s="4532"/>
      <c r="AE142" s="2341"/>
      <c r="AF142" s="4529">
        <f t="shared" si="366"/>
        <v>1013.39</v>
      </c>
      <c r="AG142" s="889"/>
      <c r="AH142" s="4532"/>
      <c r="AI142" s="2341"/>
      <c r="AJ142" s="4529">
        <f t="shared" si="367"/>
        <v>1013.39</v>
      </c>
      <c r="AK142" s="889"/>
      <c r="AL142" s="4532"/>
      <c r="AM142" s="2465"/>
      <c r="AN142" s="4533">
        <f t="shared" si="368"/>
        <v>0</v>
      </c>
      <c r="AO142" s="2341"/>
      <c r="AP142" s="4529">
        <f t="shared" si="369"/>
        <v>1013.39</v>
      </c>
      <c r="AQ142" s="889"/>
      <c r="AR142" s="4532">
        <v>449.03999999999996</v>
      </c>
      <c r="AS142" s="2341"/>
      <c r="AT142" s="250">
        <f t="shared" si="370"/>
        <v>1462.4299999999998</v>
      </c>
      <c r="AU142" s="889"/>
      <c r="AV142" s="4634">
        <v>660.38999999999987</v>
      </c>
      <c r="AW142" s="2341"/>
      <c r="AX142" s="250">
        <f t="shared" si="371"/>
        <v>2122.8199999999997</v>
      </c>
      <c r="AY142" s="889"/>
      <c r="AZ142" s="5135">
        <v>753.42000000000007</v>
      </c>
      <c r="BA142" s="2465"/>
      <c r="BB142" s="5136">
        <f t="shared" si="377"/>
        <v>1862.85</v>
      </c>
      <c r="BC142" s="3554"/>
      <c r="BD142" s="5143">
        <f t="shared" si="373"/>
        <v>1862.85</v>
      </c>
      <c r="BE142" s="2341"/>
      <c r="BF142" s="250">
        <f t="shared" si="374"/>
        <v>2876.24</v>
      </c>
      <c r="BG142" s="26"/>
      <c r="BH142" s="26"/>
      <c r="BI142" s="26"/>
      <c r="BJ142" s="26"/>
    </row>
    <row r="143" spans="1:62" ht="20.25" x14ac:dyDescent="0.25">
      <c r="A143" s="122"/>
      <c r="B143" s="4544" t="s">
        <v>1051</v>
      </c>
      <c r="C143" s="1523" t="s">
        <v>1360</v>
      </c>
      <c r="D143" s="2385"/>
      <c r="E143" s="889"/>
      <c r="F143" s="245">
        <v>493.28000000000003</v>
      </c>
      <c r="G143" s="889"/>
      <c r="H143" s="245"/>
      <c r="I143" s="2341"/>
      <c r="J143" s="4529">
        <f t="shared" si="380"/>
        <v>493.28000000000003</v>
      </c>
      <c r="K143" s="889"/>
      <c r="L143" s="4532">
        <v>521.36</v>
      </c>
      <c r="M143" s="2465"/>
      <c r="N143" s="4533">
        <f t="shared" si="375"/>
        <v>1014.6400000000001</v>
      </c>
      <c r="O143" s="889"/>
      <c r="P143" s="4532">
        <v>588.77999999999986</v>
      </c>
      <c r="Q143" s="2341"/>
      <c r="R143" s="4529">
        <f t="shared" si="381"/>
        <v>1603.42</v>
      </c>
      <c r="S143" s="889"/>
      <c r="T143" s="4532">
        <v>521.72</v>
      </c>
      <c r="U143" s="2341"/>
      <c r="V143" s="4529">
        <f t="shared" si="363"/>
        <v>2125.1400000000003</v>
      </c>
      <c r="W143" s="889"/>
      <c r="X143" s="4532">
        <v>63.24</v>
      </c>
      <c r="Y143" s="2465"/>
      <c r="Z143" s="4533">
        <f t="shared" si="364"/>
        <v>1173.74</v>
      </c>
      <c r="AA143" s="3554"/>
      <c r="AB143" s="4535">
        <f t="shared" si="365"/>
        <v>2188.38</v>
      </c>
      <c r="AC143" s="889"/>
      <c r="AD143" s="4532"/>
      <c r="AE143" s="2341"/>
      <c r="AF143" s="4529">
        <f t="shared" si="366"/>
        <v>2188.38</v>
      </c>
      <c r="AG143" s="889"/>
      <c r="AH143" s="4532"/>
      <c r="AI143" s="2341"/>
      <c r="AJ143" s="4529">
        <f t="shared" si="367"/>
        <v>2188.38</v>
      </c>
      <c r="AK143" s="889"/>
      <c r="AL143" s="4532">
        <v>1475.06</v>
      </c>
      <c r="AM143" s="2465"/>
      <c r="AN143" s="4533">
        <f t="shared" si="368"/>
        <v>1475.06</v>
      </c>
      <c r="AO143" s="2341"/>
      <c r="AP143" s="4529">
        <f t="shared" si="369"/>
        <v>3663.44</v>
      </c>
      <c r="AQ143" s="889"/>
      <c r="AR143" s="4532"/>
      <c r="AS143" s="2341"/>
      <c r="AT143" s="250">
        <f t="shared" si="370"/>
        <v>3663.44</v>
      </c>
      <c r="AU143" s="889"/>
      <c r="AV143" s="4634"/>
      <c r="AW143" s="2341"/>
      <c r="AX143" s="250">
        <f t="shared" si="371"/>
        <v>3663.44</v>
      </c>
      <c r="AY143" s="889"/>
      <c r="AZ143" s="5135">
        <v>510.2</v>
      </c>
      <c r="BA143" s="2465"/>
      <c r="BB143" s="5136">
        <f t="shared" si="377"/>
        <v>510.2</v>
      </c>
      <c r="BC143" s="3554"/>
      <c r="BD143" s="5143">
        <f t="shared" si="373"/>
        <v>1985.26</v>
      </c>
      <c r="BE143" s="2341"/>
      <c r="BF143" s="250">
        <f t="shared" si="374"/>
        <v>4173.6400000000003</v>
      </c>
      <c r="BG143" s="26"/>
      <c r="BH143" s="26"/>
      <c r="BI143" s="26"/>
      <c r="BJ143" s="26"/>
    </row>
    <row r="144" spans="1:62" ht="20.25" x14ac:dyDescent="0.25">
      <c r="A144" s="122"/>
      <c r="B144" s="4544" t="s">
        <v>1051</v>
      </c>
      <c r="C144" s="1523" t="s">
        <v>948</v>
      </c>
      <c r="D144" s="2385"/>
      <c r="E144" s="889"/>
      <c r="F144" s="245">
        <v>59.96</v>
      </c>
      <c r="G144" s="889"/>
      <c r="H144" s="245"/>
      <c r="I144" s="2341"/>
      <c r="J144" s="4529">
        <f t="shared" si="380"/>
        <v>59.96</v>
      </c>
      <c r="K144" s="889"/>
      <c r="L144" s="245">
        <v>39.880000000000003</v>
      </c>
      <c r="M144" s="2465"/>
      <c r="N144" s="4533">
        <f t="shared" si="375"/>
        <v>99.84</v>
      </c>
      <c r="O144" s="889"/>
      <c r="P144" s="245"/>
      <c r="Q144" s="2341"/>
      <c r="R144" s="4529">
        <f t="shared" si="381"/>
        <v>99.84</v>
      </c>
      <c r="S144" s="889"/>
      <c r="T144" s="245">
        <v>0</v>
      </c>
      <c r="U144" s="2341"/>
      <c r="V144" s="4529">
        <f t="shared" si="363"/>
        <v>99.84</v>
      </c>
      <c r="W144" s="889"/>
      <c r="X144" s="245"/>
      <c r="Y144" s="2465"/>
      <c r="Z144" s="4533">
        <f t="shared" si="364"/>
        <v>0</v>
      </c>
      <c r="AA144" s="3554"/>
      <c r="AB144" s="4535">
        <f t="shared" si="365"/>
        <v>99.84</v>
      </c>
      <c r="AC144" s="889"/>
      <c r="AD144" s="245"/>
      <c r="AE144" s="2341"/>
      <c r="AF144" s="4529">
        <f t="shared" si="366"/>
        <v>99.84</v>
      </c>
      <c r="AG144" s="889"/>
      <c r="AH144" s="245"/>
      <c r="AI144" s="2341"/>
      <c r="AJ144" s="4529">
        <f t="shared" si="367"/>
        <v>99.84</v>
      </c>
      <c r="AK144" s="889"/>
      <c r="AL144" s="245"/>
      <c r="AM144" s="2465"/>
      <c r="AN144" s="4533">
        <f t="shared" si="368"/>
        <v>0</v>
      </c>
      <c r="AO144" s="2341"/>
      <c r="AP144" s="4529">
        <f t="shared" si="369"/>
        <v>99.84</v>
      </c>
      <c r="AQ144" s="889"/>
      <c r="AR144" s="245"/>
      <c r="AS144" s="2341"/>
      <c r="AT144" s="250">
        <f t="shared" si="370"/>
        <v>99.84</v>
      </c>
      <c r="AU144" s="889"/>
      <c r="AV144" s="245"/>
      <c r="AW144" s="2341"/>
      <c r="AX144" s="250">
        <f t="shared" si="371"/>
        <v>99.84</v>
      </c>
      <c r="AY144" s="889"/>
      <c r="AZ144" s="245">
        <v>193.14000000000001</v>
      </c>
      <c r="BA144" s="2465"/>
      <c r="BB144" s="5136">
        <f t="shared" si="377"/>
        <v>193.14000000000001</v>
      </c>
      <c r="BC144" s="3554"/>
      <c r="BD144" s="5143">
        <f t="shared" si="373"/>
        <v>193.14000000000001</v>
      </c>
      <c r="BE144" s="2341"/>
      <c r="BF144" s="250">
        <f t="shared" si="374"/>
        <v>292.98</v>
      </c>
      <c r="BG144" s="26"/>
      <c r="BH144" s="26"/>
      <c r="BI144" s="26"/>
      <c r="BJ144" s="26"/>
    </row>
    <row r="145" spans="1:62" s="5192" customFormat="1" ht="20.25" x14ac:dyDescent="0.25">
      <c r="A145" s="122"/>
      <c r="B145" s="4544" t="s">
        <v>1051</v>
      </c>
      <c r="C145" s="4961" t="s">
        <v>996</v>
      </c>
      <c r="D145" s="4714"/>
      <c r="E145" s="5223"/>
      <c r="F145" s="4749"/>
      <c r="G145" s="5223"/>
      <c r="H145" s="4749"/>
      <c r="I145" s="5224"/>
      <c r="J145" s="4750"/>
      <c r="K145" s="5223"/>
      <c r="L145" s="4749"/>
      <c r="M145" s="5225"/>
      <c r="N145" s="4751"/>
      <c r="O145" s="5223"/>
      <c r="P145" s="4749"/>
      <c r="Q145" s="5224"/>
      <c r="R145" s="4750"/>
      <c r="S145" s="5223"/>
      <c r="T145" s="4749"/>
      <c r="U145" s="5224"/>
      <c r="V145" s="4750"/>
      <c r="W145" s="5223"/>
      <c r="X145" s="4749"/>
      <c r="Y145" s="5225"/>
      <c r="Z145" s="4751"/>
      <c r="AA145" s="5226"/>
      <c r="AB145" s="4752"/>
      <c r="AC145" s="5223"/>
      <c r="AD145" s="4749"/>
      <c r="AE145" s="5224"/>
      <c r="AF145" s="4750"/>
      <c r="AG145" s="5223"/>
      <c r="AH145" s="4749"/>
      <c r="AI145" s="5224"/>
      <c r="AJ145" s="4750"/>
      <c r="AK145" s="5223"/>
      <c r="AL145" s="4749"/>
      <c r="AM145" s="5225"/>
      <c r="AN145" s="4751"/>
      <c r="AO145" s="5224"/>
      <c r="AP145" s="4750"/>
      <c r="AQ145" s="5223"/>
      <c r="AR145" s="4749"/>
      <c r="AS145" s="5224"/>
      <c r="AT145" s="250"/>
      <c r="AU145" s="5223"/>
      <c r="AV145" s="4749"/>
      <c r="AW145" s="5224"/>
      <c r="AX145" s="250">
        <f t="shared" si="371"/>
        <v>0</v>
      </c>
      <c r="AY145" s="5223"/>
      <c r="AZ145" s="4749">
        <v>122.5</v>
      </c>
      <c r="BA145" s="5225"/>
      <c r="BB145" s="5186">
        <f t="shared" si="377"/>
        <v>122.5</v>
      </c>
      <c r="BC145" s="5226"/>
      <c r="BD145" s="5187">
        <f t="shared" si="373"/>
        <v>122.5</v>
      </c>
      <c r="BE145" s="5224"/>
      <c r="BF145" s="250">
        <f t="shared" si="374"/>
        <v>122.5</v>
      </c>
      <c r="BG145" s="26"/>
      <c r="BH145" s="26"/>
      <c r="BI145" s="26"/>
      <c r="BJ145" s="26"/>
    </row>
    <row r="146" spans="1:62" ht="20.25" x14ac:dyDescent="0.25">
      <c r="A146" s="122"/>
      <c r="B146" s="4544" t="s">
        <v>1051</v>
      </c>
      <c r="C146" s="1523" t="s">
        <v>943</v>
      </c>
      <c r="D146" s="4530"/>
      <c r="E146" s="4530"/>
      <c r="F146" s="245">
        <v>907.58</v>
      </c>
      <c r="G146" s="4530"/>
      <c r="H146" s="245">
        <v>39.119999999999997</v>
      </c>
      <c r="I146" s="4528"/>
      <c r="J146" s="4529">
        <f t="shared" si="380"/>
        <v>946.7</v>
      </c>
      <c r="K146" s="4530"/>
      <c r="L146" s="245">
        <v>263.08999999999997</v>
      </c>
      <c r="M146" s="4531"/>
      <c r="N146" s="4533">
        <f t="shared" si="375"/>
        <v>1209.79</v>
      </c>
      <c r="O146" s="4530"/>
      <c r="P146" s="245"/>
      <c r="Q146" s="4528"/>
      <c r="R146" s="4529">
        <f t="shared" si="381"/>
        <v>1209.79</v>
      </c>
      <c r="S146" s="4530"/>
      <c r="T146" s="245">
        <v>1005.4200000000001</v>
      </c>
      <c r="U146" s="4528"/>
      <c r="V146" s="4529">
        <f t="shared" si="363"/>
        <v>2215.21</v>
      </c>
      <c r="W146" s="4530"/>
      <c r="X146" s="245"/>
      <c r="Y146" s="4531"/>
      <c r="Z146" s="4533">
        <f t="shared" si="364"/>
        <v>1005.4200000000001</v>
      </c>
      <c r="AA146" s="4534"/>
      <c r="AB146" s="4535">
        <f t="shared" si="365"/>
        <v>2215.21</v>
      </c>
      <c r="AC146" s="4530"/>
      <c r="AD146" s="245"/>
      <c r="AE146" s="4528"/>
      <c r="AF146" s="4529">
        <f t="shared" si="366"/>
        <v>2215.21</v>
      </c>
      <c r="AG146" s="4530"/>
      <c r="AH146" s="245"/>
      <c r="AI146" s="4528"/>
      <c r="AJ146" s="4529">
        <f t="shared" si="367"/>
        <v>2215.21</v>
      </c>
      <c r="AK146" s="4530"/>
      <c r="AL146" s="245">
        <v>488.93999999999994</v>
      </c>
      <c r="AM146" s="4531"/>
      <c r="AN146" s="4533">
        <f t="shared" si="368"/>
        <v>488.93999999999994</v>
      </c>
      <c r="AO146" s="4528"/>
      <c r="AP146" s="4529">
        <f t="shared" si="369"/>
        <v>2704.15</v>
      </c>
      <c r="AQ146" s="4530"/>
      <c r="AR146" s="245">
        <v>3559.0599999999995</v>
      </c>
      <c r="AS146" s="4528"/>
      <c r="AT146" s="250">
        <f t="shared" si="370"/>
        <v>6263.2099999999991</v>
      </c>
      <c r="AU146" s="4632"/>
      <c r="AV146" s="245">
        <v>307.82000000000005</v>
      </c>
      <c r="AW146" s="4633"/>
      <c r="AX146" s="250">
        <f t="shared" si="371"/>
        <v>6571.0299999999988</v>
      </c>
      <c r="AY146" s="5131"/>
      <c r="AZ146" s="245"/>
      <c r="BA146" s="5134"/>
      <c r="BB146" s="5136">
        <f t="shared" si="377"/>
        <v>3866.8799999999997</v>
      </c>
      <c r="BC146" s="5141"/>
      <c r="BD146" s="5143">
        <f t="shared" si="373"/>
        <v>4355.82</v>
      </c>
      <c r="BE146" s="5125"/>
      <c r="BF146" s="250">
        <f t="shared" si="374"/>
        <v>6571.0299999999988</v>
      </c>
      <c r="BG146" s="26"/>
      <c r="BH146" s="26"/>
      <c r="BI146" s="26"/>
      <c r="BJ146" s="26"/>
    </row>
    <row r="147" spans="1:62" ht="20.25" x14ac:dyDescent="0.25">
      <c r="A147" s="122"/>
      <c r="B147" s="4544" t="s">
        <v>1051</v>
      </c>
      <c r="C147" s="1523" t="s">
        <v>1210</v>
      </c>
      <c r="D147" s="4530"/>
      <c r="E147" s="4530"/>
      <c r="F147" s="245"/>
      <c r="G147" s="4530"/>
      <c r="H147" s="245"/>
      <c r="I147" s="4528"/>
      <c r="J147" s="4529">
        <f t="shared" si="380"/>
        <v>0</v>
      </c>
      <c r="K147" s="4530"/>
      <c r="L147" s="245">
        <v>959.63999999999987</v>
      </c>
      <c r="M147" s="4531"/>
      <c r="N147" s="4533">
        <f t="shared" si="375"/>
        <v>959.63999999999987</v>
      </c>
      <c r="O147" s="4530"/>
      <c r="P147" s="245"/>
      <c r="Q147" s="4528"/>
      <c r="R147" s="4529">
        <f t="shared" si="381"/>
        <v>959.63999999999987</v>
      </c>
      <c r="S147" s="4530"/>
      <c r="T147" s="245">
        <v>777.89999999999986</v>
      </c>
      <c r="U147" s="4528"/>
      <c r="V147" s="4529">
        <f t="shared" si="363"/>
        <v>1737.5399999999997</v>
      </c>
      <c r="W147" s="4530"/>
      <c r="X147" s="245"/>
      <c r="Y147" s="4531"/>
      <c r="Z147" s="4533">
        <f t="shared" si="364"/>
        <v>777.89999999999986</v>
      </c>
      <c r="AA147" s="4534"/>
      <c r="AB147" s="4535">
        <f t="shared" si="365"/>
        <v>1737.5399999999997</v>
      </c>
      <c r="AC147" s="4530"/>
      <c r="AD147" s="245"/>
      <c r="AE147" s="4528"/>
      <c r="AF147" s="4529">
        <f t="shared" si="366"/>
        <v>1737.5399999999997</v>
      </c>
      <c r="AG147" s="4530"/>
      <c r="AH147" s="245"/>
      <c r="AI147" s="4528"/>
      <c r="AJ147" s="4529">
        <f t="shared" si="367"/>
        <v>1737.5399999999997</v>
      </c>
      <c r="AK147" s="4530"/>
      <c r="AL147" s="245"/>
      <c r="AM147" s="4531"/>
      <c r="AN147" s="4533">
        <f t="shared" si="368"/>
        <v>0</v>
      </c>
      <c r="AO147" s="4528"/>
      <c r="AP147" s="4529">
        <f t="shared" si="369"/>
        <v>1737.5399999999997</v>
      </c>
      <c r="AQ147" s="4530"/>
      <c r="AR147" s="245">
        <v>369.64</v>
      </c>
      <c r="AS147" s="4528"/>
      <c r="AT147" s="250">
        <f t="shared" si="370"/>
        <v>2107.1799999999998</v>
      </c>
      <c r="AU147" s="4632"/>
      <c r="AV147" s="245">
        <v>933.2</v>
      </c>
      <c r="AW147" s="4633"/>
      <c r="AX147" s="250">
        <f t="shared" si="371"/>
        <v>3040.38</v>
      </c>
      <c r="AY147" s="5131"/>
      <c r="AZ147" s="245"/>
      <c r="BA147" s="5134"/>
      <c r="BB147" s="5136">
        <f t="shared" si="377"/>
        <v>1302.8400000000001</v>
      </c>
      <c r="BC147" s="5141"/>
      <c r="BD147" s="5143">
        <f t="shared" si="373"/>
        <v>1302.8400000000001</v>
      </c>
      <c r="BE147" s="5125"/>
      <c r="BF147" s="250">
        <f t="shared" si="374"/>
        <v>3040.38</v>
      </c>
      <c r="BG147" s="26"/>
      <c r="BH147" s="26"/>
      <c r="BI147" s="26"/>
      <c r="BJ147" s="26"/>
    </row>
    <row r="148" spans="1:62" ht="21" thickBot="1" x14ac:dyDescent="0.3">
      <c r="A148" s="122"/>
      <c r="B148" s="4545" t="s">
        <v>1051</v>
      </c>
      <c r="C148" s="4542" t="s">
        <v>1213</v>
      </c>
      <c r="D148" s="4546"/>
      <c r="E148" s="4546"/>
      <c r="F148" s="4514"/>
      <c r="G148" s="4546"/>
      <c r="H148" s="4514"/>
      <c r="I148" s="4547"/>
      <c r="J148" s="4516"/>
      <c r="K148" s="4546"/>
      <c r="L148" s="4514"/>
      <c r="M148" s="4548"/>
      <c r="N148" s="4518">
        <f t="shared" si="375"/>
        <v>0</v>
      </c>
      <c r="O148" s="4546"/>
      <c r="P148" s="4514"/>
      <c r="Q148" s="4547"/>
      <c r="R148" s="4516">
        <f t="shared" si="381"/>
        <v>0</v>
      </c>
      <c r="S148" s="4546"/>
      <c r="T148" s="4514">
        <v>77.039999999999992</v>
      </c>
      <c r="U148" s="4547"/>
      <c r="V148" s="4516">
        <f t="shared" si="363"/>
        <v>77.039999999999992</v>
      </c>
      <c r="W148" s="4546"/>
      <c r="X148" s="4514">
        <v>65.150000000000006</v>
      </c>
      <c r="Y148" s="4548"/>
      <c r="Z148" s="4518">
        <f t="shared" si="364"/>
        <v>142.19</v>
      </c>
      <c r="AA148" s="4549"/>
      <c r="AB148" s="4520">
        <f t="shared" si="365"/>
        <v>142.19</v>
      </c>
      <c r="AC148" s="4546"/>
      <c r="AD148" s="4514"/>
      <c r="AE148" s="4547"/>
      <c r="AF148" s="4516">
        <f t="shared" si="366"/>
        <v>142.19</v>
      </c>
      <c r="AG148" s="4546"/>
      <c r="AH148" s="4514"/>
      <c r="AI148" s="4547"/>
      <c r="AJ148" s="4516">
        <f t="shared" si="367"/>
        <v>142.19</v>
      </c>
      <c r="AK148" s="4546"/>
      <c r="AL148" s="4514"/>
      <c r="AM148" s="4548"/>
      <c r="AN148" s="4518">
        <f t="shared" si="368"/>
        <v>0</v>
      </c>
      <c r="AO148" s="4547"/>
      <c r="AP148" s="4516">
        <f t="shared" si="369"/>
        <v>142.19</v>
      </c>
      <c r="AQ148" s="4546"/>
      <c r="AR148" s="4514"/>
      <c r="AS148" s="4547"/>
      <c r="AT148" s="4521">
        <f t="shared" si="370"/>
        <v>142.19</v>
      </c>
      <c r="AU148" s="4546"/>
      <c r="AV148" s="4514"/>
      <c r="AW148" s="4547"/>
      <c r="AX148" s="4521">
        <f t="shared" si="371"/>
        <v>142.19</v>
      </c>
      <c r="AY148" s="4546"/>
      <c r="AZ148" s="4514"/>
      <c r="BA148" s="4548"/>
      <c r="BB148" s="4518">
        <f t="shared" si="377"/>
        <v>0</v>
      </c>
      <c r="BC148" s="4549"/>
      <c r="BD148" s="5143">
        <f t="shared" si="373"/>
        <v>0</v>
      </c>
      <c r="BE148" s="4547"/>
      <c r="BF148" s="4521">
        <f t="shared" si="374"/>
        <v>142.19</v>
      </c>
      <c r="BG148" s="26"/>
      <c r="BH148" s="26"/>
      <c r="BI148" s="26"/>
      <c r="BJ148" s="26"/>
    </row>
    <row r="149" spans="1:62" ht="20.25" x14ac:dyDescent="0.25">
      <c r="A149" s="147"/>
      <c r="B149" s="4543" t="s">
        <v>902</v>
      </c>
      <c r="C149" s="4539" t="s">
        <v>1211</v>
      </c>
      <c r="D149" s="4501"/>
      <c r="E149" s="4502"/>
      <c r="F149" s="4503">
        <v>299.74</v>
      </c>
      <c r="G149" s="4502"/>
      <c r="H149" s="4503">
        <v>120.18</v>
      </c>
      <c r="I149" s="4504"/>
      <c r="J149" s="4505">
        <f t="shared" si="380"/>
        <v>419.92</v>
      </c>
      <c r="K149" s="4502"/>
      <c r="L149" s="4503"/>
      <c r="M149" s="4506"/>
      <c r="N149" s="4507">
        <f t="shared" si="375"/>
        <v>419.92</v>
      </c>
      <c r="O149" s="4502"/>
      <c r="P149" s="4503">
        <v>59.94</v>
      </c>
      <c r="Q149" s="4504"/>
      <c r="R149" s="4505">
        <f t="shared" si="381"/>
        <v>479.86</v>
      </c>
      <c r="S149" s="4502"/>
      <c r="T149" s="4503">
        <v>0</v>
      </c>
      <c r="U149" s="4504"/>
      <c r="V149" s="4505">
        <f t="shared" si="363"/>
        <v>479.86</v>
      </c>
      <c r="W149" s="4502"/>
      <c r="X149" s="4503">
        <v>505.70000000000005</v>
      </c>
      <c r="Y149" s="4506"/>
      <c r="Z149" s="4507">
        <f t="shared" si="364"/>
        <v>565.6400000000001</v>
      </c>
      <c r="AA149" s="4508"/>
      <c r="AB149" s="4509">
        <f t="shared" si="365"/>
        <v>985.56000000000017</v>
      </c>
      <c r="AC149" s="4502"/>
      <c r="AD149" s="4503">
        <v>548.70000000000005</v>
      </c>
      <c r="AE149" s="4504"/>
      <c r="AF149" s="4505">
        <f t="shared" si="366"/>
        <v>1534.2600000000002</v>
      </c>
      <c r="AG149" s="4502"/>
      <c r="AH149" s="4503">
        <v>477.56000000000006</v>
      </c>
      <c r="AI149" s="4504"/>
      <c r="AJ149" s="4505">
        <f t="shared" si="367"/>
        <v>2011.8200000000002</v>
      </c>
      <c r="AK149" s="4502"/>
      <c r="AL149" s="4503"/>
      <c r="AM149" s="4506"/>
      <c r="AN149" s="4507">
        <f t="shared" si="368"/>
        <v>1026.2600000000002</v>
      </c>
      <c r="AO149" s="4504"/>
      <c r="AP149" s="4505">
        <f t="shared" si="369"/>
        <v>2011.8200000000002</v>
      </c>
      <c r="AQ149" s="4502"/>
      <c r="AR149" s="4503"/>
      <c r="AS149" s="4504"/>
      <c r="AT149" s="2340">
        <f t="shared" si="370"/>
        <v>2011.8200000000002</v>
      </c>
      <c r="AU149" s="4502"/>
      <c r="AV149" s="4503"/>
      <c r="AW149" s="4504"/>
      <c r="AX149" s="2340">
        <f t="shared" si="371"/>
        <v>2011.8200000000002</v>
      </c>
      <c r="AY149" s="4502"/>
      <c r="AZ149" s="4503"/>
      <c r="BA149" s="4506"/>
      <c r="BB149" s="4507">
        <f t="shared" si="377"/>
        <v>0</v>
      </c>
      <c r="BC149" s="4508"/>
      <c r="BD149" s="5143">
        <f t="shared" si="373"/>
        <v>1026.2600000000002</v>
      </c>
      <c r="BE149" s="4504"/>
      <c r="BF149" s="2340">
        <f t="shared" si="374"/>
        <v>2011.8200000000002</v>
      </c>
      <c r="BG149" s="26"/>
      <c r="BH149" s="26"/>
      <c r="BI149" s="26"/>
      <c r="BJ149" s="26"/>
    </row>
    <row r="150" spans="1:62" ht="20.25" customHeight="1" x14ac:dyDescent="0.25">
      <c r="A150" s="122"/>
      <c r="B150" s="4544" t="s">
        <v>902</v>
      </c>
      <c r="C150" s="1523" t="s">
        <v>914</v>
      </c>
      <c r="D150" s="2385"/>
      <c r="E150" s="889"/>
      <c r="F150" s="245">
        <v>172.04</v>
      </c>
      <c r="G150" s="889"/>
      <c r="H150" s="245">
        <v>61.12</v>
      </c>
      <c r="I150" s="2341"/>
      <c r="J150" s="4529">
        <f t="shared" si="380"/>
        <v>233.16</v>
      </c>
      <c r="K150" s="889"/>
      <c r="L150" s="245"/>
      <c r="M150" s="2465"/>
      <c r="N150" s="4533">
        <f t="shared" si="375"/>
        <v>233.16</v>
      </c>
      <c r="O150" s="889"/>
      <c r="P150" s="245"/>
      <c r="Q150" s="2341"/>
      <c r="R150" s="4529">
        <f t="shared" si="381"/>
        <v>233.16</v>
      </c>
      <c r="S150" s="889"/>
      <c r="T150" s="245">
        <v>0</v>
      </c>
      <c r="U150" s="2341"/>
      <c r="V150" s="4529">
        <f t="shared" si="363"/>
        <v>233.16</v>
      </c>
      <c r="W150" s="889"/>
      <c r="X150" s="245">
        <v>437.5</v>
      </c>
      <c r="Y150" s="2465"/>
      <c r="Z150" s="4533">
        <f t="shared" si="364"/>
        <v>437.5</v>
      </c>
      <c r="AA150" s="3554"/>
      <c r="AB150" s="4535">
        <f t="shared" si="365"/>
        <v>670.66</v>
      </c>
      <c r="AC150" s="889"/>
      <c r="AD150" s="245">
        <v>407.1</v>
      </c>
      <c r="AE150" s="2341"/>
      <c r="AF150" s="4529">
        <f t="shared" si="366"/>
        <v>1077.76</v>
      </c>
      <c r="AG150" s="889"/>
      <c r="AH150" s="245">
        <v>303.58</v>
      </c>
      <c r="AI150" s="2341"/>
      <c r="AJ150" s="4529">
        <f t="shared" si="367"/>
        <v>1381.34</v>
      </c>
      <c r="AK150" s="889"/>
      <c r="AL150" s="245"/>
      <c r="AM150" s="2465"/>
      <c r="AN150" s="4533">
        <f t="shared" si="368"/>
        <v>710.68000000000006</v>
      </c>
      <c r="AO150" s="2341"/>
      <c r="AP150" s="4529">
        <f t="shared" si="369"/>
        <v>1381.34</v>
      </c>
      <c r="AQ150" s="889"/>
      <c r="AR150" s="245"/>
      <c r="AS150" s="2341"/>
      <c r="AT150" s="250">
        <f t="shared" si="370"/>
        <v>1381.34</v>
      </c>
      <c r="AU150" s="889"/>
      <c r="AV150" s="245"/>
      <c r="AW150" s="2341"/>
      <c r="AX150" s="250">
        <f t="shared" si="371"/>
        <v>1381.34</v>
      </c>
      <c r="AY150" s="889"/>
      <c r="AZ150" s="245"/>
      <c r="BA150" s="2465"/>
      <c r="BB150" s="5136">
        <f t="shared" si="377"/>
        <v>0</v>
      </c>
      <c r="BC150" s="3554"/>
      <c r="BD150" s="5143">
        <f t="shared" si="373"/>
        <v>710.68000000000006</v>
      </c>
      <c r="BE150" s="2341"/>
      <c r="BF150" s="250">
        <f t="shared" si="374"/>
        <v>1381.34</v>
      </c>
      <c r="BG150" s="26"/>
      <c r="BH150" s="26"/>
      <c r="BI150" s="26"/>
      <c r="BJ150" s="26"/>
    </row>
    <row r="151" spans="1:62" ht="19.5" customHeight="1" x14ac:dyDescent="0.25">
      <c r="A151" s="188"/>
      <c r="B151" s="4544" t="s">
        <v>902</v>
      </c>
      <c r="C151" s="1523" t="s">
        <v>1044</v>
      </c>
      <c r="D151" s="1523"/>
      <c r="E151" s="889"/>
      <c r="F151" s="245"/>
      <c r="G151" s="889"/>
      <c r="H151" s="245"/>
      <c r="I151" s="2341"/>
      <c r="J151" s="4529"/>
      <c r="K151" s="889"/>
      <c r="L151" s="245"/>
      <c r="M151" s="2465"/>
      <c r="N151" s="4533">
        <f t="shared" si="375"/>
        <v>0</v>
      </c>
      <c r="O151" s="889"/>
      <c r="P151" s="245"/>
      <c r="Q151" s="2341"/>
      <c r="R151" s="4529">
        <f t="shared" si="381"/>
        <v>0</v>
      </c>
      <c r="S151" s="889"/>
      <c r="T151" s="245"/>
      <c r="U151" s="2341"/>
      <c r="V151" s="4529">
        <f t="shared" ref="V151" si="384">R151+T151</f>
        <v>0</v>
      </c>
      <c r="W151" s="889"/>
      <c r="X151" s="245">
        <v>129.18</v>
      </c>
      <c r="Y151" s="2465"/>
      <c r="Z151" s="4533">
        <f t="shared" si="364"/>
        <v>129.18</v>
      </c>
      <c r="AA151" s="3554"/>
      <c r="AB151" s="4535">
        <f t="shared" si="365"/>
        <v>129.18</v>
      </c>
      <c r="AC151" s="889"/>
      <c r="AD151" s="245"/>
      <c r="AE151" s="2341"/>
      <c r="AF151" s="4529">
        <f t="shared" si="366"/>
        <v>129.18</v>
      </c>
      <c r="AG151" s="889"/>
      <c r="AH151" s="245"/>
      <c r="AI151" s="2341"/>
      <c r="AJ151" s="4529">
        <f t="shared" si="367"/>
        <v>129.18</v>
      </c>
      <c r="AK151" s="889"/>
      <c r="AL151" s="245"/>
      <c r="AM151" s="2465"/>
      <c r="AN151" s="4533">
        <f t="shared" si="368"/>
        <v>0</v>
      </c>
      <c r="AO151" s="2341"/>
      <c r="AP151" s="4529">
        <f t="shared" si="369"/>
        <v>129.18</v>
      </c>
      <c r="AQ151" s="889"/>
      <c r="AR151" s="245"/>
      <c r="AS151" s="2341"/>
      <c r="AT151" s="250">
        <f t="shared" si="370"/>
        <v>129.18</v>
      </c>
      <c r="AU151" s="889"/>
      <c r="AV151" s="245"/>
      <c r="AW151" s="2341"/>
      <c r="AX151" s="250">
        <f t="shared" si="371"/>
        <v>129.18</v>
      </c>
      <c r="AY151" s="889"/>
      <c r="AZ151" s="245"/>
      <c r="BA151" s="2465"/>
      <c r="BB151" s="5136">
        <f t="shared" si="377"/>
        <v>0</v>
      </c>
      <c r="BC151" s="3554"/>
      <c r="BD151" s="5143">
        <f t="shared" si="373"/>
        <v>0</v>
      </c>
      <c r="BE151" s="2341"/>
      <c r="BF151" s="250">
        <f t="shared" si="374"/>
        <v>129.18</v>
      </c>
      <c r="BG151" s="26"/>
      <c r="BH151" s="26"/>
      <c r="BI151" s="26"/>
      <c r="BJ151" s="26"/>
    </row>
    <row r="152" spans="1:62" s="4101" customFormat="1" ht="20.25" x14ac:dyDescent="0.25">
      <c r="A152" s="122"/>
      <c r="B152" s="4544" t="s">
        <v>902</v>
      </c>
      <c r="C152" s="1523" t="s">
        <v>948</v>
      </c>
      <c r="D152" s="2385"/>
      <c r="E152" s="889"/>
      <c r="F152" s="245"/>
      <c r="G152" s="889"/>
      <c r="H152" s="245"/>
      <c r="I152" s="2341"/>
      <c r="J152" s="4529"/>
      <c r="K152" s="889"/>
      <c r="L152" s="245"/>
      <c r="M152" s="2465"/>
      <c r="N152" s="4533">
        <f t="shared" si="375"/>
        <v>0</v>
      </c>
      <c r="O152" s="889"/>
      <c r="P152" s="245"/>
      <c r="Q152" s="2341"/>
      <c r="R152" s="4529"/>
      <c r="S152" s="889"/>
      <c r="T152" s="245"/>
      <c r="U152" s="2341"/>
      <c r="V152" s="4529"/>
      <c r="W152" s="889"/>
      <c r="X152" s="245"/>
      <c r="Y152" s="2465"/>
      <c r="Z152" s="4533">
        <f t="shared" ref="Z152" si="385">P152+T152+X152</f>
        <v>0</v>
      </c>
      <c r="AA152" s="3554"/>
      <c r="AB152" s="4535">
        <f t="shared" ref="AB152" si="386">N152+Z152</f>
        <v>0</v>
      </c>
      <c r="AC152" s="889"/>
      <c r="AD152" s="245">
        <v>273.47000000000003</v>
      </c>
      <c r="AE152" s="2341"/>
      <c r="AF152" s="4529">
        <f t="shared" si="366"/>
        <v>273.47000000000003</v>
      </c>
      <c r="AG152" s="889"/>
      <c r="AH152" s="245">
        <v>375.58000000000004</v>
      </c>
      <c r="AI152" s="2341"/>
      <c r="AJ152" s="4529">
        <f t="shared" si="367"/>
        <v>649.05000000000007</v>
      </c>
      <c r="AK152" s="889"/>
      <c r="AL152" s="245"/>
      <c r="AM152" s="2465"/>
      <c r="AN152" s="4533">
        <f t="shared" si="368"/>
        <v>649.05000000000007</v>
      </c>
      <c r="AO152" s="2341"/>
      <c r="AP152" s="4529">
        <f t="shared" ref="AP152:AP186" si="387">AJ152+AL152</f>
        <v>649.05000000000007</v>
      </c>
      <c r="AQ152" s="889"/>
      <c r="AR152" s="245"/>
      <c r="AS152" s="2341"/>
      <c r="AT152" s="250">
        <f t="shared" si="370"/>
        <v>649.05000000000007</v>
      </c>
      <c r="AU152" s="889"/>
      <c r="AV152" s="245"/>
      <c r="AW152" s="2341"/>
      <c r="AX152" s="250">
        <f t="shared" si="371"/>
        <v>649.05000000000007</v>
      </c>
      <c r="AY152" s="889"/>
      <c r="AZ152" s="245"/>
      <c r="BA152" s="2465"/>
      <c r="BB152" s="5136">
        <f t="shared" si="377"/>
        <v>0</v>
      </c>
      <c r="BC152" s="3554"/>
      <c r="BD152" s="5143">
        <f t="shared" si="373"/>
        <v>649.05000000000007</v>
      </c>
      <c r="BE152" s="2341"/>
      <c r="BF152" s="250">
        <f t="shared" si="374"/>
        <v>649.05000000000007</v>
      </c>
      <c r="BG152" s="26"/>
      <c r="BH152" s="26"/>
      <c r="BI152" s="26"/>
      <c r="BJ152" s="26"/>
    </row>
    <row r="153" spans="1:62" ht="19.5" customHeight="1" x14ac:dyDescent="0.25">
      <c r="A153" s="188"/>
      <c r="B153" s="4544" t="s">
        <v>902</v>
      </c>
      <c r="C153" s="1523" t="s">
        <v>1420</v>
      </c>
      <c r="D153" s="1523"/>
      <c r="E153" s="889"/>
      <c r="F153" s="245"/>
      <c r="G153" s="889"/>
      <c r="H153" s="245"/>
      <c r="I153" s="2341"/>
      <c r="J153" s="4529"/>
      <c r="K153" s="889"/>
      <c r="L153" s="245"/>
      <c r="M153" s="2465"/>
      <c r="N153" s="4533">
        <f t="shared" si="375"/>
        <v>0</v>
      </c>
      <c r="O153" s="889"/>
      <c r="P153" s="245"/>
      <c r="Q153" s="2341"/>
      <c r="R153" s="4529">
        <f t="shared" ref="R153" si="388">N153+P153</f>
        <v>0</v>
      </c>
      <c r="S153" s="889"/>
      <c r="T153" s="245"/>
      <c r="U153" s="2341"/>
      <c r="V153" s="4529">
        <f t="shared" si="363"/>
        <v>0</v>
      </c>
      <c r="W153" s="889"/>
      <c r="X153" s="245">
        <v>296.36</v>
      </c>
      <c r="Y153" s="2465"/>
      <c r="Z153" s="4533">
        <f t="shared" si="364"/>
        <v>296.36</v>
      </c>
      <c r="AA153" s="3554"/>
      <c r="AB153" s="4535">
        <f t="shared" si="365"/>
        <v>296.36</v>
      </c>
      <c r="AC153" s="889"/>
      <c r="AD153" s="245">
        <v>321.96000000000004</v>
      </c>
      <c r="AE153" s="2341"/>
      <c r="AF153" s="4529">
        <f t="shared" si="366"/>
        <v>618.32000000000005</v>
      </c>
      <c r="AG153" s="889"/>
      <c r="AH153" s="245"/>
      <c r="AI153" s="2341"/>
      <c r="AJ153" s="4529">
        <f t="shared" si="367"/>
        <v>618.32000000000005</v>
      </c>
      <c r="AK153" s="889"/>
      <c r="AL153" s="245"/>
      <c r="AM153" s="2465"/>
      <c r="AN153" s="4533">
        <f t="shared" si="368"/>
        <v>321.96000000000004</v>
      </c>
      <c r="AO153" s="2341"/>
      <c r="AP153" s="4529">
        <f t="shared" si="387"/>
        <v>618.32000000000005</v>
      </c>
      <c r="AQ153" s="889"/>
      <c r="AR153" s="245"/>
      <c r="AS153" s="2341"/>
      <c r="AT153" s="250">
        <f t="shared" si="370"/>
        <v>618.32000000000005</v>
      </c>
      <c r="AU153" s="889"/>
      <c r="AV153" s="245"/>
      <c r="AW153" s="2341"/>
      <c r="AX153" s="250">
        <f t="shared" si="371"/>
        <v>618.32000000000005</v>
      </c>
      <c r="AY153" s="889"/>
      <c r="AZ153" s="245"/>
      <c r="BA153" s="2465"/>
      <c r="BB153" s="5136">
        <f t="shared" si="377"/>
        <v>0</v>
      </c>
      <c r="BC153" s="3554"/>
      <c r="BD153" s="5143">
        <f t="shared" si="373"/>
        <v>321.96000000000004</v>
      </c>
      <c r="BE153" s="2341"/>
      <c r="BF153" s="250">
        <f t="shared" si="374"/>
        <v>618.32000000000005</v>
      </c>
      <c r="BG153" s="26"/>
      <c r="BH153" s="26"/>
      <c r="BI153" s="26"/>
      <c r="BJ153" s="26"/>
    </row>
    <row r="154" spans="1:62" ht="20.25" x14ac:dyDescent="0.25">
      <c r="A154" s="122"/>
      <c r="B154" s="4544" t="s">
        <v>902</v>
      </c>
      <c r="C154" s="1523" t="s">
        <v>942</v>
      </c>
      <c r="D154" s="4530"/>
      <c r="E154" s="4530"/>
      <c r="F154" s="245">
        <v>974.60000000000014</v>
      </c>
      <c r="G154" s="4530"/>
      <c r="H154" s="245">
        <v>1283.6599999999999</v>
      </c>
      <c r="I154" s="4528"/>
      <c r="J154" s="4529">
        <f t="shared" si="380"/>
        <v>2258.2600000000002</v>
      </c>
      <c r="K154" s="4530"/>
      <c r="L154" s="245">
        <v>642.1</v>
      </c>
      <c r="M154" s="4531"/>
      <c r="N154" s="4533">
        <f t="shared" si="375"/>
        <v>2900.36</v>
      </c>
      <c r="O154" s="4530"/>
      <c r="P154" s="245">
        <v>974.78</v>
      </c>
      <c r="Q154" s="4528"/>
      <c r="R154" s="4529">
        <f t="shared" si="381"/>
        <v>3875.1400000000003</v>
      </c>
      <c r="S154" s="4530"/>
      <c r="T154" s="245">
        <v>1153.98</v>
      </c>
      <c r="U154" s="4528"/>
      <c r="V154" s="4529">
        <f t="shared" si="363"/>
        <v>5029.1200000000008</v>
      </c>
      <c r="W154" s="4530"/>
      <c r="X154" s="245">
        <v>1309.1599999999996</v>
      </c>
      <c r="Y154" s="4531"/>
      <c r="Z154" s="4533">
        <f t="shared" si="364"/>
        <v>3437.92</v>
      </c>
      <c r="AA154" s="4534"/>
      <c r="AB154" s="4535">
        <f t="shared" si="365"/>
        <v>6338.2800000000007</v>
      </c>
      <c r="AC154" s="4530"/>
      <c r="AD154" s="245">
        <v>652.99999999999989</v>
      </c>
      <c r="AE154" s="4528"/>
      <c r="AF154" s="4529">
        <f t="shared" si="366"/>
        <v>6991.2800000000007</v>
      </c>
      <c r="AG154" s="4530"/>
      <c r="AH154" s="245">
        <v>63.24</v>
      </c>
      <c r="AI154" s="4528"/>
      <c r="AJ154" s="4529">
        <f t="shared" si="367"/>
        <v>7054.52</v>
      </c>
      <c r="AK154" s="4530"/>
      <c r="AL154" s="245"/>
      <c r="AM154" s="4531"/>
      <c r="AN154" s="4533">
        <f t="shared" si="368"/>
        <v>716.2399999999999</v>
      </c>
      <c r="AO154" s="4528"/>
      <c r="AP154" s="4529">
        <f t="shared" si="387"/>
        <v>7054.52</v>
      </c>
      <c r="AQ154" s="4530"/>
      <c r="AR154" s="245">
        <v>736.82</v>
      </c>
      <c r="AS154" s="4528"/>
      <c r="AT154" s="250">
        <f t="shared" si="370"/>
        <v>7791.34</v>
      </c>
      <c r="AU154" s="4632"/>
      <c r="AV154" s="245">
        <v>184.28</v>
      </c>
      <c r="AW154" s="4633"/>
      <c r="AX154" s="250">
        <f t="shared" si="371"/>
        <v>7975.62</v>
      </c>
      <c r="AY154" s="5131"/>
      <c r="AZ154" s="245">
        <v>983.64</v>
      </c>
      <c r="BA154" s="5134"/>
      <c r="BB154" s="5136">
        <f t="shared" si="377"/>
        <v>1904.74</v>
      </c>
      <c r="BC154" s="5141"/>
      <c r="BD154" s="5143">
        <f t="shared" ref="BD154:BD185" si="389">AN154+BB154</f>
        <v>2620.98</v>
      </c>
      <c r="BE154" s="5125"/>
      <c r="BF154" s="250">
        <f t="shared" si="374"/>
        <v>8959.26</v>
      </c>
      <c r="BG154" s="26"/>
      <c r="BH154" s="26"/>
      <c r="BI154" s="26"/>
      <c r="BJ154" s="26"/>
    </row>
    <row r="155" spans="1:62" ht="20.25" customHeight="1" x14ac:dyDescent="0.25">
      <c r="A155" s="122"/>
      <c r="B155" s="4544" t="s">
        <v>902</v>
      </c>
      <c r="C155" s="1523" t="s">
        <v>996</v>
      </c>
      <c r="D155" s="2385"/>
      <c r="E155" s="889"/>
      <c r="F155" s="245">
        <v>123.53999999999999</v>
      </c>
      <c r="G155" s="889"/>
      <c r="H155" s="245"/>
      <c r="I155" s="2341"/>
      <c r="J155" s="4529">
        <f t="shared" si="380"/>
        <v>123.53999999999999</v>
      </c>
      <c r="K155" s="889"/>
      <c r="L155" s="245">
        <v>60.76</v>
      </c>
      <c r="M155" s="2465"/>
      <c r="N155" s="4533">
        <f t="shared" si="375"/>
        <v>184.29999999999998</v>
      </c>
      <c r="O155" s="889"/>
      <c r="P155" s="245"/>
      <c r="Q155" s="2341"/>
      <c r="R155" s="4529">
        <f t="shared" si="381"/>
        <v>184.29999999999998</v>
      </c>
      <c r="S155" s="889"/>
      <c r="T155" s="245">
        <v>61.64</v>
      </c>
      <c r="U155" s="2341"/>
      <c r="V155" s="4529">
        <f t="shared" si="363"/>
        <v>245.94</v>
      </c>
      <c r="W155" s="889"/>
      <c r="X155" s="245">
        <v>125.6</v>
      </c>
      <c r="Y155" s="2465"/>
      <c r="Z155" s="4533">
        <f t="shared" ref="Z155:Z184" si="390">P155+T155+X155</f>
        <v>187.24</v>
      </c>
      <c r="AA155" s="3554"/>
      <c r="AB155" s="4535">
        <f t="shared" ref="AB155:AB185" si="391">N155+Z155</f>
        <v>371.53999999999996</v>
      </c>
      <c r="AC155" s="889"/>
      <c r="AD155" s="245">
        <v>69.319999999999993</v>
      </c>
      <c r="AE155" s="2341"/>
      <c r="AF155" s="4529">
        <f t="shared" si="366"/>
        <v>440.85999999999996</v>
      </c>
      <c r="AG155" s="889"/>
      <c r="AH155" s="245"/>
      <c r="AI155" s="2341"/>
      <c r="AJ155" s="4529">
        <f t="shared" si="367"/>
        <v>440.85999999999996</v>
      </c>
      <c r="AK155" s="889"/>
      <c r="AL155" s="245"/>
      <c r="AM155" s="2465"/>
      <c r="AN155" s="4533">
        <f t="shared" ref="AN155:AN186" si="392">AD155+AH155+AL155</f>
        <v>69.319999999999993</v>
      </c>
      <c r="AO155" s="2341"/>
      <c r="AP155" s="4529">
        <f t="shared" si="387"/>
        <v>440.85999999999996</v>
      </c>
      <c r="AQ155" s="889"/>
      <c r="AR155" s="245"/>
      <c r="AS155" s="2341"/>
      <c r="AT155" s="250">
        <f t="shared" si="370"/>
        <v>440.85999999999996</v>
      </c>
      <c r="AU155" s="889"/>
      <c r="AV155" s="245"/>
      <c r="AW155" s="2341"/>
      <c r="AX155" s="250">
        <f t="shared" si="371"/>
        <v>440.85999999999996</v>
      </c>
      <c r="AY155" s="889"/>
      <c r="AZ155" s="245">
        <v>181.98000000000002</v>
      </c>
      <c r="BA155" s="2465"/>
      <c r="BB155" s="5136">
        <f t="shared" si="377"/>
        <v>181.98000000000002</v>
      </c>
      <c r="BC155" s="3554"/>
      <c r="BD155" s="5143">
        <f t="shared" si="389"/>
        <v>251.3</v>
      </c>
      <c r="BE155" s="2341"/>
      <c r="BF155" s="250">
        <f t="shared" si="374"/>
        <v>622.83999999999992</v>
      </c>
      <c r="BG155" s="26"/>
      <c r="BH155" s="26"/>
      <c r="BI155" s="26"/>
      <c r="BJ155" s="26"/>
    </row>
    <row r="156" spans="1:62" ht="20.25" customHeight="1" x14ac:dyDescent="0.25">
      <c r="A156" s="122"/>
      <c r="B156" s="4544" t="s">
        <v>902</v>
      </c>
      <c r="C156" s="1523" t="s">
        <v>1704</v>
      </c>
      <c r="D156" s="2385"/>
      <c r="E156" s="889"/>
      <c r="F156" s="245"/>
      <c r="G156" s="889"/>
      <c r="H156" s="245"/>
      <c r="I156" s="2341"/>
      <c r="J156" s="4529"/>
      <c r="K156" s="889"/>
      <c r="L156" s="245"/>
      <c r="M156" s="2465"/>
      <c r="N156" s="4533">
        <f t="shared" ref="N156:N185" si="393">F156+H156+L156</f>
        <v>0</v>
      </c>
      <c r="O156" s="889"/>
      <c r="P156" s="245">
        <v>126.66</v>
      </c>
      <c r="Q156" s="2341"/>
      <c r="R156" s="4529">
        <f t="shared" si="381"/>
        <v>126.66</v>
      </c>
      <c r="S156" s="889"/>
      <c r="T156" s="245">
        <v>0</v>
      </c>
      <c r="U156" s="2341"/>
      <c r="V156" s="4529">
        <f t="shared" si="363"/>
        <v>126.66</v>
      </c>
      <c r="W156" s="889"/>
      <c r="X156" s="245"/>
      <c r="Y156" s="2465"/>
      <c r="Z156" s="4533">
        <f t="shared" si="390"/>
        <v>126.66</v>
      </c>
      <c r="AA156" s="3554"/>
      <c r="AB156" s="4535">
        <f t="shared" si="391"/>
        <v>126.66</v>
      </c>
      <c r="AC156" s="889"/>
      <c r="AD156" s="245"/>
      <c r="AE156" s="2341"/>
      <c r="AF156" s="4529">
        <f t="shared" si="366"/>
        <v>126.66</v>
      </c>
      <c r="AG156" s="889"/>
      <c r="AH156" s="245"/>
      <c r="AI156" s="2341"/>
      <c r="AJ156" s="4529">
        <f t="shared" si="367"/>
        <v>126.66</v>
      </c>
      <c r="AK156" s="889"/>
      <c r="AL156" s="245"/>
      <c r="AM156" s="2465"/>
      <c r="AN156" s="4533">
        <f t="shared" si="392"/>
        <v>0</v>
      </c>
      <c r="AO156" s="2341"/>
      <c r="AP156" s="4529">
        <f t="shared" si="387"/>
        <v>126.66</v>
      </c>
      <c r="AQ156" s="889"/>
      <c r="AR156" s="245"/>
      <c r="AS156" s="2341"/>
      <c r="AT156" s="250">
        <f t="shared" si="370"/>
        <v>126.66</v>
      </c>
      <c r="AU156" s="889"/>
      <c r="AV156" s="245"/>
      <c r="AW156" s="2341"/>
      <c r="AX156" s="250">
        <f t="shared" si="371"/>
        <v>126.66</v>
      </c>
      <c r="AY156" s="889"/>
      <c r="AZ156" s="245"/>
      <c r="BA156" s="2465"/>
      <c r="BB156" s="5136">
        <f t="shared" si="377"/>
        <v>0</v>
      </c>
      <c r="BC156" s="3554"/>
      <c r="BD156" s="5143">
        <f t="shared" si="389"/>
        <v>0</v>
      </c>
      <c r="BE156" s="2341"/>
      <c r="BF156" s="250">
        <f t="shared" si="374"/>
        <v>126.66</v>
      </c>
      <c r="BG156" s="26"/>
      <c r="BH156" s="26"/>
      <c r="BI156" s="26"/>
      <c r="BJ156" s="26"/>
    </row>
    <row r="157" spans="1:62" ht="20.25" customHeight="1" x14ac:dyDescent="0.25">
      <c r="A157" s="122"/>
      <c r="B157" s="4544" t="s">
        <v>902</v>
      </c>
      <c r="C157" s="1523" t="s">
        <v>1625</v>
      </c>
      <c r="D157" s="2385"/>
      <c r="E157" s="889"/>
      <c r="F157" s="245"/>
      <c r="G157" s="889"/>
      <c r="H157" s="245"/>
      <c r="I157" s="2341"/>
      <c r="J157" s="4529"/>
      <c r="K157" s="889"/>
      <c r="L157" s="245"/>
      <c r="M157" s="2465"/>
      <c r="N157" s="4533">
        <f t="shared" si="393"/>
        <v>0</v>
      </c>
      <c r="O157" s="889"/>
      <c r="P157" s="245">
        <v>118</v>
      </c>
      <c r="Q157" s="2341"/>
      <c r="R157" s="4529">
        <f t="shared" si="381"/>
        <v>118</v>
      </c>
      <c r="S157" s="889"/>
      <c r="T157" s="245">
        <v>0</v>
      </c>
      <c r="U157" s="2341"/>
      <c r="V157" s="4529">
        <f t="shared" si="363"/>
        <v>118</v>
      </c>
      <c r="W157" s="889"/>
      <c r="X157" s="245"/>
      <c r="Y157" s="2465"/>
      <c r="Z157" s="4533">
        <f t="shared" si="390"/>
        <v>118</v>
      </c>
      <c r="AA157" s="3554"/>
      <c r="AB157" s="4535">
        <f t="shared" si="391"/>
        <v>118</v>
      </c>
      <c r="AC157" s="889"/>
      <c r="AD157" s="245"/>
      <c r="AE157" s="2341"/>
      <c r="AF157" s="4529">
        <f t="shared" si="366"/>
        <v>118</v>
      </c>
      <c r="AG157" s="889"/>
      <c r="AH157" s="245"/>
      <c r="AI157" s="2341"/>
      <c r="AJ157" s="4529">
        <f t="shared" si="367"/>
        <v>118</v>
      </c>
      <c r="AK157" s="889"/>
      <c r="AL157" s="245"/>
      <c r="AM157" s="2465"/>
      <c r="AN157" s="4533">
        <f t="shared" si="392"/>
        <v>0</v>
      </c>
      <c r="AO157" s="2341"/>
      <c r="AP157" s="4529">
        <f t="shared" si="387"/>
        <v>118</v>
      </c>
      <c r="AQ157" s="889"/>
      <c r="AR157" s="245"/>
      <c r="AS157" s="2341"/>
      <c r="AT157" s="250">
        <f t="shared" si="370"/>
        <v>118</v>
      </c>
      <c r="AU157" s="889"/>
      <c r="AV157" s="245"/>
      <c r="AW157" s="2341"/>
      <c r="AX157" s="250">
        <f t="shared" si="371"/>
        <v>118</v>
      </c>
      <c r="AY157" s="889"/>
      <c r="AZ157" s="245"/>
      <c r="BA157" s="2465"/>
      <c r="BB157" s="5136">
        <f t="shared" si="377"/>
        <v>0</v>
      </c>
      <c r="BC157" s="3554"/>
      <c r="BD157" s="5143">
        <f t="shared" si="389"/>
        <v>0</v>
      </c>
      <c r="BE157" s="2341"/>
      <c r="BF157" s="250">
        <f t="shared" si="374"/>
        <v>118</v>
      </c>
      <c r="BG157" s="26"/>
      <c r="BH157" s="26"/>
      <c r="BI157" s="26"/>
      <c r="BJ157" s="26"/>
    </row>
    <row r="158" spans="1:62" ht="20.25" customHeight="1" x14ac:dyDescent="0.25">
      <c r="A158" s="122"/>
      <c r="B158" s="4544" t="s">
        <v>902</v>
      </c>
      <c r="C158" s="1523" t="s">
        <v>1703</v>
      </c>
      <c r="D158" s="2385"/>
      <c r="E158" s="889"/>
      <c r="F158" s="245"/>
      <c r="G158" s="889"/>
      <c r="H158" s="245"/>
      <c r="I158" s="2341"/>
      <c r="J158" s="4529"/>
      <c r="K158" s="889"/>
      <c r="L158" s="245"/>
      <c r="M158" s="2465"/>
      <c r="N158" s="4533">
        <f t="shared" si="393"/>
        <v>0</v>
      </c>
      <c r="O158" s="889"/>
      <c r="P158" s="245">
        <v>121.16</v>
      </c>
      <c r="Q158" s="2341"/>
      <c r="R158" s="4529">
        <f t="shared" si="381"/>
        <v>121.16</v>
      </c>
      <c r="S158" s="889"/>
      <c r="T158" s="245">
        <v>0</v>
      </c>
      <c r="U158" s="2341"/>
      <c r="V158" s="4529">
        <f t="shared" si="363"/>
        <v>121.16</v>
      </c>
      <c r="W158" s="889"/>
      <c r="X158" s="245"/>
      <c r="Y158" s="2465"/>
      <c r="Z158" s="4533">
        <f t="shared" si="390"/>
        <v>121.16</v>
      </c>
      <c r="AA158" s="3554"/>
      <c r="AB158" s="4535">
        <f t="shared" si="391"/>
        <v>121.16</v>
      </c>
      <c r="AC158" s="889"/>
      <c r="AD158" s="245"/>
      <c r="AE158" s="2341"/>
      <c r="AF158" s="4529">
        <f t="shared" si="366"/>
        <v>121.16</v>
      </c>
      <c r="AG158" s="889"/>
      <c r="AH158" s="245"/>
      <c r="AI158" s="2341"/>
      <c r="AJ158" s="4529">
        <f t="shared" si="367"/>
        <v>121.16</v>
      </c>
      <c r="AK158" s="889"/>
      <c r="AL158" s="245"/>
      <c r="AM158" s="2465"/>
      <c r="AN158" s="4533">
        <f t="shared" si="392"/>
        <v>0</v>
      </c>
      <c r="AO158" s="2341"/>
      <c r="AP158" s="4529">
        <f t="shared" si="387"/>
        <v>121.16</v>
      </c>
      <c r="AQ158" s="889"/>
      <c r="AR158" s="245"/>
      <c r="AS158" s="2341"/>
      <c r="AT158" s="250">
        <f t="shared" si="370"/>
        <v>121.16</v>
      </c>
      <c r="AU158" s="889"/>
      <c r="AV158" s="245"/>
      <c r="AW158" s="2341"/>
      <c r="AX158" s="250">
        <f t="shared" si="371"/>
        <v>121.16</v>
      </c>
      <c r="AY158" s="889"/>
      <c r="AZ158" s="245"/>
      <c r="BA158" s="2465"/>
      <c r="BB158" s="5136">
        <f t="shared" si="377"/>
        <v>0</v>
      </c>
      <c r="BC158" s="3554"/>
      <c r="BD158" s="5143">
        <f t="shared" si="389"/>
        <v>0</v>
      </c>
      <c r="BE158" s="2341"/>
      <c r="BF158" s="250">
        <f t="shared" si="374"/>
        <v>121.16</v>
      </c>
      <c r="BG158" s="26"/>
      <c r="BH158" s="26"/>
      <c r="BI158" s="26"/>
      <c r="BJ158" s="26"/>
    </row>
    <row r="159" spans="1:62" ht="20.25" x14ac:dyDescent="0.25">
      <c r="A159" s="122"/>
      <c r="B159" s="4544" t="s">
        <v>902</v>
      </c>
      <c r="C159" s="1523" t="s">
        <v>1209</v>
      </c>
      <c r="D159" s="4530"/>
      <c r="E159" s="4530"/>
      <c r="F159" s="245">
        <v>6112.1500000000015</v>
      </c>
      <c r="G159" s="4530"/>
      <c r="H159" s="245">
        <v>1164.4099999999999</v>
      </c>
      <c r="I159" s="4528"/>
      <c r="J159" s="4529">
        <f t="shared" si="380"/>
        <v>7276.5600000000013</v>
      </c>
      <c r="K159" s="4530"/>
      <c r="L159" s="245">
        <v>3572.4599999999991</v>
      </c>
      <c r="M159" s="4531"/>
      <c r="N159" s="4533">
        <f t="shared" si="393"/>
        <v>10849.02</v>
      </c>
      <c r="O159" s="4530"/>
      <c r="P159" s="245">
        <v>1454.1</v>
      </c>
      <c r="Q159" s="4528"/>
      <c r="R159" s="4529">
        <f t="shared" si="381"/>
        <v>12303.12</v>
      </c>
      <c r="S159" s="4530"/>
      <c r="T159" s="245">
        <v>2173.91</v>
      </c>
      <c r="U159" s="4528"/>
      <c r="V159" s="4529">
        <f t="shared" si="363"/>
        <v>14477.03</v>
      </c>
      <c r="W159" s="4530"/>
      <c r="X159" s="245">
        <v>2787.9900000000007</v>
      </c>
      <c r="Y159" s="4531"/>
      <c r="Z159" s="4533">
        <f t="shared" si="390"/>
        <v>6416</v>
      </c>
      <c r="AA159" s="4534"/>
      <c r="AB159" s="4535">
        <f t="shared" si="391"/>
        <v>17265.02</v>
      </c>
      <c r="AC159" s="4530"/>
      <c r="AD159" s="245">
        <f>2489.86-AD162</f>
        <v>2306.92</v>
      </c>
      <c r="AE159" s="4528"/>
      <c r="AF159" s="4529">
        <f t="shared" si="366"/>
        <v>19571.940000000002</v>
      </c>
      <c r="AG159" s="4530"/>
      <c r="AH159" s="245">
        <v>2922.4400000000005</v>
      </c>
      <c r="AI159" s="4528"/>
      <c r="AJ159" s="4529">
        <f t="shared" si="367"/>
        <v>22494.380000000005</v>
      </c>
      <c r="AK159" s="4530"/>
      <c r="AL159" s="245">
        <v>3250.27</v>
      </c>
      <c r="AM159" s="4531"/>
      <c r="AN159" s="4533">
        <f t="shared" si="392"/>
        <v>8479.630000000001</v>
      </c>
      <c r="AO159" s="4528"/>
      <c r="AP159" s="4529">
        <f t="shared" si="387"/>
        <v>25744.650000000005</v>
      </c>
      <c r="AQ159" s="4530"/>
      <c r="AR159" s="245">
        <v>4126.920000000001</v>
      </c>
      <c r="AS159" s="4528"/>
      <c r="AT159" s="250">
        <f t="shared" si="370"/>
        <v>29871.570000000007</v>
      </c>
      <c r="AU159" s="4632"/>
      <c r="AV159" s="245">
        <v>2789.49</v>
      </c>
      <c r="AW159" s="4633"/>
      <c r="AX159" s="250">
        <f t="shared" si="371"/>
        <v>32661.060000000005</v>
      </c>
      <c r="AY159" s="5131"/>
      <c r="AZ159" s="245">
        <v>6299.7900000000009</v>
      </c>
      <c r="BA159" s="5134"/>
      <c r="BB159" s="5136">
        <f t="shared" si="377"/>
        <v>13216.2</v>
      </c>
      <c r="BC159" s="5141"/>
      <c r="BD159" s="5143">
        <f t="shared" si="389"/>
        <v>21695.83</v>
      </c>
      <c r="BE159" s="5125"/>
      <c r="BF159" s="250">
        <f t="shared" si="374"/>
        <v>38960.850000000006</v>
      </c>
      <c r="BG159" s="26"/>
      <c r="BH159" s="26"/>
      <c r="BI159" s="26"/>
      <c r="BJ159" s="26"/>
    </row>
    <row r="160" spans="1:62" ht="20.25" x14ac:dyDescent="0.25">
      <c r="A160" s="122"/>
      <c r="B160" s="4544" t="s">
        <v>902</v>
      </c>
      <c r="C160" s="1523" t="s">
        <v>943</v>
      </c>
      <c r="D160" s="4530"/>
      <c r="E160" s="4530"/>
      <c r="F160" s="245">
        <v>3656.61</v>
      </c>
      <c r="G160" s="4530"/>
      <c r="H160" s="245">
        <f>2643.46+4171.92</f>
        <v>6815.38</v>
      </c>
      <c r="I160" s="4528"/>
      <c r="J160" s="4529">
        <f t="shared" si="380"/>
        <v>10471.99</v>
      </c>
      <c r="K160" s="4530"/>
      <c r="L160" s="245">
        <f>2659.62+3674.87</f>
        <v>6334.49</v>
      </c>
      <c r="M160" s="4531"/>
      <c r="N160" s="4533">
        <f t="shared" si="393"/>
        <v>16806.48</v>
      </c>
      <c r="O160" s="4530"/>
      <c r="P160" s="245">
        <f>8741.05</f>
        <v>8741.0499999999993</v>
      </c>
      <c r="Q160" s="4528"/>
      <c r="R160" s="4529">
        <f t="shared" si="381"/>
        <v>25547.53</v>
      </c>
      <c r="S160" s="4530"/>
      <c r="T160" s="245">
        <v>3576.1600000000008</v>
      </c>
      <c r="U160" s="4528"/>
      <c r="V160" s="4529">
        <f t="shared" si="363"/>
        <v>29123.69</v>
      </c>
      <c r="W160" s="4530"/>
      <c r="X160" s="245">
        <f>3548.55+5539.74</f>
        <v>9088.2900000000009</v>
      </c>
      <c r="Y160" s="4531"/>
      <c r="Z160" s="4533">
        <f t="shared" si="390"/>
        <v>21405.5</v>
      </c>
      <c r="AA160" s="4534"/>
      <c r="AB160" s="4535">
        <f t="shared" si="391"/>
        <v>38211.979999999996</v>
      </c>
      <c r="AC160" s="4530"/>
      <c r="AD160" s="245">
        <v>8293.1400000000012</v>
      </c>
      <c r="AE160" s="4528"/>
      <c r="AF160" s="4529">
        <f t="shared" si="366"/>
        <v>46505.119999999995</v>
      </c>
      <c r="AG160" s="4530"/>
      <c r="AH160" s="245">
        <f>2956.27+2681.22</f>
        <v>5637.49</v>
      </c>
      <c r="AI160" s="4528"/>
      <c r="AJ160" s="4529">
        <f t="shared" si="367"/>
        <v>52142.609999999993</v>
      </c>
      <c r="AK160" s="4530"/>
      <c r="AL160" s="245">
        <v>6050.1100000000006</v>
      </c>
      <c r="AM160" s="4531"/>
      <c r="AN160" s="4533">
        <f t="shared" si="392"/>
        <v>19980.740000000002</v>
      </c>
      <c r="AO160" s="4528"/>
      <c r="AP160" s="4529">
        <f t="shared" si="387"/>
        <v>58192.719999999994</v>
      </c>
      <c r="AQ160" s="4530"/>
      <c r="AR160" s="245">
        <v>3700.56</v>
      </c>
      <c r="AS160" s="4528"/>
      <c r="AT160" s="250">
        <f t="shared" si="370"/>
        <v>61893.279999999992</v>
      </c>
      <c r="AU160" s="4632"/>
      <c r="AV160" s="245">
        <v>2376.34</v>
      </c>
      <c r="AW160" s="4633"/>
      <c r="AX160" s="250">
        <f t="shared" si="371"/>
        <v>64269.619999999995</v>
      </c>
      <c r="AY160" s="5131"/>
      <c r="AZ160" s="245">
        <v>5130.67</v>
      </c>
      <c r="BA160" s="5134"/>
      <c r="BB160" s="5136">
        <f t="shared" si="377"/>
        <v>11207.57</v>
      </c>
      <c r="BC160" s="5141"/>
      <c r="BD160" s="5143">
        <f t="shared" si="389"/>
        <v>31188.31</v>
      </c>
      <c r="BE160" s="5125"/>
      <c r="BF160" s="250">
        <f t="shared" si="374"/>
        <v>69400.289999999994</v>
      </c>
      <c r="BG160" s="26"/>
      <c r="BH160" s="26"/>
      <c r="BI160" s="26"/>
      <c r="BJ160" s="26"/>
    </row>
    <row r="161" spans="1:62" ht="20.25" x14ac:dyDescent="0.25">
      <c r="A161" s="122"/>
      <c r="B161" s="4544" t="s">
        <v>902</v>
      </c>
      <c r="C161" s="1523" t="s">
        <v>1361</v>
      </c>
      <c r="D161" s="4530"/>
      <c r="E161" s="4530"/>
      <c r="F161" s="245">
        <v>65.64</v>
      </c>
      <c r="G161" s="4530"/>
      <c r="H161" s="245"/>
      <c r="I161" s="4528"/>
      <c r="J161" s="4529">
        <f t="shared" si="380"/>
        <v>65.64</v>
      </c>
      <c r="K161" s="4530"/>
      <c r="L161" s="245"/>
      <c r="M161" s="4531"/>
      <c r="N161" s="4533">
        <f t="shared" si="393"/>
        <v>65.64</v>
      </c>
      <c r="O161" s="4530"/>
      <c r="P161" s="245"/>
      <c r="Q161" s="4528"/>
      <c r="R161" s="4529">
        <f t="shared" si="381"/>
        <v>65.64</v>
      </c>
      <c r="S161" s="4530"/>
      <c r="T161" s="245">
        <v>0</v>
      </c>
      <c r="U161" s="4528"/>
      <c r="V161" s="4529">
        <f t="shared" ref="V161:V186" si="394">R161+T161</f>
        <v>65.64</v>
      </c>
      <c r="W161" s="4530"/>
      <c r="X161" s="245"/>
      <c r="Y161" s="4531"/>
      <c r="Z161" s="4533">
        <f t="shared" si="390"/>
        <v>0</v>
      </c>
      <c r="AA161" s="4534"/>
      <c r="AB161" s="4535">
        <f t="shared" si="391"/>
        <v>65.64</v>
      </c>
      <c r="AC161" s="4530"/>
      <c r="AD161" s="245"/>
      <c r="AE161" s="4528"/>
      <c r="AF161" s="4529">
        <f t="shared" ref="AF161:AF186" si="395">AB161+AD161</f>
        <v>65.64</v>
      </c>
      <c r="AG161" s="4530"/>
      <c r="AH161" s="245"/>
      <c r="AI161" s="4528"/>
      <c r="AJ161" s="4529">
        <f t="shared" ref="AJ161:AJ186" si="396">AF161+AH161</f>
        <v>65.64</v>
      </c>
      <c r="AK161" s="4530"/>
      <c r="AL161" s="245"/>
      <c r="AM161" s="4531"/>
      <c r="AN161" s="4533">
        <f t="shared" si="392"/>
        <v>0</v>
      </c>
      <c r="AO161" s="4528"/>
      <c r="AP161" s="4529">
        <f t="shared" si="387"/>
        <v>65.64</v>
      </c>
      <c r="AQ161" s="4530"/>
      <c r="AR161" s="245"/>
      <c r="AS161" s="4528"/>
      <c r="AT161" s="250">
        <f t="shared" ref="AT161:AT186" si="397">AP161+AR161</f>
        <v>65.64</v>
      </c>
      <c r="AU161" s="4632"/>
      <c r="AV161" s="245"/>
      <c r="AW161" s="4633"/>
      <c r="AX161" s="250">
        <f t="shared" ref="AX161:AX186" si="398">AT161+AV161</f>
        <v>65.64</v>
      </c>
      <c r="AY161" s="5131"/>
      <c r="AZ161" s="245"/>
      <c r="BA161" s="5134"/>
      <c r="BB161" s="5136">
        <f t="shared" si="377"/>
        <v>0</v>
      </c>
      <c r="BC161" s="5141"/>
      <c r="BD161" s="5143">
        <f t="shared" si="389"/>
        <v>0</v>
      </c>
      <c r="BE161" s="5125"/>
      <c r="BF161" s="250">
        <f t="shared" ref="BF161:BF186" si="399">AX161+AZ161</f>
        <v>65.64</v>
      </c>
      <c r="BG161" s="26"/>
      <c r="BH161" s="26"/>
      <c r="BI161" s="26"/>
      <c r="BJ161" s="26"/>
    </row>
    <row r="162" spans="1:62" ht="20.25" x14ac:dyDescent="0.25">
      <c r="A162" s="122"/>
      <c r="B162" s="4544" t="s">
        <v>902</v>
      </c>
      <c r="C162" s="1523" t="s">
        <v>1206</v>
      </c>
      <c r="D162" s="2385"/>
      <c r="E162" s="889"/>
      <c r="F162" s="245">
        <v>120.88</v>
      </c>
      <c r="G162" s="889"/>
      <c r="H162" s="245">
        <v>525.62</v>
      </c>
      <c r="I162" s="2341"/>
      <c r="J162" s="4529">
        <f t="shared" si="380"/>
        <v>646.5</v>
      </c>
      <c r="K162" s="889"/>
      <c r="L162" s="245">
        <v>247.61999999999998</v>
      </c>
      <c r="M162" s="2465"/>
      <c r="N162" s="4533">
        <f t="shared" si="393"/>
        <v>894.12</v>
      </c>
      <c r="O162" s="889"/>
      <c r="P162" s="245"/>
      <c r="Q162" s="2341"/>
      <c r="R162" s="4529">
        <f t="shared" si="381"/>
        <v>894.12</v>
      </c>
      <c r="S162" s="889"/>
      <c r="T162" s="245">
        <v>1040.5</v>
      </c>
      <c r="U162" s="2341"/>
      <c r="V162" s="4529">
        <f t="shared" si="394"/>
        <v>1934.62</v>
      </c>
      <c r="W162" s="889"/>
      <c r="X162" s="245">
        <v>2333.4899999999998</v>
      </c>
      <c r="Y162" s="2465"/>
      <c r="Z162" s="4533">
        <f t="shared" si="390"/>
        <v>3373.99</v>
      </c>
      <c r="AA162" s="3554"/>
      <c r="AB162" s="4535">
        <f t="shared" si="391"/>
        <v>4268.1099999999997</v>
      </c>
      <c r="AC162" s="889"/>
      <c r="AD162" s="245">
        <v>182.94</v>
      </c>
      <c r="AE162" s="2341"/>
      <c r="AF162" s="4529">
        <f t="shared" si="395"/>
        <v>4451.0499999999993</v>
      </c>
      <c r="AG162" s="889"/>
      <c r="AH162" s="245"/>
      <c r="AI162" s="2341"/>
      <c r="AJ162" s="4529">
        <f t="shared" si="396"/>
        <v>4451.0499999999993</v>
      </c>
      <c r="AK162" s="889"/>
      <c r="AL162" s="245"/>
      <c r="AM162" s="2465"/>
      <c r="AN162" s="4533">
        <f t="shared" si="392"/>
        <v>182.94</v>
      </c>
      <c r="AO162" s="2341"/>
      <c r="AP162" s="4529">
        <f t="shared" si="387"/>
        <v>4451.0499999999993</v>
      </c>
      <c r="AQ162" s="889"/>
      <c r="AR162" s="245">
        <v>981.7</v>
      </c>
      <c r="AS162" s="2341"/>
      <c r="AT162" s="250">
        <f t="shared" si="397"/>
        <v>5432.7499999999991</v>
      </c>
      <c r="AU162" s="889"/>
      <c r="AV162" s="245"/>
      <c r="AW162" s="2341"/>
      <c r="AX162" s="250">
        <f t="shared" si="398"/>
        <v>5432.7499999999991</v>
      </c>
      <c r="AY162" s="889"/>
      <c r="AZ162" s="245">
        <v>141.18</v>
      </c>
      <c r="BA162" s="2465"/>
      <c r="BB162" s="5136">
        <f t="shared" si="377"/>
        <v>1122.8800000000001</v>
      </c>
      <c r="BC162" s="3554"/>
      <c r="BD162" s="5143">
        <f t="shared" si="389"/>
        <v>1305.8200000000002</v>
      </c>
      <c r="BE162" s="2341"/>
      <c r="BF162" s="250">
        <f t="shared" si="399"/>
        <v>5573.9299999999994</v>
      </c>
      <c r="BG162" s="26"/>
      <c r="BH162" s="26"/>
      <c r="BI162" s="26"/>
      <c r="BJ162" s="26"/>
    </row>
    <row r="163" spans="1:62" ht="20.25" x14ac:dyDescent="0.25">
      <c r="A163" s="122"/>
      <c r="B163" s="4544" t="s">
        <v>902</v>
      </c>
      <c r="C163" s="1523" t="s">
        <v>1210</v>
      </c>
      <c r="D163" s="2385"/>
      <c r="E163" s="889"/>
      <c r="F163" s="245"/>
      <c r="G163" s="889"/>
      <c r="H163" s="245"/>
      <c r="I163" s="2341"/>
      <c r="J163" s="4529">
        <f t="shared" si="380"/>
        <v>0</v>
      </c>
      <c r="K163" s="889"/>
      <c r="L163" s="245">
        <v>259.14</v>
      </c>
      <c r="M163" s="2465"/>
      <c r="N163" s="4533">
        <f t="shared" si="393"/>
        <v>259.14</v>
      </c>
      <c r="O163" s="889"/>
      <c r="P163" s="245"/>
      <c r="Q163" s="2341"/>
      <c r="R163" s="4529">
        <f t="shared" si="381"/>
        <v>259.14</v>
      </c>
      <c r="S163" s="889"/>
      <c r="T163" s="245"/>
      <c r="U163" s="2341"/>
      <c r="V163" s="4529">
        <f t="shared" si="394"/>
        <v>259.14</v>
      </c>
      <c r="W163" s="889"/>
      <c r="X163" s="245"/>
      <c r="Y163" s="2465"/>
      <c r="Z163" s="4533">
        <f t="shared" si="390"/>
        <v>0</v>
      </c>
      <c r="AA163" s="3554"/>
      <c r="AB163" s="4535">
        <f t="shared" si="391"/>
        <v>259.14</v>
      </c>
      <c r="AC163" s="889"/>
      <c r="AD163" s="245"/>
      <c r="AE163" s="2341"/>
      <c r="AF163" s="4529">
        <f t="shared" si="395"/>
        <v>259.14</v>
      </c>
      <c r="AG163" s="889"/>
      <c r="AH163" s="245"/>
      <c r="AI163" s="2341"/>
      <c r="AJ163" s="4529">
        <f t="shared" si="396"/>
        <v>259.14</v>
      </c>
      <c r="AK163" s="889"/>
      <c r="AL163" s="245"/>
      <c r="AM163" s="2465"/>
      <c r="AN163" s="4533">
        <f t="shared" si="392"/>
        <v>0</v>
      </c>
      <c r="AO163" s="2341"/>
      <c r="AP163" s="4529">
        <f t="shared" si="387"/>
        <v>259.14</v>
      </c>
      <c r="AQ163" s="889"/>
      <c r="AR163" s="245"/>
      <c r="AS163" s="2341"/>
      <c r="AT163" s="250">
        <f t="shared" si="397"/>
        <v>259.14</v>
      </c>
      <c r="AU163" s="889"/>
      <c r="AV163" s="245"/>
      <c r="AW163" s="2341"/>
      <c r="AX163" s="250">
        <f t="shared" si="398"/>
        <v>259.14</v>
      </c>
      <c r="AY163" s="889"/>
      <c r="AZ163" s="245"/>
      <c r="BA163" s="2465"/>
      <c r="BB163" s="5136">
        <f t="shared" si="377"/>
        <v>0</v>
      </c>
      <c r="BC163" s="3554"/>
      <c r="BD163" s="5143">
        <f t="shared" si="389"/>
        <v>0</v>
      </c>
      <c r="BE163" s="2341"/>
      <c r="BF163" s="250">
        <f t="shared" si="399"/>
        <v>259.14</v>
      </c>
      <c r="BG163" s="26"/>
      <c r="BH163" s="26"/>
      <c r="BI163" s="26"/>
      <c r="BJ163" s="26"/>
    </row>
    <row r="164" spans="1:62" s="4213" customFormat="1" ht="20.25" x14ac:dyDescent="0.25">
      <c r="A164" s="122"/>
      <c r="B164" s="4544" t="s">
        <v>902</v>
      </c>
      <c r="C164" s="1523" t="s">
        <v>915</v>
      </c>
      <c r="D164" s="2385"/>
      <c r="E164" s="889"/>
      <c r="F164" s="245"/>
      <c r="G164" s="889"/>
      <c r="H164" s="245"/>
      <c r="I164" s="2341"/>
      <c r="J164" s="4529"/>
      <c r="K164" s="889"/>
      <c r="L164" s="245"/>
      <c r="M164" s="2465"/>
      <c r="N164" s="4533">
        <f t="shared" si="393"/>
        <v>0</v>
      </c>
      <c r="O164" s="889"/>
      <c r="P164" s="245"/>
      <c r="Q164" s="2341"/>
      <c r="R164" s="4529"/>
      <c r="S164" s="889"/>
      <c r="T164" s="245"/>
      <c r="U164" s="2341"/>
      <c r="V164" s="4529"/>
      <c r="W164" s="889"/>
      <c r="X164" s="245"/>
      <c r="Y164" s="2465"/>
      <c r="Z164" s="4533">
        <f t="shared" si="390"/>
        <v>0</v>
      </c>
      <c r="AA164" s="3554"/>
      <c r="AB164" s="4535">
        <f t="shared" si="391"/>
        <v>0</v>
      </c>
      <c r="AC164" s="889"/>
      <c r="AD164" s="245"/>
      <c r="AE164" s="2341"/>
      <c r="AF164" s="4529">
        <f t="shared" si="395"/>
        <v>0</v>
      </c>
      <c r="AG164" s="889"/>
      <c r="AH164" s="245">
        <v>187</v>
      </c>
      <c r="AI164" s="2341"/>
      <c r="AJ164" s="4529">
        <f t="shared" si="396"/>
        <v>187</v>
      </c>
      <c r="AK164" s="889"/>
      <c r="AL164" s="245"/>
      <c r="AM164" s="2465"/>
      <c r="AN164" s="4533">
        <f t="shared" si="392"/>
        <v>187</v>
      </c>
      <c r="AO164" s="2341"/>
      <c r="AP164" s="4529">
        <f t="shared" si="387"/>
        <v>187</v>
      </c>
      <c r="AQ164" s="889"/>
      <c r="AR164" s="245">
        <v>657.82999999999993</v>
      </c>
      <c r="AS164" s="2341"/>
      <c r="AT164" s="250">
        <f t="shared" si="397"/>
        <v>844.82999999999993</v>
      </c>
      <c r="AU164" s="889"/>
      <c r="AV164" s="245">
        <v>675.62</v>
      </c>
      <c r="AW164" s="2341"/>
      <c r="AX164" s="250">
        <f t="shared" si="398"/>
        <v>1520.4499999999998</v>
      </c>
      <c r="AY164" s="889"/>
      <c r="AZ164" s="245"/>
      <c r="BA164" s="2465"/>
      <c r="BB164" s="5136">
        <f t="shared" si="377"/>
        <v>1333.4499999999998</v>
      </c>
      <c r="BC164" s="3554"/>
      <c r="BD164" s="5143">
        <f t="shared" si="389"/>
        <v>1520.4499999999998</v>
      </c>
      <c r="BE164" s="2341"/>
      <c r="BF164" s="250">
        <f t="shared" si="399"/>
        <v>1520.4499999999998</v>
      </c>
      <c r="BG164" s="26"/>
      <c r="BH164" s="26"/>
      <c r="BI164" s="26"/>
      <c r="BJ164" s="26"/>
    </row>
    <row r="165" spans="1:62" ht="20.25" x14ac:dyDescent="0.25">
      <c r="A165" s="188"/>
      <c r="B165" s="4544" t="s">
        <v>902</v>
      </c>
      <c r="C165" s="1523" t="s">
        <v>1213</v>
      </c>
      <c r="D165" s="2385"/>
      <c r="E165" s="889"/>
      <c r="F165" s="245">
        <v>3772.74</v>
      </c>
      <c r="G165" s="889"/>
      <c r="H165" s="245">
        <v>4195.2100000000009</v>
      </c>
      <c r="I165" s="2341"/>
      <c r="J165" s="4529">
        <f t="shared" si="380"/>
        <v>7967.9500000000007</v>
      </c>
      <c r="K165" s="889"/>
      <c r="L165" s="245">
        <v>3850.09</v>
      </c>
      <c r="M165" s="2465"/>
      <c r="N165" s="4533">
        <f t="shared" si="393"/>
        <v>11818.04</v>
      </c>
      <c r="O165" s="889"/>
      <c r="P165" s="245">
        <v>3584.3500000000008</v>
      </c>
      <c r="Q165" s="2341"/>
      <c r="R165" s="4529">
        <f t="shared" si="381"/>
        <v>15402.390000000001</v>
      </c>
      <c r="S165" s="889"/>
      <c r="T165" s="245">
        <v>3063.8399999999997</v>
      </c>
      <c r="U165" s="2341"/>
      <c r="V165" s="4529">
        <f t="shared" si="394"/>
        <v>18466.23</v>
      </c>
      <c r="W165" s="889"/>
      <c r="X165" s="245">
        <v>4596.6900000000005</v>
      </c>
      <c r="Y165" s="2465"/>
      <c r="Z165" s="4533">
        <f t="shared" si="390"/>
        <v>11244.880000000001</v>
      </c>
      <c r="AA165" s="3554"/>
      <c r="AB165" s="4535">
        <f t="shared" si="391"/>
        <v>23062.920000000002</v>
      </c>
      <c r="AC165" s="889"/>
      <c r="AD165" s="245">
        <v>4367.7799999999988</v>
      </c>
      <c r="AE165" s="2341"/>
      <c r="AF165" s="4529">
        <f t="shared" si="395"/>
        <v>27430.7</v>
      </c>
      <c r="AG165" s="889"/>
      <c r="AH165" s="245">
        <v>4759.6600000000008</v>
      </c>
      <c r="AI165" s="2341"/>
      <c r="AJ165" s="4529">
        <f t="shared" si="396"/>
        <v>32190.36</v>
      </c>
      <c r="AK165" s="889"/>
      <c r="AL165" s="245">
        <v>5371.5599999999995</v>
      </c>
      <c r="AM165" s="2465"/>
      <c r="AN165" s="4533">
        <f t="shared" si="392"/>
        <v>14498.999999999998</v>
      </c>
      <c r="AO165" s="2341"/>
      <c r="AP165" s="4529">
        <f t="shared" si="387"/>
        <v>37561.919999999998</v>
      </c>
      <c r="AQ165" s="889"/>
      <c r="AR165" s="245">
        <v>4627.72</v>
      </c>
      <c r="AS165" s="2341"/>
      <c r="AT165" s="250">
        <f t="shared" si="397"/>
        <v>42189.64</v>
      </c>
      <c r="AU165" s="889"/>
      <c r="AV165" s="245">
        <v>5231.41</v>
      </c>
      <c r="AW165" s="2341"/>
      <c r="AX165" s="250">
        <f t="shared" si="398"/>
        <v>47421.05</v>
      </c>
      <c r="AY165" s="889"/>
      <c r="AZ165" s="245">
        <v>4470.68</v>
      </c>
      <c r="BA165" s="2465"/>
      <c r="BB165" s="5136">
        <f t="shared" si="377"/>
        <v>14329.810000000001</v>
      </c>
      <c r="BC165" s="3554"/>
      <c r="BD165" s="5143">
        <f t="shared" si="389"/>
        <v>28828.809999999998</v>
      </c>
      <c r="BE165" s="2341"/>
      <c r="BF165" s="250">
        <f t="shared" si="399"/>
        <v>51891.73</v>
      </c>
      <c r="BG165" s="26"/>
      <c r="BH165" s="26"/>
      <c r="BI165" s="26"/>
      <c r="BJ165" s="26"/>
    </row>
    <row r="166" spans="1:62" ht="21" thickBot="1" x14ac:dyDescent="0.3">
      <c r="A166" s="188"/>
      <c r="B166" s="4545" t="s">
        <v>902</v>
      </c>
      <c r="C166" s="4542" t="s">
        <v>1360</v>
      </c>
      <c r="D166" s="4512"/>
      <c r="E166" s="4513"/>
      <c r="F166" s="4514">
        <v>2157.52</v>
      </c>
      <c r="G166" s="4513"/>
      <c r="H166" s="4514">
        <v>780.9799999999999</v>
      </c>
      <c r="I166" s="4515"/>
      <c r="J166" s="4516">
        <f t="shared" si="380"/>
        <v>2938.5</v>
      </c>
      <c r="K166" s="4513"/>
      <c r="L166" s="4514">
        <v>1588.1</v>
      </c>
      <c r="M166" s="4517"/>
      <c r="N166" s="4518">
        <f t="shared" si="393"/>
        <v>4526.6000000000004</v>
      </c>
      <c r="O166" s="4513"/>
      <c r="P166" s="4514">
        <v>1877.95</v>
      </c>
      <c r="Q166" s="4515"/>
      <c r="R166" s="4516">
        <f t="shared" si="381"/>
        <v>6404.55</v>
      </c>
      <c r="S166" s="4513"/>
      <c r="T166" s="4514">
        <v>634.29999999999995</v>
      </c>
      <c r="U166" s="4515"/>
      <c r="V166" s="4516">
        <f t="shared" si="394"/>
        <v>7038.85</v>
      </c>
      <c r="W166" s="4513"/>
      <c r="X166" s="4514">
        <v>702.66000000000008</v>
      </c>
      <c r="Y166" s="4517"/>
      <c r="Z166" s="4518">
        <f t="shared" si="390"/>
        <v>3214.91</v>
      </c>
      <c r="AA166" s="4519"/>
      <c r="AB166" s="4520">
        <f t="shared" si="391"/>
        <v>7741.51</v>
      </c>
      <c r="AC166" s="4513"/>
      <c r="AD166" s="4514">
        <v>2910.53</v>
      </c>
      <c r="AE166" s="4515"/>
      <c r="AF166" s="4516">
        <f t="shared" si="395"/>
        <v>10652.04</v>
      </c>
      <c r="AG166" s="4513"/>
      <c r="AH166" s="4514">
        <v>2088.9</v>
      </c>
      <c r="AI166" s="4515"/>
      <c r="AJ166" s="4516">
        <f t="shared" si="396"/>
        <v>12740.94</v>
      </c>
      <c r="AK166" s="4513"/>
      <c r="AL166" s="4514">
        <v>2036.9</v>
      </c>
      <c r="AM166" s="4517"/>
      <c r="AN166" s="4518">
        <f t="shared" si="392"/>
        <v>7036.33</v>
      </c>
      <c r="AO166" s="4515"/>
      <c r="AP166" s="4516">
        <f t="shared" si="387"/>
        <v>14777.84</v>
      </c>
      <c r="AQ166" s="4513"/>
      <c r="AR166" s="4514">
        <v>2193.6600000000003</v>
      </c>
      <c r="AS166" s="4515"/>
      <c r="AT166" s="4521">
        <f t="shared" si="397"/>
        <v>16971.5</v>
      </c>
      <c r="AU166" s="4513"/>
      <c r="AV166" s="4514">
        <v>929.20000000000016</v>
      </c>
      <c r="AW166" s="4515"/>
      <c r="AX166" s="4521">
        <f t="shared" si="398"/>
        <v>17900.7</v>
      </c>
      <c r="AY166" s="4513"/>
      <c r="AZ166" s="4514">
        <v>807.78</v>
      </c>
      <c r="BA166" s="4517"/>
      <c r="BB166" s="4518">
        <f t="shared" si="377"/>
        <v>3930.6400000000003</v>
      </c>
      <c r="BC166" s="4519"/>
      <c r="BD166" s="5143">
        <f t="shared" si="389"/>
        <v>10966.970000000001</v>
      </c>
      <c r="BE166" s="4515"/>
      <c r="BF166" s="4521">
        <f t="shared" si="399"/>
        <v>18708.48</v>
      </c>
      <c r="BG166" s="26"/>
      <c r="BH166" s="26"/>
      <c r="BI166" s="26"/>
      <c r="BJ166" s="26"/>
    </row>
    <row r="167" spans="1:62" ht="20.25" x14ac:dyDescent="0.25">
      <c r="A167" s="188"/>
      <c r="B167" s="4543" t="s">
        <v>903</v>
      </c>
      <c r="C167" s="4539" t="s">
        <v>996</v>
      </c>
      <c r="D167" s="4501"/>
      <c r="E167" s="4502"/>
      <c r="F167" s="4503"/>
      <c r="G167" s="4502"/>
      <c r="H167" s="4503"/>
      <c r="I167" s="4504"/>
      <c r="J167" s="4505"/>
      <c r="K167" s="4502"/>
      <c r="L167" s="4503"/>
      <c r="M167" s="4506"/>
      <c r="N167" s="4507">
        <f t="shared" si="393"/>
        <v>0</v>
      </c>
      <c r="O167" s="4502"/>
      <c r="P167" s="4503"/>
      <c r="Q167" s="4504"/>
      <c r="R167" s="4505">
        <f t="shared" si="381"/>
        <v>0</v>
      </c>
      <c r="S167" s="4502"/>
      <c r="T167" s="4503">
        <v>59.02</v>
      </c>
      <c r="U167" s="4504"/>
      <c r="V167" s="4505">
        <f t="shared" si="394"/>
        <v>59.02</v>
      </c>
      <c r="W167" s="4502"/>
      <c r="X167" s="4503"/>
      <c r="Y167" s="4506"/>
      <c r="Z167" s="4507">
        <f t="shared" si="390"/>
        <v>59.02</v>
      </c>
      <c r="AA167" s="4508"/>
      <c r="AB167" s="4509">
        <f t="shared" si="391"/>
        <v>59.02</v>
      </c>
      <c r="AC167" s="4502"/>
      <c r="AD167" s="4503"/>
      <c r="AE167" s="4504"/>
      <c r="AF167" s="4505">
        <f t="shared" si="395"/>
        <v>59.02</v>
      </c>
      <c r="AG167" s="4502"/>
      <c r="AH167" s="4503"/>
      <c r="AI167" s="4504"/>
      <c r="AJ167" s="4505">
        <f t="shared" si="396"/>
        <v>59.02</v>
      </c>
      <c r="AK167" s="4502"/>
      <c r="AL167" s="4503"/>
      <c r="AM167" s="4506"/>
      <c r="AN167" s="4507">
        <f t="shared" si="392"/>
        <v>0</v>
      </c>
      <c r="AO167" s="4504"/>
      <c r="AP167" s="4505">
        <f t="shared" si="387"/>
        <v>59.02</v>
      </c>
      <c r="AQ167" s="4502"/>
      <c r="AR167" s="4503"/>
      <c r="AS167" s="4504"/>
      <c r="AT167" s="2340">
        <f t="shared" si="397"/>
        <v>59.02</v>
      </c>
      <c r="AU167" s="4502"/>
      <c r="AV167" s="4503"/>
      <c r="AW167" s="4504"/>
      <c r="AX167" s="2340">
        <f t="shared" si="398"/>
        <v>59.02</v>
      </c>
      <c r="AY167" s="4502"/>
      <c r="AZ167" s="4503"/>
      <c r="BA167" s="4506"/>
      <c r="BB167" s="4507">
        <f t="shared" si="377"/>
        <v>0</v>
      </c>
      <c r="BC167" s="4508"/>
      <c r="BD167" s="5143">
        <f t="shared" si="389"/>
        <v>0</v>
      </c>
      <c r="BE167" s="4504"/>
      <c r="BF167" s="2340">
        <f t="shared" si="399"/>
        <v>59.02</v>
      </c>
      <c r="BG167" s="26"/>
      <c r="BH167" s="26"/>
      <c r="BI167" s="26"/>
      <c r="BJ167" s="26"/>
    </row>
    <row r="168" spans="1:62" ht="20.25" customHeight="1" x14ac:dyDescent="0.25">
      <c r="A168" s="188"/>
      <c r="B168" s="4544" t="s">
        <v>903</v>
      </c>
      <c r="C168" s="1523" t="s">
        <v>1211</v>
      </c>
      <c r="D168" s="2385"/>
      <c r="E168" s="889"/>
      <c r="F168" s="245">
        <v>584.91999999999996</v>
      </c>
      <c r="G168" s="889"/>
      <c r="H168" s="245"/>
      <c r="I168" s="2341"/>
      <c r="J168" s="4529">
        <f t="shared" si="380"/>
        <v>584.91999999999996</v>
      </c>
      <c r="K168" s="889"/>
      <c r="L168" s="245">
        <v>8.16</v>
      </c>
      <c r="M168" s="2465"/>
      <c r="N168" s="4533">
        <f t="shared" si="393"/>
        <v>593.07999999999993</v>
      </c>
      <c r="O168" s="889"/>
      <c r="P168" s="245">
        <v>515.47</v>
      </c>
      <c r="Q168" s="2341"/>
      <c r="R168" s="4529">
        <f t="shared" si="381"/>
        <v>1108.55</v>
      </c>
      <c r="S168" s="889"/>
      <c r="T168" s="245">
        <v>62.24</v>
      </c>
      <c r="U168" s="2341"/>
      <c r="V168" s="4529">
        <f t="shared" si="394"/>
        <v>1170.79</v>
      </c>
      <c r="W168" s="889"/>
      <c r="X168" s="245">
        <v>19.8</v>
      </c>
      <c r="Y168" s="2465"/>
      <c r="Z168" s="4533">
        <f t="shared" si="390"/>
        <v>597.51</v>
      </c>
      <c r="AA168" s="3554"/>
      <c r="AB168" s="4535">
        <f t="shared" si="391"/>
        <v>1190.5899999999999</v>
      </c>
      <c r="AC168" s="889"/>
      <c r="AD168" s="245"/>
      <c r="AE168" s="2341"/>
      <c r="AF168" s="4529">
        <f t="shared" si="395"/>
        <v>1190.5899999999999</v>
      </c>
      <c r="AG168" s="889"/>
      <c r="AH168" s="245">
        <v>340.96</v>
      </c>
      <c r="AI168" s="2341"/>
      <c r="AJ168" s="4529">
        <f t="shared" si="396"/>
        <v>1531.55</v>
      </c>
      <c r="AK168" s="889"/>
      <c r="AL168" s="245">
        <v>615.31999999999982</v>
      </c>
      <c r="AM168" s="2465"/>
      <c r="AN168" s="4533">
        <f t="shared" si="392"/>
        <v>956.27999999999975</v>
      </c>
      <c r="AO168" s="2341"/>
      <c r="AP168" s="4529">
        <f t="shared" si="387"/>
        <v>2146.87</v>
      </c>
      <c r="AQ168" s="889"/>
      <c r="AR168" s="245">
        <v>181.24</v>
      </c>
      <c r="AS168" s="2341"/>
      <c r="AT168" s="250">
        <f t="shared" si="397"/>
        <v>2328.1099999999997</v>
      </c>
      <c r="AU168" s="889"/>
      <c r="AV168" s="245">
        <v>857.97</v>
      </c>
      <c r="AW168" s="2341"/>
      <c r="AX168" s="250">
        <f t="shared" si="398"/>
        <v>3186.08</v>
      </c>
      <c r="AY168" s="889"/>
      <c r="AZ168" s="245">
        <v>714.97</v>
      </c>
      <c r="BA168" s="2465"/>
      <c r="BB168" s="5136">
        <f t="shared" si="377"/>
        <v>1754.18</v>
      </c>
      <c r="BC168" s="3554"/>
      <c r="BD168" s="5143">
        <f t="shared" si="389"/>
        <v>2710.46</v>
      </c>
      <c r="BE168" s="2341"/>
      <c r="BF168" s="250">
        <f t="shared" si="399"/>
        <v>3901.05</v>
      </c>
      <c r="BG168" s="26"/>
      <c r="BH168" s="26"/>
      <c r="BI168" s="26"/>
      <c r="BJ168" s="26"/>
    </row>
    <row r="169" spans="1:62" ht="20.25" x14ac:dyDescent="0.25">
      <c r="A169" s="188"/>
      <c r="B169" s="4544" t="s">
        <v>903</v>
      </c>
      <c r="C169" s="1523" t="s">
        <v>1212</v>
      </c>
      <c r="D169" s="2385"/>
      <c r="E169" s="889"/>
      <c r="F169" s="245">
        <v>170.8</v>
      </c>
      <c r="G169" s="889"/>
      <c r="H169" s="245"/>
      <c r="I169" s="2341"/>
      <c r="J169" s="4529">
        <f t="shared" si="380"/>
        <v>170.8</v>
      </c>
      <c r="K169" s="889"/>
      <c r="L169" s="245"/>
      <c r="M169" s="2465"/>
      <c r="N169" s="4533">
        <f t="shared" si="393"/>
        <v>170.8</v>
      </c>
      <c r="O169" s="889"/>
      <c r="P169" s="245">
        <v>94.41</v>
      </c>
      <c r="Q169" s="2341"/>
      <c r="R169" s="4529">
        <f t="shared" si="381"/>
        <v>265.21000000000004</v>
      </c>
      <c r="S169" s="889"/>
      <c r="T169" s="245">
        <v>0</v>
      </c>
      <c r="U169" s="2341"/>
      <c r="V169" s="4529">
        <f t="shared" si="394"/>
        <v>265.21000000000004</v>
      </c>
      <c r="W169" s="889"/>
      <c r="X169" s="245"/>
      <c r="Y169" s="2465"/>
      <c r="Z169" s="4533">
        <f t="shared" si="390"/>
        <v>94.41</v>
      </c>
      <c r="AA169" s="3554"/>
      <c r="AB169" s="4535">
        <f t="shared" si="391"/>
        <v>265.21000000000004</v>
      </c>
      <c r="AC169" s="889"/>
      <c r="AD169" s="245"/>
      <c r="AE169" s="2341"/>
      <c r="AF169" s="4529">
        <f t="shared" si="395"/>
        <v>265.21000000000004</v>
      </c>
      <c r="AG169" s="889"/>
      <c r="AH169" s="245"/>
      <c r="AI169" s="2341"/>
      <c r="AJ169" s="4529">
        <f t="shared" si="396"/>
        <v>265.21000000000004</v>
      </c>
      <c r="AK169" s="889"/>
      <c r="AL169" s="245"/>
      <c r="AM169" s="2465"/>
      <c r="AN169" s="4533">
        <f t="shared" si="392"/>
        <v>0</v>
      </c>
      <c r="AO169" s="2341"/>
      <c r="AP169" s="4529">
        <f t="shared" si="387"/>
        <v>265.21000000000004</v>
      </c>
      <c r="AQ169" s="889"/>
      <c r="AR169" s="245"/>
      <c r="AS169" s="2341"/>
      <c r="AT169" s="250">
        <f t="shared" si="397"/>
        <v>265.21000000000004</v>
      </c>
      <c r="AU169" s="889"/>
      <c r="AV169" s="245"/>
      <c r="AW169" s="2341"/>
      <c r="AX169" s="250">
        <f t="shared" si="398"/>
        <v>265.21000000000004</v>
      </c>
      <c r="AY169" s="889"/>
      <c r="AZ169" s="245"/>
      <c r="BA169" s="2465"/>
      <c r="BB169" s="5136">
        <f t="shared" si="377"/>
        <v>0</v>
      </c>
      <c r="BC169" s="3554"/>
      <c r="BD169" s="5143">
        <f t="shared" si="389"/>
        <v>0</v>
      </c>
      <c r="BE169" s="2341"/>
      <c r="BF169" s="250">
        <f t="shared" si="399"/>
        <v>265.21000000000004</v>
      </c>
      <c r="BG169" s="26"/>
      <c r="BH169" s="26"/>
      <c r="BI169" s="26"/>
      <c r="BJ169" s="26"/>
    </row>
    <row r="170" spans="1:62" s="4136" customFormat="1" ht="20.25" x14ac:dyDescent="0.25">
      <c r="A170" s="188"/>
      <c r="B170" s="4544" t="s">
        <v>903</v>
      </c>
      <c r="C170" s="1523" t="s">
        <v>1854</v>
      </c>
      <c r="D170" s="2385"/>
      <c r="E170" s="889"/>
      <c r="F170" s="245"/>
      <c r="G170" s="889"/>
      <c r="H170" s="245"/>
      <c r="I170" s="2341"/>
      <c r="J170" s="4529"/>
      <c r="K170" s="889"/>
      <c r="L170" s="245"/>
      <c r="M170" s="2465"/>
      <c r="N170" s="4533"/>
      <c r="O170" s="889"/>
      <c r="P170" s="245"/>
      <c r="Q170" s="2341"/>
      <c r="R170" s="4529"/>
      <c r="S170" s="889"/>
      <c r="T170" s="245"/>
      <c r="U170" s="2341"/>
      <c r="V170" s="4529"/>
      <c r="W170" s="889"/>
      <c r="X170" s="245"/>
      <c r="Y170" s="2465"/>
      <c r="Z170" s="4533"/>
      <c r="AA170" s="3554"/>
      <c r="AB170" s="4535"/>
      <c r="AC170" s="889"/>
      <c r="AD170" s="245">
        <v>57.14</v>
      </c>
      <c r="AE170" s="2341"/>
      <c r="AF170" s="4529">
        <f t="shared" si="395"/>
        <v>57.14</v>
      </c>
      <c r="AG170" s="889"/>
      <c r="AH170" s="245"/>
      <c r="AI170" s="2341"/>
      <c r="AJ170" s="4529">
        <f t="shared" si="396"/>
        <v>57.14</v>
      </c>
      <c r="AK170" s="889"/>
      <c r="AL170" s="245"/>
      <c r="AM170" s="2465"/>
      <c r="AN170" s="4533">
        <f t="shared" si="392"/>
        <v>57.14</v>
      </c>
      <c r="AO170" s="2341"/>
      <c r="AP170" s="4529">
        <f t="shared" si="387"/>
        <v>57.14</v>
      </c>
      <c r="AQ170" s="889"/>
      <c r="AR170" s="245"/>
      <c r="AS170" s="2341"/>
      <c r="AT170" s="250">
        <f t="shared" si="397"/>
        <v>57.14</v>
      </c>
      <c r="AU170" s="889"/>
      <c r="AV170" s="245"/>
      <c r="AW170" s="2341"/>
      <c r="AX170" s="250">
        <f t="shared" si="398"/>
        <v>57.14</v>
      </c>
      <c r="AY170" s="889"/>
      <c r="AZ170" s="245"/>
      <c r="BA170" s="2465"/>
      <c r="BB170" s="5136">
        <f t="shared" si="377"/>
        <v>0</v>
      </c>
      <c r="BC170" s="3554"/>
      <c r="BD170" s="5143">
        <f t="shared" si="389"/>
        <v>57.14</v>
      </c>
      <c r="BE170" s="2341"/>
      <c r="BF170" s="250">
        <f t="shared" si="399"/>
        <v>57.14</v>
      </c>
      <c r="BG170" s="26"/>
      <c r="BH170" s="26"/>
      <c r="BI170" s="26"/>
      <c r="BJ170" s="26"/>
    </row>
    <row r="171" spans="1:62" ht="20.25" x14ac:dyDescent="0.25">
      <c r="A171" s="188"/>
      <c r="B171" s="4544" t="s">
        <v>903</v>
      </c>
      <c r="C171" s="1523" t="s">
        <v>914</v>
      </c>
      <c r="D171" s="2385"/>
      <c r="E171" s="889"/>
      <c r="F171" s="245">
        <v>451.04000000000008</v>
      </c>
      <c r="G171" s="889"/>
      <c r="H171" s="245"/>
      <c r="I171" s="2341"/>
      <c r="J171" s="4529">
        <f t="shared" si="380"/>
        <v>451.04000000000008</v>
      </c>
      <c r="K171" s="889"/>
      <c r="L171" s="245">
        <v>40.200000000000003</v>
      </c>
      <c r="M171" s="2465"/>
      <c r="N171" s="4533">
        <f t="shared" si="393"/>
        <v>491.24000000000007</v>
      </c>
      <c r="O171" s="889"/>
      <c r="P171" s="245">
        <v>481.31</v>
      </c>
      <c r="Q171" s="2341"/>
      <c r="R171" s="4529">
        <f t="shared" si="381"/>
        <v>972.55000000000007</v>
      </c>
      <c r="S171" s="889"/>
      <c r="T171" s="245">
        <v>0</v>
      </c>
      <c r="U171" s="2341"/>
      <c r="V171" s="4529">
        <f t="shared" si="394"/>
        <v>972.55000000000007</v>
      </c>
      <c r="W171" s="889"/>
      <c r="X171" s="245">
        <v>20.149999999999999</v>
      </c>
      <c r="Y171" s="2465"/>
      <c r="Z171" s="4533">
        <f t="shared" si="390"/>
        <v>501.46</v>
      </c>
      <c r="AA171" s="3554"/>
      <c r="AB171" s="4535">
        <f t="shared" si="391"/>
        <v>992.7</v>
      </c>
      <c r="AC171" s="889"/>
      <c r="AD171" s="245"/>
      <c r="AE171" s="2341"/>
      <c r="AF171" s="4529">
        <f t="shared" si="395"/>
        <v>992.7</v>
      </c>
      <c r="AG171" s="889"/>
      <c r="AH171" s="245">
        <v>350.86</v>
      </c>
      <c r="AI171" s="2341"/>
      <c r="AJ171" s="4529">
        <f t="shared" si="396"/>
        <v>1343.56</v>
      </c>
      <c r="AK171" s="889"/>
      <c r="AL171" s="245">
        <v>480.96</v>
      </c>
      <c r="AM171" s="2465"/>
      <c r="AN171" s="4533">
        <f t="shared" si="392"/>
        <v>831.81999999999994</v>
      </c>
      <c r="AO171" s="2341"/>
      <c r="AP171" s="4529">
        <f t="shared" si="387"/>
        <v>1824.52</v>
      </c>
      <c r="AQ171" s="889"/>
      <c r="AR171" s="245">
        <v>358.98</v>
      </c>
      <c r="AS171" s="2341"/>
      <c r="AT171" s="250">
        <f t="shared" si="397"/>
        <v>2183.5</v>
      </c>
      <c r="AU171" s="889"/>
      <c r="AV171" s="245">
        <v>393.21</v>
      </c>
      <c r="AW171" s="2341"/>
      <c r="AX171" s="250">
        <f t="shared" si="398"/>
        <v>2576.71</v>
      </c>
      <c r="AY171" s="889"/>
      <c r="AZ171" s="245">
        <v>615.91</v>
      </c>
      <c r="BA171" s="2465"/>
      <c r="BB171" s="5136">
        <f t="shared" ref="BB171:BB174" si="400">AR171+AV171+AZ171</f>
        <v>1368.1</v>
      </c>
      <c r="BC171" s="3554"/>
      <c r="BD171" s="5143">
        <f t="shared" si="389"/>
        <v>2199.92</v>
      </c>
      <c r="BE171" s="2341"/>
      <c r="BF171" s="250">
        <f t="shared" si="399"/>
        <v>3192.62</v>
      </c>
      <c r="BG171" s="26"/>
      <c r="BH171" s="26"/>
      <c r="BI171" s="26"/>
      <c r="BJ171" s="26"/>
    </row>
    <row r="172" spans="1:62" ht="20.25" customHeight="1" x14ac:dyDescent="0.25">
      <c r="A172" s="188"/>
      <c r="B172" s="4544" t="s">
        <v>903</v>
      </c>
      <c r="C172" s="1523" t="s">
        <v>1044</v>
      </c>
      <c r="D172" s="2385"/>
      <c r="E172" s="889"/>
      <c r="F172" s="245">
        <v>232.92000000000002</v>
      </c>
      <c r="G172" s="889"/>
      <c r="H172" s="245">
        <v>112.86</v>
      </c>
      <c r="I172" s="2341"/>
      <c r="J172" s="4529">
        <f t="shared" si="380"/>
        <v>345.78000000000003</v>
      </c>
      <c r="K172" s="889"/>
      <c r="L172" s="245"/>
      <c r="M172" s="2465"/>
      <c r="N172" s="4533">
        <f t="shared" si="393"/>
        <v>345.78000000000003</v>
      </c>
      <c r="O172" s="889"/>
      <c r="P172" s="245">
        <v>224.02</v>
      </c>
      <c r="Q172" s="2341"/>
      <c r="R172" s="4529">
        <f t="shared" si="381"/>
        <v>569.80000000000007</v>
      </c>
      <c r="S172" s="889"/>
      <c r="T172" s="245">
        <v>118.32</v>
      </c>
      <c r="U172" s="2341"/>
      <c r="V172" s="4529">
        <f t="shared" si="394"/>
        <v>688.12000000000012</v>
      </c>
      <c r="W172" s="889"/>
      <c r="X172" s="245"/>
      <c r="Y172" s="2465"/>
      <c r="Z172" s="4533">
        <f t="shared" si="390"/>
        <v>342.34000000000003</v>
      </c>
      <c r="AA172" s="3554"/>
      <c r="AB172" s="4535">
        <f t="shared" si="391"/>
        <v>688.12000000000012</v>
      </c>
      <c r="AC172" s="889"/>
      <c r="AD172" s="245">
        <v>844.31</v>
      </c>
      <c r="AE172" s="2341"/>
      <c r="AF172" s="4529">
        <f t="shared" si="395"/>
        <v>1532.43</v>
      </c>
      <c r="AG172" s="889"/>
      <c r="AH172" s="245">
        <v>182.71</v>
      </c>
      <c r="AI172" s="2341"/>
      <c r="AJ172" s="4529">
        <f t="shared" si="396"/>
        <v>1715.14</v>
      </c>
      <c r="AK172" s="889"/>
      <c r="AL172" s="245">
        <v>307.3</v>
      </c>
      <c r="AM172" s="2465"/>
      <c r="AN172" s="4533">
        <f t="shared" si="392"/>
        <v>1334.32</v>
      </c>
      <c r="AO172" s="2341"/>
      <c r="AP172" s="4529">
        <f t="shared" si="387"/>
        <v>2022.44</v>
      </c>
      <c r="AQ172" s="889"/>
      <c r="AR172" s="245">
        <v>506.6</v>
      </c>
      <c r="AS172" s="2341"/>
      <c r="AT172" s="250">
        <f t="shared" si="397"/>
        <v>2529.04</v>
      </c>
      <c r="AU172" s="889"/>
      <c r="AV172" s="245">
        <v>523.41</v>
      </c>
      <c r="AW172" s="2341"/>
      <c r="AX172" s="250">
        <f t="shared" si="398"/>
        <v>3052.45</v>
      </c>
      <c r="AY172" s="889"/>
      <c r="AZ172" s="245">
        <v>552.80999999999995</v>
      </c>
      <c r="BA172" s="2465"/>
      <c r="BB172" s="5136">
        <f t="shared" si="400"/>
        <v>1582.82</v>
      </c>
      <c r="BC172" s="3554"/>
      <c r="BD172" s="5143">
        <f t="shared" si="389"/>
        <v>2917.14</v>
      </c>
      <c r="BE172" s="2341"/>
      <c r="BF172" s="250">
        <f t="shared" si="399"/>
        <v>3605.2599999999998</v>
      </c>
      <c r="BG172" s="26"/>
      <c r="BH172" s="26"/>
      <c r="BI172" s="26"/>
      <c r="BJ172" s="26"/>
    </row>
    <row r="173" spans="1:62" s="4101" customFormat="1" ht="20.25" customHeight="1" x14ac:dyDescent="0.25">
      <c r="A173" s="188"/>
      <c r="B173" s="4544" t="s">
        <v>903</v>
      </c>
      <c r="C173" s="1523" t="s">
        <v>1837</v>
      </c>
      <c r="D173" s="2385"/>
      <c r="E173" s="889"/>
      <c r="F173" s="245"/>
      <c r="G173" s="889"/>
      <c r="H173" s="245"/>
      <c r="I173" s="2341"/>
      <c r="J173" s="4529"/>
      <c r="K173" s="889"/>
      <c r="L173" s="245"/>
      <c r="M173" s="2465"/>
      <c r="N173" s="4533">
        <f t="shared" si="393"/>
        <v>0</v>
      </c>
      <c r="O173" s="889"/>
      <c r="P173" s="245"/>
      <c r="Q173" s="2341"/>
      <c r="R173" s="4529"/>
      <c r="S173" s="889"/>
      <c r="T173" s="245"/>
      <c r="U173" s="2341"/>
      <c r="V173" s="4529"/>
      <c r="W173" s="889"/>
      <c r="X173" s="245"/>
      <c r="Y173" s="2465"/>
      <c r="Z173" s="4533"/>
      <c r="AA173" s="3554"/>
      <c r="AB173" s="4535">
        <f t="shared" si="391"/>
        <v>0</v>
      </c>
      <c r="AC173" s="889"/>
      <c r="AD173" s="245">
        <v>112.84</v>
      </c>
      <c r="AE173" s="2341"/>
      <c r="AF173" s="4529">
        <f t="shared" si="395"/>
        <v>112.84</v>
      </c>
      <c r="AG173" s="889"/>
      <c r="AH173" s="245"/>
      <c r="AI173" s="2341"/>
      <c r="AJ173" s="4529">
        <f t="shared" si="396"/>
        <v>112.84</v>
      </c>
      <c r="AK173" s="889"/>
      <c r="AL173" s="245"/>
      <c r="AM173" s="2465"/>
      <c r="AN173" s="4533">
        <f t="shared" si="392"/>
        <v>112.84</v>
      </c>
      <c r="AO173" s="2341"/>
      <c r="AP173" s="4529">
        <f t="shared" si="387"/>
        <v>112.84</v>
      </c>
      <c r="AQ173" s="889"/>
      <c r="AR173" s="245"/>
      <c r="AS173" s="2341"/>
      <c r="AT173" s="250">
        <f t="shared" si="397"/>
        <v>112.84</v>
      </c>
      <c r="AU173" s="889"/>
      <c r="AV173" s="245"/>
      <c r="AW173" s="2341"/>
      <c r="AX173" s="250">
        <f t="shared" si="398"/>
        <v>112.84</v>
      </c>
      <c r="AY173" s="889"/>
      <c r="AZ173" s="245"/>
      <c r="BA173" s="2465"/>
      <c r="BB173" s="5136">
        <f t="shared" si="400"/>
        <v>0</v>
      </c>
      <c r="BC173" s="3554"/>
      <c r="BD173" s="5143">
        <f t="shared" si="389"/>
        <v>112.84</v>
      </c>
      <c r="BE173" s="2341"/>
      <c r="BF173" s="250">
        <f t="shared" si="399"/>
        <v>112.84</v>
      </c>
      <c r="BG173" s="26"/>
      <c r="BH173" s="26"/>
      <c r="BI173" s="26"/>
      <c r="BJ173" s="26"/>
    </row>
    <row r="174" spans="1:62" ht="19.5" customHeight="1" x14ac:dyDescent="0.25">
      <c r="A174" s="188"/>
      <c r="B174" s="4544" t="s">
        <v>903</v>
      </c>
      <c r="C174" s="1523" t="s">
        <v>938</v>
      </c>
      <c r="D174" s="1523"/>
      <c r="E174" s="889"/>
      <c r="F174" s="245"/>
      <c r="G174" s="889"/>
      <c r="H174" s="245"/>
      <c r="I174" s="2341"/>
      <c r="J174" s="4529">
        <f t="shared" si="380"/>
        <v>0</v>
      </c>
      <c r="K174" s="889"/>
      <c r="L174" s="245">
        <v>112.22</v>
      </c>
      <c r="M174" s="2465"/>
      <c r="N174" s="4533">
        <f t="shared" si="393"/>
        <v>112.22</v>
      </c>
      <c r="O174" s="889"/>
      <c r="P174" s="245"/>
      <c r="Q174" s="2341"/>
      <c r="R174" s="4529">
        <f t="shared" si="381"/>
        <v>112.22</v>
      </c>
      <c r="S174" s="889"/>
      <c r="T174" s="245">
        <v>0</v>
      </c>
      <c r="U174" s="2341"/>
      <c r="V174" s="4529">
        <f t="shared" si="394"/>
        <v>112.22</v>
      </c>
      <c r="W174" s="889"/>
      <c r="X174" s="245"/>
      <c r="Y174" s="2465"/>
      <c r="Z174" s="4533">
        <f t="shared" si="390"/>
        <v>0</v>
      </c>
      <c r="AA174" s="3554"/>
      <c r="AB174" s="4535">
        <f t="shared" si="391"/>
        <v>112.22</v>
      </c>
      <c r="AC174" s="889"/>
      <c r="AD174" s="245"/>
      <c r="AE174" s="2341"/>
      <c r="AF174" s="4529">
        <f t="shared" si="395"/>
        <v>112.22</v>
      </c>
      <c r="AG174" s="889"/>
      <c r="AH174" s="245"/>
      <c r="AI174" s="2341"/>
      <c r="AJ174" s="4529">
        <f t="shared" si="396"/>
        <v>112.22</v>
      </c>
      <c r="AK174" s="889"/>
      <c r="AL174" s="245"/>
      <c r="AM174" s="2465"/>
      <c r="AN174" s="4533">
        <f t="shared" si="392"/>
        <v>0</v>
      </c>
      <c r="AO174" s="2341"/>
      <c r="AP174" s="4529">
        <f t="shared" si="387"/>
        <v>112.22</v>
      </c>
      <c r="AQ174" s="889"/>
      <c r="AR174" s="245"/>
      <c r="AS174" s="2341"/>
      <c r="AT174" s="250">
        <f t="shared" si="397"/>
        <v>112.22</v>
      </c>
      <c r="AU174" s="889"/>
      <c r="AV174" s="245"/>
      <c r="AW174" s="2341"/>
      <c r="AX174" s="250">
        <f t="shared" si="398"/>
        <v>112.22</v>
      </c>
      <c r="AY174" s="889"/>
      <c r="AZ174" s="245"/>
      <c r="BA174" s="2465"/>
      <c r="BB174" s="5136">
        <f t="shared" si="400"/>
        <v>0</v>
      </c>
      <c r="BC174" s="3554"/>
      <c r="BD174" s="5143">
        <f t="shared" si="389"/>
        <v>0</v>
      </c>
      <c r="BE174" s="2341"/>
      <c r="BF174" s="250">
        <f t="shared" si="399"/>
        <v>112.22</v>
      </c>
      <c r="BG174" s="26"/>
      <c r="BH174" s="26"/>
      <c r="BI174" s="26"/>
      <c r="BJ174" s="26"/>
    </row>
    <row r="175" spans="1:62" ht="19.5" customHeight="1" x14ac:dyDescent="0.25">
      <c r="A175" s="188"/>
      <c r="B175" s="4544" t="s">
        <v>903</v>
      </c>
      <c r="C175" s="1523" t="s">
        <v>1420</v>
      </c>
      <c r="D175" s="1523"/>
      <c r="E175" s="889"/>
      <c r="F175" s="245">
        <v>405.59000000000003</v>
      </c>
      <c r="G175" s="889"/>
      <c r="H175" s="245">
        <v>365.58</v>
      </c>
      <c r="I175" s="2341"/>
      <c r="J175" s="4529">
        <f t="shared" si="380"/>
        <v>771.17000000000007</v>
      </c>
      <c r="K175" s="889"/>
      <c r="L175" s="245">
        <v>40.58</v>
      </c>
      <c r="M175" s="2465"/>
      <c r="N175" s="4533">
        <f t="shared" si="393"/>
        <v>811.75000000000011</v>
      </c>
      <c r="O175" s="889"/>
      <c r="P175" s="245">
        <v>615.67999999999995</v>
      </c>
      <c r="Q175" s="2341"/>
      <c r="R175" s="4529">
        <f t="shared" si="381"/>
        <v>1427.43</v>
      </c>
      <c r="S175" s="889"/>
      <c r="T175" s="245">
        <v>505.77999999999992</v>
      </c>
      <c r="U175" s="2341"/>
      <c r="V175" s="4529">
        <f t="shared" si="394"/>
        <v>1933.21</v>
      </c>
      <c r="W175" s="889"/>
      <c r="X175" s="245">
        <v>32.299999999999997</v>
      </c>
      <c r="Y175" s="2465"/>
      <c r="Z175" s="4533">
        <f t="shared" si="390"/>
        <v>1153.7599999999998</v>
      </c>
      <c r="AA175" s="3554"/>
      <c r="AB175" s="4535">
        <f t="shared" si="391"/>
        <v>1965.5099999999998</v>
      </c>
      <c r="AC175" s="889"/>
      <c r="AD175" s="245">
        <v>78.819999999999993</v>
      </c>
      <c r="AE175" s="2341"/>
      <c r="AF175" s="4529">
        <f t="shared" si="395"/>
        <v>2044.3299999999997</v>
      </c>
      <c r="AG175" s="889"/>
      <c r="AH175" s="245">
        <v>120.47999999999999</v>
      </c>
      <c r="AI175" s="2341"/>
      <c r="AJ175" s="4529">
        <f t="shared" si="396"/>
        <v>2164.8099999999995</v>
      </c>
      <c r="AK175" s="889"/>
      <c r="AL175" s="245">
        <v>405.07000000000005</v>
      </c>
      <c r="AM175" s="2465"/>
      <c r="AN175" s="4533">
        <f t="shared" si="392"/>
        <v>604.37</v>
      </c>
      <c r="AO175" s="2341"/>
      <c r="AP175" s="4529">
        <f t="shared" si="387"/>
        <v>2569.8799999999997</v>
      </c>
      <c r="AQ175" s="889"/>
      <c r="AR175" s="245">
        <v>463.44</v>
      </c>
      <c r="AS175" s="2341"/>
      <c r="AT175" s="250">
        <f t="shared" si="397"/>
        <v>3033.3199999999997</v>
      </c>
      <c r="AU175" s="889"/>
      <c r="AV175" s="245">
        <v>321.41000000000003</v>
      </c>
      <c r="AW175" s="2341"/>
      <c r="AX175" s="250">
        <f t="shared" si="398"/>
        <v>3354.7299999999996</v>
      </c>
      <c r="AY175" s="889"/>
      <c r="AZ175" s="245">
        <v>547.76</v>
      </c>
      <c r="BA175" s="2465"/>
      <c r="BB175" s="5136">
        <f t="shared" ref="BB175:BB186" si="401">AR175+AV175+AZ175</f>
        <v>1332.6100000000001</v>
      </c>
      <c r="BC175" s="3554"/>
      <c r="BD175" s="5143">
        <f t="shared" si="389"/>
        <v>1936.98</v>
      </c>
      <c r="BE175" s="2341"/>
      <c r="BF175" s="250">
        <f t="shared" si="399"/>
        <v>3902.49</v>
      </c>
      <c r="BG175" s="26"/>
      <c r="BH175" s="26"/>
      <c r="BI175" s="26"/>
      <c r="BJ175" s="26"/>
    </row>
    <row r="176" spans="1:62" ht="20.25" customHeight="1" x14ac:dyDescent="0.25">
      <c r="A176" s="188"/>
      <c r="B176" s="4544" t="s">
        <v>903</v>
      </c>
      <c r="C176" s="1523" t="s">
        <v>1050</v>
      </c>
      <c r="D176" s="481"/>
      <c r="E176" s="481"/>
      <c r="F176" s="4532">
        <v>1903.7799999999997</v>
      </c>
      <c r="G176" s="481"/>
      <c r="H176" s="4532">
        <v>1083.2399999999998</v>
      </c>
      <c r="I176" s="4528"/>
      <c r="J176" s="4529">
        <f t="shared" si="380"/>
        <v>2987.0199999999995</v>
      </c>
      <c r="K176" s="481"/>
      <c r="L176" s="4532">
        <v>323.99</v>
      </c>
      <c r="M176" s="4531"/>
      <c r="N176" s="4533">
        <f t="shared" si="393"/>
        <v>3311.0099999999993</v>
      </c>
      <c r="O176" s="481"/>
      <c r="P176" s="4532">
        <v>1848.56</v>
      </c>
      <c r="Q176" s="4528"/>
      <c r="R176" s="4529">
        <f t="shared" si="381"/>
        <v>5159.57</v>
      </c>
      <c r="S176" s="481"/>
      <c r="T176" s="4532">
        <v>1797.9200000000005</v>
      </c>
      <c r="U176" s="4528"/>
      <c r="V176" s="4529">
        <f t="shared" si="394"/>
        <v>6957.49</v>
      </c>
      <c r="W176" s="481"/>
      <c r="X176" s="4532"/>
      <c r="Y176" s="4531"/>
      <c r="Z176" s="4533">
        <f t="shared" si="390"/>
        <v>3646.4800000000005</v>
      </c>
      <c r="AA176" s="4534"/>
      <c r="AB176" s="4535">
        <f t="shared" si="391"/>
        <v>6957.49</v>
      </c>
      <c r="AC176" s="481"/>
      <c r="AD176" s="4532">
        <v>1499.1799999999998</v>
      </c>
      <c r="AE176" s="4528"/>
      <c r="AF176" s="4529">
        <f t="shared" si="395"/>
        <v>8456.67</v>
      </c>
      <c r="AG176" s="481"/>
      <c r="AH176" s="4532">
        <v>1096.17</v>
      </c>
      <c r="AI176" s="4528"/>
      <c r="AJ176" s="4529">
        <f t="shared" si="396"/>
        <v>9552.84</v>
      </c>
      <c r="AK176" s="481"/>
      <c r="AL176" s="4532">
        <v>1206.4000000000001</v>
      </c>
      <c r="AM176" s="4531"/>
      <c r="AN176" s="4533">
        <f t="shared" si="392"/>
        <v>3801.75</v>
      </c>
      <c r="AO176" s="4528"/>
      <c r="AP176" s="4529">
        <f t="shared" si="387"/>
        <v>10759.24</v>
      </c>
      <c r="AQ176" s="481"/>
      <c r="AR176" s="4532">
        <v>667.08000000000015</v>
      </c>
      <c r="AS176" s="4528"/>
      <c r="AT176" s="250">
        <f t="shared" si="397"/>
        <v>11426.32</v>
      </c>
      <c r="AU176" s="481"/>
      <c r="AV176" s="4634">
        <v>1789.1600000000003</v>
      </c>
      <c r="AW176" s="4633"/>
      <c r="AX176" s="250">
        <f t="shared" si="398"/>
        <v>13215.48</v>
      </c>
      <c r="AY176" s="481"/>
      <c r="AZ176" s="5135">
        <v>354.54</v>
      </c>
      <c r="BA176" s="5134"/>
      <c r="BB176" s="5136">
        <f t="shared" si="401"/>
        <v>2810.7800000000007</v>
      </c>
      <c r="BC176" s="5141"/>
      <c r="BD176" s="5143">
        <f t="shared" si="389"/>
        <v>6612.5300000000007</v>
      </c>
      <c r="BE176" s="5125"/>
      <c r="BF176" s="250">
        <f t="shared" si="399"/>
        <v>13570.02</v>
      </c>
      <c r="BG176" s="26"/>
      <c r="BH176" s="26"/>
      <c r="BI176" s="26"/>
      <c r="BJ176" s="26"/>
    </row>
    <row r="177" spans="1:62" ht="20.25" x14ac:dyDescent="0.25">
      <c r="A177" s="188"/>
      <c r="B177" s="4544" t="s">
        <v>903</v>
      </c>
      <c r="C177" s="1523" t="s">
        <v>943</v>
      </c>
      <c r="D177" s="481"/>
      <c r="E177" s="481"/>
      <c r="F177" s="4532">
        <v>307.10000000000002</v>
      </c>
      <c r="G177" s="481"/>
      <c r="H177" s="4532"/>
      <c r="I177" s="4528"/>
      <c r="J177" s="4529">
        <f t="shared" si="380"/>
        <v>307.10000000000002</v>
      </c>
      <c r="K177" s="481"/>
      <c r="L177" s="4532"/>
      <c r="M177" s="4531"/>
      <c r="N177" s="4533">
        <f t="shared" si="393"/>
        <v>307.10000000000002</v>
      </c>
      <c r="O177" s="481"/>
      <c r="P177" s="4532"/>
      <c r="Q177" s="4528"/>
      <c r="R177" s="4529">
        <f t="shared" si="381"/>
        <v>307.10000000000002</v>
      </c>
      <c r="S177" s="481"/>
      <c r="T177" s="4532">
        <v>0</v>
      </c>
      <c r="U177" s="4528"/>
      <c r="V177" s="4529">
        <f t="shared" si="394"/>
        <v>307.10000000000002</v>
      </c>
      <c r="W177" s="481"/>
      <c r="X177" s="4532">
        <v>39.01</v>
      </c>
      <c r="Y177" s="4531"/>
      <c r="Z177" s="4533">
        <f t="shared" si="390"/>
        <v>39.01</v>
      </c>
      <c r="AA177" s="4534"/>
      <c r="AB177" s="4535">
        <f t="shared" si="391"/>
        <v>346.11</v>
      </c>
      <c r="AC177" s="481"/>
      <c r="AD177" s="4532"/>
      <c r="AE177" s="4528"/>
      <c r="AF177" s="4529">
        <f t="shared" si="395"/>
        <v>346.11</v>
      </c>
      <c r="AG177" s="481"/>
      <c r="AH177" s="4532"/>
      <c r="AI177" s="4528"/>
      <c r="AJ177" s="4529">
        <f t="shared" si="396"/>
        <v>346.11</v>
      </c>
      <c r="AK177" s="481"/>
      <c r="AL177" s="4532"/>
      <c r="AM177" s="4531"/>
      <c r="AN177" s="4533">
        <f t="shared" si="392"/>
        <v>0</v>
      </c>
      <c r="AO177" s="4528"/>
      <c r="AP177" s="4529">
        <f t="shared" si="387"/>
        <v>346.11</v>
      </c>
      <c r="AQ177" s="481"/>
      <c r="AR177" s="4532"/>
      <c r="AS177" s="4528"/>
      <c r="AT177" s="250">
        <f t="shared" si="397"/>
        <v>346.11</v>
      </c>
      <c r="AU177" s="481"/>
      <c r="AV177" s="4634"/>
      <c r="AW177" s="4633"/>
      <c r="AX177" s="250">
        <f t="shared" si="398"/>
        <v>346.11</v>
      </c>
      <c r="AY177" s="481"/>
      <c r="AZ177" s="5135"/>
      <c r="BA177" s="5134"/>
      <c r="BB177" s="5136">
        <f t="shared" si="401"/>
        <v>0</v>
      </c>
      <c r="BC177" s="5141"/>
      <c r="BD177" s="5143">
        <f t="shared" si="389"/>
        <v>0</v>
      </c>
      <c r="BE177" s="5125"/>
      <c r="BF177" s="250">
        <f t="shared" si="399"/>
        <v>346.11</v>
      </c>
      <c r="BG177" s="26"/>
      <c r="BH177" s="26"/>
      <c r="BI177" s="26"/>
      <c r="BJ177" s="26"/>
    </row>
    <row r="178" spans="1:62" ht="20.25" x14ac:dyDescent="0.25">
      <c r="A178" s="188"/>
      <c r="B178" s="4544" t="s">
        <v>903</v>
      </c>
      <c r="C178" s="1523" t="s">
        <v>1210</v>
      </c>
      <c r="D178" s="481"/>
      <c r="E178" s="481"/>
      <c r="F178" s="4532">
        <v>122.3</v>
      </c>
      <c r="G178" s="481"/>
      <c r="H178" s="4532"/>
      <c r="I178" s="4528"/>
      <c r="J178" s="4529">
        <f t="shared" si="380"/>
        <v>122.3</v>
      </c>
      <c r="K178" s="481"/>
      <c r="L178" s="4532"/>
      <c r="M178" s="4531"/>
      <c r="N178" s="4533">
        <f t="shared" si="393"/>
        <v>122.3</v>
      </c>
      <c r="O178" s="481"/>
      <c r="P178" s="4532"/>
      <c r="Q178" s="4528"/>
      <c r="R178" s="4529">
        <f t="shared" si="381"/>
        <v>122.3</v>
      </c>
      <c r="S178" s="481"/>
      <c r="T178" s="4532">
        <v>65.099999999999994</v>
      </c>
      <c r="U178" s="4528"/>
      <c r="V178" s="4529">
        <f t="shared" si="394"/>
        <v>187.39999999999998</v>
      </c>
      <c r="W178" s="481"/>
      <c r="X178" s="4532"/>
      <c r="Y178" s="4531"/>
      <c r="Z178" s="4533">
        <f t="shared" si="390"/>
        <v>65.099999999999994</v>
      </c>
      <c r="AA178" s="4534"/>
      <c r="AB178" s="4535">
        <f t="shared" si="391"/>
        <v>187.39999999999998</v>
      </c>
      <c r="AC178" s="481"/>
      <c r="AD178" s="4532"/>
      <c r="AE178" s="4528"/>
      <c r="AF178" s="4529">
        <f t="shared" si="395"/>
        <v>187.39999999999998</v>
      </c>
      <c r="AG178" s="481"/>
      <c r="AH178" s="4532"/>
      <c r="AI178" s="4528"/>
      <c r="AJ178" s="4529">
        <f t="shared" si="396"/>
        <v>187.39999999999998</v>
      </c>
      <c r="AK178" s="481"/>
      <c r="AL178" s="4532"/>
      <c r="AM178" s="4531"/>
      <c r="AN178" s="4533">
        <f t="shared" si="392"/>
        <v>0</v>
      </c>
      <c r="AO178" s="4528"/>
      <c r="AP178" s="4529">
        <f t="shared" si="387"/>
        <v>187.39999999999998</v>
      </c>
      <c r="AQ178" s="481"/>
      <c r="AR178" s="4532"/>
      <c r="AS178" s="4528"/>
      <c r="AT178" s="250">
        <f t="shared" si="397"/>
        <v>187.39999999999998</v>
      </c>
      <c r="AU178" s="481"/>
      <c r="AV178" s="4634"/>
      <c r="AW178" s="4633"/>
      <c r="AX178" s="250">
        <f t="shared" si="398"/>
        <v>187.39999999999998</v>
      </c>
      <c r="AY178" s="481"/>
      <c r="AZ178" s="5135"/>
      <c r="BA178" s="5134"/>
      <c r="BB178" s="5136">
        <f t="shared" si="401"/>
        <v>0</v>
      </c>
      <c r="BC178" s="5141"/>
      <c r="BD178" s="5143">
        <f t="shared" si="389"/>
        <v>0</v>
      </c>
      <c r="BE178" s="5125"/>
      <c r="BF178" s="250">
        <f t="shared" si="399"/>
        <v>187.39999999999998</v>
      </c>
      <c r="BG178" s="26"/>
      <c r="BH178" s="26"/>
      <c r="BI178" s="26"/>
      <c r="BJ178" s="26"/>
    </row>
    <row r="179" spans="1:62" ht="20.25" x14ac:dyDescent="0.25">
      <c r="A179" s="188"/>
      <c r="B179" s="4544" t="s">
        <v>903</v>
      </c>
      <c r="C179" s="1523" t="s">
        <v>1209</v>
      </c>
      <c r="D179" s="1523"/>
      <c r="E179" s="889"/>
      <c r="F179" s="245"/>
      <c r="G179" s="889"/>
      <c r="H179" s="245"/>
      <c r="I179" s="2341"/>
      <c r="J179" s="4529">
        <f t="shared" si="380"/>
        <v>0</v>
      </c>
      <c r="K179" s="889"/>
      <c r="L179" s="245"/>
      <c r="M179" s="2465"/>
      <c r="N179" s="4533">
        <f t="shared" si="393"/>
        <v>0</v>
      </c>
      <c r="O179" s="889"/>
      <c r="P179" s="245">
        <v>319.62</v>
      </c>
      <c r="Q179" s="2341"/>
      <c r="R179" s="4529">
        <f t="shared" si="381"/>
        <v>319.62</v>
      </c>
      <c r="S179" s="889"/>
      <c r="T179" s="245">
        <v>0</v>
      </c>
      <c r="U179" s="2341"/>
      <c r="V179" s="4529">
        <f t="shared" si="394"/>
        <v>319.62</v>
      </c>
      <c r="W179" s="889"/>
      <c r="X179" s="245"/>
      <c r="Y179" s="2465"/>
      <c r="Z179" s="4533">
        <f t="shared" si="390"/>
        <v>319.62</v>
      </c>
      <c r="AA179" s="3554"/>
      <c r="AB179" s="4535">
        <f t="shared" si="391"/>
        <v>319.62</v>
      </c>
      <c r="AC179" s="889"/>
      <c r="AD179" s="245"/>
      <c r="AE179" s="2341"/>
      <c r="AF179" s="4529">
        <f t="shared" si="395"/>
        <v>319.62</v>
      </c>
      <c r="AG179" s="889"/>
      <c r="AH179" s="245"/>
      <c r="AI179" s="2341"/>
      <c r="AJ179" s="4529">
        <f t="shared" si="396"/>
        <v>319.62</v>
      </c>
      <c r="AK179" s="889"/>
      <c r="AL179" s="245"/>
      <c r="AM179" s="2465"/>
      <c r="AN179" s="4533">
        <f t="shared" si="392"/>
        <v>0</v>
      </c>
      <c r="AO179" s="2341"/>
      <c r="AP179" s="4529">
        <f t="shared" si="387"/>
        <v>319.62</v>
      </c>
      <c r="AQ179" s="889"/>
      <c r="AR179" s="245"/>
      <c r="AS179" s="2341"/>
      <c r="AT179" s="250">
        <f t="shared" si="397"/>
        <v>319.62</v>
      </c>
      <c r="AU179" s="889"/>
      <c r="AV179" s="245"/>
      <c r="AW179" s="2341"/>
      <c r="AX179" s="250">
        <f t="shared" si="398"/>
        <v>319.62</v>
      </c>
      <c r="AY179" s="889"/>
      <c r="AZ179" s="245"/>
      <c r="BA179" s="2465"/>
      <c r="BB179" s="5136">
        <f t="shared" si="401"/>
        <v>0</v>
      </c>
      <c r="BC179" s="3554"/>
      <c r="BD179" s="5143">
        <f t="shared" si="389"/>
        <v>0</v>
      </c>
      <c r="BE179" s="2341"/>
      <c r="BF179" s="250">
        <f t="shared" si="399"/>
        <v>319.62</v>
      </c>
      <c r="BG179" s="26"/>
      <c r="BH179" s="26"/>
      <c r="BI179" s="26"/>
      <c r="BJ179" s="26"/>
    </row>
    <row r="180" spans="1:62" ht="20.25" x14ac:dyDescent="0.25">
      <c r="A180" s="188"/>
      <c r="B180" s="4544" t="s">
        <v>903</v>
      </c>
      <c r="C180" s="1523" t="s">
        <v>1360</v>
      </c>
      <c r="D180" s="1523"/>
      <c r="E180" s="889"/>
      <c r="F180" s="245">
        <v>678.5200000000001</v>
      </c>
      <c r="G180" s="889"/>
      <c r="H180" s="245"/>
      <c r="I180" s="2341"/>
      <c r="J180" s="4529">
        <f t="shared" si="380"/>
        <v>678.5200000000001</v>
      </c>
      <c r="K180" s="889"/>
      <c r="L180" s="245"/>
      <c r="M180" s="2465"/>
      <c r="N180" s="4533">
        <f t="shared" si="393"/>
        <v>678.5200000000001</v>
      </c>
      <c r="O180" s="889"/>
      <c r="P180" s="245"/>
      <c r="Q180" s="2341"/>
      <c r="R180" s="4529">
        <f t="shared" si="381"/>
        <v>678.5200000000001</v>
      </c>
      <c r="S180" s="889"/>
      <c r="T180" s="245">
        <v>489.40000000000009</v>
      </c>
      <c r="U180" s="2341"/>
      <c r="V180" s="4529">
        <f t="shared" si="394"/>
        <v>1167.92</v>
      </c>
      <c r="W180" s="889"/>
      <c r="X180" s="245"/>
      <c r="Y180" s="2465"/>
      <c r="Z180" s="4533">
        <f t="shared" si="390"/>
        <v>489.40000000000009</v>
      </c>
      <c r="AA180" s="3554"/>
      <c r="AB180" s="4535">
        <f t="shared" si="391"/>
        <v>1167.92</v>
      </c>
      <c r="AC180" s="889"/>
      <c r="AD180" s="245"/>
      <c r="AE180" s="2341"/>
      <c r="AF180" s="4529">
        <f t="shared" si="395"/>
        <v>1167.92</v>
      </c>
      <c r="AG180" s="889"/>
      <c r="AH180" s="245"/>
      <c r="AI180" s="2341"/>
      <c r="AJ180" s="4529">
        <f t="shared" si="396"/>
        <v>1167.92</v>
      </c>
      <c r="AK180" s="889"/>
      <c r="AL180" s="245">
        <v>507.34000000000003</v>
      </c>
      <c r="AM180" s="2465"/>
      <c r="AN180" s="4533">
        <f t="shared" si="392"/>
        <v>507.34000000000003</v>
      </c>
      <c r="AO180" s="2341"/>
      <c r="AP180" s="4529">
        <f t="shared" si="387"/>
        <v>1675.2600000000002</v>
      </c>
      <c r="AQ180" s="889"/>
      <c r="AR180" s="245"/>
      <c r="AS180" s="2341"/>
      <c r="AT180" s="250">
        <f t="shared" si="397"/>
        <v>1675.2600000000002</v>
      </c>
      <c r="AU180" s="889"/>
      <c r="AV180" s="245"/>
      <c r="AW180" s="2341"/>
      <c r="AX180" s="250">
        <f t="shared" si="398"/>
        <v>1675.2600000000002</v>
      </c>
      <c r="AY180" s="889"/>
      <c r="AZ180" s="245"/>
      <c r="BA180" s="2465"/>
      <c r="BB180" s="5136">
        <f t="shared" si="401"/>
        <v>0</v>
      </c>
      <c r="BC180" s="3554"/>
      <c r="BD180" s="5143">
        <f t="shared" si="389"/>
        <v>507.34000000000003</v>
      </c>
      <c r="BE180" s="2341"/>
      <c r="BF180" s="250">
        <f t="shared" si="399"/>
        <v>1675.2600000000002</v>
      </c>
      <c r="BG180" s="26"/>
      <c r="BH180" s="26"/>
      <c r="BI180" s="26"/>
      <c r="BJ180" s="26"/>
    </row>
    <row r="181" spans="1:62" ht="21" thickBot="1" x14ac:dyDescent="0.3">
      <c r="A181" s="188"/>
      <c r="B181" s="4545" t="s">
        <v>903</v>
      </c>
      <c r="C181" s="4542" t="s">
        <v>1213</v>
      </c>
      <c r="D181" s="4542"/>
      <c r="E181" s="4513"/>
      <c r="F181" s="4514">
        <v>552.70000000000005</v>
      </c>
      <c r="G181" s="4513"/>
      <c r="H181" s="4514">
        <v>652.70000000000005</v>
      </c>
      <c r="I181" s="4515"/>
      <c r="J181" s="4516">
        <f t="shared" si="380"/>
        <v>1205.4000000000001</v>
      </c>
      <c r="K181" s="4513"/>
      <c r="L181" s="4514"/>
      <c r="M181" s="4517"/>
      <c r="N181" s="4518">
        <f t="shared" si="393"/>
        <v>1205.4000000000001</v>
      </c>
      <c r="O181" s="4513"/>
      <c r="P181" s="4514">
        <v>718.11999999999989</v>
      </c>
      <c r="Q181" s="4515"/>
      <c r="R181" s="4516">
        <f t="shared" si="381"/>
        <v>1923.52</v>
      </c>
      <c r="S181" s="4513"/>
      <c r="T181" s="4514">
        <v>426.29999999999995</v>
      </c>
      <c r="U181" s="4515"/>
      <c r="V181" s="4516">
        <f t="shared" si="394"/>
        <v>2349.8199999999997</v>
      </c>
      <c r="W181" s="4513"/>
      <c r="X181" s="4514">
        <v>60.56</v>
      </c>
      <c r="Y181" s="4517"/>
      <c r="Z181" s="4518">
        <f t="shared" si="390"/>
        <v>1204.9799999999998</v>
      </c>
      <c r="AA181" s="4519"/>
      <c r="AB181" s="4520">
        <f t="shared" si="391"/>
        <v>2410.38</v>
      </c>
      <c r="AC181" s="4513"/>
      <c r="AD181" s="4514">
        <v>653.98</v>
      </c>
      <c r="AE181" s="4515"/>
      <c r="AF181" s="4516">
        <f t="shared" si="395"/>
        <v>3064.36</v>
      </c>
      <c r="AG181" s="4513"/>
      <c r="AH181" s="4514">
        <v>62.54</v>
      </c>
      <c r="AI181" s="4515"/>
      <c r="AJ181" s="4516">
        <f t="shared" si="396"/>
        <v>3126.9</v>
      </c>
      <c r="AK181" s="4513"/>
      <c r="AL181" s="4514">
        <v>1080.56</v>
      </c>
      <c r="AM181" s="4517"/>
      <c r="AN181" s="4518">
        <f t="shared" si="392"/>
        <v>1797.08</v>
      </c>
      <c r="AO181" s="4515"/>
      <c r="AP181" s="4516">
        <f t="shared" si="387"/>
        <v>4207.46</v>
      </c>
      <c r="AQ181" s="4513"/>
      <c r="AR181" s="4514"/>
      <c r="AS181" s="4515"/>
      <c r="AT181" s="4521">
        <f t="shared" si="397"/>
        <v>4207.46</v>
      </c>
      <c r="AU181" s="4513"/>
      <c r="AV181" s="4514">
        <v>123.24000000000001</v>
      </c>
      <c r="AW181" s="4515"/>
      <c r="AX181" s="4521">
        <f t="shared" si="398"/>
        <v>4330.7</v>
      </c>
      <c r="AY181" s="4513"/>
      <c r="AZ181" s="4514">
        <v>764.11</v>
      </c>
      <c r="BA181" s="4517"/>
      <c r="BB181" s="4518">
        <f t="shared" si="401"/>
        <v>887.35</v>
      </c>
      <c r="BC181" s="4519"/>
      <c r="BD181" s="5143">
        <f t="shared" si="389"/>
        <v>2684.43</v>
      </c>
      <c r="BE181" s="4515"/>
      <c r="BF181" s="4521">
        <f t="shared" si="399"/>
        <v>5094.8099999999995</v>
      </c>
      <c r="BG181" s="26"/>
      <c r="BH181" s="26"/>
      <c r="BI181" s="26"/>
      <c r="BJ181" s="26"/>
    </row>
    <row r="182" spans="1:62" ht="20.25" x14ac:dyDescent="0.25">
      <c r="A182" s="188"/>
      <c r="B182" s="4543" t="s">
        <v>904</v>
      </c>
      <c r="C182" s="4539" t="s">
        <v>907</v>
      </c>
      <c r="D182" s="4539"/>
      <c r="E182" s="4502"/>
      <c r="F182" s="4503"/>
      <c r="G182" s="4502"/>
      <c r="H182" s="4503">
        <v>2024.6999999999998</v>
      </c>
      <c r="I182" s="4504"/>
      <c r="J182" s="4505">
        <f t="shared" ref="J182:J198" si="402">F182+H182</f>
        <v>2024.6999999999998</v>
      </c>
      <c r="K182" s="4502"/>
      <c r="L182" s="4503"/>
      <c r="M182" s="4506"/>
      <c r="N182" s="4507">
        <f t="shared" si="393"/>
        <v>2024.6999999999998</v>
      </c>
      <c r="O182" s="4502"/>
      <c r="P182" s="4503"/>
      <c r="Q182" s="4504"/>
      <c r="R182" s="4505">
        <f t="shared" ref="R182:R185" si="403">N182+P182</f>
        <v>2024.6999999999998</v>
      </c>
      <c r="S182" s="4502"/>
      <c r="T182" s="4503">
        <v>0</v>
      </c>
      <c r="U182" s="4504"/>
      <c r="V182" s="4505">
        <f t="shared" si="394"/>
        <v>2024.6999999999998</v>
      </c>
      <c r="W182" s="4502"/>
      <c r="X182" s="4503"/>
      <c r="Y182" s="4506"/>
      <c r="Z182" s="4507">
        <f t="shared" si="390"/>
        <v>0</v>
      </c>
      <c r="AA182" s="4508"/>
      <c r="AB182" s="4509">
        <f t="shared" si="391"/>
        <v>2024.6999999999998</v>
      </c>
      <c r="AC182" s="4502"/>
      <c r="AD182" s="4503"/>
      <c r="AE182" s="4504"/>
      <c r="AF182" s="4505">
        <f t="shared" si="395"/>
        <v>2024.6999999999998</v>
      </c>
      <c r="AG182" s="4502"/>
      <c r="AH182" s="4503"/>
      <c r="AI182" s="4504"/>
      <c r="AJ182" s="4505">
        <f t="shared" si="396"/>
        <v>2024.6999999999998</v>
      </c>
      <c r="AK182" s="4502"/>
      <c r="AL182" s="4503"/>
      <c r="AM182" s="4506"/>
      <c r="AN182" s="4507">
        <f t="shared" si="392"/>
        <v>0</v>
      </c>
      <c r="AO182" s="4504"/>
      <c r="AP182" s="4505">
        <f t="shared" si="387"/>
        <v>2024.6999999999998</v>
      </c>
      <c r="AQ182" s="4502"/>
      <c r="AR182" s="4503"/>
      <c r="AS182" s="4504"/>
      <c r="AT182" s="2340">
        <f t="shared" si="397"/>
        <v>2024.6999999999998</v>
      </c>
      <c r="AU182" s="4502"/>
      <c r="AV182" s="4503"/>
      <c r="AW182" s="4504"/>
      <c r="AX182" s="2340">
        <f t="shared" si="398"/>
        <v>2024.6999999999998</v>
      </c>
      <c r="AY182" s="4502"/>
      <c r="AZ182" s="4503"/>
      <c r="BA182" s="4506"/>
      <c r="BB182" s="4507">
        <f t="shared" si="401"/>
        <v>0</v>
      </c>
      <c r="BC182" s="4508"/>
      <c r="BD182" s="5143">
        <f t="shared" si="389"/>
        <v>0</v>
      </c>
      <c r="BE182" s="4504"/>
      <c r="BF182" s="2340">
        <f t="shared" si="399"/>
        <v>2024.6999999999998</v>
      </c>
      <c r="BG182" s="26"/>
      <c r="BH182" s="26"/>
      <c r="BI182" s="26"/>
      <c r="BJ182" s="26"/>
    </row>
    <row r="183" spans="1:62" ht="21" thickBot="1" x14ac:dyDescent="0.3">
      <c r="A183" s="122"/>
      <c r="B183" s="4545" t="s">
        <v>904</v>
      </c>
      <c r="C183" s="4542" t="s">
        <v>895</v>
      </c>
      <c r="D183" s="4542"/>
      <c r="E183" s="4513"/>
      <c r="F183" s="4514"/>
      <c r="G183" s="4513"/>
      <c r="H183" s="4514">
        <v>4538.34</v>
      </c>
      <c r="I183" s="4515"/>
      <c r="J183" s="4516">
        <f t="shared" si="402"/>
        <v>4538.34</v>
      </c>
      <c r="K183" s="4513"/>
      <c r="L183" s="4514">
        <v>157.35000000000002</v>
      </c>
      <c r="M183" s="4517"/>
      <c r="N183" s="4518">
        <f t="shared" si="393"/>
        <v>4695.6900000000005</v>
      </c>
      <c r="O183" s="4513"/>
      <c r="P183" s="4514">
        <v>32.909999999999997</v>
      </c>
      <c r="Q183" s="4515"/>
      <c r="R183" s="4516">
        <f t="shared" si="403"/>
        <v>4728.6000000000004</v>
      </c>
      <c r="S183" s="4513"/>
      <c r="T183" s="4514">
        <v>0</v>
      </c>
      <c r="U183" s="4515"/>
      <c r="V183" s="4516">
        <f t="shared" si="394"/>
        <v>4728.6000000000004</v>
      </c>
      <c r="W183" s="4513"/>
      <c r="X183" s="4514"/>
      <c r="Y183" s="4517"/>
      <c r="Z183" s="4518">
        <f t="shared" si="390"/>
        <v>32.909999999999997</v>
      </c>
      <c r="AA183" s="4519"/>
      <c r="AB183" s="4520">
        <f t="shared" si="391"/>
        <v>4728.6000000000004</v>
      </c>
      <c r="AC183" s="4513"/>
      <c r="AD183" s="4514"/>
      <c r="AE183" s="4515"/>
      <c r="AF183" s="4516">
        <f t="shared" si="395"/>
        <v>4728.6000000000004</v>
      </c>
      <c r="AG183" s="4513"/>
      <c r="AH183" s="4514"/>
      <c r="AI183" s="4515"/>
      <c r="AJ183" s="4516">
        <f t="shared" si="396"/>
        <v>4728.6000000000004</v>
      </c>
      <c r="AK183" s="4513"/>
      <c r="AL183" s="4514"/>
      <c r="AM183" s="4517"/>
      <c r="AN183" s="4518">
        <f t="shared" si="392"/>
        <v>0</v>
      </c>
      <c r="AO183" s="4515"/>
      <c r="AP183" s="4516">
        <f t="shared" si="387"/>
        <v>4728.6000000000004</v>
      </c>
      <c r="AQ183" s="4513"/>
      <c r="AR183" s="4514"/>
      <c r="AS183" s="4515"/>
      <c r="AT183" s="4521">
        <f t="shared" si="397"/>
        <v>4728.6000000000004</v>
      </c>
      <c r="AU183" s="4513"/>
      <c r="AV183" s="4514"/>
      <c r="AW183" s="4515"/>
      <c r="AX183" s="4521">
        <f t="shared" si="398"/>
        <v>4728.6000000000004</v>
      </c>
      <c r="AY183" s="4513"/>
      <c r="AZ183" s="4514"/>
      <c r="BA183" s="4517"/>
      <c r="BB183" s="4518">
        <f t="shared" si="401"/>
        <v>0</v>
      </c>
      <c r="BC183" s="4519"/>
      <c r="BD183" s="5143">
        <f t="shared" si="389"/>
        <v>0</v>
      </c>
      <c r="BE183" s="4515"/>
      <c r="BF183" s="4521">
        <f t="shared" si="399"/>
        <v>4728.6000000000004</v>
      </c>
      <c r="BG183" s="26"/>
      <c r="BH183" s="26"/>
      <c r="BI183" s="26"/>
      <c r="BJ183" s="26"/>
    </row>
    <row r="184" spans="1:62" ht="20.25" x14ac:dyDescent="0.25">
      <c r="A184" s="122"/>
      <c r="B184" s="4537" t="s">
        <v>79</v>
      </c>
      <c r="C184" s="4493" t="s">
        <v>1315</v>
      </c>
      <c r="D184" s="4493"/>
      <c r="E184" s="4494"/>
      <c r="F184" s="4495">
        <f>F10</f>
        <v>0</v>
      </c>
      <c r="G184" s="4494"/>
      <c r="H184" s="4495">
        <f>H10</f>
        <v>0</v>
      </c>
      <c r="I184" s="4496"/>
      <c r="J184" s="4536">
        <f t="shared" si="402"/>
        <v>0</v>
      </c>
      <c r="K184" s="4494"/>
      <c r="L184" s="4495">
        <f>L10</f>
        <v>0</v>
      </c>
      <c r="M184" s="4497"/>
      <c r="N184" s="482">
        <f t="shared" si="393"/>
        <v>0</v>
      </c>
      <c r="O184" s="4494"/>
      <c r="P184" s="4495">
        <f>P10</f>
        <v>0</v>
      </c>
      <c r="Q184" s="4496"/>
      <c r="R184" s="4536">
        <f t="shared" si="403"/>
        <v>0</v>
      </c>
      <c r="S184" s="4494"/>
      <c r="T184" s="4495">
        <f>T10</f>
        <v>0</v>
      </c>
      <c r="U184" s="4496"/>
      <c r="V184" s="4536">
        <f t="shared" si="394"/>
        <v>0</v>
      </c>
      <c r="W184" s="4494"/>
      <c r="X184" s="4495"/>
      <c r="Y184" s="4497"/>
      <c r="Z184" s="482">
        <f t="shared" si="390"/>
        <v>0</v>
      </c>
      <c r="AA184" s="4498"/>
      <c r="AB184" s="4499">
        <f t="shared" si="391"/>
        <v>0</v>
      </c>
      <c r="AC184" s="4494"/>
      <c r="AD184" s="4495"/>
      <c r="AE184" s="4496"/>
      <c r="AF184" s="4536">
        <f t="shared" si="395"/>
        <v>0</v>
      </c>
      <c r="AG184" s="4494"/>
      <c r="AH184" s="4495"/>
      <c r="AI184" s="4496"/>
      <c r="AJ184" s="4536">
        <f t="shared" si="396"/>
        <v>0</v>
      </c>
      <c r="AK184" s="4494"/>
      <c r="AL184" s="4495"/>
      <c r="AM184" s="4497"/>
      <c r="AN184" s="482">
        <f t="shared" si="392"/>
        <v>0</v>
      </c>
      <c r="AO184" s="4496"/>
      <c r="AP184" s="4536">
        <f t="shared" si="387"/>
        <v>0</v>
      </c>
      <c r="AQ184" s="4494"/>
      <c r="AR184" s="4495"/>
      <c r="AS184" s="4496"/>
      <c r="AT184" s="4536">
        <f t="shared" si="397"/>
        <v>0</v>
      </c>
      <c r="AU184" s="4494"/>
      <c r="AV184" s="4495"/>
      <c r="AW184" s="4496"/>
      <c r="AX184" s="4628">
        <f t="shared" si="398"/>
        <v>0</v>
      </c>
      <c r="AY184" s="4494"/>
      <c r="AZ184" s="4495"/>
      <c r="BA184" s="4497"/>
      <c r="BB184" s="482">
        <f t="shared" si="401"/>
        <v>0</v>
      </c>
      <c r="BC184" s="4498"/>
      <c r="BD184" s="5143">
        <f t="shared" si="389"/>
        <v>0</v>
      </c>
      <c r="BE184" s="4496"/>
      <c r="BF184" s="5144">
        <f t="shared" si="399"/>
        <v>0</v>
      </c>
      <c r="BG184" s="26"/>
      <c r="BH184" s="26"/>
      <c r="BI184" s="26"/>
      <c r="BJ184" s="26"/>
    </row>
    <row r="185" spans="1:62" ht="20.25" x14ac:dyDescent="0.25">
      <c r="A185" s="122"/>
      <c r="B185" s="2001" t="s">
        <v>561</v>
      </c>
      <c r="C185" s="481"/>
      <c r="D185" s="481"/>
      <c r="E185" s="2434"/>
      <c r="F185" s="2456">
        <f>F11</f>
        <v>65</v>
      </c>
      <c r="G185" s="2434"/>
      <c r="H185" s="2456">
        <f>H11</f>
        <v>0</v>
      </c>
      <c r="I185" s="2341"/>
      <c r="J185" s="2457">
        <f t="shared" si="402"/>
        <v>65</v>
      </c>
      <c r="K185" s="2434"/>
      <c r="L185" s="2456">
        <f>L11</f>
        <v>0</v>
      </c>
      <c r="M185" s="2465"/>
      <c r="N185" s="3568">
        <f t="shared" si="393"/>
        <v>65</v>
      </c>
      <c r="O185" s="2434"/>
      <c r="P185" s="2456">
        <f>P11</f>
        <v>0</v>
      </c>
      <c r="Q185" s="2341"/>
      <c r="R185" s="2457">
        <f t="shared" si="403"/>
        <v>65</v>
      </c>
      <c r="S185" s="2434"/>
      <c r="T185" s="2562">
        <f>T11</f>
        <v>0</v>
      </c>
      <c r="U185" s="2341"/>
      <c r="V185" s="2557">
        <f t="shared" si="394"/>
        <v>65</v>
      </c>
      <c r="W185" s="2434"/>
      <c r="X185" s="3395"/>
      <c r="Y185" s="2465"/>
      <c r="Z185" s="3396">
        <f t="shared" ref="Z185:Z186" si="404">P185+T185+X185</f>
        <v>0</v>
      </c>
      <c r="AA185" s="3554"/>
      <c r="AB185" s="3565">
        <f t="shared" si="391"/>
        <v>65</v>
      </c>
      <c r="AC185" s="2434"/>
      <c r="AD185" s="4048">
        <f>AD11</f>
        <v>0</v>
      </c>
      <c r="AE185" s="2341"/>
      <c r="AF185" s="4050">
        <f t="shared" si="395"/>
        <v>65</v>
      </c>
      <c r="AG185" s="2434"/>
      <c r="AH185" s="4397">
        <f>AH11</f>
        <v>0</v>
      </c>
      <c r="AI185" s="2341"/>
      <c r="AJ185" s="4394">
        <f t="shared" si="396"/>
        <v>65</v>
      </c>
      <c r="AK185" s="2434"/>
      <c r="AL185" s="4276"/>
      <c r="AM185" s="2465"/>
      <c r="AN185" s="4282">
        <f t="shared" si="392"/>
        <v>0</v>
      </c>
      <c r="AO185" s="2341"/>
      <c r="AP185" s="4277">
        <f t="shared" si="387"/>
        <v>65</v>
      </c>
      <c r="AQ185" s="2434"/>
      <c r="AR185" s="4455">
        <f>AR11</f>
        <v>0</v>
      </c>
      <c r="AS185" s="2341"/>
      <c r="AT185" s="4456">
        <f t="shared" si="397"/>
        <v>65</v>
      </c>
      <c r="AU185" s="2434"/>
      <c r="AV185" s="4634">
        <f>AV11</f>
        <v>0</v>
      </c>
      <c r="AW185" s="2341"/>
      <c r="AX185" s="4635">
        <f t="shared" si="398"/>
        <v>65</v>
      </c>
      <c r="AY185" s="2434"/>
      <c r="AZ185" s="5135">
        <f>AZ11</f>
        <v>0</v>
      </c>
      <c r="BA185" s="2465"/>
      <c r="BB185" s="5136">
        <f t="shared" si="401"/>
        <v>0</v>
      </c>
      <c r="BC185" s="3554"/>
      <c r="BD185" s="5143">
        <f t="shared" si="389"/>
        <v>0</v>
      </c>
      <c r="BE185" s="2341"/>
      <c r="BF185" s="5127">
        <f t="shared" si="399"/>
        <v>65</v>
      </c>
      <c r="BG185" s="26"/>
      <c r="BH185" s="26"/>
      <c r="BI185" s="26"/>
      <c r="BJ185" s="26"/>
    </row>
    <row r="186" spans="1:62" ht="20.25" x14ac:dyDescent="0.25">
      <c r="A186" s="122"/>
      <c r="B186" s="2485" t="s">
        <v>35</v>
      </c>
      <c r="C186" s="335"/>
      <c r="D186" s="748">
        <f>+D12</f>
        <v>500000</v>
      </c>
      <c r="E186" s="748">
        <f>+E12</f>
        <v>42500</v>
      </c>
      <c r="F186" s="748">
        <f>SUM(F86:F185)</f>
        <v>36728.079999999994</v>
      </c>
      <c r="G186" s="748">
        <f>+G12</f>
        <v>36500</v>
      </c>
      <c r="H186" s="748">
        <f>SUM(H86:H185)</f>
        <v>32908.660000000003</v>
      </c>
      <c r="I186" s="782">
        <f>E186+G186</f>
        <v>79000</v>
      </c>
      <c r="J186" s="782">
        <f t="shared" si="402"/>
        <v>69636.739999999991</v>
      </c>
      <c r="K186" s="748">
        <f>+K12</f>
        <v>34000</v>
      </c>
      <c r="L186" s="748">
        <f>SUM(L86:L185)</f>
        <v>32223.459999999995</v>
      </c>
      <c r="M186" s="3566">
        <f>E186+G186+K186</f>
        <v>113000</v>
      </c>
      <c r="N186" s="783">
        <f>F186+H186+L186</f>
        <v>101860.19999999998</v>
      </c>
      <c r="O186" s="748">
        <f>+O12</f>
        <v>43500</v>
      </c>
      <c r="P186" s="748">
        <f>SUM(P86:P185)</f>
        <v>41040.979999999996</v>
      </c>
      <c r="Q186" s="782">
        <f>M186+O186</f>
        <v>156500</v>
      </c>
      <c r="R186" s="782">
        <f t="shared" ref="R186" si="405">N186+P186</f>
        <v>142901.18</v>
      </c>
      <c r="S186" s="748">
        <f>+S12</f>
        <v>43500</v>
      </c>
      <c r="T186" s="748">
        <f>SUM(T86:T185)</f>
        <v>48167.69000000001</v>
      </c>
      <c r="U186" s="2558">
        <f>Q186+S186</f>
        <v>200000</v>
      </c>
      <c r="V186" s="2558">
        <f t="shared" si="394"/>
        <v>191068.87</v>
      </c>
      <c r="W186" s="748">
        <f>+W12</f>
        <v>42500</v>
      </c>
      <c r="X186" s="748">
        <f>SUM(X86:X185)</f>
        <v>43039.340000000011</v>
      </c>
      <c r="Y186" s="3393">
        <f t="shared" ref="Y186" si="406">O186+S186+W186</f>
        <v>129500</v>
      </c>
      <c r="Z186" s="3393">
        <f t="shared" si="404"/>
        <v>132248.01</v>
      </c>
      <c r="AA186" s="3551">
        <f>M186+Y186</f>
        <v>242500</v>
      </c>
      <c r="AB186" s="3551">
        <f t="shared" ref="AB186" si="407">N186+Z186</f>
        <v>234108.21</v>
      </c>
      <c r="AC186" s="748">
        <f>+AC12</f>
        <v>43500</v>
      </c>
      <c r="AD186" s="748">
        <f>SUM(AD86:AD185)</f>
        <v>41924.589999999989</v>
      </c>
      <c r="AE186" s="4051">
        <f>AA186+AC186</f>
        <v>286000</v>
      </c>
      <c r="AF186" s="4051">
        <f t="shared" si="395"/>
        <v>276032.8</v>
      </c>
      <c r="AG186" s="748">
        <f>+AG12</f>
        <v>42500</v>
      </c>
      <c r="AH186" s="748">
        <f>SUM(AH86:AH185)</f>
        <v>38006.170000000013</v>
      </c>
      <c r="AI186" s="4392">
        <f>AE186+AG186</f>
        <v>328500</v>
      </c>
      <c r="AJ186" s="4392">
        <f t="shared" si="396"/>
        <v>314038.96999999997</v>
      </c>
      <c r="AK186" s="748">
        <f>+AK12</f>
        <v>43500</v>
      </c>
      <c r="AL186" s="748">
        <f>SUM(AL86:AL185)</f>
        <v>39686.53</v>
      </c>
      <c r="AM186" s="4283">
        <f t="shared" ref="AM186" si="408">AC186+AG186+AK186</f>
        <v>129500</v>
      </c>
      <c r="AN186" s="4283">
        <f t="shared" si="392"/>
        <v>119617.29000000001</v>
      </c>
      <c r="AO186" s="4273">
        <f t="shared" ref="AO186" si="409">AI186+AK186</f>
        <v>372000</v>
      </c>
      <c r="AP186" s="4273">
        <f t="shared" si="387"/>
        <v>353725.5</v>
      </c>
      <c r="AQ186" s="748">
        <f>+AQ12</f>
        <v>43500</v>
      </c>
      <c r="AR186" s="748">
        <f>SUM(AR86:AR185)</f>
        <v>43617.430000000008</v>
      </c>
      <c r="AS186" s="4453">
        <f>AO186+AQ186</f>
        <v>415500</v>
      </c>
      <c r="AT186" s="4453">
        <f t="shared" si="397"/>
        <v>397342.93</v>
      </c>
      <c r="AU186" s="748">
        <f>+AU12</f>
        <v>41000</v>
      </c>
      <c r="AV186" s="748">
        <f>SUM(AV86:AV185)</f>
        <v>35011.660000000003</v>
      </c>
      <c r="AW186" s="4630">
        <f>AS186+AU186</f>
        <v>456500</v>
      </c>
      <c r="AX186" s="4630">
        <f t="shared" si="398"/>
        <v>432354.58999999997</v>
      </c>
      <c r="AY186" s="748">
        <f>+AY12</f>
        <v>43500</v>
      </c>
      <c r="AZ186" s="748">
        <f>SUM(AZ86:AZ185)</f>
        <v>41204.62000000001</v>
      </c>
      <c r="BA186" s="5129">
        <f t="shared" ref="BA186" si="410">AQ186+AU186+AY186</f>
        <v>128000</v>
      </c>
      <c r="BB186" s="5129">
        <f t="shared" si="401"/>
        <v>119833.71000000002</v>
      </c>
      <c r="BC186" s="5140">
        <f>AM186+BA186</f>
        <v>257500</v>
      </c>
      <c r="BD186" s="5140">
        <f>AN186+BB186</f>
        <v>239451.00000000003</v>
      </c>
      <c r="BE186" s="5124">
        <f>AW186+AY186</f>
        <v>500000</v>
      </c>
      <c r="BF186" s="5124">
        <f t="shared" si="399"/>
        <v>473559.20999999996</v>
      </c>
      <c r="BG186" s="26"/>
      <c r="BH186" s="26"/>
      <c r="BI186" s="26"/>
      <c r="BJ186" s="26"/>
    </row>
    <row r="187" spans="1:62" s="183" customFormat="1" ht="20.25" x14ac:dyDescent="0.25">
      <c r="A187" s="188"/>
      <c r="B187" s="6246" t="s">
        <v>652</v>
      </c>
      <c r="C187" s="6246"/>
      <c r="D187" s="6246"/>
      <c r="E187" s="6246"/>
      <c r="F187" s="6246"/>
      <c r="G187" s="6246"/>
      <c r="H187" s="6246"/>
      <c r="I187" s="6246"/>
      <c r="J187" s="6246"/>
      <c r="K187" s="6246"/>
      <c r="L187" s="6246"/>
      <c r="M187" s="6246"/>
      <c r="N187" s="6246"/>
      <c r="O187" s="6246"/>
      <c r="P187" s="6246"/>
      <c r="Q187" s="6246"/>
      <c r="R187" s="6246"/>
      <c r="Y187" s="188"/>
      <c r="Z187" s="188"/>
      <c r="AM187" s="188"/>
      <c r="AN187" s="188"/>
      <c r="BA187" s="188"/>
      <c r="BB187" s="188"/>
      <c r="BG187" s="26"/>
      <c r="BH187" s="26"/>
      <c r="BI187" s="26"/>
      <c r="BJ187" s="26"/>
    </row>
    <row r="188" spans="1:62" ht="20.25" x14ac:dyDescent="0.25">
      <c r="A188" s="122"/>
      <c r="B188" s="2486" t="s">
        <v>674</v>
      </c>
      <c r="C188" s="481" t="s">
        <v>52</v>
      </c>
      <c r="D188" s="481"/>
      <c r="E188" s="2469"/>
      <c r="F188" s="2456"/>
      <c r="G188" s="2469"/>
      <c r="H188" s="2456"/>
      <c r="I188" s="2470"/>
      <c r="J188" s="2457"/>
      <c r="K188" s="2469"/>
      <c r="L188" s="2456"/>
      <c r="M188" s="2471"/>
      <c r="N188" s="300"/>
      <c r="O188" s="2469"/>
      <c r="P188" s="2456"/>
      <c r="Q188" s="2470"/>
      <c r="R188" s="2457"/>
      <c r="S188" s="2469"/>
      <c r="T188" s="2562"/>
      <c r="U188" s="2470"/>
      <c r="V188" s="2557"/>
      <c r="W188" s="2469"/>
      <c r="X188" s="3395"/>
      <c r="Y188" s="2471"/>
      <c r="Z188" s="3396"/>
      <c r="AA188" s="3555"/>
      <c r="AB188" s="3550"/>
      <c r="AC188" s="2469"/>
      <c r="AD188" s="4048"/>
      <c r="AE188" s="2470"/>
      <c r="AF188" s="4050"/>
      <c r="AG188" s="2469"/>
      <c r="AH188" s="4397"/>
      <c r="AI188" s="2470"/>
      <c r="AJ188" s="4394"/>
      <c r="AK188" s="2469"/>
      <c r="AL188" s="4276"/>
      <c r="AM188" s="2471"/>
      <c r="AN188" s="4282"/>
      <c r="AO188" s="2470"/>
      <c r="AP188" s="4277"/>
      <c r="AQ188" s="2469"/>
      <c r="AR188" s="4455"/>
      <c r="AS188" s="2470"/>
      <c r="AT188" s="4456"/>
      <c r="AU188" s="2469"/>
      <c r="AV188" s="4634"/>
      <c r="AW188" s="2470"/>
      <c r="AX188" s="4635"/>
      <c r="AY188" s="2469"/>
      <c r="AZ188" s="5135"/>
      <c r="BA188" s="2471"/>
      <c r="BB188" s="5136"/>
      <c r="BC188" s="3555"/>
      <c r="BD188" s="5143"/>
      <c r="BE188" s="2470"/>
      <c r="BF188" s="5127"/>
      <c r="BG188" s="26"/>
      <c r="BH188" s="26"/>
      <c r="BI188" s="26"/>
      <c r="BJ188" s="26"/>
    </row>
    <row r="189" spans="1:62" ht="20.25" x14ac:dyDescent="0.25">
      <c r="A189" s="122"/>
      <c r="B189" s="2487" t="s">
        <v>719</v>
      </c>
      <c r="C189" s="481" t="s">
        <v>52</v>
      </c>
      <c r="D189" s="243"/>
      <c r="E189" s="2469"/>
      <c r="F189" s="2456">
        <v>3886.5600000000009</v>
      </c>
      <c r="G189" s="2469"/>
      <c r="H189" s="2456">
        <v>0</v>
      </c>
      <c r="I189" s="2470"/>
      <c r="J189" s="2457">
        <f t="shared" si="402"/>
        <v>3886.5600000000009</v>
      </c>
      <c r="K189" s="2469"/>
      <c r="L189" s="2456"/>
      <c r="M189" s="2471"/>
      <c r="N189" s="300">
        <f>F189+H189+L189</f>
        <v>3886.5600000000009</v>
      </c>
      <c r="O189" s="2469"/>
      <c r="P189" s="2456"/>
      <c r="Q189" s="2470"/>
      <c r="R189" s="2457">
        <f t="shared" ref="R189:R198" si="411">N189+P189</f>
        <v>3886.5600000000009</v>
      </c>
      <c r="S189" s="2469"/>
      <c r="T189" s="2562">
        <v>0</v>
      </c>
      <c r="U189" s="2470"/>
      <c r="V189" s="2557">
        <f t="shared" ref="V189" si="412">R189+T189</f>
        <v>3886.5600000000009</v>
      </c>
      <c r="W189" s="2469"/>
      <c r="X189" s="3395"/>
      <c r="Y189" s="2471"/>
      <c r="Z189" s="3396">
        <f t="shared" ref="Z189:Z197" si="413">P189+T189+X189</f>
        <v>0</v>
      </c>
      <c r="AA189" s="3555"/>
      <c r="AB189" s="3550">
        <f>N189+Z189</f>
        <v>3886.5600000000009</v>
      </c>
      <c r="AC189" s="2469"/>
      <c r="AD189" s="4048"/>
      <c r="AE189" s="2470"/>
      <c r="AF189" s="4050">
        <f t="shared" ref="AF189:AF195" si="414">AB189+AD189</f>
        <v>3886.5600000000009</v>
      </c>
      <c r="AG189" s="2469"/>
      <c r="AH189" s="4397"/>
      <c r="AI189" s="2470"/>
      <c r="AJ189" s="4394">
        <f t="shared" ref="AJ189" si="415">AF189+AH189</f>
        <v>3886.5600000000009</v>
      </c>
      <c r="AK189" s="2469"/>
      <c r="AL189" s="4276"/>
      <c r="AM189" s="2471"/>
      <c r="AN189" s="4282">
        <f t="shared" ref="AN189:AN191" si="416">AD189+AH189+AL189</f>
        <v>0</v>
      </c>
      <c r="AO189" s="2470"/>
      <c r="AP189" s="4277">
        <f t="shared" ref="AP189:AP195" si="417">AJ189+AL189</f>
        <v>3886.5600000000009</v>
      </c>
      <c r="AQ189" s="2469"/>
      <c r="AR189" s="4455"/>
      <c r="AS189" s="2470"/>
      <c r="AT189" s="4456">
        <f t="shared" ref="AT189:AT195" si="418">AP189+AR189</f>
        <v>3886.5600000000009</v>
      </c>
      <c r="AU189" s="2469"/>
      <c r="AV189" s="4634"/>
      <c r="AW189" s="2470"/>
      <c r="AX189" s="4635">
        <f t="shared" ref="AX189" si="419">AT189+AV189</f>
        <v>3886.5600000000009</v>
      </c>
      <c r="AY189" s="2469"/>
      <c r="AZ189" s="5135"/>
      <c r="BA189" s="2471"/>
      <c r="BB189" s="5136">
        <f t="shared" ref="BB189:BB191" si="420">AR189+AV189+AZ189</f>
        <v>0</v>
      </c>
      <c r="BC189" s="3555"/>
      <c r="BD189" s="5143">
        <f t="shared" ref="BD189" si="421">AN189+BB189</f>
        <v>0</v>
      </c>
      <c r="BE189" s="2470"/>
      <c r="BF189" s="5127">
        <f t="shared" ref="BF189" si="422">AX189+AZ189</f>
        <v>3886.5600000000009</v>
      </c>
      <c r="BG189" s="26"/>
      <c r="BH189" s="26"/>
      <c r="BI189" s="26"/>
      <c r="BJ189" s="26"/>
    </row>
    <row r="190" spans="1:62" s="4126" customFormat="1" ht="20.25" x14ac:dyDescent="0.25">
      <c r="A190" s="122"/>
      <c r="B190" s="2486" t="s">
        <v>1853</v>
      </c>
      <c r="C190" s="481"/>
      <c r="D190" s="4121"/>
      <c r="E190" s="2469"/>
      <c r="F190" s="4122"/>
      <c r="G190" s="2469"/>
      <c r="H190" s="4122"/>
      <c r="I190" s="2470"/>
      <c r="J190" s="4123"/>
      <c r="K190" s="2469"/>
      <c r="L190" s="4122"/>
      <c r="M190" s="2471"/>
      <c r="N190" s="4125"/>
      <c r="O190" s="2469"/>
      <c r="P190" s="4122"/>
      <c r="Q190" s="2470"/>
      <c r="R190" s="4123"/>
      <c r="S190" s="2469"/>
      <c r="T190" s="4122"/>
      <c r="U190" s="2470"/>
      <c r="V190" s="4123"/>
      <c r="W190" s="2469"/>
      <c r="X190" s="4122"/>
      <c r="Y190" s="2471"/>
      <c r="Z190" s="4125"/>
      <c r="AA190" s="3555"/>
      <c r="AB190" s="4124"/>
      <c r="AC190" s="2469"/>
      <c r="AD190" s="4122"/>
      <c r="AE190" s="2470"/>
      <c r="AF190" s="4485"/>
      <c r="AG190" s="2469"/>
      <c r="AH190" s="4397"/>
      <c r="AI190" s="2470"/>
      <c r="AJ190" s="4394"/>
      <c r="AK190" s="2469"/>
      <c r="AL190" s="4276"/>
      <c r="AM190" s="2471"/>
      <c r="AN190" s="4282"/>
      <c r="AO190" s="2470"/>
      <c r="AP190" s="4485"/>
      <c r="AQ190" s="2469"/>
      <c r="AR190" s="4455"/>
      <c r="AS190" s="2470"/>
      <c r="AT190" s="4485"/>
      <c r="AU190" s="2469"/>
      <c r="AV190" s="4634"/>
      <c r="AW190" s="2470"/>
      <c r="AX190" s="4635"/>
      <c r="AY190" s="2469"/>
      <c r="AZ190" s="5135"/>
      <c r="BA190" s="2471"/>
      <c r="BB190" s="5136"/>
      <c r="BC190" s="3555"/>
      <c r="BD190" s="5143"/>
      <c r="BE190" s="2470"/>
      <c r="BF190" s="5127"/>
      <c r="BG190" s="26"/>
      <c r="BH190" s="26"/>
      <c r="BI190" s="26"/>
      <c r="BJ190" s="26"/>
    </row>
    <row r="191" spans="1:62" s="4126" customFormat="1" ht="20.25" x14ac:dyDescent="0.25">
      <c r="A191" s="122"/>
      <c r="B191" s="2487" t="s">
        <v>719</v>
      </c>
      <c r="C191" s="481"/>
      <c r="D191" s="4121"/>
      <c r="E191" s="2469"/>
      <c r="F191" s="4122"/>
      <c r="G191" s="2469"/>
      <c r="H191" s="4122"/>
      <c r="I191" s="2470"/>
      <c r="J191" s="4123"/>
      <c r="K191" s="2469"/>
      <c r="L191" s="4122"/>
      <c r="M191" s="2471"/>
      <c r="N191" s="4125"/>
      <c r="O191" s="2469"/>
      <c r="P191" s="4122"/>
      <c r="Q191" s="2470"/>
      <c r="R191" s="4123"/>
      <c r="S191" s="2469"/>
      <c r="T191" s="4122"/>
      <c r="U191" s="2470"/>
      <c r="V191" s="4123"/>
      <c r="W191" s="2469"/>
      <c r="X191" s="4122"/>
      <c r="Y191" s="2471"/>
      <c r="Z191" s="4125"/>
      <c r="AA191" s="3555"/>
      <c r="AB191" s="4124"/>
      <c r="AC191" s="2469"/>
      <c r="AD191" s="4122">
        <v>182.94</v>
      </c>
      <c r="AE191" s="2470"/>
      <c r="AF191" s="4485">
        <f t="shared" si="414"/>
        <v>182.94</v>
      </c>
      <c r="AG191" s="2469"/>
      <c r="AH191" s="4397"/>
      <c r="AI191" s="2470"/>
      <c r="AJ191" s="4394">
        <f t="shared" ref="AJ191" si="423">AF191+AH191</f>
        <v>182.94</v>
      </c>
      <c r="AK191" s="2469"/>
      <c r="AL191" s="4276"/>
      <c r="AM191" s="2471"/>
      <c r="AN191" s="4282">
        <f t="shared" si="416"/>
        <v>182.94</v>
      </c>
      <c r="AO191" s="2470"/>
      <c r="AP191" s="4485">
        <f t="shared" si="417"/>
        <v>182.94</v>
      </c>
      <c r="AQ191" s="2469"/>
      <c r="AR191" s="4455"/>
      <c r="AS191" s="2470"/>
      <c r="AT191" s="4485">
        <f t="shared" si="418"/>
        <v>182.94</v>
      </c>
      <c r="AU191" s="2469"/>
      <c r="AV191" s="4634"/>
      <c r="AW191" s="2470"/>
      <c r="AX191" s="4635">
        <f t="shared" ref="AX191" si="424">AT191+AV191</f>
        <v>182.94</v>
      </c>
      <c r="AY191" s="2469"/>
      <c r="AZ191" s="5135"/>
      <c r="BA191" s="2471"/>
      <c r="BB191" s="5136">
        <f t="shared" si="420"/>
        <v>0</v>
      </c>
      <c r="BC191" s="3555"/>
      <c r="BD191" s="5143">
        <f t="shared" ref="BD191" si="425">AN191+BB191</f>
        <v>182.94</v>
      </c>
      <c r="BE191" s="2470"/>
      <c r="BF191" s="5127">
        <f t="shared" ref="BF191" si="426">AX191+AZ191</f>
        <v>182.94</v>
      </c>
      <c r="BG191" s="26"/>
      <c r="BH191" s="26"/>
      <c r="BI191" s="26"/>
      <c r="BJ191" s="26"/>
    </row>
    <row r="192" spans="1:62" ht="20.25" x14ac:dyDescent="0.25">
      <c r="A192" s="122"/>
      <c r="B192" s="2486" t="s">
        <v>1632</v>
      </c>
      <c r="C192" s="481" t="s">
        <v>52</v>
      </c>
      <c r="D192" s="481"/>
      <c r="E192" s="2469"/>
      <c r="F192" s="2456"/>
      <c r="G192" s="2469"/>
      <c r="H192" s="2456"/>
      <c r="I192" s="2470"/>
      <c r="J192" s="2457"/>
      <c r="K192" s="2469"/>
      <c r="L192" s="2456"/>
      <c r="M192" s="2471"/>
      <c r="N192" s="300"/>
      <c r="O192" s="2469"/>
      <c r="P192" s="2456"/>
      <c r="Q192" s="2470"/>
      <c r="R192" s="2457"/>
      <c r="S192" s="2469"/>
      <c r="T192" s="2562"/>
      <c r="U192" s="2470"/>
      <c r="V192" s="2557"/>
      <c r="W192" s="2469"/>
      <c r="X192" s="3395"/>
      <c r="Y192" s="2471"/>
      <c r="Z192" s="3396"/>
      <c r="AA192" s="3555"/>
      <c r="AB192" s="3550"/>
      <c r="AC192" s="2469"/>
      <c r="AD192" s="4048"/>
      <c r="AE192" s="2470"/>
      <c r="AF192" s="4485"/>
      <c r="AG192" s="2469"/>
      <c r="AH192" s="4397"/>
      <c r="AI192" s="2470"/>
      <c r="AJ192" s="4394"/>
      <c r="AK192" s="2469"/>
      <c r="AL192" s="4276"/>
      <c r="AM192" s="2471"/>
      <c r="AN192" s="4282"/>
      <c r="AO192" s="2470"/>
      <c r="AP192" s="4485"/>
      <c r="AQ192" s="2469"/>
      <c r="AR192" s="4455"/>
      <c r="AS192" s="2470"/>
      <c r="AT192" s="4485"/>
      <c r="AU192" s="2469"/>
      <c r="AV192" s="4634"/>
      <c r="AW192" s="2470"/>
      <c r="AX192" s="4635"/>
      <c r="AY192" s="2469"/>
      <c r="AZ192" s="5135"/>
      <c r="BA192" s="2471"/>
      <c r="BB192" s="5136"/>
      <c r="BC192" s="3555"/>
      <c r="BD192" s="5143"/>
      <c r="BE192" s="2470"/>
      <c r="BF192" s="5127"/>
      <c r="BG192" s="26"/>
      <c r="BH192" s="26"/>
      <c r="BI192" s="26"/>
      <c r="BJ192" s="26"/>
    </row>
    <row r="193" spans="1:62" ht="20.25" x14ac:dyDescent="0.25">
      <c r="A193" s="122"/>
      <c r="B193" s="2487" t="s">
        <v>719</v>
      </c>
      <c r="C193" s="243" t="s">
        <v>52</v>
      </c>
      <c r="D193" s="243"/>
      <c r="E193" s="2469"/>
      <c r="F193" s="2456"/>
      <c r="G193" s="2469"/>
      <c r="H193" s="2456">
        <v>2643.46</v>
      </c>
      <c r="I193" s="2470"/>
      <c r="J193" s="2457">
        <f t="shared" si="402"/>
        <v>2643.46</v>
      </c>
      <c r="K193" s="2469"/>
      <c r="L193" s="2456">
        <v>2659.6200000000003</v>
      </c>
      <c r="M193" s="2471"/>
      <c r="N193" s="3568">
        <f>F193+H193+L193</f>
        <v>5303.08</v>
      </c>
      <c r="O193" s="2469"/>
      <c r="P193" s="2456">
        <v>4680.0800000000008</v>
      </c>
      <c r="Q193" s="2470"/>
      <c r="R193" s="2457">
        <f t="shared" si="411"/>
        <v>9983.16</v>
      </c>
      <c r="S193" s="2469"/>
      <c r="T193" s="2562">
        <v>0</v>
      </c>
      <c r="U193" s="2470"/>
      <c r="V193" s="2557">
        <f t="shared" ref="V193" si="427">R193+T193</f>
        <v>9983.16</v>
      </c>
      <c r="W193" s="2469"/>
      <c r="X193" s="3395">
        <v>5539.74</v>
      </c>
      <c r="Y193" s="2471"/>
      <c r="Z193" s="3568">
        <f t="shared" si="413"/>
        <v>10219.82</v>
      </c>
      <c r="AA193" s="3555"/>
      <c r="AB193" s="3565">
        <f>N193+Z193</f>
        <v>15522.9</v>
      </c>
      <c r="AC193" s="2469"/>
      <c r="AD193" s="4048">
        <v>5228.2200000000012</v>
      </c>
      <c r="AE193" s="2470"/>
      <c r="AF193" s="4485">
        <f t="shared" si="414"/>
        <v>20751.120000000003</v>
      </c>
      <c r="AG193" s="2469"/>
      <c r="AH193" s="4397">
        <v>2681.22</v>
      </c>
      <c r="AI193" s="2470"/>
      <c r="AJ193" s="4394">
        <f t="shared" ref="AJ193:AJ195" si="428">AF193+AH193</f>
        <v>23432.340000000004</v>
      </c>
      <c r="AK193" s="2469"/>
      <c r="AL193" s="4276">
        <v>2661.3000000000006</v>
      </c>
      <c r="AM193" s="2471"/>
      <c r="AN193" s="4282">
        <f t="shared" ref="AN193" si="429">AD193+AH193+AL193</f>
        <v>10570.740000000002</v>
      </c>
      <c r="AO193" s="2470"/>
      <c r="AP193" s="4485">
        <f t="shared" si="417"/>
        <v>26093.640000000003</v>
      </c>
      <c r="AQ193" s="2469"/>
      <c r="AR193" s="4455"/>
      <c r="AS193" s="2470"/>
      <c r="AT193" s="4485">
        <f t="shared" si="418"/>
        <v>26093.640000000003</v>
      </c>
      <c r="AU193" s="2469"/>
      <c r="AV193" s="4634"/>
      <c r="AW193" s="2470"/>
      <c r="AX193" s="4635">
        <f t="shared" ref="AX193" si="430">AT193+AV193</f>
        <v>26093.640000000003</v>
      </c>
      <c r="AY193" s="2469"/>
      <c r="AZ193" s="5135">
        <v>1307.5999999999999</v>
      </c>
      <c r="BA193" s="2471"/>
      <c r="BB193" s="5136">
        <f t="shared" ref="BB193" si="431">AR193+AV193+AZ193</f>
        <v>1307.5999999999999</v>
      </c>
      <c r="BC193" s="3555"/>
      <c r="BD193" s="5143">
        <f t="shared" ref="BD193" si="432">AN193+BB193</f>
        <v>11878.340000000002</v>
      </c>
      <c r="BE193" s="2470"/>
      <c r="BF193" s="5127">
        <f t="shared" ref="BF193" si="433">AX193+AZ193</f>
        <v>27401.24</v>
      </c>
      <c r="BG193" s="26"/>
      <c r="BH193" s="26"/>
      <c r="BI193" s="26"/>
      <c r="BJ193" s="26"/>
    </row>
    <row r="194" spans="1:62" s="4489" customFormat="1" ht="20.25" x14ac:dyDescent="0.25">
      <c r="A194" s="122"/>
      <c r="B194" s="2486" t="s">
        <v>1932</v>
      </c>
      <c r="C194" s="481" t="s">
        <v>52</v>
      </c>
      <c r="D194" s="481"/>
      <c r="E194" s="2469"/>
      <c r="F194" s="4487"/>
      <c r="G194" s="2469"/>
      <c r="H194" s="4487"/>
      <c r="I194" s="2470"/>
      <c r="J194" s="4485"/>
      <c r="K194" s="2469"/>
      <c r="L194" s="4487"/>
      <c r="M194" s="2471"/>
      <c r="N194" s="4488"/>
      <c r="O194" s="2469"/>
      <c r="P194" s="4487"/>
      <c r="Q194" s="2470"/>
      <c r="R194" s="4485"/>
      <c r="S194" s="2469"/>
      <c r="T194" s="4487"/>
      <c r="U194" s="2470"/>
      <c r="V194" s="4485"/>
      <c r="W194" s="2469"/>
      <c r="X194" s="4487"/>
      <c r="Y194" s="2471"/>
      <c r="Z194" s="4488"/>
      <c r="AA194" s="3555"/>
      <c r="AB194" s="4490"/>
      <c r="AC194" s="2469"/>
      <c r="AD194" s="4487"/>
      <c r="AE194" s="2470"/>
      <c r="AF194" s="4485"/>
      <c r="AG194" s="2469"/>
      <c r="AH194" s="4487"/>
      <c r="AI194" s="2470"/>
      <c r="AJ194" s="4485"/>
      <c r="AK194" s="2469"/>
      <c r="AL194" s="4487"/>
      <c r="AM194" s="2471"/>
      <c r="AN194" s="4488"/>
      <c r="AO194" s="2470"/>
      <c r="AP194" s="4485"/>
      <c r="AQ194" s="2469"/>
      <c r="AR194" s="4487"/>
      <c r="AS194" s="2470"/>
      <c r="AT194" s="4485"/>
      <c r="AU194" s="2469"/>
      <c r="AV194" s="4634"/>
      <c r="AW194" s="2470"/>
      <c r="AX194" s="4635"/>
      <c r="AY194" s="2469"/>
      <c r="AZ194" s="5135"/>
      <c r="BA194" s="2471"/>
      <c r="BB194" s="5136"/>
      <c r="BC194" s="3555"/>
      <c r="BD194" s="5143"/>
      <c r="BE194" s="2470"/>
      <c r="BF194" s="5127"/>
      <c r="BG194" s="26"/>
      <c r="BH194" s="26"/>
      <c r="BI194" s="26"/>
      <c r="BJ194" s="26"/>
    </row>
    <row r="195" spans="1:62" s="4489" customFormat="1" ht="20.25" x14ac:dyDescent="0.25">
      <c r="A195" s="122"/>
      <c r="B195" s="2487" t="s">
        <v>1933</v>
      </c>
      <c r="C195" s="4486" t="s">
        <v>52</v>
      </c>
      <c r="D195" s="4486"/>
      <c r="E195" s="2469"/>
      <c r="F195" s="4487">
        <v>65.64</v>
      </c>
      <c r="G195" s="2469"/>
      <c r="H195" s="4487"/>
      <c r="I195" s="2470"/>
      <c r="J195" s="4485">
        <f t="shared" ref="J195" si="434">F195+H195</f>
        <v>65.64</v>
      </c>
      <c r="K195" s="2469"/>
      <c r="L195" s="4487"/>
      <c r="M195" s="2471"/>
      <c r="N195" s="4488">
        <f>F195+H195+L195</f>
        <v>65.64</v>
      </c>
      <c r="O195" s="2469"/>
      <c r="P195" s="4487"/>
      <c r="Q195" s="2470"/>
      <c r="R195" s="4485"/>
      <c r="S195" s="2469"/>
      <c r="T195" s="4487"/>
      <c r="U195" s="2470"/>
      <c r="V195" s="4485"/>
      <c r="W195" s="2469"/>
      <c r="X195" s="4487"/>
      <c r="Y195" s="2471"/>
      <c r="Z195" s="4488">
        <f t="shared" ref="Z195" si="435">P195+T195+X195</f>
        <v>0</v>
      </c>
      <c r="AA195" s="3555"/>
      <c r="AB195" s="4490">
        <f>N195+Z195</f>
        <v>65.64</v>
      </c>
      <c r="AC195" s="2469"/>
      <c r="AD195" s="4487"/>
      <c r="AE195" s="2470"/>
      <c r="AF195" s="4485">
        <f t="shared" si="414"/>
        <v>65.64</v>
      </c>
      <c r="AG195" s="2469"/>
      <c r="AH195" s="4487"/>
      <c r="AI195" s="2470"/>
      <c r="AJ195" s="4485">
        <f t="shared" si="428"/>
        <v>65.64</v>
      </c>
      <c r="AK195" s="2469"/>
      <c r="AL195" s="4487"/>
      <c r="AM195" s="2471"/>
      <c r="AN195" s="4488">
        <f t="shared" ref="AN195" si="436">AD195+AH195+AL195</f>
        <v>0</v>
      </c>
      <c r="AO195" s="2470"/>
      <c r="AP195" s="4485">
        <f t="shared" si="417"/>
        <v>65.64</v>
      </c>
      <c r="AQ195" s="2469"/>
      <c r="AR195" s="4487"/>
      <c r="AS195" s="2470"/>
      <c r="AT195" s="4485">
        <f t="shared" si="418"/>
        <v>65.64</v>
      </c>
      <c r="AU195" s="2469"/>
      <c r="AV195" s="4634"/>
      <c r="AW195" s="2470"/>
      <c r="AX195" s="4635">
        <f t="shared" ref="AX195" si="437">AT195+AV195</f>
        <v>65.64</v>
      </c>
      <c r="AY195" s="2469"/>
      <c r="AZ195" s="5135"/>
      <c r="BA195" s="2471"/>
      <c r="BB195" s="5136">
        <f t="shared" ref="BB195" si="438">AR195+AV195+AZ195</f>
        <v>0</v>
      </c>
      <c r="BC195" s="3555"/>
      <c r="BD195" s="5143">
        <f t="shared" ref="BD195:BD197" si="439">AN195+BB195</f>
        <v>0</v>
      </c>
      <c r="BE195" s="2470"/>
      <c r="BF195" s="5127">
        <f t="shared" ref="BF195" si="440">AX195+AZ195</f>
        <v>65.64</v>
      </c>
      <c r="BG195" s="26"/>
      <c r="BH195" s="26"/>
      <c r="BI195" s="26"/>
      <c r="BJ195" s="26"/>
    </row>
    <row r="196" spans="1:62" ht="21.2" customHeight="1" x14ac:dyDescent="0.25">
      <c r="A196" s="188"/>
      <c r="B196" s="2486" t="s">
        <v>1183</v>
      </c>
      <c r="C196" s="481" t="s">
        <v>52</v>
      </c>
      <c r="D196" s="243"/>
      <c r="E196" s="2469"/>
      <c r="F196" s="2456"/>
      <c r="G196" s="2469"/>
      <c r="H196" s="2456"/>
      <c r="I196" s="2470"/>
      <c r="J196" s="2457">
        <f t="shared" si="402"/>
        <v>0</v>
      </c>
      <c r="K196" s="2469"/>
      <c r="L196" s="2456"/>
      <c r="M196" s="2471"/>
      <c r="N196" s="300"/>
      <c r="O196" s="2469"/>
      <c r="P196" s="2456"/>
      <c r="Q196" s="2470"/>
      <c r="R196" s="2457"/>
      <c r="S196" s="2469"/>
      <c r="T196" s="2562"/>
      <c r="U196" s="2470"/>
      <c r="V196" s="2557"/>
      <c r="W196" s="2469"/>
      <c r="X196" s="3395"/>
      <c r="Y196" s="2471"/>
      <c r="Z196" s="3396"/>
      <c r="AA196" s="3555"/>
      <c r="AB196" s="3550"/>
      <c r="AC196" s="2469"/>
      <c r="AD196" s="4048"/>
      <c r="AE196" s="2470"/>
      <c r="AF196" s="4485"/>
      <c r="AG196" s="2469"/>
      <c r="AH196" s="4397"/>
      <c r="AI196" s="2470"/>
      <c r="AJ196" s="4394"/>
      <c r="AK196" s="2469"/>
      <c r="AL196" s="4276"/>
      <c r="AM196" s="2471"/>
      <c r="AN196" s="4282"/>
      <c r="AO196" s="2470"/>
      <c r="AP196" s="4277"/>
      <c r="AQ196" s="2469"/>
      <c r="AR196" s="4455"/>
      <c r="AS196" s="2470"/>
      <c r="AT196" s="4456"/>
      <c r="AU196" s="2469"/>
      <c r="AV196" s="4634"/>
      <c r="AW196" s="2470"/>
      <c r="AX196" s="4635"/>
      <c r="AY196" s="2469"/>
      <c r="AZ196" s="5135"/>
      <c r="BA196" s="2471"/>
      <c r="BB196" s="5136"/>
      <c r="BC196" s="3555"/>
      <c r="BD196" s="5143"/>
      <c r="BE196" s="2470"/>
      <c r="BF196" s="5127"/>
      <c r="BG196" s="26"/>
      <c r="BH196" s="26"/>
      <c r="BI196" s="26"/>
      <c r="BJ196" s="26"/>
    </row>
    <row r="197" spans="1:62" ht="20.25" x14ac:dyDescent="0.25">
      <c r="A197" s="188"/>
      <c r="B197" s="2487" t="s">
        <v>719</v>
      </c>
      <c r="C197" s="243" t="s">
        <v>52</v>
      </c>
      <c r="D197" s="243"/>
      <c r="E197" s="2469"/>
      <c r="F197" s="2456"/>
      <c r="G197" s="2469"/>
      <c r="H197" s="2456">
        <v>96.44</v>
      </c>
      <c r="I197" s="2470"/>
      <c r="J197" s="2457">
        <f t="shared" si="402"/>
        <v>96.44</v>
      </c>
      <c r="K197" s="2469"/>
      <c r="L197" s="2456"/>
      <c r="M197" s="2471"/>
      <c r="N197" s="3568">
        <f>F197+H197+L197</f>
        <v>96.44</v>
      </c>
      <c r="O197" s="2469"/>
      <c r="P197" s="2456"/>
      <c r="Q197" s="2470"/>
      <c r="R197" s="2457">
        <f t="shared" si="411"/>
        <v>96.44</v>
      </c>
      <c r="S197" s="2469"/>
      <c r="T197" s="2562">
        <v>0</v>
      </c>
      <c r="U197" s="2470"/>
      <c r="V197" s="2557">
        <f t="shared" ref="V197:V198" si="441">R197+T197</f>
        <v>96.44</v>
      </c>
      <c r="W197" s="2469"/>
      <c r="X197" s="3395"/>
      <c r="Y197" s="2471"/>
      <c r="Z197" s="3568">
        <f t="shared" si="413"/>
        <v>0</v>
      </c>
      <c r="AA197" s="3555"/>
      <c r="AB197" s="3565">
        <f>N197+Z197</f>
        <v>96.44</v>
      </c>
      <c r="AC197" s="2469"/>
      <c r="AD197" s="4048"/>
      <c r="AE197" s="2470"/>
      <c r="AF197" s="4050">
        <f t="shared" ref="AF197:AF198" si="442">AB197+AD197</f>
        <v>96.44</v>
      </c>
      <c r="AG197" s="2469"/>
      <c r="AH197" s="4397">
        <v>74.78</v>
      </c>
      <c r="AI197" s="2470"/>
      <c r="AJ197" s="4394">
        <f t="shared" ref="AJ197:AJ198" si="443">AF197+AH197</f>
        <v>171.22</v>
      </c>
      <c r="AK197" s="2469"/>
      <c r="AL197" s="4276">
        <v>32.159999999999997</v>
      </c>
      <c r="AM197" s="2471"/>
      <c r="AN197" s="4282">
        <f t="shared" ref="AN197" si="444">AD197+AH197+AL197</f>
        <v>106.94</v>
      </c>
      <c r="AO197" s="2470"/>
      <c r="AP197" s="4277">
        <f t="shared" ref="AO197:AP198" si="445">AJ197+AL197</f>
        <v>203.38</v>
      </c>
      <c r="AQ197" s="2469"/>
      <c r="AR197" s="4455"/>
      <c r="AS197" s="2470"/>
      <c r="AT197" s="4456">
        <f t="shared" ref="AT197:AT198" si="446">AP197+AR197</f>
        <v>203.38</v>
      </c>
      <c r="AU197" s="2469"/>
      <c r="AV197" s="4634"/>
      <c r="AW197" s="2470"/>
      <c r="AX197" s="4635">
        <f t="shared" ref="AX197:AX198" si="447">AT197+AV197</f>
        <v>203.38</v>
      </c>
      <c r="AY197" s="2469"/>
      <c r="AZ197" s="5135"/>
      <c r="BA197" s="2471"/>
      <c r="BB197" s="5136">
        <f t="shared" ref="BB197" si="448">AR197+AV197+AZ197</f>
        <v>0</v>
      </c>
      <c r="BC197" s="3555"/>
      <c r="BD197" s="5237">
        <f t="shared" si="439"/>
        <v>106.94</v>
      </c>
      <c r="BE197" s="2470"/>
      <c r="BF197" s="5127">
        <f t="shared" ref="BF197:BF198" si="449">AX197+AZ197</f>
        <v>203.38</v>
      </c>
      <c r="BG197" s="26"/>
      <c r="BH197" s="26"/>
      <c r="BI197" s="26"/>
      <c r="BJ197" s="26"/>
    </row>
    <row r="198" spans="1:62" ht="20.25" customHeight="1" x14ac:dyDescent="0.25">
      <c r="A198" s="188"/>
      <c r="B198" s="2488" t="s">
        <v>2</v>
      </c>
      <c r="C198" s="243" t="s">
        <v>52</v>
      </c>
      <c r="D198" s="245">
        <f>+D9</f>
        <v>70000</v>
      </c>
      <c r="E198" s="245">
        <f>+E9</f>
        <v>6000</v>
      </c>
      <c r="F198" s="748">
        <f>SUM(F188:F197)</f>
        <v>3952.2000000000007</v>
      </c>
      <c r="G198" s="245">
        <f>+G9</f>
        <v>5000</v>
      </c>
      <c r="H198" s="748">
        <f>SUM(H188:H197)</f>
        <v>2739.9</v>
      </c>
      <c r="I198" s="2457">
        <f>E198+G198</f>
        <v>11000</v>
      </c>
      <c r="J198" s="782">
        <f t="shared" si="402"/>
        <v>6692.1</v>
      </c>
      <c r="K198" s="245">
        <f>+K9</f>
        <v>5000</v>
      </c>
      <c r="L198" s="748">
        <f>SUM(L188:L197)</f>
        <v>2659.6200000000003</v>
      </c>
      <c r="M198" s="300">
        <f>E198+G198+K198</f>
        <v>16000</v>
      </c>
      <c r="N198" s="783">
        <f>F198+H198+L198</f>
        <v>9351.7200000000012</v>
      </c>
      <c r="O198" s="245">
        <f>+O9</f>
        <v>6000</v>
      </c>
      <c r="P198" s="748">
        <f>SUM(P188:P197)</f>
        <v>4680.0800000000008</v>
      </c>
      <c r="Q198" s="2457">
        <f>M198+O198</f>
        <v>22000</v>
      </c>
      <c r="R198" s="782">
        <f t="shared" si="411"/>
        <v>14031.800000000003</v>
      </c>
      <c r="S198" s="245">
        <f>+S9</f>
        <v>6000</v>
      </c>
      <c r="T198" s="748">
        <f>SUM(T188:T197)</f>
        <v>0</v>
      </c>
      <c r="U198" s="2557">
        <f>Q198+S198</f>
        <v>28000</v>
      </c>
      <c r="V198" s="2558">
        <f t="shared" si="441"/>
        <v>14031.800000000003</v>
      </c>
      <c r="W198" s="245">
        <v>6000</v>
      </c>
      <c r="X198" s="748">
        <f>SUM(X188:X197)</f>
        <v>5539.74</v>
      </c>
      <c r="Y198" s="3396">
        <f>O198+S198+W198</f>
        <v>18000</v>
      </c>
      <c r="Z198" s="3393">
        <f>P198+T198+X198</f>
        <v>10219.82</v>
      </c>
      <c r="AA198" s="3550">
        <f>M198+Y198</f>
        <v>34000</v>
      </c>
      <c r="AB198" s="3551">
        <f>N198+Z198</f>
        <v>19571.54</v>
      </c>
      <c r="AC198" s="245">
        <f>+AC9</f>
        <v>6000</v>
      </c>
      <c r="AD198" s="748">
        <f>SUM(AD188:AD197)</f>
        <v>5411.1600000000008</v>
      </c>
      <c r="AE198" s="4050">
        <f>AA198+AC198</f>
        <v>40000</v>
      </c>
      <c r="AF198" s="4051">
        <f t="shared" si="442"/>
        <v>24982.7</v>
      </c>
      <c r="AG198" s="245">
        <f>+AG9</f>
        <v>6000</v>
      </c>
      <c r="AH198" s="748">
        <f>SUM(AH188:AH197)</f>
        <v>2756</v>
      </c>
      <c r="AI198" s="4394">
        <f>AE198+AG198</f>
        <v>46000</v>
      </c>
      <c r="AJ198" s="4392">
        <f t="shared" si="443"/>
        <v>27738.7</v>
      </c>
      <c r="AK198" s="245">
        <f>+AK9</f>
        <v>6000</v>
      </c>
      <c r="AL198" s="748">
        <f>SUM(AL188:AL197)</f>
        <v>2693.4600000000005</v>
      </c>
      <c r="AM198" s="4282">
        <f>AC198+AG198+AK198</f>
        <v>18000</v>
      </c>
      <c r="AN198" s="4283">
        <f>AD198+AH198+AL198</f>
        <v>10860.62</v>
      </c>
      <c r="AO198" s="4277">
        <f t="shared" si="445"/>
        <v>52000</v>
      </c>
      <c r="AP198" s="4273">
        <f t="shared" si="445"/>
        <v>30432.16</v>
      </c>
      <c r="AQ198" s="245">
        <f>+AQ9</f>
        <v>6000</v>
      </c>
      <c r="AR198" s="748">
        <f>SUM(AR188:AR197)</f>
        <v>0</v>
      </c>
      <c r="AS198" s="4456">
        <f>AO198+AQ198</f>
        <v>58000</v>
      </c>
      <c r="AT198" s="4453">
        <f t="shared" si="446"/>
        <v>30432.16</v>
      </c>
      <c r="AU198" s="245">
        <f>+AU9</f>
        <v>6000</v>
      </c>
      <c r="AV198" s="748">
        <f>SUM(AV188:AV197)</f>
        <v>0</v>
      </c>
      <c r="AW198" s="4635">
        <f>AS198+AU198</f>
        <v>64000</v>
      </c>
      <c r="AX198" s="4630">
        <f t="shared" si="447"/>
        <v>30432.16</v>
      </c>
      <c r="AY198" s="245">
        <f>+AY9</f>
        <v>6000</v>
      </c>
      <c r="AZ198" s="748">
        <f>SUM(AZ188:AZ197)</f>
        <v>1307.5999999999999</v>
      </c>
      <c r="BA198" s="5136">
        <f>AQ198+AU198+AY198</f>
        <v>18000</v>
      </c>
      <c r="BB198" s="5129">
        <f>AR198+AV198+AZ198</f>
        <v>1307.5999999999999</v>
      </c>
      <c r="BC198" s="5143">
        <f t="shared" ref="BC198" si="450">AM198+BA198</f>
        <v>36000</v>
      </c>
      <c r="BD198" s="5140">
        <f>AN198+BB198</f>
        <v>12168.220000000001</v>
      </c>
      <c r="BE198" s="5127">
        <f>AW198+AY198</f>
        <v>70000</v>
      </c>
      <c r="BF198" s="5124">
        <f t="shared" si="449"/>
        <v>31739.759999999998</v>
      </c>
      <c r="BG198" s="26"/>
      <c r="BH198" s="26"/>
      <c r="BI198" s="26"/>
      <c r="BJ198" s="26"/>
    </row>
    <row r="199" spans="1:62" ht="20.25" customHeight="1" x14ac:dyDescent="0.35">
      <c r="A199" s="188"/>
      <c r="B199" s="2489"/>
      <c r="C199" s="2064"/>
      <c r="D199" s="2064"/>
      <c r="E199" s="2064"/>
      <c r="F199" s="2490"/>
      <c r="G199" s="2064"/>
      <c r="H199" s="2490"/>
      <c r="I199" s="2430"/>
      <c r="J199" s="2491"/>
      <c r="K199" s="2064"/>
      <c r="L199" s="2490"/>
      <c r="M199" s="2358"/>
      <c r="N199" s="2492"/>
      <c r="O199" s="2064"/>
      <c r="P199" s="2490"/>
      <c r="Q199" s="2430"/>
      <c r="R199" s="2491"/>
      <c r="S199" s="2064"/>
      <c r="T199" s="2490"/>
      <c r="U199" s="2430"/>
      <c r="V199" s="2491"/>
      <c r="W199" s="2064"/>
      <c r="X199" s="2490"/>
      <c r="Y199" s="2358"/>
      <c r="Z199" s="2492"/>
      <c r="AA199" s="3556"/>
      <c r="AB199" s="3557"/>
      <c r="AC199" s="2064"/>
      <c r="AD199" s="2490"/>
      <c r="AE199" s="2430"/>
      <c r="AF199" s="2491"/>
      <c r="AG199" s="2064"/>
      <c r="AH199" s="2490"/>
      <c r="AI199" s="2430"/>
      <c r="AJ199" s="2491"/>
      <c r="AK199" s="2064"/>
      <c r="AL199" s="2490"/>
      <c r="AM199" s="2358"/>
      <c r="AN199" s="2492"/>
      <c r="AO199" s="2430"/>
      <c r="AP199" s="2491"/>
      <c r="AQ199" s="2064"/>
      <c r="AR199" s="2490"/>
      <c r="AS199" s="2430"/>
      <c r="AT199" s="2491"/>
      <c r="AU199" s="2064"/>
      <c r="AV199" s="2490"/>
      <c r="AW199" s="2430"/>
      <c r="AX199" s="2491"/>
      <c r="AY199" s="2064"/>
      <c r="AZ199" s="2490"/>
      <c r="BA199" s="2358"/>
      <c r="BB199" s="2492"/>
      <c r="BC199" s="3556"/>
      <c r="BD199" s="3557"/>
      <c r="BE199" s="2430"/>
      <c r="BF199" s="2491"/>
      <c r="BG199" s="26"/>
      <c r="BH199" s="26"/>
      <c r="BI199" s="26"/>
      <c r="BJ199" s="26"/>
    </row>
    <row r="200" spans="1:62" ht="40.5" customHeight="1" x14ac:dyDescent="0.25">
      <c r="A200" s="188"/>
      <c r="B200" s="2484" t="s">
        <v>327</v>
      </c>
      <c r="C200" s="299"/>
      <c r="D200" s="299"/>
      <c r="E200" s="299"/>
      <c r="F200" s="299"/>
      <c r="G200" s="299"/>
      <c r="H200" s="299"/>
      <c r="I200" s="2339"/>
      <c r="J200" s="2339"/>
      <c r="K200" s="299"/>
      <c r="L200" s="299"/>
      <c r="M200" s="2464"/>
      <c r="N200" s="2464"/>
      <c r="O200" s="299"/>
      <c r="P200" s="299"/>
      <c r="Q200" s="2339"/>
      <c r="R200" s="2339"/>
      <c r="S200" s="299"/>
      <c r="T200" s="299"/>
      <c r="U200" s="2339"/>
      <c r="V200" s="2339"/>
      <c r="W200" s="299"/>
      <c r="X200" s="299"/>
      <c r="Y200" s="2464"/>
      <c r="Z200" s="2464"/>
      <c r="AA200" s="3549"/>
      <c r="AB200" s="3549"/>
      <c r="AC200" s="299"/>
      <c r="AD200" s="299"/>
      <c r="AE200" s="2339"/>
      <c r="AF200" s="2339"/>
      <c r="AG200" s="299"/>
      <c r="AH200" s="299"/>
      <c r="AI200" s="2339"/>
      <c r="AJ200" s="2339"/>
      <c r="AK200" s="299"/>
      <c r="AL200" s="299"/>
      <c r="AM200" s="2464"/>
      <c r="AN200" s="2464"/>
      <c r="AO200" s="2339"/>
      <c r="AP200" s="2339"/>
      <c r="AQ200" s="299"/>
      <c r="AR200" s="299"/>
      <c r="AS200" s="2339"/>
      <c r="AT200" s="2339"/>
      <c r="AU200" s="299"/>
      <c r="AV200" s="299"/>
      <c r="AW200" s="2339"/>
      <c r="AX200" s="2339"/>
      <c r="AY200" s="299"/>
      <c r="AZ200" s="299"/>
      <c r="BA200" s="2464"/>
      <c r="BB200" s="2464"/>
      <c r="BC200" s="3549"/>
      <c r="BD200" s="3549"/>
      <c r="BE200" s="2339"/>
      <c r="BF200" s="2339"/>
      <c r="BG200" s="26"/>
      <c r="BH200" s="26"/>
      <c r="BI200" s="26"/>
      <c r="BJ200" s="26"/>
    </row>
    <row r="201" spans="1:62" ht="20.25" customHeight="1" x14ac:dyDescent="0.25">
      <c r="A201" s="188"/>
      <c r="B201" s="2002" t="s">
        <v>889</v>
      </c>
      <c r="C201" s="1523" t="s">
        <v>907</v>
      </c>
      <c r="D201" s="1523"/>
      <c r="E201" s="890"/>
      <c r="F201" s="2456"/>
      <c r="G201" s="890"/>
      <c r="H201" s="2456">
        <v>1477.7800000000002</v>
      </c>
      <c r="I201" s="2342"/>
      <c r="J201" s="2457">
        <f>F201+H201</f>
        <v>1477.7800000000002</v>
      </c>
      <c r="K201" s="890"/>
      <c r="L201" s="2456">
        <v>435.75</v>
      </c>
      <c r="M201" s="2466"/>
      <c r="N201" s="3568">
        <f t="shared" ref="N201:N235" si="451">F201+H201+L201</f>
        <v>1913.5300000000002</v>
      </c>
      <c r="O201" s="890"/>
      <c r="P201" s="2456">
        <v>67.16</v>
      </c>
      <c r="Q201" s="2342"/>
      <c r="R201" s="2457">
        <f>N201+P201</f>
        <v>1980.6900000000003</v>
      </c>
      <c r="S201" s="890"/>
      <c r="T201" s="2562"/>
      <c r="U201" s="2342"/>
      <c r="V201" s="2557">
        <f>R201+T201</f>
        <v>1980.6900000000003</v>
      </c>
      <c r="W201" s="890"/>
      <c r="X201" s="3395"/>
      <c r="Y201" s="2466"/>
      <c r="Z201" s="2467">
        <f t="shared" ref="Z201:Z236" si="452">P201+T201+X201</f>
        <v>67.16</v>
      </c>
      <c r="AA201" s="3558"/>
      <c r="AB201" s="3550">
        <f t="shared" ref="AB201:AB235" si="453">N201+Z201</f>
        <v>1980.6900000000003</v>
      </c>
      <c r="AC201" s="890"/>
      <c r="AD201" s="4048"/>
      <c r="AE201" s="2342"/>
      <c r="AF201" s="4050">
        <f>AB201+AD201</f>
        <v>1980.6900000000003</v>
      </c>
      <c r="AG201" s="890"/>
      <c r="AH201" s="4397">
        <v>385.82</v>
      </c>
      <c r="AI201" s="2342"/>
      <c r="AJ201" s="4394">
        <f>AF201+AH201</f>
        <v>2366.5100000000002</v>
      </c>
      <c r="AK201" s="890"/>
      <c r="AL201" s="4276"/>
      <c r="AM201" s="2466"/>
      <c r="AN201" s="2467">
        <f t="shared" ref="AN201:AN236" si="454">AD201+AH201+AL201</f>
        <v>385.82</v>
      </c>
      <c r="AO201" s="2342"/>
      <c r="AP201" s="4277">
        <f t="shared" ref="AO201:AP239" si="455">AJ201+AL201</f>
        <v>2366.5100000000002</v>
      </c>
      <c r="AQ201" s="890"/>
      <c r="AR201" s="4455"/>
      <c r="AS201" s="2342"/>
      <c r="AT201" s="4456">
        <f>AP201+AR201</f>
        <v>2366.5100000000002</v>
      </c>
      <c r="AU201" s="890"/>
      <c r="AV201" s="4634">
        <v>1977.1200000000001</v>
      </c>
      <c r="AW201" s="2342"/>
      <c r="AX201" s="4635">
        <f>AT201+AV201</f>
        <v>4343.63</v>
      </c>
      <c r="AY201" s="890"/>
      <c r="AZ201" s="5135"/>
      <c r="BA201" s="2466"/>
      <c r="BB201" s="2467">
        <f t="shared" ref="BB201:BB223" si="456">AR201+AV201+AZ201</f>
        <v>1977.1200000000001</v>
      </c>
      <c r="BC201" s="3558"/>
      <c r="BD201" s="5143">
        <f t="shared" ref="BD201:BD235" si="457">AN201+BB201</f>
        <v>2362.94</v>
      </c>
      <c r="BE201" s="2342"/>
      <c r="BF201" s="5127">
        <f>AX201+AZ201</f>
        <v>4343.63</v>
      </c>
      <c r="BG201" s="26"/>
      <c r="BH201" s="26"/>
      <c r="BI201" s="26"/>
      <c r="BJ201" s="26"/>
    </row>
    <row r="202" spans="1:62" ht="20.25" x14ac:dyDescent="0.25">
      <c r="A202" s="188"/>
      <c r="B202" s="2002" t="s">
        <v>889</v>
      </c>
      <c r="C202" s="1523" t="s">
        <v>916</v>
      </c>
      <c r="D202" s="1523"/>
      <c r="E202" s="890"/>
      <c r="F202" s="2456"/>
      <c r="G202" s="890"/>
      <c r="H202" s="2456">
        <v>1021.5</v>
      </c>
      <c r="I202" s="2342"/>
      <c r="J202" s="2457">
        <f t="shared" ref="J202:J241" si="458">F202+H202</f>
        <v>1021.5</v>
      </c>
      <c r="K202" s="890"/>
      <c r="L202" s="2456"/>
      <c r="M202" s="2466"/>
      <c r="N202" s="3568">
        <f t="shared" si="451"/>
        <v>1021.5</v>
      </c>
      <c r="O202" s="890"/>
      <c r="P202" s="2456"/>
      <c r="Q202" s="2342"/>
      <c r="R202" s="2457">
        <f t="shared" ref="R202:R241" si="459">N202+P202</f>
        <v>1021.5</v>
      </c>
      <c r="S202" s="890"/>
      <c r="T202" s="2562">
        <v>0</v>
      </c>
      <c r="U202" s="2342"/>
      <c r="V202" s="2557">
        <f t="shared" ref="V202:V236" si="460">R202+T202</f>
        <v>1021.5</v>
      </c>
      <c r="W202" s="890"/>
      <c r="X202" s="3395">
        <v>64.42</v>
      </c>
      <c r="Y202" s="2466"/>
      <c r="Z202" s="2467">
        <f t="shared" si="452"/>
        <v>64.42</v>
      </c>
      <c r="AA202" s="3558"/>
      <c r="AB202" s="3565">
        <f t="shared" si="453"/>
        <v>1085.92</v>
      </c>
      <c r="AC202" s="890"/>
      <c r="AD202" s="4048"/>
      <c r="AE202" s="2342"/>
      <c r="AF202" s="4050">
        <f t="shared" ref="AF202:AF230" si="461">AB202+AD202</f>
        <v>1085.92</v>
      </c>
      <c r="AG202" s="890"/>
      <c r="AH202" s="4397">
        <v>1416.48</v>
      </c>
      <c r="AI202" s="2342"/>
      <c r="AJ202" s="4394">
        <f t="shared" ref="AJ202:AJ230" si="462">AF202+AH202</f>
        <v>2502.4</v>
      </c>
      <c r="AK202" s="890"/>
      <c r="AL202" s="4276"/>
      <c r="AM202" s="2466"/>
      <c r="AN202" s="2467">
        <f t="shared" si="454"/>
        <v>1416.48</v>
      </c>
      <c r="AO202" s="2342"/>
      <c r="AP202" s="4277">
        <f t="shared" si="455"/>
        <v>2502.4</v>
      </c>
      <c r="AQ202" s="890"/>
      <c r="AR202" s="4455"/>
      <c r="AS202" s="2342"/>
      <c r="AT202" s="4456">
        <f t="shared" ref="AT202:AT230" si="463">AP202+AR202</f>
        <v>2502.4</v>
      </c>
      <c r="AU202" s="890"/>
      <c r="AV202" s="4634"/>
      <c r="AW202" s="2342"/>
      <c r="AX202" s="4635">
        <f t="shared" ref="AX202:AX230" si="464">AT202+AV202</f>
        <v>2502.4</v>
      </c>
      <c r="AY202" s="890"/>
      <c r="AZ202" s="5135"/>
      <c r="BA202" s="2466"/>
      <c r="BB202" s="2467">
        <f t="shared" si="456"/>
        <v>0</v>
      </c>
      <c r="BC202" s="3558"/>
      <c r="BD202" s="5143">
        <f t="shared" si="457"/>
        <v>1416.48</v>
      </c>
      <c r="BE202" s="2342"/>
      <c r="BF202" s="5127">
        <f t="shared" ref="BF202:BF230" si="465">AX202+AZ202</f>
        <v>2502.4</v>
      </c>
      <c r="BG202" s="26"/>
      <c r="BH202" s="26"/>
      <c r="BI202" s="26"/>
      <c r="BJ202" s="26"/>
    </row>
    <row r="203" spans="1:62" ht="20.25" x14ac:dyDescent="0.25">
      <c r="A203" s="188"/>
      <c r="B203" s="2002" t="s">
        <v>889</v>
      </c>
      <c r="C203" s="1523" t="s">
        <v>1052</v>
      </c>
      <c r="D203" s="1523"/>
      <c r="E203" s="890"/>
      <c r="F203" s="2456"/>
      <c r="G203" s="890"/>
      <c r="H203" s="2456">
        <v>516.48</v>
      </c>
      <c r="I203" s="2342"/>
      <c r="J203" s="2457">
        <f t="shared" si="458"/>
        <v>516.48</v>
      </c>
      <c r="K203" s="890"/>
      <c r="L203" s="2456"/>
      <c r="M203" s="2466"/>
      <c r="N203" s="3568">
        <f t="shared" si="451"/>
        <v>516.48</v>
      </c>
      <c r="O203" s="890"/>
      <c r="P203" s="2456"/>
      <c r="Q203" s="2342"/>
      <c r="R203" s="2457">
        <f t="shared" si="459"/>
        <v>516.48</v>
      </c>
      <c r="S203" s="890"/>
      <c r="T203" s="2562">
        <v>64.06</v>
      </c>
      <c r="U203" s="2342"/>
      <c r="V203" s="2557">
        <f t="shared" si="460"/>
        <v>580.54</v>
      </c>
      <c r="W203" s="890"/>
      <c r="X203" s="3395"/>
      <c r="Y203" s="2466"/>
      <c r="Z203" s="2467">
        <f t="shared" si="452"/>
        <v>64.06</v>
      </c>
      <c r="AA203" s="3558"/>
      <c r="AB203" s="3565">
        <f t="shared" si="453"/>
        <v>580.54</v>
      </c>
      <c r="AC203" s="890"/>
      <c r="AD203" s="4048"/>
      <c r="AE203" s="2342"/>
      <c r="AF203" s="4050">
        <f t="shared" si="461"/>
        <v>580.54</v>
      </c>
      <c r="AG203" s="890"/>
      <c r="AH203" s="4397"/>
      <c r="AI203" s="2342"/>
      <c r="AJ203" s="4394">
        <f t="shared" si="462"/>
        <v>580.54</v>
      </c>
      <c r="AK203" s="890"/>
      <c r="AL203" s="4276"/>
      <c r="AM203" s="2466"/>
      <c r="AN203" s="2467">
        <f t="shared" si="454"/>
        <v>0</v>
      </c>
      <c r="AO203" s="2342"/>
      <c r="AP203" s="4277">
        <f t="shared" si="455"/>
        <v>580.54</v>
      </c>
      <c r="AQ203" s="890"/>
      <c r="AR203" s="4455"/>
      <c r="AS203" s="2342"/>
      <c r="AT203" s="4456">
        <f t="shared" si="463"/>
        <v>580.54</v>
      </c>
      <c r="AU203" s="890"/>
      <c r="AV203" s="4634"/>
      <c r="AW203" s="2342"/>
      <c r="AX203" s="4635">
        <f t="shared" si="464"/>
        <v>580.54</v>
      </c>
      <c r="AY203" s="890"/>
      <c r="AZ203" s="5135"/>
      <c r="BA203" s="2466"/>
      <c r="BB203" s="2467">
        <f t="shared" si="456"/>
        <v>0</v>
      </c>
      <c r="BC203" s="3558"/>
      <c r="BD203" s="5143">
        <f t="shared" si="457"/>
        <v>0</v>
      </c>
      <c r="BE203" s="2342"/>
      <c r="BF203" s="5127">
        <f t="shared" si="465"/>
        <v>580.54</v>
      </c>
      <c r="BG203" s="26"/>
      <c r="BH203" s="26"/>
      <c r="BI203" s="26"/>
      <c r="BJ203" s="26"/>
    </row>
    <row r="204" spans="1:62" ht="20.25" x14ac:dyDescent="0.25">
      <c r="A204" s="188"/>
      <c r="B204" s="2002" t="s">
        <v>888</v>
      </c>
      <c r="C204" s="1523" t="s">
        <v>907</v>
      </c>
      <c r="D204" s="1523"/>
      <c r="E204" s="890"/>
      <c r="F204" s="2456">
        <v>12107.099999999999</v>
      </c>
      <c r="G204" s="890"/>
      <c r="H204" s="2456">
        <v>9543.0599999999959</v>
      </c>
      <c r="I204" s="2342"/>
      <c r="J204" s="2457">
        <f t="shared" si="458"/>
        <v>21650.159999999996</v>
      </c>
      <c r="K204" s="890"/>
      <c r="L204" s="2456">
        <v>5881.8999999999987</v>
      </c>
      <c r="M204" s="2466"/>
      <c r="N204" s="3568">
        <f t="shared" si="451"/>
        <v>27532.059999999994</v>
      </c>
      <c r="O204" s="890"/>
      <c r="P204" s="2456">
        <v>13489.480000000003</v>
      </c>
      <c r="Q204" s="2342"/>
      <c r="R204" s="2457">
        <f t="shared" si="459"/>
        <v>41021.539999999994</v>
      </c>
      <c r="S204" s="890"/>
      <c r="T204" s="2562">
        <v>8597.89</v>
      </c>
      <c r="U204" s="2342"/>
      <c r="V204" s="2557">
        <f t="shared" si="460"/>
        <v>49619.429999999993</v>
      </c>
      <c r="W204" s="890"/>
      <c r="X204" s="3395">
        <v>5540.2600000000011</v>
      </c>
      <c r="Y204" s="2466"/>
      <c r="Z204" s="2467">
        <f t="shared" si="452"/>
        <v>27627.630000000005</v>
      </c>
      <c r="AA204" s="3558"/>
      <c r="AB204" s="3565">
        <f t="shared" si="453"/>
        <v>55159.69</v>
      </c>
      <c r="AC204" s="890"/>
      <c r="AD204" s="4048">
        <v>16748.5</v>
      </c>
      <c r="AE204" s="2342"/>
      <c r="AF204" s="4050">
        <f t="shared" si="461"/>
        <v>71908.19</v>
      </c>
      <c r="AG204" s="890"/>
      <c r="AH204" s="4397">
        <v>3904.8499999999995</v>
      </c>
      <c r="AI204" s="2342"/>
      <c r="AJ204" s="4394">
        <f t="shared" si="462"/>
        <v>75813.040000000008</v>
      </c>
      <c r="AK204" s="890"/>
      <c r="AL204" s="4276">
        <v>11936.960000000005</v>
      </c>
      <c r="AM204" s="2466"/>
      <c r="AN204" s="2467">
        <f t="shared" si="454"/>
        <v>32590.310000000005</v>
      </c>
      <c r="AO204" s="2342"/>
      <c r="AP204" s="4277">
        <f t="shared" si="455"/>
        <v>87750.000000000015</v>
      </c>
      <c r="AQ204" s="890"/>
      <c r="AR204" s="4455">
        <v>7978.6899999999987</v>
      </c>
      <c r="AS204" s="2342"/>
      <c r="AT204" s="4456">
        <f t="shared" si="463"/>
        <v>95728.690000000017</v>
      </c>
      <c r="AU204" s="890"/>
      <c r="AV204" s="4634">
        <v>5528.9</v>
      </c>
      <c r="AW204" s="2342"/>
      <c r="AX204" s="4635">
        <f t="shared" si="464"/>
        <v>101257.59000000001</v>
      </c>
      <c r="AY204" s="890"/>
      <c r="AZ204" s="5135">
        <v>9685.9500000000007</v>
      </c>
      <c r="BA204" s="2466"/>
      <c r="BB204" s="2467">
        <f t="shared" si="456"/>
        <v>23193.54</v>
      </c>
      <c r="BC204" s="3558"/>
      <c r="BD204" s="5143">
        <f t="shared" si="457"/>
        <v>55783.850000000006</v>
      </c>
      <c r="BE204" s="2342"/>
      <c r="BF204" s="5127">
        <f t="shared" si="465"/>
        <v>110943.54000000001</v>
      </c>
      <c r="BG204" s="26"/>
      <c r="BH204" s="26"/>
      <c r="BI204" s="26"/>
      <c r="BJ204" s="26"/>
    </row>
    <row r="205" spans="1:62" ht="20.25" x14ac:dyDescent="0.25">
      <c r="A205" s="188"/>
      <c r="B205" s="2002" t="s">
        <v>888</v>
      </c>
      <c r="C205" s="1523" t="s">
        <v>916</v>
      </c>
      <c r="D205" s="1523"/>
      <c r="E205" s="890"/>
      <c r="F205" s="2635">
        <v>4711.47</v>
      </c>
      <c r="G205" s="890"/>
      <c r="H205" s="2635">
        <v>2802.12</v>
      </c>
      <c r="I205" s="2342"/>
      <c r="J205" s="2636">
        <f t="shared" ref="J205" si="466">F205+H205</f>
        <v>7513.59</v>
      </c>
      <c r="K205" s="890"/>
      <c r="L205" s="2635">
        <v>2501.56</v>
      </c>
      <c r="M205" s="2466"/>
      <c r="N205" s="3568">
        <f t="shared" si="451"/>
        <v>10015.15</v>
      </c>
      <c r="O205" s="890"/>
      <c r="P205" s="2635">
        <v>4926.3399999999983</v>
      </c>
      <c r="Q205" s="2342"/>
      <c r="R205" s="2636">
        <f t="shared" ref="R205" si="467">N205+P205</f>
        <v>14941.489999999998</v>
      </c>
      <c r="S205" s="890"/>
      <c r="T205" s="2635">
        <v>446.26000000000005</v>
      </c>
      <c r="U205" s="2342"/>
      <c r="V205" s="2636">
        <f t="shared" ref="V205" si="468">R205+T205</f>
        <v>15387.749999999998</v>
      </c>
      <c r="W205" s="890"/>
      <c r="X205" s="3395">
        <v>2304.59</v>
      </c>
      <c r="Y205" s="2466"/>
      <c r="Z205" s="2467">
        <f t="shared" si="452"/>
        <v>7677.1899999999987</v>
      </c>
      <c r="AA205" s="3558"/>
      <c r="AB205" s="3565">
        <f t="shared" si="453"/>
        <v>17692.339999999997</v>
      </c>
      <c r="AC205" s="890"/>
      <c r="AD205" s="4048">
        <v>3096.59</v>
      </c>
      <c r="AE205" s="2342"/>
      <c r="AF205" s="4050">
        <f t="shared" si="461"/>
        <v>20788.929999999997</v>
      </c>
      <c r="AG205" s="890"/>
      <c r="AH205" s="4397">
        <v>656.54</v>
      </c>
      <c r="AI205" s="2342"/>
      <c r="AJ205" s="4394">
        <f t="shared" si="462"/>
        <v>21445.469999999998</v>
      </c>
      <c r="AK205" s="890"/>
      <c r="AL205" s="4276">
        <v>8390.1999999999989</v>
      </c>
      <c r="AM205" s="2466"/>
      <c r="AN205" s="2467">
        <f t="shared" si="454"/>
        <v>12143.329999999998</v>
      </c>
      <c r="AO205" s="2342"/>
      <c r="AP205" s="4277">
        <f t="shared" si="455"/>
        <v>29835.67</v>
      </c>
      <c r="AQ205" s="890"/>
      <c r="AR205" s="4455">
        <v>7174.78</v>
      </c>
      <c r="AS205" s="2342"/>
      <c r="AT205" s="4456">
        <f t="shared" si="463"/>
        <v>37010.449999999997</v>
      </c>
      <c r="AU205" s="890"/>
      <c r="AV205" s="4634">
        <v>3651.1400000000003</v>
      </c>
      <c r="AW205" s="2342"/>
      <c r="AX205" s="4635">
        <f t="shared" si="464"/>
        <v>40661.589999999997</v>
      </c>
      <c r="AY205" s="890"/>
      <c r="AZ205" s="5135">
        <v>3771.1799999999994</v>
      </c>
      <c r="BA205" s="2466"/>
      <c r="BB205" s="2467">
        <f t="shared" si="456"/>
        <v>14597.099999999999</v>
      </c>
      <c r="BC205" s="3558"/>
      <c r="BD205" s="5143">
        <f t="shared" si="457"/>
        <v>26740.429999999997</v>
      </c>
      <c r="BE205" s="2342"/>
      <c r="BF205" s="5127">
        <f t="shared" si="465"/>
        <v>44432.77</v>
      </c>
      <c r="BG205" s="26"/>
      <c r="BH205" s="26"/>
      <c r="BI205" s="26"/>
      <c r="BJ205" s="26"/>
    </row>
    <row r="206" spans="1:62" ht="20.25" customHeight="1" x14ac:dyDescent="0.25">
      <c r="A206" s="188"/>
      <c r="B206" s="2002" t="s">
        <v>888</v>
      </c>
      <c r="C206" s="1523" t="s">
        <v>1052</v>
      </c>
      <c r="D206" s="1523"/>
      <c r="E206" s="890"/>
      <c r="F206" s="2456"/>
      <c r="G206" s="890"/>
      <c r="H206" s="2456">
        <v>951.57999999999993</v>
      </c>
      <c r="I206" s="2342"/>
      <c r="J206" s="2457">
        <f t="shared" si="458"/>
        <v>951.57999999999993</v>
      </c>
      <c r="K206" s="890"/>
      <c r="L206" s="2456"/>
      <c r="M206" s="2466"/>
      <c r="N206" s="3568">
        <f t="shared" si="451"/>
        <v>951.57999999999993</v>
      </c>
      <c r="O206" s="890"/>
      <c r="P206" s="2456"/>
      <c r="Q206" s="2342"/>
      <c r="R206" s="2457">
        <f t="shared" si="459"/>
        <v>951.57999999999993</v>
      </c>
      <c r="S206" s="890"/>
      <c r="T206" s="2562">
        <v>62.48</v>
      </c>
      <c r="U206" s="2342"/>
      <c r="V206" s="2557">
        <f t="shared" si="460"/>
        <v>1014.06</v>
      </c>
      <c r="W206" s="890"/>
      <c r="X206" s="3395"/>
      <c r="Y206" s="2466"/>
      <c r="Z206" s="2467">
        <f t="shared" si="452"/>
        <v>62.48</v>
      </c>
      <c r="AA206" s="3558"/>
      <c r="AB206" s="3565">
        <f t="shared" si="453"/>
        <v>1014.06</v>
      </c>
      <c r="AC206" s="890"/>
      <c r="AD206" s="4048"/>
      <c r="AE206" s="2342"/>
      <c r="AF206" s="4050">
        <f t="shared" si="461"/>
        <v>1014.06</v>
      </c>
      <c r="AG206" s="890"/>
      <c r="AH206" s="4397"/>
      <c r="AI206" s="2342"/>
      <c r="AJ206" s="4394">
        <f t="shared" si="462"/>
        <v>1014.06</v>
      </c>
      <c r="AK206" s="890"/>
      <c r="AL206" s="4276"/>
      <c r="AM206" s="2466"/>
      <c r="AN206" s="2467">
        <f t="shared" si="454"/>
        <v>0</v>
      </c>
      <c r="AO206" s="2342"/>
      <c r="AP206" s="4277">
        <f t="shared" si="455"/>
        <v>1014.06</v>
      </c>
      <c r="AQ206" s="890"/>
      <c r="AR206" s="4455">
        <v>292.31</v>
      </c>
      <c r="AS206" s="2342"/>
      <c r="AT206" s="4456">
        <f t="shared" si="463"/>
        <v>1306.3699999999999</v>
      </c>
      <c r="AU206" s="890"/>
      <c r="AV206" s="4634"/>
      <c r="AW206" s="2342"/>
      <c r="AX206" s="4635">
        <f t="shared" si="464"/>
        <v>1306.3699999999999</v>
      </c>
      <c r="AY206" s="890"/>
      <c r="AZ206" s="5135">
        <v>193.35999999999999</v>
      </c>
      <c r="BA206" s="2466"/>
      <c r="BB206" s="2467">
        <f t="shared" si="456"/>
        <v>485.66999999999996</v>
      </c>
      <c r="BC206" s="3558"/>
      <c r="BD206" s="5143">
        <f t="shared" si="457"/>
        <v>485.66999999999996</v>
      </c>
      <c r="BE206" s="2342"/>
      <c r="BF206" s="5127">
        <f t="shared" si="465"/>
        <v>1499.7299999999998</v>
      </c>
      <c r="BG206" s="26"/>
      <c r="BH206" s="26"/>
      <c r="BI206" s="26"/>
      <c r="BJ206" s="26"/>
    </row>
    <row r="207" spans="1:62" ht="20.25" x14ac:dyDescent="0.25">
      <c r="A207" s="188"/>
      <c r="B207" s="2002" t="s">
        <v>888</v>
      </c>
      <c r="C207" s="1523" t="s">
        <v>1499</v>
      </c>
      <c r="D207" s="1523"/>
      <c r="E207" s="890"/>
      <c r="F207" s="2456">
        <v>978.34</v>
      </c>
      <c r="G207" s="890"/>
      <c r="H207" s="2456"/>
      <c r="I207" s="2342"/>
      <c r="J207" s="2457">
        <f t="shared" si="458"/>
        <v>978.34</v>
      </c>
      <c r="K207" s="890"/>
      <c r="L207" s="2456"/>
      <c r="M207" s="2466"/>
      <c r="N207" s="3568">
        <f t="shared" si="451"/>
        <v>978.34</v>
      </c>
      <c r="O207" s="890"/>
      <c r="P207" s="2456"/>
      <c r="Q207" s="2342"/>
      <c r="R207" s="2457">
        <f t="shared" si="459"/>
        <v>978.34</v>
      </c>
      <c r="S207" s="890"/>
      <c r="T207" s="2562">
        <v>0</v>
      </c>
      <c r="U207" s="2342"/>
      <c r="V207" s="2557">
        <f t="shared" si="460"/>
        <v>978.34</v>
      </c>
      <c r="W207" s="890"/>
      <c r="X207" s="3395"/>
      <c r="Y207" s="2466"/>
      <c r="Z207" s="2467">
        <f t="shared" si="452"/>
        <v>0</v>
      </c>
      <c r="AA207" s="3558"/>
      <c r="AB207" s="3565">
        <f t="shared" si="453"/>
        <v>978.34</v>
      </c>
      <c r="AC207" s="890"/>
      <c r="AD207" s="4048"/>
      <c r="AE207" s="2342"/>
      <c r="AF207" s="4050">
        <f t="shared" si="461"/>
        <v>978.34</v>
      </c>
      <c r="AG207" s="890"/>
      <c r="AH207" s="4397"/>
      <c r="AI207" s="2342"/>
      <c r="AJ207" s="4394">
        <f t="shared" si="462"/>
        <v>978.34</v>
      </c>
      <c r="AK207" s="890"/>
      <c r="AL207" s="4276">
        <v>1706.5200000000002</v>
      </c>
      <c r="AM207" s="2466"/>
      <c r="AN207" s="2467">
        <f t="shared" si="454"/>
        <v>1706.5200000000002</v>
      </c>
      <c r="AO207" s="2342"/>
      <c r="AP207" s="4277">
        <f t="shared" si="455"/>
        <v>2684.86</v>
      </c>
      <c r="AQ207" s="890"/>
      <c r="AR207" s="4455">
        <v>432.92</v>
      </c>
      <c r="AS207" s="2342"/>
      <c r="AT207" s="4456">
        <f t="shared" si="463"/>
        <v>3117.78</v>
      </c>
      <c r="AU207" s="890"/>
      <c r="AV207" s="4634">
        <v>63.16</v>
      </c>
      <c r="AW207" s="2342"/>
      <c r="AX207" s="4635">
        <f t="shared" si="464"/>
        <v>3180.94</v>
      </c>
      <c r="AY207" s="890"/>
      <c r="AZ207" s="5135">
        <v>71.490000000000009</v>
      </c>
      <c r="BA207" s="2466"/>
      <c r="BB207" s="2467">
        <f t="shared" si="456"/>
        <v>567.57000000000005</v>
      </c>
      <c r="BC207" s="3558"/>
      <c r="BD207" s="5143">
        <f t="shared" si="457"/>
        <v>2274.09</v>
      </c>
      <c r="BE207" s="2342"/>
      <c r="BF207" s="5127">
        <f t="shared" si="465"/>
        <v>3252.4300000000003</v>
      </c>
      <c r="BG207" s="26"/>
      <c r="BH207" s="26"/>
      <c r="BI207" s="26"/>
      <c r="BJ207" s="26"/>
    </row>
    <row r="208" spans="1:62" ht="20.25" x14ac:dyDescent="0.25">
      <c r="A208" s="188"/>
      <c r="B208" s="2002" t="s">
        <v>888</v>
      </c>
      <c r="C208" s="1523" t="s">
        <v>1053</v>
      </c>
      <c r="D208" s="1523"/>
      <c r="E208" s="890"/>
      <c r="F208" s="2456">
        <v>990.06000000000006</v>
      </c>
      <c r="G208" s="890"/>
      <c r="H208" s="2456">
        <v>62.44</v>
      </c>
      <c r="I208" s="2342"/>
      <c r="J208" s="2457">
        <f t="shared" si="458"/>
        <v>1052.5</v>
      </c>
      <c r="K208" s="890"/>
      <c r="L208" s="2456"/>
      <c r="M208" s="2466"/>
      <c r="N208" s="3568">
        <f t="shared" si="451"/>
        <v>1052.5</v>
      </c>
      <c r="O208" s="890"/>
      <c r="P208" s="2456"/>
      <c r="Q208" s="2342"/>
      <c r="R208" s="2457">
        <f t="shared" si="459"/>
        <v>1052.5</v>
      </c>
      <c r="S208" s="890"/>
      <c r="T208" s="2562">
        <v>0</v>
      </c>
      <c r="U208" s="2342"/>
      <c r="V208" s="2557">
        <f t="shared" si="460"/>
        <v>1052.5</v>
      </c>
      <c r="W208" s="890"/>
      <c r="X208" s="3395"/>
      <c r="Y208" s="2466"/>
      <c r="Z208" s="2467">
        <f t="shared" si="452"/>
        <v>0</v>
      </c>
      <c r="AA208" s="3558"/>
      <c r="AB208" s="3565">
        <f t="shared" si="453"/>
        <v>1052.5</v>
      </c>
      <c r="AC208" s="890"/>
      <c r="AD208" s="4048">
        <v>507.84000000000003</v>
      </c>
      <c r="AE208" s="2342"/>
      <c r="AF208" s="4050">
        <f t="shared" si="461"/>
        <v>1560.3400000000001</v>
      </c>
      <c r="AG208" s="890"/>
      <c r="AH208" s="4397"/>
      <c r="AI208" s="2342"/>
      <c r="AJ208" s="4394">
        <f t="shared" si="462"/>
        <v>1560.3400000000001</v>
      </c>
      <c r="AK208" s="890"/>
      <c r="AL208" s="4276">
        <v>58.98</v>
      </c>
      <c r="AM208" s="2466"/>
      <c r="AN208" s="2467">
        <f t="shared" si="454"/>
        <v>566.82000000000005</v>
      </c>
      <c r="AO208" s="2342"/>
      <c r="AP208" s="4277">
        <f t="shared" si="455"/>
        <v>1619.3200000000002</v>
      </c>
      <c r="AQ208" s="890"/>
      <c r="AR208" s="4455"/>
      <c r="AS208" s="2342"/>
      <c r="AT208" s="4456">
        <f t="shared" si="463"/>
        <v>1619.3200000000002</v>
      </c>
      <c r="AU208" s="890"/>
      <c r="AV208" s="4634"/>
      <c r="AW208" s="2342"/>
      <c r="AX208" s="4635">
        <f t="shared" si="464"/>
        <v>1619.3200000000002</v>
      </c>
      <c r="AY208" s="890"/>
      <c r="AZ208" s="5135"/>
      <c r="BA208" s="2466"/>
      <c r="BB208" s="2467">
        <f t="shared" si="456"/>
        <v>0</v>
      </c>
      <c r="BC208" s="3558"/>
      <c r="BD208" s="5143">
        <f t="shared" si="457"/>
        <v>566.82000000000005</v>
      </c>
      <c r="BE208" s="2342"/>
      <c r="BF208" s="5127">
        <f t="shared" si="465"/>
        <v>1619.3200000000002</v>
      </c>
      <c r="BG208" s="26"/>
      <c r="BH208" s="26"/>
      <c r="BI208" s="26"/>
      <c r="BJ208" s="26"/>
    </row>
    <row r="209" spans="1:62" ht="20.25" x14ac:dyDescent="0.25">
      <c r="A209" s="188"/>
      <c r="B209" s="2002" t="s">
        <v>997</v>
      </c>
      <c r="C209" s="1523" t="s">
        <v>907</v>
      </c>
      <c r="D209" s="1523"/>
      <c r="E209" s="890"/>
      <c r="F209" s="2456">
        <v>5720.9400000000014</v>
      </c>
      <c r="G209" s="890"/>
      <c r="H209" s="2456"/>
      <c r="I209" s="2342"/>
      <c r="J209" s="2457">
        <f t="shared" si="458"/>
        <v>5720.9400000000014</v>
      </c>
      <c r="K209" s="890"/>
      <c r="L209" s="2456">
        <v>32.92</v>
      </c>
      <c r="M209" s="2466"/>
      <c r="N209" s="3568">
        <f t="shared" si="451"/>
        <v>5753.8600000000015</v>
      </c>
      <c r="O209" s="890"/>
      <c r="P209" s="2456"/>
      <c r="Q209" s="2342"/>
      <c r="R209" s="2457">
        <f t="shared" si="459"/>
        <v>5753.8600000000015</v>
      </c>
      <c r="S209" s="890"/>
      <c r="T209" s="2562">
        <v>0</v>
      </c>
      <c r="U209" s="2342"/>
      <c r="V209" s="2557">
        <f t="shared" si="460"/>
        <v>5753.8600000000015</v>
      </c>
      <c r="W209" s="890"/>
      <c r="X209" s="3395"/>
      <c r="Y209" s="2466"/>
      <c r="Z209" s="2467">
        <f t="shared" si="452"/>
        <v>0</v>
      </c>
      <c r="AA209" s="3558"/>
      <c r="AB209" s="3565">
        <f t="shared" si="453"/>
        <v>5753.8600000000015</v>
      </c>
      <c r="AC209" s="890"/>
      <c r="AD209" s="4048"/>
      <c r="AE209" s="2342"/>
      <c r="AF209" s="4050">
        <f t="shared" si="461"/>
        <v>5753.8600000000015</v>
      </c>
      <c r="AG209" s="890"/>
      <c r="AH209" s="4397"/>
      <c r="AI209" s="2342"/>
      <c r="AJ209" s="4394">
        <f t="shared" si="462"/>
        <v>5753.8600000000015</v>
      </c>
      <c r="AK209" s="890"/>
      <c r="AL209" s="4276"/>
      <c r="AM209" s="2466"/>
      <c r="AN209" s="2467">
        <f t="shared" si="454"/>
        <v>0</v>
      </c>
      <c r="AO209" s="2342"/>
      <c r="AP209" s="4277">
        <f t="shared" si="455"/>
        <v>5753.8600000000015</v>
      </c>
      <c r="AQ209" s="890"/>
      <c r="AR209" s="4455"/>
      <c r="AS209" s="2342"/>
      <c r="AT209" s="4456">
        <f t="shared" si="463"/>
        <v>5753.8600000000015</v>
      </c>
      <c r="AU209" s="890"/>
      <c r="AV209" s="4634"/>
      <c r="AW209" s="2342"/>
      <c r="AX209" s="4635">
        <f t="shared" si="464"/>
        <v>5753.8600000000015</v>
      </c>
      <c r="AY209" s="890"/>
      <c r="AZ209" s="5135"/>
      <c r="BA209" s="2466"/>
      <c r="BB209" s="2467">
        <f t="shared" si="456"/>
        <v>0</v>
      </c>
      <c r="BC209" s="3558"/>
      <c r="BD209" s="5143">
        <f t="shared" si="457"/>
        <v>0</v>
      </c>
      <c r="BE209" s="2342"/>
      <c r="BF209" s="5127">
        <f t="shared" si="465"/>
        <v>5753.8600000000015</v>
      </c>
      <c r="BG209" s="26"/>
      <c r="BH209" s="26"/>
      <c r="BI209" s="26"/>
      <c r="BJ209" s="26"/>
    </row>
    <row r="210" spans="1:62" ht="20.25" x14ac:dyDescent="0.25">
      <c r="A210" s="188"/>
      <c r="B210" s="2002" t="s">
        <v>1744</v>
      </c>
      <c r="C210" s="1523" t="s">
        <v>907</v>
      </c>
      <c r="D210" s="1523"/>
      <c r="E210" s="890"/>
      <c r="F210" s="2635"/>
      <c r="G210" s="890"/>
      <c r="H210" s="2635"/>
      <c r="I210" s="2342"/>
      <c r="J210" s="2636"/>
      <c r="K210" s="890"/>
      <c r="L210" s="2635"/>
      <c r="M210" s="2466"/>
      <c r="N210" s="3568">
        <f t="shared" si="451"/>
        <v>0</v>
      </c>
      <c r="O210" s="890"/>
      <c r="P210" s="2635"/>
      <c r="Q210" s="2342"/>
      <c r="R210" s="2636">
        <f t="shared" si="459"/>
        <v>0</v>
      </c>
      <c r="S210" s="890"/>
      <c r="T210" s="2635">
        <v>3934.5699999999993</v>
      </c>
      <c r="U210" s="2342"/>
      <c r="V210" s="2636">
        <f t="shared" si="460"/>
        <v>3934.5699999999993</v>
      </c>
      <c r="W210" s="890"/>
      <c r="X210" s="3395"/>
      <c r="Y210" s="2466"/>
      <c r="Z210" s="2467">
        <f t="shared" si="452"/>
        <v>3934.5699999999993</v>
      </c>
      <c r="AA210" s="3558"/>
      <c r="AB210" s="3565">
        <f t="shared" si="453"/>
        <v>3934.5699999999993</v>
      </c>
      <c r="AC210" s="890"/>
      <c r="AD210" s="4048"/>
      <c r="AE210" s="2342"/>
      <c r="AF210" s="4050">
        <f t="shared" si="461"/>
        <v>3934.5699999999993</v>
      </c>
      <c r="AG210" s="890"/>
      <c r="AH210" s="4397"/>
      <c r="AI210" s="2342"/>
      <c r="AJ210" s="4394">
        <f t="shared" si="462"/>
        <v>3934.5699999999993</v>
      </c>
      <c r="AK210" s="890"/>
      <c r="AL210" s="4276"/>
      <c r="AM210" s="2466"/>
      <c r="AN210" s="2467">
        <f t="shared" si="454"/>
        <v>0</v>
      </c>
      <c r="AO210" s="2342"/>
      <c r="AP210" s="4277">
        <f t="shared" si="455"/>
        <v>3934.5699999999993</v>
      </c>
      <c r="AQ210" s="890"/>
      <c r="AR210" s="4455">
        <v>2208.5400000000009</v>
      </c>
      <c r="AS210" s="2342"/>
      <c r="AT210" s="4456">
        <f t="shared" si="463"/>
        <v>6143.1100000000006</v>
      </c>
      <c r="AU210" s="890"/>
      <c r="AV210" s="4634"/>
      <c r="AW210" s="2342"/>
      <c r="AX210" s="4635">
        <f t="shared" si="464"/>
        <v>6143.1100000000006</v>
      </c>
      <c r="AY210" s="890"/>
      <c r="AZ210" s="5135"/>
      <c r="BA210" s="2466"/>
      <c r="BB210" s="2467">
        <f t="shared" si="456"/>
        <v>2208.5400000000009</v>
      </c>
      <c r="BC210" s="3558"/>
      <c r="BD210" s="5143">
        <f t="shared" si="457"/>
        <v>2208.5400000000009</v>
      </c>
      <c r="BE210" s="2342"/>
      <c r="BF210" s="5127">
        <f t="shared" si="465"/>
        <v>6143.1100000000006</v>
      </c>
      <c r="BG210" s="26"/>
      <c r="BH210" s="26"/>
      <c r="BI210" s="26"/>
      <c r="BJ210" s="26"/>
    </row>
    <row r="211" spans="1:62" ht="20.25" x14ac:dyDescent="0.25">
      <c r="A211" s="188"/>
      <c r="B211" s="2002" t="s">
        <v>1744</v>
      </c>
      <c r="C211" s="1523" t="s">
        <v>916</v>
      </c>
      <c r="D211" s="1523"/>
      <c r="E211" s="890"/>
      <c r="F211" s="2635"/>
      <c r="G211" s="890"/>
      <c r="H211" s="2635"/>
      <c r="I211" s="2342"/>
      <c r="J211" s="2636"/>
      <c r="K211" s="890"/>
      <c r="L211" s="2635"/>
      <c r="M211" s="2466"/>
      <c r="N211" s="3568">
        <f t="shared" si="451"/>
        <v>0</v>
      </c>
      <c r="O211" s="890"/>
      <c r="P211" s="2635"/>
      <c r="Q211" s="2342"/>
      <c r="R211" s="2636">
        <f t="shared" si="459"/>
        <v>0</v>
      </c>
      <c r="S211" s="890"/>
      <c r="T211" s="2635">
        <v>1817.5200000000002</v>
      </c>
      <c r="U211" s="2342"/>
      <c r="V211" s="2636">
        <f t="shared" si="460"/>
        <v>1817.5200000000002</v>
      </c>
      <c r="W211" s="890"/>
      <c r="X211" s="3395"/>
      <c r="Y211" s="2466"/>
      <c r="Z211" s="2467">
        <f t="shared" si="452"/>
        <v>1817.5200000000002</v>
      </c>
      <c r="AA211" s="3558"/>
      <c r="AB211" s="3565">
        <f t="shared" si="453"/>
        <v>1817.5200000000002</v>
      </c>
      <c r="AC211" s="890"/>
      <c r="AD211" s="4048"/>
      <c r="AE211" s="2342"/>
      <c r="AF211" s="4050">
        <f t="shared" si="461"/>
        <v>1817.5200000000002</v>
      </c>
      <c r="AG211" s="890"/>
      <c r="AH211" s="4397"/>
      <c r="AI211" s="2342"/>
      <c r="AJ211" s="4394">
        <f t="shared" si="462"/>
        <v>1817.5200000000002</v>
      </c>
      <c r="AK211" s="890"/>
      <c r="AL211" s="4276"/>
      <c r="AM211" s="2466"/>
      <c r="AN211" s="2467">
        <f t="shared" si="454"/>
        <v>0</v>
      </c>
      <c r="AO211" s="2342"/>
      <c r="AP211" s="4277">
        <f t="shared" si="455"/>
        <v>1817.5200000000002</v>
      </c>
      <c r="AQ211" s="890"/>
      <c r="AR211" s="4455">
        <v>932.02</v>
      </c>
      <c r="AS211" s="2342"/>
      <c r="AT211" s="4456">
        <f t="shared" si="463"/>
        <v>2749.54</v>
      </c>
      <c r="AU211" s="890"/>
      <c r="AV211" s="4634">
        <v>1055.08</v>
      </c>
      <c r="AW211" s="2342"/>
      <c r="AX211" s="4635">
        <f t="shared" si="464"/>
        <v>3804.62</v>
      </c>
      <c r="AY211" s="890"/>
      <c r="AZ211" s="5135"/>
      <c r="BA211" s="2466"/>
      <c r="BB211" s="2467">
        <f t="shared" si="456"/>
        <v>1987.1</v>
      </c>
      <c r="BC211" s="3558"/>
      <c r="BD211" s="5143">
        <f t="shared" si="457"/>
        <v>1987.1</v>
      </c>
      <c r="BE211" s="2342"/>
      <c r="BF211" s="5127">
        <f t="shared" si="465"/>
        <v>3804.62</v>
      </c>
      <c r="BG211" s="26"/>
      <c r="BH211" s="26"/>
      <c r="BI211" s="26"/>
      <c r="BJ211" s="26"/>
    </row>
    <row r="212" spans="1:62" ht="20.25" x14ac:dyDescent="0.25">
      <c r="A212" s="188"/>
      <c r="B212" s="2002" t="s">
        <v>1751</v>
      </c>
      <c r="C212" s="1523" t="s">
        <v>1499</v>
      </c>
      <c r="D212" s="1523"/>
      <c r="E212" s="890"/>
      <c r="F212" s="2635"/>
      <c r="G212" s="890"/>
      <c r="H212" s="2635"/>
      <c r="I212" s="2342"/>
      <c r="J212" s="2636"/>
      <c r="K212" s="890"/>
      <c r="L212" s="2635"/>
      <c r="M212" s="2466"/>
      <c r="N212" s="3568">
        <f t="shared" si="451"/>
        <v>0</v>
      </c>
      <c r="O212" s="890"/>
      <c r="P212" s="2635"/>
      <c r="Q212" s="2342"/>
      <c r="R212" s="2636">
        <f t="shared" si="459"/>
        <v>0</v>
      </c>
      <c r="S212" s="890"/>
      <c r="T212" s="2635">
        <v>29.17</v>
      </c>
      <c r="U212" s="2342"/>
      <c r="V212" s="2636">
        <f t="shared" si="460"/>
        <v>29.17</v>
      </c>
      <c r="W212" s="890"/>
      <c r="X212" s="3395"/>
      <c r="Y212" s="2466"/>
      <c r="Z212" s="2467">
        <f t="shared" si="452"/>
        <v>29.17</v>
      </c>
      <c r="AA212" s="3558"/>
      <c r="AB212" s="3565">
        <f t="shared" si="453"/>
        <v>29.17</v>
      </c>
      <c r="AC212" s="890"/>
      <c r="AD212" s="4048"/>
      <c r="AE212" s="2342"/>
      <c r="AF212" s="4050">
        <f t="shared" si="461"/>
        <v>29.17</v>
      </c>
      <c r="AG212" s="890"/>
      <c r="AH212" s="4397"/>
      <c r="AI212" s="2342"/>
      <c r="AJ212" s="4394">
        <f t="shared" si="462"/>
        <v>29.17</v>
      </c>
      <c r="AK212" s="890"/>
      <c r="AL212" s="4276">
        <v>907.1</v>
      </c>
      <c r="AM212" s="2466"/>
      <c r="AN212" s="2467">
        <f t="shared" si="454"/>
        <v>907.1</v>
      </c>
      <c r="AO212" s="2342"/>
      <c r="AP212" s="4277">
        <f t="shared" si="455"/>
        <v>936.27</v>
      </c>
      <c r="AQ212" s="890"/>
      <c r="AR212" s="4455"/>
      <c r="AS212" s="2342"/>
      <c r="AT212" s="4456">
        <f t="shared" si="463"/>
        <v>936.27</v>
      </c>
      <c r="AU212" s="890"/>
      <c r="AV212" s="4634"/>
      <c r="AW212" s="2342"/>
      <c r="AX212" s="4635">
        <f t="shared" si="464"/>
        <v>936.27</v>
      </c>
      <c r="AY212" s="890"/>
      <c r="AZ212" s="5135"/>
      <c r="BA212" s="2466"/>
      <c r="BB212" s="2467">
        <f t="shared" si="456"/>
        <v>0</v>
      </c>
      <c r="BC212" s="3558"/>
      <c r="BD212" s="5143">
        <f t="shared" si="457"/>
        <v>907.1</v>
      </c>
      <c r="BE212" s="2342"/>
      <c r="BF212" s="5127">
        <f t="shared" si="465"/>
        <v>936.27</v>
      </c>
      <c r="BG212" s="26"/>
      <c r="BH212" s="26"/>
      <c r="BI212" s="26"/>
      <c r="BJ212" s="26"/>
    </row>
    <row r="213" spans="1:62" ht="20.25" customHeight="1" x14ac:dyDescent="0.25">
      <c r="A213" s="188"/>
      <c r="B213" s="2002" t="s">
        <v>890</v>
      </c>
      <c r="C213" s="1523" t="s">
        <v>907</v>
      </c>
      <c r="D213" s="1523"/>
      <c r="E213" s="890"/>
      <c r="F213" s="2456"/>
      <c r="G213" s="890"/>
      <c r="H213" s="2456"/>
      <c r="I213" s="2342"/>
      <c r="J213" s="2457"/>
      <c r="K213" s="890"/>
      <c r="L213" s="2456"/>
      <c r="M213" s="2466"/>
      <c r="N213" s="3568">
        <f t="shared" si="451"/>
        <v>0</v>
      </c>
      <c r="O213" s="890"/>
      <c r="P213" s="2456">
        <v>3675.21</v>
      </c>
      <c r="Q213" s="2342"/>
      <c r="R213" s="2457">
        <f t="shared" si="459"/>
        <v>3675.21</v>
      </c>
      <c r="S213" s="890"/>
      <c r="T213" s="2562">
        <v>3713.89</v>
      </c>
      <c r="U213" s="2342"/>
      <c r="V213" s="2557">
        <f t="shared" si="460"/>
        <v>7389.1</v>
      </c>
      <c r="W213" s="890"/>
      <c r="X213" s="3395">
        <v>6396.5600000000013</v>
      </c>
      <c r="Y213" s="2466"/>
      <c r="Z213" s="2467">
        <f t="shared" si="452"/>
        <v>13785.660000000002</v>
      </c>
      <c r="AA213" s="3558"/>
      <c r="AB213" s="3565">
        <f t="shared" si="453"/>
        <v>13785.660000000002</v>
      </c>
      <c r="AC213" s="890"/>
      <c r="AD213" s="4048">
        <v>129.76</v>
      </c>
      <c r="AE213" s="2342"/>
      <c r="AF213" s="4050">
        <f t="shared" si="461"/>
        <v>13915.420000000002</v>
      </c>
      <c r="AG213" s="890"/>
      <c r="AH213" s="4397">
        <v>3929.61</v>
      </c>
      <c r="AI213" s="2342"/>
      <c r="AJ213" s="4394">
        <f t="shared" si="462"/>
        <v>17845.030000000002</v>
      </c>
      <c r="AK213" s="890"/>
      <c r="AL213" s="4276">
        <v>2425.7599999999998</v>
      </c>
      <c r="AM213" s="2466"/>
      <c r="AN213" s="2467">
        <f t="shared" si="454"/>
        <v>6485.1299999999992</v>
      </c>
      <c r="AO213" s="2342"/>
      <c r="AP213" s="4277">
        <f t="shared" si="455"/>
        <v>20270.79</v>
      </c>
      <c r="AQ213" s="890"/>
      <c r="AR213" s="4455">
        <v>1207.8399999999999</v>
      </c>
      <c r="AS213" s="2342"/>
      <c r="AT213" s="4456">
        <f t="shared" si="463"/>
        <v>21478.63</v>
      </c>
      <c r="AU213" s="890"/>
      <c r="AV213" s="4634"/>
      <c r="AW213" s="2342"/>
      <c r="AX213" s="4635">
        <f t="shared" si="464"/>
        <v>21478.63</v>
      </c>
      <c r="AY213" s="890"/>
      <c r="AZ213" s="5135">
        <v>2914.74</v>
      </c>
      <c r="BA213" s="2466"/>
      <c r="BB213" s="2467">
        <f t="shared" si="456"/>
        <v>4122.58</v>
      </c>
      <c r="BC213" s="3558"/>
      <c r="BD213" s="5143">
        <f t="shared" si="457"/>
        <v>10607.71</v>
      </c>
      <c r="BE213" s="2342"/>
      <c r="BF213" s="5127">
        <f t="shared" si="465"/>
        <v>24393.370000000003</v>
      </c>
      <c r="BG213" s="26"/>
      <c r="BH213" s="26"/>
      <c r="BI213" s="26"/>
      <c r="BJ213" s="26"/>
    </row>
    <row r="214" spans="1:62" ht="20.25" x14ac:dyDescent="0.25">
      <c r="A214" s="188"/>
      <c r="B214" s="2002" t="s">
        <v>890</v>
      </c>
      <c r="C214" s="1523" t="s">
        <v>916</v>
      </c>
      <c r="D214" s="1523"/>
      <c r="E214" s="890"/>
      <c r="F214" s="2456"/>
      <c r="G214" s="890"/>
      <c r="H214" s="2456"/>
      <c r="I214" s="2342"/>
      <c r="J214" s="2457">
        <f t="shared" si="458"/>
        <v>0</v>
      </c>
      <c r="K214" s="890"/>
      <c r="L214" s="2456"/>
      <c r="M214" s="2466"/>
      <c r="N214" s="3568">
        <f t="shared" si="451"/>
        <v>0</v>
      </c>
      <c r="O214" s="890"/>
      <c r="P214" s="2456">
        <v>3921.0800000000008</v>
      </c>
      <c r="Q214" s="2342"/>
      <c r="R214" s="2457">
        <f t="shared" si="459"/>
        <v>3921.0800000000008</v>
      </c>
      <c r="S214" s="890"/>
      <c r="T214" s="2562">
        <v>2994.69</v>
      </c>
      <c r="U214" s="2342"/>
      <c r="V214" s="2557">
        <f t="shared" si="460"/>
        <v>6915.77</v>
      </c>
      <c r="W214" s="890"/>
      <c r="X214" s="3395">
        <v>1279.4000000000001</v>
      </c>
      <c r="Y214" s="2466"/>
      <c r="Z214" s="2467">
        <f t="shared" si="452"/>
        <v>8195.17</v>
      </c>
      <c r="AA214" s="3558"/>
      <c r="AB214" s="3565">
        <f t="shared" si="453"/>
        <v>8195.17</v>
      </c>
      <c r="AC214" s="890"/>
      <c r="AD214" s="4048">
        <v>105.46000000000001</v>
      </c>
      <c r="AE214" s="2342"/>
      <c r="AF214" s="4050">
        <f t="shared" si="461"/>
        <v>8300.6299999999992</v>
      </c>
      <c r="AG214" s="890"/>
      <c r="AH214" s="4397">
        <v>1960.6999999999998</v>
      </c>
      <c r="AI214" s="2342"/>
      <c r="AJ214" s="4394">
        <f t="shared" si="462"/>
        <v>10261.329999999998</v>
      </c>
      <c r="AK214" s="890"/>
      <c r="AL214" s="4276">
        <v>2355.3199999999997</v>
      </c>
      <c r="AM214" s="2466"/>
      <c r="AN214" s="2467">
        <f t="shared" si="454"/>
        <v>4421.4799999999996</v>
      </c>
      <c r="AO214" s="2342"/>
      <c r="AP214" s="4277">
        <f t="shared" si="455"/>
        <v>12616.649999999998</v>
      </c>
      <c r="AQ214" s="890"/>
      <c r="AR214" s="4455"/>
      <c r="AS214" s="2342"/>
      <c r="AT214" s="4456">
        <f t="shared" si="463"/>
        <v>12616.649999999998</v>
      </c>
      <c r="AU214" s="890"/>
      <c r="AV214" s="4634"/>
      <c r="AW214" s="2342"/>
      <c r="AX214" s="4635">
        <f t="shared" si="464"/>
        <v>12616.649999999998</v>
      </c>
      <c r="AY214" s="890"/>
      <c r="AZ214" s="5135">
        <v>630.28000000000009</v>
      </c>
      <c r="BA214" s="2466"/>
      <c r="BB214" s="2467">
        <f t="shared" si="456"/>
        <v>630.28000000000009</v>
      </c>
      <c r="BC214" s="3558"/>
      <c r="BD214" s="5143">
        <f t="shared" si="457"/>
        <v>5051.7599999999993</v>
      </c>
      <c r="BE214" s="2342"/>
      <c r="BF214" s="5127">
        <f t="shared" si="465"/>
        <v>13246.929999999998</v>
      </c>
      <c r="BG214" s="26"/>
      <c r="BH214" s="26"/>
      <c r="BI214" s="26"/>
      <c r="BJ214" s="26"/>
    </row>
    <row r="215" spans="1:62" ht="20.25" x14ac:dyDescent="0.25">
      <c r="A215" s="188"/>
      <c r="B215" s="2002" t="s">
        <v>890</v>
      </c>
      <c r="C215" s="1523" t="s">
        <v>1052</v>
      </c>
      <c r="D215" s="1523"/>
      <c r="E215" s="890"/>
      <c r="F215" s="3407"/>
      <c r="G215" s="890"/>
      <c r="H215" s="3407"/>
      <c r="I215" s="2342"/>
      <c r="J215" s="3408"/>
      <c r="K215" s="890"/>
      <c r="L215" s="3407"/>
      <c r="M215" s="2466"/>
      <c r="N215" s="3568">
        <f t="shared" si="451"/>
        <v>0</v>
      </c>
      <c r="O215" s="890"/>
      <c r="P215" s="3407"/>
      <c r="Q215" s="2342"/>
      <c r="R215" s="3408"/>
      <c r="S215" s="890"/>
      <c r="T215" s="3407"/>
      <c r="U215" s="2342"/>
      <c r="V215" s="3408">
        <f t="shared" si="460"/>
        <v>0</v>
      </c>
      <c r="W215" s="890"/>
      <c r="X215" s="3407">
        <v>33.659999999999997</v>
      </c>
      <c r="Y215" s="2466"/>
      <c r="Z215" s="2467">
        <f t="shared" si="452"/>
        <v>33.659999999999997</v>
      </c>
      <c r="AA215" s="3558"/>
      <c r="AB215" s="3565">
        <f t="shared" si="453"/>
        <v>33.659999999999997</v>
      </c>
      <c r="AC215" s="890"/>
      <c r="AD215" s="4048"/>
      <c r="AE215" s="2342"/>
      <c r="AF215" s="4050">
        <f t="shared" si="461"/>
        <v>33.659999999999997</v>
      </c>
      <c r="AG215" s="890"/>
      <c r="AH215" s="4397"/>
      <c r="AI215" s="2342"/>
      <c r="AJ215" s="4394">
        <f t="shared" si="462"/>
        <v>33.659999999999997</v>
      </c>
      <c r="AK215" s="890"/>
      <c r="AL215" s="4276"/>
      <c r="AM215" s="2466"/>
      <c r="AN215" s="2467">
        <f t="shared" si="454"/>
        <v>0</v>
      </c>
      <c r="AO215" s="2342"/>
      <c r="AP215" s="4277">
        <f t="shared" si="455"/>
        <v>33.659999999999997</v>
      </c>
      <c r="AQ215" s="890"/>
      <c r="AR215" s="4455"/>
      <c r="AS215" s="2342"/>
      <c r="AT215" s="4456">
        <f t="shared" si="463"/>
        <v>33.659999999999997</v>
      </c>
      <c r="AU215" s="890"/>
      <c r="AV215" s="4634"/>
      <c r="AW215" s="2342"/>
      <c r="AX215" s="4635">
        <f t="shared" si="464"/>
        <v>33.659999999999997</v>
      </c>
      <c r="AY215" s="890"/>
      <c r="AZ215" s="5135"/>
      <c r="BA215" s="2466"/>
      <c r="BB215" s="2467">
        <f t="shared" si="456"/>
        <v>0</v>
      </c>
      <c r="BC215" s="3558"/>
      <c r="BD215" s="5143">
        <f t="shared" si="457"/>
        <v>0</v>
      </c>
      <c r="BE215" s="2342"/>
      <c r="BF215" s="5127">
        <f t="shared" si="465"/>
        <v>33.659999999999997</v>
      </c>
      <c r="BG215" s="26"/>
      <c r="BH215" s="26"/>
      <c r="BI215" s="26"/>
      <c r="BJ215" s="26"/>
    </row>
    <row r="216" spans="1:62" ht="20.25" x14ac:dyDescent="0.25">
      <c r="A216" s="188"/>
      <c r="B216" s="2002" t="s">
        <v>890</v>
      </c>
      <c r="C216" s="1523" t="s">
        <v>1053</v>
      </c>
      <c r="D216" s="1523"/>
      <c r="E216" s="890"/>
      <c r="F216" s="2456"/>
      <c r="G216" s="890"/>
      <c r="H216" s="2456"/>
      <c r="I216" s="2342"/>
      <c r="J216" s="2457">
        <f t="shared" si="458"/>
        <v>0</v>
      </c>
      <c r="K216" s="890"/>
      <c r="L216" s="2456"/>
      <c r="M216" s="2466"/>
      <c r="N216" s="3568">
        <f t="shared" si="451"/>
        <v>0</v>
      </c>
      <c r="O216" s="890"/>
      <c r="P216" s="2456">
        <v>962.88</v>
      </c>
      <c r="Q216" s="2342"/>
      <c r="R216" s="2457">
        <f t="shared" si="459"/>
        <v>962.88</v>
      </c>
      <c r="S216" s="890"/>
      <c r="T216" s="2562">
        <v>0</v>
      </c>
      <c r="U216" s="2342"/>
      <c r="V216" s="2557">
        <f t="shared" si="460"/>
        <v>962.88</v>
      </c>
      <c r="W216" s="890"/>
      <c r="X216" s="3395"/>
      <c r="Y216" s="2466"/>
      <c r="Z216" s="2467">
        <f t="shared" si="452"/>
        <v>962.88</v>
      </c>
      <c r="AA216" s="3558"/>
      <c r="AB216" s="3565">
        <f t="shared" si="453"/>
        <v>962.88</v>
      </c>
      <c r="AC216" s="890"/>
      <c r="AD216" s="4048"/>
      <c r="AE216" s="2342"/>
      <c r="AF216" s="4050">
        <f t="shared" si="461"/>
        <v>962.88</v>
      </c>
      <c r="AG216" s="890"/>
      <c r="AH216" s="4397"/>
      <c r="AI216" s="2342"/>
      <c r="AJ216" s="4394">
        <f t="shared" si="462"/>
        <v>962.88</v>
      </c>
      <c r="AK216" s="890"/>
      <c r="AL216" s="4276"/>
      <c r="AM216" s="2466"/>
      <c r="AN216" s="2467">
        <f t="shared" si="454"/>
        <v>0</v>
      </c>
      <c r="AO216" s="2342"/>
      <c r="AP216" s="4277">
        <f t="shared" si="455"/>
        <v>962.88</v>
      </c>
      <c r="AQ216" s="890"/>
      <c r="AR216" s="4455"/>
      <c r="AS216" s="2342"/>
      <c r="AT216" s="4456">
        <f t="shared" si="463"/>
        <v>962.88</v>
      </c>
      <c r="AU216" s="890"/>
      <c r="AV216" s="4634"/>
      <c r="AW216" s="2342"/>
      <c r="AX216" s="4635">
        <f t="shared" si="464"/>
        <v>962.88</v>
      </c>
      <c r="AY216" s="890"/>
      <c r="AZ216" s="5135"/>
      <c r="BA216" s="2466"/>
      <c r="BB216" s="2467">
        <f t="shared" si="456"/>
        <v>0</v>
      </c>
      <c r="BC216" s="3558"/>
      <c r="BD216" s="5143">
        <f t="shared" si="457"/>
        <v>0</v>
      </c>
      <c r="BE216" s="2342"/>
      <c r="BF216" s="5127">
        <f t="shared" si="465"/>
        <v>962.88</v>
      </c>
      <c r="BG216" s="26"/>
      <c r="BH216" s="26"/>
      <c r="BI216" s="26"/>
      <c r="BJ216" s="26"/>
    </row>
    <row r="217" spans="1:62" ht="20.25" x14ac:dyDescent="0.25">
      <c r="A217" s="188"/>
      <c r="B217" s="2002" t="s">
        <v>890</v>
      </c>
      <c r="C217" s="1523" t="s">
        <v>1204</v>
      </c>
      <c r="D217" s="1523"/>
      <c r="E217" s="890"/>
      <c r="F217" s="2456">
        <v>61.88</v>
      </c>
      <c r="G217" s="890"/>
      <c r="H217" s="2456"/>
      <c r="I217" s="2342"/>
      <c r="J217" s="2457">
        <f t="shared" si="458"/>
        <v>61.88</v>
      </c>
      <c r="K217" s="890"/>
      <c r="L217" s="2456"/>
      <c r="M217" s="2466"/>
      <c r="N217" s="3568">
        <f t="shared" si="451"/>
        <v>61.88</v>
      </c>
      <c r="O217" s="890"/>
      <c r="P217" s="2456">
        <v>1882.22</v>
      </c>
      <c r="Q217" s="2342"/>
      <c r="R217" s="2457">
        <f t="shared" si="459"/>
        <v>1944.1000000000001</v>
      </c>
      <c r="S217" s="890"/>
      <c r="T217" s="2562">
        <v>0</v>
      </c>
      <c r="U217" s="2342"/>
      <c r="V217" s="2557">
        <f t="shared" si="460"/>
        <v>1944.1000000000001</v>
      </c>
      <c r="W217" s="890"/>
      <c r="X217" s="3395"/>
      <c r="Y217" s="2466"/>
      <c r="Z217" s="2467">
        <f t="shared" si="452"/>
        <v>1882.22</v>
      </c>
      <c r="AA217" s="3558"/>
      <c r="AB217" s="3565">
        <f t="shared" si="453"/>
        <v>1944.1000000000001</v>
      </c>
      <c r="AC217" s="890"/>
      <c r="AD217" s="4048"/>
      <c r="AE217" s="2342"/>
      <c r="AF217" s="4050">
        <f t="shared" si="461"/>
        <v>1944.1000000000001</v>
      </c>
      <c r="AG217" s="890"/>
      <c r="AH217" s="4397"/>
      <c r="AI217" s="2342"/>
      <c r="AJ217" s="4394">
        <f t="shared" si="462"/>
        <v>1944.1000000000001</v>
      </c>
      <c r="AK217" s="890"/>
      <c r="AL217" s="4276"/>
      <c r="AM217" s="2466"/>
      <c r="AN217" s="2467">
        <f t="shared" si="454"/>
        <v>0</v>
      </c>
      <c r="AO217" s="2342"/>
      <c r="AP217" s="4277">
        <f t="shared" si="455"/>
        <v>1944.1000000000001</v>
      </c>
      <c r="AQ217" s="890"/>
      <c r="AR217" s="4455"/>
      <c r="AS217" s="2342"/>
      <c r="AT217" s="4456">
        <f t="shared" si="463"/>
        <v>1944.1000000000001</v>
      </c>
      <c r="AU217" s="890"/>
      <c r="AV217" s="4634"/>
      <c r="AW217" s="2342"/>
      <c r="AX217" s="4635">
        <f t="shared" si="464"/>
        <v>1944.1000000000001</v>
      </c>
      <c r="AY217" s="890"/>
      <c r="AZ217" s="5135"/>
      <c r="BA217" s="2466"/>
      <c r="BB217" s="2467">
        <f t="shared" si="456"/>
        <v>0</v>
      </c>
      <c r="BC217" s="3558"/>
      <c r="BD217" s="5143">
        <f t="shared" si="457"/>
        <v>0</v>
      </c>
      <c r="BE217" s="2342"/>
      <c r="BF217" s="5127">
        <f t="shared" si="465"/>
        <v>1944.1000000000001</v>
      </c>
      <c r="BG217" s="26"/>
      <c r="BH217" s="26"/>
      <c r="BI217" s="26"/>
      <c r="BJ217" s="26"/>
    </row>
    <row r="218" spans="1:62" ht="20.25" x14ac:dyDescent="0.25">
      <c r="A218" s="188"/>
      <c r="B218" s="2002" t="s">
        <v>891</v>
      </c>
      <c r="C218" s="1523" t="s">
        <v>907</v>
      </c>
      <c r="D218" s="1523"/>
      <c r="E218" s="891"/>
      <c r="F218" s="2456">
        <v>8396.0700000000015</v>
      </c>
      <c r="G218" s="891"/>
      <c r="H218" s="2456"/>
      <c r="I218" s="2343"/>
      <c r="J218" s="2457">
        <f t="shared" si="458"/>
        <v>8396.0700000000015</v>
      </c>
      <c r="K218" s="891"/>
      <c r="L218" s="2456"/>
      <c r="M218" s="2467"/>
      <c r="N218" s="3568">
        <f t="shared" si="451"/>
        <v>8396.0700000000015</v>
      </c>
      <c r="O218" s="891"/>
      <c r="P218" s="2456">
        <v>12986.599999999995</v>
      </c>
      <c r="Q218" s="2343"/>
      <c r="R218" s="2457">
        <f t="shared" si="459"/>
        <v>21382.67</v>
      </c>
      <c r="S218" s="891"/>
      <c r="T218" s="2562">
        <v>9883.7999999999956</v>
      </c>
      <c r="U218" s="2343"/>
      <c r="V218" s="2557">
        <f t="shared" si="460"/>
        <v>31266.469999999994</v>
      </c>
      <c r="W218" s="891"/>
      <c r="X218" s="3395">
        <v>11063.639999999998</v>
      </c>
      <c r="Y218" s="2467"/>
      <c r="Z218" s="2467">
        <f t="shared" si="452"/>
        <v>33934.039999999986</v>
      </c>
      <c r="AA218" s="3559"/>
      <c r="AB218" s="3565">
        <f t="shared" si="453"/>
        <v>42330.109999999986</v>
      </c>
      <c r="AC218" s="891"/>
      <c r="AD218" s="4048">
        <v>5877.4599999999991</v>
      </c>
      <c r="AE218" s="2343"/>
      <c r="AF218" s="4050">
        <f t="shared" si="461"/>
        <v>48207.569999999985</v>
      </c>
      <c r="AG218" s="891"/>
      <c r="AH218" s="4397">
        <v>7768.6600000000008</v>
      </c>
      <c r="AI218" s="2343"/>
      <c r="AJ218" s="4394">
        <f t="shared" si="462"/>
        <v>55976.229999999989</v>
      </c>
      <c r="AK218" s="891"/>
      <c r="AL218" s="4276">
        <v>12137.01</v>
      </c>
      <c r="AM218" s="2467"/>
      <c r="AN218" s="2467">
        <f t="shared" si="454"/>
        <v>25783.129999999997</v>
      </c>
      <c r="AO218" s="2343"/>
      <c r="AP218" s="4277">
        <f t="shared" si="455"/>
        <v>68113.239999999991</v>
      </c>
      <c r="AQ218" s="891"/>
      <c r="AR218" s="4455">
        <v>1996.12</v>
      </c>
      <c r="AS218" s="2343"/>
      <c r="AT218" s="4456">
        <f t="shared" si="463"/>
        <v>70109.359999999986</v>
      </c>
      <c r="AU218" s="891"/>
      <c r="AV218" s="4634">
        <v>12659.519999999995</v>
      </c>
      <c r="AW218" s="2343"/>
      <c r="AX218" s="4635">
        <f t="shared" si="464"/>
        <v>82768.879999999976</v>
      </c>
      <c r="AY218" s="891"/>
      <c r="AZ218" s="5135">
        <v>5398.01</v>
      </c>
      <c r="BA218" s="2467"/>
      <c r="BB218" s="2467">
        <f t="shared" si="456"/>
        <v>20053.649999999994</v>
      </c>
      <c r="BC218" s="3559"/>
      <c r="BD218" s="5143">
        <f t="shared" si="457"/>
        <v>45836.779999999992</v>
      </c>
      <c r="BE218" s="2343"/>
      <c r="BF218" s="5127">
        <f t="shared" si="465"/>
        <v>88166.88999999997</v>
      </c>
      <c r="BG218" s="26"/>
      <c r="BH218" s="26"/>
      <c r="BI218" s="26"/>
      <c r="BJ218" s="26"/>
    </row>
    <row r="219" spans="1:62" ht="20.25" x14ac:dyDescent="0.25">
      <c r="A219" s="188"/>
      <c r="B219" s="2002" t="s">
        <v>891</v>
      </c>
      <c r="C219" s="1523" t="s">
        <v>916</v>
      </c>
      <c r="D219" s="1523"/>
      <c r="E219" s="891"/>
      <c r="F219" s="2635">
        <v>4473.3100000000004</v>
      </c>
      <c r="G219" s="891"/>
      <c r="H219" s="2456">
        <v>6568.1800000000021</v>
      </c>
      <c r="I219" s="2343"/>
      <c r="J219" s="2457">
        <f t="shared" si="458"/>
        <v>11041.490000000002</v>
      </c>
      <c r="K219" s="891"/>
      <c r="L219" s="2456"/>
      <c r="M219" s="2467"/>
      <c r="N219" s="3568">
        <f t="shared" si="451"/>
        <v>11041.490000000002</v>
      </c>
      <c r="O219" s="891"/>
      <c r="P219" s="2635">
        <v>1920.8500000000001</v>
      </c>
      <c r="Q219" s="2343"/>
      <c r="R219" s="2457">
        <f t="shared" si="459"/>
        <v>12962.340000000002</v>
      </c>
      <c r="S219" s="891"/>
      <c r="T219" s="2562">
        <v>4260.0499999999993</v>
      </c>
      <c r="U219" s="2343"/>
      <c r="V219" s="2557">
        <f t="shared" si="460"/>
        <v>17222.39</v>
      </c>
      <c r="W219" s="891"/>
      <c r="X219" s="3395">
        <v>1734.1900000000003</v>
      </c>
      <c r="Y219" s="2467"/>
      <c r="Z219" s="2467">
        <f t="shared" si="452"/>
        <v>7915.09</v>
      </c>
      <c r="AA219" s="3559"/>
      <c r="AB219" s="3565">
        <f t="shared" si="453"/>
        <v>18956.580000000002</v>
      </c>
      <c r="AC219" s="891"/>
      <c r="AD219" s="4048">
        <v>752.39</v>
      </c>
      <c r="AE219" s="2343"/>
      <c r="AF219" s="4050">
        <f t="shared" si="461"/>
        <v>19708.97</v>
      </c>
      <c r="AG219" s="891"/>
      <c r="AH219" s="4397">
        <v>4991.2299999999996</v>
      </c>
      <c r="AI219" s="2343"/>
      <c r="AJ219" s="4394">
        <f t="shared" si="462"/>
        <v>24700.2</v>
      </c>
      <c r="AK219" s="891"/>
      <c r="AL219" s="4276">
        <v>5445.9899999999989</v>
      </c>
      <c r="AM219" s="2467"/>
      <c r="AN219" s="2467">
        <f t="shared" si="454"/>
        <v>11189.609999999999</v>
      </c>
      <c r="AO219" s="2343"/>
      <c r="AP219" s="4277">
        <f t="shared" si="455"/>
        <v>30146.19</v>
      </c>
      <c r="AQ219" s="891"/>
      <c r="AR219" s="4455"/>
      <c r="AS219" s="2343"/>
      <c r="AT219" s="4456">
        <f t="shared" si="463"/>
        <v>30146.19</v>
      </c>
      <c r="AU219" s="891"/>
      <c r="AV219" s="4634">
        <v>5389.2800000000007</v>
      </c>
      <c r="AW219" s="2343"/>
      <c r="AX219" s="4635">
        <f t="shared" si="464"/>
        <v>35535.47</v>
      </c>
      <c r="AY219" s="891"/>
      <c r="AZ219" s="5135">
        <v>1232.9100000000003</v>
      </c>
      <c r="BA219" s="2467"/>
      <c r="BB219" s="2467">
        <f t="shared" si="456"/>
        <v>6622.1900000000005</v>
      </c>
      <c r="BC219" s="3559"/>
      <c r="BD219" s="5143">
        <f t="shared" si="457"/>
        <v>17811.8</v>
      </c>
      <c r="BE219" s="2343"/>
      <c r="BF219" s="5127">
        <f t="shared" si="465"/>
        <v>36768.380000000005</v>
      </c>
      <c r="BG219" s="26"/>
      <c r="BH219" s="26"/>
      <c r="BI219" s="26"/>
      <c r="BJ219" s="26"/>
    </row>
    <row r="220" spans="1:62" ht="20.25" x14ac:dyDescent="0.25">
      <c r="A220" s="188"/>
      <c r="B220" s="2002" t="s">
        <v>891</v>
      </c>
      <c r="C220" s="1523" t="s">
        <v>1204</v>
      </c>
      <c r="D220" s="1523"/>
      <c r="E220" s="890"/>
      <c r="F220" s="2456">
        <v>6539.58</v>
      </c>
      <c r="G220" s="890"/>
      <c r="H220" s="2456">
        <v>4923.6100000000006</v>
      </c>
      <c r="I220" s="2342"/>
      <c r="J220" s="2457">
        <f t="shared" si="458"/>
        <v>11463.19</v>
      </c>
      <c r="K220" s="890"/>
      <c r="L220" s="2456">
        <v>1269.6499999999999</v>
      </c>
      <c r="M220" s="2466"/>
      <c r="N220" s="3568">
        <f t="shared" si="451"/>
        <v>12732.84</v>
      </c>
      <c r="O220" s="890"/>
      <c r="P220" s="2456">
        <v>6970.06</v>
      </c>
      <c r="Q220" s="2342"/>
      <c r="R220" s="2457">
        <f t="shared" si="459"/>
        <v>19702.900000000001</v>
      </c>
      <c r="S220" s="890"/>
      <c r="T220" s="2562">
        <v>9599.1799999999985</v>
      </c>
      <c r="U220" s="2342"/>
      <c r="V220" s="2557">
        <f t="shared" si="460"/>
        <v>29302.080000000002</v>
      </c>
      <c r="W220" s="890"/>
      <c r="X220" s="3395">
        <v>13405.170000000006</v>
      </c>
      <c r="Y220" s="2466"/>
      <c r="Z220" s="2467">
        <f t="shared" si="452"/>
        <v>29974.410000000003</v>
      </c>
      <c r="AA220" s="3558"/>
      <c r="AB220" s="3565">
        <f t="shared" si="453"/>
        <v>42707.25</v>
      </c>
      <c r="AC220" s="890"/>
      <c r="AD220" s="4048">
        <v>4626.82</v>
      </c>
      <c r="AE220" s="2342"/>
      <c r="AF220" s="4050">
        <f t="shared" si="461"/>
        <v>47334.07</v>
      </c>
      <c r="AG220" s="890"/>
      <c r="AH220" s="4397">
        <v>258.82</v>
      </c>
      <c r="AI220" s="2342"/>
      <c r="AJ220" s="4394">
        <f t="shared" si="462"/>
        <v>47592.89</v>
      </c>
      <c r="AK220" s="890"/>
      <c r="AL220" s="4276">
        <v>7386.1099999999988</v>
      </c>
      <c r="AM220" s="2466"/>
      <c r="AN220" s="2467">
        <f t="shared" si="454"/>
        <v>12271.749999999998</v>
      </c>
      <c r="AO220" s="2342"/>
      <c r="AP220" s="4277">
        <f t="shared" si="455"/>
        <v>54979</v>
      </c>
      <c r="AQ220" s="890"/>
      <c r="AR220" s="4455">
        <v>7087.5099999999993</v>
      </c>
      <c r="AS220" s="2342"/>
      <c r="AT220" s="4456">
        <f t="shared" si="463"/>
        <v>62066.51</v>
      </c>
      <c r="AU220" s="890"/>
      <c r="AV220" s="4634">
        <v>9344.489999999998</v>
      </c>
      <c r="AW220" s="2342"/>
      <c r="AX220" s="4635">
        <f t="shared" si="464"/>
        <v>71411</v>
      </c>
      <c r="AY220" s="890"/>
      <c r="AZ220" s="5135">
        <v>14818.449999999999</v>
      </c>
      <c r="BA220" s="2466"/>
      <c r="BB220" s="2467">
        <f t="shared" si="456"/>
        <v>31250.449999999997</v>
      </c>
      <c r="BC220" s="3558"/>
      <c r="BD220" s="5143">
        <f t="shared" si="457"/>
        <v>43522.2</v>
      </c>
      <c r="BE220" s="2342"/>
      <c r="BF220" s="5127">
        <f t="shared" si="465"/>
        <v>86229.45</v>
      </c>
      <c r="BG220" s="26"/>
      <c r="BH220" s="26"/>
      <c r="BI220" s="26"/>
      <c r="BJ220" s="26"/>
    </row>
    <row r="221" spans="1:62" ht="20.25" x14ac:dyDescent="0.25">
      <c r="A221" s="188"/>
      <c r="B221" s="2002" t="s">
        <v>891</v>
      </c>
      <c r="C221" s="1523" t="s">
        <v>1052</v>
      </c>
      <c r="D221" s="1523"/>
      <c r="E221" s="890"/>
      <c r="F221" s="2456"/>
      <c r="G221" s="890"/>
      <c r="H221" s="2456"/>
      <c r="I221" s="2342"/>
      <c r="J221" s="2457">
        <f t="shared" si="458"/>
        <v>0</v>
      </c>
      <c r="K221" s="890"/>
      <c r="L221" s="2456">
        <v>63.64</v>
      </c>
      <c r="M221" s="2466"/>
      <c r="N221" s="3568">
        <f t="shared" si="451"/>
        <v>63.64</v>
      </c>
      <c r="O221" s="890"/>
      <c r="P221" s="2456">
        <v>892.54000000000008</v>
      </c>
      <c r="Q221" s="2342"/>
      <c r="R221" s="2457">
        <f t="shared" si="459"/>
        <v>956.18000000000006</v>
      </c>
      <c r="S221" s="890"/>
      <c r="T221" s="2562">
        <v>0</v>
      </c>
      <c r="U221" s="2342"/>
      <c r="V221" s="2557">
        <f t="shared" si="460"/>
        <v>956.18000000000006</v>
      </c>
      <c r="W221" s="890"/>
      <c r="X221" s="3395"/>
      <c r="Y221" s="2466"/>
      <c r="Z221" s="2467">
        <f t="shared" si="452"/>
        <v>892.54000000000008</v>
      </c>
      <c r="AA221" s="3558"/>
      <c r="AB221" s="3565">
        <f t="shared" si="453"/>
        <v>956.18000000000006</v>
      </c>
      <c r="AC221" s="890"/>
      <c r="AD221" s="4048"/>
      <c r="AE221" s="2342"/>
      <c r="AF221" s="4050">
        <f t="shared" si="461"/>
        <v>956.18000000000006</v>
      </c>
      <c r="AG221" s="890"/>
      <c r="AH221" s="4397"/>
      <c r="AI221" s="2342"/>
      <c r="AJ221" s="4394">
        <f t="shared" si="462"/>
        <v>956.18000000000006</v>
      </c>
      <c r="AK221" s="890"/>
      <c r="AL221" s="4276"/>
      <c r="AM221" s="2466"/>
      <c r="AN221" s="2467">
        <f t="shared" si="454"/>
        <v>0</v>
      </c>
      <c r="AO221" s="2342"/>
      <c r="AP221" s="4277">
        <f t="shared" si="455"/>
        <v>956.18000000000006</v>
      </c>
      <c r="AQ221" s="890"/>
      <c r="AR221" s="4455">
        <v>31.88</v>
      </c>
      <c r="AS221" s="2342"/>
      <c r="AT221" s="4456">
        <f t="shared" si="463"/>
        <v>988.06000000000006</v>
      </c>
      <c r="AU221" s="890"/>
      <c r="AV221" s="4634">
        <v>314.77999999999997</v>
      </c>
      <c r="AW221" s="2342"/>
      <c r="AX221" s="4635">
        <f t="shared" si="464"/>
        <v>1302.8400000000001</v>
      </c>
      <c r="AY221" s="890"/>
      <c r="AZ221" s="5135">
        <v>204.91</v>
      </c>
      <c r="BA221" s="2466"/>
      <c r="BB221" s="2467">
        <f t="shared" si="456"/>
        <v>551.56999999999994</v>
      </c>
      <c r="BC221" s="3558"/>
      <c r="BD221" s="5143">
        <f t="shared" si="457"/>
        <v>551.56999999999994</v>
      </c>
      <c r="BE221" s="2342"/>
      <c r="BF221" s="5127">
        <f t="shared" si="465"/>
        <v>1507.7500000000002</v>
      </c>
      <c r="BG221" s="26"/>
      <c r="BH221" s="26"/>
      <c r="BI221" s="26"/>
      <c r="BJ221" s="26"/>
    </row>
    <row r="222" spans="1:62" ht="20.25" customHeight="1" x14ac:dyDescent="0.25">
      <c r="A222" s="188"/>
      <c r="B222" s="2002" t="s">
        <v>891</v>
      </c>
      <c r="C222" s="1523" t="s">
        <v>1053</v>
      </c>
      <c r="D222" s="1523"/>
      <c r="E222" s="890"/>
      <c r="F222" s="2456">
        <v>1692.8799999999997</v>
      </c>
      <c r="G222" s="890"/>
      <c r="H222" s="2456"/>
      <c r="I222" s="2342"/>
      <c r="J222" s="2457">
        <f t="shared" si="458"/>
        <v>1692.8799999999997</v>
      </c>
      <c r="K222" s="890"/>
      <c r="L222" s="2456"/>
      <c r="M222" s="2466"/>
      <c r="N222" s="3568">
        <f t="shared" si="451"/>
        <v>1692.8799999999997</v>
      </c>
      <c r="O222" s="890"/>
      <c r="P222" s="2456"/>
      <c r="Q222" s="2342"/>
      <c r="R222" s="2457">
        <f t="shared" si="459"/>
        <v>1692.8799999999997</v>
      </c>
      <c r="S222" s="890"/>
      <c r="T222" s="2562">
        <v>0</v>
      </c>
      <c r="U222" s="2342"/>
      <c r="V222" s="2557">
        <f t="shared" si="460"/>
        <v>1692.8799999999997</v>
      </c>
      <c r="W222" s="890"/>
      <c r="X222" s="3395"/>
      <c r="Y222" s="2466"/>
      <c r="Z222" s="2467">
        <f t="shared" si="452"/>
        <v>0</v>
      </c>
      <c r="AA222" s="3558"/>
      <c r="AB222" s="3565">
        <f t="shared" si="453"/>
        <v>1692.8799999999997</v>
      </c>
      <c r="AC222" s="890"/>
      <c r="AD222" s="4048"/>
      <c r="AE222" s="2342"/>
      <c r="AF222" s="4050">
        <f t="shared" si="461"/>
        <v>1692.8799999999997</v>
      </c>
      <c r="AG222" s="890"/>
      <c r="AH222" s="4397">
        <v>986.59999999999991</v>
      </c>
      <c r="AI222" s="2342"/>
      <c r="AJ222" s="4394">
        <f t="shared" si="462"/>
        <v>2679.4799999999996</v>
      </c>
      <c r="AK222" s="890"/>
      <c r="AL222" s="4276"/>
      <c r="AM222" s="2466"/>
      <c r="AN222" s="2467">
        <f t="shared" si="454"/>
        <v>986.59999999999991</v>
      </c>
      <c r="AO222" s="2342"/>
      <c r="AP222" s="4277">
        <f t="shared" si="455"/>
        <v>2679.4799999999996</v>
      </c>
      <c r="AQ222" s="890"/>
      <c r="AR222" s="4455"/>
      <c r="AS222" s="2342"/>
      <c r="AT222" s="4456">
        <f t="shared" si="463"/>
        <v>2679.4799999999996</v>
      </c>
      <c r="AU222" s="890"/>
      <c r="AV222" s="4634"/>
      <c r="AW222" s="2342"/>
      <c r="AX222" s="4635">
        <f t="shared" si="464"/>
        <v>2679.4799999999996</v>
      </c>
      <c r="AY222" s="890"/>
      <c r="AZ222" s="5135"/>
      <c r="BA222" s="2466"/>
      <c r="BB222" s="2467">
        <f t="shared" si="456"/>
        <v>0</v>
      </c>
      <c r="BC222" s="3558"/>
      <c r="BD222" s="5143">
        <f t="shared" si="457"/>
        <v>986.59999999999991</v>
      </c>
      <c r="BE222" s="2342"/>
      <c r="BF222" s="5127">
        <f t="shared" si="465"/>
        <v>2679.4799999999996</v>
      </c>
      <c r="BG222" s="26"/>
      <c r="BH222" s="26"/>
      <c r="BI222" s="26"/>
      <c r="BJ222" s="26"/>
    </row>
    <row r="223" spans="1:62" s="4352" customFormat="1" ht="20.25" customHeight="1" x14ac:dyDescent="0.25">
      <c r="A223" s="188"/>
      <c r="B223" s="2002" t="s">
        <v>891</v>
      </c>
      <c r="C223" s="1523" t="s">
        <v>1499</v>
      </c>
      <c r="D223" s="1523"/>
      <c r="E223" s="890"/>
      <c r="F223" s="4348"/>
      <c r="G223" s="890"/>
      <c r="H223" s="4348"/>
      <c r="I223" s="2342"/>
      <c r="J223" s="4349"/>
      <c r="K223" s="890"/>
      <c r="L223" s="4348"/>
      <c r="M223" s="2466"/>
      <c r="N223" s="4351"/>
      <c r="O223" s="890"/>
      <c r="P223" s="4348"/>
      <c r="Q223" s="2342"/>
      <c r="R223" s="4349"/>
      <c r="S223" s="890"/>
      <c r="T223" s="4348"/>
      <c r="U223" s="2342"/>
      <c r="V223" s="4349"/>
      <c r="W223" s="890"/>
      <c r="X223" s="4348"/>
      <c r="Y223" s="2466"/>
      <c r="Z223" s="2467"/>
      <c r="AA223" s="3558"/>
      <c r="AB223" s="4350"/>
      <c r="AC223" s="890"/>
      <c r="AD223" s="4348"/>
      <c r="AE223" s="2342"/>
      <c r="AF223" s="4349"/>
      <c r="AG223" s="890"/>
      <c r="AH223" s="4397"/>
      <c r="AI223" s="2342"/>
      <c r="AJ223" s="4394">
        <f t="shared" si="462"/>
        <v>0</v>
      </c>
      <c r="AK223" s="890"/>
      <c r="AL223" s="4348">
        <v>1000.8600000000001</v>
      </c>
      <c r="AM223" s="2466"/>
      <c r="AN223" s="2467">
        <f t="shared" si="454"/>
        <v>1000.8600000000001</v>
      </c>
      <c r="AO223" s="2342"/>
      <c r="AP223" s="4349">
        <f t="shared" si="455"/>
        <v>1000.8600000000001</v>
      </c>
      <c r="AQ223" s="890"/>
      <c r="AR223" s="4455">
        <v>165</v>
      </c>
      <c r="AS223" s="2342"/>
      <c r="AT223" s="4456">
        <f t="shared" si="463"/>
        <v>1165.8600000000001</v>
      </c>
      <c r="AU223" s="890"/>
      <c r="AV223" s="4634">
        <v>7.22</v>
      </c>
      <c r="AW223" s="2342"/>
      <c r="AX223" s="4635">
        <f t="shared" si="464"/>
        <v>1173.0800000000002</v>
      </c>
      <c r="AY223" s="890"/>
      <c r="AZ223" s="5135"/>
      <c r="BA223" s="2466"/>
      <c r="BB223" s="2467">
        <f t="shared" si="456"/>
        <v>172.22</v>
      </c>
      <c r="BC223" s="3558"/>
      <c r="BD223" s="5143">
        <f t="shared" si="457"/>
        <v>1173.0800000000002</v>
      </c>
      <c r="BE223" s="2342"/>
      <c r="BF223" s="5127">
        <f t="shared" si="465"/>
        <v>1173.0800000000002</v>
      </c>
      <c r="BG223" s="26"/>
      <c r="BH223" s="26"/>
      <c r="BI223" s="26"/>
      <c r="BJ223" s="26"/>
    </row>
    <row r="224" spans="1:62" ht="20.25" x14ac:dyDescent="0.25">
      <c r="A224" s="188"/>
      <c r="B224" s="2002" t="s">
        <v>892</v>
      </c>
      <c r="C224" s="1523" t="s">
        <v>907</v>
      </c>
      <c r="D224" s="1523"/>
      <c r="E224" s="890"/>
      <c r="F224" s="2456">
        <v>6278.9600000000009</v>
      </c>
      <c r="G224" s="890"/>
      <c r="H224" s="2456">
        <v>9873.82</v>
      </c>
      <c r="I224" s="2342"/>
      <c r="J224" s="2457">
        <f t="shared" si="458"/>
        <v>16152.78</v>
      </c>
      <c r="K224" s="890"/>
      <c r="L224" s="2456">
        <v>9251.8500000000022</v>
      </c>
      <c r="M224" s="2466"/>
      <c r="N224" s="3568">
        <f t="shared" si="451"/>
        <v>25404.630000000005</v>
      </c>
      <c r="O224" s="890"/>
      <c r="P224" s="2456">
        <v>10302.740000000002</v>
      </c>
      <c r="Q224" s="2342"/>
      <c r="R224" s="2457">
        <f t="shared" si="459"/>
        <v>35707.37000000001</v>
      </c>
      <c r="S224" s="890"/>
      <c r="T224" s="2562">
        <v>10701.450000000004</v>
      </c>
      <c r="U224" s="2342"/>
      <c r="V224" s="2557">
        <f t="shared" si="460"/>
        <v>46408.820000000014</v>
      </c>
      <c r="W224" s="890"/>
      <c r="X224" s="3395">
        <v>2571.84</v>
      </c>
      <c r="Y224" s="2466"/>
      <c r="Z224" s="2467">
        <f t="shared" si="452"/>
        <v>23576.030000000006</v>
      </c>
      <c r="AA224" s="3558"/>
      <c r="AB224" s="3565">
        <f t="shared" si="453"/>
        <v>48980.660000000011</v>
      </c>
      <c r="AC224" s="890"/>
      <c r="AD224" s="4048">
        <v>6867.5699999999979</v>
      </c>
      <c r="AE224" s="2342"/>
      <c r="AF224" s="4050">
        <f t="shared" si="461"/>
        <v>55848.23000000001</v>
      </c>
      <c r="AG224" s="890"/>
      <c r="AH224" s="4397">
        <v>13670.050000000005</v>
      </c>
      <c r="AI224" s="2342"/>
      <c r="AJ224" s="4394">
        <f t="shared" si="462"/>
        <v>69518.280000000013</v>
      </c>
      <c r="AK224" s="890"/>
      <c r="AL224" s="4276"/>
      <c r="AM224" s="2466"/>
      <c r="AN224" s="2467">
        <f t="shared" si="454"/>
        <v>20537.620000000003</v>
      </c>
      <c r="AO224" s="2342"/>
      <c r="AP224" s="4277">
        <f t="shared" si="455"/>
        <v>69518.280000000013</v>
      </c>
      <c r="AQ224" s="890"/>
      <c r="AR224" s="4455">
        <v>11596.809999999998</v>
      </c>
      <c r="AS224" s="2342"/>
      <c r="AT224" s="4456">
        <f t="shared" si="463"/>
        <v>81115.090000000011</v>
      </c>
      <c r="AU224" s="890"/>
      <c r="AV224" s="4634">
        <v>8404.2599999999984</v>
      </c>
      <c r="AW224" s="2342"/>
      <c r="AX224" s="4635">
        <f t="shared" si="464"/>
        <v>89519.35</v>
      </c>
      <c r="AY224" s="890"/>
      <c r="AZ224" s="5135">
        <v>5620.7699999999995</v>
      </c>
      <c r="BA224" s="2466"/>
      <c r="BB224" s="2467">
        <f t="shared" ref="BB224:BB236" si="469">AR224+AV224+AZ224</f>
        <v>25621.839999999997</v>
      </c>
      <c r="BC224" s="3558"/>
      <c r="BD224" s="5143">
        <f t="shared" si="457"/>
        <v>46159.46</v>
      </c>
      <c r="BE224" s="2342"/>
      <c r="BF224" s="5127">
        <f t="shared" si="465"/>
        <v>95140.12000000001</v>
      </c>
      <c r="BG224" s="26"/>
      <c r="BH224" s="26"/>
      <c r="BI224" s="26"/>
      <c r="BJ224" s="26"/>
    </row>
    <row r="225" spans="1:62" ht="20.25" customHeight="1" x14ac:dyDescent="0.25">
      <c r="A225" s="122"/>
      <c r="B225" s="2002" t="s">
        <v>892</v>
      </c>
      <c r="C225" s="1523" t="s">
        <v>916</v>
      </c>
      <c r="D225" s="1523"/>
      <c r="E225" s="890"/>
      <c r="F225" s="2456">
        <v>2524.9499999999994</v>
      </c>
      <c r="G225" s="890"/>
      <c r="H225" s="2456">
        <v>6501.42</v>
      </c>
      <c r="I225" s="2342"/>
      <c r="J225" s="2457">
        <f t="shared" si="458"/>
        <v>9026.369999999999</v>
      </c>
      <c r="K225" s="890"/>
      <c r="L225" s="2456">
        <v>3195.4099999999989</v>
      </c>
      <c r="M225" s="2466"/>
      <c r="N225" s="3568">
        <f t="shared" si="451"/>
        <v>12221.779999999999</v>
      </c>
      <c r="O225" s="890"/>
      <c r="P225" s="2456">
        <v>5117.05</v>
      </c>
      <c r="Q225" s="2342"/>
      <c r="R225" s="2457">
        <f t="shared" si="459"/>
        <v>17338.829999999998</v>
      </c>
      <c r="S225" s="890"/>
      <c r="T225" s="2562">
        <v>4256.0099999999984</v>
      </c>
      <c r="U225" s="2342"/>
      <c r="V225" s="2557">
        <f t="shared" si="460"/>
        <v>21594.839999999997</v>
      </c>
      <c r="W225" s="890"/>
      <c r="X225" s="3395">
        <v>414.34000000000003</v>
      </c>
      <c r="Y225" s="2466"/>
      <c r="Z225" s="2467">
        <f t="shared" si="452"/>
        <v>9787.3999999999978</v>
      </c>
      <c r="AA225" s="3558"/>
      <c r="AB225" s="3565">
        <f t="shared" si="453"/>
        <v>22009.179999999997</v>
      </c>
      <c r="AC225" s="890"/>
      <c r="AD225" s="4048">
        <v>2552.5199999999995</v>
      </c>
      <c r="AE225" s="2342"/>
      <c r="AF225" s="4050">
        <f t="shared" si="461"/>
        <v>24561.699999999997</v>
      </c>
      <c r="AG225" s="890"/>
      <c r="AH225" s="4397">
        <v>4439.6500000000005</v>
      </c>
      <c r="AI225" s="2342"/>
      <c r="AJ225" s="4394">
        <f t="shared" si="462"/>
        <v>29001.35</v>
      </c>
      <c r="AK225" s="890"/>
      <c r="AL225" s="4276"/>
      <c r="AM225" s="2466"/>
      <c r="AN225" s="2467">
        <f t="shared" si="454"/>
        <v>6992.17</v>
      </c>
      <c r="AO225" s="2342"/>
      <c r="AP225" s="4277">
        <f t="shared" si="455"/>
        <v>29001.35</v>
      </c>
      <c r="AQ225" s="890"/>
      <c r="AR225" s="4455">
        <v>4680.9600000000009</v>
      </c>
      <c r="AS225" s="2342"/>
      <c r="AT225" s="4456">
        <f t="shared" si="463"/>
        <v>33682.31</v>
      </c>
      <c r="AU225" s="890"/>
      <c r="AV225" s="4634">
        <v>1425.75</v>
      </c>
      <c r="AW225" s="2342"/>
      <c r="AX225" s="4635">
        <f t="shared" si="464"/>
        <v>35108.06</v>
      </c>
      <c r="AY225" s="890"/>
      <c r="AZ225" s="5135">
        <v>219.1</v>
      </c>
      <c r="BA225" s="2466"/>
      <c r="BB225" s="2467">
        <f t="shared" si="469"/>
        <v>6325.8100000000013</v>
      </c>
      <c r="BC225" s="3558"/>
      <c r="BD225" s="5143">
        <f t="shared" si="457"/>
        <v>13317.980000000001</v>
      </c>
      <c r="BE225" s="2342"/>
      <c r="BF225" s="5127">
        <f t="shared" si="465"/>
        <v>35327.159999999996</v>
      </c>
      <c r="BG225" s="26"/>
      <c r="BH225" s="26"/>
      <c r="BI225" s="26"/>
      <c r="BJ225" s="26"/>
    </row>
    <row r="226" spans="1:62" ht="21.2" customHeight="1" x14ac:dyDescent="0.25">
      <c r="A226" s="188"/>
      <c r="B226" s="2002" t="s">
        <v>892</v>
      </c>
      <c r="C226" s="1523" t="s">
        <v>1204</v>
      </c>
      <c r="D226" s="1523"/>
      <c r="E226" s="890"/>
      <c r="F226" s="2456">
        <v>1561.77</v>
      </c>
      <c r="G226" s="890"/>
      <c r="H226" s="2456">
        <v>6028.3499999999995</v>
      </c>
      <c r="I226" s="2342"/>
      <c r="J226" s="2457">
        <f t="shared" si="458"/>
        <v>7590.119999999999</v>
      </c>
      <c r="K226" s="890"/>
      <c r="L226" s="2456">
        <v>6222.2199999999984</v>
      </c>
      <c r="M226" s="2466"/>
      <c r="N226" s="3568">
        <f t="shared" si="451"/>
        <v>13812.339999999997</v>
      </c>
      <c r="O226" s="890"/>
      <c r="P226" s="2456">
        <v>5824.4699999999993</v>
      </c>
      <c r="Q226" s="2342"/>
      <c r="R226" s="2457">
        <f t="shared" si="459"/>
        <v>19636.809999999998</v>
      </c>
      <c r="S226" s="890"/>
      <c r="T226" s="2562">
        <v>10330.189999999997</v>
      </c>
      <c r="U226" s="2342"/>
      <c r="V226" s="2557">
        <f t="shared" si="460"/>
        <v>29966.999999999993</v>
      </c>
      <c r="W226" s="890"/>
      <c r="X226" s="3395">
        <v>8965.159999999998</v>
      </c>
      <c r="Y226" s="2466"/>
      <c r="Z226" s="2467">
        <f t="shared" si="452"/>
        <v>25119.819999999992</v>
      </c>
      <c r="AA226" s="3558"/>
      <c r="AB226" s="3565">
        <f t="shared" si="453"/>
        <v>38932.159999999989</v>
      </c>
      <c r="AC226" s="890"/>
      <c r="AD226" s="4048">
        <v>7159.4800000000005</v>
      </c>
      <c r="AE226" s="2342"/>
      <c r="AF226" s="4050">
        <f t="shared" si="461"/>
        <v>46091.639999999992</v>
      </c>
      <c r="AG226" s="890"/>
      <c r="AH226" s="4397">
        <v>1988.81</v>
      </c>
      <c r="AI226" s="2342"/>
      <c r="AJ226" s="4394">
        <f t="shared" si="462"/>
        <v>48080.44999999999</v>
      </c>
      <c r="AK226" s="890"/>
      <c r="AL226" s="4276">
        <v>3971.2199999999993</v>
      </c>
      <c r="AM226" s="2466"/>
      <c r="AN226" s="2467">
        <f t="shared" si="454"/>
        <v>13119.51</v>
      </c>
      <c r="AO226" s="2342"/>
      <c r="AP226" s="4277">
        <f t="shared" si="455"/>
        <v>52051.669999999991</v>
      </c>
      <c r="AQ226" s="890"/>
      <c r="AR226" s="4455">
        <v>8502.5399999999991</v>
      </c>
      <c r="AS226" s="2342"/>
      <c r="AT226" s="4456">
        <f t="shared" si="463"/>
        <v>60554.209999999992</v>
      </c>
      <c r="AU226" s="890"/>
      <c r="AV226" s="4634">
        <v>7775.8200000000006</v>
      </c>
      <c r="AW226" s="2342"/>
      <c r="AX226" s="4635">
        <f t="shared" si="464"/>
        <v>68330.03</v>
      </c>
      <c r="AY226" s="890"/>
      <c r="AZ226" s="5135">
        <v>10111.549999999999</v>
      </c>
      <c r="BA226" s="2466"/>
      <c r="BB226" s="2467">
        <f t="shared" si="469"/>
        <v>26389.91</v>
      </c>
      <c r="BC226" s="3558"/>
      <c r="BD226" s="5143">
        <f t="shared" si="457"/>
        <v>39509.42</v>
      </c>
      <c r="BE226" s="2342"/>
      <c r="BF226" s="5127">
        <f t="shared" si="465"/>
        <v>78441.58</v>
      </c>
      <c r="BG226" s="26"/>
      <c r="BH226" s="26"/>
      <c r="BI226" s="26"/>
      <c r="BJ226" s="26"/>
    </row>
    <row r="227" spans="1:62" ht="20.25" x14ac:dyDescent="0.25">
      <c r="A227" s="188"/>
      <c r="B227" s="2002" t="s">
        <v>892</v>
      </c>
      <c r="C227" s="1523" t="s">
        <v>1052</v>
      </c>
      <c r="D227" s="1523"/>
      <c r="E227" s="890"/>
      <c r="F227" s="2456">
        <v>35.68</v>
      </c>
      <c r="G227" s="890"/>
      <c r="H227" s="2456">
        <v>885.3</v>
      </c>
      <c r="I227" s="2342"/>
      <c r="J227" s="2457">
        <f t="shared" si="458"/>
        <v>920.9799999999999</v>
      </c>
      <c r="K227" s="890"/>
      <c r="L227" s="2456">
        <v>980.12</v>
      </c>
      <c r="M227" s="2466"/>
      <c r="N227" s="3568">
        <f t="shared" si="451"/>
        <v>1901.1</v>
      </c>
      <c r="O227" s="890"/>
      <c r="P227" s="2456">
        <v>447.48</v>
      </c>
      <c r="Q227" s="2342"/>
      <c r="R227" s="2457">
        <f t="shared" si="459"/>
        <v>2348.58</v>
      </c>
      <c r="S227" s="890"/>
      <c r="T227" s="2562">
        <v>315.86</v>
      </c>
      <c r="U227" s="2342"/>
      <c r="V227" s="2557">
        <f t="shared" si="460"/>
        <v>2664.44</v>
      </c>
      <c r="W227" s="890"/>
      <c r="X227" s="3395">
        <v>128.35999999999999</v>
      </c>
      <c r="Y227" s="2466"/>
      <c r="Z227" s="2467">
        <f t="shared" si="452"/>
        <v>891.7</v>
      </c>
      <c r="AA227" s="3558"/>
      <c r="AB227" s="3565">
        <f t="shared" si="453"/>
        <v>2792.8</v>
      </c>
      <c r="AC227" s="890"/>
      <c r="AD227" s="4048">
        <v>65.3</v>
      </c>
      <c r="AE227" s="2342"/>
      <c r="AF227" s="4050">
        <f t="shared" si="461"/>
        <v>2858.1000000000004</v>
      </c>
      <c r="AG227" s="890"/>
      <c r="AH227" s="4397"/>
      <c r="AI227" s="2342"/>
      <c r="AJ227" s="4394">
        <f t="shared" si="462"/>
        <v>2858.1000000000004</v>
      </c>
      <c r="AK227" s="890"/>
      <c r="AL227" s="4276"/>
      <c r="AM227" s="2466"/>
      <c r="AN227" s="2467">
        <f t="shared" si="454"/>
        <v>65.3</v>
      </c>
      <c r="AO227" s="2342"/>
      <c r="AP227" s="4277">
        <f t="shared" si="455"/>
        <v>2858.1000000000004</v>
      </c>
      <c r="AQ227" s="890"/>
      <c r="AR227" s="4455">
        <v>32.07</v>
      </c>
      <c r="AS227" s="2342"/>
      <c r="AT227" s="4456">
        <f t="shared" si="463"/>
        <v>2890.1700000000005</v>
      </c>
      <c r="AU227" s="890"/>
      <c r="AV227" s="4634"/>
      <c r="AW227" s="2342"/>
      <c r="AX227" s="4635">
        <f t="shared" si="464"/>
        <v>2890.1700000000005</v>
      </c>
      <c r="AY227" s="890"/>
      <c r="AZ227" s="5135"/>
      <c r="BA227" s="2466"/>
      <c r="BB227" s="2467">
        <f t="shared" si="469"/>
        <v>32.07</v>
      </c>
      <c r="BC227" s="3558"/>
      <c r="BD227" s="5143">
        <f t="shared" si="457"/>
        <v>97.37</v>
      </c>
      <c r="BE227" s="2342"/>
      <c r="BF227" s="5127">
        <f t="shared" si="465"/>
        <v>2890.1700000000005</v>
      </c>
      <c r="BG227" s="26"/>
      <c r="BH227" s="26"/>
      <c r="BI227" s="26"/>
      <c r="BJ227" s="26"/>
    </row>
    <row r="228" spans="1:62" ht="20.25" x14ac:dyDescent="0.25">
      <c r="A228" s="122"/>
      <c r="B228" s="2002" t="s">
        <v>892</v>
      </c>
      <c r="C228" s="1523" t="s">
        <v>1053</v>
      </c>
      <c r="D228" s="1523"/>
      <c r="E228" s="890"/>
      <c r="F228" s="2456"/>
      <c r="G228" s="890"/>
      <c r="H228" s="2456"/>
      <c r="I228" s="2342"/>
      <c r="J228" s="2457">
        <f t="shared" si="458"/>
        <v>0</v>
      </c>
      <c r="K228" s="890"/>
      <c r="L228" s="2456">
        <v>480.96</v>
      </c>
      <c r="M228" s="2466"/>
      <c r="N228" s="3568">
        <f t="shared" si="451"/>
        <v>480.96</v>
      </c>
      <c r="O228" s="890"/>
      <c r="P228" s="2456">
        <v>552.38</v>
      </c>
      <c r="Q228" s="2342"/>
      <c r="R228" s="2457">
        <f t="shared" si="459"/>
        <v>1033.3399999999999</v>
      </c>
      <c r="S228" s="890"/>
      <c r="T228" s="2562">
        <v>0</v>
      </c>
      <c r="U228" s="2342"/>
      <c r="V228" s="2557">
        <f t="shared" si="460"/>
        <v>1033.3399999999999</v>
      </c>
      <c r="W228" s="890"/>
      <c r="X228" s="3395"/>
      <c r="Y228" s="2466"/>
      <c r="Z228" s="2467">
        <f t="shared" si="452"/>
        <v>552.38</v>
      </c>
      <c r="AA228" s="3558"/>
      <c r="AB228" s="3565">
        <f t="shared" si="453"/>
        <v>1033.3399999999999</v>
      </c>
      <c r="AC228" s="890"/>
      <c r="AD228" s="4048"/>
      <c r="AE228" s="2342"/>
      <c r="AF228" s="4050">
        <f t="shared" si="461"/>
        <v>1033.3399999999999</v>
      </c>
      <c r="AG228" s="890"/>
      <c r="AH228" s="4397"/>
      <c r="AI228" s="2342"/>
      <c r="AJ228" s="4394">
        <f t="shared" si="462"/>
        <v>1033.3399999999999</v>
      </c>
      <c r="AK228" s="890"/>
      <c r="AL228" s="4276"/>
      <c r="AM228" s="2466"/>
      <c r="AN228" s="2467">
        <f t="shared" si="454"/>
        <v>0</v>
      </c>
      <c r="AO228" s="2342"/>
      <c r="AP228" s="4277">
        <f t="shared" si="455"/>
        <v>1033.3399999999999</v>
      </c>
      <c r="AQ228" s="890"/>
      <c r="AR228" s="4455"/>
      <c r="AS228" s="2342"/>
      <c r="AT228" s="4456">
        <f t="shared" si="463"/>
        <v>1033.3399999999999</v>
      </c>
      <c r="AU228" s="890"/>
      <c r="AV228" s="4634"/>
      <c r="AW228" s="2342"/>
      <c r="AX228" s="4635">
        <f t="shared" si="464"/>
        <v>1033.3399999999999</v>
      </c>
      <c r="AY228" s="890"/>
      <c r="AZ228" s="5135"/>
      <c r="BA228" s="2466"/>
      <c r="BB228" s="2467">
        <f t="shared" si="469"/>
        <v>0</v>
      </c>
      <c r="BC228" s="3558"/>
      <c r="BD228" s="5143">
        <f t="shared" si="457"/>
        <v>0</v>
      </c>
      <c r="BE228" s="2342"/>
      <c r="BF228" s="5127">
        <f t="shared" si="465"/>
        <v>1033.3399999999999</v>
      </c>
      <c r="BG228" s="26"/>
      <c r="BH228" s="26"/>
      <c r="BI228" s="26"/>
      <c r="BJ228" s="26"/>
    </row>
    <row r="229" spans="1:62" ht="20.25" x14ac:dyDescent="0.25">
      <c r="A229" s="122"/>
      <c r="B229" s="2002" t="s">
        <v>893</v>
      </c>
      <c r="C229" s="1523" t="s">
        <v>907</v>
      </c>
      <c r="D229" s="1523"/>
      <c r="E229" s="890"/>
      <c r="F229" s="2456">
        <v>5199.6800000000012</v>
      </c>
      <c r="G229" s="890"/>
      <c r="H229" s="2456">
        <v>1262.4399999999998</v>
      </c>
      <c r="I229" s="2342"/>
      <c r="J229" s="2457">
        <f t="shared" si="458"/>
        <v>6462.1200000000008</v>
      </c>
      <c r="K229" s="890"/>
      <c r="L229" s="2456">
        <v>7198.050000000002</v>
      </c>
      <c r="M229" s="2466"/>
      <c r="N229" s="3568">
        <f t="shared" si="451"/>
        <v>13660.170000000002</v>
      </c>
      <c r="O229" s="890"/>
      <c r="P229" s="2456">
        <v>288</v>
      </c>
      <c r="Q229" s="2342"/>
      <c r="R229" s="2457">
        <f t="shared" si="459"/>
        <v>13948.170000000002</v>
      </c>
      <c r="S229" s="890"/>
      <c r="T229" s="2562">
        <v>4077.3900000000012</v>
      </c>
      <c r="U229" s="2342"/>
      <c r="V229" s="2557">
        <f t="shared" si="460"/>
        <v>18025.560000000005</v>
      </c>
      <c r="W229" s="890"/>
      <c r="X229" s="3395">
        <v>32.380000000000003</v>
      </c>
      <c r="Y229" s="2466"/>
      <c r="Z229" s="2467">
        <f t="shared" si="452"/>
        <v>4397.7700000000013</v>
      </c>
      <c r="AA229" s="3558"/>
      <c r="AB229" s="3565">
        <f t="shared" si="453"/>
        <v>18057.940000000002</v>
      </c>
      <c r="AC229" s="890"/>
      <c r="AD229" s="4048">
        <v>2589.2799999999997</v>
      </c>
      <c r="AE229" s="2342"/>
      <c r="AF229" s="4050">
        <f t="shared" si="461"/>
        <v>20647.22</v>
      </c>
      <c r="AG229" s="890"/>
      <c r="AH229" s="4397">
        <v>4010.2700000000004</v>
      </c>
      <c r="AI229" s="2342"/>
      <c r="AJ229" s="4394">
        <f t="shared" si="462"/>
        <v>24657.49</v>
      </c>
      <c r="AK229" s="890"/>
      <c r="AL229" s="4276">
        <v>2817.05</v>
      </c>
      <c r="AM229" s="2466"/>
      <c r="AN229" s="2467">
        <f t="shared" si="454"/>
        <v>9416.6</v>
      </c>
      <c r="AO229" s="2342"/>
      <c r="AP229" s="4277">
        <f t="shared" si="455"/>
        <v>27474.54</v>
      </c>
      <c r="AQ229" s="890"/>
      <c r="AR229" s="4455">
        <v>3089.5399999999991</v>
      </c>
      <c r="AS229" s="2342"/>
      <c r="AT229" s="4456">
        <f t="shared" si="463"/>
        <v>30564.080000000002</v>
      </c>
      <c r="AU229" s="890"/>
      <c r="AV229" s="4634"/>
      <c r="AW229" s="2342"/>
      <c r="AX229" s="4635">
        <f t="shared" si="464"/>
        <v>30564.080000000002</v>
      </c>
      <c r="AY229" s="890"/>
      <c r="AZ229" s="5135">
        <v>4537.7999999999993</v>
      </c>
      <c r="BA229" s="2466"/>
      <c r="BB229" s="2467">
        <f t="shared" si="469"/>
        <v>7627.3399999999983</v>
      </c>
      <c r="BC229" s="3558"/>
      <c r="BD229" s="5143">
        <f t="shared" si="457"/>
        <v>17043.939999999999</v>
      </c>
      <c r="BE229" s="2342"/>
      <c r="BF229" s="5127">
        <f t="shared" si="465"/>
        <v>35101.880000000005</v>
      </c>
      <c r="BG229" s="26"/>
      <c r="BH229" s="26"/>
      <c r="BI229" s="26"/>
      <c r="BJ229" s="26"/>
    </row>
    <row r="230" spans="1:62" ht="20.25" x14ac:dyDescent="0.25">
      <c r="A230" s="122"/>
      <c r="B230" s="2002" t="s">
        <v>893</v>
      </c>
      <c r="C230" s="1523" t="s">
        <v>916</v>
      </c>
      <c r="D230" s="1523"/>
      <c r="E230" s="890"/>
      <c r="F230" s="2456"/>
      <c r="G230" s="890"/>
      <c r="H230" s="2456"/>
      <c r="I230" s="2342"/>
      <c r="J230" s="2457">
        <f t="shared" si="458"/>
        <v>0</v>
      </c>
      <c r="K230" s="890"/>
      <c r="L230" s="2456">
        <v>865.08</v>
      </c>
      <c r="M230" s="2466"/>
      <c r="N230" s="3568">
        <f t="shared" si="451"/>
        <v>865.08</v>
      </c>
      <c r="O230" s="890"/>
      <c r="P230" s="2456">
        <v>125.62</v>
      </c>
      <c r="Q230" s="2342"/>
      <c r="R230" s="2457">
        <f t="shared" si="459"/>
        <v>990.7</v>
      </c>
      <c r="S230" s="890"/>
      <c r="T230" s="2562">
        <v>2919.4900000000002</v>
      </c>
      <c r="U230" s="2342"/>
      <c r="V230" s="2557">
        <f t="shared" si="460"/>
        <v>3910.1900000000005</v>
      </c>
      <c r="W230" s="890"/>
      <c r="X230" s="3395">
        <v>2094.62</v>
      </c>
      <c r="Y230" s="2466"/>
      <c r="Z230" s="2467">
        <f t="shared" si="452"/>
        <v>5139.7299999999996</v>
      </c>
      <c r="AA230" s="3558"/>
      <c r="AB230" s="3565">
        <f t="shared" si="453"/>
        <v>6004.8099999999995</v>
      </c>
      <c r="AC230" s="890"/>
      <c r="AD230" s="4048">
        <v>1168.17</v>
      </c>
      <c r="AE230" s="2342"/>
      <c r="AF230" s="4050">
        <f t="shared" si="461"/>
        <v>7172.98</v>
      </c>
      <c r="AG230" s="890"/>
      <c r="AH230" s="4397">
        <v>2836.3500000000004</v>
      </c>
      <c r="AI230" s="2342"/>
      <c r="AJ230" s="4394">
        <f t="shared" si="462"/>
        <v>10009.33</v>
      </c>
      <c r="AK230" s="890"/>
      <c r="AL230" s="4276">
        <v>1729.13</v>
      </c>
      <c r="AM230" s="2466"/>
      <c r="AN230" s="2467">
        <f t="shared" si="454"/>
        <v>5733.6500000000005</v>
      </c>
      <c r="AO230" s="2342"/>
      <c r="AP230" s="4277">
        <f t="shared" si="455"/>
        <v>11738.46</v>
      </c>
      <c r="AQ230" s="890"/>
      <c r="AR230" s="4455">
        <v>506</v>
      </c>
      <c r="AS230" s="2342"/>
      <c r="AT230" s="4456">
        <f t="shared" si="463"/>
        <v>12244.46</v>
      </c>
      <c r="AU230" s="890"/>
      <c r="AV230" s="4634"/>
      <c r="AW230" s="2342"/>
      <c r="AX230" s="4635">
        <f t="shared" si="464"/>
        <v>12244.46</v>
      </c>
      <c r="AY230" s="890"/>
      <c r="AZ230" s="5135">
        <v>1985.7</v>
      </c>
      <c r="BA230" s="2466"/>
      <c r="BB230" s="2467">
        <f t="shared" si="469"/>
        <v>2491.6999999999998</v>
      </c>
      <c r="BC230" s="3558"/>
      <c r="BD230" s="5143">
        <f t="shared" si="457"/>
        <v>8225.35</v>
      </c>
      <c r="BE230" s="2342"/>
      <c r="BF230" s="5127">
        <f t="shared" si="465"/>
        <v>14230.16</v>
      </c>
      <c r="BG230" s="26"/>
      <c r="BH230" s="26"/>
      <c r="BI230" s="26"/>
      <c r="BJ230" s="26"/>
    </row>
    <row r="231" spans="1:62" ht="21.2" customHeight="1" x14ac:dyDescent="0.25">
      <c r="A231" s="188"/>
      <c r="B231" s="2002" t="s">
        <v>893</v>
      </c>
      <c r="C231" s="1523" t="s">
        <v>1204</v>
      </c>
      <c r="D231" s="1523"/>
      <c r="E231" s="890"/>
      <c r="F231" s="2456">
        <v>5988.8999999999987</v>
      </c>
      <c r="G231" s="890"/>
      <c r="H231" s="2456">
        <v>6056.58</v>
      </c>
      <c r="I231" s="2342"/>
      <c r="J231" s="2457">
        <f>F231+H231</f>
        <v>12045.48</v>
      </c>
      <c r="K231" s="890"/>
      <c r="L231" s="2456">
        <v>3813.5800000000008</v>
      </c>
      <c r="M231" s="2466"/>
      <c r="N231" s="3568">
        <f t="shared" si="451"/>
        <v>15859.060000000001</v>
      </c>
      <c r="O231" s="890"/>
      <c r="P231" s="2456">
        <v>2173.0400000000004</v>
      </c>
      <c r="Q231" s="2342"/>
      <c r="R231" s="2457">
        <f>N231+P231</f>
        <v>18032.100000000002</v>
      </c>
      <c r="S231" s="890"/>
      <c r="T231" s="2562">
        <v>8320.8399999999965</v>
      </c>
      <c r="U231" s="2342"/>
      <c r="V231" s="2557">
        <f>R231+T231</f>
        <v>26352.94</v>
      </c>
      <c r="W231" s="890"/>
      <c r="X231" s="3395">
        <v>7042.4999999999982</v>
      </c>
      <c r="Y231" s="2466"/>
      <c r="Z231" s="2467">
        <f t="shared" si="452"/>
        <v>17536.379999999997</v>
      </c>
      <c r="AA231" s="3558"/>
      <c r="AB231" s="3565">
        <f t="shared" si="453"/>
        <v>33395.440000000002</v>
      </c>
      <c r="AC231" s="890"/>
      <c r="AD231" s="4048">
        <v>7864.41</v>
      </c>
      <c r="AE231" s="2342"/>
      <c r="AF231" s="4050">
        <f>AB231+AD231</f>
        <v>41259.850000000006</v>
      </c>
      <c r="AG231" s="890"/>
      <c r="AH231" s="4397">
        <v>4402.5800000000008</v>
      </c>
      <c r="AI231" s="2342"/>
      <c r="AJ231" s="4394">
        <f>AF231+AH231</f>
        <v>45662.430000000008</v>
      </c>
      <c r="AK231" s="890"/>
      <c r="AL231" s="4276">
        <v>7139.7700000000023</v>
      </c>
      <c r="AM231" s="2466"/>
      <c r="AN231" s="2467">
        <f t="shared" si="454"/>
        <v>19406.760000000002</v>
      </c>
      <c r="AO231" s="2342"/>
      <c r="AP231" s="4277">
        <f t="shared" si="455"/>
        <v>52802.200000000012</v>
      </c>
      <c r="AQ231" s="890"/>
      <c r="AR231" s="4455">
        <v>7887.6499999999987</v>
      </c>
      <c r="AS231" s="2342"/>
      <c r="AT231" s="4456">
        <f>AP231+AR231</f>
        <v>60689.850000000013</v>
      </c>
      <c r="AU231" s="890"/>
      <c r="AV231" s="4634">
        <v>7373.130000000001</v>
      </c>
      <c r="AW231" s="2342"/>
      <c r="AX231" s="4635">
        <f>AT231+AV231</f>
        <v>68062.98000000001</v>
      </c>
      <c r="AY231" s="890"/>
      <c r="AZ231" s="5135">
        <v>6583.41</v>
      </c>
      <c r="BA231" s="2466"/>
      <c r="BB231" s="2467">
        <f t="shared" si="469"/>
        <v>21844.19</v>
      </c>
      <c r="BC231" s="3558"/>
      <c r="BD231" s="5143">
        <f t="shared" si="457"/>
        <v>41250.949999999997</v>
      </c>
      <c r="BE231" s="2342"/>
      <c r="BF231" s="5127">
        <f>AX231+AZ231</f>
        <v>74646.390000000014</v>
      </c>
      <c r="BG231" s="26"/>
      <c r="BH231" s="26"/>
      <c r="BI231" s="26"/>
      <c r="BJ231" s="26"/>
    </row>
    <row r="232" spans="1:62" ht="20.25" x14ac:dyDescent="0.25">
      <c r="A232" s="188"/>
      <c r="B232" s="2002" t="s">
        <v>893</v>
      </c>
      <c r="C232" s="1523" t="s">
        <v>1053</v>
      </c>
      <c r="D232" s="1523"/>
      <c r="E232" s="890"/>
      <c r="F232" s="2456"/>
      <c r="G232" s="890"/>
      <c r="H232" s="2456"/>
      <c r="I232" s="2342"/>
      <c r="J232" s="2457">
        <f t="shared" si="458"/>
        <v>0</v>
      </c>
      <c r="K232" s="890"/>
      <c r="L232" s="2456">
        <v>836.14</v>
      </c>
      <c r="M232" s="2466"/>
      <c r="N232" s="3568">
        <f t="shared" si="451"/>
        <v>836.14</v>
      </c>
      <c r="O232" s="890"/>
      <c r="P232" s="2456">
        <v>126.13999999999999</v>
      </c>
      <c r="Q232" s="2342"/>
      <c r="R232" s="2457">
        <f t="shared" si="459"/>
        <v>962.28</v>
      </c>
      <c r="S232" s="890"/>
      <c r="T232" s="2562">
        <v>0</v>
      </c>
      <c r="U232" s="2342"/>
      <c r="V232" s="2557">
        <f t="shared" si="460"/>
        <v>962.28</v>
      </c>
      <c r="W232" s="890"/>
      <c r="X232" s="3395"/>
      <c r="Y232" s="2466"/>
      <c r="Z232" s="2467">
        <f t="shared" si="452"/>
        <v>126.13999999999999</v>
      </c>
      <c r="AA232" s="3558"/>
      <c r="AB232" s="3565">
        <f t="shared" si="453"/>
        <v>962.28</v>
      </c>
      <c r="AC232" s="890"/>
      <c r="AD232" s="4048">
        <v>63.98</v>
      </c>
      <c r="AE232" s="2342"/>
      <c r="AF232" s="4050">
        <f t="shared" ref="AF232:AF236" si="470">AB232+AD232</f>
        <v>1026.26</v>
      </c>
      <c r="AG232" s="890"/>
      <c r="AH232" s="4397">
        <v>568.80000000000007</v>
      </c>
      <c r="AI232" s="2342"/>
      <c r="AJ232" s="4394">
        <f t="shared" ref="AJ232:AJ236" si="471">AF232+AH232</f>
        <v>1595.06</v>
      </c>
      <c r="AK232" s="890"/>
      <c r="AL232" s="4276"/>
      <c r="AM232" s="2466"/>
      <c r="AN232" s="2467">
        <f t="shared" si="454"/>
        <v>632.78000000000009</v>
      </c>
      <c r="AO232" s="2342"/>
      <c r="AP232" s="4277">
        <f t="shared" si="455"/>
        <v>1595.06</v>
      </c>
      <c r="AQ232" s="890"/>
      <c r="AR232" s="4455"/>
      <c r="AS232" s="2342"/>
      <c r="AT232" s="4456">
        <f t="shared" ref="AT232:AT236" si="472">AP232+AR232</f>
        <v>1595.06</v>
      </c>
      <c r="AU232" s="890"/>
      <c r="AV232" s="4634"/>
      <c r="AW232" s="2342"/>
      <c r="AX232" s="4635">
        <f t="shared" ref="AX232:AX236" si="473">AT232+AV232</f>
        <v>1595.06</v>
      </c>
      <c r="AY232" s="890"/>
      <c r="AZ232" s="5135">
        <v>27.62</v>
      </c>
      <c r="BA232" s="2466"/>
      <c r="BB232" s="2467">
        <f t="shared" si="469"/>
        <v>27.62</v>
      </c>
      <c r="BC232" s="3558"/>
      <c r="BD232" s="5143">
        <f t="shared" si="457"/>
        <v>660.40000000000009</v>
      </c>
      <c r="BE232" s="2342"/>
      <c r="BF232" s="5127">
        <f t="shared" ref="BF232:BF236" si="474">AX232+AZ232</f>
        <v>1622.6799999999998</v>
      </c>
      <c r="BG232" s="26"/>
      <c r="BH232" s="26"/>
      <c r="BI232" s="26"/>
      <c r="BJ232" s="26"/>
    </row>
    <row r="233" spans="1:62" ht="20.25" x14ac:dyDescent="0.25">
      <c r="A233" s="122"/>
      <c r="B233" s="2002" t="s">
        <v>894</v>
      </c>
      <c r="C233" s="1523" t="s">
        <v>1204</v>
      </c>
      <c r="D233" s="1523"/>
      <c r="E233" s="890"/>
      <c r="F233" s="2456"/>
      <c r="G233" s="890"/>
      <c r="H233" s="2456"/>
      <c r="I233" s="2342"/>
      <c r="J233" s="2457">
        <f t="shared" si="458"/>
        <v>0</v>
      </c>
      <c r="K233" s="890"/>
      <c r="L233" s="2456">
        <v>50.78</v>
      </c>
      <c r="M233" s="2466"/>
      <c r="N233" s="3568">
        <f t="shared" si="451"/>
        <v>50.78</v>
      </c>
      <c r="O233" s="890"/>
      <c r="P233" s="2456"/>
      <c r="Q233" s="2342"/>
      <c r="R233" s="2457">
        <f t="shared" si="459"/>
        <v>50.78</v>
      </c>
      <c r="S233" s="890"/>
      <c r="T233" s="2562">
        <v>0</v>
      </c>
      <c r="U233" s="2342"/>
      <c r="V233" s="2557">
        <f t="shared" si="460"/>
        <v>50.78</v>
      </c>
      <c r="W233" s="890"/>
      <c r="X233" s="3395"/>
      <c r="Y233" s="2466"/>
      <c r="Z233" s="2467">
        <f t="shared" si="452"/>
        <v>0</v>
      </c>
      <c r="AA233" s="3558"/>
      <c r="AB233" s="3565">
        <f t="shared" si="453"/>
        <v>50.78</v>
      </c>
      <c r="AC233" s="890"/>
      <c r="AD233" s="4048"/>
      <c r="AE233" s="2342"/>
      <c r="AF233" s="4050">
        <f t="shared" si="470"/>
        <v>50.78</v>
      </c>
      <c r="AG233" s="890"/>
      <c r="AH233" s="4397"/>
      <c r="AI233" s="2342"/>
      <c r="AJ233" s="4394">
        <f t="shared" si="471"/>
        <v>50.78</v>
      </c>
      <c r="AK233" s="890"/>
      <c r="AL233" s="4276"/>
      <c r="AM233" s="2466"/>
      <c r="AN233" s="2467">
        <f t="shared" si="454"/>
        <v>0</v>
      </c>
      <c r="AO233" s="2342"/>
      <c r="AP233" s="4277">
        <f t="shared" si="455"/>
        <v>50.78</v>
      </c>
      <c r="AQ233" s="890"/>
      <c r="AR233" s="4455"/>
      <c r="AS233" s="2342"/>
      <c r="AT233" s="4456">
        <f t="shared" si="472"/>
        <v>50.78</v>
      </c>
      <c r="AU233" s="890"/>
      <c r="AV233" s="4634"/>
      <c r="AW233" s="2342"/>
      <c r="AX233" s="4635">
        <f t="shared" si="473"/>
        <v>50.78</v>
      </c>
      <c r="AY233" s="890"/>
      <c r="AZ233" s="5135"/>
      <c r="BA233" s="2466"/>
      <c r="BB233" s="2467">
        <f t="shared" si="469"/>
        <v>0</v>
      </c>
      <c r="BC233" s="3558"/>
      <c r="BD233" s="5143">
        <f t="shared" si="457"/>
        <v>0</v>
      </c>
      <c r="BE233" s="2342"/>
      <c r="BF233" s="5127">
        <f t="shared" si="474"/>
        <v>50.78</v>
      </c>
      <c r="BG233" s="26"/>
      <c r="BH233" s="26"/>
      <c r="BI233" s="26"/>
      <c r="BJ233" s="26"/>
    </row>
    <row r="234" spans="1:62" ht="20.25" x14ac:dyDescent="0.25">
      <c r="A234" s="122"/>
      <c r="B234" s="2002" t="s">
        <v>79</v>
      </c>
      <c r="C234" s="1523"/>
      <c r="D234" s="1523"/>
      <c r="E234" s="245">
        <f>+E15</f>
        <v>0</v>
      </c>
      <c r="F234" s="245">
        <f>F17</f>
        <v>0</v>
      </c>
      <c r="G234" s="245">
        <f>+G15</f>
        <v>0</v>
      </c>
      <c r="H234" s="245">
        <f>H17</f>
        <v>0</v>
      </c>
      <c r="I234" s="2457">
        <f>E234+G234</f>
        <v>0</v>
      </c>
      <c r="J234" s="2457">
        <f t="shared" si="458"/>
        <v>0</v>
      </c>
      <c r="K234" s="245">
        <f>+K15</f>
        <v>0</v>
      </c>
      <c r="L234" s="245">
        <f>L17</f>
        <v>0</v>
      </c>
      <c r="M234" s="2467">
        <f>E234+G234+K234</f>
        <v>0</v>
      </c>
      <c r="N234" s="3568">
        <f t="shared" si="451"/>
        <v>0</v>
      </c>
      <c r="O234" s="245">
        <f>+O15</f>
        <v>0</v>
      </c>
      <c r="P234" s="245">
        <f>P17</f>
        <v>0</v>
      </c>
      <c r="Q234" s="2457">
        <f>M234+O234</f>
        <v>0</v>
      </c>
      <c r="R234" s="2457">
        <f t="shared" si="459"/>
        <v>0</v>
      </c>
      <c r="S234" s="245">
        <f>+S15</f>
        <v>0</v>
      </c>
      <c r="T234" s="245">
        <f>T17</f>
        <v>0</v>
      </c>
      <c r="U234" s="2557">
        <f>Q234+S234</f>
        <v>0</v>
      </c>
      <c r="V234" s="2557">
        <f t="shared" si="460"/>
        <v>0</v>
      </c>
      <c r="W234" s="245">
        <f>+W15</f>
        <v>0</v>
      </c>
      <c r="X234" s="245">
        <f>X17</f>
        <v>0</v>
      </c>
      <c r="Y234" s="3396">
        <f>O234+S234+W234</f>
        <v>0</v>
      </c>
      <c r="Z234" s="2467">
        <f t="shared" si="452"/>
        <v>0</v>
      </c>
      <c r="AA234" s="3550">
        <f>M234+Y234</f>
        <v>0</v>
      </c>
      <c r="AB234" s="3565">
        <f t="shared" si="453"/>
        <v>0</v>
      </c>
      <c r="AC234" s="245">
        <f>+AC15</f>
        <v>0</v>
      </c>
      <c r="AD234" s="245">
        <f>AD17</f>
        <v>0</v>
      </c>
      <c r="AE234" s="4050">
        <f>AA234+AC234</f>
        <v>0</v>
      </c>
      <c r="AF234" s="4050">
        <f t="shared" si="470"/>
        <v>0</v>
      </c>
      <c r="AG234" s="245">
        <f>+AG15</f>
        <v>0</v>
      </c>
      <c r="AH234" s="245">
        <f>AH17</f>
        <v>0</v>
      </c>
      <c r="AI234" s="4394">
        <f>AE234+AG234</f>
        <v>0</v>
      </c>
      <c r="AJ234" s="4394">
        <f t="shared" si="471"/>
        <v>0</v>
      </c>
      <c r="AK234" s="245">
        <f>+AK15</f>
        <v>0</v>
      </c>
      <c r="AL234" s="245">
        <f>AL17</f>
        <v>0</v>
      </c>
      <c r="AM234" s="4282">
        <f>AC234+AG234+AK234</f>
        <v>0</v>
      </c>
      <c r="AN234" s="2467">
        <f t="shared" si="454"/>
        <v>0</v>
      </c>
      <c r="AO234" s="4277">
        <f t="shared" si="455"/>
        <v>0</v>
      </c>
      <c r="AP234" s="4277">
        <f t="shared" si="455"/>
        <v>0</v>
      </c>
      <c r="AQ234" s="245">
        <f>+AQ15</f>
        <v>0</v>
      </c>
      <c r="AR234" s="245">
        <f>AR17</f>
        <v>0</v>
      </c>
      <c r="AS234" s="4456">
        <f>AO234+AQ234</f>
        <v>0</v>
      </c>
      <c r="AT234" s="4456">
        <f t="shared" si="472"/>
        <v>0</v>
      </c>
      <c r="AU234" s="245">
        <f>+AU15</f>
        <v>0</v>
      </c>
      <c r="AV234" s="245">
        <f>AV17</f>
        <v>0</v>
      </c>
      <c r="AW234" s="4635">
        <f>AS234+AU234</f>
        <v>0</v>
      </c>
      <c r="AX234" s="4635">
        <f t="shared" si="473"/>
        <v>0</v>
      </c>
      <c r="AY234" s="245">
        <f>+AY15</f>
        <v>0</v>
      </c>
      <c r="AZ234" s="245">
        <f>AZ17</f>
        <v>0</v>
      </c>
      <c r="BA234" s="5136">
        <f>AQ234+AU234+AY234</f>
        <v>0</v>
      </c>
      <c r="BB234" s="2467">
        <f t="shared" si="469"/>
        <v>0</v>
      </c>
      <c r="BC234" s="5143">
        <f t="shared" ref="BC234:BC235" si="475">AM234+BA234</f>
        <v>0</v>
      </c>
      <c r="BD234" s="5143">
        <f t="shared" si="457"/>
        <v>0</v>
      </c>
      <c r="BE234" s="5127">
        <f>AW234+AY234</f>
        <v>0</v>
      </c>
      <c r="BF234" s="5127">
        <f t="shared" si="474"/>
        <v>0</v>
      </c>
      <c r="BG234" s="26"/>
      <c r="BH234" s="26"/>
      <c r="BI234" s="26"/>
      <c r="BJ234" s="26"/>
    </row>
    <row r="235" spans="1:62" ht="20.25" x14ac:dyDescent="0.25">
      <c r="A235" s="122"/>
      <c r="B235" s="2002" t="s">
        <v>1234</v>
      </c>
      <c r="C235" s="243"/>
      <c r="D235" s="243"/>
      <c r="E235" s="1524">
        <f>+E14</f>
        <v>72500</v>
      </c>
      <c r="F235" s="1524">
        <f>F18</f>
        <v>0</v>
      </c>
      <c r="G235" s="1524">
        <f>+G14</f>
        <v>62500</v>
      </c>
      <c r="H235" s="1524">
        <f>H18</f>
        <v>0</v>
      </c>
      <c r="I235" s="2343">
        <f t="shared" ref="I235:I236" si="476">E235+G235</f>
        <v>135000</v>
      </c>
      <c r="J235" s="2343">
        <f t="shared" si="458"/>
        <v>0</v>
      </c>
      <c r="K235" s="1524">
        <f>+K14</f>
        <v>47000</v>
      </c>
      <c r="L235" s="1524">
        <f>L18</f>
        <v>0</v>
      </c>
      <c r="M235" s="2467">
        <f>E235+G235+K235</f>
        <v>182000</v>
      </c>
      <c r="N235" s="3568">
        <f t="shared" si="451"/>
        <v>0</v>
      </c>
      <c r="O235" s="1524">
        <f>+O14</f>
        <v>55000</v>
      </c>
      <c r="P235" s="1524">
        <f>P18</f>
        <v>0</v>
      </c>
      <c r="Q235" s="2343">
        <f t="shared" ref="Q235:Q236" si="477">M235+O235</f>
        <v>237000</v>
      </c>
      <c r="R235" s="2343">
        <f t="shared" si="459"/>
        <v>0</v>
      </c>
      <c r="S235" s="1524">
        <f>+S14</f>
        <v>55000</v>
      </c>
      <c r="T235" s="1524">
        <f>T18</f>
        <v>0</v>
      </c>
      <c r="U235" s="2343">
        <f t="shared" ref="U235:U236" si="478">Q235+S235</f>
        <v>292000</v>
      </c>
      <c r="V235" s="2343">
        <f t="shared" si="460"/>
        <v>0</v>
      </c>
      <c r="W235" s="1524">
        <f>+W14</f>
        <v>53000</v>
      </c>
      <c r="X235" s="1524">
        <f>X18</f>
        <v>0</v>
      </c>
      <c r="Y235" s="3568">
        <f>O235+S235+W235</f>
        <v>163000</v>
      </c>
      <c r="Z235" s="2467">
        <f t="shared" si="452"/>
        <v>0</v>
      </c>
      <c r="AA235" s="3559">
        <f>M235+Y235</f>
        <v>345000</v>
      </c>
      <c r="AB235" s="3565">
        <f t="shared" si="453"/>
        <v>0</v>
      </c>
      <c r="AC235" s="1524">
        <f>+AC14</f>
        <v>55500</v>
      </c>
      <c r="AD235" s="1524">
        <f>AD18</f>
        <v>0</v>
      </c>
      <c r="AE235" s="2343">
        <f t="shared" ref="AE235:AE236" si="479">AA235+AC235</f>
        <v>400500</v>
      </c>
      <c r="AF235" s="2343">
        <f t="shared" si="470"/>
        <v>0</v>
      </c>
      <c r="AG235" s="1524">
        <f>+AG14</f>
        <v>65000</v>
      </c>
      <c r="AH235" s="1524">
        <f>AH18</f>
        <v>0</v>
      </c>
      <c r="AI235" s="2343">
        <f t="shared" ref="AI235:AI236" si="480">AE235+AG235</f>
        <v>465500</v>
      </c>
      <c r="AJ235" s="2343">
        <f t="shared" si="471"/>
        <v>0</v>
      </c>
      <c r="AK235" s="1524">
        <f>+AK14</f>
        <v>67500</v>
      </c>
      <c r="AL235" s="1524">
        <f>AL18</f>
        <v>0</v>
      </c>
      <c r="AM235" s="4282">
        <f>AC235+AG235+AK235</f>
        <v>188000</v>
      </c>
      <c r="AN235" s="2467">
        <f t="shared" si="454"/>
        <v>0</v>
      </c>
      <c r="AO235" s="2343">
        <f t="shared" si="455"/>
        <v>533000</v>
      </c>
      <c r="AP235" s="2343">
        <f t="shared" si="455"/>
        <v>0</v>
      </c>
      <c r="AQ235" s="1524">
        <f>+AQ14</f>
        <v>67500</v>
      </c>
      <c r="AR235" s="1524">
        <f>AR18</f>
        <v>0</v>
      </c>
      <c r="AS235" s="2343">
        <f t="shared" ref="AS235:AS236" si="481">AO235+AQ235</f>
        <v>600500</v>
      </c>
      <c r="AT235" s="2343">
        <f t="shared" si="472"/>
        <v>0</v>
      </c>
      <c r="AU235" s="1524">
        <f>+AU14</f>
        <v>62000</v>
      </c>
      <c r="AV235" s="1524">
        <f>AV18</f>
        <v>0</v>
      </c>
      <c r="AW235" s="2343">
        <f t="shared" ref="AW235:AW236" si="482">AS235+AU235</f>
        <v>662500</v>
      </c>
      <c r="AX235" s="2343">
        <f t="shared" si="473"/>
        <v>0</v>
      </c>
      <c r="AY235" s="1524">
        <f>+AY14</f>
        <v>67500</v>
      </c>
      <c r="AZ235" s="1524">
        <f>AZ18</f>
        <v>0</v>
      </c>
      <c r="BA235" s="5136">
        <f>AQ235+AU235+AY235</f>
        <v>197000</v>
      </c>
      <c r="BB235" s="2467">
        <f t="shared" si="469"/>
        <v>0</v>
      </c>
      <c r="BC235" s="5143">
        <f t="shared" si="475"/>
        <v>385000</v>
      </c>
      <c r="BD235" s="5143">
        <f t="shared" si="457"/>
        <v>0</v>
      </c>
      <c r="BE235" s="2343">
        <f t="shared" ref="BE235:BE236" si="483">AW235+AY235</f>
        <v>730000</v>
      </c>
      <c r="BF235" s="2343">
        <f t="shared" si="474"/>
        <v>0</v>
      </c>
      <c r="BG235" s="26"/>
      <c r="BH235" s="26"/>
      <c r="BI235" s="26"/>
      <c r="BJ235" s="26"/>
    </row>
    <row r="236" spans="1:62" ht="20.25" x14ac:dyDescent="0.25">
      <c r="A236" s="122"/>
      <c r="B236" s="2493" t="s">
        <v>94</v>
      </c>
      <c r="C236" s="335" t="s">
        <v>52</v>
      </c>
      <c r="D236" s="748">
        <f>+D19</f>
        <v>850000</v>
      </c>
      <c r="E236" s="748">
        <f>+E19</f>
        <v>72500</v>
      </c>
      <c r="F236" s="748">
        <f>SUM(F201:F235)</f>
        <v>67261.569999999992</v>
      </c>
      <c r="G236" s="748">
        <f>+G19</f>
        <v>62500</v>
      </c>
      <c r="H236" s="748">
        <f>SUM(H201:H235)</f>
        <v>58474.66</v>
      </c>
      <c r="I236" s="782">
        <f t="shared" si="476"/>
        <v>135000</v>
      </c>
      <c r="J236" s="782">
        <f t="shared" si="458"/>
        <v>125736.23</v>
      </c>
      <c r="K236" s="748">
        <f>+K19</f>
        <v>47000</v>
      </c>
      <c r="L236" s="748">
        <f>SUM(L201:L235)</f>
        <v>43079.61</v>
      </c>
      <c r="M236" s="783">
        <f>E236+G236+K236</f>
        <v>182000</v>
      </c>
      <c r="N236" s="3566">
        <f>F236+H236+L236</f>
        <v>168815.84</v>
      </c>
      <c r="O236" s="748">
        <f>+O19</f>
        <v>75000</v>
      </c>
      <c r="P236" s="748">
        <f>SUM(P201:P235)</f>
        <v>76651.34</v>
      </c>
      <c r="Q236" s="782">
        <f t="shared" si="477"/>
        <v>257000</v>
      </c>
      <c r="R236" s="782">
        <f t="shared" si="459"/>
        <v>245467.18</v>
      </c>
      <c r="S236" s="748">
        <f>+S19</f>
        <v>75000</v>
      </c>
      <c r="T236" s="748">
        <f>SUM(T201:T235)</f>
        <v>86324.79</v>
      </c>
      <c r="U236" s="2558">
        <f t="shared" si="478"/>
        <v>332000</v>
      </c>
      <c r="V236" s="2558">
        <f t="shared" si="460"/>
        <v>331791.96999999997</v>
      </c>
      <c r="W236" s="748">
        <f>+W19</f>
        <v>73000</v>
      </c>
      <c r="X236" s="748">
        <f>SUM(X201:X235)</f>
        <v>63071.089999999989</v>
      </c>
      <c r="Y236" s="3393">
        <f t="shared" ref="Y236" si="484">O236+S236+W236</f>
        <v>223000</v>
      </c>
      <c r="Z236" s="3393">
        <f t="shared" si="452"/>
        <v>226047.22</v>
      </c>
      <c r="AA236" s="3551">
        <f>M236+Y236</f>
        <v>405000</v>
      </c>
      <c r="AB236" s="3551">
        <f t="shared" ref="AB236" si="485">N236+Z236</f>
        <v>394863.06</v>
      </c>
      <c r="AC236" s="748">
        <f>+AC19</f>
        <v>75500</v>
      </c>
      <c r="AD236" s="748">
        <f>SUM(AD201:AD235)</f>
        <v>60175.529999999992</v>
      </c>
      <c r="AE236" s="4051">
        <f t="shared" si="479"/>
        <v>480500</v>
      </c>
      <c r="AF236" s="4051">
        <f t="shared" si="470"/>
        <v>455038.58999999997</v>
      </c>
      <c r="AG236" s="748">
        <f>+AG19</f>
        <v>73000</v>
      </c>
      <c r="AH236" s="748">
        <f>SUM(AH201:AH235)</f>
        <v>58175.82</v>
      </c>
      <c r="AI236" s="4392">
        <f t="shared" si="480"/>
        <v>553500</v>
      </c>
      <c r="AJ236" s="4392">
        <f t="shared" si="471"/>
        <v>513214.41</v>
      </c>
      <c r="AK236" s="748">
        <f>+AK19</f>
        <v>75500</v>
      </c>
      <c r="AL236" s="748">
        <f>SUM(AL201:AL235)</f>
        <v>69407.98</v>
      </c>
      <c r="AM236" s="4283">
        <f t="shared" ref="AM236" si="486">AC236+AG236+AK236</f>
        <v>224000</v>
      </c>
      <c r="AN236" s="4283">
        <f t="shared" si="454"/>
        <v>187759.33</v>
      </c>
      <c r="AO236" s="4273">
        <f t="shared" si="455"/>
        <v>629000</v>
      </c>
      <c r="AP236" s="4273">
        <f t="shared" si="455"/>
        <v>582622.39</v>
      </c>
      <c r="AQ236" s="748">
        <f>+AQ19</f>
        <v>75500</v>
      </c>
      <c r="AR236" s="748">
        <f>SUM(AR201:AR235)</f>
        <v>65803.179999999993</v>
      </c>
      <c r="AS236" s="4453">
        <f t="shared" si="481"/>
        <v>704500</v>
      </c>
      <c r="AT236" s="4453">
        <f t="shared" si="472"/>
        <v>648425.57000000007</v>
      </c>
      <c r="AU236" s="748">
        <f>+AU19</f>
        <v>70000</v>
      </c>
      <c r="AV236" s="748">
        <f>SUM(AV201:AV235)</f>
        <v>64969.649999999994</v>
      </c>
      <c r="AW236" s="4630">
        <f t="shared" si="482"/>
        <v>774500</v>
      </c>
      <c r="AX236" s="4630">
        <f t="shared" si="473"/>
        <v>713395.22000000009</v>
      </c>
      <c r="AY236" s="748">
        <f>+AY19</f>
        <v>75500</v>
      </c>
      <c r="AZ236" s="748">
        <f>SUM(AZ201:AZ235)</f>
        <v>68007.23</v>
      </c>
      <c r="BA236" s="5129">
        <f t="shared" ref="BA236" si="487">AQ236+AU236+AY236</f>
        <v>221000</v>
      </c>
      <c r="BB236" s="5129">
        <f t="shared" si="469"/>
        <v>198780.06</v>
      </c>
      <c r="BC236" s="5140">
        <f>AM236+BA236</f>
        <v>445000</v>
      </c>
      <c r="BD236" s="5140">
        <f>AN236+BB236</f>
        <v>386539.39</v>
      </c>
      <c r="BE236" s="5124">
        <f t="shared" si="483"/>
        <v>850000</v>
      </c>
      <c r="BF236" s="5124">
        <f t="shared" si="474"/>
        <v>781402.45000000007</v>
      </c>
      <c r="BG236" s="26"/>
      <c r="BH236" s="26"/>
      <c r="BI236" s="26"/>
      <c r="BJ236" s="26"/>
    </row>
    <row r="237" spans="1:62" ht="20.25" x14ac:dyDescent="0.3">
      <c r="A237" s="122"/>
      <c r="B237" s="2493" t="s">
        <v>653</v>
      </c>
      <c r="C237" s="2064"/>
      <c r="D237" s="2064"/>
      <c r="E237" s="748"/>
      <c r="F237" s="2064"/>
      <c r="G237" s="748"/>
      <c r="H237" s="2064"/>
      <c r="I237" s="782"/>
      <c r="J237" s="2430">
        <f t="shared" si="458"/>
        <v>0</v>
      </c>
      <c r="K237" s="748"/>
      <c r="L237" s="2064"/>
      <c r="M237" s="783"/>
      <c r="N237" s="2358"/>
      <c r="O237" s="748"/>
      <c r="P237" s="2064"/>
      <c r="Q237" s="782"/>
      <c r="R237" s="2430"/>
      <c r="S237" s="748"/>
      <c r="T237" s="2064"/>
      <c r="U237" s="2558"/>
      <c r="V237" s="2430"/>
      <c r="W237" s="748"/>
      <c r="X237" s="2064"/>
      <c r="Y237" s="3393"/>
      <c r="Z237" s="2358"/>
      <c r="AA237" s="3551"/>
      <c r="AB237" s="3556"/>
      <c r="AC237" s="748"/>
      <c r="AD237" s="2064"/>
      <c r="AE237" s="4051"/>
      <c r="AF237" s="2430"/>
      <c r="AG237" s="748"/>
      <c r="AH237" s="2064"/>
      <c r="AI237" s="4392"/>
      <c r="AJ237" s="2430"/>
      <c r="AK237" s="748"/>
      <c r="AL237" s="2064"/>
      <c r="AM237" s="4283"/>
      <c r="AN237" s="2358"/>
      <c r="AO237" s="4273"/>
      <c r="AP237" s="2430"/>
      <c r="AQ237" s="748"/>
      <c r="AR237" s="2064"/>
      <c r="AS237" s="4453"/>
      <c r="AT237" s="2430"/>
      <c r="AU237" s="748"/>
      <c r="AV237" s="2064"/>
      <c r="AW237" s="4630"/>
      <c r="AX237" s="2430"/>
      <c r="AY237" s="748"/>
      <c r="AZ237" s="2064"/>
      <c r="BA237" s="5129"/>
      <c r="BB237" s="2358"/>
      <c r="BC237" s="5140"/>
      <c r="BD237" s="3556"/>
      <c r="BE237" s="5124"/>
      <c r="BF237" s="2430"/>
      <c r="BG237" s="26"/>
      <c r="BH237" s="26"/>
      <c r="BI237" s="26"/>
      <c r="BJ237" s="26"/>
    </row>
    <row r="238" spans="1:62" ht="20.25" x14ac:dyDescent="0.25">
      <c r="A238" s="122"/>
      <c r="B238" s="2494" t="s">
        <v>1463</v>
      </c>
      <c r="C238" s="243" t="s">
        <v>52</v>
      </c>
      <c r="D238" s="243"/>
      <c r="E238" s="2495"/>
      <c r="F238" s="245"/>
      <c r="G238" s="2495"/>
      <c r="H238" s="245"/>
      <c r="I238" s="2496"/>
      <c r="J238" s="2457">
        <f t="shared" si="458"/>
        <v>0</v>
      </c>
      <c r="K238" s="2495"/>
      <c r="L238" s="245"/>
      <c r="M238" s="2497"/>
      <c r="N238" s="300">
        <f>F238+H238+L238</f>
        <v>0</v>
      </c>
      <c r="O238" s="2495"/>
      <c r="P238" s="245"/>
      <c r="Q238" s="2496"/>
      <c r="R238" s="2457">
        <f t="shared" si="459"/>
        <v>0</v>
      </c>
      <c r="S238" s="2495"/>
      <c r="T238" s="245"/>
      <c r="U238" s="2496"/>
      <c r="V238" s="2557">
        <f t="shared" ref="V238:V241" si="488">R238+T238</f>
        <v>0</v>
      </c>
      <c r="W238" s="2495"/>
      <c r="X238" s="245"/>
      <c r="Y238" s="2497"/>
      <c r="Z238" s="3568">
        <f t="shared" ref="Z238:Z240" si="489">P238+T238+X238</f>
        <v>0</v>
      </c>
      <c r="AA238" s="3560"/>
      <c r="AB238" s="3550">
        <f>N238+Z238</f>
        <v>0</v>
      </c>
      <c r="AC238" s="2495"/>
      <c r="AD238" s="245"/>
      <c r="AE238" s="2496"/>
      <c r="AF238" s="4050">
        <f t="shared" ref="AF238:AF241" si="490">AB238+AD238</f>
        <v>0</v>
      </c>
      <c r="AG238" s="2495"/>
      <c r="AH238" s="245"/>
      <c r="AI238" s="2496"/>
      <c r="AJ238" s="4394">
        <f t="shared" ref="AJ238:AJ241" si="491">AF238+AH238</f>
        <v>0</v>
      </c>
      <c r="AK238" s="2495"/>
      <c r="AL238" s="245"/>
      <c r="AM238" s="2497"/>
      <c r="AN238" s="4282">
        <f t="shared" ref="AN238:AN240" si="492">AD238+AH238+AL238</f>
        <v>0</v>
      </c>
      <c r="AO238" s="2496"/>
      <c r="AP238" s="4277">
        <f t="shared" si="455"/>
        <v>0</v>
      </c>
      <c r="AQ238" s="2495"/>
      <c r="AR238" s="245"/>
      <c r="AS238" s="2496"/>
      <c r="AT238" s="4456">
        <f t="shared" ref="AT238:AT241" si="493">AP238+AR238</f>
        <v>0</v>
      </c>
      <c r="AU238" s="2495"/>
      <c r="AV238" s="245"/>
      <c r="AW238" s="2496"/>
      <c r="AX238" s="4635">
        <f t="shared" ref="AX238:AX241" si="494">AT238+AV238</f>
        <v>0</v>
      </c>
      <c r="AY238" s="2495"/>
      <c r="AZ238" s="245">
        <v>82.92</v>
      </c>
      <c r="BA238" s="2497"/>
      <c r="BB238" s="5136">
        <f t="shared" ref="BB238:BB240" si="495">AR238+AV238+AZ238</f>
        <v>82.92</v>
      </c>
      <c r="BC238" s="3560"/>
      <c r="BD238" s="5143">
        <f t="shared" ref="BD238:BD240" si="496">AN238+BB238</f>
        <v>82.92</v>
      </c>
      <c r="BE238" s="2496"/>
      <c r="BF238" s="5127">
        <f t="shared" ref="BF238:BF241" si="497">AX238+AZ238</f>
        <v>82.92</v>
      </c>
      <c r="BG238" s="26"/>
      <c r="BH238" s="26"/>
      <c r="BI238" s="26"/>
      <c r="BJ238" s="26"/>
    </row>
    <row r="239" spans="1:62" ht="20.25" x14ac:dyDescent="0.25">
      <c r="A239" s="235"/>
      <c r="B239" s="2494" t="s">
        <v>1453</v>
      </c>
      <c r="C239" s="243" t="s">
        <v>52</v>
      </c>
      <c r="D239" s="243"/>
      <c r="E239" s="2495"/>
      <c r="F239" s="245"/>
      <c r="G239" s="2495"/>
      <c r="H239" s="245"/>
      <c r="I239" s="2496"/>
      <c r="J239" s="2457">
        <f t="shared" si="458"/>
        <v>0</v>
      </c>
      <c r="K239" s="2495"/>
      <c r="L239" s="245"/>
      <c r="M239" s="2497"/>
      <c r="N239" s="3568">
        <f t="shared" ref="N239:N240" si="498">F239+H239+L239</f>
        <v>0</v>
      </c>
      <c r="O239" s="2495"/>
      <c r="P239" s="245"/>
      <c r="Q239" s="2496"/>
      <c r="R239" s="2457">
        <f t="shared" si="459"/>
        <v>0</v>
      </c>
      <c r="S239" s="2495"/>
      <c r="T239" s="245"/>
      <c r="U239" s="2496"/>
      <c r="V239" s="2557">
        <f t="shared" si="488"/>
        <v>0</v>
      </c>
      <c r="W239" s="2495"/>
      <c r="X239" s="245"/>
      <c r="Y239" s="2497"/>
      <c r="Z239" s="3568">
        <f t="shared" si="489"/>
        <v>0</v>
      </c>
      <c r="AA239" s="3560"/>
      <c r="AB239" s="3565">
        <f t="shared" ref="AB239:AB240" si="499">N239+Z239</f>
        <v>0</v>
      </c>
      <c r="AC239" s="2495"/>
      <c r="AD239" s="245"/>
      <c r="AE239" s="2496"/>
      <c r="AF239" s="4050">
        <f t="shared" si="490"/>
        <v>0</v>
      </c>
      <c r="AG239" s="2495"/>
      <c r="AH239" s="245"/>
      <c r="AI239" s="2496"/>
      <c r="AJ239" s="4394">
        <f t="shared" si="491"/>
        <v>0</v>
      </c>
      <c r="AK239" s="2495"/>
      <c r="AL239" s="245"/>
      <c r="AM239" s="2497"/>
      <c r="AN239" s="4282">
        <f t="shared" si="492"/>
        <v>0</v>
      </c>
      <c r="AO239" s="2496"/>
      <c r="AP239" s="4277">
        <f t="shared" si="455"/>
        <v>0</v>
      </c>
      <c r="AQ239" s="2495"/>
      <c r="AR239" s="245"/>
      <c r="AS239" s="2496"/>
      <c r="AT239" s="4456">
        <f t="shared" si="493"/>
        <v>0</v>
      </c>
      <c r="AU239" s="2495"/>
      <c r="AV239" s="245"/>
      <c r="AW239" s="2496"/>
      <c r="AX239" s="4635">
        <f t="shared" si="494"/>
        <v>0</v>
      </c>
      <c r="AY239" s="2495"/>
      <c r="AZ239" s="245">
        <v>31.72</v>
      </c>
      <c r="BA239" s="2497"/>
      <c r="BB239" s="5136">
        <f t="shared" si="495"/>
        <v>31.72</v>
      </c>
      <c r="BC239" s="3560"/>
      <c r="BD239" s="5143">
        <f t="shared" si="496"/>
        <v>31.72</v>
      </c>
      <c r="BE239" s="2496"/>
      <c r="BF239" s="5127">
        <f t="shared" si="497"/>
        <v>31.72</v>
      </c>
      <c r="BG239" s="26"/>
      <c r="BH239" s="26"/>
      <c r="BI239" s="26"/>
      <c r="BJ239" s="26"/>
    </row>
    <row r="240" spans="1:62" ht="20.25" x14ac:dyDescent="0.25">
      <c r="A240" s="235"/>
      <c r="B240" s="2494" t="s">
        <v>1169</v>
      </c>
      <c r="C240" s="243" t="s">
        <v>52</v>
      </c>
      <c r="D240" s="243"/>
      <c r="E240" s="2495"/>
      <c r="F240" s="245"/>
      <c r="G240" s="2495"/>
      <c r="H240" s="245"/>
      <c r="I240" s="2496"/>
      <c r="J240" s="2457">
        <f t="shared" si="458"/>
        <v>0</v>
      </c>
      <c r="K240" s="2495"/>
      <c r="L240" s="245"/>
      <c r="M240" s="2497"/>
      <c r="N240" s="3568">
        <f t="shared" si="498"/>
        <v>0</v>
      </c>
      <c r="O240" s="2495"/>
      <c r="P240" s="245"/>
      <c r="Q240" s="2496"/>
      <c r="R240" s="2457">
        <f t="shared" si="459"/>
        <v>0</v>
      </c>
      <c r="S240" s="2495"/>
      <c r="T240" s="245"/>
      <c r="U240" s="2496"/>
      <c r="V240" s="2557">
        <f t="shared" si="488"/>
        <v>0</v>
      </c>
      <c r="W240" s="2495"/>
      <c r="X240" s="245"/>
      <c r="Y240" s="2497"/>
      <c r="Z240" s="3568">
        <f t="shared" si="489"/>
        <v>0</v>
      </c>
      <c r="AA240" s="3560"/>
      <c r="AB240" s="3565">
        <f t="shared" si="499"/>
        <v>0</v>
      </c>
      <c r="AC240" s="2495"/>
      <c r="AD240" s="245"/>
      <c r="AE240" s="2496"/>
      <c r="AF240" s="4050">
        <f t="shared" si="490"/>
        <v>0</v>
      </c>
      <c r="AG240" s="2495"/>
      <c r="AH240" s="245"/>
      <c r="AI240" s="2496"/>
      <c r="AJ240" s="4394">
        <f t="shared" si="491"/>
        <v>0</v>
      </c>
      <c r="AK240" s="2495"/>
      <c r="AL240" s="245"/>
      <c r="AM240" s="2497"/>
      <c r="AN240" s="4282">
        <f t="shared" si="492"/>
        <v>0</v>
      </c>
      <c r="AO240" s="2496"/>
      <c r="AP240" s="4277">
        <f t="shared" ref="AO240:AP241" si="500">AJ240+AL240</f>
        <v>0</v>
      </c>
      <c r="AQ240" s="2495"/>
      <c r="AR240" s="245"/>
      <c r="AS240" s="2496"/>
      <c r="AT240" s="4456">
        <f t="shared" si="493"/>
        <v>0</v>
      </c>
      <c r="AU240" s="2495"/>
      <c r="AV240" s="245"/>
      <c r="AW240" s="2496"/>
      <c r="AX240" s="4635">
        <f t="shared" si="494"/>
        <v>0</v>
      </c>
      <c r="AY240" s="2495"/>
      <c r="AZ240" s="245">
        <v>58.84</v>
      </c>
      <c r="BA240" s="2497"/>
      <c r="BB240" s="5136">
        <f t="shared" si="495"/>
        <v>58.84</v>
      </c>
      <c r="BC240" s="3560"/>
      <c r="BD240" s="5143">
        <f t="shared" si="496"/>
        <v>58.84</v>
      </c>
      <c r="BE240" s="2496"/>
      <c r="BF240" s="5127">
        <f t="shared" si="497"/>
        <v>58.84</v>
      </c>
      <c r="BG240" s="26"/>
      <c r="BH240" s="26"/>
      <c r="BI240" s="26"/>
      <c r="BJ240" s="26"/>
    </row>
    <row r="241" spans="1:62" ht="20.25" x14ac:dyDescent="0.3">
      <c r="A241" s="235"/>
      <c r="B241" s="2486" t="s">
        <v>2</v>
      </c>
      <c r="C241" s="335" t="s">
        <v>52</v>
      </c>
      <c r="D241" s="748">
        <f>+D16</f>
        <v>120000</v>
      </c>
      <c r="E241" s="748">
        <f>+E16</f>
        <v>0</v>
      </c>
      <c r="F241" s="2498">
        <f>SUM(F238:F240)</f>
        <v>0</v>
      </c>
      <c r="G241" s="748">
        <f>+G16</f>
        <v>0</v>
      </c>
      <c r="H241" s="2498">
        <f>SUM(H238:H240)</f>
        <v>0</v>
      </c>
      <c r="I241" s="782">
        <f>+I16</f>
        <v>0</v>
      </c>
      <c r="J241" s="2499">
        <f t="shared" si="458"/>
        <v>0</v>
      </c>
      <c r="K241" s="748">
        <f>+K16</f>
        <v>0</v>
      </c>
      <c r="L241" s="2498">
        <f>SUM(L238:L240)</f>
        <v>0</v>
      </c>
      <c r="M241" s="2500">
        <f>E241+G241+K241</f>
        <v>0</v>
      </c>
      <c r="N241" s="2500">
        <f>F241+H241+L241</f>
        <v>0</v>
      </c>
      <c r="O241" s="748">
        <f>+O16</f>
        <v>20000</v>
      </c>
      <c r="P241" s="2498">
        <f>SUM(P238:P240)</f>
        <v>0</v>
      </c>
      <c r="Q241" s="782">
        <f>+Q16</f>
        <v>20000</v>
      </c>
      <c r="R241" s="2499">
        <f t="shared" si="459"/>
        <v>0</v>
      </c>
      <c r="S241" s="748">
        <f>+S16</f>
        <v>20000</v>
      </c>
      <c r="T241" s="2498">
        <f>SUM(T238:T240)</f>
        <v>0</v>
      </c>
      <c r="U241" s="2558">
        <f>+U16</f>
        <v>40000</v>
      </c>
      <c r="V241" s="2499">
        <f t="shared" si="488"/>
        <v>0</v>
      </c>
      <c r="W241" s="748">
        <f>+W16</f>
        <v>20000</v>
      </c>
      <c r="X241" s="2498">
        <f>SUM(X238:X240)</f>
        <v>0</v>
      </c>
      <c r="Y241" s="3393">
        <f>+Y16</f>
        <v>60000</v>
      </c>
      <c r="Z241" s="2500">
        <f>P241+T241+X241</f>
        <v>0</v>
      </c>
      <c r="AA241" s="3551">
        <f>+AA16</f>
        <v>60000</v>
      </c>
      <c r="AB241" s="3561">
        <f>N241+Z241</f>
        <v>0</v>
      </c>
      <c r="AC241" s="748">
        <f>+AC16</f>
        <v>20000</v>
      </c>
      <c r="AD241" s="2498">
        <f>SUM(AD238:AD240)</f>
        <v>0</v>
      </c>
      <c r="AE241" s="4051">
        <f>+AE16</f>
        <v>80000</v>
      </c>
      <c r="AF241" s="2499">
        <f t="shared" si="490"/>
        <v>0</v>
      </c>
      <c r="AG241" s="748">
        <f>+AG16</f>
        <v>8000</v>
      </c>
      <c r="AH241" s="2498">
        <f>SUM(AH238:AH240)</f>
        <v>0</v>
      </c>
      <c r="AI241" s="4392">
        <f>+AI16</f>
        <v>88000</v>
      </c>
      <c r="AJ241" s="2499">
        <f t="shared" si="491"/>
        <v>0</v>
      </c>
      <c r="AK241" s="748">
        <f>+AK16</f>
        <v>8000</v>
      </c>
      <c r="AL241" s="2498">
        <f>SUM(AL238:AL240)</f>
        <v>0</v>
      </c>
      <c r="AM241" s="4283">
        <f>+AM16</f>
        <v>36000</v>
      </c>
      <c r="AN241" s="2500">
        <f>AD241+AH241+AL241</f>
        <v>0</v>
      </c>
      <c r="AO241" s="4273">
        <f t="shared" si="500"/>
        <v>96000</v>
      </c>
      <c r="AP241" s="2499">
        <f t="shared" si="500"/>
        <v>0</v>
      </c>
      <c r="AQ241" s="748">
        <f>+AQ16</f>
        <v>8000</v>
      </c>
      <c r="AR241" s="2498">
        <f>SUM(AR238:AR240)</f>
        <v>0</v>
      </c>
      <c r="AS241" s="4453">
        <f>+AS16</f>
        <v>104000</v>
      </c>
      <c r="AT241" s="2499">
        <f t="shared" si="493"/>
        <v>0</v>
      </c>
      <c r="AU241" s="748">
        <f>+AU16</f>
        <v>8000</v>
      </c>
      <c r="AV241" s="2498">
        <f>SUM(AV238:AV240)</f>
        <v>0</v>
      </c>
      <c r="AW241" s="4630">
        <f>+AW16</f>
        <v>112000</v>
      </c>
      <c r="AX241" s="2499">
        <f t="shared" si="494"/>
        <v>0</v>
      </c>
      <c r="AY241" s="748">
        <f>+AY16</f>
        <v>8000</v>
      </c>
      <c r="AZ241" s="2498">
        <f>SUM(AZ238:AZ240)</f>
        <v>173.48000000000002</v>
      </c>
      <c r="BA241" s="5129">
        <f>+BA16</f>
        <v>24000</v>
      </c>
      <c r="BB241" s="2500">
        <f>AR241+AV241+AZ241</f>
        <v>173.48000000000002</v>
      </c>
      <c r="BC241" s="5140">
        <f>AM241+BA241</f>
        <v>60000</v>
      </c>
      <c r="BD241" s="5140">
        <f>AN241+BB241</f>
        <v>173.48000000000002</v>
      </c>
      <c r="BE241" s="5124">
        <f>+BE16</f>
        <v>120000</v>
      </c>
      <c r="BF241" s="2499">
        <f t="shared" si="497"/>
        <v>173.48000000000002</v>
      </c>
      <c r="BG241" s="26"/>
      <c r="BH241" s="26"/>
      <c r="BI241" s="26"/>
      <c r="BJ241" s="26"/>
    </row>
    <row r="242" spans="1:62" ht="21" hidden="1" customHeight="1" x14ac:dyDescent="0.35">
      <c r="A242" s="235"/>
      <c r="B242" s="2489"/>
      <c r="C242" s="2064"/>
      <c r="D242" s="2064"/>
      <c r="E242" s="748"/>
      <c r="F242" s="2490"/>
      <c r="G242" s="748"/>
      <c r="H242" s="2490"/>
      <c r="I242" s="782"/>
      <c r="J242" s="2491"/>
      <c r="K242" s="748"/>
      <c r="L242" s="2490"/>
      <c r="M242" s="783"/>
      <c r="N242" s="2492"/>
      <c r="O242" s="748"/>
      <c r="P242" s="2490"/>
      <c r="Q242" s="782"/>
      <c r="R242" s="2491"/>
      <c r="S242" s="748"/>
      <c r="T242" s="2490"/>
      <c r="U242" s="2558"/>
      <c r="V242" s="2491"/>
      <c r="W242" s="748"/>
      <c r="X242" s="2490"/>
      <c r="Y242" s="3393"/>
      <c r="Z242" s="2492"/>
      <c r="AA242" s="3551"/>
      <c r="AB242" s="3557"/>
      <c r="AC242" s="748"/>
      <c r="AD242" s="2490"/>
      <c r="AE242" s="4051"/>
      <c r="AF242" s="2491"/>
      <c r="AG242" s="748"/>
      <c r="AH242" s="2490"/>
      <c r="AI242" s="4392"/>
      <c r="AJ242" s="2491"/>
      <c r="AK242" s="748"/>
      <c r="AL242" s="2490"/>
      <c r="AM242" s="4283"/>
      <c r="AN242" s="2492"/>
      <c r="AO242" s="4273"/>
      <c r="AP242" s="2491"/>
      <c r="AQ242" s="748"/>
      <c r="AR242" s="2490"/>
      <c r="AS242" s="4453"/>
      <c r="AT242" s="2491"/>
      <c r="AU242" s="748"/>
      <c r="AV242" s="2490"/>
      <c r="AW242" s="4630"/>
      <c r="AX242" s="2491"/>
      <c r="AY242" s="748"/>
      <c r="AZ242" s="2490"/>
      <c r="BA242" s="5129"/>
      <c r="BB242" s="2492"/>
      <c r="BC242" s="5140"/>
      <c r="BD242" s="3557"/>
      <c r="BE242" s="5124"/>
      <c r="BF242" s="2491"/>
      <c r="BG242" s="26"/>
      <c r="BH242" s="26"/>
      <c r="BI242" s="26"/>
      <c r="BJ242" s="26"/>
    </row>
    <row r="243" spans="1:62" ht="40.5" x14ac:dyDescent="0.25">
      <c r="A243" s="235"/>
      <c r="B243" s="2484" t="s">
        <v>328</v>
      </c>
      <c r="C243" s="299" t="s">
        <v>1214</v>
      </c>
      <c r="D243" s="299"/>
      <c r="E243" s="299"/>
      <c r="F243" s="299"/>
      <c r="G243" s="299"/>
      <c r="H243" s="299"/>
      <c r="I243" s="2339"/>
      <c r="J243" s="2339"/>
      <c r="K243" s="299"/>
      <c r="L243" s="299"/>
      <c r="M243" s="2464"/>
      <c r="N243" s="2464"/>
      <c r="O243" s="299"/>
      <c r="P243" s="299"/>
      <c r="Q243" s="2339"/>
      <c r="R243" s="2339"/>
      <c r="S243" s="299"/>
      <c r="T243" s="299"/>
      <c r="U243" s="2339"/>
      <c r="V243" s="2339"/>
      <c r="W243" s="299"/>
      <c r="X243" s="299"/>
      <c r="Y243" s="2464"/>
      <c r="Z243" s="2464"/>
      <c r="AA243" s="3549"/>
      <c r="AB243" s="3549"/>
      <c r="AC243" s="299"/>
      <c r="AD243" s="299"/>
      <c r="AE243" s="2339"/>
      <c r="AF243" s="2339"/>
      <c r="AG243" s="299"/>
      <c r="AH243" s="299"/>
      <c r="AI243" s="2339"/>
      <c r="AJ243" s="2339"/>
      <c r="AK243" s="299"/>
      <c r="AL243" s="299"/>
      <c r="AM243" s="2464"/>
      <c r="AN243" s="2464"/>
      <c r="AO243" s="2339"/>
      <c r="AP243" s="2339"/>
      <c r="AQ243" s="299"/>
      <c r="AR243" s="299"/>
      <c r="AS243" s="2339"/>
      <c r="AT243" s="2339"/>
      <c r="AU243" s="299"/>
      <c r="AV243" s="299"/>
      <c r="AW243" s="2339"/>
      <c r="AX243" s="2339"/>
      <c r="AY243" s="299"/>
      <c r="AZ243" s="299"/>
      <c r="BA243" s="2464"/>
      <c r="BB243" s="2464"/>
      <c r="BC243" s="3549"/>
      <c r="BD243" s="3549"/>
      <c r="BE243" s="2339"/>
      <c r="BF243" s="2339"/>
      <c r="BG243" s="26"/>
      <c r="BH243" s="26"/>
      <c r="BI243" s="26"/>
      <c r="BJ243" s="26"/>
    </row>
    <row r="244" spans="1:62" ht="20.25" x14ac:dyDescent="0.25">
      <c r="A244" s="235"/>
      <c r="B244" s="2501" t="s">
        <v>993</v>
      </c>
      <c r="C244" s="2385" t="s">
        <v>937</v>
      </c>
      <c r="D244" s="2385"/>
      <c r="E244" s="6233"/>
      <c r="F244" s="245"/>
      <c r="G244" s="6233"/>
      <c r="H244" s="245"/>
      <c r="I244" s="6227"/>
      <c r="J244" s="2457"/>
      <c r="K244" s="6233"/>
      <c r="L244" s="245"/>
      <c r="M244" s="6193"/>
      <c r="N244" s="300">
        <f>F244+H244+L244</f>
        <v>0</v>
      </c>
      <c r="O244" s="6233"/>
      <c r="P244" s="245">
        <v>62.51</v>
      </c>
      <c r="Q244" s="6227"/>
      <c r="R244" s="2457">
        <f t="shared" ref="R244:R294" si="501">N244+P244</f>
        <v>62.51</v>
      </c>
      <c r="S244" s="6233"/>
      <c r="T244" s="245">
        <v>74.67</v>
      </c>
      <c r="U244" s="6227"/>
      <c r="V244" s="2557">
        <f t="shared" ref="V244:V310" si="502">R244+T244</f>
        <v>137.18</v>
      </c>
      <c r="W244" s="6233"/>
      <c r="X244" s="245"/>
      <c r="Y244" s="6193"/>
      <c r="Z244" s="3568">
        <f t="shared" ref="Z244:Z298" si="503">P244+T244+X244</f>
        <v>137.18</v>
      </c>
      <c r="AA244" s="6195"/>
      <c r="AB244" s="3550">
        <f t="shared" ref="AB244:AB299" si="504">N244+Z244</f>
        <v>137.18</v>
      </c>
      <c r="AC244" s="6233"/>
      <c r="AD244" s="245"/>
      <c r="AE244" s="6227"/>
      <c r="AF244" s="4050">
        <f t="shared" ref="AF244:AF310" si="505">AB244+AD244</f>
        <v>137.18</v>
      </c>
      <c r="AG244" s="6207"/>
      <c r="AH244" s="245"/>
      <c r="AI244" s="6210"/>
      <c r="AJ244" s="4394">
        <f t="shared" ref="AJ244:AJ288" si="506">AF244+AH244</f>
        <v>137.18</v>
      </c>
      <c r="AK244" s="6233"/>
      <c r="AL244" s="245"/>
      <c r="AM244" s="6193"/>
      <c r="AN244" s="4282">
        <f t="shared" ref="AN244:AN300" si="507">AD244+AH244+AL244</f>
        <v>0</v>
      </c>
      <c r="AO244" s="6227"/>
      <c r="AP244" s="4277">
        <f t="shared" ref="AO244:AP310" si="508">AJ244+AL244</f>
        <v>137.18</v>
      </c>
      <c r="AQ244" s="6207"/>
      <c r="AR244" s="245"/>
      <c r="AS244" s="6210"/>
      <c r="AT244" s="4456">
        <f t="shared" ref="AT244:AT309" si="509">AP244+AR244</f>
        <v>137.18</v>
      </c>
      <c r="AU244" s="6207"/>
      <c r="AV244" s="245"/>
      <c r="AW244" s="6210"/>
      <c r="AX244" s="4635">
        <f t="shared" ref="AX244:AX309" si="510">AT244+AV244</f>
        <v>137.18</v>
      </c>
      <c r="AY244" s="6207"/>
      <c r="AZ244" s="245"/>
      <c r="BA244" s="6193"/>
      <c r="BB244" s="5136">
        <f t="shared" ref="BB244:BB253" si="511">AR244+AV244+AZ244</f>
        <v>0</v>
      </c>
      <c r="BC244" s="6195"/>
      <c r="BD244" s="5143">
        <f t="shared" ref="BD244:BD299" si="512">AN244+BB244</f>
        <v>0</v>
      </c>
      <c r="BE244" s="6210"/>
      <c r="BF244" s="5127">
        <f t="shared" ref="BF244:BF309" si="513">AX244+AZ244</f>
        <v>137.18</v>
      </c>
      <c r="BG244" s="26"/>
      <c r="BH244" s="26"/>
      <c r="BI244" s="26"/>
      <c r="BJ244" s="26"/>
    </row>
    <row r="245" spans="1:62" ht="20.25" x14ac:dyDescent="0.25">
      <c r="A245" s="235"/>
      <c r="B245" s="2501" t="s">
        <v>993</v>
      </c>
      <c r="C245" s="2385" t="s">
        <v>936</v>
      </c>
      <c r="D245" s="2385"/>
      <c r="E245" s="6233"/>
      <c r="F245" s="245"/>
      <c r="G245" s="6233"/>
      <c r="H245" s="245"/>
      <c r="I245" s="6227"/>
      <c r="J245" s="2457">
        <f t="shared" ref="J245:J296" si="514">F245+H245</f>
        <v>0</v>
      </c>
      <c r="K245" s="6233"/>
      <c r="L245" s="245">
        <v>1566.8299999999997</v>
      </c>
      <c r="M245" s="6193"/>
      <c r="N245" s="3568">
        <f t="shared" ref="N245:N299" si="515">F245+H245+L245</f>
        <v>1566.8299999999997</v>
      </c>
      <c r="O245" s="6233"/>
      <c r="P245" s="245">
        <v>389.72</v>
      </c>
      <c r="Q245" s="6227"/>
      <c r="R245" s="2457">
        <f t="shared" si="501"/>
        <v>1956.5499999999997</v>
      </c>
      <c r="S245" s="6233"/>
      <c r="T245" s="245">
        <v>0</v>
      </c>
      <c r="U245" s="6227"/>
      <c r="V245" s="2557">
        <f t="shared" si="502"/>
        <v>1956.5499999999997</v>
      </c>
      <c r="W245" s="6233"/>
      <c r="X245" s="245"/>
      <c r="Y245" s="6193"/>
      <c r="Z245" s="3568">
        <f t="shared" si="503"/>
        <v>389.72</v>
      </c>
      <c r="AA245" s="6195"/>
      <c r="AB245" s="3565">
        <f t="shared" si="504"/>
        <v>1956.5499999999997</v>
      </c>
      <c r="AC245" s="6233"/>
      <c r="AD245" s="245"/>
      <c r="AE245" s="6227"/>
      <c r="AF245" s="4050">
        <f t="shared" si="505"/>
        <v>1956.5499999999997</v>
      </c>
      <c r="AG245" s="6208"/>
      <c r="AH245" s="245">
        <v>557.07000000000005</v>
      </c>
      <c r="AI245" s="6211"/>
      <c r="AJ245" s="4394">
        <f t="shared" si="506"/>
        <v>2513.62</v>
      </c>
      <c r="AK245" s="6233"/>
      <c r="AL245" s="245"/>
      <c r="AM245" s="6193"/>
      <c r="AN245" s="4282">
        <f t="shared" si="507"/>
        <v>557.07000000000005</v>
      </c>
      <c r="AO245" s="6227"/>
      <c r="AP245" s="4277">
        <f t="shared" si="508"/>
        <v>2513.62</v>
      </c>
      <c r="AQ245" s="6208"/>
      <c r="AR245" s="245">
        <v>1317.13</v>
      </c>
      <c r="AS245" s="6211"/>
      <c r="AT245" s="4456">
        <f t="shared" si="509"/>
        <v>3830.75</v>
      </c>
      <c r="AU245" s="6208"/>
      <c r="AV245" s="245">
        <v>893.73</v>
      </c>
      <c r="AW245" s="6211"/>
      <c r="AX245" s="4635">
        <f t="shared" si="510"/>
        <v>4724.4799999999996</v>
      </c>
      <c r="AY245" s="6208"/>
      <c r="AZ245" s="245"/>
      <c r="BA245" s="6193"/>
      <c r="BB245" s="5136">
        <f t="shared" si="511"/>
        <v>2210.86</v>
      </c>
      <c r="BC245" s="6195"/>
      <c r="BD245" s="5143">
        <f t="shared" si="512"/>
        <v>2767.9300000000003</v>
      </c>
      <c r="BE245" s="6211"/>
      <c r="BF245" s="5127">
        <f t="shared" si="513"/>
        <v>4724.4799999999996</v>
      </c>
      <c r="BG245" s="26"/>
      <c r="BH245" s="26"/>
      <c r="BI245" s="26"/>
      <c r="BJ245" s="26"/>
    </row>
    <row r="246" spans="1:62" s="4213" customFormat="1" ht="20.25" x14ac:dyDescent="0.25">
      <c r="A246" s="235"/>
      <c r="B246" s="2501" t="s">
        <v>1868</v>
      </c>
      <c r="C246" s="2385" t="s">
        <v>936</v>
      </c>
      <c r="D246" s="2385"/>
      <c r="E246" s="6233"/>
      <c r="F246" s="245"/>
      <c r="G246" s="6233"/>
      <c r="H246" s="245"/>
      <c r="I246" s="6227"/>
      <c r="J246" s="4212"/>
      <c r="K246" s="6233"/>
      <c r="L246" s="245"/>
      <c r="M246" s="6193"/>
      <c r="N246" s="4214">
        <f t="shared" si="515"/>
        <v>0</v>
      </c>
      <c r="O246" s="6233"/>
      <c r="P246" s="245"/>
      <c r="Q246" s="6227"/>
      <c r="R246" s="4212"/>
      <c r="S246" s="6233"/>
      <c r="T246" s="245"/>
      <c r="U246" s="6227"/>
      <c r="V246" s="4212"/>
      <c r="W246" s="6233"/>
      <c r="X246" s="245"/>
      <c r="Y246" s="6193"/>
      <c r="Z246" s="4214">
        <f t="shared" si="503"/>
        <v>0</v>
      </c>
      <c r="AA246" s="6195"/>
      <c r="AB246" s="4216">
        <f t="shared" si="504"/>
        <v>0</v>
      </c>
      <c r="AC246" s="6233"/>
      <c r="AD246" s="245"/>
      <c r="AE246" s="6227"/>
      <c r="AF246" s="4212">
        <f t="shared" si="505"/>
        <v>0</v>
      </c>
      <c r="AG246" s="6208"/>
      <c r="AH246" s="245">
        <v>378.46000000000004</v>
      </c>
      <c r="AI246" s="6211"/>
      <c r="AJ246" s="4394">
        <f t="shared" si="506"/>
        <v>378.46000000000004</v>
      </c>
      <c r="AK246" s="6233"/>
      <c r="AL246" s="245"/>
      <c r="AM246" s="6193"/>
      <c r="AN246" s="4282">
        <f t="shared" si="507"/>
        <v>378.46000000000004</v>
      </c>
      <c r="AO246" s="6227"/>
      <c r="AP246" s="4277">
        <f t="shared" si="508"/>
        <v>378.46000000000004</v>
      </c>
      <c r="AQ246" s="6208"/>
      <c r="AR246" s="245">
        <v>439.78000000000003</v>
      </c>
      <c r="AS246" s="6211"/>
      <c r="AT246" s="4456">
        <f t="shared" si="509"/>
        <v>818.24</v>
      </c>
      <c r="AU246" s="6208"/>
      <c r="AV246" s="245">
        <v>313.97000000000003</v>
      </c>
      <c r="AW246" s="6211"/>
      <c r="AX246" s="4635">
        <f t="shared" si="510"/>
        <v>1132.21</v>
      </c>
      <c r="AY246" s="6208"/>
      <c r="AZ246" s="245">
        <v>191.4</v>
      </c>
      <c r="BA246" s="6193"/>
      <c r="BB246" s="5136">
        <f t="shared" si="511"/>
        <v>945.15</v>
      </c>
      <c r="BC246" s="6195"/>
      <c r="BD246" s="5143">
        <f t="shared" si="512"/>
        <v>1323.6100000000001</v>
      </c>
      <c r="BE246" s="6211"/>
      <c r="BF246" s="5127">
        <f t="shared" si="513"/>
        <v>1323.6100000000001</v>
      </c>
      <c r="BG246" s="26"/>
      <c r="BH246" s="26"/>
      <c r="BI246" s="26"/>
      <c r="BJ246" s="26"/>
    </row>
    <row r="247" spans="1:62" ht="20.25" x14ac:dyDescent="0.25">
      <c r="A247" s="235"/>
      <c r="B247" s="2501" t="s">
        <v>1397</v>
      </c>
      <c r="C247" s="2385" t="s">
        <v>937</v>
      </c>
      <c r="D247" s="2385"/>
      <c r="E247" s="6233"/>
      <c r="F247" s="245"/>
      <c r="G247" s="6233"/>
      <c r="H247" s="245">
        <v>31.98</v>
      </c>
      <c r="I247" s="6227"/>
      <c r="J247" s="2457">
        <f t="shared" si="514"/>
        <v>31.98</v>
      </c>
      <c r="K247" s="6233"/>
      <c r="L247" s="245"/>
      <c r="M247" s="6193"/>
      <c r="N247" s="3568">
        <f t="shared" si="515"/>
        <v>31.98</v>
      </c>
      <c r="O247" s="6233"/>
      <c r="P247" s="245"/>
      <c r="Q247" s="6227"/>
      <c r="R247" s="2457">
        <f t="shared" si="501"/>
        <v>31.98</v>
      </c>
      <c r="S247" s="6233"/>
      <c r="T247" s="245">
        <v>55.82</v>
      </c>
      <c r="U247" s="6227"/>
      <c r="V247" s="2557">
        <f t="shared" si="502"/>
        <v>87.8</v>
      </c>
      <c r="W247" s="6233"/>
      <c r="X247" s="245"/>
      <c r="Y247" s="6193"/>
      <c r="Z247" s="3568">
        <f t="shared" si="503"/>
        <v>55.82</v>
      </c>
      <c r="AA247" s="6195"/>
      <c r="AB247" s="3565">
        <f t="shared" si="504"/>
        <v>87.8</v>
      </c>
      <c r="AC247" s="6233"/>
      <c r="AD247" s="245"/>
      <c r="AE247" s="6227"/>
      <c r="AF247" s="4050">
        <f t="shared" si="505"/>
        <v>87.8</v>
      </c>
      <c r="AG247" s="6208"/>
      <c r="AH247" s="245"/>
      <c r="AI247" s="6211"/>
      <c r="AJ247" s="4394">
        <f t="shared" si="506"/>
        <v>87.8</v>
      </c>
      <c r="AK247" s="6233"/>
      <c r="AL247" s="245"/>
      <c r="AM247" s="6193"/>
      <c r="AN247" s="4282">
        <f t="shared" si="507"/>
        <v>0</v>
      </c>
      <c r="AO247" s="6227"/>
      <c r="AP247" s="4277">
        <f t="shared" si="508"/>
        <v>87.8</v>
      </c>
      <c r="AQ247" s="6208"/>
      <c r="AR247" s="245"/>
      <c r="AS247" s="6211"/>
      <c r="AT247" s="4456">
        <f t="shared" si="509"/>
        <v>87.8</v>
      </c>
      <c r="AU247" s="6208"/>
      <c r="AV247" s="245"/>
      <c r="AW247" s="6211"/>
      <c r="AX247" s="4635">
        <f t="shared" si="510"/>
        <v>87.8</v>
      </c>
      <c r="AY247" s="6208"/>
      <c r="AZ247" s="245"/>
      <c r="BA247" s="6193"/>
      <c r="BB247" s="5136">
        <f t="shared" si="511"/>
        <v>0</v>
      </c>
      <c r="BC247" s="6195"/>
      <c r="BD247" s="5143">
        <f t="shared" si="512"/>
        <v>0</v>
      </c>
      <c r="BE247" s="6211"/>
      <c r="BF247" s="5127">
        <f t="shared" si="513"/>
        <v>87.8</v>
      </c>
      <c r="BG247" s="26"/>
      <c r="BH247" s="26"/>
      <c r="BI247" s="26"/>
      <c r="BJ247" s="26"/>
    </row>
    <row r="248" spans="1:62" ht="20.25" x14ac:dyDescent="0.25">
      <c r="A248" s="235"/>
      <c r="B248" s="2501" t="s">
        <v>1397</v>
      </c>
      <c r="C248" s="2385" t="s">
        <v>1398</v>
      </c>
      <c r="D248" s="2385"/>
      <c r="E248" s="6233"/>
      <c r="F248" s="245"/>
      <c r="G248" s="6233"/>
      <c r="H248" s="245">
        <v>1195.58</v>
      </c>
      <c r="I248" s="6227"/>
      <c r="J248" s="2457">
        <f t="shared" si="514"/>
        <v>1195.58</v>
      </c>
      <c r="K248" s="6233"/>
      <c r="L248" s="245">
        <v>21.46</v>
      </c>
      <c r="M248" s="6193"/>
      <c r="N248" s="3568">
        <f t="shared" si="515"/>
        <v>1217.04</v>
      </c>
      <c r="O248" s="6233"/>
      <c r="P248" s="245">
        <v>289.89999999999998</v>
      </c>
      <c r="Q248" s="6227"/>
      <c r="R248" s="2457">
        <f t="shared" si="501"/>
        <v>1506.94</v>
      </c>
      <c r="S248" s="6233"/>
      <c r="T248" s="245">
        <v>32.99</v>
      </c>
      <c r="U248" s="6227"/>
      <c r="V248" s="2557">
        <f t="shared" si="502"/>
        <v>1539.93</v>
      </c>
      <c r="W248" s="6233"/>
      <c r="X248" s="245">
        <v>582.93999999999983</v>
      </c>
      <c r="Y248" s="6193"/>
      <c r="Z248" s="3568">
        <f t="shared" si="503"/>
        <v>905.82999999999981</v>
      </c>
      <c r="AA248" s="6195"/>
      <c r="AB248" s="3565">
        <f t="shared" si="504"/>
        <v>2122.87</v>
      </c>
      <c r="AC248" s="6233"/>
      <c r="AD248" s="245">
        <v>130.60000000000002</v>
      </c>
      <c r="AE248" s="6227"/>
      <c r="AF248" s="4050">
        <f t="shared" si="505"/>
        <v>2253.4699999999998</v>
      </c>
      <c r="AG248" s="6208"/>
      <c r="AH248" s="245"/>
      <c r="AI248" s="6211"/>
      <c r="AJ248" s="4394">
        <f t="shared" si="506"/>
        <v>2253.4699999999998</v>
      </c>
      <c r="AK248" s="6233"/>
      <c r="AL248" s="245"/>
      <c r="AM248" s="6193"/>
      <c r="AN248" s="4282">
        <f t="shared" si="507"/>
        <v>130.60000000000002</v>
      </c>
      <c r="AO248" s="6227"/>
      <c r="AP248" s="4277">
        <f t="shared" si="508"/>
        <v>2253.4699999999998</v>
      </c>
      <c r="AQ248" s="6208"/>
      <c r="AR248" s="245"/>
      <c r="AS248" s="6211"/>
      <c r="AT248" s="4456">
        <f t="shared" si="509"/>
        <v>2253.4699999999998</v>
      </c>
      <c r="AU248" s="6208"/>
      <c r="AV248" s="245"/>
      <c r="AW248" s="6211"/>
      <c r="AX248" s="4635">
        <f t="shared" si="510"/>
        <v>2253.4699999999998</v>
      </c>
      <c r="AY248" s="6208"/>
      <c r="AZ248" s="245">
        <v>992.82</v>
      </c>
      <c r="BA248" s="6193"/>
      <c r="BB248" s="5136">
        <f t="shared" si="511"/>
        <v>992.82</v>
      </c>
      <c r="BC248" s="6195"/>
      <c r="BD248" s="5143">
        <f t="shared" si="512"/>
        <v>1123.42</v>
      </c>
      <c r="BE248" s="6211"/>
      <c r="BF248" s="5127">
        <f t="shared" si="513"/>
        <v>3246.29</v>
      </c>
      <c r="BG248" s="26"/>
      <c r="BH248" s="26"/>
      <c r="BI248" s="26"/>
      <c r="BJ248" s="26"/>
    </row>
    <row r="249" spans="1:62" ht="20.25" customHeight="1" x14ac:dyDescent="0.25">
      <c r="A249" s="235"/>
      <c r="B249" s="2501" t="s">
        <v>1184</v>
      </c>
      <c r="C249" s="2385" t="s">
        <v>1454</v>
      </c>
      <c r="D249" s="2385"/>
      <c r="E249" s="6233"/>
      <c r="F249" s="245">
        <v>242.74</v>
      </c>
      <c r="G249" s="6233"/>
      <c r="H249" s="245">
        <v>1901.1299999999999</v>
      </c>
      <c r="I249" s="6227"/>
      <c r="J249" s="2457">
        <f t="shared" si="514"/>
        <v>2143.87</v>
      </c>
      <c r="K249" s="6233"/>
      <c r="L249" s="245">
        <v>2703.8300000000004</v>
      </c>
      <c r="M249" s="6193"/>
      <c r="N249" s="3568">
        <f t="shared" si="515"/>
        <v>4847.7000000000007</v>
      </c>
      <c r="O249" s="6233"/>
      <c r="P249" s="245">
        <v>3128.4700000000003</v>
      </c>
      <c r="Q249" s="6227"/>
      <c r="R249" s="2457">
        <f t="shared" si="501"/>
        <v>7976.170000000001</v>
      </c>
      <c r="S249" s="6233"/>
      <c r="T249" s="245">
        <v>3676.9100000000003</v>
      </c>
      <c r="U249" s="6227"/>
      <c r="V249" s="2557">
        <f t="shared" si="502"/>
        <v>11653.080000000002</v>
      </c>
      <c r="W249" s="6233"/>
      <c r="X249" s="245">
        <v>573.72</v>
      </c>
      <c r="Y249" s="6193"/>
      <c r="Z249" s="3568">
        <f t="shared" si="503"/>
        <v>7379.1000000000013</v>
      </c>
      <c r="AA249" s="6195"/>
      <c r="AB249" s="3565">
        <f t="shared" si="504"/>
        <v>12226.800000000003</v>
      </c>
      <c r="AC249" s="6233"/>
      <c r="AD249" s="245">
        <v>2196.4500000000003</v>
      </c>
      <c r="AE249" s="6227"/>
      <c r="AF249" s="4050">
        <f t="shared" si="505"/>
        <v>14423.250000000004</v>
      </c>
      <c r="AG249" s="6208"/>
      <c r="AH249" s="245">
        <v>558.30000000000007</v>
      </c>
      <c r="AI249" s="6211"/>
      <c r="AJ249" s="4394">
        <f t="shared" si="506"/>
        <v>14981.550000000003</v>
      </c>
      <c r="AK249" s="6233"/>
      <c r="AL249" s="245">
        <v>2369.1100000000006</v>
      </c>
      <c r="AM249" s="6193"/>
      <c r="AN249" s="4282">
        <f t="shared" si="507"/>
        <v>5123.8600000000006</v>
      </c>
      <c r="AO249" s="6227"/>
      <c r="AP249" s="4277">
        <f t="shared" si="508"/>
        <v>17350.660000000003</v>
      </c>
      <c r="AQ249" s="6208"/>
      <c r="AR249" s="245">
        <v>1561.6800000000003</v>
      </c>
      <c r="AS249" s="6211"/>
      <c r="AT249" s="4456">
        <f t="shared" si="509"/>
        <v>18912.340000000004</v>
      </c>
      <c r="AU249" s="6208"/>
      <c r="AV249" s="245">
        <v>2232.23</v>
      </c>
      <c r="AW249" s="6211"/>
      <c r="AX249" s="4635">
        <f t="shared" si="510"/>
        <v>21144.570000000003</v>
      </c>
      <c r="AY249" s="6208"/>
      <c r="AZ249" s="245">
        <v>2279.9299999999998</v>
      </c>
      <c r="BA249" s="6193"/>
      <c r="BB249" s="5136">
        <f t="shared" si="511"/>
        <v>6073.84</v>
      </c>
      <c r="BC249" s="6195"/>
      <c r="BD249" s="5143">
        <f t="shared" si="512"/>
        <v>11197.7</v>
      </c>
      <c r="BE249" s="6211"/>
      <c r="BF249" s="5127">
        <f t="shared" si="513"/>
        <v>23424.500000000004</v>
      </c>
      <c r="BG249" s="26"/>
      <c r="BH249" s="26"/>
      <c r="BI249" s="26"/>
      <c r="BJ249" s="26"/>
    </row>
    <row r="250" spans="1:62" s="5192" customFormat="1" ht="20.25" customHeight="1" x14ac:dyDescent="0.25">
      <c r="A250" s="235"/>
      <c r="B250" s="5227" t="s">
        <v>1977</v>
      </c>
      <c r="C250" s="4714" t="s">
        <v>936</v>
      </c>
      <c r="D250" s="4714"/>
      <c r="E250" s="6234"/>
      <c r="F250" s="4749"/>
      <c r="G250" s="6234"/>
      <c r="H250" s="4749"/>
      <c r="I250" s="6228"/>
      <c r="J250" s="4750"/>
      <c r="K250" s="6234"/>
      <c r="L250" s="4749"/>
      <c r="M250" s="6194"/>
      <c r="N250" s="4751"/>
      <c r="O250" s="6234"/>
      <c r="P250" s="4749"/>
      <c r="Q250" s="6228"/>
      <c r="R250" s="4750"/>
      <c r="S250" s="6234"/>
      <c r="T250" s="4749"/>
      <c r="U250" s="6228"/>
      <c r="V250" s="4750"/>
      <c r="W250" s="6234"/>
      <c r="X250" s="4749"/>
      <c r="Y250" s="6194"/>
      <c r="Z250" s="4751"/>
      <c r="AA250" s="6196"/>
      <c r="AB250" s="4752"/>
      <c r="AC250" s="6234"/>
      <c r="AD250" s="4749"/>
      <c r="AE250" s="6228"/>
      <c r="AF250" s="4750"/>
      <c r="AG250" s="6208"/>
      <c r="AH250" s="4749"/>
      <c r="AI250" s="6211"/>
      <c r="AJ250" s="4750"/>
      <c r="AK250" s="6234"/>
      <c r="AL250" s="4749"/>
      <c r="AM250" s="6194"/>
      <c r="AN250" s="4751"/>
      <c r="AO250" s="6228"/>
      <c r="AP250" s="4750"/>
      <c r="AQ250" s="6208"/>
      <c r="AR250" s="4749"/>
      <c r="AS250" s="6211"/>
      <c r="AT250" s="4750"/>
      <c r="AU250" s="6208"/>
      <c r="AV250" s="4749"/>
      <c r="AW250" s="6211"/>
      <c r="AX250" s="5189">
        <f t="shared" si="510"/>
        <v>0</v>
      </c>
      <c r="AY250" s="6208"/>
      <c r="AZ250" s="4749">
        <v>610.1099999999999</v>
      </c>
      <c r="BA250" s="6194"/>
      <c r="BB250" s="5186">
        <f t="shared" si="511"/>
        <v>610.1099999999999</v>
      </c>
      <c r="BC250" s="6196"/>
      <c r="BD250" s="5187">
        <f t="shared" si="512"/>
        <v>610.1099999999999</v>
      </c>
      <c r="BE250" s="6211"/>
      <c r="BF250" s="5189">
        <f t="shared" si="513"/>
        <v>610.1099999999999</v>
      </c>
      <c r="BG250" s="26"/>
      <c r="BH250" s="26"/>
      <c r="BI250" s="26"/>
      <c r="BJ250" s="26"/>
    </row>
    <row r="251" spans="1:62" ht="20.25" x14ac:dyDescent="0.25">
      <c r="A251" s="235"/>
      <c r="B251" s="2002" t="s">
        <v>1255</v>
      </c>
      <c r="C251" s="2385" t="s">
        <v>936</v>
      </c>
      <c r="D251" s="2385"/>
      <c r="E251" s="6233"/>
      <c r="F251" s="245"/>
      <c r="G251" s="6233"/>
      <c r="H251" s="245">
        <v>2187.9499999999998</v>
      </c>
      <c r="I251" s="6227"/>
      <c r="J251" s="2457">
        <f t="shared" si="514"/>
        <v>2187.9499999999998</v>
      </c>
      <c r="K251" s="6233"/>
      <c r="L251" s="245"/>
      <c r="M251" s="6193"/>
      <c r="N251" s="3568">
        <f t="shared" si="515"/>
        <v>2187.9499999999998</v>
      </c>
      <c r="O251" s="6233"/>
      <c r="P251" s="245"/>
      <c r="Q251" s="6227"/>
      <c r="R251" s="2457">
        <f t="shared" si="501"/>
        <v>2187.9499999999998</v>
      </c>
      <c r="S251" s="6233"/>
      <c r="T251" s="245">
        <v>0</v>
      </c>
      <c r="U251" s="6227"/>
      <c r="V251" s="2557">
        <f t="shared" si="502"/>
        <v>2187.9499999999998</v>
      </c>
      <c r="W251" s="6233"/>
      <c r="X251" s="245"/>
      <c r="Y251" s="6193"/>
      <c r="Z251" s="3568">
        <f t="shared" si="503"/>
        <v>0</v>
      </c>
      <c r="AA251" s="6195"/>
      <c r="AB251" s="3565">
        <f t="shared" si="504"/>
        <v>2187.9499999999998</v>
      </c>
      <c r="AC251" s="6233"/>
      <c r="AD251" s="245">
        <v>1361.5</v>
      </c>
      <c r="AE251" s="6227"/>
      <c r="AF251" s="4050">
        <f t="shared" si="505"/>
        <v>3549.45</v>
      </c>
      <c r="AG251" s="6208"/>
      <c r="AH251" s="245">
        <v>823.9</v>
      </c>
      <c r="AI251" s="6211"/>
      <c r="AJ251" s="4394">
        <f t="shared" si="506"/>
        <v>4373.3499999999995</v>
      </c>
      <c r="AK251" s="6233"/>
      <c r="AL251" s="245"/>
      <c r="AM251" s="6193"/>
      <c r="AN251" s="4282">
        <f t="shared" si="507"/>
        <v>2185.4</v>
      </c>
      <c r="AO251" s="6227"/>
      <c r="AP251" s="4277">
        <f t="shared" si="508"/>
        <v>4373.3499999999995</v>
      </c>
      <c r="AQ251" s="6208"/>
      <c r="AR251" s="245">
        <v>44.84</v>
      </c>
      <c r="AS251" s="6211"/>
      <c r="AT251" s="4456">
        <f t="shared" si="509"/>
        <v>4418.1899999999996</v>
      </c>
      <c r="AU251" s="6208"/>
      <c r="AV251" s="245">
        <v>1247.2</v>
      </c>
      <c r="AW251" s="6211"/>
      <c r="AX251" s="4635">
        <f t="shared" si="510"/>
        <v>5665.3899999999994</v>
      </c>
      <c r="AY251" s="6208"/>
      <c r="AZ251" s="245">
        <v>737.66</v>
      </c>
      <c r="BA251" s="6193"/>
      <c r="BB251" s="5136">
        <f t="shared" si="511"/>
        <v>2029.6999999999998</v>
      </c>
      <c r="BC251" s="6195"/>
      <c r="BD251" s="5143">
        <f t="shared" si="512"/>
        <v>4215.1000000000004</v>
      </c>
      <c r="BE251" s="6211"/>
      <c r="BF251" s="5127">
        <f t="shared" si="513"/>
        <v>6403.0499999999993</v>
      </c>
      <c r="BG251" s="26"/>
      <c r="BH251" s="26"/>
      <c r="BI251" s="26"/>
      <c r="BJ251" s="26"/>
    </row>
    <row r="252" spans="1:62" ht="20.25" x14ac:dyDescent="0.25">
      <c r="A252" s="235"/>
      <c r="B252" s="2002" t="s">
        <v>1400</v>
      </c>
      <c r="C252" s="2385" t="s">
        <v>1399</v>
      </c>
      <c r="D252" s="2385"/>
      <c r="E252" s="6233"/>
      <c r="F252" s="245"/>
      <c r="G252" s="6233"/>
      <c r="H252" s="245">
        <v>549.75</v>
      </c>
      <c r="I252" s="6227"/>
      <c r="J252" s="2457">
        <f t="shared" si="514"/>
        <v>549.75</v>
      </c>
      <c r="K252" s="6233"/>
      <c r="L252" s="245"/>
      <c r="M252" s="6193"/>
      <c r="N252" s="3568">
        <f t="shared" si="515"/>
        <v>549.75</v>
      </c>
      <c r="O252" s="6233"/>
      <c r="P252" s="245"/>
      <c r="Q252" s="6227"/>
      <c r="R252" s="2457">
        <f t="shared" si="501"/>
        <v>549.75</v>
      </c>
      <c r="S252" s="6233"/>
      <c r="T252" s="245">
        <v>11.08</v>
      </c>
      <c r="U252" s="6227"/>
      <c r="V252" s="2557">
        <f t="shared" si="502"/>
        <v>560.83000000000004</v>
      </c>
      <c r="W252" s="6233"/>
      <c r="X252" s="245"/>
      <c r="Y252" s="6193"/>
      <c r="Z252" s="3568">
        <f t="shared" si="503"/>
        <v>11.08</v>
      </c>
      <c r="AA252" s="6195"/>
      <c r="AB252" s="3565">
        <f t="shared" si="504"/>
        <v>560.83000000000004</v>
      </c>
      <c r="AC252" s="6233"/>
      <c r="AD252" s="245">
        <v>1141.49</v>
      </c>
      <c r="AE252" s="6227"/>
      <c r="AF252" s="4050">
        <f t="shared" si="505"/>
        <v>1702.3200000000002</v>
      </c>
      <c r="AG252" s="6208"/>
      <c r="AH252" s="245">
        <v>930.35</v>
      </c>
      <c r="AI252" s="6211"/>
      <c r="AJ252" s="4394">
        <f t="shared" si="506"/>
        <v>2632.67</v>
      </c>
      <c r="AK252" s="6233"/>
      <c r="AL252" s="245">
        <v>64.180000000000007</v>
      </c>
      <c r="AM252" s="6193"/>
      <c r="AN252" s="4282">
        <f t="shared" si="507"/>
        <v>2136.02</v>
      </c>
      <c r="AO252" s="6227"/>
      <c r="AP252" s="4277">
        <f t="shared" si="508"/>
        <v>2696.85</v>
      </c>
      <c r="AQ252" s="6208"/>
      <c r="AR252" s="245">
        <v>31.9</v>
      </c>
      <c r="AS252" s="6211"/>
      <c r="AT252" s="4456">
        <f t="shared" si="509"/>
        <v>2728.75</v>
      </c>
      <c r="AU252" s="6208"/>
      <c r="AV252" s="245">
        <v>1407.38</v>
      </c>
      <c r="AW252" s="6211"/>
      <c r="AX252" s="4635">
        <f t="shared" si="510"/>
        <v>4136.13</v>
      </c>
      <c r="AY252" s="6208"/>
      <c r="AZ252" s="245">
        <v>353.46</v>
      </c>
      <c r="BA252" s="6193"/>
      <c r="BB252" s="5136">
        <f t="shared" si="511"/>
        <v>1792.7400000000002</v>
      </c>
      <c r="BC252" s="6195"/>
      <c r="BD252" s="5143">
        <f t="shared" si="512"/>
        <v>3928.76</v>
      </c>
      <c r="BE252" s="6211"/>
      <c r="BF252" s="5127">
        <f t="shared" si="513"/>
        <v>4489.59</v>
      </c>
      <c r="BG252" s="26"/>
      <c r="BH252" s="26"/>
      <c r="BI252" s="26"/>
      <c r="BJ252" s="26"/>
    </row>
    <row r="253" spans="1:62" s="4101" customFormat="1" ht="20.25" x14ac:dyDescent="0.25">
      <c r="A253" s="235"/>
      <c r="B253" s="2002" t="s">
        <v>1843</v>
      </c>
      <c r="C253" s="2385" t="s">
        <v>1399</v>
      </c>
      <c r="D253" s="2385"/>
      <c r="E253" s="6233"/>
      <c r="F253" s="245"/>
      <c r="G253" s="6233"/>
      <c r="H253" s="245"/>
      <c r="I253" s="6227"/>
      <c r="J253" s="4098"/>
      <c r="K253" s="6233"/>
      <c r="L253" s="245"/>
      <c r="M253" s="6193"/>
      <c r="N253" s="4100"/>
      <c r="O253" s="6233"/>
      <c r="P253" s="245"/>
      <c r="Q253" s="6227"/>
      <c r="R253" s="4098"/>
      <c r="S253" s="6233"/>
      <c r="T253" s="245"/>
      <c r="U253" s="6227"/>
      <c r="V253" s="4098"/>
      <c r="W253" s="6233"/>
      <c r="X253" s="245"/>
      <c r="Y253" s="6193"/>
      <c r="Z253" s="4100"/>
      <c r="AA253" s="6195"/>
      <c r="AB253" s="4099"/>
      <c r="AC253" s="6233"/>
      <c r="AD253" s="245">
        <v>284.06</v>
      </c>
      <c r="AE253" s="6227"/>
      <c r="AF253" s="4098">
        <f t="shared" si="505"/>
        <v>284.06</v>
      </c>
      <c r="AG253" s="6208"/>
      <c r="AH253" s="245">
        <v>189.76</v>
      </c>
      <c r="AI253" s="6211"/>
      <c r="AJ253" s="4394">
        <f t="shared" si="506"/>
        <v>473.82</v>
      </c>
      <c r="AK253" s="6233"/>
      <c r="AL253" s="245"/>
      <c r="AM253" s="6193"/>
      <c r="AN253" s="4282">
        <f t="shared" si="507"/>
        <v>473.82</v>
      </c>
      <c r="AO253" s="6227"/>
      <c r="AP253" s="4277">
        <f t="shared" si="508"/>
        <v>473.82</v>
      </c>
      <c r="AQ253" s="6208"/>
      <c r="AR253" s="245"/>
      <c r="AS253" s="6211"/>
      <c r="AT253" s="4456">
        <f t="shared" si="509"/>
        <v>473.82</v>
      </c>
      <c r="AU253" s="6208"/>
      <c r="AV253" s="245"/>
      <c r="AW253" s="6211"/>
      <c r="AX253" s="4635">
        <f t="shared" si="510"/>
        <v>473.82</v>
      </c>
      <c r="AY253" s="6208"/>
      <c r="AZ253" s="245"/>
      <c r="BA253" s="6193"/>
      <c r="BB253" s="5136">
        <f t="shared" si="511"/>
        <v>0</v>
      </c>
      <c r="BC253" s="6195"/>
      <c r="BD253" s="5143">
        <f t="shared" si="512"/>
        <v>473.82</v>
      </c>
      <c r="BE253" s="6211"/>
      <c r="BF253" s="5127">
        <f t="shared" si="513"/>
        <v>473.82</v>
      </c>
      <c r="BG253" s="26"/>
      <c r="BH253" s="26"/>
      <c r="BI253" s="26"/>
      <c r="BJ253" s="26"/>
    </row>
    <row r="254" spans="1:62" ht="20.25" x14ac:dyDescent="0.25">
      <c r="A254" s="235"/>
      <c r="B254" s="2002" t="s">
        <v>917</v>
      </c>
      <c r="C254" s="2385" t="s">
        <v>926</v>
      </c>
      <c r="D254" s="2385"/>
      <c r="E254" s="6233"/>
      <c r="F254" s="245"/>
      <c r="G254" s="6233"/>
      <c r="H254" s="245"/>
      <c r="I254" s="6227"/>
      <c r="J254" s="2636">
        <f t="shared" ref="J254" si="516">F254+H254</f>
        <v>0</v>
      </c>
      <c r="K254" s="6233"/>
      <c r="L254" s="245"/>
      <c r="M254" s="6193"/>
      <c r="N254" s="3568">
        <f t="shared" si="515"/>
        <v>0</v>
      </c>
      <c r="O254" s="6233"/>
      <c r="P254" s="245">
        <v>950.86000000000013</v>
      </c>
      <c r="Q254" s="6227"/>
      <c r="R254" s="2636">
        <f t="shared" ref="R254" si="517">N254+P254</f>
        <v>950.86000000000013</v>
      </c>
      <c r="S254" s="6233"/>
      <c r="T254" s="245">
        <v>0</v>
      </c>
      <c r="U254" s="6227"/>
      <c r="V254" s="2636">
        <f t="shared" ref="V254:V255" si="518">R254+T254</f>
        <v>950.86000000000013</v>
      </c>
      <c r="W254" s="6233"/>
      <c r="X254" s="245">
        <v>64.2</v>
      </c>
      <c r="Y254" s="6193"/>
      <c r="Z254" s="3568">
        <f t="shared" si="503"/>
        <v>1015.0600000000002</v>
      </c>
      <c r="AA254" s="6195"/>
      <c r="AB254" s="3565">
        <f t="shared" si="504"/>
        <v>1015.0600000000002</v>
      </c>
      <c r="AC254" s="6233"/>
      <c r="AD254" s="245">
        <v>252.94000000000003</v>
      </c>
      <c r="AE254" s="6227"/>
      <c r="AF254" s="4050">
        <f t="shared" si="505"/>
        <v>1268.0000000000002</v>
      </c>
      <c r="AG254" s="6208"/>
      <c r="AH254" s="245"/>
      <c r="AI254" s="6211"/>
      <c r="AJ254" s="4394">
        <f t="shared" si="506"/>
        <v>1268.0000000000002</v>
      </c>
      <c r="AK254" s="6233"/>
      <c r="AL254" s="245"/>
      <c r="AM254" s="6193"/>
      <c r="AN254" s="4282">
        <f t="shared" si="507"/>
        <v>252.94000000000003</v>
      </c>
      <c r="AO254" s="6227"/>
      <c r="AP254" s="4277">
        <f t="shared" si="508"/>
        <v>1268.0000000000002</v>
      </c>
      <c r="AQ254" s="6208"/>
      <c r="AR254" s="245"/>
      <c r="AS254" s="6211"/>
      <c r="AT254" s="4456">
        <f t="shared" si="509"/>
        <v>1268.0000000000002</v>
      </c>
      <c r="AU254" s="6208"/>
      <c r="AV254" s="245"/>
      <c r="AW254" s="6211"/>
      <c r="AX254" s="4635">
        <f t="shared" si="510"/>
        <v>1268.0000000000002</v>
      </c>
      <c r="AY254" s="6208"/>
      <c r="AZ254" s="245">
        <v>682.08</v>
      </c>
      <c r="BA254" s="6193"/>
      <c r="BB254" s="5136">
        <f t="shared" ref="BB254:BB264" si="519">AR254+AV254+AZ254</f>
        <v>682.08</v>
      </c>
      <c r="BC254" s="6195"/>
      <c r="BD254" s="5143">
        <f t="shared" si="512"/>
        <v>935.0200000000001</v>
      </c>
      <c r="BE254" s="6211"/>
      <c r="BF254" s="5127">
        <f t="shared" si="513"/>
        <v>1950.0800000000004</v>
      </c>
      <c r="BG254" s="26"/>
      <c r="BH254" s="26"/>
      <c r="BI254" s="26"/>
      <c r="BJ254" s="26"/>
    </row>
    <row r="255" spans="1:62" ht="20.25" x14ac:dyDescent="0.25">
      <c r="A255" s="235"/>
      <c r="B255" s="2002" t="s">
        <v>917</v>
      </c>
      <c r="C255" s="2385" t="s">
        <v>1818</v>
      </c>
      <c r="D255" s="2385"/>
      <c r="E255" s="6233"/>
      <c r="F255" s="245"/>
      <c r="G255" s="6233"/>
      <c r="H255" s="245"/>
      <c r="I255" s="6227"/>
      <c r="J255" s="3408"/>
      <c r="K255" s="6233"/>
      <c r="L255" s="245"/>
      <c r="M255" s="6193"/>
      <c r="N255" s="3568">
        <f t="shared" si="515"/>
        <v>0</v>
      </c>
      <c r="O255" s="6233"/>
      <c r="P255" s="245"/>
      <c r="Q255" s="6227"/>
      <c r="R255" s="3408"/>
      <c r="S255" s="6233"/>
      <c r="T255" s="245"/>
      <c r="U255" s="6227"/>
      <c r="V255" s="3408">
        <f t="shared" si="518"/>
        <v>0</v>
      </c>
      <c r="W255" s="6233"/>
      <c r="X255" s="245">
        <v>196.66000000000003</v>
      </c>
      <c r="Y255" s="6193"/>
      <c r="Z255" s="3568">
        <f t="shared" si="503"/>
        <v>196.66000000000003</v>
      </c>
      <c r="AA255" s="6195"/>
      <c r="AB255" s="3565">
        <f t="shared" si="504"/>
        <v>196.66000000000003</v>
      </c>
      <c r="AC255" s="6233"/>
      <c r="AD255" s="245">
        <v>65.319999999999993</v>
      </c>
      <c r="AE255" s="6227"/>
      <c r="AF255" s="4050">
        <f t="shared" si="505"/>
        <v>261.98</v>
      </c>
      <c r="AG255" s="6208"/>
      <c r="AH255" s="245"/>
      <c r="AI255" s="6211"/>
      <c r="AJ255" s="4394">
        <f t="shared" si="506"/>
        <v>261.98</v>
      </c>
      <c r="AK255" s="6233"/>
      <c r="AL255" s="245"/>
      <c r="AM255" s="6193"/>
      <c r="AN255" s="4282">
        <f t="shared" si="507"/>
        <v>65.319999999999993</v>
      </c>
      <c r="AO255" s="6227"/>
      <c r="AP255" s="4277">
        <f t="shared" si="508"/>
        <v>261.98</v>
      </c>
      <c r="AQ255" s="6208"/>
      <c r="AR255" s="245"/>
      <c r="AS255" s="6211"/>
      <c r="AT255" s="4456">
        <f t="shared" si="509"/>
        <v>261.98</v>
      </c>
      <c r="AU255" s="6208"/>
      <c r="AV255" s="245"/>
      <c r="AW255" s="6211"/>
      <c r="AX255" s="4635">
        <f t="shared" si="510"/>
        <v>261.98</v>
      </c>
      <c r="AY255" s="6208"/>
      <c r="AZ255" s="245">
        <v>298.88</v>
      </c>
      <c r="BA255" s="6193"/>
      <c r="BB255" s="5136">
        <f t="shared" si="519"/>
        <v>298.88</v>
      </c>
      <c r="BC255" s="6195"/>
      <c r="BD255" s="5143">
        <f t="shared" si="512"/>
        <v>364.2</v>
      </c>
      <c r="BE255" s="6211"/>
      <c r="BF255" s="5127">
        <f t="shared" si="513"/>
        <v>560.86</v>
      </c>
      <c r="BG255" s="26"/>
      <c r="BH255" s="26"/>
      <c r="BI255" s="26"/>
      <c r="BJ255" s="26"/>
    </row>
    <row r="256" spans="1:62" ht="20.25" customHeight="1" x14ac:dyDescent="0.25">
      <c r="A256" s="235"/>
      <c r="B256" s="2002" t="s">
        <v>917</v>
      </c>
      <c r="C256" s="2385" t="s">
        <v>925</v>
      </c>
      <c r="D256" s="2385"/>
      <c r="E256" s="6233"/>
      <c r="F256" s="245">
        <v>2288.2099999999996</v>
      </c>
      <c r="G256" s="6233"/>
      <c r="H256" s="245"/>
      <c r="I256" s="6227"/>
      <c r="J256" s="2636">
        <f t="shared" ref="J256" si="520">F256+H256</f>
        <v>2288.2099999999996</v>
      </c>
      <c r="K256" s="6233"/>
      <c r="L256" s="245">
        <v>2498.1999999999998</v>
      </c>
      <c r="M256" s="6193"/>
      <c r="N256" s="3568">
        <f t="shared" si="515"/>
        <v>4786.41</v>
      </c>
      <c r="O256" s="6233"/>
      <c r="P256" s="245">
        <v>1448.7700000000002</v>
      </c>
      <c r="Q256" s="6227"/>
      <c r="R256" s="2636">
        <f t="shared" ref="R256" si="521">N256+P256</f>
        <v>6235.18</v>
      </c>
      <c r="S256" s="6233"/>
      <c r="T256" s="245">
        <v>4707.9700000000021</v>
      </c>
      <c r="U256" s="6227"/>
      <c r="V256" s="2636">
        <f t="shared" ref="V256" si="522">R256+T256</f>
        <v>10943.150000000001</v>
      </c>
      <c r="W256" s="6233"/>
      <c r="X256" s="245">
        <v>911.94</v>
      </c>
      <c r="Y256" s="6193"/>
      <c r="Z256" s="3568">
        <f t="shared" si="503"/>
        <v>7068.6800000000021</v>
      </c>
      <c r="AA256" s="6195"/>
      <c r="AB256" s="3565">
        <f t="shared" si="504"/>
        <v>11855.090000000002</v>
      </c>
      <c r="AC256" s="6233"/>
      <c r="AD256" s="245">
        <v>1942.7600000000002</v>
      </c>
      <c r="AE256" s="6227"/>
      <c r="AF256" s="4050">
        <f t="shared" si="505"/>
        <v>13797.850000000002</v>
      </c>
      <c r="AG256" s="6208"/>
      <c r="AH256" s="245">
        <v>2918.5</v>
      </c>
      <c r="AI256" s="6211"/>
      <c r="AJ256" s="4394">
        <f t="shared" si="506"/>
        <v>16716.350000000002</v>
      </c>
      <c r="AK256" s="6233"/>
      <c r="AL256" s="245">
        <v>2795.83</v>
      </c>
      <c r="AM256" s="6193"/>
      <c r="AN256" s="4282">
        <f t="shared" si="507"/>
        <v>7657.09</v>
      </c>
      <c r="AO256" s="6227"/>
      <c r="AP256" s="4277">
        <f t="shared" si="508"/>
        <v>19512.18</v>
      </c>
      <c r="AQ256" s="6208"/>
      <c r="AR256" s="245">
        <v>2717.12</v>
      </c>
      <c r="AS256" s="6211"/>
      <c r="AT256" s="4456">
        <f t="shared" si="509"/>
        <v>22229.3</v>
      </c>
      <c r="AU256" s="6208"/>
      <c r="AV256" s="245">
        <v>1315.84</v>
      </c>
      <c r="AW256" s="6211"/>
      <c r="AX256" s="4635">
        <f t="shared" si="510"/>
        <v>23545.14</v>
      </c>
      <c r="AY256" s="6208"/>
      <c r="AZ256" s="245">
        <v>1912.76</v>
      </c>
      <c r="BA256" s="6193"/>
      <c r="BB256" s="5136">
        <f t="shared" si="519"/>
        <v>5945.72</v>
      </c>
      <c r="BC256" s="6195"/>
      <c r="BD256" s="5143">
        <f t="shared" si="512"/>
        <v>13602.810000000001</v>
      </c>
      <c r="BE256" s="6211"/>
      <c r="BF256" s="5127">
        <f t="shared" si="513"/>
        <v>25457.899999999998</v>
      </c>
      <c r="BG256" s="26"/>
      <c r="BH256" s="26"/>
      <c r="BI256" s="26"/>
      <c r="BJ256" s="26"/>
    </row>
    <row r="257" spans="1:62" ht="20.25" x14ac:dyDescent="0.25">
      <c r="A257" s="235"/>
      <c r="B257" s="2002" t="s">
        <v>917</v>
      </c>
      <c r="C257" s="2385" t="s">
        <v>924</v>
      </c>
      <c r="D257" s="2385"/>
      <c r="E257" s="6233"/>
      <c r="F257" s="245">
        <v>795.67000000000007</v>
      </c>
      <c r="G257" s="6233"/>
      <c r="H257" s="245"/>
      <c r="I257" s="6227"/>
      <c r="J257" s="2457">
        <f t="shared" si="514"/>
        <v>795.67000000000007</v>
      </c>
      <c r="K257" s="6233"/>
      <c r="L257" s="245">
        <v>637.75</v>
      </c>
      <c r="M257" s="6193"/>
      <c r="N257" s="3568">
        <f t="shared" si="515"/>
        <v>1433.42</v>
      </c>
      <c r="O257" s="6233"/>
      <c r="P257" s="245">
        <v>707.92000000000007</v>
      </c>
      <c r="Q257" s="6227"/>
      <c r="R257" s="2457">
        <f t="shared" si="501"/>
        <v>2141.34</v>
      </c>
      <c r="S257" s="6233"/>
      <c r="T257" s="245">
        <v>1761.0600000000002</v>
      </c>
      <c r="U257" s="6227"/>
      <c r="V257" s="2557">
        <f t="shared" si="502"/>
        <v>3902.4000000000005</v>
      </c>
      <c r="W257" s="6233"/>
      <c r="X257" s="245">
        <v>1978.9099999999999</v>
      </c>
      <c r="Y257" s="6193"/>
      <c r="Z257" s="3568">
        <f t="shared" si="503"/>
        <v>4447.8900000000003</v>
      </c>
      <c r="AA257" s="6195"/>
      <c r="AB257" s="3565">
        <f t="shared" si="504"/>
        <v>5881.31</v>
      </c>
      <c r="AC257" s="6233"/>
      <c r="AD257" s="245">
        <v>1902.54</v>
      </c>
      <c r="AE257" s="6227"/>
      <c r="AF257" s="4050">
        <f t="shared" si="505"/>
        <v>7783.85</v>
      </c>
      <c r="AG257" s="6208"/>
      <c r="AH257" s="245">
        <v>382.02000000000004</v>
      </c>
      <c r="AI257" s="6211"/>
      <c r="AJ257" s="4394">
        <f t="shared" si="506"/>
        <v>8165.8700000000008</v>
      </c>
      <c r="AK257" s="6233"/>
      <c r="AL257" s="245">
        <v>1273.1999999999998</v>
      </c>
      <c r="AM257" s="6193"/>
      <c r="AN257" s="4282">
        <f t="shared" si="507"/>
        <v>3557.7599999999998</v>
      </c>
      <c r="AO257" s="6227"/>
      <c r="AP257" s="4277">
        <f t="shared" si="508"/>
        <v>9439.07</v>
      </c>
      <c r="AQ257" s="6208"/>
      <c r="AR257" s="245">
        <v>743.63000000000011</v>
      </c>
      <c r="AS257" s="6211"/>
      <c r="AT257" s="4456">
        <f t="shared" si="509"/>
        <v>10182.700000000001</v>
      </c>
      <c r="AU257" s="6208"/>
      <c r="AV257" s="245">
        <v>124.74</v>
      </c>
      <c r="AW257" s="6211"/>
      <c r="AX257" s="4635">
        <f t="shared" si="510"/>
        <v>10307.44</v>
      </c>
      <c r="AY257" s="6208"/>
      <c r="AZ257" s="245">
        <v>567.58000000000004</v>
      </c>
      <c r="BA257" s="6193"/>
      <c r="BB257" s="5136">
        <f t="shared" si="519"/>
        <v>1435.9500000000003</v>
      </c>
      <c r="BC257" s="6195"/>
      <c r="BD257" s="5143">
        <f t="shared" si="512"/>
        <v>4993.71</v>
      </c>
      <c r="BE257" s="6211"/>
      <c r="BF257" s="5127">
        <f t="shared" si="513"/>
        <v>10875.02</v>
      </c>
      <c r="BG257" s="26"/>
      <c r="BH257" s="26"/>
      <c r="BI257" s="26"/>
      <c r="BJ257" s="26"/>
    </row>
    <row r="258" spans="1:62" ht="20.25" customHeight="1" x14ac:dyDescent="0.25">
      <c r="A258" s="235"/>
      <c r="B258" s="2002" t="s">
        <v>917</v>
      </c>
      <c r="C258" s="2385" t="s">
        <v>1158</v>
      </c>
      <c r="D258" s="2385"/>
      <c r="E258" s="6233"/>
      <c r="F258" s="245">
        <v>291.62</v>
      </c>
      <c r="G258" s="6233"/>
      <c r="H258" s="245">
        <v>62.92</v>
      </c>
      <c r="I258" s="6227"/>
      <c r="J258" s="2457">
        <f t="shared" si="514"/>
        <v>354.54</v>
      </c>
      <c r="K258" s="6233"/>
      <c r="L258" s="245"/>
      <c r="M258" s="6193"/>
      <c r="N258" s="3568">
        <f t="shared" si="515"/>
        <v>354.54</v>
      </c>
      <c r="O258" s="6233"/>
      <c r="P258" s="245">
        <v>577.83999999999992</v>
      </c>
      <c r="Q258" s="6227"/>
      <c r="R258" s="2457">
        <f t="shared" si="501"/>
        <v>932.37999999999988</v>
      </c>
      <c r="S258" s="6233"/>
      <c r="T258" s="245">
        <v>578.57000000000005</v>
      </c>
      <c r="U258" s="6227"/>
      <c r="V258" s="2557">
        <f t="shared" si="502"/>
        <v>1510.9499999999998</v>
      </c>
      <c r="W258" s="6233"/>
      <c r="X258" s="245">
        <v>166.75</v>
      </c>
      <c r="Y258" s="6193"/>
      <c r="Z258" s="3568">
        <f t="shared" si="503"/>
        <v>1323.1599999999999</v>
      </c>
      <c r="AA258" s="6195"/>
      <c r="AB258" s="3565">
        <f t="shared" si="504"/>
        <v>1677.6999999999998</v>
      </c>
      <c r="AC258" s="6233"/>
      <c r="AD258" s="245">
        <v>316.69</v>
      </c>
      <c r="AE258" s="6227"/>
      <c r="AF258" s="4050">
        <f t="shared" si="505"/>
        <v>1994.3899999999999</v>
      </c>
      <c r="AG258" s="6208"/>
      <c r="AH258" s="245">
        <v>464.17999999999995</v>
      </c>
      <c r="AI258" s="6211"/>
      <c r="AJ258" s="4394">
        <f t="shared" si="506"/>
        <v>2458.5699999999997</v>
      </c>
      <c r="AK258" s="6233"/>
      <c r="AL258" s="245">
        <v>524.14</v>
      </c>
      <c r="AM258" s="6193"/>
      <c r="AN258" s="4282">
        <f t="shared" si="507"/>
        <v>1305.0099999999998</v>
      </c>
      <c r="AO258" s="6227"/>
      <c r="AP258" s="4277">
        <f t="shared" si="508"/>
        <v>2982.7099999999996</v>
      </c>
      <c r="AQ258" s="6208"/>
      <c r="AR258" s="245">
        <v>501.81999999999994</v>
      </c>
      <c r="AS258" s="6211"/>
      <c r="AT258" s="4456">
        <f t="shared" si="509"/>
        <v>3484.5299999999997</v>
      </c>
      <c r="AU258" s="6208"/>
      <c r="AV258" s="245">
        <v>167.36</v>
      </c>
      <c r="AW258" s="6211"/>
      <c r="AX258" s="4635">
        <f t="shared" si="510"/>
        <v>3651.89</v>
      </c>
      <c r="AY258" s="6208"/>
      <c r="AZ258" s="245">
        <v>319.27999999999997</v>
      </c>
      <c r="BA258" s="6193"/>
      <c r="BB258" s="5136">
        <f t="shared" si="519"/>
        <v>988.45999999999992</v>
      </c>
      <c r="BC258" s="6195"/>
      <c r="BD258" s="5143">
        <f t="shared" si="512"/>
        <v>2293.4699999999998</v>
      </c>
      <c r="BE258" s="6211"/>
      <c r="BF258" s="5127">
        <f t="shared" si="513"/>
        <v>3971.17</v>
      </c>
      <c r="BG258" s="26"/>
      <c r="BH258" s="26"/>
      <c r="BI258" s="26"/>
      <c r="BJ258" s="26"/>
    </row>
    <row r="259" spans="1:62" ht="20.25" customHeight="1" x14ac:dyDescent="0.25">
      <c r="A259" s="235"/>
      <c r="B259" s="2002" t="s">
        <v>917</v>
      </c>
      <c r="C259" s="2385" t="s">
        <v>1046</v>
      </c>
      <c r="D259" s="2385"/>
      <c r="E259" s="6233"/>
      <c r="F259" s="245">
        <v>381.24</v>
      </c>
      <c r="G259" s="6233"/>
      <c r="H259" s="245">
        <v>356.5</v>
      </c>
      <c r="I259" s="6227"/>
      <c r="J259" s="2457">
        <f t="shared" si="514"/>
        <v>737.74</v>
      </c>
      <c r="K259" s="6233"/>
      <c r="L259" s="245">
        <v>702.18</v>
      </c>
      <c r="M259" s="6193"/>
      <c r="N259" s="3568">
        <f t="shared" si="515"/>
        <v>1439.92</v>
      </c>
      <c r="O259" s="6233"/>
      <c r="P259" s="245"/>
      <c r="Q259" s="6227"/>
      <c r="R259" s="2457">
        <f t="shared" si="501"/>
        <v>1439.92</v>
      </c>
      <c r="S259" s="6233"/>
      <c r="T259" s="245">
        <v>170.11</v>
      </c>
      <c r="U259" s="6227"/>
      <c r="V259" s="2557">
        <f t="shared" si="502"/>
        <v>1610.0300000000002</v>
      </c>
      <c r="W259" s="6233"/>
      <c r="X259" s="245">
        <v>592.61</v>
      </c>
      <c r="Y259" s="6193"/>
      <c r="Z259" s="3568">
        <f t="shared" si="503"/>
        <v>762.72</v>
      </c>
      <c r="AA259" s="6195"/>
      <c r="AB259" s="3565">
        <f t="shared" si="504"/>
        <v>2202.6400000000003</v>
      </c>
      <c r="AC259" s="6233"/>
      <c r="AD259" s="245">
        <v>699.74</v>
      </c>
      <c r="AE259" s="6227"/>
      <c r="AF259" s="4050">
        <f t="shared" si="505"/>
        <v>2902.38</v>
      </c>
      <c r="AG259" s="6208"/>
      <c r="AH259" s="245">
        <v>946</v>
      </c>
      <c r="AI259" s="6211"/>
      <c r="AJ259" s="4394">
        <f t="shared" si="506"/>
        <v>3848.38</v>
      </c>
      <c r="AK259" s="6233"/>
      <c r="AL259" s="245">
        <v>711.14</v>
      </c>
      <c r="AM259" s="6193"/>
      <c r="AN259" s="4282">
        <f t="shared" si="507"/>
        <v>2356.88</v>
      </c>
      <c r="AO259" s="6227"/>
      <c r="AP259" s="4277">
        <f t="shared" si="508"/>
        <v>4559.5200000000004</v>
      </c>
      <c r="AQ259" s="6208"/>
      <c r="AR259" s="245">
        <v>1109.77</v>
      </c>
      <c r="AS259" s="6211"/>
      <c r="AT259" s="4456">
        <f t="shared" si="509"/>
        <v>5669.2900000000009</v>
      </c>
      <c r="AU259" s="6208"/>
      <c r="AV259" s="245">
        <v>251.56</v>
      </c>
      <c r="AW259" s="6211"/>
      <c r="AX259" s="4635">
        <f t="shared" si="510"/>
        <v>5920.8500000000013</v>
      </c>
      <c r="AY259" s="6208"/>
      <c r="AZ259" s="245">
        <v>788.63000000000011</v>
      </c>
      <c r="BA259" s="6193"/>
      <c r="BB259" s="5136">
        <f t="shared" si="519"/>
        <v>2149.96</v>
      </c>
      <c r="BC259" s="6195"/>
      <c r="BD259" s="5143">
        <f t="shared" si="512"/>
        <v>4506.84</v>
      </c>
      <c r="BE259" s="6211"/>
      <c r="BF259" s="5127">
        <f t="shared" si="513"/>
        <v>6709.4800000000014</v>
      </c>
      <c r="BG259" s="26"/>
      <c r="BH259" s="26"/>
      <c r="BI259" s="26"/>
      <c r="BJ259" s="26"/>
    </row>
    <row r="260" spans="1:62" ht="20.25" customHeight="1" x14ac:dyDescent="0.25">
      <c r="A260" s="235"/>
      <c r="B260" s="2002" t="s">
        <v>918</v>
      </c>
      <c r="C260" s="2385" t="s">
        <v>927</v>
      </c>
      <c r="D260" s="2385"/>
      <c r="E260" s="6233"/>
      <c r="F260" s="245">
        <v>2224.7000000000003</v>
      </c>
      <c r="G260" s="6233"/>
      <c r="H260" s="245">
        <v>2531.5300000000002</v>
      </c>
      <c r="I260" s="6227"/>
      <c r="J260" s="2457">
        <f t="shared" si="514"/>
        <v>4756.2300000000005</v>
      </c>
      <c r="K260" s="6233"/>
      <c r="L260" s="245">
        <v>1641.04</v>
      </c>
      <c r="M260" s="6193"/>
      <c r="N260" s="3568">
        <f t="shared" si="515"/>
        <v>6397.27</v>
      </c>
      <c r="O260" s="6233"/>
      <c r="P260" s="245">
        <v>1499.8000000000002</v>
      </c>
      <c r="Q260" s="6227"/>
      <c r="R260" s="2457">
        <f t="shared" si="501"/>
        <v>7897.0700000000006</v>
      </c>
      <c r="S260" s="6233"/>
      <c r="T260" s="245">
        <v>2748.4700000000012</v>
      </c>
      <c r="U260" s="6227"/>
      <c r="V260" s="2557">
        <f t="shared" si="502"/>
        <v>10645.54</v>
      </c>
      <c r="W260" s="6233"/>
      <c r="X260" s="245">
        <v>2013.17</v>
      </c>
      <c r="Y260" s="6193"/>
      <c r="Z260" s="3568">
        <f t="shared" si="503"/>
        <v>6261.4400000000014</v>
      </c>
      <c r="AA260" s="6195"/>
      <c r="AB260" s="3565">
        <f t="shared" si="504"/>
        <v>12658.710000000003</v>
      </c>
      <c r="AC260" s="6233"/>
      <c r="AD260" s="245">
        <v>2514.36</v>
      </c>
      <c r="AE260" s="6227"/>
      <c r="AF260" s="4050">
        <f t="shared" si="505"/>
        <v>15173.070000000003</v>
      </c>
      <c r="AG260" s="6208"/>
      <c r="AH260" s="245">
        <v>3305.9300000000003</v>
      </c>
      <c r="AI260" s="6211"/>
      <c r="AJ260" s="4394">
        <f t="shared" si="506"/>
        <v>18479.000000000004</v>
      </c>
      <c r="AK260" s="6233"/>
      <c r="AL260" s="245">
        <v>2033.5299999999997</v>
      </c>
      <c r="AM260" s="6193"/>
      <c r="AN260" s="4282">
        <f t="shared" si="507"/>
        <v>7853.8200000000006</v>
      </c>
      <c r="AO260" s="6227"/>
      <c r="AP260" s="4277">
        <f t="shared" si="508"/>
        <v>20512.530000000002</v>
      </c>
      <c r="AQ260" s="6208"/>
      <c r="AR260" s="245">
        <v>1423.42</v>
      </c>
      <c r="AS260" s="6211"/>
      <c r="AT260" s="4456">
        <f t="shared" si="509"/>
        <v>21935.950000000004</v>
      </c>
      <c r="AU260" s="6208"/>
      <c r="AV260" s="245">
        <v>1664.96</v>
      </c>
      <c r="AW260" s="6211"/>
      <c r="AX260" s="4635">
        <f t="shared" si="510"/>
        <v>23600.910000000003</v>
      </c>
      <c r="AY260" s="6208"/>
      <c r="AZ260" s="245">
        <v>2995.15</v>
      </c>
      <c r="BA260" s="6193"/>
      <c r="BB260" s="5136">
        <f t="shared" si="519"/>
        <v>6083.5300000000007</v>
      </c>
      <c r="BC260" s="6195"/>
      <c r="BD260" s="5143">
        <f t="shared" si="512"/>
        <v>13937.350000000002</v>
      </c>
      <c r="BE260" s="6211"/>
      <c r="BF260" s="5127">
        <f t="shared" si="513"/>
        <v>26596.060000000005</v>
      </c>
      <c r="BG260" s="26"/>
      <c r="BH260" s="26"/>
      <c r="BI260" s="26"/>
      <c r="BJ260" s="26"/>
    </row>
    <row r="261" spans="1:62" ht="20.25" x14ac:dyDescent="0.25">
      <c r="A261" s="235"/>
      <c r="B261" s="2002" t="s">
        <v>918</v>
      </c>
      <c r="C261" s="2385" t="s">
        <v>1045</v>
      </c>
      <c r="D261" s="2385"/>
      <c r="E261" s="6233"/>
      <c r="F261" s="245">
        <v>948.24999999999989</v>
      </c>
      <c r="G261" s="6233"/>
      <c r="H261" s="245">
        <v>1231.1199999999999</v>
      </c>
      <c r="I261" s="6227"/>
      <c r="J261" s="2457">
        <f t="shared" si="514"/>
        <v>2179.37</v>
      </c>
      <c r="K261" s="6233"/>
      <c r="L261" s="245">
        <v>574.16</v>
      </c>
      <c r="M261" s="6193"/>
      <c r="N261" s="3568">
        <f t="shared" si="515"/>
        <v>2753.5299999999997</v>
      </c>
      <c r="O261" s="6233"/>
      <c r="P261" s="245">
        <v>704.69</v>
      </c>
      <c r="Q261" s="6227"/>
      <c r="R261" s="2457">
        <f t="shared" si="501"/>
        <v>3458.22</v>
      </c>
      <c r="S261" s="6233"/>
      <c r="T261" s="245">
        <v>614.68000000000006</v>
      </c>
      <c r="U261" s="6227"/>
      <c r="V261" s="2557">
        <f t="shared" si="502"/>
        <v>4072.8999999999996</v>
      </c>
      <c r="W261" s="6233"/>
      <c r="X261" s="245">
        <v>479.29999999999995</v>
      </c>
      <c r="Y261" s="6193"/>
      <c r="Z261" s="3568">
        <f t="shared" si="503"/>
        <v>1798.67</v>
      </c>
      <c r="AA261" s="6195"/>
      <c r="AB261" s="3565">
        <f t="shared" si="504"/>
        <v>4552.2</v>
      </c>
      <c r="AC261" s="6233"/>
      <c r="AD261" s="245">
        <v>579.5</v>
      </c>
      <c r="AE261" s="6227"/>
      <c r="AF261" s="4050">
        <f t="shared" si="505"/>
        <v>5131.7</v>
      </c>
      <c r="AG261" s="6208"/>
      <c r="AH261" s="245">
        <v>580.73</v>
      </c>
      <c r="AI261" s="6211"/>
      <c r="AJ261" s="4394">
        <f t="shared" si="506"/>
        <v>5712.43</v>
      </c>
      <c r="AK261" s="6233"/>
      <c r="AL261" s="245">
        <v>1383.52</v>
      </c>
      <c r="AM261" s="6193"/>
      <c r="AN261" s="4282">
        <f t="shared" si="507"/>
        <v>2543.75</v>
      </c>
      <c r="AO261" s="6227"/>
      <c r="AP261" s="4277">
        <f t="shared" si="508"/>
        <v>7095.9500000000007</v>
      </c>
      <c r="AQ261" s="6208"/>
      <c r="AR261" s="245">
        <v>1724.6899999999998</v>
      </c>
      <c r="AS261" s="6211"/>
      <c r="AT261" s="4456">
        <f t="shared" si="509"/>
        <v>8820.6400000000012</v>
      </c>
      <c r="AU261" s="6208"/>
      <c r="AV261" s="245">
        <v>1516.8100000000002</v>
      </c>
      <c r="AW261" s="6211"/>
      <c r="AX261" s="4635">
        <f t="shared" si="510"/>
        <v>10337.450000000001</v>
      </c>
      <c r="AY261" s="6208"/>
      <c r="AZ261" s="245">
        <v>3032.71</v>
      </c>
      <c r="BA261" s="6193"/>
      <c r="BB261" s="5136">
        <f t="shared" si="519"/>
        <v>6274.21</v>
      </c>
      <c r="BC261" s="6195"/>
      <c r="BD261" s="5143">
        <f t="shared" si="512"/>
        <v>8817.9599999999991</v>
      </c>
      <c r="BE261" s="6211"/>
      <c r="BF261" s="5127">
        <f t="shared" si="513"/>
        <v>13370.16</v>
      </c>
      <c r="BG261" s="26"/>
      <c r="BH261" s="26"/>
      <c r="BI261" s="26"/>
      <c r="BJ261" s="26"/>
    </row>
    <row r="262" spans="1:62" ht="20.25" x14ac:dyDescent="0.25">
      <c r="A262" s="235"/>
      <c r="B262" s="2002" t="s">
        <v>918</v>
      </c>
      <c r="C262" s="2385" t="s">
        <v>928</v>
      </c>
      <c r="D262" s="2385"/>
      <c r="E262" s="6233"/>
      <c r="F262" s="245">
        <v>3226.2200000000003</v>
      </c>
      <c r="G262" s="6233"/>
      <c r="H262" s="245">
        <v>1170.06</v>
      </c>
      <c r="I262" s="6227"/>
      <c r="J262" s="2457">
        <f t="shared" si="514"/>
        <v>4396.2800000000007</v>
      </c>
      <c r="K262" s="6233"/>
      <c r="L262" s="245">
        <v>2350.29</v>
      </c>
      <c r="M262" s="6193"/>
      <c r="N262" s="3568">
        <f t="shared" si="515"/>
        <v>6746.5700000000006</v>
      </c>
      <c r="O262" s="6233"/>
      <c r="P262" s="245">
        <v>4416.21</v>
      </c>
      <c r="Q262" s="6227"/>
      <c r="R262" s="2457">
        <f t="shared" si="501"/>
        <v>11162.78</v>
      </c>
      <c r="S262" s="6233"/>
      <c r="T262" s="245">
        <v>2998.3799999999997</v>
      </c>
      <c r="U262" s="6227"/>
      <c r="V262" s="2557">
        <f t="shared" si="502"/>
        <v>14161.16</v>
      </c>
      <c r="W262" s="6233"/>
      <c r="X262" s="245">
        <v>1929.86</v>
      </c>
      <c r="Y262" s="6193"/>
      <c r="Z262" s="3568">
        <f t="shared" si="503"/>
        <v>9344.4500000000007</v>
      </c>
      <c r="AA262" s="6195"/>
      <c r="AB262" s="3565">
        <f t="shared" si="504"/>
        <v>16091.02</v>
      </c>
      <c r="AC262" s="6233"/>
      <c r="AD262" s="245">
        <v>1724.6799999999998</v>
      </c>
      <c r="AE262" s="6227"/>
      <c r="AF262" s="4050">
        <f t="shared" si="505"/>
        <v>17815.7</v>
      </c>
      <c r="AG262" s="6208"/>
      <c r="AH262" s="245">
        <v>4098.34</v>
      </c>
      <c r="AI262" s="6211"/>
      <c r="AJ262" s="4394">
        <f t="shared" si="506"/>
        <v>21914.04</v>
      </c>
      <c r="AK262" s="6233"/>
      <c r="AL262" s="245">
        <v>2817.42</v>
      </c>
      <c r="AM262" s="6193"/>
      <c r="AN262" s="4282">
        <f t="shared" si="507"/>
        <v>8640.44</v>
      </c>
      <c r="AO262" s="6227"/>
      <c r="AP262" s="4277">
        <f t="shared" si="508"/>
        <v>24731.46</v>
      </c>
      <c r="AQ262" s="6208"/>
      <c r="AR262" s="245">
        <v>1936.3600000000001</v>
      </c>
      <c r="AS262" s="6211"/>
      <c r="AT262" s="4456">
        <f t="shared" si="509"/>
        <v>26667.82</v>
      </c>
      <c r="AU262" s="6208"/>
      <c r="AV262" s="245">
        <v>2393.4700000000003</v>
      </c>
      <c r="AW262" s="6211"/>
      <c r="AX262" s="4635">
        <f t="shared" si="510"/>
        <v>29061.29</v>
      </c>
      <c r="AY262" s="6208"/>
      <c r="AZ262" s="245">
        <v>2557.4800000000005</v>
      </c>
      <c r="BA262" s="6193"/>
      <c r="BB262" s="5136">
        <f t="shared" si="519"/>
        <v>6887.31</v>
      </c>
      <c r="BC262" s="6195"/>
      <c r="BD262" s="5143">
        <f t="shared" si="512"/>
        <v>15527.75</v>
      </c>
      <c r="BE262" s="6211"/>
      <c r="BF262" s="5127">
        <f t="shared" si="513"/>
        <v>31618.77</v>
      </c>
      <c r="BG262" s="26"/>
      <c r="BH262" s="26"/>
      <c r="BI262" s="26"/>
      <c r="BJ262" s="26"/>
    </row>
    <row r="263" spans="1:62" ht="20.25" x14ac:dyDescent="0.25">
      <c r="A263" s="235"/>
      <c r="B263" s="2002" t="s">
        <v>918</v>
      </c>
      <c r="C263" s="2385" t="s">
        <v>929</v>
      </c>
      <c r="D263" s="2385"/>
      <c r="E263" s="6233"/>
      <c r="F263" s="245">
        <v>1435.1100000000001</v>
      </c>
      <c r="G263" s="6233"/>
      <c r="H263" s="245">
        <v>1547.08</v>
      </c>
      <c r="I263" s="6227"/>
      <c r="J263" s="2457">
        <f t="shared" si="514"/>
        <v>2982.19</v>
      </c>
      <c r="K263" s="6233"/>
      <c r="L263" s="245">
        <v>808.68</v>
      </c>
      <c r="M263" s="6193"/>
      <c r="N263" s="3568">
        <f t="shared" si="515"/>
        <v>3790.87</v>
      </c>
      <c r="O263" s="6233"/>
      <c r="P263" s="245">
        <v>643.16000000000008</v>
      </c>
      <c r="Q263" s="6227"/>
      <c r="R263" s="2457">
        <f t="shared" si="501"/>
        <v>4434.03</v>
      </c>
      <c r="S263" s="6233"/>
      <c r="T263" s="245">
        <v>2537.2799999999997</v>
      </c>
      <c r="U263" s="6227"/>
      <c r="V263" s="2557">
        <f t="shared" si="502"/>
        <v>6971.3099999999995</v>
      </c>
      <c r="W263" s="6233"/>
      <c r="X263" s="245">
        <v>1217.6500000000003</v>
      </c>
      <c r="Y263" s="6193"/>
      <c r="Z263" s="3568">
        <f t="shared" si="503"/>
        <v>4398.09</v>
      </c>
      <c r="AA263" s="6195"/>
      <c r="AB263" s="3565">
        <f t="shared" si="504"/>
        <v>8188.96</v>
      </c>
      <c r="AC263" s="6233"/>
      <c r="AD263" s="245">
        <v>1019.7599999999998</v>
      </c>
      <c r="AE263" s="6227"/>
      <c r="AF263" s="4050">
        <f t="shared" si="505"/>
        <v>9208.7199999999993</v>
      </c>
      <c r="AG263" s="6208"/>
      <c r="AH263" s="245">
        <v>1991.8999999999999</v>
      </c>
      <c r="AI263" s="6211"/>
      <c r="AJ263" s="4394">
        <f t="shared" si="506"/>
        <v>11200.619999999999</v>
      </c>
      <c r="AK263" s="6233"/>
      <c r="AL263" s="245">
        <v>2239.3199999999997</v>
      </c>
      <c r="AM263" s="6193"/>
      <c r="AN263" s="4282">
        <f t="shared" si="507"/>
        <v>5250.98</v>
      </c>
      <c r="AO263" s="6227"/>
      <c r="AP263" s="4277">
        <f t="shared" si="508"/>
        <v>13439.939999999999</v>
      </c>
      <c r="AQ263" s="6208"/>
      <c r="AR263" s="245">
        <v>4033.91</v>
      </c>
      <c r="AS263" s="6211"/>
      <c r="AT263" s="4456">
        <f t="shared" si="509"/>
        <v>17473.849999999999</v>
      </c>
      <c r="AU263" s="6208"/>
      <c r="AV263" s="245">
        <v>3795.9300000000003</v>
      </c>
      <c r="AW263" s="6211"/>
      <c r="AX263" s="4635">
        <f t="shared" si="510"/>
        <v>21269.78</v>
      </c>
      <c r="AY263" s="6208"/>
      <c r="AZ263" s="245">
        <v>6393.09</v>
      </c>
      <c r="BA263" s="6193"/>
      <c r="BB263" s="5136">
        <f t="shared" si="519"/>
        <v>14222.93</v>
      </c>
      <c r="BC263" s="6195"/>
      <c r="BD263" s="5143">
        <f t="shared" si="512"/>
        <v>19473.91</v>
      </c>
      <c r="BE263" s="6211"/>
      <c r="BF263" s="5127">
        <f t="shared" si="513"/>
        <v>27662.87</v>
      </c>
      <c r="BG263" s="26"/>
      <c r="BH263" s="26"/>
      <c r="BI263" s="26"/>
      <c r="BJ263" s="26"/>
    </row>
    <row r="264" spans="1:62" s="4101" customFormat="1" ht="20.25" x14ac:dyDescent="0.25">
      <c r="A264" s="235"/>
      <c r="B264" s="2002" t="s">
        <v>918</v>
      </c>
      <c r="C264" s="2385" t="s">
        <v>1840</v>
      </c>
      <c r="D264" s="2385"/>
      <c r="E264" s="6233"/>
      <c r="F264" s="245"/>
      <c r="G264" s="6233"/>
      <c r="H264" s="245"/>
      <c r="I264" s="6227"/>
      <c r="J264" s="4098"/>
      <c r="K264" s="6233"/>
      <c r="L264" s="245"/>
      <c r="M264" s="6193"/>
      <c r="N264" s="4100"/>
      <c r="O264" s="6233"/>
      <c r="P264" s="245"/>
      <c r="Q264" s="6227"/>
      <c r="R264" s="4098"/>
      <c r="S264" s="6233"/>
      <c r="T264" s="245"/>
      <c r="U264" s="6227"/>
      <c r="V264" s="4098"/>
      <c r="W264" s="6233"/>
      <c r="X264" s="245"/>
      <c r="Y264" s="6193"/>
      <c r="Z264" s="4100"/>
      <c r="AA264" s="6195"/>
      <c r="AB264" s="4099"/>
      <c r="AC264" s="6233"/>
      <c r="AD264" s="245">
        <v>254.96</v>
      </c>
      <c r="AE264" s="6227"/>
      <c r="AF264" s="4098">
        <f t="shared" si="505"/>
        <v>254.96</v>
      </c>
      <c r="AG264" s="6208"/>
      <c r="AH264" s="245"/>
      <c r="AI264" s="6211"/>
      <c r="AJ264" s="4394">
        <f t="shared" si="506"/>
        <v>254.96</v>
      </c>
      <c r="AK264" s="6233"/>
      <c r="AL264" s="245"/>
      <c r="AM264" s="6193"/>
      <c r="AN264" s="4282">
        <f t="shared" si="507"/>
        <v>254.96</v>
      </c>
      <c r="AO264" s="6227"/>
      <c r="AP264" s="4277">
        <f t="shared" si="508"/>
        <v>254.96</v>
      </c>
      <c r="AQ264" s="6208"/>
      <c r="AR264" s="245"/>
      <c r="AS264" s="6211"/>
      <c r="AT264" s="4456">
        <f t="shared" si="509"/>
        <v>254.96</v>
      </c>
      <c r="AU264" s="6208"/>
      <c r="AV264" s="245"/>
      <c r="AW264" s="6211"/>
      <c r="AX264" s="4635">
        <f t="shared" si="510"/>
        <v>254.96</v>
      </c>
      <c r="AY264" s="6208"/>
      <c r="AZ264" s="245"/>
      <c r="BA264" s="6193"/>
      <c r="BB264" s="5136">
        <f t="shared" si="519"/>
        <v>0</v>
      </c>
      <c r="BC264" s="6195"/>
      <c r="BD264" s="5143">
        <f t="shared" si="512"/>
        <v>254.96</v>
      </c>
      <c r="BE264" s="6211"/>
      <c r="BF264" s="5127">
        <f t="shared" si="513"/>
        <v>254.96</v>
      </c>
      <c r="BG264" s="26"/>
      <c r="BH264" s="26"/>
      <c r="BI264" s="26"/>
      <c r="BJ264" s="26"/>
    </row>
    <row r="265" spans="1:62" ht="20.25" x14ac:dyDescent="0.25">
      <c r="A265" s="235"/>
      <c r="B265" s="2002" t="s">
        <v>919</v>
      </c>
      <c r="C265" s="1523" t="s">
        <v>949</v>
      </c>
      <c r="D265" s="2385"/>
      <c r="E265" s="6233"/>
      <c r="F265" s="245">
        <v>539.36</v>
      </c>
      <c r="G265" s="6233"/>
      <c r="H265" s="245"/>
      <c r="I265" s="6227"/>
      <c r="J265" s="2636">
        <f t="shared" ref="J265:J266" si="523">F265+H265</f>
        <v>539.36</v>
      </c>
      <c r="K265" s="6233"/>
      <c r="L265" s="245"/>
      <c r="M265" s="6193"/>
      <c r="N265" s="3568">
        <f t="shared" si="515"/>
        <v>539.36</v>
      </c>
      <c r="O265" s="6233"/>
      <c r="P265" s="245">
        <v>845.29</v>
      </c>
      <c r="Q265" s="6227"/>
      <c r="R265" s="2636">
        <f t="shared" ref="R265:R266" si="524">N265+P265</f>
        <v>1384.65</v>
      </c>
      <c r="S265" s="6233"/>
      <c r="T265" s="245">
        <v>768.0100000000001</v>
      </c>
      <c r="U265" s="6227"/>
      <c r="V265" s="2636">
        <f t="shared" ref="V265:V266" si="525">R265+T265</f>
        <v>2152.6600000000003</v>
      </c>
      <c r="W265" s="6233"/>
      <c r="X265" s="245">
        <f>1008.42+35.56</f>
        <v>1043.98</v>
      </c>
      <c r="Y265" s="6193"/>
      <c r="Z265" s="3568">
        <f t="shared" si="503"/>
        <v>2657.28</v>
      </c>
      <c r="AA265" s="6195"/>
      <c r="AB265" s="3565">
        <f t="shared" si="504"/>
        <v>3196.6400000000003</v>
      </c>
      <c r="AC265" s="6233"/>
      <c r="AD265" s="245"/>
      <c r="AE265" s="6227"/>
      <c r="AF265" s="4050">
        <f t="shared" si="505"/>
        <v>3196.6400000000003</v>
      </c>
      <c r="AG265" s="6208"/>
      <c r="AH265" s="245">
        <v>1372.15</v>
      </c>
      <c r="AI265" s="6211"/>
      <c r="AJ265" s="4394">
        <f t="shared" si="506"/>
        <v>4568.7900000000009</v>
      </c>
      <c r="AK265" s="6233"/>
      <c r="AL265" s="245">
        <v>646.34</v>
      </c>
      <c r="AM265" s="6193"/>
      <c r="AN265" s="4282">
        <f t="shared" si="507"/>
        <v>2018.4900000000002</v>
      </c>
      <c r="AO265" s="6227"/>
      <c r="AP265" s="4277">
        <f t="shared" si="508"/>
        <v>5215.130000000001</v>
      </c>
      <c r="AQ265" s="6208"/>
      <c r="AR265" s="245">
        <v>1791.0000000000002</v>
      </c>
      <c r="AS265" s="6211"/>
      <c r="AT265" s="4456">
        <f t="shared" si="509"/>
        <v>7006.130000000001</v>
      </c>
      <c r="AU265" s="6208"/>
      <c r="AV265" s="245">
        <v>636.05999999999995</v>
      </c>
      <c r="AW265" s="6211"/>
      <c r="AX265" s="4635">
        <f t="shared" si="510"/>
        <v>7642.1900000000005</v>
      </c>
      <c r="AY265" s="6208"/>
      <c r="AZ265" s="245">
        <v>607.25</v>
      </c>
      <c r="BA265" s="6193"/>
      <c r="BB265" s="5136">
        <f t="shared" ref="BB265:BB279" si="526">AR265+AV265+AZ265</f>
        <v>3034.3100000000004</v>
      </c>
      <c r="BC265" s="6195"/>
      <c r="BD265" s="5143">
        <f t="shared" si="512"/>
        <v>5052.8000000000011</v>
      </c>
      <c r="BE265" s="6211"/>
      <c r="BF265" s="5127">
        <f t="shared" si="513"/>
        <v>8249.44</v>
      </c>
      <c r="BG265" s="26"/>
      <c r="BH265" s="26"/>
      <c r="BI265" s="26"/>
      <c r="BJ265" s="26"/>
    </row>
    <row r="266" spans="1:62" ht="20.25" x14ac:dyDescent="0.25">
      <c r="A266" s="235"/>
      <c r="B266" s="2002" t="s">
        <v>920</v>
      </c>
      <c r="C266" s="1523" t="s">
        <v>932</v>
      </c>
      <c r="D266" s="2385"/>
      <c r="E266" s="6233"/>
      <c r="F266" s="245">
        <v>474.45</v>
      </c>
      <c r="G266" s="6233"/>
      <c r="H266" s="245"/>
      <c r="I266" s="6227"/>
      <c r="J266" s="2636">
        <f t="shared" si="523"/>
        <v>474.45</v>
      </c>
      <c r="K266" s="6233"/>
      <c r="L266" s="245">
        <v>808.62000000000012</v>
      </c>
      <c r="M266" s="6193"/>
      <c r="N266" s="3568">
        <f t="shared" si="515"/>
        <v>1283.0700000000002</v>
      </c>
      <c r="O266" s="6233"/>
      <c r="P266" s="245">
        <v>879.21</v>
      </c>
      <c r="Q266" s="6227"/>
      <c r="R266" s="2636">
        <f t="shared" si="524"/>
        <v>2162.2800000000002</v>
      </c>
      <c r="S266" s="6233"/>
      <c r="T266" s="245">
        <v>516.7700000000001</v>
      </c>
      <c r="U266" s="6227"/>
      <c r="V266" s="2636">
        <f t="shared" si="525"/>
        <v>2679.05</v>
      </c>
      <c r="W266" s="6233"/>
      <c r="X266" s="245">
        <v>1145.5900000000001</v>
      </c>
      <c r="Y266" s="6193"/>
      <c r="Z266" s="3568">
        <f t="shared" si="503"/>
        <v>2541.5700000000002</v>
      </c>
      <c r="AA266" s="6195"/>
      <c r="AB266" s="3565">
        <f t="shared" si="504"/>
        <v>3824.6400000000003</v>
      </c>
      <c r="AC266" s="6233"/>
      <c r="AD266" s="245"/>
      <c r="AE266" s="6227"/>
      <c r="AF266" s="4050">
        <f t="shared" si="505"/>
        <v>3824.6400000000003</v>
      </c>
      <c r="AG266" s="6208"/>
      <c r="AH266" s="245">
        <v>836.97</v>
      </c>
      <c r="AI266" s="6211"/>
      <c r="AJ266" s="4394">
        <f t="shared" si="506"/>
        <v>4661.6100000000006</v>
      </c>
      <c r="AK266" s="6233"/>
      <c r="AL266" s="245">
        <v>227.79999999999998</v>
      </c>
      <c r="AM266" s="6193"/>
      <c r="AN266" s="4282">
        <f t="shared" si="507"/>
        <v>1064.77</v>
      </c>
      <c r="AO266" s="6227"/>
      <c r="AP266" s="4277">
        <f t="shared" si="508"/>
        <v>4889.4100000000008</v>
      </c>
      <c r="AQ266" s="6208"/>
      <c r="AR266" s="245">
        <v>276.53000000000003</v>
      </c>
      <c r="AS266" s="6211"/>
      <c r="AT266" s="4456">
        <f t="shared" si="509"/>
        <v>5165.9400000000005</v>
      </c>
      <c r="AU266" s="6208"/>
      <c r="AV266" s="245">
        <v>223.64</v>
      </c>
      <c r="AW266" s="6211"/>
      <c r="AX266" s="4635">
        <f t="shared" si="510"/>
        <v>5389.5800000000008</v>
      </c>
      <c r="AY266" s="6208"/>
      <c r="AZ266" s="245">
        <v>125.2</v>
      </c>
      <c r="BA266" s="6193"/>
      <c r="BB266" s="5136">
        <f t="shared" si="526"/>
        <v>625.37</v>
      </c>
      <c r="BC266" s="6195"/>
      <c r="BD266" s="5143">
        <f t="shared" si="512"/>
        <v>1690.1399999999999</v>
      </c>
      <c r="BE266" s="6211"/>
      <c r="BF266" s="5127">
        <f t="shared" si="513"/>
        <v>5514.7800000000007</v>
      </c>
      <c r="BG266" s="26"/>
      <c r="BH266" s="26"/>
      <c r="BI266" s="26"/>
      <c r="BJ266" s="26"/>
    </row>
    <row r="267" spans="1:62" ht="20.25" x14ac:dyDescent="0.25">
      <c r="A267" s="235"/>
      <c r="B267" s="2002" t="s">
        <v>919</v>
      </c>
      <c r="C267" s="1523" t="s">
        <v>930</v>
      </c>
      <c r="D267" s="2385"/>
      <c r="E267" s="6233"/>
      <c r="F267" s="245">
        <v>3184.87</v>
      </c>
      <c r="G267" s="6233"/>
      <c r="H267" s="245">
        <v>868.49</v>
      </c>
      <c r="I267" s="6227"/>
      <c r="J267" s="2457">
        <f t="shared" si="514"/>
        <v>4053.3599999999997</v>
      </c>
      <c r="K267" s="6233"/>
      <c r="L267" s="245">
        <v>3168.2</v>
      </c>
      <c r="M267" s="6193"/>
      <c r="N267" s="3568">
        <f t="shared" si="515"/>
        <v>7221.5599999999995</v>
      </c>
      <c r="O267" s="6233"/>
      <c r="P267" s="245">
        <v>1918</v>
      </c>
      <c r="Q267" s="6227"/>
      <c r="R267" s="2457">
        <f t="shared" si="501"/>
        <v>9139.56</v>
      </c>
      <c r="S267" s="6233"/>
      <c r="T267" s="245">
        <v>1715.5000000000002</v>
      </c>
      <c r="U267" s="6227"/>
      <c r="V267" s="2557">
        <f t="shared" si="502"/>
        <v>10855.06</v>
      </c>
      <c r="W267" s="6233"/>
      <c r="X267" s="245">
        <v>2166.6800000000003</v>
      </c>
      <c r="Y267" s="6193"/>
      <c r="Z267" s="3568">
        <f t="shared" si="503"/>
        <v>5800.18</v>
      </c>
      <c r="AA267" s="6195"/>
      <c r="AB267" s="3565">
        <f t="shared" si="504"/>
        <v>13021.74</v>
      </c>
      <c r="AC267" s="6233"/>
      <c r="AD267" s="245">
        <v>251.5</v>
      </c>
      <c r="AE267" s="6227"/>
      <c r="AF267" s="4050">
        <f t="shared" si="505"/>
        <v>13273.24</v>
      </c>
      <c r="AG267" s="6208"/>
      <c r="AH267" s="245">
        <v>1047.5100000000002</v>
      </c>
      <c r="AI267" s="6211"/>
      <c r="AJ267" s="4394">
        <f t="shared" si="506"/>
        <v>14320.75</v>
      </c>
      <c r="AK267" s="6233"/>
      <c r="AL267" s="245">
        <v>354.86</v>
      </c>
      <c r="AM267" s="6193"/>
      <c r="AN267" s="4282">
        <f t="shared" si="507"/>
        <v>1653.8700000000003</v>
      </c>
      <c r="AO267" s="6227"/>
      <c r="AP267" s="4277">
        <f t="shared" si="508"/>
        <v>14675.61</v>
      </c>
      <c r="AQ267" s="6208"/>
      <c r="AR267" s="245">
        <v>1341.58</v>
      </c>
      <c r="AS267" s="6211"/>
      <c r="AT267" s="4456">
        <f t="shared" si="509"/>
        <v>16017.19</v>
      </c>
      <c r="AU267" s="6208"/>
      <c r="AV267" s="245">
        <v>617.40000000000009</v>
      </c>
      <c r="AW267" s="6211"/>
      <c r="AX267" s="4635">
        <f t="shared" si="510"/>
        <v>16634.59</v>
      </c>
      <c r="AY267" s="6208"/>
      <c r="AZ267" s="245">
        <v>508.02</v>
      </c>
      <c r="BA267" s="6193"/>
      <c r="BB267" s="5136">
        <f t="shared" si="526"/>
        <v>2467</v>
      </c>
      <c r="BC267" s="6195"/>
      <c r="BD267" s="5143">
        <f t="shared" si="512"/>
        <v>4120.8700000000008</v>
      </c>
      <c r="BE267" s="6211"/>
      <c r="BF267" s="5127">
        <f t="shared" si="513"/>
        <v>17142.61</v>
      </c>
      <c r="BG267" s="26"/>
      <c r="BH267" s="26"/>
      <c r="BI267" s="26"/>
      <c r="BJ267" s="26"/>
    </row>
    <row r="268" spans="1:62" ht="20.25" x14ac:dyDescent="0.25">
      <c r="A268" s="235"/>
      <c r="B268" s="2002" t="s">
        <v>919</v>
      </c>
      <c r="C268" s="1523" t="s">
        <v>931</v>
      </c>
      <c r="D268" s="2385"/>
      <c r="E268" s="6233"/>
      <c r="F268" s="245">
        <v>476.05</v>
      </c>
      <c r="G268" s="6233"/>
      <c r="H268" s="245">
        <v>418</v>
      </c>
      <c r="I268" s="6227"/>
      <c r="J268" s="2457">
        <f t="shared" si="514"/>
        <v>894.05</v>
      </c>
      <c r="K268" s="6233"/>
      <c r="L268" s="245">
        <v>1512.71</v>
      </c>
      <c r="M268" s="6193"/>
      <c r="N268" s="3568">
        <f t="shared" si="515"/>
        <v>2406.7600000000002</v>
      </c>
      <c r="O268" s="6233"/>
      <c r="P268" s="245">
        <v>1689.7400000000002</v>
      </c>
      <c r="Q268" s="6227"/>
      <c r="R268" s="2457">
        <f t="shared" si="501"/>
        <v>4096.5</v>
      </c>
      <c r="S268" s="6233"/>
      <c r="T268" s="245">
        <v>1945.2700000000002</v>
      </c>
      <c r="U268" s="6227"/>
      <c r="V268" s="2557">
        <f t="shared" si="502"/>
        <v>6041.77</v>
      </c>
      <c r="W268" s="6233"/>
      <c r="X268" s="245">
        <v>1632.78</v>
      </c>
      <c r="Y268" s="6193"/>
      <c r="Z268" s="3568">
        <f t="shared" si="503"/>
        <v>5267.79</v>
      </c>
      <c r="AA268" s="6195"/>
      <c r="AB268" s="3565">
        <f t="shared" si="504"/>
        <v>7674.55</v>
      </c>
      <c r="AC268" s="6233"/>
      <c r="AD268" s="245"/>
      <c r="AE268" s="6227"/>
      <c r="AF268" s="4050">
        <f t="shared" si="505"/>
        <v>7674.55</v>
      </c>
      <c r="AG268" s="6208"/>
      <c r="AH268" s="245">
        <v>1669.1699999999996</v>
      </c>
      <c r="AI268" s="6211"/>
      <c r="AJ268" s="4394">
        <f t="shared" si="506"/>
        <v>9343.7199999999993</v>
      </c>
      <c r="AK268" s="6233"/>
      <c r="AL268" s="245">
        <v>2275.27</v>
      </c>
      <c r="AM268" s="6193"/>
      <c r="AN268" s="4282">
        <f t="shared" si="507"/>
        <v>3944.4399999999996</v>
      </c>
      <c r="AO268" s="6227"/>
      <c r="AP268" s="4277">
        <f t="shared" si="508"/>
        <v>11618.99</v>
      </c>
      <c r="AQ268" s="6208"/>
      <c r="AR268" s="245">
        <v>3623.99</v>
      </c>
      <c r="AS268" s="6211"/>
      <c r="AT268" s="4456">
        <f t="shared" si="509"/>
        <v>15242.98</v>
      </c>
      <c r="AU268" s="6208"/>
      <c r="AV268" s="245">
        <v>1063.1300000000001</v>
      </c>
      <c r="AW268" s="6211"/>
      <c r="AX268" s="4635">
        <f t="shared" si="510"/>
        <v>16306.11</v>
      </c>
      <c r="AY268" s="6208"/>
      <c r="AZ268" s="245">
        <v>3013.19</v>
      </c>
      <c r="BA268" s="6193"/>
      <c r="BB268" s="5136">
        <f t="shared" si="526"/>
        <v>7700.3099999999995</v>
      </c>
      <c r="BC268" s="6195"/>
      <c r="BD268" s="5143">
        <f t="shared" si="512"/>
        <v>11644.75</v>
      </c>
      <c r="BE268" s="6211"/>
      <c r="BF268" s="5127">
        <f t="shared" si="513"/>
        <v>19319.3</v>
      </c>
      <c r="BG268" s="26"/>
      <c r="BH268" s="26"/>
      <c r="BI268" s="26"/>
      <c r="BJ268" s="26"/>
    </row>
    <row r="269" spans="1:62" ht="20.25" x14ac:dyDescent="0.25">
      <c r="A269" s="235"/>
      <c r="B269" s="2002" t="s">
        <v>920</v>
      </c>
      <c r="C269" s="1523" t="s">
        <v>1502</v>
      </c>
      <c r="D269" s="2385"/>
      <c r="E269" s="6233"/>
      <c r="F269" s="245">
        <v>188.28</v>
      </c>
      <c r="G269" s="6233"/>
      <c r="H269" s="245"/>
      <c r="I269" s="6227"/>
      <c r="J269" s="2457">
        <f t="shared" si="514"/>
        <v>188.28</v>
      </c>
      <c r="K269" s="6233"/>
      <c r="L269" s="245"/>
      <c r="M269" s="6193"/>
      <c r="N269" s="3568">
        <f t="shared" si="515"/>
        <v>188.28</v>
      </c>
      <c r="O269" s="6233"/>
      <c r="P269" s="245"/>
      <c r="Q269" s="6227"/>
      <c r="R269" s="2457">
        <f t="shared" si="501"/>
        <v>188.28</v>
      </c>
      <c r="S269" s="6233"/>
      <c r="T269" s="245">
        <v>0</v>
      </c>
      <c r="U269" s="6227"/>
      <c r="V269" s="2557">
        <f t="shared" si="502"/>
        <v>188.28</v>
      </c>
      <c r="W269" s="6233"/>
      <c r="X269" s="245"/>
      <c r="Y269" s="6193"/>
      <c r="Z269" s="3568">
        <f t="shared" si="503"/>
        <v>0</v>
      </c>
      <c r="AA269" s="6195"/>
      <c r="AB269" s="3565">
        <f t="shared" si="504"/>
        <v>188.28</v>
      </c>
      <c r="AC269" s="6233"/>
      <c r="AD269" s="245"/>
      <c r="AE269" s="6227"/>
      <c r="AF269" s="4050">
        <f t="shared" si="505"/>
        <v>188.28</v>
      </c>
      <c r="AG269" s="6208"/>
      <c r="AH269" s="245"/>
      <c r="AI269" s="6211"/>
      <c r="AJ269" s="4394">
        <f t="shared" si="506"/>
        <v>188.28</v>
      </c>
      <c r="AK269" s="6233"/>
      <c r="AL269" s="245"/>
      <c r="AM269" s="6193"/>
      <c r="AN269" s="4282">
        <f t="shared" si="507"/>
        <v>0</v>
      </c>
      <c r="AO269" s="6227"/>
      <c r="AP269" s="4277">
        <f t="shared" si="508"/>
        <v>188.28</v>
      </c>
      <c r="AQ269" s="6208"/>
      <c r="AR269" s="245"/>
      <c r="AS269" s="6211"/>
      <c r="AT269" s="4456">
        <f t="shared" si="509"/>
        <v>188.28</v>
      </c>
      <c r="AU269" s="6208"/>
      <c r="AV269" s="245"/>
      <c r="AW269" s="6211"/>
      <c r="AX269" s="4635">
        <f t="shared" si="510"/>
        <v>188.28</v>
      </c>
      <c r="AY269" s="6208"/>
      <c r="AZ269" s="245"/>
      <c r="BA269" s="6193"/>
      <c r="BB269" s="5136">
        <f t="shared" si="526"/>
        <v>0</v>
      </c>
      <c r="BC269" s="6195"/>
      <c r="BD269" s="5143">
        <f t="shared" si="512"/>
        <v>0</v>
      </c>
      <c r="BE269" s="6211"/>
      <c r="BF269" s="5127">
        <f t="shared" si="513"/>
        <v>188.28</v>
      </c>
      <c r="BG269" s="26"/>
      <c r="BH269" s="26"/>
      <c r="BI269" s="26"/>
      <c r="BJ269" s="26"/>
    </row>
    <row r="270" spans="1:62" s="5016" customFormat="1" ht="20.25" x14ac:dyDescent="0.25">
      <c r="A270" s="235"/>
      <c r="B270" s="2002" t="s">
        <v>919</v>
      </c>
      <c r="C270" s="1523" t="s">
        <v>1633</v>
      </c>
      <c r="D270" s="2385"/>
      <c r="E270" s="6234"/>
      <c r="F270" s="245"/>
      <c r="G270" s="6234"/>
      <c r="H270" s="245"/>
      <c r="I270" s="6228"/>
      <c r="J270" s="5014">
        <f t="shared" si="514"/>
        <v>0</v>
      </c>
      <c r="K270" s="6234"/>
      <c r="L270" s="245">
        <v>513.98</v>
      </c>
      <c r="M270" s="6194"/>
      <c r="N270" s="5015">
        <f t="shared" ref="N270" si="527">F270+H270+L270</f>
        <v>513.98</v>
      </c>
      <c r="O270" s="6234"/>
      <c r="P270" s="245"/>
      <c r="Q270" s="6228"/>
      <c r="R270" s="5014">
        <f t="shared" si="501"/>
        <v>513.98</v>
      </c>
      <c r="S270" s="6234"/>
      <c r="T270" s="245">
        <v>0</v>
      </c>
      <c r="U270" s="6228"/>
      <c r="V270" s="5014">
        <f t="shared" si="502"/>
        <v>513.98</v>
      </c>
      <c r="W270" s="6234"/>
      <c r="X270" s="245"/>
      <c r="Y270" s="6194"/>
      <c r="Z270" s="5015">
        <f t="shared" ref="Z270" si="528">P270+T270+X270</f>
        <v>0</v>
      </c>
      <c r="AA270" s="6196"/>
      <c r="AB270" s="5017">
        <f t="shared" ref="AB270" si="529">N270+Z270</f>
        <v>513.98</v>
      </c>
      <c r="AC270" s="6234"/>
      <c r="AD270" s="245"/>
      <c r="AE270" s="6228"/>
      <c r="AF270" s="5014">
        <f t="shared" ref="AF270" si="530">AB270+AD270</f>
        <v>513.98</v>
      </c>
      <c r="AG270" s="6208"/>
      <c r="AH270" s="245"/>
      <c r="AI270" s="6211"/>
      <c r="AJ270" s="5014">
        <f t="shared" ref="AJ270" si="531">AF270+AH270</f>
        <v>513.98</v>
      </c>
      <c r="AK270" s="6234"/>
      <c r="AL270" s="245"/>
      <c r="AM270" s="6194"/>
      <c r="AN270" s="5015">
        <f t="shared" ref="AN270" si="532">AD270+AH270+AL270</f>
        <v>0</v>
      </c>
      <c r="AO270" s="6228"/>
      <c r="AP270" s="5014">
        <f t="shared" ref="AP270" si="533">AJ270+AL270</f>
        <v>513.98</v>
      </c>
      <c r="AQ270" s="6208"/>
      <c r="AR270" s="245"/>
      <c r="AS270" s="6211"/>
      <c r="AT270" s="5014">
        <f t="shared" ref="AT270" si="534">AP270+AR270</f>
        <v>513.98</v>
      </c>
      <c r="AU270" s="6208"/>
      <c r="AV270" s="245"/>
      <c r="AW270" s="6211"/>
      <c r="AX270" s="5014">
        <f t="shared" ref="AX270" si="535">AT270+AV270</f>
        <v>513.98</v>
      </c>
      <c r="AY270" s="6208"/>
      <c r="AZ270" s="245"/>
      <c r="BA270" s="6194"/>
      <c r="BB270" s="5136">
        <f t="shared" si="526"/>
        <v>0</v>
      </c>
      <c r="BC270" s="6196"/>
      <c r="BD270" s="5143">
        <f t="shared" si="512"/>
        <v>0</v>
      </c>
      <c r="BE270" s="6211"/>
      <c r="BF270" s="5127">
        <f t="shared" si="513"/>
        <v>513.98</v>
      </c>
      <c r="BG270" s="26"/>
      <c r="BH270" s="26"/>
      <c r="BI270" s="26"/>
      <c r="BJ270" s="26"/>
    </row>
    <row r="271" spans="1:62" ht="20.25" x14ac:dyDescent="0.25">
      <c r="A271" s="235"/>
      <c r="B271" s="2002" t="s">
        <v>935</v>
      </c>
      <c r="C271" s="2385" t="s">
        <v>1362</v>
      </c>
      <c r="D271" s="2385"/>
      <c r="E271" s="6233"/>
      <c r="F271" s="245">
        <v>415.49</v>
      </c>
      <c r="G271" s="6233"/>
      <c r="H271" s="245"/>
      <c r="I271" s="6227"/>
      <c r="J271" s="2636">
        <f t="shared" ref="J271:J272" si="536">F271+H271</f>
        <v>415.49</v>
      </c>
      <c r="K271" s="6233"/>
      <c r="L271" s="245"/>
      <c r="M271" s="6193"/>
      <c r="N271" s="3568">
        <f t="shared" si="515"/>
        <v>415.49</v>
      </c>
      <c r="O271" s="6233"/>
      <c r="P271" s="245"/>
      <c r="Q271" s="6227"/>
      <c r="R271" s="2636">
        <f t="shared" ref="R271:R272" si="537">N271+P271</f>
        <v>415.49</v>
      </c>
      <c r="S271" s="6233"/>
      <c r="T271" s="245">
        <v>506.76000000000005</v>
      </c>
      <c r="U271" s="6227"/>
      <c r="V271" s="2636">
        <f t="shared" ref="V271:V273" si="538">R271+T271</f>
        <v>922.25</v>
      </c>
      <c r="W271" s="6233"/>
      <c r="X271" s="245">
        <v>195.69</v>
      </c>
      <c r="Y271" s="6193"/>
      <c r="Z271" s="3568">
        <f t="shared" si="503"/>
        <v>702.45</v>
      </c>
      <c r="AA271" s="6195"/>
      <c r="AB271" s="3565">
        <f t="shared" si="504"/>
        <v>1117.94</v>
      </c>
      <c r="AC271" s="6233"/>
      <c r="AD271" s="245"/>
      <c r="AE271" s="6227"/>
      <c r="AF271" s="4050">
        <f t="shared" si="505"/>
        <v>1117.94</v>
      </c>
      <c r="AG271" s="6208"/>
      <c r="AH271" s="245">
        <v>229.08</v>
      </c>
      <c r="AI271" s="6211"/>
      <c r="AJ271" s="4394">
        <f t="shared" si="506"/>
        <v>1347.02</v>
      </c>
      <c r="AK271" s="6233"/>
      <c r="AL271" s="245"/>
      <c r="AM271" s="6193"/>
      <c r="AN271" s="4282">
        <f t="shared" si="507"/>
        <v>229.08</v>
      </c>
      <c r="AO271" s="6227"/>
      <c r="AP271" s="4277">
        <f t="shared" si="508"/>
        <v>1347.02</v>
      </c>
      <c r="AQ271" s="6208"/>
      <c r="AR271" s="245"/>
      <c r="AS271" s="6211"/>
      <c r="AT271" s="4456">
        <f t="shared" si="509"/>
        <v>1347.02</v>
      </c>
      <c r="AU271" s="6208"/>
      <c r="AV271" s="245">
        <v>229.48999999999998</v>
      </c>
      <c r="AW271" s="6211"/>
      <c r="AX271" s="4635">
        <f t="shared" si="510"/>
        <v>1576.51</v>
      </c>
      <c r="AY271" s="6208"/>
      <c r="AZ271" s="245">
        <v>358.44</v>
      </c>
      <c r="BA271" s="6193"/>
      <c r="BB271" s="5136">
        <f t="shared" si="526"/>
        <v>587.92999999999995</v>
      </c>
      <c r="BC271" s="6195"/>
      <c r="BD271" s="5143">
        <f t="shared" si="512"/>
        <v>817.01</v>
      </c>
      <c r="BE271" s="6211"/>
      <c r="BF271" s="5127">
        <f t="shared" si="513"/>
        <v>1934.95</v>
      </c>
      <c r="BG271" s="26"/>
      <c r="BH271" s="26"/>
      <c r="BI271" s="26"/>
      <c r="BJ271" s="26"/>
    </row>
    <row r="272" spans="1:62" ht="20.25" x14ac:dyDescent="0.25">
      <c r="A272" s="235"/>
      <c r="B272" s="2002" t="s">
        <v>935</v>
      </c>
      <c r="C272" s="2385" t="s">
        <v>1528</v>
      </c>
      <c r="D272" s="2385"/>
      <c r="E272" s="6233"/>
      <c r="F272" s="245"/>
      <c r="G272" s="6233"/>
      <c r="H272" s="245">
        <v>490.94</v>
      </c>
      <c r="I272" s="6227"/>
      <c r="J272" s="2636">
        <f t="shared" si="536"/>
        <v>490.94</v>
      </c>
      <c r="K272" s="6233"/>
      <c r="L272" s="245"/>
      <c r="M272" s="6193"/>
      <c r="N272" s="3568">
        <f t="shared" si="515"/>
        <v>490.94</v>
      </c>
      <c r="O272" s="6233"/>
      <c r="P272" s="245"/>
      <c r="Q272" s="6227"/>
      <c r="R272" s="2636">
        <f t="shared" si="537"/>
        <v>490.94</v>
      </c>
      <c r="S272" s="6233"/>
      <c r="T272" s="245">
        <v>0</v>
      </c>
      <c r="U272" s="6227"/>
      <c r="V272" s="2636">
        <f t="shared" si="538"/>
        <v>490.94</v>
      </c>
      <c r="W272" s="6233"/>
      <c r="X272" s="245"/>
      <c r="Y272" s="6193"/>
      <c r="Z272" s="3568">
        <f t="shared" si="503"/>
        <v>0</v>
      </c>
      <c r="AA272" s="6195"/>
      <c r="AB272" s="3565">
        <f t="shared" si="504"/>
        <v>490.94</v>
      </c>
      <c r="AC272" s="6233"/>
      <c r="AD272" s="245"/>
      <c r="AE272" s="6227"/>
      <c r="AF272" s="4050">
        <f t="shared" si="505"/>
        <v>490.94</v>
      </c>
      <c r="AG272" s="6208"/>
      <c r="AH272" s="245"/>
      <c r="AI272" s="6211"/>
      <c r="AJ272" s="4394">
        <f t="shared" si="506"/>
        <v>490.94</v>
      </c>
      <c r="AK272" s="6233"/>
      <c r="AL272" s="245"/>
      <c r="AM272" s="6193"/>
      <c r="AN272" s="4282">
        <f t="shared" si="507"/>
        <v>0</v>
      </c>
      <c r="AO272" s="6227"/>
      <c r="AP272" s="4277">
        <f t="shared" si="508"/>
        <v>490.94</v>
      </c>
      <c r="AQ272" s="6208"/>
      <c r="AR272" s="245"/>
      <c r="AS272" s="6211"/>
      <c r="AT272" s="4456">
        <f t="shared" si="509"/>
        <v>490.94</v>
      </c>
      <c r="AU272" s="6208"/>
      <c r="AV272" s="245"/>
      <c r="AW272" s="6211"/>
      <c r="AX272" s="4635">
        <f t="shared" si="510"/>
        <v>490.94</v>
      </c>
      <c r="AY272" s="6208"/>
      <c r="AZ272" s="245"/>
      <c r="BA272" s="6193"/>
      <c r="BB272" s="5136">
        <f t="shared" si="526"/>
        <v>0</v>
      </c>
      <c r="BC272" s="6195"/>
      <c r="BD272" s="5143">
        <f t="shared" si="512"/>
        <v>0</v>
      </c>
      <c r="BE272" s="6211"/>
      <c r="BF272" s="5127">
        <f t="shared" si="513"/>
        <v>490.94</v>
      </c>
      <c r="BG272" s="26"/>
      <c r="BH272" s="26"/>
      <c r="BI272" s="26"/>
      <c r="BJ272" s="26"/>
    </row>
    <row r="273" spans="1:62" ht="20.25" x14ac:dyDescent="0.25">
      <c r="A273" s="235"/>
      <c r="B273" s="2002" t="s">
        <v>921</v>
      </c>
      <c r="C273" s="2385" t="s">
        <v>1817</v>
      </c>
      <c r="D273" s="2385"/>
      <c r="E273" s="6233"/>
      <c r="F273" s="245"/>
      <c r="G273" s="6233"/>
      <c r="H273" s="245"/>
      <c r="I273" s="6227"/>
      <c r="J273" s="3408"/>
      <c r="K273" s="6233"/>
      <c r="L273" s="245"/>
      <c r="M273" s="6193"/>
      <c r="N273" s="3568">
        <f t="shared" si="515"/>
        <v>0</v>
      </c>
      <c r="O273" s="6233"/>
      <c r="P273" s="245"/>
      <c r="Q273" s="6227"/>
      <c r="R273" s="3408"/>
      <c r="S273" s="6233"/>
      <c r="T273" s="245"/>
      <c r="U273" s="6227"/>
      <c r="V273" s="3457">
        <f t="shared" si="538"/>
        <v>0</v>
      </c>
      <c r="W273" s="6233"/>
      <c r="X273" s="245">
        <v>587.88</v>
      </c>
      <c r="Y273" s="6193"/>
      <c r="Z273" s="3568">
        <f t="shared" si="503"/>
        <v>587.88</v>
      </c>
      <c r="AA273" s="6195"/>
      <c r="AB273" s="3565">
        <f t="shared" si="504"/>
        <v>587.88</v>
      </c>
      <c r="AC273" s="6233"/>
      <c r="AD273" s="245">
        <v>515.76</v>
      </c>
      <c r="AE273" s="6227"/>
      <c r="AF273" s="4050">
        <f t="shared" si="505"/>
        <v>1103.6399999999999</v>
      </c>
      <c r="AG273" s="6208"/>
      <c r="AH273" s="245">
        <v>515.39</v>
      </c>
      <c r="AI273" s="6211"/>
      <c r="AJ273" s="4394">
        <f t="shared" si="506"/>
        <v>1619.0299999999997</v>
      </c>
      <c r="AK273" s="6233"/>
      <c r="AL273" s="245"/>
      <c r="AM273" s="6193"/>
      <c r="AN273" s="4282">
        <f t="shared" si="507"/>
        <v>1031.1500000000001</v>
      </c>
      <c r="AO273" s="6227"/>
      <c r="AP273" s="4277">
        <f t="shared" si="508"/>
        <v>1619.0299999999997</v>
      </c>
      <c r="AQ273" s="6208"/>
      <c r="AR273" s="245">
        <v>435.71999999999997</v>
      </c>
      <c r="AS273" s="6211"/>
      <c r="AT273" s="4456">
        <f t="shared" si="509"/>
        <v>2054.7499999999995</v>
      </c>
      <c r="AU273" s="6208"/>
      <c r="AV273" s="245">
        <v>100.71000000000001</v>
      </c>
      <c r="AW273" s="6211"/>
      <c r="AX273" s="4635">
        <f t="shared" si="510"/>
        <v>2155.4599999999996</v>
      </c>
      <c r="AY273" s="6208"/>
      <c r="AZ273" s="245">
        <v>191.75</v>
      </c>
      <c r="BA273" s="6193"/>
      <c r="BB273" s="5136">
        <f t="shared" si="526"/>
        <v>728.18</v>
      </c>
      <c r="BC273" s="6195"/>
      <c r="BD273" s="5143">
        <f t="shared" si="512"/>
        <v>1759.33</v>
      </c>
      <c r="BE273" s="6211"/>
      <c r="BF273" s="5127">
        <f t="shared" si="513"/>
        <v>2347.2099999999996</v>
      </c>
      <c r="BG273" s="26"/>
      <c r="BH273" s="26"/>
      <c r="BI273" s="26"/>
      <c r="BJ273" s="26"/>
    </row>
    <row r="274" spans="1:62" ht="20.25" customHeight="1" x14ac:dyDescent="0.25">
      <c r="A274" s="235"/>
      <c r="B274" s="2002" t="s">
        <v>921</v>
      </c>
      <c r="C274" s="2385" t="s">
        <v>933</v>
      </c>
      <c r="D274" s="2385"/>
      <c r="E274" s="6233"/>
      <c r="F274" s="245">
        <v>2728</v>
      </c>
      <c r="G274" s="6233"/>
      <c r="H274" s="245">
        <v>48.54</v>
      </c>
      <c r="I274" s="6227"/>
      <c r="J274" s="2457">
        <f t="shared" si="514"/>
        <v>2776.54</v>
      </c>
      <c r="K274" s="6233"/>
      <c r="L274" s="245">
        <v>1065.6500000000001</v>
      </c>
      <c r="M274" s="6193"/>
      <c r="N274" s="3568">
        <f t="shared" si="515"/>
        <v>3842.19</v>
      </c>
      <c r="O274" s="6233"/>
      <c r="P274" s="245">
        <v>2290.4500000000003</v>
      </c>
      <c r="Q274" s="6227"/>
      <c r="R274" s="2457">
        <f t="shared" si="501"/>
        <v>6132.64</v>
      </c>
      <c r="S274" s="6233"/>
      <c r="T274" s="245">
        <v>3573.0299999999993</v>
      </c>
      <c r="U274" s="6227"/>
      <c r="V274" s="2557">
        <f t="shared" si="502"/>
        <v>9705.67</v>
      </c>
      <c r="W274" s="6233"/>
      <c r="X274" s="245">
        <v>2669.2900000000004</v>
      </c>
      <c r="Y274" s="6193"/>
      <c r="Z274" s="3568">
        <f t="shared" si="503"/>
        <v>8532.77</v>
      </c>
      <c r="AA274" s="6195"/>
      <c r="AB274" s="3565">
        <f t="shared" si="504"/>
        <v>12374.960000000001</v>
      </c>
      <c r="AC274" s="6233"/>
      <c r="AD274" s="245">
        <v>3678.5499999999997</v>
      </c>
      <c r="AE274" s="6227"/>
      <c r="AF274" s="4050">
        <f t="shared" si="505"/>
        <v>16053.51</v>
      </c>
      <c r="AG274" s="6208"/>
      <c r="AH274" s="245">
        <v>2555.29</v>
      </c>
      <c r="AI274" s="6211"/>
      <c r="AJ274" s="4394">
        <f t="shared" si="506"/>
        <v>18608.8</v>
      </c>
      <c r="AK274" s="6233"/>
      <c r="AL274" s="245">
        <v>1802.35</v>
      </c>
      <c r="AM274" s="6193"/>
      <c r="AN274" s="4282">
        <f t="shared" si="507"/>
        <v>8036.1900000000005</v>
      </c>
      <c r="AO274" s="6227"/>
      <c r="AP274" s="4277">
        <f t="shared" si="508"/>
        <v>20411.149999999998</v>
      </c>
      <c r="AQ274" s="6208"/>
      <c r="AR274" s="245">
        <v>1393.74</v>
      </c>
      <c r="AS274" s="6211"/>
      <c r="AT274" s="4456">
        <f t="shared" si="509"/>
        <v>21804.89</v>
      </c>
      <c r="AU274" s="6208"/>
      <c r="AV274" s="245">
        <v>471.08999999999992</v>
      </c>
      <c r="AW274" s="6211"/>
      <c r="AX274" s="4635">
        <f t="shared" si="510"/>
        <v>22275.98</v>
      </c>
      <c r="AY274" s="6208"/>
      <c r="AZ274" s="245">
        <v>718.33999999999992</v>
      </c>
      <c r="BA274" s="6193"/>
      <c r="BB274" s="5136">
        <f t="shared" si="526"/>
        <v>2583.17</v>
      </c>
      <c r="BC274" s="6195"/>
      <c r="BD274" s="5143">
        <f t="shared" si="512"/>
        <v>10619.36</v>
      </c>
      <c r="BE274" s="6211"/>
      <c r="BF274" s="5127">
        <f t="shared" si="513"/>
        <v>22994.32</v>
      </c>
      <c r="BG274" s="26"/>
      <c r="BH274" s="26"/>
      <c r="BI274" s="26"/>
      <c r="BJ274" s="26"/>
    </row>
    <row r="275" spans="1:62" s="4101" customFormat="1" ht="20.25" customHeight="1" x14ac:dyDescent="0.25">
      <c r="A275" s="235"/>
      <c r="B275" s="2002" t="s">
        <v>921</v>
      </c>
      <c r="C275" s="2385" t="s">
        <v>1841</v>
      </c>
      <c r="D275" s="2385"/>
      <c r="E275" s="6233"/>
      <c r="F275" s="245"/>
      <c r="G275" s="6233"/>
      <c r="H275" s="245"/>
      <c r="I275" s="6227"/>
      <c r="J275" s="4098"/>
      <c r="K275" s="6233"/>
      <c r="L275" s="245"/>
      <c r="M275" s="6193"/>
      <c r="N275" s="4100">
        <f t="shared" si="515"/>
        <v>0</v>
      </c>
      <c r="O275" s="6233"/>
      <c r="P275" s="245"/>
      <c r="Q275" s="6227"/>
      <c r="R275" s="4098"/>
      <c r="S275" s="6233"/>
      <c r="T275" s="245"/>
      <c r="U275" s="6227"/>
      <c r="V275" s="4098"/>
      <c r="W275" s="6233"/>
      <c r="X275" s="245"/>
      <c r="Y275" s="6193"/>
      <c r="Z275" s="4100">
        <f t="shared" si="503"/>
        <v>0</v>
      </c>
      <c r="AA275" s="6195"/>
      <c r="AB275" s="4099">
        <f t="shared" si="504"/>
        <v>0</v>
      </c>
      <c r="AC275" s="6233"/>
      <c r="AD275" s="245">
        <v>127.82</v>
      </c>
      <c r="AE275" s="6227"/>
      <c r="AF275" s="4098">
        <f t="shared" si="505"/>
        <v>127.82</v>
      </c>
      <c r="AG275" s="6208"/>
      <c r="AH275" s="245"/>
      <c r="AI275" s="6211"/>
      <c r="AJ275" s="4394">
        <f t="shared" si="506"/>
        <v>127.82</v>
      </c>
      <c r="AK275" s="6233"/>
      <c r="AL275" s="245"/>
      <c r="AM275" s="6193"/>
      <c r="AN275" s="4282">
        <f t="shared" si="507"/>
        <v>127.82</v>
      </c>
      <c r="AO275" s="6227"/>
      <c r="AP275" s="4277">
        <f t="shared" si="508"/>
        <v>127.82</v>
      </c>
      <c r="AQ275" s="6208"/>
      <c r="AR275" s="245"/>
      <c r="AS275" s="6211"/>
      <c r="AT275" s="4456">
        <f t="shared" si="509"/>
        <v>127.82</v>
      </c>
      <c r="AU275" s="6208"/>
      <c r="AV275" s="245"/>
      <c r="AW275" s="6211"/>
      <c r="AX275" s="4635">
        <f t="shared" si="510"/>
        <v>127.82</v>
      </c>
      <c r="AY275" s="6208"/>
      <c r="AZ275" s="245"/>
      <c r="BA275" s="6193"/>
      <c r="BB275" s="5136">
        <f t="shared" si="526"/>
        <v>0</v>
      </c>
      <c r="BC275" s="6195"/>
      <c r="BD275" s="5143">
        <f t="shared" si="512"/>
        <v>127.82</v>
      </c>
      <c r="BE275" s="6211"/>
      <c r="BF275" s="5127">
        <f t="shared" si="513"/>
        <v>127.82</v>
      </c>
      <c r="BG275" s="26"/>
      <c r="BH275" s="26"/>
      <c r="BI275" s="26"/>
      <c r="BJ275" s="26"/>
    </row>
    <row r="276" spans="1:62" ht="20.25" x14ac:dyDescent="0.25">
      <c r="A276" s="235"/>
      <c r="B276" s="2002" t="s">
        <v>921</v>
      </c>
      <c r="C276" s="2385" t="s">
        <v>955</v>
      </c>
      <c r="D276" s="2385"/>
      <c r="E276" s="6233"/>
      <c r="F276" s="245">
        <v>3489.47</v>
      </c>
      <c r="G276" s="6233"/>
      <c r="H276" s="245">
        <v>143.88</v>
      </c>
      <c r="I276" s="6227"/>
      <c r="J276" s="2457">
        <f t="shared" si="514"/>
        <v>3633.35</v>
      </c>
      <c r="K276" s="6233"/>
      <c r="L276" s="245">
        <v>145.19999999999999</v>
      </c>
      <c r="M276" s="6193"/>
      <c r="N276" s="3568">
        <f t="shared" si="515"/>
        <v>3778.5499999999997</v>
      </c>
      <c r="O276" s="6233"/>
      <c r="P276" s="245">
        <v>2364.3199999999997</v>
      </c>
      <c r="Q276" s="6227"/>
      <c r="R276" s="2457">
        <f t="shared" si="501"/>
        <v>6142.869999999999</v>
      </c>
      <c r="S276" s="6233"/>
      <c r="T276" s="245">
        <v>2665.48</v>
      </c>
      <c r="U276" s="6227"/>
      <c r="V276" s="2557">
        <f t="shared" si="502"/>
        <v>8808.3499999999985</v>
      </c>
      <c r="W276" s="6233"/>
      <c r="X276" s="245">
        <v>1976.23</v>
      </c>
      <c r="Y276" s="6193"/>
      <c r="Z276" s="3568">
        <f t="shared" si="503"/>
        <v>7006.0299999999988</v>
      </c>
      <c r="AA276" s="6195"/>
      <c r="AB276" s="3565">
        <f t="shared" si="504"/>
        <v>10784.579999999998</v>
      </c>
      <c r="AC276" s="6233"/>
      <c r="AD276" s="245">
        <v>1861.0500000000002</v>
      </c>
      <c r="AE276" s="6227"/>
      <c r="AF276" s="4050">
        <f t="shared" si="505"/>
        <v>12645.629999999997</v>
      </c>
      <c r="AG276" s="6208"/>
      <c r="AH276" s="245">
        <v>1362.8400000000001</v>
      </c>
      <c r="AI276" s="6211"/>
      <c r="AJ276" s="4394">
        <f t="shared" si="506"/>
        <v>14008.469999999998</v>
      </c>
      <c r="AK276" s="6233"/>
      <c r="AL276" s="245">
        <v>1476.1999999999998</v>
      </c>
      <c r="AM276" s="6193"/>
      <c r="AN276" s="4282">
        <f t="shared" si="507"/>
        <v>4700.09</v>
      </c>
      <c r="AO276" s="6227"/>
      <c r="AP276" s="4277">
        <f t="shared" si="508"/>
        <v>15484.669999999998</v>
      </c>
      <c r="AQ276" s="6208"/>
      <c r="AR276" s="245">
        <v>5333.25</v>
      </c>
      <c r="AS276" s="6211"/>
      <c r="AT276" s="4456">
        <f t="shared" si="509"/>
        <v>20817.919999999998</v>
      </c>
      <c r="AU276" s="6208"/>
      <c r="AV276" s="245">
        <v>1380.25</v>
      </c>
      <c r="AW276" s="6211"/>
      <c r="AX276" s="4635">
        <f t="shared" si="510"/>
        <v>22198.17</v>
      </c>
      <c r="AY276" s="6208"/>
      <c r="AZ276" s="245">
        <v>3322.2599999999998</v>
      </c>
      <c r="BA276" s="6193"/>
      <c r="BB276" s="5136">
        <f t="shared" si="526"/>
        <v>10035.76</v>
      </c>
      <c r="BC276" s="6195"/>
      <c r="BD276" s="5143">
        <f t="shared" si="512"/>
        <v>14735.85</v>
      </c>
      <c r="BE276" s="6211"/>
      <c r="BF276" s="5127">
        <f t="shared" si="513"/>
        <v>25520.429999999997</v>
      </c>
      <c r="BG276" s="26"/>
      <c r="BH276" s="26"/>
      <c r="BI276" s="26"/>
      <c r="BJ276" s="26"/>
    </row>
    <row r="277" spans="1:62" ht="20.25" x14ac:dyDescent="0.25">
      <c r="A277" s="235"/>
      <c r="B277" s="2002" t="s">
        <v>921</v>
      </c>
      <c r="C277" s="2385" t="s">
        <v>1816</v>
      </c>
      <c r="D277" s="2385"/>
      <c r="E277" s="6233"/>
      <c r="F277" s="245"/>
      <c r="G277" s="6233"/>
      <c r="H277" s="245"/>
      <c r="I277" s="6227"/>
      <c r="J277" s="3408"/>
      <c r="K277" s="6233"/>
      <c r="L277" s="245"/>
      <c r="M277" s="6193"/>
      <c r="N277" s="3568">
        <f t="shared" si="515"/>
        <v>0</v>
      </c>
      <c r="O277" s="6233"/>
      <c r="P277" s="245"/>
      <c r="Q277" s="6227"/>
      <c r="R277" s="3408"/>
      <c r="S277" s="6233"/>
      <c r="T277" s="245"/>
      <c r="U277" s="6227"/>
      <c r="V277" s="3457">
        <f t="shared" si="502"/>
        <v>0</v>
      </c>
      <c r="W277" s="6233"/>
      <c r="X277" s="245">
        <v>324.78000000000003</v>
      </c>
      <c r="Y277" s="6193"/>
      <c r="Z277" s="3568">
        <f t="shared" si="503"/>
        <v>324.78000000000003</v>
      </c>
      <c r="AA277" s="6195"/>
      <c r="AB277" s="3565">
        <f t="shared" si="504"/>
        <v>324.78000000000003</v>
      </c>
      <c r="AC277" s="6233"/>
      <c r="AD277" s="245">
        <v>380.15999999999997</v>
      </c>
      <c r="AE277" s="6227"/>
      <c r="AF277" s="4050">
        <f t="shared" si="505"/>
        <v>704.94</v>
      </c>
      <c r="AG277" s="6208"/>
      <c r="AH277" s="245"/>
      <c r="AI277" s="6211"/>
      <c r="AJ277" s="4394">
        <f t="shared" si="506"/>
        <v>704.94</v>
      </c>
      <c r="AK277" s="6233"/>
      <c r="AL277" s="245">
        <v>378.33000000000004</v>
      </c>
      <c r="AM277" s="6193"/>
      <c r="AN277" s="4282">
        <f t="shared" si="507"/>
        <v>758.49</v>
      </c>
      <c r="AO277" s="6227"/>
      <c r="AP277" s="4277">
        <f t="shared" si="508"/>
        <v>1083.27</v>
      </c>
      <c r="AQ277" s="6208"/>
      <c r="AR277" s="245">
        <v>251.39999999999998</v>
      </c>
      <c r="AS277" s="6211"/>
      <c r="AT277" s="4456">
        <f t="shared" si="509"/>
        <v>1334.67</v>
      </c>
      <c r="AU277" s="6208"/>
      <c r="AV277" s="245"/>
      <c r="AW277" s="6211"/>
      <c r="AX277" s="4635">
        <f t="shared" si="510"/>
        <v>1334.67</v>
      </c>
      <c r="AY277" s="6208"/>
      <c r="AZ277" s="245">
        <v>31.66</v>
      </c>
      <c r="BA277" s="6193"/>
      <c r="BB277" s="5136">
        <f t="shared" si="526"/>
        <v>283.06</v>
      </c>
      <c r="BC277" s="6195"/>
      <c r="BD277" s="5143">
        <f t="shared" si="512"/>
        <v>1041.55</v>
      </c>
      <c r="BE277" s="6211"/>
      <c r="BF277" s="5127">
        <f t="shared" si="513"/>
        <v>1366.3300000000002</v>
      </c>
      <c r="BG277" s="26"/>
      <c r="BH277" s="26"/>
      <c r="BI277" s="26"/>
      <c r="BJ277" s="26"/>
    </row>
    <row r="278" spans="1:62" ht="20.25" x14ac:dyDescent="0.25">
      <c r="A278" s="235"/>
      <c r="B278" s="2002" t="s">
        <v>1748</v>
      </c>
      <c r="C278" s="2385" t="s">
        <v>1747</v>
      </c>
      <c r="D278" s="2385"/>
      <c r="E278" s="6233"/>
      <c r="F278" s="245"/>
      <c r="G278" s="6233"/>
      <c r="H278" s="245"/>
      <c r="I278" s="6227"/>
      <c r="J278" s="2636"/>
      <c r="K278" s="6233"/>
      <c r="L278" s="245"/>
      <c r="M278" s="6193"/>
      <c r="N278" s="3568">
        <f t="shared" si="515"/>
        <v>0</v>
      </c>
      <c r="O278" s="6233"/>
      <c r="P278" s="245"/>
      <c r="Q278" s="6227"/>
      <c r="R278" s="2636"/>
      <c r="S278" s="6233"/>
      <c r="T278" s="245">
        <v>254.32</v>
      </c>
      <c r="U278" s="6227"/>
      <c r="V278" s="2636">
        <f t="shared" ref="V278" si="539">R278+T278</f>
        <v>254.32</v>
      </c>
      <c r="W278" s="6233"/>
      <c r="X278" s="245">
        <v>32.83</v>
      </c>
      <c r="Y278" s="6193"/>
      <c r="Z278" s="3568">
        <f t="shared" si="503"/>
        <v>287.14999999999998</v>
      </c>
      <c r="AA278" s="6195"/>
      <c r="AB278" s="3565">
        <f t="shared" si="504"/>
        <v>287.14999999999998</v>
      </c>
      <c r="AC278" s="6233"/>
      <c r="AD278" s="245"/>
      <c r="AE278" s="6227"/>
      <c r="AF278" s="4050">
        <f t="shared" si="505"/>
        <v>287.14999999999998</v>
      </c>
      <c r="AG278" s="6208"/>
      <c r="AH278" s="245"/>
      <c r="AI278" s="6211"/>
      <c r="AJ278" s="4394">
        <f t="shared" si="506"/>
        <v>287.14999999999998</v>
      </c>
      <c r="AK278" s="6233"/>
      <c r="AL278" s="245"/>
      <c r="AM278" s="6193"/>
      <c r="AN278" s="4282">
        <f t="shared" si="507"/>
        <v>0</v>
      </c>
      <c r="AO278" s="6227"/>
      <c r="AP278" s="4277">
        <f t="shared" si="508"/>
        <v>287.14999999999998</v>
      </c>
      <c r="AQ278" s="6208"/>
      <c r="AR278" s="245"/>
      <c r="AS278" s="6211"/>
      <c r="AT278" s="4456">
        <f t="shared" si="509"/>
        <v>287.14999999999998</v>
      </c>
      <c r="AU278" s="6208"/>
      <c r="AV278" s="245"/>
      <c r="AW278" s="6211"/>
      <c r="AX278" s="4635">
        <f t="shared" si="510"/>
        <v>287.14999999999998</v>
      </c>
      <c r="AY278" s="6208"/>
      <c r="AZ278" s="245">
        <v>64.760000000000005</v>
      </c>
      <c r="BA278" s="6193"/>
      <c r="BB278" s="5136">
        <f t="shared" si="526"/>
        <v>64.760000000000005</v>
      </c>
      <c r="BC278" s="6195"/>
      <c r="BD278" s="5143">
        <f t="shared" si="512"/>
        <v>64.760000000000005</v>
      </c>
      <c r="BE278" s="6211"/>
      <c r="BF278" s="5127">
        <f t="shared" si="513"/>
        <v>351.90999999999997</v>
      </c>
      <c r="BG278" s="26"/>
      <c r="BH278" s="26"/>
      <c r="BI278" s="26"/>
      <c r="BJ278" s="26"/>
    </row>
    <row r="279" spans="1:62" s="4732" customFormat="1" ht="20.25" x14ac:dyDescent="0.25">
      <c r="A279" s="235"/>
      <c r="B279" s="4748" t="s">
        <v>1748</v>
      </c>
      <c r="C279" s="4714" t="s">
        <v>1949</v>
      </c>
      <c r="D279" s="4714"/>
      <c r="E279" s="6234"/>
      <c r="F279" s="4749"/>
      <c r="G279" s="6234"/>
      <c r="H279" s="4749"/>
      <c r="I279" s="6228"/>
      <c r="J279" s="4750"/>
      <c r="K279" s="6234"/>
      <c r="L279" s="4749"/>
      <c r="M279" s="6194"/>
      <c r="N279" s="4751"/>
      <c r="O279" s="6234"/>
      <c r="P279" s="4749"/>
      <c r="Q279" s="6228"/>
      <c r="R279" s="4750"/>
      <c r="S279" s="6234"/>
      <c r="T279" s="4749"/>
      <c r="U279" s="6228"/>
      <c r="V279" s="4750"/>
      <c r="W279" s="6234"/>
      <c r="X279" s="4749"/>
      <c r="Y279" s="6194"/>
      <c r="Z279" s="4751"/>
      <c r="AA279" s="6196"/>
      <c r="AB279" s="4752"/>
      <c r="AC279" s="6234"/>
      <c r="AD279" s="4749"/>
      <c r="AE279" s="6228"/>
      <c r="AF279" s="4750"/>
      <c r="AG279" s="6208"/>
      <c r="AH279" s="4749"/>
      <c r="AI279" s="6211"/>
      <c r="AJ279" s="4750"/>
      <c r="AK279" s="6234"/>
      <c r="AL279" s="4749"/>
      <c r="AM279" s="6194"/>
      <c r="AN279" s="4751"/>
      <c r="AO279" s="6228"/>
      <c r="AP279" s="4750"/>
      <c r="AQ279" s="6208"/>
      <c r="AR279" s="4749"/>
      <c r="AS279" s="6211"/>
      <c r="AT279" s="4750"/>
      <c r="AU279" s="6208"/>
      <c r="AV279" s="4749">
        <v>40</v>
      </c>
      <c r="AW279" s="6211"/>
      <c r="AX279" s="4730">
        <f t="shared" si="510"/>
        <v>40</v>
      </c>
      <c r="AY279" s="6208"/>
      <c r="AZ279" s="4749">
        <v>253.52999999999997</v>
      </c>
      <c r="BA279" s="6194"/>
      <c r="BB279" s="5136">
        <f t="shared" si="526"/>
        <v>293.52999999999997</v>
      </c>
      <c r="BC279" s="6196"/>
      <c r="BD279" s="5143">
        <f t="shared" si="512"/>
        <v>293.52999999999997</v>
      </c>
      <c r="BE279" s="6211"/>
      <c r="BF279" s="5127">
        <f t="shared" si="513"/>
        <v>293.52999999999997</v>
      </c>
      <c r="BG279" s="26"/>
      <c r="BH279" s="26"/>
      <c r="BI279" s="26"/>
      <c r="BJ279" s="26"/>
    </row>
    <row r="280" spans="1:62" ht="20.25" x14ac:dyDescent="0.25">
      <c r="A280" s="235"/>
      <c r="B280" s="2002" t="s">
        <v>922</v>
      </c>
      <c r="C280" s="2385" t="s">
        <v>934</v>
      </c>
      <c r="D280" s="2385"/>
      <c r="E280" s="6233"/>
      <c r="F280" s="245">
        <v>5723.21</v>
      </c>
      <c r="G280" s="6233"/>
      <c r="H280" s="245">
        <v>5188.8000000000011</v>
      </c>
      <c r="I280" s="6227"/>
      <c r="J280" s="2457">
        <f t="shared" si="514"/>
        <v>10912.010000000002</v>
      </c>
      <c r="K280" s="6233"/>
      <c r="L280" s="245">
        <v>660.88999999999987</v>
      </c>
      <c r="M280" s="6193"/>
      <c r="N280" s="3568">
        <f t="shared" si="515"/>
        <v>11572.900000000001</v>
      </c>
      <c r="O280" s="6233"/>
      <c r="P280" s="245">
        <v>4264.99</v>
      </c>
      <c r="Q280" s="6227"/>
      <c r="R280" s="2457">
        <f t="shared" si="501"/>
        <v>15837.890000000001</v>
      </c>
      <c r="S280" s="6233"/>
      <c r="T280" s="245">
        <v>2882.1000000000008</v>
      </c>
      <c r="U280" s="6227"/>
      <c r="V280" s="2557">
        <f t="shared" si="502"/>
        <v>18719.990000000002</v>
      </c>
      <c r="W280" s="6233"/>
      <c r="X280" s="245">
        <v>970.31000000000006</v>
      </c>
      <c r="Y280" s="6193"/>
      <c r="Z280" s="3568">
        <f t="shared" si="503"/>
        <v>8117.4000000000005</v>
      </c>
      <c r="AA280" s="6195"/>
      <c r="AB280" s="3565">
        <f t="shared" si="504"/>
        <v>19690.300000000003</v>
      </c>
      <c r="AC280" s="6233"/>
      <c r="AD280" s="245">
        <v>4566.87</v>
      </c>
      <c r="AE280" s="6227"/>
      <c r="AF280" s="4050">
        <f t="shared" si="505"/>
        <v>24257.170000000002</v>
      </c>
      <c r="AG280" s="6208"/>
      <c r="AH280" s="245">
        <v>3519.1099999999997</v>
      </c>
      <c r="AI280" s="6211"/>
      <c r="AJ280" s="4394">
        <f t="shared" si="506"/>
        <v>27776.280000000002</v>
      </c>
      <c r="AK280" s="6233"/>
      <c r="AL280" s="245">
        <v>1444.58</v>
      </c>
      <c r="AM280" s="6193"/>
      <c r="AN280" s="4282">
        <f t="shared" si="507"/>
        <v>9530.56</v>
      </c>
      <c r="AO280" s="6227"/>
      <c r="AP280" s="4277">
        <f t="shared" si="508"/>
        <v>29220.86</v>
      </c>
      <c r="AQ280" s="6208"/>
      <c r="AR280" s="245">
        <v>1063.01</v>
      </c>
      <c r="AS280" s="6211"/>
      <c r="AT280" s="4456">
        <f t="shared" si="509"/>
        <v>30283.87</v>
      </c>
      <c r="AU280" s="6208"/>
      <c r="AV280" s="245">
        <v>1290.46</v>
      </c>
      <c r="AW280" s="6211"/>
      <c r="AX280" s="4635">
        <f t="shared" si="510"/>
        <v>31574.329999999998</v>
      </c>
      <c r="AY280" s="6208"/>
      <c r="AZ280" s="245">
        <v>892.49</v>
      </c>
      <c r="BA280" s="6193"/>
      <c r="BB280" s="5136">
        <f t="shared" ref="BB280:BB282" si="540">AR280+AV280+AZ280</f>
        <v>3245.96</v>
      </c>
      <c r="BC280" s="6195"/>
      <c r="BD280" s="5143">
        <f t="shared" si="512"/>
        <v>12776.52</v>
      </c>
      <c r="BE280" s="6211"/>
      <c r="BF280" s="5127">
        <f t="shared" si="513"/>
        <v>32466.82</v>
      </c>
      <c r="BG280" s="26"/>
      <c r="BH280" s="26"/>
      <c r="BI280" s="26"/>
      <c r="BJ280" s="26"/>
    </row>
    <row r="281" spans="1:62" ht="20.25" x14ac:dyDescent="0.25">
      <c r="A281" s="235"/>
      <c r="B281" s="2002" t="s">
        <v>922</v>
      </c>
      <c r="C281" s="2385" t="s">
        <v>950</v>
      </c>
      <c r="D281" s="2385"/>
      <c r="E281" s="6233"/>
      <c r="F281" s="245">
        <v>1966.8899999999999</v>
      </c>
      <c r="G281" s="6233"/>
      <c r="H281" s="245">
        <v>1148.3100000000002</v>
      </c>
      <c r="I281" s="6227"/>
      <c r="J281" s="2457">
        <f t="shared" si="514"/>
        <v>3115.2</v>
      </c>
      <c r="K281" s="6233"/>
      <c r="L281" s="245">
        <v>64.72</v>
      </c>
      <c r="M281" s="6193"/>
      <c r="N281" s="3568">
        <f t="shared" si="515"/>
        <v>3179.9199999999996</v>
      </c>
      <c r="O281" s="6233"/>
      <c r="P281" s="245">
        <v>2088.2199999999998</v>
      </c>
      <c r="Q281" s="6227"/>
      <c r="R281" s="2457">
        <f t="shared" si="501"/>
        <v>5268.1399999999994</v>
      </c>
      <c r="S281" s="6233"/>
      <c r="T281" s="245">
        <v>2266.5499999999997</v>
      </c>
      <c r="U281" s="6227"/>
      <c r="V281" s="2557">
        <f t="shared" si="502"/>
        <v>7534.6899999999987</v>
      </c>
      <c r="W281" s="6233"/>
      <c r="X281" s="245">
        <v>31.86</v>
      </c>
      <c r="Y281" s="6193"/>
      <c r="Z281" s="3568">
        <f t="shared" si="503"/>
        <v>4386.6299999999992</v>
      </c>
      <c r="AA281" s="6195"/>
      <c r="AB281" s="3565">
        <f t="shared" si="504"/>
        <v>7566.5499999999993</v>
      </c>
      <c r="AC281" s="6233"/>
      <c r="AD281" s="245">
        <v>3001.8199999999997</v>
      </c>
      <c r="AE281" s="6227"/>
      <c r="AF281" s="4050">
        <f t="shared" si="505"/>
        <v>10568.369999999999</v>
      </c>
      <c r="AG281" s="6208"/>
      <c r="AH281" s="245">
        <v>3016.7499999999995</v>
      </c>
      <c r="AI281" s="6211"/>
      <c r="AJ281" s="4394">
        <f t="shared" si="506"/>
        <v>13585.119999999999</v>
      </c>
      <c r="AK281" s="6233"/>
      <c r="AL281" s="245">
        <v>2377.8900000000003</v>
      </c>
      <c r="AM281" s="6193"/>
      <c r="AN281" s="4282">
        <f t="shared" si="507"/>
        <v>8396.4599999999991</v>
      </c>
      <c r="AO281" s="6227"/>
      <c r="AP281" s="4277">
        <f t="shared" si="508"/>
        <v>15963.009999999998</v>
      </c>
      <c r="AQ281" s="6208"/>
      <c r="AR281" s="245">
        <v>64.900000000000006</v>
      </c>
      <c r="AS281" s="6211"/>
      <c r="AT281" s="4456">
        <f t="shared" si="509"/>
        <v>16027.909999999998</v>
      </c>
      <c r="AU281" s="6208"/>
      <c r="AV281" s="245">
        <v>5252.5999999999995</v>
      </c>
      <c r="AW281" s="6211"/>
      <c r="AX281" s="4635">
        <f t="shared" si="510"/>
        <v>21280.51</v>
      </c>
      <c r="AY281" s="6208"/>
      <c r="AZ281" s="245">
        <v>3655.9799999999996</v>
      </c>
      <c r="BA281" s="6193"/>
      <c r="BB281" s="5136">
        <f t="shared" si="540"/>
        <v>8973.48</v>
      </c>
      <c r="BC281" s="6195"/>
      <c r="BD281" s="5143">
        <f t="shared" si="512"/>
        <v>17369.939999999999</v>
      </c>
      <c r="BE281" s="6211"/>
      <c r="BF281" s="5127">
        <f t="shared" si="513"/>
        <v>24936.489999999998</v>
      </c>
      <c r="BG281" s="26"/>
      <c r="BH281" s="26"/>
      <c r="BI281" s="26"/>
      <c r="BJ281" s="26"/>
    </row>
    <row r="282" spans="1:62" s="4101" customFormat="1" ht="20.25" x14ac:dyDescent="0.25">
      <c r="A282" s="235"/>
      <c r="B282" s="2002" t="s">
        <v>922</v>
      </c>
      <c r="C282" s="2385" t="s">
        <v>1842</v>
      </c>
      <c r="D282" s="2385"/>
      <c r="E282" s="6233"/>
      <c r="F282" s="245"/>
      <c r="G282" s="6233"/>
      <c r="H282" s="245"/>
      <c r="I282" s="6227"/>
      <c r="J282" s="4098"/>
      <c r="K282" s="6233"/>
      <c r="L282" s="245"/>
      <c r="M282" s="6193"/>
      <c r="N282" s="4100"/>
      <c r="O282" s="6233"/>
      <c r="P282" s="245"/>
      <c r="Q282" s="6227"/>
      <c r="R282" s="4098"/>
      <c r="S282" s="6233"/>
      <c r="T282" s="245"/>
      <c r="U282" s="6227"/>
      <c r="V282" s="4098"/>
      <c r="W282" s="6233"/>
      <c r="X282" s="245"/>
      <c r="Y282" s="6193"/>
      <c r="Z282" s="4100"/>
      <c r="AA282" s="6195"/>
      <c r="AB282" s="4099"/>
      <c r="AC282" s="6233"/>
      <c r="AD282" s="245">
        <v>580.82000000000005</v>
      </c>
      <c r="AE282" s="6227"/>
      <c r="AF282" s="4098">
        <f t="shared" si="505"/>
        <v>580.82000000000005</v>
      </c>
      <c r="AG282" s="6208"/>
      <c r="AH282" s="245"/>
      <c r="AI282" s="6211"/>
      <c r="AJ282" s="4394">
        <f t="shared" si="506"/>
        <v>580.82000000000005</v>
      </c>
      <c r="AK282" s="6233"/>
      <c r="AL282" s="245"/>
      <c r="AM282" s="6193"/>
      <c r="AN282" s="4282">
        <f t="shared" si="507"/>
        <v>580.82000000000005</v>
      </c>
      <c r="AO282" s="6227"/>
      <c r="AP282" s="4277">
        <f t="shared" si="508"/>
        <v>580.82000000000005</v>
      </c>
      <c r="AQ282" s="6208"/>
      <c r="AR282" s="245"/>
      <c r="AS282" s="6211"/>
      <c r="AT282" s="4456">
        <f t="shared" si="509"/>
        <v>580.82000000000005</v>
      </c>
      <c r="AU282" s="6208"/>
      <c r="AV282" s="245">
        <v>426.56</v>
      </c>
      <c r="AW282" s="6211"/>
      <c r="AX282" s="4635">
        <f t="shared" si="510"/>
        <v>1007.3800000000001</v>
      </c>
      <c r="AY282" s="6208"/>
      <c r="AZ282" s="245">
        <v>64.52</v>
      </c>
      <c r="BA282" s="6193"/>
      <c r="BB282" s="5136">
        <f t="shared" si="540"/>
        <v>491.08</v>
      </c>
      <c r="BC282" s="6195"/>
      <c r="BD282" s="5143">
        <f t="shared" si="512"/>
        <v>1071.9000000000001</v>
      </c>
      <c r="BE282" s="6211"/>
      <c r="BF282" s="5127">
        <f t="shared" si="513"/>
        <v>1071.9000000000001</v>
      </c>
      <c r="BG282" s="26"/>
      <c r="BH282" s="26"/>
      <c r="BI282" s="26"/>
      <c r="BJ282" s="26"/>
    </row>
    <row r="283" spans="1:62" ht="20.25" x14ac:dyDescent="0.25">
      <c r="A283" s="235"/>
      <c r="B283" s="2002" t="s">
        <v>922</v>
      </c>
      <c r="C283" s="2385" t="s">
        <v>1396</v>
      </c>
      <c r="D283" s="2385"/>
      <c r="E283" s="6233"/>
      <c r="F283" s="245"/>
      <c r="G283" s="6233"/>
      <c r="H283" s="245">
        <v>547.63</v>
      </c>
      <c r="I283" s="6227"/>
      <c r="J283" s="2457">
        <f t="shared" si="514"/>
        <v>547.63</v>
      </c>
      <c r="K283" s="6233"/>
      <c r="L283" s="245"/>
      <c r="M283" s="6193"/>
      <c r="N283" s="3568">
        <f t="shared" si="515"/>
        <v>547.63</v>
      </c>
      <c r="O283" s="6233"/>
      <c r="P283" s="245"/>
      <c r="Q283" s="6227"/>
      <c r="R283" s="2457">
        <f t="shared" si="501"/>
        <v>547.63</v>
      </c>
      <c r="S283" s="6233"/>
      <c r="T283" s="245">
        <v>77.009999999999991</v>
      </c>
      <c r="U283" s="6227"/>
      <c r="V283" s="2557">
        <f t="shared" si="502"/>
        <v>624.64</v>
      </c>
      <c r="W283" s="6233"/>
      <c r="X283" s="245">
        <v>64.11</v>
      </c>
      <c r="Y283" s="6193"/>
      <c r="Z283" s="3568">
        <f t="shared" si="503"/>
        <v>141.12</v>
      </c>
      <c r="AA283" s="6195"/>
      <c r="AB283" s="3565">
        <f t="shared" si="504"/>
        <v>688.75</v>
      </c>
      <c r="AC283" s="6233"/>
      <c r="AD283" s="245">
        <v>296.68</v>
      </c>
      <c r="AE283" s="6227"/>
      <c r="AF283" s="4050">
        <f t="shared" si="505"/>
        <v>985.43000000000006</v>
      </c>
      <c r="AG283" s="6208"/>
      <c r="AH283" s="245"/>
      <c r="AI283" s="6211"/>
      <c r="AJ283" s="4394">
        <f t="shared" si="506"/>
        <v>985.43000000000006</v>
      </c>
      <c r="AK283" s="6233"/>
      <c r="AL283" s="245"/>
      <c r="AM283" s="6193"/>
      <c r="AN283" s="4282">
        <f t="shared" si="507"/>
        <v>296.68</v>
      </c>
      <c r="AO283" s="6227"/>
      <c r="AP283" s="4277">
        <f t="shared" si="508"/>
        <v>985.43000000000006</v>
      </c>
      <c r="AQ283" s="6208"/>
      <c r="AR283" s="245"/>
      <c r="AS283" s="6211"/>
      <c r="AT283" s="4456">
        <f t="shared" si="509"/>
        <v>985.43000000000006</v>
      </c>
      <c r="AU283" s="6208"/>
      <c r="AV283" s="245"/>
      <c r="AW283" s="6211"/>
      <c r="AX283" s="4635">
        <f t="shared" si="510"/>
        <v>985.43000000000006</v>
      </c>
      <c r="AY283" s="6208"/>
      <c r="AZ283" s="245"/>
      <c r="BA283" s="6193"/>
      <c r="BB283" s="5136">
        <f t="shared" ref="BB283:BB288" si="541">AR283+AV283+AZ283</f>
        <v>0</v>
      </c>
      <c r="BC283" s="6195"/>
      <c r="BD283" s="5143">
        <f t="shared" si="512"/>
        <v>296.68</v>
      </c>
      <c r="BE283" s="6211"/>
      <c r="BF283" s="5127">
        <f t="shared" si="513"/>
        <v>985.43000000000006</v>
      </c>
      <c r="BG283" s="26"/>
      <c r="BH283" s="26"/>
      <c r="BI283" s="26"/>
      <c r="BJ283" s="26"/>
    </row>
    <row r="284" spans="1:62" ht="20.25" x14ac:dyDescent="0.25">
      <c r="A284" s="235"/>
      <c r="B284" s="2002" t="s">
        <v>922</v>
      </c>
      <c r="C284" s="2385" t="s">
        <v>1314</v>
      </c>
      <c r="D284" s="2385"/>
      <c r="E284" s="6233"/>
      <c r="F284" s="245">
        <v>165.79000000000002</v>
      </c>
      <c r="G284" s="6233"/>
      <c r="H284" s="245">
        <v>129.07999999999998</v>
      </c>
      <c r="I284" s="6227"/>
      <c r="J284" s="2457">
        <f t="shared" si="514"/>
        <v>294.87</v>
      </c>
      <c r="K284" s="6233"/>
      <c r="L284" s="245">
        <v>163.83999999999997</v>
      </c>
      <c r="M284" s="6193"/>
      <c r="N284" s="3568">
        <f t="shared" si="515"/>
        <v>458.71</v>
      </c>
      <c r="O284" s="6233"/>
      <c r="P284" s="245"/>
      <c r="Q284" s="6227"/>
      <c r="R284" s="2457">
        <f t="shared" si="501"/>
        <v>458.71</v>
      </c>
      <c r="S284" s="6233"/>
      <c r="T284" s="245">
        <v>0</v>
      </c>
      <c r="U284" s="6227"/>
      <c r="V284" s="2557">
        <f t="shared" si="502"/>
        <v>458.71</v>
      </c>
      <c r="W284" s="6233"/>
      <c r="X284" s="245"/>
      <c r="Y284" s="6193"/>
      <c r="Z284" s="3568">
        <f t="shared" si="503"/>
        <v>0</v>
      </c>
      <c r="AA284" s="6195"/>
      <c r="AB284" s="3565">
        <f t="shared" si="504"/>
        <v>458.71</v>
      </c>
      <c r="AC284" s="6233"/>
      <c r="AD284" s="245">
        <v>41.33</v>
      </c>
      <c r="AE284" s="6227"/>
      <c r="AF284" s="4050">
        <f t="shared" si="505"/>
        <v>500.03999999999996</v>
      </c>
      <c r="AG284" s="6208"/>
      <c r="AH284" s="245"/>
      <c r="AI284" s="6211"/>
      <c r="AJ284" s="4394">
        <f t="shared" si="506"/>
        <v>500.03999999999996</v>
      </c>
      <c r="AK284" s="6233"/>
      <c r="AL284" s="245">
        <v>465.31</v>
      </c>
      <c r="AM284" s="6193"/>
      <c r="AN284" s="4282">
        <f t="shared" si="507"/>
        <v>506.64</v>
      </c>
      <c r="AO284" s="6227"/>
      <c r="AP284" s="4277">
        <f t="shared" si="508"/>
        <v>965.34999999999991</v>
      </c>
      <c r="AQ284" s="6208"/>
      <c r="AR284" s="245"/>
      <c r="AS284" s="6211"/>
      <c r="AT284" s="4456">
        <f t="shared" si="509"/>
        <v>965.34999999999991</v>
      </c>
      <c r="AU284" s="6208"/>
      <c r="AV284" s="245">
        <v>88.87</v>
      </c>
      <c r="AW284" s="6211"/>
      <c r="AX284" s="4635">
        <f t="shared" si="510"/>
        <v>1054.2199999999998</v>
      </c>
      <c r="AY284" s="6208"/>
      <c r="AZ284" s="245">
        <v>323.93000000000006</v>
      </c>
      <c r="BA284" s="6193"/>
      <c r="BB284" s="5136">
        <f t="shared" si="541"/>
        <v>412.80000000000007</v>
      </c>
      <c r="BC284" s="6195"/>
      <c r="BD284" s="5143">
        <f t="shared" si="512"/>
        <v>919.44</v>
      </c>
      <c r="BE284" s="6211"/>
      <c r="BF284" s="5189">
        <f t="shared" si="513"/>
        <v>1378.1499999999999</v>
      </c>
      <c r="BG284" s="26"/>
      <c r="BH284" s="26"/>
      <c r="BI284" s="26"/>
      <c r="BJ284" s="26"/>
    </row>
    <row r="285" spans="1:62" ht="20.25" x14ac:dyDescent="0.25">
      <c r="A285" s="235"/>
      <c r="B285" s="2002" t="s">
        <v>922</v>
      </c>
      <c r="C285" s="2385" t="s">
        <v>1440</v>
      </c>
      <c r="D285" s="2385"/>
      <c r="E285" s="6233"/>
      <c r="F285" s="245">
        <v>32.4</v>
      </c>
      <c r="G285" s="6233"/>
      <c r="H285" s="245">
        <v>127.66</v>
      </c>
      <c r="I285" s="6227"/>
      <c r="J285" s="2457">
        <f t="shared" si="514"/>
        <v>160.06</v>
      </c>
      <c r="K285" s="6233"/>
      <c r="L285" s="245">
        <v>145.82</v>
      </c>
      <c r="M285" s="6193"/>
      <c r="N285" s="3568">
        <f t="shared" si="515"/>
        <v>305.88</v>
      </c>
      <c r="O285" s="6233"/>
      <c r="P285" s="245"/>
      <c r="Q285" s="6227"/>
      <c r="R285" s="2457">
        <f t="shared" si="501"/>
        <v>305.88</v>
      </c>
      <c r="S285" s="6233"/>
      <c r="T285" s="245">
        <v>0</v>
      </c>
      <c r="U285" s="6227"/>
      <c r="V285" s="2557">
        <f t="shared" si="502"/>
        <v>305.88</v>
      </c>
      <c r="W285" s="6233"/>
      <c r="X285" s="245"/>
      <c r="Y285" s="6193"/>
      <c r="Z285" s="3568">
        <f t="shared" si="503"/>
        <v>0</v>
      </c>
      <c r="AA285" s="6195"/>
      <c r="AB285" s="3565">
        <f t="shared" si="504"/>
        <v>305.88</v>
      </c>
      <c r="AC285" s="6233"/>
      <c r="AD285" s="245"/>
      <c r="AE285" s="6227"/>
      <c r="AF285" s="4050">
        <f t="shared" si="505"/>
        <v>305.88</v>
      </c>
      <c r="AG285" s="6208"/>
      <c r="AH285" s="245"/>
      <c r="AI285" s="6211"/>
      <c r="AJ285" s="4394">
        <f t="shared" si="506"/>
        <v>305.88</v>
      </c>
      <c r="AK285" s="6233"/>
      <c r="AL285" s="245">
        <v>426.9</v>
      </c>
      <c r="AM285" s="6193"/>
      <c r="AN285" s="4282">
        <f t="shared" si="507"/>
        <v>426.9</v>
      </c>
      <c r="AO285" s="6227"/>
      <c r="AP285" s="4277">
        <f t="shared" si="508"/>
        <v>732.78</v>
      </c>
      <c r="AQ285" s="6208"/>
      <c r="AR285" s="245"/>
      <c r="AS285" s="6211"/>
      <c r="AT285" s="4456">
        <f t="shared" si="509"/>
        <v>732.78</v>
      </c>
      <c r="AU285" s="6208"/>
      <c r="AV285" s="245">
        <v>740.38</v>
      </c>
      <c r="AW285" s="6211"/>
      <c r="AX285" s="4635">
        <f t="shared" si="510"/>
        <v>1473.1599999999999</v>
      </c>
      <c r="AY285" s="6208"/>
      <c r="AZ285" s="245">
        <v>463.51999999999992</v>
      </c>
      <c r="BA285" s="6193"/>
      <c r="BB285" s="5136">
        <f t="shared" si="541"/>
        <v>1203.8999999999999</v>
      </c>
      <c r="BC285" s="6195"/>
      <c r="BD285" s="5143">
        <f t="shared" si="512"/>
        <v>1630.7999999999997</v>
      </c>
      <c r="BE285" s="6211"/>
      <c r="BF285" s="5189">
        <f t="shared" si="513"/>
        <v>1936.6799999999998</v>
      </c>
      <c r="BG285" s="26"/>
      <c r="BH285" s="26"/>
      <c r="BI285" s="26"/>
      <c r="BJ285" s="26"/>
    </row>
    <row r="286" spans="1:62" s="4101" customFormat="1" ht="20.25" x14ac:dyDescent="0.25">
      <c r="A286" s="235"/>
      <c r="B286" s="2002" t="s">
        <v>1838</v>
      </c>
      <c r="C286" s="2385" t="s">
        <v>1839</v>
      </c>
      <c r="D286" s="2385"/>
      <c r="E286" s="6233"/>
      <c r="F286" s="245"/>
      <c r="G286" s="6233"/>
      <c r="H286" s="245"/>
      <c r="I286" s="6227"/>
      <c r="J286" s="4098"/>
      <c r="K286" s="6233"/>
      <c r="L286" s="245"/>
      <c r="M286" s="6193"/>
      <c r="N286" s="4100"/>
      <c r="O286" s="6233"/>
      <c r="P286" s="245"/>
      <c r="Q286" s="6227"/>
      <c r="R286" s="4098"/>
      <c r="S286" s="6233"/>
      <c r="T286" s="245"/>
      <c r="U286" s="6227"/>
      <c r="V286" s="4098"/>
      <c r="W286" s="6233"/>
      <c r="X286" s="245"/>
      <c r="Y286" s="6193"/>
      <c r="Z286" s="4100"/>
      <c r="AA286" s="6195"/>
      <c r="AB286" s="4099"/>
      <c r="AC286" s="6233"/>
      <c r="AD286" s="245">
        <v>664.86000000000013</v>
      </c>
      <c r="AE286" s="6227"/>
      <c r="AF286" s="4098">
        <f t="shared" si="505"/>
        <v>664.86000000000013</v>
      </c>
      <c r="AG286" s="6208"/>
      <c r="AH286" s="245">
        <v>216.81</v>
      </c>
      <c r="AI286" s="6211"/>
      <c r="AJ286" s="4394">
        <f t="shared" si="506"/>
        <v>881.67000000000007</v>
      </c>
      <c r="AK286" s="6233"/>
      <c r="AL286" s="245">
        <v>123.86</v>
      </c>
      <c r="AM286" s="6193"/>
      <c r="AN286" s="4282">
        <f t="shared" si="507"/>
        <v>1005.5300000000001</v>
      </c>
      <c r="AO286" s="6227"/>
      <c r="AP286" s="4277">
        <f t="shared" si="508"/>
        <v>1005.5300000000001</v>
      </c>
      <c r="AQ286" s="6208"/>
      <c r="AR286" s="245">
        <v>187.5</v>
      </c>
      <c r="AS286" s="6211"/>
      <c r="AT286" s="4456">
        <f t="shared" si="509"/>
        <v>1193.0300000000002</v>
      </c>
      <c r="AU286" s="6208"/>
      <c r="AV286" s="245"/>
      <c r="AW286" s="6211"/>
      <c r="AX286" s="4635">
        <f t="shared" si="510"/>
        <v>1193.0300000000002</v>
      </c>
      <c r="AY286" s="6208"/>
      <c r="AZ286" s="245"/>
      <c r="BA286" s="6193"/>
      <c r="BB286" s="5136">
        <f t="shared" si="541"/>
        <v>187.5</v>
      </c>
      <c r="BC286" s="6195"/>
      <c r="BD286" s="5143">
        <f t="shared" si="512"/>
        <v>1193.0300000000002</v>
      </c>
      <c r="BE286" s="6211"/>
      <c r="BF286" s="5189">
        <f t="shared" si="513"/>
        <v>1193.0300000000002</v>
      </c>
      <c r="BG286" s="26"/>
      <c r="BH286" s="26"/>
      <c r="BI286" s="26"/>
      <c r="BJ286" s="26"/>
    </row>
    <row r="287" spans="1:62" s="4101" customFormat="1" ht="20.25" x14ac:dyDescent="0.25">
      <c r="A287" s="235"/>
      <c r="B287" s="2002" t="s">
        <v>1838</v>
      </c>
      <c r="C287" s="2385" t="s">
        <v>1904</v>
      </c>
      <c r="D287" s="2385"/>
      <c r="E287" s="6233"/>
      <c r="F287" s="245"/>
      <c r="G287" s="6233"/>
      <c r="H287" s="245"/>
      <c r="I287" s="6227"/>
      <c r="J287" s="4098"/>
      <c r="K287" s="6233"/>
      <c r="L287" s="245"/>
      <c r="M287" s="6193"/>
      <c r="N287" s="4100"/>
      <c r="O287" s="6233"/>
      <c r="P287" s="245"/>
      <c r="Q287" s="6227"/>
      <c r="R287" s="4098"/>
      <c r="S287" s="6233"/>
      <c r="T287" s="245"/>
      <c r="U287" s="6227"/>
      <c r="V287" s="4098"/>
      <c r="W287" s="6233"/>
      <c r="X287" s="245"/>
      <c r="Y287" s="6193"/>
      <c r="Z287" s="4100"/>
      <c r="AA287" s="6195"/>
      <c r="AB287" s="4099"/>
      <c r="AC287" s="6233"/>
      <c r="AD287" s="245"/>
      <c r="AE287" s="6227"/>
      <c r="AF287" s="4349">
        <f t="shared" si="505"/>
        <v>0</v>
      </c>
      <c r="AG287" s="6208"/>
      <c r="AH287" s="245">
        <v>519.39</v>
      </c>
      <c r="AI287" s="6211"/>
      <c r="AJ287" s="4394">
        <f t="shared" si="506"/>
        <v>519.39</v>
      </c>
      <c r="AK287" s="6233"/>
      <c r="AL287" s="245">
        <v>129.86000000000001</v>
      </c>
      <c r="AM287" s="6193"/>
      <c r="AN287" s="4282">
        <f t="shared" si="507"/>
        <v>649.25</v>
      </c>
      <c r="AO287" s="6227"/>
      <c r="AP287" s="4277">
        <f t="shared" si="508"/>
        <v>649.25</v>
      </c>
      <c r="AQ287" s="6208"/>
      <c r="AR287" s="245"/>
      <c r="AS287" s="6211"/>
      <c r="AT287" s="4456">
        <f t="shared" si="509"/>
        <v>649.25</v>
      </c>
      <c r="AU287" s="6208"/>
      <c r="AV287" s="245"/>
      <c r="AW287" s="6211"/>
      <c r="AX287" s="4635">
        <f t="shared" si="510"/>
        <v>649.25</v>
      </c>
      <c r="AY287" s="6208"/>
      <c r="AZ287" s="245"/>
      <c r="BA287" s="6193"/>
      <c r="BB287" s="5136">
        <f t="shared" si="541"/>
        <v>0</v>
      </c>
      <c r="BC287" s="6195"/>
      <c r="BD287" s="5143">
        <f t="shared" si="512"/>
        <v>649.25</v>
      </c>
      <c r="BE287" s="6211"/>
      <c r="BF287" s="5189">
        <f t="shared" si="513"/>
        <v>649.25</v>
      </c>
      <c r="BG287" s="26"/>
      <c r="BH287" s="26"/>
      <c r="BI287" s="26"/>
      <c r="BJ287" s="26"/>
    </row>
    <row r="288" spans="1:62" s="4101" customFormat="1" ht="20.25" x14ac:dyDescent="0.25">
      <c r="A288" s="235"/>
      <c r="B288" s="2002" t="s">
        <v>1838</v>
      </c>
      <c r="C288" s="2385" t="s">
        <v>1903</v>
      </c>
      <c r="D288" s="2385"/>
      <c r="E288" s="6233"/>
      <c r="F288" s="245"/>
      <c r="G288" s="6233"/>
      <c r="H288" s="245"/>
      <c r="I288" s="6227"/>
      <c r="J288" s="4098"/>
      <c r="K288" s="6233"/>
      <c r="L288" s="245"/>
      <c r="M288" s="6193"/>
      <c r="N288" s="4100"/>
      <c r="O288" s="6233"/>
      <c r="P288" s="245"/>
      <c r="Q288" s="6227"/>
      <c r="R288" s="4098"/>
      <c r="S288" s="6233"/>
      <c r="T288" s="245"/>
      <c r="U288" s="6227"/>
      <c r="V288" s="4098"/>
      <c r="W288" s="6233"/>
      <c r="X288" s="245"/>
      <c r="Y288" s="6193"/>
      <c r="Z288" s="4100"/>
      <c r="AA288" s="6195"/>
      <c r="AB288" s="4099"/>
      <c r="AC288" s="6233"/>
      <c r="AD288" s="245"/>
      <c r="AE288" s="6227"/>
      <c r="AF288" s="4349">
        <f t="shared" si="505"/>
        <v>0</v>
      </c>
      <c r="AG288" s="6208"/>
      <c r="AH288" s="245"/>
      <c r="AI288" s="6211"/>
      <c r="AJ288" s="4394">
        <f t="shared" si="506"/>
        <v>0</v>
      </c>
      <c r="AK288" s="6233"/>
      <c r="AL288" s="245">
        <v>294.04000000000002</v>
      </c>
      <c r="AM288" s="6193"/>
      <c r="AN288" s="4282">
        <f t="shared" si="507"/>
        <v>294.04000000000002</v>
      </c>
      <c r="AO288" s="6227"/>
      <c r="AP288" s="4277">
        <f t="shared" si="508"/>
        <v>294.04000000000002</v>
      </c>
      <c r="AQ288" s="6208"/>
      <c r="AR288" s="245"/>
      <c r="AS288" s="6211"/>
      <c r="AT288" s="4456">
        <f t="shared" si="509"/>
        <v>294.04000000000002</v>
      </c>
      <c r="AU288" s="6208"/>
      <c r="AV288" s="245"/>
      <c r="AW288" s="6211"/>
      <c r="AX288" s="4635">
        <f t="shared" si="510"/>
        <v>294.04000000000002</v>
      </c>
      <c r="AY288" s="6208"/>
      <c r="AZ288" s="245"/>
      <c r="BA288" s="6193"/>
      <c r="BB288" s="5136">
        <f t="shared" si="541"/>
        <v>0</v>
      </c>
      <c r="BC288" s="6195"/>
      <c r="BD288" s="5143">
        <f t="shared" si="512"/>
        <v>294.04000000000002</v>
      </c>
      <c r="BE288" s="6211"/>
      <c r="BF288" s="5189">
        <f t="shared" si="513"/>
        <v>294.04000000000002</v>
      </c>
      <c r="BG288" s="26"/>
      <c r="BH288" s="26"/>
      <c r="BI288" s="26"/>
      <c r="BJ288" s="26"/>
    </row>
    <row r="289" spans="1:62" ht="20.25" x14ac:dyDescent="0.25">
      <c r="A289" s="1892"/>
      <c r="B289" s="2002" t="s">
        <v>1500</v>
      </c>
      <c r="C289" s="1523" t="s">
        <v>937</v>
      </c>
      <c r="D289" s="2385"/>
      <c r="E289" s="6233"/>
      <c r="F289" s="245">
        <v>568.3599999999999</v>
      </c>
      <c r="G289" s="6233"/>
      <c r="H289" s="245">
        <v>1888.6399999999999</v>
      </c>
      <c r="I289" s="6227"/>
      <c r="J289" s="2457">
        <f t="shared" si="514"/>
        <v>2457</v>
      </c>
      <c r="K289" s="6233"/>
      <c r="L289" s="245">
        <v>1914.0200000000002</v>
      </c>
      <c r="M289" s="6193"/>
      <c r="N289" s="3568">
        <f t="shared" si="515"/>
        <v>4371.0200000000004</v>
      </c>
      <c r="O289" s="6233"/>
      <c r="P289" s="245">
        <v>2558.4299999999998</v>
      </c>
      <c r="Q289" s="6227"/>
      <c r="R289" s="2457">
        <f t="shared" si="501"/>
        <v>6929.4500000000007</v>
      </c>
      <c r="S289" s="6233"/>
      <c r="T289" s="245">
        <f>3452.86+1764.61</f>
        <v>5217.47</v>
      </c>
      <c r="U289" s="6227"/>
      <c r="V289" s="2557">
        <f t="shared" si="502"/>
        <v>12146.920000000002</v>
      </c>
      <c r="W289" s="6233"/>
      <c r="X289" s="245">
        <f>3077.54+41.6</f>
        <v>3119.14</v>
      </c>
      <c r="Y289" s="6193"/>
      <c r="Z289" s="3568">
        <f t="shared" si="503"/>
        <v>10895.039999999999</v>
      </c>
      <c r="AA289" s="6195"/>
      <c r="AB289" s="3565">
        <f t="shared" si="504"/>
        <v>15266.06</v>
      </c>
      <c r="AC289" s="6233"/>
      <c r="AD289" s="245">
        <v>3415.6099999999997</v>
      </c>
      <c r="AE289" s="6227"/>
      <c r="AF289" s="4349">
        <f t="shared" si="505"/>
        <v>18681.669999999998</v>
      </c>
      <c r="AG289" s="6208"/>
      <c r="AH289" s="245">
        <v>192.86</v>
      </c>
      <c r="AI289" s="6211"/>
      <c r="AJ289" s="4394">
        <f t="shared" ref="AJ289:AJ310" si="542">AF289+AH289</f>
        <v>18874.53</v>
      </c>
      <c r="AK289" s="6233"/>
      <c r="AL289" s="245">
        <v>2475.1799999999998</v>
      </c>
      <c r="AM289" s="6193"/>
      <c r="AN289" s="4282">
        <f t="shared" si="507"/>
        <v>6083.65</v>
      </c>
      <c r="AO289" s="6227"/>
      <c r="AP289" s="4277">
        <f t="shared" si="508"/>
        <v>21349.71</v>
      </c>
      <c r="AQ289" s="6208"/>
      <c r="AR289" s="245">
        <v>321.33</v>
      </c>
      <c r="AS289" s="6211"/>
      <c r="AT289" s="4456">
        <f t="shared" si="509"/>
        <v>21671.040000000001</v>
      </c>
      <c r="AU289" s="6208"/>
      <c r="AV289" s="245">
        <v>1954.52</v>
      </c>
      <c r="AW289" s="6211"/>
      <c r="AX289" s="4635">
        <f t="shared" si="510"/>
        <v>23625.56</v>
      </c>
      <c r="AY289" s="6208"/>
      <c r="AZ289" s="245">
        <v>1704.76</v>
      </c>
      <c r="BA289" s="6193"/>
      <c r="BB289" s="5136">
        <f t="shared" ref="BB289:BB300" si="543">AR289+AV289+AZ289</f>
        <v>3980.6099999999997</v>
      </c>
      <c r="BC289" s="6195"/>
      <c r="BD289" s="5143">
        <f t="shared" si="512"/>
        <v>10064.259999999998</v>
      </c>
      <c r="BE289" s="6211"/>
      <c r="BF289" s="5189">
        <f t="shared" si="513"/>
        <v>25330.32</v>
      </c>
      <c r="BG289" s="26"/>
      <c r="BH289" s="26"/>
      <c r="BI289" s="26"/>
      <c r="BJ289" s="26"/>
    </row>
    <row r="290" spans="1:62" s="5192" customFormat="1" ht="20.25" x14ac:dyDescent="0.25">
      <c r="A290" s="1892"/>
      <c r="B290" s="4748" t="s">
        <v>1500</v>
      </c>
      <c r="C290" s="4961" t="s">
        <v>936</v>
      </c>
      <c r="D290" s="4714"/>
      <c r="E290" s="6234"/>
      <c r="F290" s="4749"/>
      <c r="G290" s="6234"/>
      <c r="H290" s="4749"/>
      <c r="I290" s="6228"/>
      <c r="J290" s="4750"/>
      <c r="K290" s="6234"/>
      <c r="L290" s="4749"/>
      <c r="M290" s="6194"/>
      <c r="N290" s="4751"/>
      <c r="O290" s="6234"/>
      <c r="P290" s="4749"/>
      <c r="Q290" s="6228"/>
      <c r="R290" s="4750"/>
      <c r="S290" s="6234"/>
      <c r="T290" s="4749"/>
      <c r="U290" s="6228"/>
      <c r="V290" s="4750"/>
      <c r="W290" s="6234"/>
      <c r="X290" s="4749"/>
      <c r="Y290" s="6194"/>
      <c r="Z290" s="4751"/>
      <c r="AA290" s="6196"/>
      <c r="AB290" s="4752"/>
      <c r="AC290" s="6234"/>
      <c r="AD290" s="4749"/>
      <c r="AE290" s="6228"/>
      <c r="AF290" s="4750"/>
      <c r="AG290" s="6208"/>
      <c r="AH290" s="4749"/>
      <c r="AI290" s="6211"/>
      <c r="AJ290" s="4750"/>
      <c r="AK290" s="6234"/>
      <c r="AL290" s="4749"/>
      <c r="AM290" s="6194"/>
      <c r="AN290" s="4751"/>
      <c r="AO290" s="6228"/>
      <c r="AP290" s="4750"/>
      <c r="AQ290" s="6208"/>
      <c r="AR290" s="4749"/>
      <c r="AS290" s="6211"/>
      <c r="AT290" s="4750"/>
      <c r="AU290" s="6208"/>
      <c r="AV290" s="4749"/>
      <c r="AW290" s="6211"/>
      <c r="AX290" s="5189">
        <f t="shared" si="510"/>
        <v>0</v>
      </c>
      <c r="AY290" s="6208"/>
      <c r="AZ290" s="4749">
        <v>177.26</v>
      </c>
      <c r="BA290" s="6194"/>
      <c r="BB290" s="5186">
        <f t="shared" si="543"/>
        <v>177.26</v>
      </c>
      <c r="BC290" s="6196"/>
      <c r="BD290" s="5187">
        <f t="shared" si="512"/>
        <v>177.26</v>
      </c>
      <c r="BE290" s="6211"/>
      <c r="BF290" s="5189">
        <f t="shared" si="513"/>
        <v>177.26</v>
      </c>
      <c r="BG290" s="26"/>
      <c r="BH290" s="26"/>
      <c r="BI290" s="26"/>
      <c r="BJ290" s="26"/>
    </row>
    <row r="291" spans="1:62" ht="21.2" customHeight="1" x14ac:dyDescent="0.25">
      <c r="A291" s="188"/>
      <c r="B291" s="2002" t="s">
        <v>987</v>
      </c>
      <c r="C291" s="1523" t="s">
        <v>937</v>
      </c>
      <c r="D291" s="2385"/>
      <c r="E291" s="6233"/>
      <c r="F291" s="245">
        <v>2452.2200000000003</v>
      </c>
      <c r="G291" s="6233"/>
      <c r="H291" s="245"/>
      <c r="I291" s="6227"/>
      <c r="J291" s="2457">
        <f t="shared" si="514"/>
        <v>2452.2200000000003</v>
      </c>
      <c r="K291" s="6233"/>
      <c r="L291" s="245"/>
      <c r="M291" s="6193"/>
      <c r="N291" s="3568">
        <f t="shared" si="515"/>
        <v>2452.2200000000003</v>
      </c>
      <c r="O291" s="6233"/>
      <c r="P291" s="245"/>
      <c r="Q291" s="6227"/>
      <c r="R291" s="2457">
        <f t="shared" si="501"/>
        <v>2452.2200000000003</v>
      </c>
      <c r="S291" s="6233"/>
      <c r="T291" s="245">
        <v>0</v>
      </c>
      <c r="U291" s="6227"/>
      <c r="V291" s="2557">
        <f t="shared" si="502"/>
        <v>2452.2200000000003</v>
      </c>
      <c r="W291" s="6233"/>
      <c r="X291" s="245"/>
      <c r="Y291" s="6193"/>
      <c r="Z291" s="3568">
        <f t="shared" si="503"/>
        <v>0</v>
      </c>
      <c r="AA291" s="6195"/>
      <c r="AB291" s="3565">
        <f t="shared" si="504"/>
        <v>2452.2200000000003</v>
      </c>
      <c r="AC291" s="6233"/>
      <c r="AD291" s="245"/>
      <c r="AE291" s="6227"/>
      <c r="AF291" s="4349">
        <f t="shared" si="505"/>
        <v>2452.2200000000003</v>
      </c>
      <c r="AG291" s="6208"/>
      <c r="AH291" s="245"/>
      <c r="AI291" s="6211"/>
      <c r="AJ291" s="4394">
        <f t="shared" si="542"/>
        <v>2452.2200000000003</v>
      </c>
      <c r="AK291" s="6233"/>
      <c r="AL291" s="245"/>
      <c r="AM291" s="6193"/>
      <c r="AN291" s="4282">
        <f t="shared" si="507"/>
        <v>0</v>
      </c>
      <c r="AO291" s="6227"/>
      <c r="AP291" s="4277">
        <f t="shared" si="508"/>
        <v>2452.2200000000003</v>
      </c>
      <c r="AQ291" s="6208"/>
      <c r="AR291" s="245"/>
      <c r="AS291" s="6211"/>
      <c r="AT291" s="4456">
        <f t="shared" si="509"/>
        <v>2452.2200000000003</v>
      </c>
      <c r="AU291" s="6208"/>
      <c r="AV291" s="245"/>
      <c r="AW291" s="6211"/>
      <c r="AX291" s="5189">
        <f t="shared" si="510"/>
        <v>2452.2200000000003</v>
      </c>
      <c r="AY291" s="6208"/>
      <c r="AZ291" s="245"/>
      <c r="BA291" s="6193"/>
      <c r="BB291" s="5186">
        <f t="shared" si="543"/>
        <v>0</v>
      </c>
      <c r="BC291" s="6195"/>
      <c r="BD291" s="5187">
        <f t="shared" si="512"/>
        <v>0</v>
      </c>
      <c r="BE291" s="6211"/>
      <c r="BF291" s="5189">
        <f t="shared" si="513"/>
        <v>2452.2200000000003</v>
      </c>
      <c r="BG291" s="26"/>
      <c r="BH291" s="26"/>
      <c r="BI291" s="26"/>
      <c r="BJ291" s="26"/>
    </row>
    <row r="292" spans="1:62" ht="20.25" x14ac:dyDescent="0.25">
      <c r="A292" s="188"/>
      <c r="B292" s="2002" t="s">
        <v>987</v>
      </c>
      <c r="C292" s="1523" t="s">
        <v>1501</v>
      </c>
      <c r="D292" s="2385"/>
      <c r="E292" s="6233"/>
      <c r="F292" s="245">
        <v>317.40000000000003</v>
      </c>
      <c r="G292" s="6233"/>
      <c r="H292" s="245"/>
      <c r="I292" s="6227"/>
      <c r="J292" s="2457">
        <f t="shared" si="514"/>
        <v>317.40000000000003</v>
      </c>
      <c r="K292" s="6233"/>
      <c r="L292" s="245"/>
      <c r="M292" s="6193"/>
      <c r="N292" s="3568">
        <f t="shared" si="515"/>
        <v>317.40000000000003</v>
      </c>
      <c r="O292" s="6233"/>
      <c r="P292" s="245"/>
      <c r="Q292" s="6227"/>
      <c r="R292" s="2457">
        <f t="shared" si="501"/>
        <v>317.40000000000003</v>
      </c>
      <c r="S292" s="6233"/>
      <c r="T292" s="245">
        <v>0</v>
      </c>
      <c r="U292" s="6227"/>
      <c r="V292" s="2557">
        <f t="shared" si="502"/>
        <v>317.40000000000003</v>
      </c>
      <c r="W292" s="6233"/>
      <c r="X292" s="245"/>
      <c r="Y292" s="6193"/>
      <c r="Z292" s="3568">
        <f t="shared" si="503"/>
        <v>0</v>
      </c>
      <c r="AA292" s="6195"/>
      <c r="AB292" s="3565">
        <f t="shared" si="504"/>
        <v>317.40000000000003</v>
      </c>
      <c r="AC292" s="6233"/>
      <c r="AD292" s="245"/>
      <c r="AE292" s="6227"/>
      <c r="AF292" s="4349">
        <f t="shared" si="505"/>
        <v>317.40000000000003</v>
      </c>
      <c r="AG292" s="6208"/>
      <c r="AH292" s="245"/>
      <c r="AI292" s="6211"/>
      <c r="AJ292" s="4394">
        <f t="shared" si="542"/>
        <v>317.40000000000003</v>
      </c>
      <c r="AK292" s="6233"/>
      <c r="AL292" s="245"/>
      <c r="AM292" s="6193"/>
      <c r="AN292" s="4282">
        <f t="shared" si="507"/>
        <v>0</v>
      </c>
      <c r="AO292" s="6227"/>
      <c r="AP292" s="4277">
        <f t="shared" si="508"/>
        <v>317.40000000000003</v>
      </c>
      <c r="AQ292" s="6208"/>
      <c r="AR292" s="245"/>
      <c r="AS292" s="6211"/>
      <c r="AT292" s="4456">
        <f t="shared" si="509"/>
        <v>317.40000000000003</v>
      </c>
      <c r="AU292" s="6208"/>
      <c r="AV292" s="245"/>
      <c r="AW292" s="6211"/>
      <c r="AX292" s="4635">
        <f t="shared" si="510"/>
        <v>317.40000000000003</v>
      </c>
      <c r="AY292" s="6208"/>
      <c r="AZ292" s="245"/>
      <c r="BA292" s="6193"/>
      <c r="BB292" s="5136">
        <f t="shared" si="543"/>
        <v>0</v>
      </c>
      <c r="BC292" s="6195"/>
      <c r="BD292" s="5143">
        <f t="shared" si="512"/>
        <v>0</v>
      </c>
      <c r="BE292" s="6211"/>
      <c r="BF292" s="5189">
        <f t="shared" si="513"/>
        <v>317.40000000000003</v>
      </c>
      <c r="BG292" s="26"/>
      <c r="BH292" s="26"/>
      <c r="BI292" s="26"/>
      <c r="BJ292" s="26"/>
    </row>
    <row r="293" spans="1:62" ht="20.25" x14ac:dyDescent="0.25">
      <c r="A293" s="188"/>
      <c r="B293" s="2002" t="s">
        <v>1125</v>
      </c>
      <c r="C293" s="1523" t="s">
        <v>936</v>
      </c>
      <c r="D293" s="2385"/>
      <c r="E293" s="6233"/>
      <c r="F293" s="245"/>
      <c r="G293" s="6233"/>
      <c r="H293" s="245">
        <v>191.88</v>
      </c>
      <c r="I293" s="6227"/>
      <c r="J293" s="2457">
        <f t="shared" si="514"/>
        <v>191.88</v>
      </c>
      <c r="K293" s="6233"/>
      <c r="L293" s="245"/>
      <c r="M293" s="6193"/>
      <c r="N293" s="3568">
        <f t="shared" si="515"/>
        <v>191.88</v>
      </c>
      <c r="O293" s="6233"/>
      <c r="P293" s="245"/>
      <c r="Q293" s="6227"/>
      <c r="R293" s="2457">
        <f t="shared" si="501"/>
        <v>191.88</v>
      </c>
      <c r="S293" s="6233"/>
      <c r="T293" s="245">
        <v>0</v>
      </c>
      <c r="U293" s="6227"/>
      <c r="V293" s="2557">
        <f t="shared" si="502"/>
        <v>191.88</v>
      </c>
      <c r="W293" s="6233"/>
      <c r="X293" s="245"/>
      <c r="Y293" s="6193"/>
      <c r="Z293" s="3568">
        <f t="shared" si="503"/>
        <v>0</v>
      </c>
      <c r="AA293" s="6195"/>
      <c r="AB293" s="3565">
        <f t="shared" si="504"/>
        <v>191.88</v>
      </c>
      <c r="AC293" s="6233"/>
      <c r="AD293" s="245"/>
      <c r="AE293" s="6227"/>
      <c r="AF293" s="4349">
        <f t="shared" si="505"/>
        <v>191.88</v>
      </c>
      <c r="AG293" s="6208"/>
      <c r="AH293" s="245"/>
      <c r="AI293" s="6211"/>
      <c r="AJ293" s="4394">
        <f t="shared" si="542"/>
        <v>191.88</v>
      </c>
      <c r="AK293" s="6233"/>
      <c r="AL293" s="245"/>
      <c r="AM293" s="6193"/>
      <c r="AN293" s="4282">
        <f t="shared" si="507"/>
        <v>0</v>
      </c>
      <c r="AO293" s="6227"/>
      <c r="AP293" s="4277">
        <f t="shared" si="508"/>
        <v>191.88</v>
      </c>
      <c r="AQ293" s="6208"/>
      <c r="AR293" s="245">
        <v>190.34</v>
      </c>
      <c r="AS293" s="6211"/>
      <c r="AT293" s="4456">
        <f t="shared" si="509"/>
        <v>382.22</v>
      </c>
      <c r="AU293" s="6208"/>
      <c r="AV293" s="245">
        <v>189.82</v>
      </c>
      <c r="AW293" s="6211"/>
      <c r="AX293" s="4635">
        <f t="shared" si="510"/>
        <v>572.04</v>
      </c>
      <c r="AY293" s="6208"/>
      <c r="AZ293" s="245"/>
      <c r="BA293" s="6193"/>
      <c r="BB293" s="5136">
        <f t="shared" si="543"/>
        <v>380.15999999999997</v>
      </c>
      <c r="BC293" s="6195"/>
      <c r="BD293" s="5143">
        <f t="shared" si="512"/>
        <v>380.15999999999997</v>
      </c>
      <c r="BE293" s="6211"/>
      <c r="BF293" s="5189">
        <f t="shared" si="513"/>
        <v>572.04</v>
      </c>
      <c r="BG293" s="26"/>
      <c r="BH293" s="26"/>
      <c r="BI293" s="26"/>
      <c r="BJ293" s="26"/>
    </row>
    <row r="294" spans="1:62" ht="20.25" customHeight="1" x14ac:dyDescent="0.25">
      <c r="A294" s="1893"/>
      <c r="B294" s="2002" t="s">
        <v>1125</v>
      </c>
      <c r="C294" s="1523" t="s">
        <v>937</v>
      </c>
      <c r="D294" s="2385"/>
      <c r="E294" s="6233"/>
      <c r="F294" s="245">
        <v>2414.3000000000002</v>
      </c>
      <c r="G294" s="6233"/>
      <c r="H294" s="245">
        <v>5239.9799999999987</v>
      </c>
      <c r="I294" s="6227"/>
      <c r="J294" s="2457">
        <f t="shared" si="514"/>
        <v>7654.2799999999988</v>
      </c>
      <c r="K294" s="6233"/>
      <c r="L294" s="245"/>
      <c r="M294" s="6193"/>
      <c r="N294" s="3568">
        <f t="shared" si="515"/>
        <v>7654.2799999999988</v>
      </c>
      <c r="O294" s="6233"/>
      <c r="P294" s="245">
        <v>4747.67</v>
      </c>
      <c r="Q294" s="6227"/>
      <c r="R294" s="2457">
        <f t="shared" si="501"/>
        <v>12401.949999999999</v>
      </c>
      <c r="S294" s="6233"/>
      <c r="T294" s="245">
        <f>2014.8+194.82</f>
        <v>2209.62</v>
      </c>
      <c r="U294" s="6227"/>
      <c r="V294" s="2557">
        <f t="shared" si="502"/>
        <v>14611.57</v>
      </c>
      <c r="W294" s="6233"/>
      <c r="X294" s="245">
        <v>6142.0299999999988</v>
      </c>
      <c r="Y294" s="6193"/>
      <c r="Z294" s="3568">
        <f t="shared" si="503"/>
        <v>13099.32</v>
      </c>
      <c r="AA294" s="6195"/>
      <c r="AB294" s="3565">
        <f t="shared" si="504"/>
        <v>20753.599999999999</v>
      </c>
      <c r="AC294" s="6233"/>
      <c r="AD294" s="245">
        <v>2835.5199999999995</v>
      </c>
      <c r="AE294" s="6227"/>
      <c r="AF294" s="4050">
        <f t="shared" si="505"/>
        <v>23589.119999999999</v>
      </c>
      <c r="AG294" s="6208"/>
      <c r="AH294" s="245">
        <v>4407.4500000000007</v>
      </c>
      <c r="AI294" s="6211"/>
      <c r="AJ294" s="4394">
        <f t="shared" si="542"/>
        <v>27996.57</v>
      </c>
      <c r="AK294" s="6233"/>
      <c r="AL294" s="245">
        <v>8876.1400000000012</v>
      </c>
      <c r="AM294" s="6193"/>
      <c r="AN294" s="4282">
        <f t="shared" si="507"/>
        <v>16119.11</v>
      </c>
      <c r="AO294" s="6227"/>
      <c r="AP294" s="4277">
        <f t="shared" si="508"/>
        <v>36872.71</v>
      </c>
      <c r="AQ294" s="6208"/>
      <c r="AR294" s="245">
        <v>6431.4000000000005</v>
      </c>
      <c r="AS294" s="6211"/>
      <c r="AT294" s="4456">
        <f t="shared" si="509"/>
        <v>43304.11</v>
      </c>
      <c r="AU294" s="6208"/>
      <c r="AV294" s="245">
        <v>5908.67</v>
      </c>
      <c r="AW294" s="6211"/>
      <c r="AX294" s="4635">
        <f t="shared" si="510"/>
        <v>49212.78</v>
      </c>
      <c r="AY294" s="6208"/>
      <c r="AZ294" s="245">
        <v>4542.84</v>
      </c>
      <c r="BA294" s="6193"/>
      <c r="BB294" s="5136">
        <f t="shared" si="543"/>
        <v>16882.91</v>
      </c>
      <c r="BC294" s="6195"/>
      <c r="BD294" s="5143">
        <f t="shared" si="512"/>
        <v>33002.020000000004</v>
      </c>
      <c r="BE294" s="6211"/>
      <c r="BF294" s="5127">
        <f t="shared" si="513"/>
        <v>53755.619999999995</v>
      </c>
      <c r="BG294" s="26"/>
      <c r="BH294" s="26"/>
      <c r="BI294" s="26"/>
      <c r="BJ294" s="26"/>
    </row>
    <row r="295" spans="1:62" ht="20.25" customHeight="1" x14ac:dyDescent="0.25">
      <c r="A295" s="1893"/>
      <c r="B295" s="2002" t="s">
        <v>1125</v>
      </c>
      <c r="C295" s="1523" t="s">
        <v>1815</v>
      </c>
      <c r="D295" s="2385"/>
      <c r="E295" s="6233"/>
      <c r="F295" s="245"/>
      <c r="G295" s="6233"/>
      <c r="H295" s="245"/>
      <c r="I295" s="6227"/>
      <c r="J295" s="3408"/>
      <c r="K295" s="6233"/>
      <c r="L295" s="245"/>
      <c r="M295" s="6193"/>
      <c r="N295" s="3568">
        <f t="shared" si="515"/>
        <v>0</v>
      </c>
      <c r="O295" s="6233"/>
      <c r="P295" s="245"/>
      <c r="Q295" s="6227"/>
      <c r="R295" s="3408"/>
      <c r="S295" s="6233"/>
      <c r="T295" s="245"/>
      <c r="U295" s="6227"/>
      <c r="V295" s="3408">
        <f t="shared" si="502"/>
        <v>0</v>
      </c>
      <c r="W295" s="6233"/>
      <c r="X295" s="245">
        <v>160.57999999999998</v>
      </c>
      <c r="Y295" s="6193"/>
      <c r="Z295" s="3568">
        <f t="shared" si="503"/>
        <v>160.57999999999998</v>
      </c>
      <c r="AA295" s="6195"/>
      <c r="AB295" s="3565">
        <f t="shared" si="504"/>
        <v>160.57999999999998</v>
      </c>
      <c r="AC295" s="6233"/>
      <c r="AD295" s="245">
        <v>410.29999999999995</v>
      </c>
      <c r="AE295" s="6227"/>
      <c r="AF295" s="4050">
        <f t="shared" si="505"/>
        <v>570.87999999999988</v>
      </c>
      <c r="AG295" s="6208"/>
      <c r="AH295" s="245"/>
      <c r="AI295" s="6211"/>
      <c r="AJ295" s="4394">
        <f t="shared" si="542"/>
        <v>570.87999999999988</v>
      </c>
      <c r="AK295" s="6233"/>
      <c r="AL295" s="245">
        <v>379.97999999999996</v>
      </c>
      <c r="AM295" s="6193"/>
      <c r="AN295" s="4282">
        <f t="shared" si="507"/>
        <v>790.28</v>
      </c>
      <c r="AO295" s="6227"/>
      <c r="AP295" s="4277">
        <f t="shared" si="508"/>
        <v>950.8599999999999</v>
      </c>
      <c r="AQ295" s="6208"/>
      <c r="AR295" s="245"/>
      <c r="AS295" s="6211"/>
      <c r="AT295" s="4456">
        <f t="shared" si="509"/>
        <v>950.8599999999999</v>
      </c>
      <c r="AU295" s="6208"/>
      <c r="AV295" s="245">
        <v>622.29999999999995</v>
      </c>
      <c r="AW295" s="6211"/>
      <c r="AX295" s="4635">
        <f t="shared" si="510"/>
        <v>1573.1599999999999</v>
      </c>
      <c r="AY295" s="6208"/>
      <c r="AZ295" s="245">
        <v>627.50000000000011</v>
      </c>
      <c r="BA295" s="6193"/>
      <c r="BB295" s="5136">
        <f t="shared" si="543"/>
        <v>1249.8000000000002</v>
      </c>
      <c r="BC295" s="6195"/>
      <c r="BD295" s="5143">
        <f t="shared" si="512"/>
        <v>2040.0800000000002</v>
      </c>
      <c r="BE295" s="6211"/>
      <c r="BF295" s="5127">
        <f t="shared" si="513"/>
        <v>2200.66</v>
      </c>
      <c r="BG295" s="26"/>
      <c r="BH295" s="26"/>
      <c r="BI295" s="26"/>
      <c r="BJ295" s="26"/>
    </row>
    <row r="296" spans="1:62" ht="20.25" customHeight="1" x14ac:dyDescent="0.25">
      <c r="A296" s="188"/>
      <c r="B296" s="2002" t="s">
        <v>923</v>
      </c>
      <c r="C296" s="2385" t="s">
        <v>937</v>
      </c>
      <c r="D296" s="2385"/>
      <c r="E296" s="6233"/>
      <c r="F296" s="245">
        <v>577.29999999999995</v>
      </c>
      <c r="G296" s="6233"/>
      <c r="H296" s="245">
        <v>602.06000000000006</v>
      </c>
      <c r="I296" s="6227"/>
      <c r="J296" s="2457">
        <f t="shared" si="514"/>
        <v>1179.3600000000001</v>
      </c>
      <c r="K296" s="6233"/>
      <c r="L296" s="245"/>
      <c r="M296" s="6193"/>
      <c r="N296" s="3568">
        <f t="shared" si="515"/>
        <v>1179.3600000000001</v>
      </c>
      <c r="O296" s="6233"/>
      <c r="P296" s="245"/>
      <c r="Q296" s="6227"/>
      <c r="R296" s="2457">
        <f t="shared" ref="R296:R299" si="544">N296+P296</f>
        <v>1179.3600000000001</v>
      </c>
      <c r="S296" s="6233"/>
      <c r="T296" s="245">
        <v>0</v>
      </c>
      <c r="U296" s="6227"/>
      <c r="V296" s="2557">
        <f t="shared" si="502"/>
        <v>1179.3600000000001</v>
      </c>
      <c r="W296" s="6233"/>
      <c r="X296" s="245">
        <v>262.7</v>
      </c>
      <c r="Y296" s="6193"/>
      <c r="Z296" s="3568">
        <f t="shared" si="503"/>
        <v>262.7</v>
      </c>
      <c r="AA296" s="6195"/>
      <c r="AB296" s="3565">
        <f t="shared" si="504"/>
        <v>1442.0600000000002</v>
      </c>
      <c r="AC296" s="6233"/>
      <c r="AD296" s="245">
        <v>1132.9299999999996</v>
      </c>
      <c r="AE296" s="6227"/>
      <c r="AF296" s="4050">
        <f t="shared" si="505"/>
        <v>2574.9899999999998</v>
      </c>
      <c r="AG296" s="6208"/>
      <c r="AH296" s="245"/>
      <c r="AI296" s="6211"/>
      <c r="AJ296" s="4394">
        <f t="shared" si="542"/>
        <v>2574.9899999999998</v>
      </c>
      <c r="AK296" s="6233"/>
      <c r="AL296" s="245">
        <v>188.37</v>
      </c>
      <c r="AM296" s="6193"/>
      <c r="AN296" s="4282">
        <f t="shared" si="507"/>
        <v>1321.2999999999997</v>
      </c>
      <c r="AO296" s="6227"/>
      <c r="AP296" s="4277">
        <f t="shared" si="508"/>
        <v>2763.3599999999997</v>
      </c>
      <c r="AQ296" s="6208"/>
      <c r="AR296" s="245"/>
      <c r="AS296" s="6211"/>
      <c r="AT296" s="4456">
        <f t="shared" si="509"/>
        <v>2763.3599999999997</v>
      </c>
      <c r="AU296" s="6208"/>
      <c r="AV296" s="245"/>
      <c r="AW296" s="6211"/>
      <c r="AX296" s="4635">
        <f t="shared" si="510"/>
        <v>2763.3599999999997</v>
      </c>
      <c r="AY296" s="6208"/>
      <c r="AZ296" s="245"/>
      <c r="BA296" s="6193"/>
      <c r="BB296" s="5136">
        <f t="shared" si="543"/>
        <v>0</v>
      </c>
      <c r="BC296" s="6195"/>
      <c r="BD296" s="5143">
        <f t="shared" si="512"/>
        <v>1321.2999999999997</v>
      </c>
      <c r="BE296" s="6211"/>
      <c r="BF296" s="5127">
        <f t="shared" si="513"/>
        <v>2763.3599999999997</v>
      </c>
      <c r="BG296" s="26"/>
      <c r="BH296" s="26"/>
      <c r="BI296" s="26"/>
      <c r="BJ296" s="26"/>
    </row>
    <row r="297" spans="1:62" ht="20.25" customHeight="1" x14ac:dyDescent="0.25">
      <c r="A297" s="188"/>
      <c r="B297" s="2002" t="s">
        <v>1749</v>
      </c>
      <c r="C297" s="2385" t="s">
        <v>937</v>
      </c>
      <c r="D297" s="2385"/>
      <c r="E297" s="6233"/>
      <c r="F297" s="245"/>
      <c r="G297" s="6233"/>
      <c r="H297" s="245"/>
      <c r="I297" s="6227"/>
      <c r="J297" s="2636"/>
      <c r="K297" s="6233"/>
      <c r="L297" s="245"/>
      <c r="M297" s="6193"/>
      <c r="N297" s="3568">
        <f t="shared" si="515"/>
        <v>0</v>
      </c>
      <c r="O297" s="6233"/>
      <c r="P297" s="245"/>
      <c r="Q297" s="6227"/>
      <c r="R297" s="2636"/>
      <c r="S297" s="6233"/>
      <c r="T297" s="245">
        <v>5.75</v>
      </c>
      <c r="U297" s="6227"/>
      <c r="V297" s="2636">
        <f t="shared" si="502"/>
        <v>5.75</v>
      </c>
      <c r="W297" s="6233"/>
      <c r="X297" s="245"/>
      <c r="Y297" s="6193"/>
      <c r="Z297" s="3568">
        <f t="shared" si="503"/>
        <v>5.75</v>
      </c>
      <c r="AA297" s="6195"/>
      <c r="AB297" s="3565">
        <f t="shared" si="504"/>
        <v>5.75</v>
      </c>
      <c r="AC297" s="6233"/>
      <c r="AD297" s="245"/>
      <c r="AE297" s="6227"/>
      <c r="AF297" s="4050">
        <f t="shared" si="505"/>
        <v>5.75</v>
      </c>
      <c r="AG297" s="6208"/>
      <c r="AH297" s="245"/>
      <c r="AI297" s="6211"/>
      <c r="AJ297" s="4394">
        <f t="shared" si="542"/>
        <v>5.75</v>
      </c>
      <c r="AK297" s="6233"/>
      <c r="AL297" s="245"/>
      <c r="AM297" s="6193"/>
      <c r="AN297" s="4282">
        <f t="shared" si="507"/>
        <v>0</v>
      </c>
      <c r="AO297" s="6227"/>
      <c r="AP297" s="4277">
        <f t="shared" si="508"/>
        <v>5.75</v>
      </c>
      <c r="AQ297" s="6208"/>
      <c r="AR297" s="245"/>
      <c r="AS297" s="6211"/>
      <c r="AT297" s="4456">
        <f t="shared" si="509"/>
        <v>5.75</v>
      </c>
      <c r="AU297" s="6208"/>
      <c r="AV297" s="245"/>
      <c r="AW297" s="6211"/>
      <c r="AX297" s="4635">
        <f t="shared" si="510"/>
        <v>5.75</v>
      </c>
      <c r="AY297" s="6208"/>
      <c r="AZ297" s="245"/>
      <c r="BA297" s="6193"/>
      <c r="BB297" s="5136">
        <f t="shared" si="543"/>
        <v>0</v>
      </c>
      <c r="BC297" s="6195"/>
      <c r="BD297" s="5143">
        <f t="shared" si="512"/>
        <v>0</v>
      </c>
      <c r="BE297" s="6211"/>
      <c r="BF297" s="5127">
        <f t="shared" si="513"/>
        <v>5.75</v>
      </c>
      <c r="BG297" s="26"/>
      <c r="BH297" s="26"/>
      <c r="BI297" s="26"/>
      <c r="BJ297" s="26"/>
    </row>
    <row r="298" spans="1:62" ht="20.25" customHeight="1" x14ac:dyDescent="0.25">
      <c r="A298" s="188"/>
      <c r="B298" s="2002" t="s">
        <v>1750</v>
      </c>
      <c r="C298" s="2385" t="s">
        <v>936</v>
      </c>
      <c r="D298" s="2385"/>
      <c r="E298" s="6233"/>
      <c r="F298" s="245"/>
      <c r="G298" s="6233"/>
      <c r="H298" s="245"/>
      <c r="I298" s="6227"/>
      <c r="J298" s="2636"/>
      <c r="K298" s="6233"/>
      <c r="L298" s="245"/>
      <c r="M298" s="6193"/>
      <c r="N298" s="3568">
        <f t="shared" si="515"/>
        <v>0</v>
      </c>
      <c r="O298" s="6233"/>
      <c r="P298" s="245"/>
      <c r="Q298" s="6227"/>
      <c r="R298" s="2636"/>
      <c r="S298" s="6233"/>
      <c r="T298" s="245">
        <v>12.58</v>
      </c>
      <c r="U298" s="6227"/>
      <c r="V298" s="2636">
        <f t="shared" si="502"/>
        <v>12.58</v>
      </c>
      <c r="W298" s="6233"/>
      <c r="X298" s="245"/>
      <c r="Y298" s="6193"/>
      <c r="Z298" s="3568">
        <f t="shared" si="503"/>
        <v>12.58</v>
      </c>
      <c r="AA298" s="6195"/>
      <c r="AB298" s="3565">
        <f t="shared" si="504"/>
        <v>12.58</v>
      </c>
      <c r="AC298" s="6233"/>
      <c r="AD298" s="245"/>
      <c r="AE298" s="6227"/>
      <c r="AF298" s="4050">
        <f t="shared" si="505"/>
        <v>12.58</v>
      </c>
      <c r="AG298" s="6208"/>
      <c r="AH298" s="245"/>
      <c r="AI298" s="6211"/>
      <c r="AJ298" s="4394">
        <f t="shared" si="542"/>
        <v>12.58</v>
      </c>
      <c r="AK298" s="6233"/>
      <c r="AL298" s="245"/>
      <c r="AM298" s="6193"/>
      <c r="AN298" s="4282">
        <f t="shared" si="507"/>
        <v>0</v>
      </c>
      <c r="AO298" s="6227"/>
      <c r="AP298" s="4277">
        <f t="shared" si="508"/>
        <v>12.58</v>
      </c>
      <c r="AQ298" s="6208"/>
      <c r="AR298" s="245"/>
      <c r="AS298" s="6211"/>
      <c r="AT298" s="4456">
        <f t="shared" si="509"/>
        <v>12.58</v>
      </c>
      <c r="AU298" s="6208"/>
      <c r="AV298" s="245"/>
      <c r="AW298" s="6211"/>
      <c r="AX298" s="4635">
        <f t="shared" si="510"/>
        <v>12.58</v>
      </c>
      <c r="AY298" s="6208"/>
      <c r="AZ298" s="245"/>
      <c r="BA298" s="6193"/>
      <c r="BB298" s="5136">
        <f t="shared" si="543"/>
        <v>0</v>
      </c>
      <c r="BC298" s="6195"/>
      <c r="BD298" s="5143">
        <f t="shared" si="512"/>
        <v>0</v>
      </c>
      <c r="BE298" s="6211"/>
      <c r="BF298" s="5127">
        <f t="shared" si="513"/>
        <v>12.58</v>
      </c>
      <c r="BG298" s="26"/>
      <c r="BH298" s="26"/>
      <c r="BI298" s="26"/>
      <c r="BJ298" s="26"/>
    </row>
    <row r="299" spans="1:62" ht="20.25" customHeight="1" x14ac:dyDescent="0.3">
      <c r="A299" s="188"/>
      <c r="B299" s="2002" t="s">
        <v>561</v>
      </c>
      <c r="C299" s="481"/>
      <c r="D299" s="481"/>
      <c r="E299" s="6233"/>
      <c r="F299" s="893">
        <f>F25</f>
        <v>0</v>
      </c>
      <c r="G299" s="6233"/>
      <c r="H299" s="893">
        <f>H25</f>
        <v>0</v>
      </c>
      <c r="I299" s="6227"/>
      <c r="J299" s="2344">
        <f t="shared" ref="J299:J310" si="545">F299+H299</f>
        <v>0</v>
      </c>
      <c r="K299" s="6233"/>
      <c r="L299" s="893">
        <f>L25</f>
        <v>0</v>
      </c>
      <c r="M299" s="6193"/>
      <c r="N299" s="3568">
        <f t="shared" si="515"/>
        <v>0</v>
      </c>
      <c r="O299" s="6233"/>
      <c r="P299" s="893">
        <f>P25</f>
        <v>0</v>
      </c>
      <c r="Q299" s="6227"/>
      <c r="R299" s="2457">
        <f t="shared" si="544"/>
        <v>0</v>
      </c>
      <c r="S299" s="6233"/>
      <c r="T299" s="2561">
        <f>T25</f>
        <v>0</v>
      </c>
      <c r="U299" s="6227"/>
      <c r="V299" s="2557">
        <f t="shared" si="502"/>
        <v>0</v>
      </c>
      <c r="W299" s="6233"/>
      <c r="X299" s="3394">
        <f>X25</f>
        <v>0</v>
      </c>
      <c r="Y299" s="6193"/>
      <c r="Z299" s="3396">
        <f t="shared" ref="Z299:Z300" si="546">P299+T299+X299</f>
        <v>0</v>
      </c>
      <c r="AA299" s="6195"/>
      <c r="AB299" s="3565">
        <f t="shared" si="504"/>
        <v>0</v>
      </c>
      <c r="AC299" s="6233"/>
      <c r="AD299" s="4047">
        <f>AD25</f>
        <v>0</v>
      </c>
      <c r="AE299" s="6227"/>
      <c r="AF299" s="4050">
        <f t="shared" si="505"/>
        <v>0</v>
      </c>
      <c r="AG299" s="6209"/>
      <c r="AH299" s="4396">
        <f>AH25</f>
        <v>0</v>
      </c>
      <c r="AI299" s="6212"/>
      <c r="AJ299" s="4394">
        <f t="shared" si="542"/>
        <v>0</v>
      </c>
      <c r="AK299" s="6233"/>
      <c r="AL299" s="4274">
        <f>AL25</f>
        <v>0</v>
      </c>
      <c r="AM299" s="6193"/>
      <c r="AN299" s="4282">
        <f t="shared" si="507"/>
        <v>0</v>
      </c>
      <c r="AO299" s="6227"/>
      <c r="AP299" s="4277">
        <f t="shared" si="508"/>
        <v>0</v>
      </c>
      <c r="AQ299" s="6209"/>
      <c r="AR299" s="4454">
        <f>AR25</f>
        <v>0</v>
      </c>
      <c r="AS299" s="6212"/>
      <c r="AT299" s="4456">
        <f t="shared" si="509"/>
        <v>0</v>
      </c>
      <c r="AU299" s="6209"/>
      <c r="AV299" s="4631">
        <f>AV25</f>
        <v>0</v>
      </c>
      <c r="AW299" s="6212"/>
      <c r="AX299" s="4635">
        <f t="shared" si="510"/>
        <v>0</v>
      </c>
      <c r="AY299" s="6209"/>
      <c r="AZ299" s="5130">
        <f>AZ25</f>
        <v>0</v>
      </c>
      <c r="BA299" s="6193"/>
      <c r="BB299" s="5136">
        <f t="shared" si="543"/>
        <v>0</v>
      </c>
      <c r="BC299" s="6195"/>
      <c r="BD299" s="5143">
        <f t="shared" si="512"/>
        <v>0</v>
      </c>
      <c r="BE299" s="6212"/>
      <c r="BF299" s="5127">
        <f t="shared" si="513"/>
        <v>0</v>
      </c>
      <c r="BG299" s="26"/>
      <c r="BH299" s="26"/>
      <c r="BI299" s="26"/>
      <c r="BJ299" s="26"/>
    </row>
    <row r="300" spans="1:62" ht="20.25" customHeight="1" x14ac:dyDescent="0.25">
      <c r="A300" s="188"/>
      <c r="B300" s="2478" t="s">
        <v>125</v>
      </c>
      <c r="C300" s="335" t="s">
        <v>52</v>
      </c>
      <c r="D300" s="748">
        <f>+D26</f>
        <v>525000</v>
      </c>
      <c r="E300" s="748">
        <f>+E26</f>
        <v>44500</v>
      </c>
      <c r="F300" s="748">
        <f>SUM(F244:F299)</f>
        <v>37547.600000000013</v>
      </c>
      <c r="G300" s="748">
        <f>+G26</f>
        <v>37500</v>
      </c>
      <c r="H300" s="748">
        <f>SUM(H244:H299)</f>
        <v>29799.490000000005</v>
      </c>
      <c r="I300" s="782">
        <f>E300+G300</f>
        <v>82000</v>
      </c>
      <c r="J300" s="782">
        <f t="shared" si="545"/>
        <v>67347.090000000026</v>
      </c>
      <c r="K300" s="748">
        <f>+K26</f>
        <v>36000</v>
      </c>
      <c r="L300" s="748">
        <f>SUM(L244:L299)</f>
        <v>23668.070000000003</v>
      </c>
      <c r="M300" s="783">
        <f>E300+G300+K300</f>
        <v>118000</v>
      </c>
      <c r="N300" s="783">
        <f>F300+H300+L300</f>
        <v>91015.160000000033</v>
      </c>
      <c r="O300" s="748">
        <f>+O26</f>
        <v>46000</v>
      </c>
      <c r="P300" s="748">
        <f>SUM(P244:P299)</f>
        <v>38466.170000000006</v>
      </c>
      <c r="Q300" s="782">
        <f>M300+O300</f>
        <v>164000</v>
      </c>
      <c r="R300" s="782">
        <f t="shared" ref="R300:R310" si="547">N300+P300</f>
        <v>129481.33000000005</v>
      </c>
      <c r="S300" s="748">
        <f>+S26</f>
        <v>46000</v>
      </c>
      <c r="T300" s="748">
        <f>SUM(T244:T299)</f>
        <v>44584.210000000006</v>
      </c>
      <c r="U300" s="2558">
        <f>Q300+S300</f>
        <v>210000</v>
      </c>
      <c r="V300" s="2558">
        <f t="shared" si="502"/>
        <v>174065.54000000004</v>
      </c>
      <c r="W300" s="748">
        <f>+W26</f>
        <v>44500</v>
      </c>
      <c r="X300" s="748">
        <f>SUM(X244:X299)</f>
        <v>33234.17</v>
      </c>
      <c r="Y300" s="3393">
        <f t="shared" ref="Y300" si="548">O300+S300+W300</f>
        <v>136500</v>
      </c>
      <c r="Z300" s="3393">
        <f t="shared" si="546"/>
        <v>116284.55</v>
      </c>
      <c r="AA300" s="3551">
        <f>M300+Y300</f>
        <v>254500</v>
      </c>
      <c r="AB300" s="3551">
        <f>N300+Z300</f>
        <v>207299.71000000002</v>
      </c>
      <c r="AC300" s="748">
        <f>+AC26</f>
        <v>46000</v>
      </c>
      <c r="AD300" s="748">
        <f>SUM(AD244:AD299)</f>
        <v>40148.93</v>
      </c>
      <c r="AE300" s="4051">
        <f>AA300+AC300</f>
        <v>300500</v>
      </c>
      <c r="AF300" s="4051">
        <f t="shared" si="505"/>
        <v>247448.64</v>
      </c>
      <c r="AG300" s="748">
        <f>+AG26</f>
        <v>44500</v>
      </c>
      <c r="AH300" s="748">
        <f>SUM(AH244:AH299)</f>
        <v>39586.210000000006</v>
      </c>
      <c r="AI300" s="4392">
        <f>AE300+AG300</f>
        <v>345000</v>
      </c>
      <c r="AJ300" s="4392">
        <f t="shared" si="542"/>
        <v>287034.85000000003</v>
      </c>
      <c r="AK300" s="748">
        <f>+AK26</f>
        <v>46000</v>
      </c>
      <c r="AL300" s="748">
        <f>SUM(AL244:AL299)</f>
        <v>40554.650000000016</v>
      </c>
      <c r="AM300" s="4283">
        <f t="shared" ref="AM300" si="549">AC300+AG300+AK300</f>
        <v>136500</v>
      </c>
      <c r="AN300" s="4283">
        <f t="shared" si="507"/>
        <v>120289.79000000004</v>
      </c>
      <c r="AO300" s="4273">
        <f t="shared" si="508"/>
        <v>391000</v>
      </c>
      <c r="AP300" s="4273">
        <f t="shared" si="508"/>
        <v>327589.50000000006</v>
      </c>
      <c r="AQ300" s="748">
        <f>+AQ26</f>
        <v>46000</v>
      </c>
      <c r="AR300" s="748">
        <f>SUM(AR244:AR299)</f>
        <v>40291.740000000005</v>
      </c>
      <c r="AS300" s="4453">
        <f>AO300+AQ300</f>
        <v>437000</v>
      </c>
      <c r="AT300" s="4453">
        <f t="shared" si="509"/>
        <v>367881.24000000005</v>
      </c>
      <c r="AU300" s="748">
        <f>+AU26</f>
        <v>42000</v>
      </c>
      <c r="AV300" s="748">
        <f>SUM(AV244:AV299)</f>
        <v>38561.130000000005</v>
      </c>
      <c r="AW300" s="4630">
        <f>AS300+AU300</f>
        <v>479000</v>
      </c>
      <c r="AX300" s="4630">
        <f t="shared" si="510"/>
        <v>406442.37000000005</v>
      </c>
      <c r="AY300" s="748">
        <f>+AY26</f>
        <v>46000</v>
      </c>
      <c r="AZ300" s="748">
        <f>SUM(AZ244:AZ299)</f>
        <v>46360.22</v>
      </c>
      <c r="BA300" s="5129">
        <f t="shared" ref="BA300" si="550">AQ300+AU300+AY300</f>
        <v>134000</v>
      </c>
      <c r="BB300" s="5129">
        <f t="shared" si="543"/>
        <v>125213.09000000001</v>
      </c>
      <c r="BC300" s="5140">
        <f>AM300+BA300</f>
        <v>270500</v>
      </c>
      <c r="BD300" s="5140">
        <f>AN300+BB300</f>
        <v>245502.88000000006</v>
      </c>
      <c r="BE300" s="5124">
        <f>AW300+AY300</f>
        <v>525000</v>
      </c>
      <c r="BF300" s="5124">
        <f t="shared" si="513"/>
        <v>452802.59000000008</v>
      </c>
      <c r="BG300" s="26"/>
      <c r="BH300" s="26"/>
      <c r="BI300" s="26"/>
      <c r="BJ300" s="26"/>
    </row>
    <row r="301" spans="1:62" ht="20.25" x14ac:dyDescent="0.3">
      <c r="A301" s="188"/>
      <c r="B301" s="2493" t="s">
        <v>692</v>
      </c>
      <c r="C301" s="2064"/>
      <c r="D301" s="2064"/>
      <c r="E301" s="2502"/>
      <c r="F301" s="2490"/>
      <c r="G301" s="2502"/>
      <c r="H301" s="2490"/>
      <c r="I301" s="2503"/>
      <c r="J301" s="2457">
        <f t="shared" si="545"/>
        <v>0</v>
      </c>
      <c r="K301" s="2502"/>
      <c r="L301" s="2490"/>
      <c r="M301" s="2504"/>
      <c r="N301" s="300"/>
      <c r="O301" s="2502"/>
      <c r="P301" s="2490"/>
      <c r="Q301" s="2503"/>
      <c r="R301" s="2457">
        <f t="shared" si="547"/>
        <v>0</v>
      </c>
      <c r="S301" s="2502"/>
      <c r="T301" s="2490"/>
      <c r="U301" s="2503"/>
      <c r="V301" s="2557">
        <f t="shared" si="502"/>
        <v>0</v>
      </c>
      <c r="W301" s="2502"/>
      <c r="X301" s="2490"/>
      <c r="Y301" s="2504"/>
      <c r="Z301" s="3396"/>
      <c r="AA301" s="3562"/>
      <c r="AB301" s="3550"/>
      <c r="AC301" s="2502"/>
      <c r="AD301" s="2490"/>
      <c r="AE301" s="2503"/>
      <c r="AF301" s="4050">
        <f t="shared" si="505"/>
        <v>0</v>
      </c>
      <c r="AG301" s="2502"/>
      <c r="AH301" s="2490"/>
      <c r="AI301" s="2503"/>
      <c r="AJ301" s="4394">
        <f t="shared" si="542"/>
        <v>0</v>
      </c>
      <c r="AK301" s="2502"/>
      <c r="AL301" s="2490"/>
      <c r="AM301" s="2504"/>
      <c r="AN301" s="4282"/>
      <c r="AO301" s="2503"/>
      <c r="AP301" s="4277">
        <f t="shared" si="508"/>
        <v>0</v>
      </c>
      <c r="AQ301" s="2502"/>
      <c r="AR301" s="2490"/>
      <c r="AS301" s="2503"/>
      <c r="AT301" s="4456">
        <f t="shared" si="509"/>
        <v>0</v>
      </c>
      <c r="AU301" s="2502"/>
      <c r="AV301" s="2490"/>
      <c r="AW301" s="2503"/>
      <c r="AX301" s="4635">
        <f t="shared" si="510"/>
        <v>0</v>
      </c>
      <c r="AY301" s="2502"/>
      <c r="AZ301" s="2490"/>
      <c r="BA301" s="2504"/>
      <c r="BB301" s="5136"/>
      <c r="BC301" s="3562"/>
      <c r="BD301" s="5143"/>
      <c r="BE301" s="2503"/>
      <c r="BF301" s="5127">
        <f t="shared" si="513"/>
        <v>0</v>
      </c>
      <c r="BG301" s="26"/>
      <c r="BH301" s="26"/>
      <c r="BI301" s="26"/>
      <c r="BJ301" s="26"/>
    </row>
    <row r="302" spans="1:62" ht="20.25" customHeight="1" x14ac:dyDescent="0.25">
      <c r="A302" s="122"/>
      <c r="B302" s="2494" t="s">
        <v>1706</v>
      </c>
      <c r="C302" s="243" t="s">
        <v>52</v>
      </c>
      <c r="D302" s="243"/>
      <c r="E302" s="2502"/>
      <c r="F302" s="245"/>
      <c r="G302" s="2502"/>
      <c r="H302" s="245"/>
      <c r="I302" s="2503"/>
      <c r="J302" s="2457">
        <f t="shared" si="545"/>
        <v>0</v>
      </c>
      <c r="K302" s="2502"/>
      <c r="L302" s="245"/>
      <c r="M302" s="2504"/>
      <c r="N302" s="300">
        <f>F302+H302+L302</f>
        <v>0</v>
      </c>
      <c r="O302" s="2502"/>
      <c r="P302" s="245">
        <v>122.72</v>
      </c>
      <c r="Q302" s="2503"/>
      <c r="R302" s="2457">
        <f t="shared" si="547"/>
        <v>122.72</v>
      </c>
      <c r="S302" s="2502"/>
      <c r="T302" s="245"/>
      <c r="U302" s="2503"/>
      <c r="V302" s="2557">
        <f t="shared" si="502"/>
        <v>122.72</v>
      </c>
      <c r="W302" s="2502"/>
      <c r="X302" s="245">
        <v>41.6</v>
      </c>
      <c r="Y302" s="2504"/>
      <c r="Z302" s="3396">
        <f>P302+T302+X302</f>
        <v>164.32</v>
      </c>
      <c r="AA302" s="3562"/>
      <c r="AB302" s="3550">
        <f t="shared" ref="AB302:AB310" si="551">N302+Z302</f>
        <v>164.32</v>
      </c>
      <c r="AC302" s="2502"/>
      <c r="AD302" s="245"/>
      <c r="AE302" s="2503"/>
      <c r="AF302" s="4050">
        <f t="shared" si="505"/>
        <v>164.32</v>
      </c>
      <c r="AG302" s="2502"/>
      <c r="AH302" s="245"/>
      <c r="AI302" s="2503"/>
      <c r="AJ302" s="4394">
        <f t="shared" si="542"/>
        <v>164.32</v>
      </c>
      <c r="AK302" s="2502"/>
      <c r="AL302" s="245"/>
      <c r="AM302" s="2504"/>
      <c r="AN302" s="4282">
        <f>AD302+AH302+AL302</f>
        <v>0</v>
      </c>
      <c r="AO302" s="2503"/>
      <c r="AP302" s="4277">
        <f t="shared" si="508"/>
        <v>164.32</v>
      </c>
      <c r="AQ302" s="2502"/>
      <c r="AR302" s="245"/>
      <c r="AS302" s="2503"/>
      <c r="AT302" s="4456">
        <f t="shared" si="509"/>
        <v>164.32</v>
      </c>
      <c r="AU302" s="2502"/>
      <c r="AV302" s="245"/>
      <c r="AW302" s="2503"/>
      <c r="AX302" s="4635">
        <f t="shared" si="510"/>
        <v>164.32</v>
      </c>
      <c r="AY302" s="2502"/>
      <c r="AZ302" s="245"/>
      <c r="BA302" s="2504"/>
      <c r="BB302" s="5136">
        <f>AR302+AV302+AZ302</f>
        <v>0</v>
      </c>
      <c r="BC302" s="3562"/>
      <c r="BD302" s="5143">
        <f t="shared" ref="BD302:BD309" si="552">AN302+BB302</f>
        <v>0</v>
      </c>
      <c r="BE302" s="2503"/>
      <c r="BF302" s="5127">
        <f t="shared" si="513"/>
        <v>164.32</v>
      </c>
      <c r="BG302" s="26"/>
      <c r="BH302" s="26"/>
      <c r="BI302" s="26"/>
      <c r="BJ302" s="26"/>
    </row>
    <row r="303" spans="1:62" ht="20.25" customHeight="1" x14ac:dyDescent="0.25">
      <c r="A303" s="122"/>
      <c r="B303" s="2002" t="s">
        <v>1125</v>
      </c>
      <c r="C303" s="2634" t="s">
        <v>52</v>
      </c>
      <c r="D303" s="2634"/>
      <c r="E303" s="2502"/>
      <c r="F303" s="245"/>
      <c r="G303" s="2502"/>
      <c r="H303" s="245"/>
      <c r="I303" s="2503"/>
      <c r="J303" s="2636"/>
      <c r="K303" s="2502"/>
      <c r="L303" s="245"/>
      <c r="M303" s="2504"/>
      <c r="N303" s="3568">
        <f t="shared" ref="N303:N309" si="553">F303+H303+L303</f>
        <v>0</v>
      </c>
      <c r="O303" s="2502"/>
      <c r="P303" s="245"/>
      <c r="Q303" s="2503"/>
      <c r="R303" s="2636"/>
      <c r="S303" s="2502"/>
      <c r="T303" s="245">
        <v>80.47999999999999</v>
      </c>
      <c r="U303" s="2503"/>
      <c r="V303" s="3212">
        <f t="shared" si="502"/>
        <v>80.47999999999999</v>
      </c>
      <c r="W303" s="2502"/>
      <c r="X303" s="245"/>
      <c r="Y303" s="2504"/>
      <c r="Z303" s="3568">
        <f t="shared" ref="Z303:Z309" si="554">P303+T303+X303</f>
        <v>80.47999999999999</v>
      </c>
      <c r="AA303" s="3562"/>
      <c r="AB303" s="3565">
        <f t="shared" si="551"/>
        <v>80.47999999999999</v>
      </c>
      <c r="AC303" s="2502"/>
      <c r="AD303" s="245"/>
      <c r="AE303" s="2503"/>
      <c r="AF303" s="4050">
        <f t="shared" si="505"/>
        <v>80.47999999999999</v>
      </c>
      <c r="AG303" s="2502"/>
      <c r="AH303" s="245"/>
      <c r="AI303" s="2503"/>
      <c r="AJ303" s="4394">
        <f t="shared" si="542"/>
        <v>80.47999999999999</v>
      </c>
      <c r="AK303" s="2502"/>
      <c r="AL303" s="245"/>
      <c r="AM303" s="2504"/>
      <c r="AN303" s="4282">
        <f t="shared" ref="AN303:AN309" si="555">AD303+AH303+AL303</f>
        <v>0</v>
      </c>
      <c r="AO303" s="2503"/>
      <c r="AP303" s="4277">
        <f t="shared" si="508"/>
        <v>80.47999999999999</v>
      </c>
      <c r="AQ303" s="2502"/>
      <c r="AR303" s="245"/>
      <c r="AS303" s="2503"/>
      <c r="AT303" s="4456">
        <f t="shared" si="509"/>
        <v>80.47999999999999</v>
      </c>
      <c r="AU303" s="2502"/>
      <c r="AV303" s="245"/>
      <c r="AW303" s="2503"/>
      <c r="AX303" s="4635">
        <f t="shared" si="510"/>
        <v>80.47999999999999</v>
      </c>
      <c r="AY303" s="2502"/>
      <c r="AZ303" s="245"/>
      <c r="BA303" s="2504"/>
      <c r="BB303" s="5136">
        <f t="shared" ref="BB303:BB309" si="556">AR303+AV303+AZ303</f>
        <v>0</v>
      </c>
      <c r="BC303" s="3562"/>
      <c r="BD303" s="5143">
        <f t="shared" si="552"/>
        <v>0</v>
      </c>
      <c r="BE303" s="2503"/>
      <c r="BF303" s="5127">
        <f t="shared" si="513"/>
        <v>80.47999999999999</v>
      </c>
      <c r="BG303" s="26"/>
      <c r="BH303" s="26"/>
      <c r="BI303" s="26"/>
      <c r="BJ303" s="26"/>
    </row>
    <row r="304" spans="1:62" s="4105" customFormat="1" ht="20.25" customHeight="1" x14ac:dyDescent="0.25">
      <c r="A304" s="122"/>
      <c r="B304" s="2002" t="s">
        <v>1844</v>
      </c>
      <c r="C304" s="4102" t="s">
        <v>52</v>
      </c>
      <c r="D304" s="4102"/>
      <c r="E304" s="2502"/>
      <c r="F304" s="245"/>
      <c r="G304" s="2502"/>
      <c r="H304" s="245"/>
      <c r="I304" s="2503"/>
      <c r="J304" s="4104"/>
      <c r="K304" s="2502"/>
      <c r="L304" s="245"/>
      <c r="M304" s="2504"/>
      <c r="N304" s="4106">
        <f t="shared" si="553"/>
        <v>0</v>
      </c>
      <c r="O304" s="2502"/>
      <c r="P304" s="245"/>
      <c r="Q304" s="2503"/>
      <c r="R304" s="4104"/>
      <c r="S304" s="2502"/>
      <c r="T304" s="245"/>
      <c r="U304" s="2503"/>
      <c r="V304" s="4104"/>
      <c r="W304" s="2502"/>
      <c r="X304" s="245"/>
      <c r="Y304" s="2504"/>
      <c r="Z304" s="4106">
        <f t="shared" si="554"/>
        <v>0</v>
      </c>
      <c r="AA304" s="3562"/>
      <c r="AB304" s="4108">
        <f t="shared" si="551"/>
        <v>0</v>
      </c>
      <c r="AC304" s="2502"/>
      <c r="AD304" s="245">
        <v>29.38</v>
      </c>
      <c r="AE304" s="2503"/>
      <c r="AF304" s="4104">
        <f t="shared" si="505"/>
        <v>29.38</v>
      </c>
      <c r="AG304" s="2502"/>
      <c r="AH304" s="245"/>
      <c r="AI304" s="2503"/>
      <c r="AJ304" s="4394">
        <f t="shared" si="542"/>
        <v>29.38</v>
      </c>
      <c r="AK304" s="2502"/>
      <c r="AL304" s="245"/>
      <c r="AM304" s="2504"/>
      <c r="AN304" s="4282">
        <f t="shared" si="555"/>
        <v>29.38</v>
      </c>
      <c r="AO304" s="2503"/>
      <c r="AP304" s="4277">
        <f t="shared" si="508"/>
        <v>29.38</v>
      </c>
      <c r="AQ304" s="2502"/>
      <c r="AR304" s="245"/>
      <c r="AS304" s="2503"/>
      <c r="AT304" s="4456">
        <f t="shared" si="509"/>
        <v>29.38</v>
      </c>
      <c r="AU304" s="2502"/>
      <c r="AV304" s="245"/>
      <c r="AW304" s="2503"/>
      <c r="AX304" s="4635">
        <f t="shared" si="510"/>
        <v>29.38</v>
      </c>
      <c r="AY304" s="2502"/>
      <c r="AZ304" s="245"/>
      <c r="BA304" s="2504"/>
      <c r="BB304" s="5136">
        <f t="shared" si="556"/>
        <v>0</v>
      </c>
      <c r="BC304" s="3562"/>
      <c r="BD304" s="5143">
        <f t="shared" si="552"/>
        <v>29.38</v>
      </c>
      <c r="BE304" s="2503"/>
      <c r="BF304" s="5127">
        <f t="shared" si="513"/>
        <v>29.38</v>
      </c>
      <c r="BG304" s="26"/>
      <c r="BH304" s="26"/>
      <c r="BI304" s="26"/>
      <c r="BJ304" s="26"/>
    </row>
    <row r="305" spans="1:62" s="4105" customFormat="1" ht="20.25" customHeight="1" x14ac:dyDescent="0.25">
      <c r="A305" s="122"/>
      <c r="B305" s="2002" t="s">
        <v>1845</v>
      </c>
      <c r="C305" s="4102" t="s">
        <v>52</v>
      </c>
      <c r="D305" s="4102"/>
      <c r="E305" s="2502"/>
      <c r="F305" s="245"/>
      <c r="G305" s="2502"/>
      <c r="H305" s="245"/>
      <c r="I305" s="2503"/>
      <c r="J305" s="4104"/>
      <c r="K305" s="2502"/>
      <c r="L305" s="245"/>
      <c r="M305" s="2504"/>
      <c r="N305" s="4106">
        <f t="shared" si="553"/>
        <v>0</v>
      </c>
      <c r="O305" s="2502"/>
      <c r="P305" s="245"/>
      <c r="Q305" s="2503"/>
      <c r="R305" s="4104"/>
      <c r="S305" s="2502"/>
      <c r="T305" s="245"/>
      <c r="U305" s="2503"/>
      <c r="V305" s="4104"/>
      <c r="W305" s="2502"/>
      <c r="X305" s="245"/>
      <c r="Y305" s="2504"/>
      <c r="Z305" s="4106">
        <f t="shared" si="554"/>
        <v>0</v>
      </c>
      <c r="AA305" s="3562"/>
      <c r="AB305" s="4108">
        <f t="shared" si="551"/>
        <v>0</v>
      </c>
      <c r="AC305" s="2502"/>
      <c r="AD305" s="245">
        <v>35.85</v>
      </c>
      <c r="AE305" s="2503"/>
      <c r="AF305" s="4104">
        <f t="shared" si="505"/>
        <v>35.85</v>
      </c>
      <c r="AG305" s="2502"/>
      <c r="AH305" s="245"/>
      <c r="AI305" s="2503"/>
      <c r="AJ305" s="4394">
        <f t="shared" si="542"/>
        <v>35.85</v>
      </c>
      <c r="AK305" s="2502"/>
      <c r="AL305" s="245"/>
      <c r="AM305" s="2504"/>
      <c r="AN305" s="4282">
        <f t="shared" si="555"/>
        <v>35.85</v>
      </c>
      <c r="AO305" s="2503"/>
      <c r="AP305" s="4277">
        <f t="shared" si="508"/>
        <v>35.85</v>
      </c>
      <c r="AQ305" s="2502"/>
      <c r="AR305" s="245">
        <v>33.32</v>
      </c>
      <c r="AS305" s="2503"/>
      <c r="AT305" s="4456">
        <f t="shared" si="509"/>
        <v>69.17</v>
      </c>
      <c r="AU305" s="2502"/>
      <c r="AV305" s="245"/>
      <c r="AW305" s="2503"/>
      <c r="AX305" s="4635">
        <f t="shared" si="510"/>
        <v>69.17</v>
      </c>
      <c r="AY305" s="2502"/>
      <c r="AZ305" s="245"/>
      <c r="BA305" s="2504"/>
      <c r="BB305" s="5136">
        <f t="shared" si="556"/>
        <v>33.32</v>
      </c>
      <c r="BC305" s="3562"/>
      <c r="BD305" s="5143">
        <f t="shared" si="552"/>
        <v>69.17</v>
      </c>
      <c r="BE305" s="2503"/>
      <c r="BF305" s="5127">
        <f t="shared" si="513"/>
        <v>69.17</v>
      </c>
      <c r="BG305" s="26"/>
      <c r="BH305" s="26"/>
      <c r="BI305" s="26"/>
      <c r="BJ305" s="26"/>
    </row>
    <row r="306" spans="1:62" s="4105" customFormat="1" ht="20.25" customHeight="1" x14ac:dyDescent="0.25">
      <c r="A306" s="122"/>
      <c r="B306" s="2002" t="s">
        <v>1846</v>
      </c>
      <c r="C306" s="4102" t="s">
        <v>52</v>
      </c>
      <c r="D306" s="4102"/>
      <c r="E306" s="2502"/>
      <c r="F306" s="245"/>
      <c r="G306" s="2502"/>
      <c r="H306" s="245"/>
      <c r="I306" s="2503"/>
      <c r="J306" s="4104"/>
      <c r="K306" s="2502"/>
      <c r="L306" s="245"/>
      <c r="M306" s="2504"/>
      <c r="N306" s="4106">
        <f t="shared" si="553"/>
        <v>0</v>
      </c>
      <c r="O306" s="2502"/>
      <c r="P306" s="245"/>
      <c r="Q306" s="2503"/>
      <c r="R306" s="4104"/>
      <c r="S306" s="2502"/>
      <c r="T306" s="245"/>
      <c r="U306" s="2503"/>
      <c r="V306" s="4104"/>
      <c r="W306" s="2502"/>
      <c r="X306" s="245"/>
      <c r="Y306" s="2504"/>
      <c r="Z306" s="4106">
        <f t="shared" si="554"/>
        <v>0</v>
      </c>
      <c r="AA306" s="3562"/>
      <c r="AB306" s="4108">
        <f t="shared" si="551"/>
        <v>0</v>
      </c>
      <c r="AC306" s="2502"/>
      <c r="AD306" s="245">
        <v>117.41</v>
      </c>
      <c r="AE306" s="2503"/>
      <c r="AF306" s="4104">
        <f t="shared" si="505"/>
        <v>117.41</v>
      </c>
      <c r="AG306" s="2502"/>
      <c r="AH306" s="245"/>
      <c r="AI306" s="2503"/>
      <c r="AJ306" s="4394">
        <f t="shared" si="542"/>
        <v>117.41</v>
      </c>
      <c r="AK306" s="2502"/>
      <c r="AL306" s="245"/>
      <c r="AM306" s="2504"/>
      <c r="AN306" s="4282">
        <f t="shared" si="555"/>
        <v>117.41</v>
      </c>
      <c r="AO306" s="2503"/>
      <c r="AP306" s="4277">
        <f t="shared" si="508"/>
        <v>117.41</v>
      </c>
      <c r="AQ306" s="2502"/>
      <c r="AR306" s="245"/>
      <c r="AS306" s="2503"/>
      <c r="AT306" s="4456">
        <f t="shared" si="509"/>
        <v>117.41</v>
      </c>
      <c r="AU306" s="2502"/>
      <c r="AV306" s="245"/>
      <c r="AW306" s="2503"/>
      <c r="AX306" s="4635">
        <f t="shared" si="510"/>
        <v>117.41</v>
      </c>
      <c r="AY306" s="2502"/>
      <c r="AZ306" s="245"/>
      <c r="BA306" s="2504"/>
      <c r="BB306" s="5136">
        <f t="shared" si="556"/>
        <v>0</v>
      </c>
      <c r="BC306" s="3562"/>
      <c r="BD306" s="5143">
        <f t="shared" si="552"/>
        <v>117.41</v>
      </c>
      <c r="BE306" s="2503"/>
      <c r="BF306" s="5127">
        <f t="shared" si="513"/>
        <v>117.41</v>
      </c>
      <c r="BG306" s="26"/>
      <c r="BH306" s="26"/>
      <c r="BI306" s="26"/>
      <c r="BJ306" s="26"/>
    </row>
    <row r="307" spans="1:62" s="4105" customFormat="1" ht="20.25" customHeight="1" x14ac:dyDescent="0.25">
      <c r="A307" s="122"/>
      <c r="B307" s="2002" t="s">
        <v>1847</v>
      </c>
      <c r="C307" s="4102" t="s">
        <v>52</v>
      </c>
      <c r="D307" s="4102"/>
      <c r="E307" s="2502"/>
      <c r="F307" s="245"/>
      <c r="G307" s="2502"/>
      <c r="H307" s="245"/>
      <c r="I307" s="2503"/>
      <c r="J307" s="4104"/>
      <c r="K307" s="2502"/>
      <c r="L307" s="245"/>
      <c r="M307" s="2504"/>
      <c r="N307" s="4106">
        <f t="shared" si="553"/>
        <v>0</v>
      </c>
      <c r="O307" s="2502"/>
      <c r="P307" s="245"/>
      <c r="Q307" s="2503"/>
      <c r="R307" s="4104"/>
      <c r="S307" s="2502"/>
      <c r="T307" s="245"/>
      <c r="U307" s="2503"/>
      <c r="V307" s="4104"/>
      <c r="W307" s="2502"/>
      <c r="X307" s="245"/>
      <c r="Y307" s="2504"/>
      <c r="Z307" s="4106">
        <f t="shared" si="554"/>
        <v>0</v>
      </c>
      <c r="AA307" s="3562"/>
      <c r="AB307" s="4108">
        <f t="shared" si="551"/>
        <v>0</v>
      </c>
      <c r="AC307" s="2502"/>
      <c r="AD307" s="245">
        <v>39.93</v>
      </c>
      <c r="AE307" s="2503"/>
      <c r="AF307" s="4104">
        <f t="shared" si="505"/>
        <v>39.93</v>
      </c>
      <c r="AG307" s="2502"/>
      <c r="AH307" s="245"/>
      <c r="AI307" s="2503"/>
      <c r="AJ307" s="4394">
        <f t="shared" si="542"/>
        <v>39.93</v>
      </c>
      <c r="AK307" s="2502"/>
      <c r="AL307" s="245"/>
      <c r="AM307" s="2504"/>
      <c r="AN307" s="4282">
        <f t="shared" si="555"/>
        <v>39.93</v>
      </c>
      <c r="AO307" s="2503"/>
      <c r="AP307" s="4277">
        <f t="shared" si="508"/>
        <v>39.93</v>
      </c>
      <c r="AQ307" s="2502"/>
      <c r="AR307" s="245"/>
      <c r="AS307" s="2503"/>
      <c r="AT307" s="4456">
        <f t="shared" si="509"/>
        <v>39.93</v>
      </c>
      <c r="AU307" s="2502"/>
      <c r="AV307" s="245"/>
      <c r="AW307" s="2503"/>
      <c r="AX307" s="4635">
        <f t="shared" si="510"/>
        <v>39.93</v>
      </c>
      <c r="AY307" s="2502"/>
      <c r="AZ307" s="245"/>
      <c r="BA307" s="2504"/>
      <c r="BB307" s="5136">
        <f t="shared" si="556"/>
        <v>0</v>
      </c>
      <c r="BC307" s="3562"/>
      <c r="BD307" s="5143">
        <f t="shared" si="552"/>
        <v>39.93</v>
      </c>
      <c r="BE307" s="2503"/>
      <c r="BF307" s="5127">
        <f t="shared" si="513"/>
        <v>39.93</v>
      </c>
      <c r="BG307" s="26"/>
      <c r="BH307" s="26"/>
      <c r="BI307" s="26"/>
      <c r="BJ307" s="26"/>
    </row>
    <row r="308" spans="1:62" ht="20.25" customHeight="1" x14ac:dyDescent="0.25">
      <c r="A308" s="122"/>
      <c r="B308" s="2494" t="s">
        <v>1707</v>
      </c>
      <c r="C308" s="243" t="s">
        <v>52</v>
      </c>
      <c r="D308" s="243"/>
      <c r="E308" s="2502"/>
      <c r="F308" s="245"/>
      <c r="G308" s="2502"/>
      <c r="H308" s="245"/>
      <c r="I308" s="2503"/>
      <c r="J308" s="2457">
        <f t="shared" si="545"/>
        <v>0</v>
      </c>
      <c r="K308" s="2502"/>
      <c r="L308" s="245"/>
      <c r="M308" s="2504"/>
      <c r="N308" s="3568">
        <f t="shared" si="553"/>
        <v>0</v>
      </c>
      <c r="O308" s="2502"/>
      <c r="P308" s="245">
        <v>122.47999999999999</v>
      </c>
      <c r="Q308" s="2503"/>
      <c r="R308" s="2457">
        <f t="shared" si="547"/>
        <v>122.47999999999999</v>
      </c>
      <c r="S308" s="2502"/>
      <c r="T308" s="245"/>
      <c r="U308" s="2503"/>
      <c r="V308" s="2557">
        <f t="shared" si="502"/>
        <v>122.47999999999999</v>
      </c>
      <c r="W308" s="2502"/>
      <c r="X308" s="245"/>
      <c r="Y308" s="2504"/>
      <c r="Z308" s="3568">
        <f t="shared" si="554"/>
        <v>122.47999999999999</v>
      </c>
      <c r="AA308" s="3562"/>
      <c r="AB308" s="3565">
        <f t="shared" si="551"/>
        <v>122.47999999999999</v>
      </c>
      <c r="AC308" s="2502"/>
      <c r="AD308" s="245"/>
      <c r="AE308" s="2503"/>
      <c r="AF308" s="4050">
        <f t="shared" si="505"/>
        <v>122.47999999999999</v>
      </c>
      <c r="AG308" s="2502"/>
      <c r="AH308" s="245"/>
      <c r="AI308" s="2503"/>
      <c r="AJ308" s="4394">
        <f t="shared" si="542"/>
        <v>122.47999999999999</v>
      </c>
      <c r="AK308" s="2502"/>
      <c r="AL308" s="245"/>
      <c r="AM308" s="2504"/>
      <c r="AN308" s="4282">
        <f t="shared" si="555"/>
        <v>0</v>
      </c>
      <c r="AO308" s="2503"/>
      <c r="AP308" s="4277">
        <f t="shared" si="508"/>
        <v>122.47999999999999</v>
      </c>
      <c r="AQ308" s="2502"/>
      <c r="AR308" s="245"/>
      <c r="AS308" s="2503"/>
      <c r="AT308" s="4456">
        <f t="shared" si="509"/>
        <v>122.47999999999999</v>
      </c>
      <c r="AU308" s="2502"/>
      <c r="AV308" s="245"/>
      <c r="AW308" s="2503"/>
      <c r="AX308" s="4635">
        <f t="shared" si="510"/>
        <v>122.47999999999999</v>
      </c>
      <c r="AY308" s="2502"/>
      <c r="AZ308" s="245"/>
      <c r="BA308" s="2504"/>
      <c r="BB308" s="5136">
        <f t="shared" si="556"/>
        <v>0</v>
      </c>
      <c r="BC308" s="3562"/>
      <c r="BD308" s="5143">
        <f t="shared" si="552"/>
        <v>0</v>
      </c>
      <c r="BE308" s="2503"/>
      <c r="BF308" s="5127">
        <f t="shared" si="513"/>
        <v>122.47999999999999</v>
      </c>
      <c r="BG308" s="26"/>
      <c r="BH308" s="26"/>
      <c r="BI308" s="26"/>
      <c r="BJ308" s="26"/>
    </row>
    <row r="309" spans="1:62" ht="20.25" customHeight="1" x14ac:dyDescent="0.25">
      <c r="A309" s="122"/>
      <c r="B309" s="2494" t="s">
        <v>1814</v>
      </c>
      <c r="C309" s="3406"/>
      <c r="D309" s="3406"/>
      <c r="E309" s="2502"/>
      <c r="F309" s="245"/>
      <c r="G309" s="2502"/>
      <c r="H309" s="245"/>
      <c r="I309" s="2503"/>
      <c r="J309" s="3408"/>
      <c r="K309" s="2502"/>
      <c r="L309" s="245"/>
      <c r="M309" s="2504"/>
      <c r="N309" s="3568">
        <f t="shared" si="553"/>
        <v>0</v>
      </c>
      <c r="O309" s="2502"/>
      <c r="P309" s="245"/>
      <c r="Q309" s="2503"/>
      <c r="R309" s="3408"/>
      <c r="S309" s="2502"/>
      <c r="T309" s="245"/>
      <c r="U309" s="2503"/>
      <c r="V309" s="3408">
        <f t="shared" si="502"/>
        <v>0</v>
      </c>
      <c r="W309" s="2502"/>
      <c r="X309" s="245">
        <v>35.56</v>
      </c>
      <c r="Y309" s="2504"/>
      <c r="Z309" s="3568">
        <f t="shared" si="554"/>
        <v>35.56</v>
      </c>
      <c r="AA309" s="3562"/>
      <c r="AB309" s="3565">
        <f t="shared" si="551"/>
        <v>35.56</v>
      </c>
      <c r="AC309" s="2502"/>
      <c r="AD309" s="245"/>
      <c r="AE309" s="2503"/>
      <c r="AF309" s="4050">
        <f t="shared" si="505"/>
        <v>35.56</v>
      </c>
      <c r="AG309" s="2502"/>
      <c r="AH309" s="245"/>
      <c r="AI309" s="2503"/>
      <c r="AJ309" s="4394">
        <f t="shared" si="542"/>
        <v>35.56</v>
      </c>
      <c r="AK309" s="2502"/>
      <c r="AL309" s="245"/>
      <c r="AM309" s="2504"/>
      <c r="AN309" s="4282">
        <f t="shared" si="555"/>
        <v>0</v>
      </c>
      <c r="AO309" s="2503"/>
      <c r="AP309" s="4277">
        <f t="shared" si="508"/>
        <v>35.56</v>
      </c>
      <c r="AQ309" s="2502"/>
      <c r="AR309" s="245"/>
      <c r="AS309" s="2503"/>
      <c r="AT309" s="4456">
        <f t="shared" si="509"/>
        <v>35.56</v>
      </c>
      <c r="AU309" s="2502"/>
      <c r="AV309" s="245"/>
      <c r="AW309" s="2503"/>
      <c r="AX309" s="4635">
        <f t="shared" si="510"/>
        <v>35.56</v>
      </c>
      <c r="AY309" s="2502"/>
      <c r="AZ309" s="245"/>
      <c r="BA309" s="2504"/>
      <c r="BB309" s="5136">
        <f t="shared" si="556"/>
        <v>0</v>
      </c>
      <c r="BC309" s="3562"/>
      <c r="BD309" s="5143">
        <f t="shared" si="552"/>
        <v>0</v>
      </c>
      <c r="BE309" s="2503"/>
      <c r="BF309" s="5127">
        <f t="shared" si="513"/>
        <v>35.56</v>
      </c>
      <c r="BG309" s="26"/>
      <c r="BH309" s="26"/>
      <c r="BI309" s="26"/>
      <c r="BJ309" s="26"/>
    </row>
    <row r="310" spans="1:62" ht="20.25" customHeight="1" x14ac:dyDescent="0.3">
      <c r="A310" s="122"/>
      <c r="B310" s="2486" t="s">
        <v>2</v>
      </c>
      <c r="C310" s="335" t="s">
        <v>52</v>
      </c>
      <c r="D310" s="748">
        <f>+D23</f>
        <v>20000</v>
      </c>
      <c r="E310" s="748">
        <f>+E23</f>
        <v>0</v>
      </c>
      <c r="F310" s="2498">
        <f>SUM(F302:F308)</f>
        <v>0</v>
      </c>
      <c r="G310" s="748">
        <f>+G23</f>
        <v>0</v>
      </c>
      <c r="H310" s="2498">
        <f>SUM(H302:H308)</f>
        <v>0</v>
      </c>
      <c r="I310" s="782">
        <f>+I23</f>
        <v>0</v>
      </c>
      <c r="J310" s="2499">
        <f t="shared" si="545"/>
        <v>0</v>
      </c>
      <c r="K310" s="748">
        <f>+K23</f>
        <v>0</v>
      </c>
      <c r="L310" s="2498">
        <f>SUM(L302:L308)</f>
        <v>0</v>
      </c>
      <c r="M310" s="783">
        <f>E310+G310+K310</f>
        <v>0</v>
      </c>
      <c r="N310" s="2500">
        <f>F310+H310+L310</f>
        <v>0</v>
      </c>
      <c r="O310" s="748">
        <f>+O23</f>
        <v>0</v>
      </c>
      <c r="P310" s="2498">
        <f>SUM(P302:P308)</f>
        <v>245.2</v>
      </c>
      <c r="Q310" s="782">
        <f>+Q23</f>
        <v>0</v>
      </c>
      <c r="R310" s="2499">
        <f t="shared" si="547"/>
        <v>245.2</v>
      </c>
      <c r="S310" s="748">
        <f>+S23</f>
        <v>2500</v>
      </c>
      <c r="T310" s="2498">
        <f>SUM(T302:T309)</f>
        <v>80.47999999999999</v>
      </c>
      <c r="U310" s="2558">
        <f>+U23</f>
        <v>2500</v>
      </c>
      <c r="V310" s="2499">
        <f t="shared" si="502"/>
        <v>325.67999999999995</v>
      </c>
      <c r="W310" s="748">
        <f>+W23</f>
        <v>2500</v>
      </c>
      <c r="X310" s="2498">
        <f>SUM(X302:X309)</f>
        <v>77.16</v>
      </c>
      <c r="Y310" s="3393">
        <f>O310+S310+W310</f>
        <v>5000</v>
      </c>
      <c r="Z310" s="2500">
        <f>P310+T310+X310</f>
        <v>402.83999999999992</v>
      </c>
      <c r="AA310" s="3551">
        <f>+AA23</f>
        <v>5000</v>
      </c>
      <c r="AB310" s="3561">
        <f t="shared" si="551"/>
        <v>402.83999999999992</v>
      </c>
      <c r="AC310" s="748">
        <f>+AC23</f>
        <v>2500</v>
      </c>
      <c r="AD310" s="2498">
        <f>SUM(AD302:AD309)</f>
        <v>222.57</v>
      </c>
      <c r="AE310" s="4051">
        <f>+AE23</f>
        <v>7500</v>
      </c>
      <c r="AF310" s="2499">
        <f t="shared" si="505"/>
        <v>625.40999999999985</v>
      </c>
      <c r="AG310" s="748">
        <f>+AG23</f>
        <v>2500</v>
      </c>
      <c r="AH310" s="2498">
        <f>SUM(AH302:AH309)</f>
        <v>0</v>
      </c>
      <c r="AI310" s="4392">
        <f>+AI23</f>
        <v>10000</v>
      </c>
      <c r="AJ310" s="2499">
        <f t="shared" si="542"/>
        <v>625.40999999999985</v>
      </c>
      <c r="AK310" s="748">
        <f>+AK23</f>
        <v>2500</v>
      </c>
      <c r="AL310" s="2498">
        <f>SUM(AL302:AL309)</f>
        <v>0</v>
      </c>
      <c r="AM310" s="4283">
        <f>AC310+AG310+AK310</f>
        <v>7500</v>
      </c>
      <c r="AN310" s="2500">
        <f>AD310+AH310+AL310</f>
        <v>222.57</v>
      </c>
      <c r="AO310" s="4273">
        <f t="shared" si="508"/>
        <v>12500</v>
      </c>
      <c r="AP310" s="2499">
        <f t="shared" ref="AP310" si="557">AJ310+AL310</f>
        <v>625.40999999999985</v>
      </c>
      <c r="AQ310" s="748">
        <f>+AQ23</f>
        <v>2500</v>
      </c>
      <c r="AR310" s="2498">
        <f>SUM(AR302:AR309)</f>
        <v>33.32</v>
      </c>
      <c r="AS310" s="4453">
        <f>+AS23</f>
        <v>15000</v>
      </c>
      <c r="AT310" s="2499">
        <f t="shared" ref="AT310" si="558">AP310+AR310</f>
        <v>658.7299999999999</v>
      </c>
      <c r="AU310" s="748">
        <f>+AU23</f>
        <v>2500</v>
      </c>
      <c r="AV310" s="2498">
        <f>SUM(AV302:AV309)</f>
        <v>0</v>
      </c>
      <c r="AW310" s="4630">
        <f>+AW23</f>
        <v>17500</v>
      </c>
      <c r="AX310" s="2499">
        <f t="shared" ref="AX310" si="559">AT310+AV310</f>
        <v>658.7299999999999</v>
      </c>
      <c r="AY310" s="748">
        <f>+AY23</f>
        <v>2500</v>
      </c>
      <c r="AZ310" s="2498">
        <f>SUM(AZ302:AZ309)</f>
        <v>0</v>
      </c>
      <c r="BA310" s="5129">
        <f>AQ310+AU310+AY310</f>
        <v>7500</v>
      </c>
      <c r="BB310" s="2500">
        <f>AR310+AV310+AZ310</f>
        <v>33.32</v>
      </c>
      <c r="BC310" s="5140">
        <f>AM310+BA310</f>
        <v>15000</v>
      </c>
      <c r="BD310" s="5140">
        <f>AN310+BB310</f>
        <v>255.89</v>
      </c>
      <c r="BE310" s="5124">
        <f>+BE23</f>
        <v>20000</v>
      </c>
      <c r="BF310" s="2499">
        <f t="shared" ref="BF310" si="560">AX310+AZ310</f>
        <v>658.7299999999999</v>
      </c>
      <c r="BG310" s="26"/>
      <c r="BH310" s="26"/>
      <c r="BI310" s="26"/>
      <c r="BJ310" s="26"/>
    </row>
    <row r="311" spans="1:62" ht="20.25" customHeight="1" thickBot="1" x14ac:dyDescent="0.3">
      <c r="A311" s="188"/>
      <c r="B311" s="3962"/>
      <c r="C311" s="3962"/>
      <c r="D311" s="3962"/>
      <c r="E311" s="3962"/>
      <c r="F311" s="3962"/>
      <c r="G311" s="3962"/>
      <c r="H311" s="3962"/>
      <c r="I311" s="3962"/>
      <c r="J311" s="3962"/>
      <c r="K311" s="3962"/>
      <c r="L311" s="3962"/>
      <c r="M311" s="3962"/>
      <c r="N311" s="3962"/>
      <c r="O311" s="3962"/>
      <c r="P311" s="3962"/>
      <c r="Q311" s="3962"/>
      <c r="R311" s="3962"/>
      <c r="S311" s="3962"/>
      <c r="T311" s="3962"/>
      <c r="U311" s="3962"/>
      <c r="V311" s="3962"/>
      <c r="W311" s="3962"/>
      <c r="X311" s="3962"/>
      <c r="Y311" s="3962"/>
      <c r="Z311" s="3962"/>
      <c r="AA311" s="3963"/>
      <c r="AB311" s="3963"/>
      <c r="AC311" s="3962"/>
      <c r="AD311" s="3962"/>
      <c r="AE311" s="3962"/>
      <c r="AF311" s="3962"/>
      <c r="AG311" s="3962"/>
      <c r="AH311" s="3962"/>
      <c r="AI311" s="3962"/>
      <c r="AJ311" s="3962"/>
      <c r="AK311" s="3962"/>
      <c r="AL311" s="3962"/>
      <c r="AM311" s="3962"/>
      <c r="AN311" s="3962"/>
      <c r="AO311" s="3962"/>
      <c r="AP311" s="3962"/>
      <c r="AQ311" s="3962"/>
      <c r="AR311" s="3962"/>
      <c r="AS311" s="3962"/>
      <c r="AT311" s="3962"/>
      <c r="AU311" s="3962"/>
      <c r="AV311" s="3962"/>
      <c r="AW311" s="3962"/>
      <c r="AX311" s="3962"/>
      <c r="AY311" s="3962"/>
      <c r="AZ311" s="3962"/>
      <c r="BA311" s="3962"/>
      <c r="BB311" s="3962"/>
      <c r="BC311" s="3963"/>
      <c r="BD311" s="3963"/>
      <c r="BE311" s="3962"/>
      <c r="BF311" s="3962"/>
      <c r="BG311" s="26"/>
      <c r="BH311" s="26"/>
      <c r="BI311" s="26"/>
      <c r="BJ311" s="26"/>
    </row>
    <row r="312" spans="1:62" ht="20.25" customHeight="1" x14ac:dyDescent="0.25">
      <c r="A312" s="188"/>
      <c r="B312" s="3968" t="s">
        <v>547</v>
      </c>
      <c r="C312" s="2405"/>
      <c r="D312" s="2405"/>
      <c r="E312" s="2405"/>
      <c r="F312" s="2405"/>
      <c r="G312" s="2405"/>
      <c r="H312" s="2405"/>
      <c r="I312" s="2405"/>
      <c r="J312" s="2405"/>
      <c r="K312" s="2405"/>
      <c r="L312" s="2405"/>
      <c r="M312" s="2405"/>
      <c r="N312" s="2405"/>
      <c r="O312" s="2405"/>
      <c r="P312" s="2405"/>
      <c r="Q312" s="2405"/>
      <c r="R312" s="2405"/>
      <c r="S312" s="2405"/>
      <c r="T312" s="2405"/>
      <c r="U312" s="2405"/>
      <c r="V312" s="2405"/>
      <c r="W312" s="2405"/>
      <c r="X312" s="2405"/>
      <c r="Y312" s="2405"/>
      <c r="Z312" s="2405"/>
      <c r="AA312" s="3969"/>
      <c r="AB312" s="3970"/>
      <c r="AC312" s="2405"/>
      <c r="AD312" s="2405"/>
      <c r="AE312" s="2405"/>
      <c r="AF312" s="2405"/>
      <c r="AG312" s="2405"/>
      <c r="AH312" s="2405"/>
      <c r="AI312" s="2405"/>
      <c r="AJ312" s="2405"/>
      <c r="AK312" s="2405"/>
      <c r="AL312" s="2405"/>
      <c r="AM312" s="2405"/>
      <c r="AN312" s="2405"/>
      <c r="AO312" s="2405"/>
      <c r="AP312" s="2405"/>
      <c r="AQ312" s="2405"/>
      <c r="AR312" s="2405"/>
      <c r="AS312" s="2405"/>
      <c r="AT312" s="2405"/>
      <c r="AU312" s="2405"/>
      <c r="AV312" s="2405"/>
      <c r="AW312" s="2405"/>
      <c r="AX312" s="2405"/>
      <c r="AY312" s="2405"/>
      <c r="AZ312" s="2405"/>
      <c r="BA312" s="2405"/>
      <c r="BB312" s="2405"/>
      <c r="BC312" s="3969"/>
      <c r="BD312" s="3970"/>
      <c r="BE312" s="2405"/>
      <c r="BF312" s="2405"/>
      <c r="BG312" s="26"/>
      <c r="BH312" s="26"/>
      <c r="BI312" s="26"/>
      <c r="BJ312" s="26"/>
    </row>
    <row r="313" spans="1:62" ht="20.25" customHeight="1" x14ac:dyDescent="0.25">
      <c r="A313" s="188"/>
      <c r="B313" s="905" t="s">
        <v>1313</v>
      </c>
      <c r="C313" s="220"/>
      <c r="D313" s="220"/>
      <c r="E313" s="220"/>
      <c r="F313" s="220"/>
      <c r="G313" s="220"/>
      <c r="H313" s="220"/>
      <c r="I313" s="220"/>
      <c r="J313" s="220"/>
      <c r="K313" s="220"/>
      <c r="L313" s="220"/>
      <c r="M313" s="220"/>
      <c r="N313" s="220"/>
      <c r="O313" s="220"/>
      <c r="P313" s="220"/>
      <c r="Q313" s="220"/>
      <c r="R313" s="220"/>
      <c r="S313" s="220"/>
      <c r="T313" s="220"/>
      <c r="U313" s="220"/>
      <c r="V313" s="220"/>
      <c r="W313" s="220"/>
      <c r="X313" s="220"/>
      <c r="Y313" s="220"/>
      <c r="Z313" s="220"/>
      <c r="AA313" s="3552"/>
      <c r="AB313" s="3971"/>
      <c r="AC313" s="220"/>
      <c r="AD313" s="220"/>
      <c r="AE313" s="220"/>
      <c r="AF313" s="220"/>
      <c r="AG313" s="220"/>
      <c r="AH313" s="220"/>
      <c r="AI313" s="220"/>
      <c r="AJ313" s="220"/>
      <c r="AK313" s="220"/>
      <c r="AL313" s="220"/>
      <c r="AM313" s="220"/>
      <c r="AN313" s="220"/>
      <c r="AO313" s="220"/>
      <c r="AP313" s="220"/>
      <c r="AQ313" s="220"/>
      <c r="AR313" s="220"/>
      <c r="AS313" s="220"/>
      <c r="AT313" s="220"/>
      <c r="AU313" s="220"/>
      <c r="AV313" s="220"/>
      <c r="AW313" s="220"/>
      <c r="AX313" s="220"/>
      <c r="AY313" s="220"/>
      <c r="AZ313" s="220"/>
      <c r="BA313" s="220"/>
      <c r="BB313" s="220"/>
      <c r="BC313" s="3552"/>
      <c r="BD313" s="3971"/>
      <c r="BE313" s="220"/>
      <c r="BF313" s="220"/>
      <c r="BG313" s="26"/>
      <c r="BH313" s="26"/>
      <c r="BI313" s="26"/>
      <c r="BJ313" s="26"/>
    </row>
    <row r="314" spans="1:62" ht="20.25" customHeight="1" x14ac:dyDescent="0.25">
      <c r="A314" s="188"/>
      <c r="B314" s="905" t="s">
        <v>124</v>
      </c>
      <c r="C314" s="220"/>
      <c r="D314" s="220"/>
      <c r="E314" s="220"/>
      <c r="F314" s="220"/>
      <c r="G314" s="220"/>
      <c r="H314" s="220"/>
      <c r="I314" s="220"/>
      <c r="J314" s="220"/>
      <c r="K314" s="220"/>
      <c r="L314" s="220"/>
      <c r="M314" s="220"/>
      <c r="N314" s="220"/>
      <c r="O314" s="220"/>
      <c r="P314" s="220"/>
      <c r="Q314" s="220"/>
      <c r="R314" s="220"/>
      <c r="S314" s="220"/>
      <c r="T314" s="220"/>
      <c r="U314" s="220"/>
      <c r="V314" s="220"/>
      <c r="W314" s="220"/>
      <c r="X314" s="220"/>
      <c r="Y314" s="220"/>
      <c r="Z314" s="220"/>
      <c r="AA314" s="3552"/>
      <c r="AB314" s="3971"/>
      <c r="AC314" s="220"/>
      <c r="AD314" s="220"/>
      <c r="AE314" s="220"/>
      <c r="AF314" s="220"/>
      <c r="AG314" s="220"/>
      <c r="AH314" s="220"/>
      <c r="AI314" s="220"/>
      <c r="AJ314" s="220"/>
      <c r="AK314" s="220"/>
      <c r="AL314" s="220"/>
      <c r="AM314" s="220"/>
      <c r="AN314" s="220"/>
      <c r="AO314" s="220"/>
      <c r="AP314" s="220"/>
      <c r="AQ314" s="220"/>
      <c r="AR314" s="220"/>
      <c r="AS314" s="220"/>
      <c r="AT314" s="220"/>
      <c r="AU314" s="220"/>
      <c r="AV314" s="220"/>
      <c r="AW314" s="220"/>
      <c r="AX314" s="220"/>
      <c r="AY314" s="220"/>
      <c r="AZ314" s="220"/>
      <c r="BA314" s="220"/>
      <c r="BB314" s="220"/>
      <c r="BC314" s="3552"/>
      <c r="BD314" s="3971"/>
      <c r="BE314" s="220"/>
      <c r="BF314" s="220"/>
      <c r="BG314" s="26"/>
      <c r="BH314" s="26"/>
      <c r="BI314" s="26"/>
      <c r="BJ314" s="26"/>
    </row>
    <row r="315" spans="1:62" ht="20.25" customHeight="1" x14ac:dyDescent="0.25">
      <c r="A315" s="122"/>
      <c r="B315" s="3972" t="s">
        <v>681</v>
      </c>
      <c r="C315" s="3955" t="s">
        <v>52</v>
      </c>
      <c r="D315" s="3955"/>
      <c r="E315" s="6235"/>
      <c r="F315" s="3956"/>
      <c r="G315" s="6235"/>
      <c r="H315" s="3956"/>
      <c r="I315" s="6229"/>
      <c r="J315" s="3959">
        <f>F315+H315</f>
        <v>0</v>
      </c>
      <c r="K315" s="6235"/>
      <c r="L315" s="3956"/>
      <c r="M315" s="6197"/>
      <c r="N315" s="3957"/>
      <c r="O315" s="6235"/>
      <c r="P315" s="3956"/>
      <c r="Q315" s="6229"/>
      <c r="R315" s="3959"/>
      <c r="S315" s="6235"/>
      <c r="T315" s="3956"/>
      <c r="U315" s="6229"/>
      <c r="V315" s="3959"/>
      <c r="W315" s="6235"/>
      <c r="X315" s="3956"/>
      <c r="Y315" s="6197"/>
      <c r="Z315" s="3957"/>
      <c r="AA315" s="6199"/>
      <c r="AB315" s="3973"/>
      <c r="AC315" s="6235"/>
      <c r="AD315" s="4048"/>
      <c r="AE315" s="6229"/>
      <c r="AF315" s="4050"/>
      <c r="AG315" s="896"/>
      <c r="AH315" s="4397"/>
      <c r="AI315" s="2345"/>
      <c r="AJ315" s="4394"/>
      <c r="AK315" s="6235"/>
      <c r="AL315" s="4276"/>
      <c r="AM315" s="6197"/>
      <c r="AN315" s="4282"/>
      <c r="AO315" s="6229"/>
      <c r="AP315" s="4277"/>
      <c r="AQ315" s="896"/>
      <c r="AR315" s="4455"/>
      <c r="AS315" s="2345"/>
      <c r="AT315" s="4456"/>
      <c r="AU315" s="896"/>
      <c r="AV315" s="4634"/>
      <c r="AW315" s="2345"/>
      <c r="AX315" s="4635"/>
      <c r="AY315" s="896"/>
      <c r="AZ315" s="5135"/>
      <c r="BA315" s="6197"/>
      <c r="BB315" s="5136"/>
      <c r="BC315" s="6199"/>
      <c r="BD315" s="3973"/>
      <c r="BE315" s="2345"/>
      <c r="BF315" s="5127"/>
      <c r="BG315" s="26"/>
      <c r="BH315" s="26"/>
      <c r="BI315" s="26"/>
      <c r="BJ315" s="26"/>
    </row>
    <row r="316" spans="1:62" ht="20.25" customHeight="1" x14ac:dyDescent="0.25">
      <c r="A316" s="122"/>
      <c r="B316" s="3974" t="s">
        <v>736</v>
      </c>
      <c r="C316" s="3955" t="s">
        <v>52</v>
      </c>
      <c r="D316" s="3955"/>
      <c r="E316" s="6235"/>
      <c r="F316" s="748">
        <v>1289.0400000000002</v>
      </c>
      <c r="G316" s="6235"/>
      <c r="H316" s="748">
        <v>5515.8799999999974</v>
      </c>
      <c r="I316" s="6229"/>
      <c r="J316" s="3959">
        <f t="shared" ref="J316:J343" si="561">F316+H316</f>
        <v>6804.9199999999973</v>
      </c>
      <c r="K316" s="6235"/>
      <c r="L316" s="748">
        <v>2763.7600000000007</v>
      </c>
      <c r="M316" s="6197"/>
      <c r="N316" s="3954">
        <f>F316+H316+L316</f>
        <v>9568.6799999999985</v>
      </c>
      <c r="O316" s="6235"/>
      <c r="P316" s="748">
        <v>3861.619999999999</v>
      </c>
      <c r="Q316" s="6229"/>
      <c r="R316" s="3959">
        <f t="shared" ref="R316:R343" si="562">N316+P316</f>
        <v>13430.299999999997</v>
      </c>
      <c r="S316" s="6235"/>
      <c r="T316" s="748">
        <v>0</v>
      </c>
      <c r="U316" s="6229"/>
      <c r="V316" s="3959">
        <f t="shared" ref="V316:V318" si="563">R316+T316</f>
        <v>13430.299999999997</v>
      </c>
      <c r="W316" s="6235"/>
      <c r="X316" s="748">
        <v>1353.3200000000002</v>
      </c>
      <c r="Y316" s="6197"/>
      <c r="Z316" s="3954">
        <f t="shared" ref="Z316:Z343" si="564">P316+T316+X316</f>
        <v>5214.9399999999987</v>
      </c>
      <c r="AA316" s="6199"/>
      <c r="AB316" s="3979">
        <f>N316+Z316</f>
        <v>14783.619999999997</v>
      </c>
      <c r="AC316" s="6235"/>
      <c r="AD316" s="748">
        <v>2817.4600000000005</v>
      </c>
      <c r="AE316" s="6229"/>
      <c r="AF316" s="4050">
        <f t="shared" ref="AF316:AF318" si="565">AB316+AD316</f>
        <v>17601.079999999998</v>
      </c>
      <c r="AG316" s="896"/>
      <c r="AH316" s="748">
        <v>1346.7</v>
      </c>
      <c r="AI316" s="2345"/>
      <c r="AJ316" s="4394">
        <f t="shared" ref="AJ316:AJ318" si="566">AF316+AH316</f>
        <v>18947.78</v>
      </c>
      <c r="AK316" s="6235"/>
      <c r="AL316" s="748"/>
      <c r="AM316" s="6197"/>
      <c r="AN316" s="4283">
        <f t="shared" ref="AN316:AN361" si="567">AD316+AH316+AL316</f>
        <v>4164.1600000000008</v>
      </c>
      <c r="AO316" s="6229"/>
      <c r="AP316" s="4277">
        <f t="shared" ref="AO316:AP361" si="568">AJ316+AL316</f>
        <v>18947.78</v>
      </c>
      <c r="AQ316" s="896"/>
      <c r="AR316" s="748"/>
      <c r="AS316" s="2345"/>
      <c r="AT316" s="4456">
        <f t="shared" ref="AT316:AT318" si="569">AP316+AR316</f>
        <v>18947.78</v>
      </c>
      <c r="AU316" s="896"/>
      <c r="AV316" s="748">
        <v>2778.94</v>
      </c>
      <c r="AW316" s="2345"/>
      <c r="AX316" s="4635">
        <f t="shared" ref="AX316:AX318" si="570">AT316+AV316</f>
        <v>21726.719999999998</v>
      </c>
      <c r="AY316" s="896"/>
      <c r="AZ316" s="748">
        <v>4166.2999999999993</v>
      </c>
      <c r="BA316" s="6197"/>
      <c r="BB316" s="5129">
        <f t="shared" ref="BB316:BB341" si="571">AR316+AV316+AZ316</f>
        <v>6945.24</v>
      </c>
      <c r="BC316" s="6199"/>
      <c r="BD316" s="784">
        <f t="shared" ref="BD316:BD361" si="572">AN316+BB316</f>
        <v>11109.400000000001</v>
      </c>
      <c r="BE316" s="2345"/>
      <c r="BF316" s="5127">
        <f t="shared" ref="BF316:BF318" si="573">AX316+AZ316</f>
        <v>25893.019999999997</v>
      </c>
      <c r="BG316" s="26"/>
      <c r="BH316" s="26"/>
      <c r="BI316" s="26"/>
      <c r="BJ316" s="26"/>
    </row>
    <row r="317" spans="1:62" s="183" customFormat="1" ht="20.25" customHeight="1" x14ac:dyDescent="0.25">
      <c r="A317" s="188"/>
      <c r="B317" s="3975"/>
      <c r="C317" s="481" t="s">
        <v>52</v>
      </c>
      <c r="D317" s="481"/>
      <c r="E317" s="6235"/>
      <c r="F317" s="4018">
        <f>+F38</f>
        <v>0</v>
      </c>
      <c r="G317" s="6235"/>
      <c r="H317" s="4018">
        <f>+H38</f>
        <v>0</v>
      </c>
      <c r="I317" s="6229"/>
      <c r="J317" s="4018">
        <f t="shared" si="561"/>
        <v>0</v>
      </c>
      <c r="K317" s="6235"/>
      <c r="L317" s="4018">
        <f>+L38</f>
        <v>0</v>
      </c>
      <c r="M317" s="6197"/>
      <c r="N317" s="4016">
        <f t="shared" ref="N317:N343" si="574">F317+H317+L317</f>
        <v>0</v>
      </c>
      <c r="O317" s="6235"/>
      <c r="P317" s="4018">
        <f>+P38</f>
        <v>0</v>
      </c>
      <c r="Q317" s="6229"/>
      <c r="R317" s="4018">
        <f t="shared" si="562"/>
        <v>0</v>
      </c>
      <c r="S317" s="6235"/>
      <c r="T317" s="4018">
        <f>+T38</f>
        <v>0</v>
      </c>
      <c r="U317" s="6229"/>
      <c r="V317" s="4018">
        <f t="shared" si="563"/>
        <v>0</v>
      </c>
      <c r="W317" s="6235"/>
      <c r="X317" s="4018">
        <f>+X38</f>
        <v>0</v>
      </c>
      <c r="Y317" s="6197"/>
      <c r="Z317" s="4016">
        <f t="shared" si="564"/>
        <v>0</v>
      </c>
      <c r="AA317" s="6199"/>
      <c r="AB317" s="3979">
        <f t="shared" ref="AB317:AB343" si="575">N317+Z317</f>
        <v>0</v>
      </c>
      <c r="AC317" s="6235"/>
      <c r="AD317" s="4048">
        <f>+AD38</f>
        <v>0</v>
      </c>
      <c r="AE317" s="6229"/>
      <c r="AF317" s="4050">
        <f t="shared" si="565"/>
        <v>0</v>
      </c>
      <c r="AG317" s="896"/>
      <c r="AH317" s="4397">
        <f>+AH38</f>
        <v>0</v>
      </c>
      <c r="AI317" s="2345"/>
      <c r="AJ317" s="4394">
        <f t="shared" si="566"/>
        <v>0</v>
      </c>
      <c r="AK317" s="6235"/>
      <c r="AL317" s="4276">
        <f>+AL38</f>
        <v>0</v>
      </c>
      <c r="AM317" s="6197"/>
      <c r="AN317" s="4283">
        <f t="shared" si="567"/>
        <v>0</v>
      </c>
      <c r="AO317" s="6229"/>
      <c r="AP317" s="4277">
        <f t="shared" si="568"/>
        <v>0</v>
      </c>
      <c r="AQ317" s="896"/>
      <c r="AR317" s="4455">
        <f>+AR38</f>
        <v>0</v>
      </c>
      <c r="AS317" s="2345"/>
      <c r="AT317" s="4456">
        <f t="shared" si="569"/>
        <v>0</v>
      </c>
      <c r="AU317" s="896"/>
      <c r="AV317" s="4634">
        <f>+AV38</f>
        <v>0</v>
      </c>
      <c r="AW317" s="2345"/>
      <c r="AX317" s="4635">
        <f t="shared" si="570"/>
        <v>0</v>
      </c>
      <c r="AY317" s="896"/>
      <c r="AZ317" s="5135">
        <f>+AZ38</f>
        <v>0</v>
      </c>
      <c r="BA317" s="6197"/>
      <c r="BB317" s="5129">
        <f t="shared" si="571"/>
        <v>0</v>
      </c>
      <c r="BC317" s="6199"/>
      <c r="BD317" s="784">
        <f t="shared" si="572"/>
        <v>0</v>
      </c>
      <c r="BE317" s="2345"/>
      <c r="BF317" s="5127">
        <f t="shared" si="573"/>
        <v>0</v>
      </c>
      <c r="BG317" s="26"/>
      <c r="BH317" s="26"/>
      <c r="BI317" s="26"/>
      <c r="BJ317" s="26"/>
    </row>
    <row r="318" spans="1:62" ht="65.25" customHeight="1" x14ac:dyDescent="0.25">
      <c r="A318" s="122"/>
      <c r="B318" s="5379" t="s">
        <v>1987</v>
      </c>
      <c r="C318" s="481" t="s">
        <v>52</v>
      </c>
      <c r="D318" s="481"/>
      <c r="E318" s="6235"/>
      <c r="F318" s="4018">
        <f>+F39</f>
        <v>1300.9100000000001</v>
      </c>
      <c r="G318" s="6235"/>
      <c r="H318" s="4018">
        <f>+H39</f>
        <v>2406.12</v>
      </c>
      <c r="I318" s="6229"/>
      <c r="J318" s="3959">
        <f t="shared" si="561"/>
        <v>3707.0299999999997</v>
      </c>
      <c r="K318" s="6235"/>
      <c r="L318" s="4018">
        <f>+L39</f>
        <v>1412.02</v>
      </c>
      <c r="M318" s="6197"/>
      <c r="N318" s="4016">
        <f t="shared" si="574"/>
        <v>5119.0499999999993</v>
      </c>
      <c r="O318" s="6235"/>
      <c r="P318" s="4018">
        <f>+P39</f>
        <v>1585.38</v>
      </c>
      <c r="Q318" s="6229"/>
      <c r="R318" s="3959">
        <f t="shared" si="562"/>
        <v>6704.4299999999994</v>
      </c>
      <c r="S318" s="6235"/>
      <c r="T318" s="4018">
        <f>+T39</f>
        <v>1518.5299999999997</v>
      </c>
      <c r="U318" s="6229"/>
      <c r="V318" s="3959">
        <f t="shared" si="563"/>
        <v>8222.9599999999991</v>
      </c>
      <c r="W318" s="6235"/>
      <c r="X318" s="4018">
        <f>+X39</f>
        <v>1916.96</v>
      </c>
      <c r="Y318" s="6197"/>
      <c r="Z318" s="4016">
        <f t="shared" si="564"/>
        <v>5020.87</v>
      </c>
      <c r="AA318" s="6199"/>
      <c r="AB318" s="3979">
        <f t="shared" si="575"/>
        <v>10139.919999999998</v>
      </c>
      <c r="AC318" s="6235"/>
      <c r="AD318" s="4048">
        <f>+AD39</f>
        <v>2526.1800000000003</v>
      </c>
      <c r="AE318" s="6229"/>
      <c r="AF318" s="4050">
        <f t="shared" si="565"/>
        <v>12666.099999999999</v>
      </c>
      <c r="AG318" s="896"/>
      <c r="AH318" s="4397">
        <f>+AH39</f>
        <v>1765.8600000000001</v>
      </c>
      <c r="AI318" s="2345"/>
      <c r="AJ318" s="4394">
        <f t="shared" si="566"/>
        <v>14431.96</v>
      </c>
      <c r="AK318" s="6235"/>
      <c r="AL318" s="4276">
        <f>+AL39</f>
        <v>1302.0999999999999</v>
      </c>
      <c r="AM318" s="6197"/>
      <c r="AN318" s="4283">
        <f t="shared" si="567"/>
        <v>5594.1400000000012</v>
      </c>
      <c r="AO318" s="6229"/>
      <c r="AP318" s="4277">
        <f t="shared" si="568"/>
        <v>15734.06</v>
      </c>
      <c r="AQ318" s="896"/>
      <c r="AR318" s="4455">
        <f>+AR39</f>
        <v>2913.06</v>
      </c>
      <c r="AS318" s="2345"/>
      <c r="AT318" s="4456">
        <f t="shared" si="569"/>
        <v>18647.12</v>
      </c>
      <c r="AU318" s="896"/>
      <c r="AV318" s="4634">
        <f>+AV39</f>
        <v>1262.6400000000001</v>
      </c>
      <c r="AW318" s="2345"/>
      <c r="AX318" s="4635">
        <f t="shared" si="570"/>
        <v>19909.759999999998</v>
      </c>
      <c r="AY318" s="896"/>
      <c r="AZ318" s="5135">
        <f>+AZ39</f>
        <v>3796.96</v>
      </c>
      <c r="BA318" s="6197"/>
      <c r="BB318" s="5129">
        <f t="shared" si="571"/>
        <v>7972.66</v>
      </c>
      <c r="BC318" s="6199"/>
      <c r="BD318" s="784">
        <f t="shared" si="572"/>
        <v>13566.800000000001</v>
      </c>
      <c r="BE318" s="2345"/>
      <c r="BF318" s="5127">
        <f t="shared" si="573"/>
        <v>23706.719999999998</v>
      </c>
      <c r="BG318" s="26"/>
      <c r="BH318" s="26"/>
      <c r="BI318" s="26"/>
      <c r="BJ318" s="26"/>
    </row>
    <row r="319" spans="1:62" ht="20.25" x14ac:dyDescent="0.25">
      <c r="A319" s="122"/>
      <c r="B319" s="3976" t="s">
        <v>616</v>
      </c>
      <c r="C319" s="481"/>
      <c r="D319" s="481"/>
      <c r="E319" s="6235"/>
      <c r="F319" s="3956"/>
      <c r="G319" s="6235"/>
      <c r="H319" s="3956"/>
      <c r="I319" s="6229"/>
      <c r="J319" s="3959">
        <f t="shared" si="561"/>
        <v>0</v>
      </c>
      <c r="K319" s="6235"/>
      <c r="L319" s="3956"/>
      <c r="M319" s="6197"/>
      <c r="N319" s="4016">
        <f t="shared" si="574"/>
        <v>0</v>
      </c>
      <c r="O319" s="6235"/>
      <c r="P319" s="3956"/>
      <c r="Q319" s="6229"/>
      <c r="R319" s="3959"/>
      <c r="S319" s="6235"/>
      <c r="T319" s="3956"/>
      <c r="U319" s="6229"/>
      <c r="V319" s="3959"/>
      <c r="W319" s="6235"/>
      <c r="X319" s="3956"/>
      <c r="Y319" s="6197"/>
      <c r="Z319" s="4016">
        <f t="shared" si="564"/>
        <v>0</v>
      </c>
      <c r="AA319" s="6199"/>
      <c r="AB319" s="3979">
        <f t="shared" si="575"/>
        <v>0</v>
      </c>
      <c r="AC319" s="6235"/>
      <c r="AD319" s="4048"/>
      <c r="AE319" s="6229"/>
      <c r="AF319" s="4050"/>
      <c r="AG319" s="896"/>
      <c r="AH319" s="4397"/>
      <c r="AI319" s="2345"/>
      <c r="AJ319" s="4394"/>
      <c r="AK319" s="6235"/>
      <c r="AL319" s="4276"/>
      <c r="AM319" s="6197"/>
      <c r="AN319" s="4283">
        <f t="shared" si="567"/>
        <v>0</v>
      </c>
      <c r="AO319" s="6229"/>
      <c r="AP319" s="4277">
        <f t="shared" si="568"/>
        <v>0</v>
      </c>
      <c r="AQ319" s="896"/>
      <c r="AR319" s="4455"/>
      <c r="AS319" s="2345"/>
      <c r="AT319" s="4456"/>
      <c r="AU319" s="896"/>
      <c r="AV319" s="4634"/>
      <c r="AW319" s="2345"/>
      <c r="AX319" s="4635"/>
      <c r="AY319" s="896"/>
      <c r="AZ319" s="5135"/>
      <c r="BA319" s="6197"/>
      <c r="BB319" s="5129">
        <f t="shared" si="571"/>
        <v>0</v>
      </c>
      <c r="BC319" s="6199"/>
      <c r="BD319" s="784">
        <f t="shared" si="572"/>
        <v>0</v>
      </c>
      <c r="BE319" s="2345"/>
      <c r="BF319" s="5127"/>
      <c r="BG319" s="26"/>
      <c r="BH319" s="26"/>
      <c r="BI319" s="26"/>
      <c r="BJ319" s="26"/>
    </row>
    <row r="320" spans="1:62" ht="20.25" customHeight="1" x14ac:dyDescent="0.25">
      <c r="A320" s="122"/>
      <c r="B320" s="3977" t="s">
        <v>655</v>
      </c>
      <c r="C320" s="3955" t="s">
        <v>52</v>
      </c>
      <c r="D320" s="3955"/>
      <c r="E320" s="6235"/>
      <c r="F320" s="3956">
        <v>1298.43</v>
      </c>
      <c r="G320" s="6235"/>
      <c r="H320" s="3956"/>
      <c r="I320" s="6229"/>
      <c r="J320" s="3959">
        <f t="shared" si="561"/>
        <v>1298.43</v>
      </c>
      <c r="K320" s="6235"/>
      <c r="L320" s="3956">
        <v>761.12</v>
      </c>
      <c r="M320" s="6197"/>
      <c r="N320" s="4016">
        <f t="shared" si="574"/>
        <v>2059.5500000000002</v>
      </c>
      <c r="O320" s="6235"/>
      <c r="P320" s="3956">
        <v>190.62</v>
      </c>
      <c r="Q320" s="6229"/>
      <c r="R320" s="3959">
        <f t="shared" si="562"/>
        <v>2250.17</v>
      </c>
      <c r="S320" s="6235"/>
      <c r="T320" s="3956"/>
      <c r="U320" s="6229"/>
      <c r="V320" s="3959">
        <f t="shared" ref="V320:V343" si="576">R320+T320</f>
        <v>2250.17</v>
      </c>
      <c r="W320" s="6235"/>
      <c r="X320" s="3956"/>
      <c r="Y320" s="6197"/>
      <c r="Z320" s="4016">
        <f t="shared" si="564"/>
        <v>190.62</v>
      </c>
      <c r="AA320" s="6199"/>
      <c r="AB320" s="3979">
        <f t="shared" si="575"/>
        <v>2250.17</v>
      </c>
      <c r="AC320" s="6235"/>
      <c r="AD320" s="4048">
        <v>547.89</v>
      </c>
      <c r="AE320" s="6229"/>
      <c r="AF320" s="4050">
        <f t="shared" ref="AF320:AF343" si="577">AB320+AD320</f>
        <v>2798.06</v>
      </c>
      <c r="AG320" s="4448"/>
      <c r="AH320" s="4397">
        <v>332.94</v>
      </c>
      <c r="AI320" s="4450"/>
      <c r="AJ320" s="4394">
        <f t="shared" ref="AJ320:AJ343" si="578">AF320+AH320</f>
        <v>3131</v>
      </c>
      <c r="AK320" s="6236"/>
      <c r="AL320" s="4276"/>
      <c r="AM320" s="6197"/>
      <c r="AN320" s="4283">
        <f t="shared" si="567"/>
        <v>880.82999999999993</v>
      </c>
      <c r="AO320" s="6229"/>
      <c r="AP320" s="4277">
        <f t="shared" si="568"/>
        <v>3131</v>
      </c>
      <c r="AQ320" s="4448"/>
      <c r="AR320" s="4455">
        <v>939.18999999999994</v>
      </c>
      <c r="AS320" s="4450"/>
      <c r="AT320" s="4456">
        <f t="shared" ref="AT320:AT343" si="579">AP320+AR320</f>
        <v>4070.19</v>
      </c>
      <c r="AU320" s="4639"/>
      <c r="AV320" s="4634">
        <v>946.42</v>
      </c>
      <c r="AW320" s="4450"/>
      <c r="AX320" s="4635">
        <f t="shared" ref="AX320:AX343" si="580">AT320+AV320</f>
        <v>5016.6099999999997</v>
      </c>
      <c r="AY320" s="5132"/>
      <c r="AZ320" s="5135">
        <v>171.38</v>
      </c>
      <c r="BA320" s="6197"/>
      <c r="BB320" s="5129">
        <f t="shared" si="571"/>
        <v>2056.9899999999998</v>
      </c>
      <c r="BC320" s="6199"/>
      <c r="BD320" s="784">
        <f t="shared" si="572"/>
        <v>2937.8199999999997</v>
      </c>
      <c r="BE320" s="4450"/>
      <c r="BF320" s="5127">
        <f t="shared" ref="BF320:BF343" si="581">AX320+AZ320</f>
        <v>5187.99</v>
      </c>
      <c r="BG320" s="26"/>
      <c r="BH320" s="26"/>
      <c r="BI320" s="26"/>
      <c r="BJ320" s="26"/>
    </row>
    <row r="321" spans="1:62" ht="20.25" customHeight="1" x14ac:dyDescent="0.25">
      <c r="A321" s="122"/>
      <c r="B321" s="3977" t="s">
        <v>1363</v>
      </c>
      <c r="C321" s="3955" t="s">
        <v>52</v>
      </c>
      <c r="D321" s="3955"/>
      <c r="E321" s="6235"/>
      <c r="F321" s="3956">
        <v>2605.0600000000004</v>
      </c>
      <c r="G321" s="6235"/>
      <c r="H321" s="3956">
        <v>4043.1300000000015</v>
      </c>
      <c r="I321" s="6229"/>
      <c r="J321" s="3959">
        <f t="shared" si="561"/>
        <v>6648.1900000000023</v>
      </c>
      <c r="K321" s="6235"/>
      <c r="L321" s="3956">
        <v>5946.1600000000008</v>
      </c>
      <c r="M321" s="6197"/>
      <c r="N321" s="4016">
        <f t="shared" si="574"/>
        <v>12594.350000000002</v>
      </c>
      <c r="O321" s="6235"/>
      <c r="P321" s="3956">
        <v>7358.5900000000011</v>
      </c>
      <c r="Q321" s="6229"/>
      <c r="R321" s="3959">
        <f t="shared" si="562"/>
        <v>19952.940000000002</v>
      </c>
      <c r="S321" s="6235"/>
      <c r="T321" s="3956">
        <v>6581.260000000002</v>
      </c>
      <c r="U321" s="6229"/>
      <c r="V321" s="3959">
        <f t="shared" si="576"/>
        <v>26534.200000000004</v>
      </c>
      <c r="W321" s="6235"/>
      <c r="X321" s="3956">
        <v>11352.32</v>
      </c>
      <c r="Y321" s="6197"/>
      <c r="Z321" s="4016">
        <f t="shared" si="564"/>
        <v>25292.170000000002</v>
      </c>
      <c r="AA321" s="6199"/>
      <c r="AB321" s="3979">
        <f t="shared" si="575"/>
        <v>37886.520000000004</v>
      </c>
      <c r="AC321" s="6235"/>
      <c r="AD321" s="4048">
        <v>4282.9999999999991</v>
      </c>
      <c r="AE321" s="6229"/>
      <c r="AF321" s="4050">
        <f t="shared" si="577"/>
        <v>42169.520000000004</v>
      </c>
      <c r="AG321" s="4448"/>
      <c r="AH321" s="4397">
        <v>4199.8599999999997</v>
      </c>
      <c r="AI321" s="4450"/>
      <c r="AJ321" s="4394">
        <f t="shared" si="578"/>
        <v>46369.380000000005</v>
      </c>
      <c r="AK321" s="6236"/>
      <c r="AL321" s="4276">
        <v>6479.1600000000008</v>
      </c>
      <c r="AM321" s="6197"/>
      <c r="AN321" s="4283">
        <f t="shared" si="567"/>
        <v>14962.02</v>
      </c>
      <c r="AO321" s="6229"/>
      <c r="AP321" s="4277">
        <f t="shared" si="568"/>
        <v>52848.540000000008</v>
      </c>
      <c r="AQ321" s="4448"/>
      <c r="AR321" s="4455">
        <v>5778.8200000000006</v>
      </c>
      <c r="AS321" s="4450"/>
      <c r="AT321" s="4456">
        <f t="shared" si="579"/>
        <v>58627.360000000008</v>
      </c>
      <c r="AU321" s="4639"/>
      <c r="AV321" s="4634">
        <v>3589.3600000000006</v>
      </c>
      <c r="AW321" s="4450"/>
      <c r="AX321" s="4635">
        <f t="shared" si="580"/>
        <v>62216.720000000008</v>
      </c>
      <c r="AY321" s="5132"/>
      <c r="AZ321" s="5135">
        <v>7915.0399999999963</v>
      </c>
      <c r="BA321" s="6197"/>
      <c r="BB321" s="5129">
        <f t="shared" si="571"/>
        <v>17283.219999999998</v>
      </c>
      <c r="BC321" s="6199"/>
      <c r="BD321" s="784">
        <f t="shared" si="572"/>
        <v>32245.239999999998</v>
      </c>
      <c r="BE321" s="4450"/>
      <c r="BF321" s="5127">
        <f t="shared" si="581"/>
        <v>70131.760000000009</v>
      </c>
      <c r="BG321" s="26"/>
      <c r="BH321" s="26"/>
      <c r="BI321" s="26"/>
      <c r="BJ321" s="26"/>
    </row>
    <row r="322" spans="1:62" ht="20.25" customHeight="1" x14ac:dyDescent="0.25">
      <c r="A322" s="122"/>
      <c r="B322" s="3977" t="s">
        <v>1819</v>
      </c>
      <c r="C322" s="3955" t="s">
        <v>52</v>
      </c>
      <c r="D322" s="3955"/>
      <c r="E322" s="6235"/>
      <c r="F322" s="3956"/>
      <c r="G322" s="6235"/>
      <c r="H322" s="3956"/>
      <c r="I322" s="6229"/>
      <c r="J322" s="3959"/>
      <c r="K322" s="6235"/>
      <c r="L322" s="3956"/>
      <c r="M322" s="6197"/>
      <c r="N322" s="4016">
        <f t="shared" si="574"/>
        <v>0</v>
      </c>
      <c r="O322" s="6235"/>
      <c r="P322" s="3956"/>
      <c r="Q322" s="6229"/>
      <c r="R322" s="3959"/>
      <c r="S322" s="6235"/>
      <c r="T322" s="3956"/>
      <c r="U322" s="6229"/>
      <c r="V322" s="3959">
        <f t="shared" si="576"/>
        <v>0</v>
      </c>
      <c r="W322" s="6235"/>
      <c r="X322" s="3956">
        <v>2774.1800000000003</v>
      </c>
      <c r="Y322" s="6197"/>
      <c r="Z322" s="4016">
        <f t="shared" si="564"/>
        <v>2774.1800000000003</v>
      </c>
      <c r="AA322" s="6199"/>
      <c r="AB322" s="3979">
        <f t="shared" si="575"/>
        <v>2774.1800000000003</v>
      </c>
      <c r="AC322" s="6235"/>
      <c r="AD322" s="4048"/>
      <c r="AE322" s="6229"/>
      <c r="AF322" s="4050">
        <f t="shared" si="577"/>
        <v>2774.1800000000003</v>
      </c>
      <c r="AG322" s="4448"/>
      <c r="AH322" s="4397"/>
      <c r="AI322" s="4450"/>
      <c r="AJ322" s="4394">
        <f t="shared" si="578"/>
        <v>2774.1800000000003</v>
      </c>
      <c r="AK322" s="6236"/>
      <c r="AL322" s="4276"/>
      <c r="AM322" s="6197"/>
      <c r="AN322" s="4283">
        <f t="shared" si="567"/>
        <v>0</v>
      </c>
      <c r="AO322" s="6229"/>
      <c r="AP322" s="4277">
        <f t="shared" si="568"/>
        <v>2774.1800000000003</v>
      </c>
      <c r="AQ322" s="4448"/>
      <c r="AR322" s="4455"/>
      <c r="AS322" s="4450"/>
      <c r="AT322" s="4456">
        <f t="shared" si="579"/>
        <v>2774.1800000000003</v>
      </c>
      <c r="AU322" s="4639"/>
      <c r="AV322" s="4634"/>
      <c r="AW322" s="4450"/>
      <c r="AX322" s="4635">
        <f t="shared" si="580"/>
        <v>2774.1800000000003</v>
      </c>
      <c r="AY322" s="5132"/>
      <c r="AZ322" s="5135"/>
      <c r="BA322" s="6197"/>
      <c r="BB322" s="5129">
        <f t="shared" si="571"/>
        <v>0</v>
      </c>
      <c r="BC322" s="6199"/>
      <c r="BD322" s="784">
        <f t="shared" si="572"/>
        <v>0</v>
      </c>
      <c r="BE322" s="4450"/>
      <c r="BF322" s="5127">
        <f t="shared" si="581"/>
        <v>2774.1800000000003</v>
      </c>
      <c r="BG322" s="26"/>
      <c r="BH322" s="26"/>
      <c r="BI322" s="26"/>
      <c r="BJ322" s="26"/>
    </row>
    <row r="323" spans="1:62" ht="20.25" x14ac:dyDescent="0.25">
      <c r="A323" s="122"/>
      <c r="B323" s="3977" t="s">
        <v>1705</v>
      </c>
      <c r="C323" s="3955" t="s">
        <v>52</v>
      </c>
      <c r="D323" s="3955"/>
      <c r="E323" s="6235"/>
      <c r="F323" s="3956"/>
      <c r="G323" s="6235"/>
      <c r="H323" s="3956"/>
      <c r="I323" s="6229"/>
      <c r="J323" s="3959">
        <f t="shared" si="561"/>
        <v>0</v>
      </c>
      <c r="K323" s="6235"/>
      <c r="L323" s="3956"/>
      <c r="M323" s="6197"/>
      <c r="N323" s="4016">
        <f t="shared" si="574"/>
        <v>0</v>
      </c>
      <c r="O323" s="6235"/>
      <c r="P323" s="3956">
        <v>253</v>
      </c>
      <c r="Q323" s="6229"/>
      <c r="R323" s="3959">
        <f t="shared" si="562"/>
        <v>253</v>
      </c>
      <c r="S323" s="6235"/>
      <c r="T323" s="3956"/>
      <c r="U323" s="6229"/>
      <c r="V323" s="3959">
        <f t="shared" si="576"/>
        <v>253</v>
      </c>
      <c r="W323" s="6235"/>
      <c r="X323" s="3956">
        <v>128.06</v>
      </c>
      <c r="Y323" s="6197"/>
      <c r="Z323" s="4016">
        <f t="shared" si="564"/>
        <v>381.06</v>
      </c>
      <c r="AA323" s="6199"/>
      <c r="AB323" s="3979">
        <f t="shared" si="575"/>
        <v>381.06</v>
      </c>
      <c r="AC323" s="6235"/>
      <c r="AD323" s="4048">
        <v>1037.28</v>
      </c>
      <c r="AE323" s="6229"/>
      <c r="AF323" s="4050">
        <f t="shared" si="577"/>
        <v>1418.34</v>
      </c>
      <c r="AG323" s="896"/>
      <c r="AH323" s="4397">
        <v>694.69999999999993</v>
      </c>
      <c r="AI323" s="2345"/>
      <c r="AJ323" s="4394">
        <f t="shared" si="578"/>
        <v>2113.04</v>
      </c>
      <c r="AK323" s="6235"/>
      <c r="AL323" s="4276"/>
      <c r="AM323" s="6197"/>
      <c r="AN323" s="4283">
        <f t="shared" si="567"/>
        <v>1731.98</v>
      </c>
      <c r="AO323" s="6229"/>
      <c r="AP323" s="4277">
        <f t="shared" si="568"/>
        <v>2113.04</v>
      </c>
      <c r="AQ323" s="896"/>
      <c r="AR323" s="4455"/>
      <c r="AS323" s="2345"/>
      <c r="AT323" s="4456">
        <f t="shared" si="579"/>
        <v>2113.04</v>
      </c>
      <c r="AU323" s="896"/>
      <c r="AV323" s="4634"/>
      <c r="AW323" s="2345"/>
      <c r="AX323" s="4635">
        <f t="shared" si="580"/>
        <v>2113.04</v>
      </c>
      <c r="AY323" s="896"/>
      <c r="AZ323" s="5135"/>
      <c r="BA323" s="6197"/>
      <c r="BB323" s="5129">
        <f t="shared" si="571"/>
        <v>0</v>
      </c>
      <c r="BC323" s="6199"/>
      <c r="BD323" s="784">
        <f t="shared" si="572"/>
        <v>1731.98</v>
      </c>
      <c r="BE323" s="2345"/>
      <c r="BF323" s="5127">
        <f t="shared" si="581"/>
        <v>2113.04</v>
      </c>
      <c r="BG323" s="26"/>
      <c r="BH323" s="26"/>
      <c r="BI323" s="26"/>
      <c r="BJ323" s="26"/>
    </row>
    <row r="324" spans="1:62" s="4213" customFormat="1" ht="20.25" x14ac:dyDescent="0.25">
      <c r="A324" s="122"/>
      <c r="B324" s="3977" t="s">
        <v>1867</v>
      </c>
      <c r="C324" s="4210" t="s">
        <v>52</v>
      </c>
      <c r="D324" s="4210"/>
      <c r="E324" s="6235"/>
      <c r="F324" s="4211"/>
      <c r="G324" s="6235"/>
      <c r="H324" s="4211"/>
      <c r="I324" s="6229"/>
      <c r="J324" s="4212"/>
      <c r="K324" s="6235"/>
      <c r="L324" s="4211"/>
      <c r="M324" s="6197"/>
      <c r="N324" s="4215">
        <f t="shared" si="574"/>
        <v>0</v>
      </c>
      <c r="O324" s="6235"/>
      <c r="P324" s="4211"/>
      <c r="Q324" s="6229"/>
      <c r="R324" s="4212"/>
      <c r="S324" s="6235"/>
      <c r="T324" s="4211"/>
      <c r="U324" s="6229"/>
      <c r="V324" s="4212"/>
      <c r="W324" s="6235"/>
      <c r="X324" s="4211"/>
      <c r="Y324" s="6197"/>
      <c r="Z324" s="4215">
        <f t="shared" si="564"/>
        <v>0</v>
      </c>
      <c r="AA324" s="6199"/>
      <c r="AB324" s="3979">
        <f t="shared" si="575"/>
        <v>0</v>
      </c>
      <c r="AC324" s="6235"/>
      <c r="AD324" s="4211"/>
      <c r="AE324" s="6229"/>
      <c r="AF324" s="4212">
        <f t="shared" si="577"/>
        <v>0</v>
      </c>
      <c r="AG324" s="896"/>
      <c r="AH324" s="4397">
        <v>1433.6999999999998</v>
      </c>
      <c r="AI324" s="2345"/>
      <c r="AJ324" s="4394">
        <f t="shared" si="578"/>
        <v>1433.6999999999998</v>
      </c>
      <c r="AK324" s="6235"/>
      <c r="AL324" s="4276"/>
      <c r="AM324" s="6197"/>
      <c r="AN324" s="4283">
        <f t="shared" si="567"/>
        <v>1433.6999999999998</v>
      </c>
      <c r="AO324" s="6229"/>
      <c r="AP324" s="4277">
        <f t="shared" si="568"/>
        <v>1433.6999999999998</v>
      </c>
      <c r="AQ324" s="896"/>
      <c r="AR324" s="4455"/>
      <c r="AS324" s="2345"/>
      <c r="AT324" s="4456">
        <f t="shared" si="579"/>
        <v>1433.6999999999998</v>
      </c>
      <c r="AU324" s="896"/>
      <c r="AV324" s="4634"/>
      <c r="AW324" s="2345"/>
      <c r="AX324" s="4635">
        <f t="shared" si="580"/>
        <v>1433.6999999999998</v>
      </c>
      <c r="AY324" s="896"/>
      <c r="AZ324" s="5135"/>
      <c r="BA324" s="6197"/>
      <c r="BB324" s="5129">
        <f t="shared" si="571"/>
        <v>0</v>
      </c>
      <c r="BC324" s="6199"/>
      <c r="BD324" s="784">
        <f t="shared" si="572"/>
        <v>1433.6999999999998</v>
      </c>
      <c r="BE324" s="2345"/>
      <c r="BF324" s="5127">
        <f t="shared" si="581"/>
        <v>1433.6999999999998</v>
      </c>
      <c r="BG324" s="26"/>
      <c r="BH324" s="26"/>
      <c r="BI324" s="26"/>
      <c r="BJ324" s="26"/>
    </row>
    <row r="325" spans="1:62" ht="20.25" customHeight="1" x14ac:dyDescent="0.25">
      <c r="A325" s="122"/>
      <c r="B325" s="3977" t="s">
        <v>637</v>
      </c>
      <c r="C325" s="3955" t="s">
        <v>52</v>
      </c>
      <c r="D325" s="3955"/>
      <c r="E325" s="6235"/>
      <c r="F325" s="3956">
        <v>949.1</v>
      </c>
      <c r="G325" s="6235"/>
      <c r="H325" s="3956">
        <v>570.43999999999994</v>
      </c>
      <c r="I325" s="6229"/>
      <c r="J325" s="3959">
        <f t="shared" si="561"/>
        <v>1519.54</v>
      </c>
      <c r="K325" s="6235"/>
      <c r="L325" s="3956">
        <v>1012.2800000000001</v>
      </c>
      <c r="M325" s="6197"/>
      <c r="N325" s="4016">
        <f t="shared" si="574"/>
        <v>2531.8200000000002</v>
      </c>
      <c r="O325" s="6235"/>
      <c r="P325" s="3956">
        <v>698.80000000000007</v>
      </c>
      <c r="Q325" s="6229"/>
      <c r="R325" s="3959">
        <f t="shared" si="562"/>
        <v>3230.6200000000003</v>
      </c>
      <c r="S325" s="6235"/>
      <c r="T325" s="3956">
        <v>63.28</v>
      </c>
      <c r="U325" s="6229"/>
      <c r="V325" s="3959">
        <f t="shared" si="576"/>
        <v>3293.9000000000005</v>
      </c>
      <c r="W325" s="6235"/>
      <c r="X325" s="3956"/>
      <c r="Y325" s="6197"/>
      <c r="Z325" s="4016">
        <f t="shared" si="564"/>
        <v>762.08</v>
      </c>
      <c r="AA325" s="6199"/>
      <c r="AB325" s="3979">
        <f t="shared" si="575"/>
        <v>3293.9</v>
      </c>
      <c r="AC325" s="6235"/>
      <c r="AD325" s="4048"/>
      <c r="AE325" s="6229"/>
      <c r="AF325" s="4050">
        <f t="shared" si="577"/>
        <v>3293.9</v>
      </c>
      <c r="AG325" s="4448"/>
      <c r="AH325" s="4397">
        <v>126.46000000000001</v>
      </c>
      <c r="AI325" s="4450"/>
      <c r="AJ325" s="4394">
        <f t="shared" si="578"/>
        <v>3420.36</v>
      </c>
      <c r="AK325" s="6236"/>
      <c r="AL325" s="4276"/>
      <c r="AM325" s="6197"/>
      <c r="AN325" s="4283">
        <f t="shared" si="567"/>
        <v>126.46000000000001</v>
      </c>
      <c r="AO325" s="6229"/>
      <c r="AP325" s="4277">
        <f t="shared" si="568"/>
        <v>3420.36</v>
      </c>
      <c r="AQ325" s="4448"/>
      <c r="AR325" s="4455"/>
      <c r="AS325" s="4450"/>
      <c r="AT325" s="4456">
        <f t="shared" si="579"/>
        <v>3420.36</v>
      </c>
      <c r="AU325" s="4639"/>
      <c r="AV325" s="4634">
        <v>507.2</v>
      </c>
      <c r="AW325" s="4450"/>
      <c r="AX325" s="4635">
        <f t="shared" si="580"/>
        <v>3927.56</v>
      </c>
      <c r="AY325" s="5132"/>
      <c r="AZ325" s="5135"/>
      <c r="BA325" s="6197"/>
      <c r="BB325" s="5129">
        <f t="shared" si="571"/>
        <v>507.2</v>
      </c>
      <c r="BC325" s="6199"/>
      <c r="BD325" s="784">
        <f t="shared" si="572"/>
        <v>633.66</v>
      </c>
      <c r="BE325" s="4450"/>
      <c r="BF325" s="5127">
        <f t="shared" si="581"/>
        <v>3927.56</v>
      </c>
      <c r="BG325" s="26"/>
      <c r="BH325" s="26"/>
      <c r="BI325" s="26"/>
      <c r="BJ325" s="26"/>
    </row>
    <row r="326" spans="1:62" ht="20.25" customHeight="1" x14ac:dyDescent="0.25">
      <c r="A326" s="122"/>
      <c r="B326" s="3977" t="s">
        <v>737</v>
      </c>
      <c r="C326" s="3955" t="s">
        <v>52</v>
      </c>
      <c r="D326" s="3955"/>
      <c r="E326" s="6235"/>
      <c r="F326" s="3956"/>
      <c r="G326" s="6235"/>
      <c r="H326" s="3956"/>
      <c r="I326" s="6229"/>
      <c r="J326" s="3959">
        <f t="shared" si="561"/>
        <v>0</v>
      </c>
      <c r="K326" s="6235"/>
      <c r="L326" s="3956">
        <v>632</v>
      </c>
      <c r="M326" s="6197"/>
      <c r="N326" s="4016">
        <f t="shared" si="574"/>
        <v>632</v>
      </c>
      <c r="O326" s="6235"/>
      <c r="P326" s="3956"/>
      <c r="Q326" s="6229"/>
      <c r="R326" s="3959">
        <f t="shared" si="562"/>
        <v>632</v>
      </c>
      <c r="S326" s="6235"/>
      <c r="T326" s="3956"/>
      <c r="U326" s="6229"/>
      <c r="V326" s="3959">
        <f t="shared" si="576"/>
        <v>632</v>
      </c>
      <c r="W326" s="6235"/>
      <c r="X326" s="3956"/>
      <c r="Y326" s="6197"/>
      <c r="Z326" s="4016">
        <f t="shared" si="564"/>
        <v>0</v>
      </c>
      <c r="AA326" s="6199"/>
      <c r="AB326" s="3979">
        <f t="shared" si="575"/>
        <v>632</v>
      </c>
      <c r="AC326" s="6235"/>
      <c r="AD326" s="4048"/>
      <c r="AE326" s="6229"/>
      <c r="AF326" s="4050">
        <f t="shared" si="577"/>
        <v>632</v>
      </c>
      <c r="AG326" s="4448"/>
      <c r="AH326" s="4397"/>
      <c r="AI326" s="4450"/>
      <c r="AJ326" s="4394">
        <f t="shared" si="578"/>
        <v>632</v>
      </c>
      <c r="AK326" s="6236"/>
      <c r="AL326" s="4276"/>
      <c r="AM326" s="6197"/>
      <c r="AN326" s="4283">
        <f t="shared" si="567"/>
        <v>0</v>
      </c>
      <c r="AO326" s="6229"/>
      <c r="AP326" s="4277">
        <f t="shared" si="568"/>
        <v>632</v>
      </c>
      <c r="AQ326" s="4448"/>
      <c r="AR326" s="4455"/>
      <c r="AS326" s="4450"/>
      <c r="AT326" s="4456">
        <f t="shared" si="579"/>
        <v>632</v>
      </c>
      <c r="AU326" s="4639"/>
      <c r="AV326" s="4634"/>
      <c r="AW326" s="4450"/>
      <c r="AX326" s="4635">
        <f t="shared" si="580"/>
        <v>632</v>
      </c>
      <c r="AY326" s="5132"/>
      <c r="AZ326" s="5135"/>
      <c r="BA326" s="6197"/>
      <c r="BB326" s="5129">
        <f t="shared" si="571"/>
        <v>0</v>
      </c>
      <c r="BC326" s="6199"/>
      <c r="BD326" s="784">
        <f t="shared" si="572"/>
        <v>0</v>
      </c>
      <c r="BE326" s="4450"/>
      <c r="BF326" s="5127">
        <f t="shared" si="581"/>
        <v>632</v>
      </c>
      <c r="BG326" s="26"/>
      <c r="BH326" s="26"/>
      <c r="BI326" s="26"/>
      <c r="BJ326" s="26"/>
    </row>
    <row r="327" spans="1:62" ht="20.25" customHeight="1" x14ac:dyDescent="0.25">
      <c r="A327" s="122"/>
      <c r="B327" s="3977" t="s">
        <v>1185</v>
      </c>
      <c r="C327" s="3955" t="s">
        <v>52</v>
      </c>
      <c r="D327" s="3955"/>
      <c r="E327" s="6235"/>
      <c r="F327" s="3956">
        <v>320.57</v>
      </c>
      <c r="G327" s="6235"/>
      <c r="H327" s="3956">
        <v>292.94</v>
      </c>
      <c r="I327" s="6229"/>
      <c r="J327" s="3959">
        <f t="shared" si="561"/>
        <v>613.51</v>
      </c>
      <c r="K327" s="6235"/>
      <c r="L327" s="3956"/>
      <c r="M327" s="6197"/>
      <c r="N327" s="4016">
        <f t="shared" si="574"/>
        <v>613.51</v>
      </c>
      <c r="O327" s="6235"/>
      <c r="P327" s="3956">
        <v>216.63</v>
      </c>
      <c r="Q327" s="6229"/>
      <c r="R327" s="3959">
        <f t="shared" si="562"/>
        <v>830.14</v>
      </c>
      <c r="S327" s="6235"/>
      <c r="T327" s="3956">
        <v>1219.45</v>
      </c>
      <c r="U327" s="6229"/>
      <c r="V327" s="3959">
        <f t="shared" si="576"/>
        <v>2049.59</v>
      </c>
      <c r="W327" s="6235"/>
      <c r="X327" s="3956">
        <v>415.20000000000005</v>
      </c>
      <c r="Y327" s="6197"/>
      <c r="Z327" s="4016">
        <f t="shared" si="564"/>
        <v>1851.28</v>
      </c>
      <c r="AA327" s="6199"/>
      <c r="AB327" s="3979">
        <f t="shared" si="575"/>
        <v>2464.79</v>
      </c>
      <c r="AC327" s="6235"/>
      <c r="AD327" s="4048">
        <v>638.26</v>
      </c>
      <c r="AE327" s="6229"/>
      <c r="AF327" s="4050">
        <f t="shared" si="577"/>
        <v>3103.05</v>
      </c>
      <c r="AG327" s="4448"/>
      <c r="AH327" s="4397"/>
      <c r="AI327" s="4450"/>
      <c r="AJ327" s="4394">
        <f t="shared" si="578"/>
        <v>3103.05</v>
      </c>
      <c r="AK327" s="6236"/>
      <c r="AL327" s="4276">
        <v>221.43</v>
      </c>
      <c r="AM327" s="6197"/>
      <c r="AN327" s="4283">
        <f t="shared" si="567"/>
        <v>859.69</v>
      </c>
      <c r="AO327" s="6229"/>
      <c r="AP327" s="4277">
        <f t="shared" si="568"/>
        <v>3324.48</v>
      </c>
      <c r="AQ327" s="4448"/>
      <c r="AR327" s="4455"/>
      <c r="AS327" s="4450"/>
      <c r="AT327" s="4456">
        <f t="shared" si="579"/>
        <v>3324.48</v>
      </c>
      <c r="AU327" s="4639"/>
      <c r="AV327" s="4634">
        <v>125.96000000000001</v>
      </c>
      <c r="AW327" s="4450"/>
      <c r="AX327" s="4635">
        <f t="shared" si="580"/>
        <v>3450.44</v>
      </c>
      <c r="AY327" s="5132"/>
      <c r="AZ327" s="5135">
        <v>63.38</v>
      </c>
      <c r="BA327" s="6197"/>
      <c r="BB327" s="5129">
        <f t="shared" si="571"/>
        <v>189.34</v>
      </c>
      <c r="BC327" s="6199"/>
      <c r="BD327" s="784">
        <f t="shared" si="572"/>
        <v>1049.03</v>
      </c>
      <c r="BE327" s="4450"/>
      <c r="BF327" s="5127">
        <f t="shared" si="581"/>
        <v>3513.82</v>
      </c>
      <c r="BG327" s="26"/>
      <c r="BH327" s="26"/>
      <c r="BI327" s="26"/>
      <c r="BJ327" s="26"/>
    </row>
    <row r="328" spans="1:62" ht="20.25" customHeight="1" x14ac:dyDescent="0.25">
      <c r="A328" s="122"/>
      <c r="B328" s="3977" t="s">
        <v>1332</v>
      </c>
      <c r="C328" s="3955" t="s">
        <v>52</v>
      </c>
      <c r="D328" s="3955"/>
      <c r="E328" s="6235"/>
      <c r="F328" s="3956"/>
      <c r="G328" s="6235"/>
      <c r="H328" s="3956"/>
      <c r="I328" s="6229"/>
      <c r="J328" s="3959"/>
      <c r="K328" s="6235"/>
      <c r="L328" s="3956"/>
      <c r="M328" s="6197"/>
      <c r="N328" s="4016">
        <f t="shared" si="574"/>
        <v>0</v>
      </c>
      <c r="O328" s="6235"/>
      <c r="P328" s="3956"/>
      <c r="Q328" s="6229"/>
      <c r="R328" s="3959"/>
      <c r="S328" s="6235"/>
      <c r="T328" s="3956">
        <v>105.06</v>
      </c>
      <c r="U328" s="6229"/>
      <c r="V328" s="3959">
        <f t="shared" si="576"/>
        <v>105.06</v>
      </c>
      <c r="W328" s="6235"/>
      <c r="X328" s="3956">
        <v>195.61</v>
      </c>
      <c r="Y328" s="6197"/>
      <c r="Z328" s="4016">
        <f t="shared" si="564"/>
        <v>300.67</v>
      </c>
      <c r="AA328" s="6199"/>
      <c r="AB328" s="3979">
        <f t="shared" si="575"/>
        <v>300.67</v>
      </c>
      <c r="AC328" s="6235"/>
      <c r="AD328" s="4048"/>
      <c r="AE328" s="6229"/>
      <c r="AF328" s="4050">
        <f t="shared" si="577"/>
        <v>300.67</v>
      </c>
      <c r="AG328" s="4448"/>
      <c r="AH328" s="4397"/>
      <c r="AI328" s="4450"/>
      <c r="AJ328" s="4394">
        <f t="shared" si="578"/>
        <v>300.67</v>
      </c>
      <c r="AK328" s="6236"/>
      <c r="AL328" s="4276"/>
      <c r="AM328" s="6197"/>
      <c r="AN328" s="4283">
        <f t="shared" si="567"/>
        <v>0</v>
      </c>
      <c r="AO328" s="6229"/>
      <c r="AP328" s="4277">
        <f t="shared" si="568"/>
        <v>300.67</v>
      </c>
      <c r="AQ328" s="4448"/>
      <c r="AR328" s="4455">
        <v>95.65</v>
      </c>
      <c r="AS328" s="4450"/>
      <c r="AT328" s="4456">
        <f t="shared" si="579"/>
        <v>396.32000000000005</v>
      </c>
      <c r="AU328" s="4639"/>
      <c r="AV328" s="4634">
        <v>132.56</v>
      </c>
      <c r="AW328" s="4450"/>
      <c r="AX328" s="4635">
        <f t="shared" si="580"/>
        <v>528.88000000000011</v>
      </c>
      <c r="AY328" s="5132"/>
      <c r="AZ328" s="5135"/>
      <c r="BA328" s="6197"/>
      <c r="BB328" s="5129">
        <f t="shared" si="571"/>
        <v>228.21</v>
      </c>
      <c r="BC328" s="6199"/>
      <c r="BD328" s="784">
        <f t="shared" si="572"/>
        <v>228.21</v>
      </c>
      <c r="BE328" s="4450"/>
      <c r="BF328" s="5127">
        <f t="shared" si="581"/>
        <v>528.88000000000011</v>
      </c>
      <c r="BG328" s="26"/>
      <c r="BH328" s="26"/>
      <c r="BI328" s="26"/>
      <c r="BJ328" s="26"/>
    </row>
    <row r="329" spans="1:62" s="5192" customFormat="1" ht="20.25" customHeight="1" x14ac:dyDescent="0.25">
      <c r="A329" s="122"/>
      <c r="B329" s="3977" t="s">
        <v>1979</v>
      </c>
      <c r="C329" s="5191" t="s">
        <v>52</v>
      </c>
      <c r="D329" s="5191"/>
      <c r="E329" s="6240"/>
      <c r="F329" s="4753"/>
      <c r="G329" s="6240"/>
      <c r="H329" s="4753"/>
      <c r="I329" s="6230"/>
      <c r="J329" s="4750"/>
      <c r="K329" s="6240"/>
      <c r="L329" s="4753"/>
      <c r="M329" s="6198"/>
      <c r="N329" s="4754"/>
      <c r="O329" s="6240"/>
      <c r="P329" s="4753"/>
      <c r="Q329" s="6230"/>
      <c r="R329" s="4750"/>
      <c r="S329" s="6240"/>
      <c r="T329" s="4753"/>
      <c r="U329" s="6230"/>
      <c r="V329" s="4750"/>
      <c r="W329" s="6240"/>
      <c r="X329" s="4753"/>
      <c r="Y329" s="6198"/>
      <c r="Z329" s="4754"/>
      <c r="AA329" s="6200"/>
      <c r="AB329" s="3979"/>
      <c r="AC329" s="6240"/>
      <c r="AD329" s="4753"/>
      <c r="AE329" s="6230"/>
      <c r="AF329" s="4750"/>
      <c r="AG329" s="5190"/>
      <c r="AH329" s="4753"/>
      <c r="AI329" s="4450"/>
      <c r="AJ329" s="4750"/>
      <c r="AK329" s="6236"/>
      <c r="AL329" s="4753"/>
      <c r="AM329" s="6198"/>
      <c r="AN329" s="4754"/>
      <c r="AO329" s="6230"/>
      <c r="AP329" s="4750"/>
      <c r="AQ329" s="5190"/>
      <c r="AR329" s="4753"/>
      <c r="AS329" s="4450"/>
      <c r="AT329" s="4750"/>
      <c r="AU329" s="5190"/>
      <c r="AV329" s="4753"/>
      <c r="AW329" s="4450"/>
      <c r="AX329" s="5189">
        <f t="shared" si="580"/>
        <v>0</v>
      </c>
      <c r="AY329" s="5190"/>
      <c r="AZ329" s="4753">
        <v>508.28000000000003</v>
      </c>
      <c r="BA329" s="6198"/>
      <c r="BB329" s="5185">
        <f t="shared" si="571"/>
        <v>508.28000000000003</v>
      </c>
      <c r="BC329" s="6200"/>
      <c r="BD329" s="784">
        <f t="shared" si="572"/>
        <v>508.28000000000003</v>
      </c>
      <c r="BE329" s="4450"/>
      <c r="BF329" s="5189">
        <f t="shared" si="581"/>
        <v>508.28000000000003</v>
      </c>
      <c r="BG329" s="26"/>
      <c r="BH329" s="26"/>
      <c r="BI329" s="26"/>
      <c r="BJ329" s="26"/>
    </row>
    <row r="330" spans="1:62" ht="20.25" customHeight="1" x14ac:dyDescent="0.25">
      <c r="A330" s="122"/>
      <c r="B330" s="3977" t="s">
        <v>998</v>
      </c>
      <c r="C330" s="3955" t="s">
        <v>52</v>
      </c>
      <c r="D330" s="3955"/>
      <c r="E330" s="6235"/>
      <c r="F330" s="3956">
        <v>315.96000000000004</v>
      </c>
      <c r="G330" s="6235"/>
      <c r="H330" s="3956"/>
      <c r="I330" s="6229"/>
      <c r="J330" s="3959">
        <f t="shared" si="561"/>
        <v>315.96000000000004</v>
      </c>
      <c r="K330" s="6235"/>
      <c r="L330" s="3956"/>
      <c r="M330" s="6197"/>
      <c r="N330" s="4016">
        <f t="shared" si="574"/>
        <v>315.96000000000004</v>
      </c>
      <c r="O330" s="6235"/>
      <c r="P330" s="3956"/>
      <c r="Q330" s="6229"/>
      <c r="R330" s="3959">
        <f t="shared" si="562"/>
        <v>315.96000000000004</v>
      </c>
      <c r="S330" s="6235"/>
      <c r="T330" s="3956">
        <v>8768.5400000000009</v>
      </c>
      <c r="U330" s="6229"/>
      <c r="V330" s="3959">
        <f t="shared" si="576"/>
        <v>9084.5</v>
      </c>
      <c r="W330" s="6235"/>
      <c r="X330" s="3956">
        <v>4092.4299999999994</v>
      </c>
      <c r="Y330" s="6197"/>
      <c r="Z330" s="4016">
        <f t="shared" si="564"/>
        <v>12860.970000000001</v>
      </c>
      <c r="AA330" s="6199"/>
      <c r="AB330" s="3979">
        <f t="shared" si="575"/>
        <v>13176.93</v>
      </c>
      <c r="AC330" s="6235"/>
      <c r="AD330" s="4048"/>
      <c r="AE330" s="6229"/>
      <c r="AF330" s="4050">
        <f t="shared" si="577"/>
        <v>13176.93</v>
      </c>
      <c r="AG330" s="4448"/>
      <c r="AH330" s="4397"/>
      <c r="AI330" s="4450"/>
      <c r="AJ330" s="4394">
        <f t="shared" si="578"/>
        <v>13176.93</v>
      </c>
      <c r="AK330" s="6236"/>
      <c r="AL330" s="4276">
        <v>327.3</v>
      </c>
      <c r="AM330" s="6197"/>
      <c r="AN330" s="4283">
        <f t="shared" si="567"/>
        <v>327.3</v>
      </c>
      <c r="AO330" s="6229"/>
      <c r="AP330" s="4277">
        <f t="shared" si="568"/>
        <v>13504.23</v>
      </c>
      <c r="AQ330" s="4448"/>
      <c r="AR330" s="4455"/>
      <c r="AS330" s="4450"/>
      <c r="AT330" s="4456">
        <f t="shared" si="579"/>
        <v>13504.23</v>
      </c>
      <c r="AU330" s="4639"/>
      <c r="AV330" s="4634"/>
      <c r="AW330" s="4450"/>
      <c r="AX330" s="4635">
        <f t="shared" si="580"/>
        <v>13504.23</v>
      </c>
      <c r="AY330" s="5132"/>
      <c r="AZ330" s="5135"/>
      <c r="BA330" s="6197"/>
      <c r="BB330" s="5129">
        <f t="shared" si="571"/>
        <v>0</v>
      </c>
      <c r="BC330" s="6199"/>
      <c r="BD330" s="784">
        <f t="shared" si="572"/>
        <v>327.3</v>
      </c>
      <c r="BE330" s="4450"/>
      <c r="BF330" s="5127">
        <f t="shared" si="581"/>
        <v>13504.23</v>
      </c>
      <c r="BG330" s="26"/>
      <c r="BH330" s="26"/>
      <c r="BI330" s="26"/>
      <c r="BJ330" s="26"/>
    </row>
    <row r="331" spans="1:62" ht="21.2" customHeight="1" x14ac:dyDescent="0.25">
      <c r="A331" s="122"/>
      <c r="B331" s="3977" t="s">
        <v>646</v>
      </c>
      <c r="C331" s="3955" t="s">
        <v>52</v>
      </c>
      <c r="D331" s="3955"/>
      <c r="E331" s="6235"/>
      <c r="F331" s="3956">
        <v>23410.85</v>
      </c>
      <c r="G331" s="6235"/>
      <c r="H331" s="3956">
        <v>20827.860000000008</v>
      </c>
      <c r="I331" s="6229"/>
      <c r="J331" s="3959">
        <f t="shared" si="561"/>
        <v>44238.710000000006</v>
      </c>
      <c r="K331" s="6235"/>
      <c r="L331" s="3956">
        <v>19678.260000000002</v>
      </c>
      <c r="M331" s="6197"/>
      <c r="N331" s="4016">
        <f t="shared" si="574"/>
        <v>63916.970000000008</v>
      </c>
      <c r="O331" s="6235"/>
      <c r="P331" s="3956">
        <v>24569.03000000001</v>
      </c>
      <c r="Q331" s="6229"/>
      <c r="R331" s="3959">
        <f t="shared" si="562"/>
        <v>88486.000000000015</v>
      </c>
      <c r="S331" s="6235"/>
      <c r="T331" s="3956">
        <v>13842</v>
      </c>
      <c r="U331" s="6229"/>
      <c r="V331" s="3959">
        <f t="shared" si="576"/>
        <v>102328.00000000001</v>
      </c>
      <c r="W331" s="6235"/>
      <c r="X331" s="3956">
        <v>18736.519999999993</v>
      </c>
      <c r="Y331" s="6197"/>
      <c r="Z331" s="4016">
        <f t="shared" si="564"/>
        <v>57147.55</v>
      </c>
      <c r="AA331" s="6199"/>
      <c r="AB331" s="3979">
        <f t="shared" si="575"/>
        <v>121064.52000000002</v>
      </c>
      <c r="AC331" s="6235"/>
      <c r="AD331" s="4048">
        <v>21489.800000000003</v>
      </c>
      <c r="AE331" s="6229"/>
      <c r="AF331" s="4050">
        <f t="shared" si="577"/>
        <v>142554.32</v>
      </c>
      <c r="AG331" s="4448"/>
      <c r="AH331" s="4397">
        <v>18397.279999999995</v>
      </c>
      <c r="AI331" s="4450"/>
      <c r="AJ331" s="4394">
        <f t="shared" si="578"/>
        <v>160951.6</v>
      </c>
      <c r="AK331" s="6236"/>
      <c r="AL331" s="4276">
        <v>17611.149999999998</v>
      </c>
      <c r="AM331" s="6197"/>
      <c r="AN331" s="4283">
        <f t="shared" si="567"/>
        <v>57498.229999999996</v>
      </c>
      <c r="AO331" s="6229"/>
      <c r="AP331" s="4277">
        <f t="shared" si="568"/>
        <v>178562.75</v>
      </c>
      <c r="AQ331" s="4448"/>
      <c r="AR331" s="4455">
        <v>13486.699999999997</v>
      </c>
      <c r="AS331" s="4450"/>
      <c r="AT331" s="4456">
        <f t="shared" si="579"/>
        <v>192049.45</v>
      </c>
      <c r="AU331" s="4639"/>
      <c r="AV331" s="4634">
        <v>16845.289999999994</v>
      </c>
      <c r="AW331" s="4450"/>
      <c r="AX331" s="4635">
        <f t="shared" si="580"/>
        <v>208894.74</v>
      </c>
      <c r="AY331" s="5132"/>
      <c r="AZ331" s="5135">
        <v>14196.100000000002</v>
      </c>
      <c r="BA331" s="6197"/>
      <c r="BB331" s="5129">
        <f t="shared" si="571"/>
        <v>44528.09</v>
      </c>
      <c r="BC331" s="6199"/>
      <c r="BD331" s="784">
        <f t="shared" si="572"/>
        <v>102026.31999999999</v>
      </c>
      <c r="BE331" s="4450"/>
      <c r="BF331" s="5127">
        <f t="shared" si="581"/>
        <v>223090.84</v>
      </c>
      <c r="BG331" s="26"/>
      <c r="BH331" s="26"/>
      <c r="BI331" s="26"/>
      <c r="BJ331" s="26"/>
    </row>
    <row r="332" spans="1:62" ht="20.25" customHeight="1" x14ac:dyDescent="0.25">
      <c r="A332" s="122"/>
      <c r="B332" s="3977" t="s">
        <v>1170</v>
      </c>
      <c r="C332" s="3955" t="s">
        <v>52</v>
      </c>
      <c r="D332" s="3955"/>
      <c r="E332" s="6235"/>
      <c r="F332" s="3956">
        <v>569.48</v>
      </c>
      <c r="G332" s="6235"/>
      <c r="H332" s="3956">
        <v>190.1</v>
      </c>
      <c r="I332" s="6229"/>
      <c r="J332" s="3959">
        <f t="shared" si="561"/>
        <v>759.58</v>
      </c>
      <c r="K332" s="6235"/>
      <c r="L332" s="3956"/>
      <c r="M332" s="6197"/>
      <c r="N332" s="4016">
        <f t="shared" si="574"/>
        <v>759.58</v>
      </c>
      <c r="O332" s="6235"/>
      <c r="P332" s="3956"/>
      <c r="Q332" s="6229"/>
      <c r="R332" s="3959">
        <f t="shared" si="562"/>
        <v>759.58</v>
      </c>
      <c r="S332" s="6235"/>
      <c r="T332" s="3956">
        <v>190.2</v>
      </c>
      <c r="U332" s="6229"/>
      <c r="V332" s="3959">
        <f t="shared" si="576"/>
        <v>949.78</v>
      </c>
      <c r="W332" s="6235"/>
      <c r="X332" s="3956">
        <v>442.53999999999996</v>
      </c>
      <c r="Y332" s="6197"/>
      <c r="Z332" s="4016">
        <f t="shared" si="564"/>
        <v>632.74</v>
      </c>
      <c r="AA332" s="6199"/>
      <c r="AB332" s="3979">
        <f t="shared" si="575"/>
        <v>1392.3200000000002</v>
      </c>
      <c r="AC332" s="6235"/>
      <c r="AD332" s="4048">
        <v>317.3</v>
      </c>
      <c r="AE332" s="6229"/>
      <c r="AF332" s="4050">
        <f t="shared" si="577"/>
        <v>1709.6200000000001</v>
      </c>
      <c r="AG332" s="4448"/>
      <c r="AH332" s="4397">
        <v>2777.0000000000014</v>
      </c>
      <c r="AI332" s="4450"/>
      <c r="AJ332" s="4394">
        <f t="shared" si="578"/>
        <v>4486.6200000000017</v>
      </c>
      <c r="AK332" s="6236"/>
      <c r="AL332" s="4276"/>
      <c r="AM332" s="6197"/>
      <c r="AN332" s="4283">
        <f t="shared" si="567"/>
        <v>3094.3000000000015</v>
      </c>
      <c r="AO332" s="6229"/>
      <c r="AP332" s="4277">
        <f t="shared" si="568"/>
        <v>4486.6200000000017</v>
      </c>
      <c r="AQ332" s="4448"/>
      <c r="AR332" s="4455"/>
      <c r="AS332" s="4450"/>
      <c r="AT332" s="4456">
        <f t="shared" si="579"/>
        <v>4486.6200000000017</v>
      </c>
      <c r="AU332" s="4639"/>
      <c r="AV332" s="4634"/>
      <c r="AW332" s="4450"/>
      <c r="AX332" s="4635">
        <f t="shared" si="580"/>
        <v>4486.6200000000017</v>
      </c>
      <c r="AY332" s="5132"/>
      <c r="AZ332" s="5135">
        <v>191.06</v>
      </c>
      <c r="BA332" s="6197"/>
      <c r="BB332" s="5129">
        <f t="shared" si="571"/>
        <v>191.06</v>
      </c>
      <c r="BC332" s="6199"/>
      <c r="BD332" s="784">
        <f t="shared" si="572"/>
        <v>3285.3600000000015</v>
      </c>
      <c r="BE332" s="4450"/>
      <c r="BF332" s="5127">
        <f t="shared" si="581"/>
        <v>4677.6800000000021</v>
      </c>
      <c r="BG332" s="26"/>
      <c r="BH332" s="26"/>
      <c r="BI332" s="26"/>
      <c r="BJ332" s="26"/>
    </row>
    <row r="333" spans="1:62" ht="20.25" customHeight="1" x14ac:dyDescent="0.25">
      <c r="A333" s="122"/>
      <c r="B333" s="3977" t="s">
        <v>1401</v>
      </c>
      <c r="C333" s="3955" t="s">
        <v>52</v>
      </c>
      <c r="D333" s="3955"/>
      <c r="E333" s="6235"/>
      <c r="F333" s="3956">
        <v>9317.760000000002</v>
      </c>
      <c r="G333" s="6235"/>
      <c r="H333" s="3956">
        <v>4484.9599999999991</v>
      </c>
      <c r="I333" s="6229"/>
      <c r="J333" s="3959">
        <f t="shared" si="561"/>
        <v>13802.720000000001</v>
      </c>
      <c r="K333" s="6235"/>
      <c r="L333" s="3956">
        <v>5250.0899999999992</v>
      </c>
      <c r="M333" s="6197"/>
      <c r="N333" s="4016">
        <f t="shared" si="574"/>
        <v>19052.810000000001</v>
      </c>
      <c r="O333" s="6235"/>
      <c r="P333" s="3956">
        <v>7213.5400000000027</v>
      </c>
      <c r="Q333" s="6229"/>
      <c r="R333" s="3959">
        <f t="shared" si="562"/>
        <v>26266.350000000006</v>
      </c>
      <c r="S333" s="6235"/>
      <c r="T333" s="3956">
        <v>7932.4899999999971</v>
      </c>
      <c r="U333" s="6229"/>
      <c r="V333" s="3959">
        <f t="shared" si="576"/>
        <v>34198.840000000004</v>
      </c>
      <c r="W333" s="6235"/>
      <c r="X333" s="3956">
        <v>5065.24</v>
      </c>
      <c r="Y333" s="6197"/>
      <c r="Z333" s="4016">
        <f t="shared" si="564"/>
        <v>20211.269999999997</v>
      </c>
      <c r="AA333" s="6199"/>
      <c r="AB333" s="3979">
        <f t="shared" si="575"/>
        <v>39264.080000000002</v>
      </c>
      <c r="AC333" s="6235"/>
      <c r="AD333" s="4048">
        <v>8564.2499999999982</v>
      </c>
      <c r="AE333" s="6229"/>
      <c r="AF333" s="4050">
        <f t="shared" si="577"/>
        <v>47828.33</v>
      </c>
      <c r="AG333" s="4448"/>
      <c r="AH333" s="4397">
        <v>8202.4399999999969</v>
      </c>
      <c r="AI333" s="4450"/>
      <c r="AJ333" s="4394">
        <f t="shared" si="578"/>
        <v>56030.77</v>
      </c>
      <c r="AK333" s="6236"/>
      <c r="AL333" s="4276">
        <v>13108.199999999997</v>
      </c>
      <c r="AM333" s="6197"/>
      <c r="AN333" s="4283">
        <f t="shared" si="567"/>
        <v>29874.889999999992</v>
      </c>
      <c r="AO333" s="6229"/>
      <c r="AP333" s="4277">
        <f t="shared" si="568"/>
        <v>69138.97</v>
      </c>
      <c r="AQ333" s="4448"/>
      <c r="AR333" s="4455">
        <v>10991.320000000005</v>
      </c>
      <c r="AS333" s="4450"/>
      <c r="AT333" s="4456">
        <f t="shared" si="579"/>
        <v>80130.290000000008</v>
      </c>
      <c r="AU333" s="4639"/>
      <c r="AV333" s="4634">
        <v>9437.3300000000072</v>
      </c>
      <c r="AW333" s="4450"/>
      <c r="AX333" s="4635">
        <f t="shared" si="580"/>
        <v>89567.62000000001</v>
      </c>
      <c r="AY333" s="5132"/>
      <c r="AZ333" s="5135">
        <v>14084.730000000001</v>
      </c>
      <c r="BA333" s="6197"/>
      <c r="BB333" s="5129">
        <f t="shared" si="571"/>
        <v>34513.380000000012</v>
      </c>
      <c r="BC333" s="6199"/>
      <c r="BD333" s="784">
        <f t="shared" si="572"/>
        <v>64388.270000000004</v>
      </c>
      <c r="BE333" s="4450"/>
      <c r="BF333" s="5127">
        <f t="shared" si="581"/>
        <v>103652.35</v>
      </c>
      <c r="BG333" s="26"/>
      <c r="BH333" s="26"/>
      <c r="BI333" s="26"/>
      <c r="BJ333" s="26"/>
    </row>
    <row r="334" spans="1:62" ht="20.25" customHeight="1" x14ac:dyDescent="0.25">
      <c r="A334" s="122"/>
      <c r="B334" s="3977" t="s">
        <v>1159</v>
      </c>
      <c r="C334" s="3955" t="s">
        <v>52</v>
      </c>
      <c r="D334" s="3955"/>
      <c r="E334" s="6235"/>
      <c r="F334" s="3956"/>
      <c r="G334" s="6235"/>
      <c r="H334" s="3956">
        <v>252.72</v>
      </c>
      <c r="I334" s="6229"/>
      <c r="J334" s="3959">
        <f t="shared" si="561"/>
        <v>252.72</v>
      </c>
      <c r="K334" s="6235"/>
      <c r="L334" s="3956"/>
      <c r="M334" s="6197"/>
      <c r="N334" s="4016">
        <f t="shared" si="574"/>
        <v>252.72</v>
      </c>
      <c r="O334" s="6235"/>
      <c r="P334" s="3956"/>
      <c r="Q334" s="6229"/>
      <c r="R334" s="3959">
        <f t="shared" si="562"/>
        <v>252.72</v>
      </c>
      <c r="S334" s="6235"/>
      <c r="T334" s="3956">
        <v>126.96</v>
      </c>
      <c r="U334" s="6229"/>
      <c r="V334" s="3959">
        <f t="shared" si="576"/>
        <v>379.68</v>
      </c>
      <c r="W334" s="6235"/>
      <c r="X334" s="3956"/>
      <c r="Y334" s="6197"/>
      <c r="Z334" s="4016">
        <f t="shared" si="564"/>
        <v>126.96</v>
      </c>
      <c r="AA334" s="6199"/>
      <c r="AB334" s="3979">
        <f t="shared" si="575"/>
        <v>379.68</v>
      </c>
      <c r="AC334" s="6235"/>
      <c r="AD334" s="4048"/>
      <c r="AE334" s="6229"/>
      <c r="AF334" s="4050">
        <f t="shared" si="577"/>
        <v>379.68</v>
      </c>
      <c r="AG334" s="4448"/>
      <c r="AH334" s="4397">
        <v>130.38</v>
      </c>
      <c r="AI334" s="4450"/>
      <c r="AJ334" s="4394">
        <f t="shared" si="578"/>
        <v>510.06</v>
      </c>
      <c r="AK334" s="6236"/>
      <c r="AL334" s="4276"/>
      <c r="AM334" s="6197"/>
      <c r="AN334" s="4283">
        <f t="shared" si="567"/>
        <v>130.38</v>
      </c>
      <c r="AO334" s="6229"/>
      <c r="AP334" s="4277">
        <f t="shared" si="568"/>
        <v>510.06</v>
      </c>
      <c r="AQ334" s="4448"/>
      <c r="AR334" s="4455"/>
      <c r="AS334" s="4450"/>
      <c r="AT334" s="4456">
        <f t="shared" si="579"/>
        <v>510.06</v>
      </c>
      <c r="AU334" s="4639"/>
      <c r="AV334" s="4634"/>
      <c r="AW334" s="4450"/>
      <c r="AX334" s="4635">
        <f t="shared" si="580"/>
        <v>510.06</v>
      </c>
      <c r="AY334" s="5132"/>
      <c r="AZ334" s="5135"/>
      <c r="BA334" s="6197"/>
      <c r="BB334" s="5129">
        <f t="shared" si="571"/>
        <v>0</v>
      </c>
      <c r="BC334" s="6199"/>
      <c r="BD334" s="784">
        <f t="shared" si="572"/>
        <v>130.38</v>
      </c>
      <c r="BE334" s="4450"/>
      <c r="BF334" s="5127">
        <f t="shared" si="581"/>
        <v>510.06</v>
      </c>
      <c r="BG334" s="26"/>
      <c r="BH334" s="26"/>
      <c r="BI334" s="26"/>
      <c r="BJ334" s="26"/>
    </row>
    <row r="335" spans="1:62" ht="20.25" customHeight="1" x14ac:dyDescent="0.25">
      <c r="A335" s="122"/>
      <c r="B335" s="3977" t="s">
        <v>1126</v>
      </c>
      <c r="C335" s="3955" t="s">
        <v>52</v>
      </c>
      <c r="D335" s="3955"/>
      <c r="E335" s="6235"/>
      <c r="F335" s="3956">
        <v>2940.82</v>
      </c>
      <c r="G335" s="6235"/>
      <c r="H335" s="3956">
        <v>629.08000000000004</v>
      </c>
      <c r="I335" s="6229"/>
      <c r="J335" s="3959">
        <f t="shared" si="561"/>
        <v>3569.9</v>
      </c>
      <c r="K335" s="6235"/>
      <c r="L335" s="3956">
        <v>1191.8200000000002</v>
      </c>
      <c r="M335" s="6197"/>
      <c r="N335" s="4016">
        <f t="shared" si="574"/>
        <v>4761.72</v>
      </c>
      <c r="O335" s="6235"/>
      <c r="P335" s="3956">
        <v>3618.5599999999981</v>
      </c>
      <c r="Q335" s="6229"/>
      <c r="R335" s="3959">
        <f t="shared" si="562"/>
        <v>8380.2799999999988</v>
      </c>
      <c r="S335" s="6235"/>
      <c r="T335" s="3956">
        <v>1140.4000000000001</v>
      </c>
      <c r="U335" s="6229"/>
      <c r="V335" s="3959">
        <f t="shared" si="576"/>
        <v>9520.6799999999985</v>
      </c>
      <c r="W335" s="6235"/>
      <c r="X335" s="3956">
        <v>1329.1200000000001</v>
      </c>
      <c r="Y335" s="6197"/>
      <c r="Z335" s="4016">
        <f t="shared" si="564"/>
        <v>6088.0799999999981</v>
      </c>
      <c r="AA335" s="6199"/>
      <c r="AB335" s="3979">
        <f t="shared" si="575"/>
        <v>10849.8</v>
      </c>
      <c r="AC335" s="6235"/>
      <c r="AD335" s="4048">
        <v>1074.74</v>
      </c>
      <c r="AE335" s="6229"/>
      <c r="AF335" s="4050">
        <f t="shared" si="577"/>
        <v>11924.539999999999</v>
      </c>
      <c r="AG335" s="4448"/>
      <c r="AH335" s="4397">
        <v>959.77999999999986</v>
      </c>
      <c r="AI335" s="4450"/>
      <c r="AJ335" s="4394">
        <f t="shared" si="578"/>
        <v>12884.32</v>
      </c>
      <c r="AK335" s="6236"/>
      <c r="AL335" s="4276">
        <v>4560.84</v>
      </c>
      <c r="AM335" s="6197"/>
      <c r="AN335" s="4283">
        <f t="shared" si="567"/>
        <v>6595.3600000000006</v>
      </c>
      <c r="AO335" s="6229"/>
      <c r="AP335" s="4277">
        <f t="shared" si="568"/>
        <v>17445.16</v>
      </c>
      <c r="AQ335" s="4448"/>
      <c r="AR335" s="4455">
        <v>3355.2000000000003</v>
      </c>
      <c r="AS335" s="4450"/>
      <c r="AT335" s="4456">
        <f t="shared" si="579"/>
        <v>20800.36</v>
      </c>
      <c r="AU335" s="4639"/>
      <c r="AV335" s="4634">
        <v>4315.7000000000007</v>
      </c>
      <c r="AW335" s="4450"/>
      <c r="AX335" s="4635">
        <f t="shared" si="580"/>
        <v>25116.06</v>
      </c>
      <c r="AY335" s="5132"/>
      <c r="AZ335" s="5135">
        <v>2383.8200000000006</v>
      </c>
      <c r="BA335" s="6197"/>
      <c r="BB335" s="5129">
        <f t="shared" si="571"/>
        <v>10054.720000000001</v>
      </c>
      <c r="BC335" s="6199"/>
      <c r="BD335" s="784">
        <f t="shared" si="572"/>
        <v>16650.080000000002</v>
      </c>
      <c r="BE335" s="4450"/>
      <c r="BF335" s="5127">
        <f t="shared" si="581"/>
        <v>27499.88</v>
      </c>
      <c r="BG335" s="26"/>
      <c r="BH335" s="26"/>
      <c r="BI335" s="26"/>
      <c r="BJ335" s="26"/>
    </row>
    <row r="336" spans="1:62" s="4105" customFormat="1" ht="20.25" customHeight="1" x14ac:dyDescent="0.25">
      <c r="A336" s="122"/>
      <c r="B336" s="3977" t="s">
        <v>1848</v>
      </c>
      <c r="C336" s="4102" t="s">
        <v>52</v>
      </c>
      <c r="D336" s="4102"/>
      <c r="E336" s="6235"/>
      <c r="F336" s="4103"/>
      <c r="G336" s="6235"/>
      <c r="H336" s="4103"/>
      <c r="I336" s="6229"/>
      <c r="J336" s="4104"/>
      <c r="K336" s="6235"/>
      <c r="L336" s="4103"/>
      <c r="M336" s="6197"/>
      <c r="N336" s="4107">
        <f t="shared" si="574"/>
        <v>0</v>
      </c>
      <c r="O336" s="6235"/>
      <c r="P336" s="4103"/>
      <c r="Q336" s="6229"/>
      <c r="R336" s="4104"/>
      <c r="S336" s="6235"/>
      <c r="T336" s="4103"/>
      <c r="U336" s="6229"/>
      <c r="V336" s="4104"/>
      <c r="W336" s="6235"/>
      <c r="X336" s="4103"/>
      <c r="Y336" s="6197"/>
      <c r="Z336" s="4107">
        <f t="shared" si="564"/>
        <v>0</v>
      </c>
      <c r="AA336" s="6199"/>
      <c r="AB336" s="3979">
        <f t="shared" si="575"/>
        <v>0</v>
      </c>
      <c r="AC336" s="6235"/>
      <c r="AD336" s="4103">
        <v>1462.78</v>
      </c>
      <c r="AE336" s="6229"/>
      <c r="AF336" s="4104">
        <f t="shared" si="577"/>
        <v>1462.78</v>
      </c>
      <c r="AG336" s="4448"/>
      <c r="AH336" s="4397"/>
      <c r="AI336" s="4450"/>
      <c r="AJ336" s="4394">
        <f t="shared" si="578"/>
        <v>1462.78</v>
      </c>
      <c r="AK336" s="6236"/>
      <c r="AL336" s="4276">
        <v>786.36</v>
      </c>
      <c r="AM336" s="6197"/>
      <c r="AN336" s="4283">
        <f t="shared" si="567"/>
        <v>2249.14</v>
      </c>
      <c r="AO336" s="6229"/>
      <c r="AP336" s="4277">
        <f t="shared" si="568"/>
        <v>2249.14</v>
      </c>
      <c r="AQ336" s="4448"/>
      <c r="AR336" s="4455"/>
      <c r="AS336" s="4450"/>
      <c r="AT336" s="4456">
        <f t="shared" si="579"/>
        <v>2249.14</v>
      </c>
      <c r="AU336" s="4639"/>
      <c r="AV336" s="4634"/>
      <c r="AW336" s="4450"/>
      <c r="AX336" s="4635">
        <f t="shared" si="580"/>
        <v>2249.14</v>
      </c>
      <c r="AY336" s="5132"/>
      <c r="AZ336" s="5135">
        <v>506.90000000000003</v>
      </c>
      <c r="BA336" s="6197"/>
      <c r="BB336" s="5129">
        <f t="shared" si="571"/>
        <v>506.90000000000003</v>
      </c>
      <c r="BC336" s="6199"/>
      <c r="BD336" s="784">
        <f t="shared" si="572"/>
        <v>2756.04</v>
      </c>
      <c r="BE336" s="4450"/>
      <c r="BF336" s="5127">
        <f t="shared" si="581"/>
        <v>2756.04</v>
      </c>
      <c r="BG336" s="26"/>
      <c r="BH336" s="26"/>
      <c r="BI336" s="26"/>
      <c r="BJ336" s="26"/>
    </row>
    <row r="337" spans="1:62" ht="20.25" customHeight="1" x14ac:dyDescent="0.25">
      <c r="A337" s="122"/>
      <c r="B337" s="3977" t="s">
        <v>1758</v>
      </c>
      <c r="C337" s="3955" t="s">
        <v>52</v>
      </c>
      <c r="D337" s="3955"/>
      <c r="E337" s="6235"/>
      <c r="F337" s="3956"/>
      <c r="G337" s="6235"/>
      <c r="H337" s="3956"/>
      <c r="I337" s="6229"/>
      <c r="J337" s="3959"/>
      <c r="K337" s="6235"/>
      <c r="L337" s="3956"/>
      <c r="M337" s="6197"/>
      <c r="N337" s="4016">
        <f t="shared" si="574"/>
        <v>0</v>
      </c>
      <c r="O337" s="6235"/>
      <c r="P337" s="3956"/>
      <c r="Q337" s="6229"/>
      <c r="R337" s="3959"/>
      <c r="S337" s="6235"/>
      <c r="T337" s="3956">
        <v>3809.58</v>
      </c>
      <c r="U337" s="6229"/>
      <c r="V337" s="3959">
        <f t="shared" si="576"/>
        <v>3809.58</v>
      </c>
      <c r="W337" s="6235"/>
      <c r="X337" s="3956">
        <v>948.26</v>
      </c>
      <c r="Y337" s="6197"/>
      <c r="Z337" s="4016">
        <f t="shared" si="564"/>
        <v>4757.84</v>
      </c>
      <c r="AA337" s="6199"/>
      <c r="AB337" s="3979">
        <f t="shared" si="575"/>
        <v>4757.84</v>
      </c>
      <c r="AC337" s="6235"/>
      <c r="AD337" s="4048">
        <v>2924.9600000000005</v>
      </c>
      <c r="AE337" s="6229"/>
      <c r="AF337" s="4050">
        <f t="shared" si="577"/>
        <v>7682.8000000000011</v>
      </c>
      <c r="AG337" s="4448"/>
      <c r="AH337" s="4397">
        <v>1360.7599999999998</v>
      </c>
      <c r="AI337" s="4450"/>
      <c r="AJ337" s="4394">
        <f t="shared" si="578"/>
        <v>9043.5600000000013</v>
      </c>
      <c r="AK337" s="6236"/>
      <c r="AL337" s="4276">
        <v>1753.8200000000002</v>
      </c>
      <c r="AM337" s="6197"/>
      <c r="AN337" s="4283">
        <f t="shared" si="567"/>
        <v>6039.5400000000009</v>
      </c>
      <c r="AO337" s="6229"/>
      <c r="AP337" s="4277">
        <f t="shared" si="568"/>
        <v>10797.380000000001</v>
      </c>
      <c r="AQ337" s="4448"/>
      <c r="AR337" s="4455">
        <v>764.92</v>
      </c>
      <c r="AS337" s="4450"/>
      <c r="AT337" s="4456">
        <f t="shared" si="579"/>
        <v>11562.300000000001</v>
      </c>
      <c r="AU337" s="4639"/>
      <c r="AV337" s="4634">
        <v>1392.2400000000002</v>
      </c>
      <c r="AW337" s="4450"/>
      <c r="AX337" s="4635">
        <f t="shared" si="580"/>
        <v>12954.54</v>
      </c>
      <c r="AY337" s="5132"/>
      <c r="AZ337" s="5135">
        <v>1531.84</v>
      </c>
      <c r="BA337" s="6197"/>
      <c r="BB337" s="5129">
        <f t="shared" si="571"/>
        <v>3689</v>
      </c>
      <c r="BC337" s="6199"/>
      <c r="BD337" s="784">
        <f t="shared" si="572"/>
        <v>9728.5400000000009</v>
      </c>
      <c r="BE337" s="4450"/>
      <c r="BF337" s="5127">
        <f t="shared" si="581"/>
        <v>14486.380000000001</v>
      </c>
      <c r="BG337" s="26"/>
      <c r="BH337" s="26"/>
      <c r="BI337" s="26"/>
      <c r="BJ337" s="26"/>
    </row>
    <row r="338" spans="1:62" s="4732" customFormat="1" ht="20.25" customHeight="1" x14ac:dyDescent="0.25">
      <c r="A338" s="122"/>
      <c r="B338" s="3977" t="s">
        <v>1950</v>
      </c>
      <c r="C338" s="4715" t="s">
        <v>52</v>
      </c>
      <c r="D338" s="4715"/>
      <c r="E338" s="6240"/>
      <c r="F338" s="4753"/>
      <c r="G338" s="6240"/>
      <c r="H338" s="4753"/>
      <c r="I338" s="6230"/>
      <c r="J338" s="4750"/>
      <c r="K338" s="6240"/>
      <c r="L338" s="4753"/>
      <c r="M338" s="6198"/>
      <c r="N338" s="4754"/>
      <c r="O338" s="6240"/>
      <c r="P338" s="4753"/>
      <c r="Q338" s="6230"/>
      <c r="R338" s="4750"/>
      <c r="S338" s="6240"/>
      <c r="T338" s="4753"/>
      <c r="U338" s="6230"/>
      <c r="V338" s="4750"/>
      <c r="W338" s="6240"/>
      <c r="X338" s="4753"/>
      <c r="Y338" s="6198"/>
      <c r="Z338" s="4754"/>
      <c r="AA338" s="6200"/>
      <c r="AB338" s="3979"/>
      <c r="AC338" s="6240"/>
      <c r="AD338" s="4753"/>
      <c r="AE338" s="6230"/>
      <c r="AF338" s="4750"/>
      <c r="AG338" s="4731"/>
      <c r="AH338" s="4753"/>
      <c r="AI338" s="4450"/>
      <c r="AJ338" s="4750"/>
      <c r="AK338" s="6236"/>
      <c r="AL338" s="4753"/>
      <c r="AM338" s="6198"/>
      <c r="AN338" s="4754"/>
      <c r="AO338" s="6230"/>
      <c r="AP338" s="4750"/>
      <c r="AQ338" s="4731"/>
      <c r="AR338" s="4753"/>
      <c r="AS338" s="4450"/>
      <c r="AT338" s="4750"/>
      <c r="AU338" s="4731"/>
      <c r="AV338" s="4753">
        <v>118.55000000000001</v>
      </c>
      <c r="AW338" s="4450"/>
      <c r="AX338" s="4730">
        <f t="shared" si="580"/>
        <v>118.55000000000001</v>
      </c>
      <c r="AY338" s="5132"/>
      <c r="AZ338" s="4753"/>
      <c r="BA338" s="6198"/>
      <c r="BB338" s="5185">
        <f t="shared" si="571"/>
        <v>118.55000000000001</v>
      </c>
      <c r="BC338" s="6200"/>
      <c r="BD338" s="5154">
        <f t="shared" si="572"/>
        <v>118.55000000000001</v>
      </c>
      <c r="BE338" s="4450"/>
      <c r="BF338" s="5127">
        <f t="shared" si="581"/>
        <v>118.55000000000001</v>
      </c>
      <c r="BG338" s="26"/>
      <c r="BH338" s="26"/>
      <c r="BI338" s="26"/>
      <c r="BJ338" s="26"/>
    </row>
    <row r="339" spans="1:62" s="5192" customFormat="1" ht="20.25" customHeight="1" x14ac:dyDescent="0.25">
      <c r="A339" s="122"/>
      <c r="B339" s="3977" t="s">
        <v>1978</v>
      </c>
      <c r="C339" s="5191" t="s">
        <v>52</v>
      </c>
      <c r="D339" s="5191"/>
      <c r="E339" s="6240"/>
      <c r="F339" s="4753"/>
      <c r="G339" s="6240"/>
      <c r="H339" s="4753"/>
      <c r="I339" s="6230"/>
      <c r="J339" s="4750"/>
      <c r="K339" s="6240"/>
      <c r="L339" s="4753"/>
      <c r="M339" s="6198"/>
      <c r="N339" s="4754"/>
      <c r="O339" s="6240"/>
      <c r="P339" s="4753"/>
      <c r="Q339" s="6230"/>
      <c r="R339" s="4750"/>
      <c r="S339" s="6240"/>
      <c r="T339" s="4753"/>
      <c r="U339" s="6230"/>
      <c r="V339" s="4750"/>
      <c r="W339" s="6240"/>
      <c r="X339" s="4753"/>
      <c r="Y339" s="6198"/>
      <c r="Z339" s="4754"/>
      <c r="AA339" s="6200"/>
      <c r="AB339" s="3979"/>
      <c r="AC339" s="6240"/>
      <c r="AD339" s="4753"/>
      <c r="AE339" s="6230"/>
      <c r="AF339" s="4750"/>
      <c r="AG339" s="5190"/>
      <c r="AH339" s="4753"/>
      <c r="AI339" s="4450"/>
      <c r="AJ339" s="4750"/>
      <c r="AK339" s="6236"/>
      <c r="AL339" s="4753"/>
      <c r="AM339" s="6198"/>
      <c r="AN339" s="4754"/>
      <c r="AO339" s="6230"/>
      <c r="AP339" s="4750"/>
      <c r="AQ339" s="5190"/>
      <c r="AR339" s="4753"/>
      <c r="AS339" s="4450"/>
      <c r="AT339" s="4750"/>
      <c r="AU339" s="5190"/>
      <c r="AV339" s="4753"/>
      <c r="AW339" s="4450"/>
      <c r="AX339" s="5189">
        <f t="shared" si="580"/>
        <v>0</v>
      </c>
      <c r="AY339" s="5190"/>
      <c r="AZ339" s="4753">
        <v>130.28</v>
      </c>
      <c r="BA339" s="6198"/>
      <c r="BB339" s="5185">
        <f t="shared" si="571"/>
        <v>130.28</v>
      </c>
      <c r="BC339" s="6200"/>
      <c r="BD339" s="5154">
        <f t="shared" si="572"/>
        <v>130.28</v>
      </c>
      <c r="BE339" s="4450"/>
      <c r="BF339" s="5189">
        <f t="shared" si="581"/>
        <v>130.28</v>
      </c>
      <c r="BG339" s="26"/>
      <c r="BH339" s="26"/>
      <c r="BI339" s="26"/>
      <c r="BJ339" s="26"/>
    </row>
    <row r="340" spans="1:62" ht="20.25" customHeight="1" x14ac:dyDescent="0.25">
      <c r="A340" s="122"/>
      <c r="B340" s="3977" t="s">
        <v>1759</v>
      </c>
      <c r="C340" s="3955" t="s">
        <v>52</v>
      </c>
      <c r="D340" s="3955"/>
      <c r="E340" s="6235"/>
      <c r="F340" s="3956"/>
      <c r="G340" s="6235"/>
      <c r="H340" s="3956"/>
      <c r="I340" s="6229"/>
      <c r="J340" s="3959"/>
      <c r="K340" s="6235"/>
      <c r="L340" s="3956"/>
      <c r="M340" s="6197"/>
      <c r="N340" s="4016">
        <f t="shared" si="574"/>
        <v>0</v>
      </c>
      <c r="O340" s="6235"/>
      <c r="P340" s="3956"/>
      <c r="Q340" s="6229"/>
      <c r="R340" s="3959"/>
      <c r="S340" s="6235"/>
      <c r="T340" s="3956">
        <v>820.9</v>
      </c>
      <c r="U340" s="6229"/>
      <c r="V340" s="3959">
        <f t="shared" si="576"/>
        <v>820.9</v>
      </c>
      <c r="W340" s="6235"/>
      <c r="X340" s="3956">
        <v>756.2</v>
      </c>
      <c r="Y340" s="6197"/>
      <c r="Z340" s="4016">
        <f t="shared" si="564"/>
        <v>1577.1</v>
      </c>
      <c r="AA340" s="6199"/>
      <c r="AB340" s="3979">
        <f t="shared" si="575"/>
        <v>1577.1</v>
      </c>
      <c r="AC340" s="6235"/>
      <c r="AD340" s="4048">
        <v>2227.9299999999998</v>
      </c>
      <c r="AE340" s="6229"/>
      <c r="AF340" s="4050">
        <f t="shared" si="577"/>
        <v>3805.0299999999997</v>
      </c>
      <c r="AG340" s="896"/>
      <c r="AH340" s="4397">
        <v>764.92</v>
      </c>
      <c r="AI340" s="2345"/>
      <c r="AJ340" s="4394">
        <f t="shared" si="578"/>
        <v>4569.95</v>
      </c>
      <c r="AK340" s="6235"/>
      <c r="AL340" s="4276">
        <v>1208.8799999999999</v>
      </c>
      <c r="AM340" s="6197"/>
      <c r="AN340" s="4283">
        <f t="shared" si="567"/>
        <v>4201.7299999999996</v>
      </c>
      <c r="AO340" s="6229"/>
      <c r="AP340" s="4277">
        <f t="shared" si="568"/>
        <v>5778.83</v>
      </c>
      <c r="AQ340" s="896"/>
      <c r="AR340" s="4455">
        <v>251.84</v>
      </c>
      <c r="AS340" s="2345"/>
      <c r="AT340" s="4456">
        <f t="shared" si="579"/>
        <v>6030.67</v>
      </c>
      <c r="AU340" s="896"/>
      <c r="AV340" s="4634">
        <v>1068.2799999999997</v>
      </c>
      <c r="AW340" s="2345"/>
      <c r="AX340" s="4635">
        <f t="shared" si="580"/>
        <v>7098.95</v>
      </c>
      <c r="AY340" s="896"/>
      <c r="AZ340" s="5135">
        <v>519.30000000000007</v>
      </c>
      <c r="BA340" s="6197"/>
      <c r="BB340" s="5185">
        <f t="shared" si="571"/>
        <v>1839.4199999999996</v>
      </c>
      <c r="BC340" s="6199"/>
      <c r="BD340" s="784">
        <f t="shared" si="572"/>
        <v>6041.15</v>
      </c>
      <c r="BE340" s="2345"/>
      <c r="BF340" s="5127">
        <f t="shared" si="581"/>
        <v>7618.25</v>
      </c>
      <c r="BG340" s="26"/>
      <c r="BH340" s="26"/>
      <c r="BI340" s="26"/>
      <c r="BJ340" s="26"/>
    </row>
    <row r="341" spans="1:62" s="4213" customFormat="1" ht="20.25" x14ac:dyDescent="0.25">
      <c r="A341" s="122"/>
      <c r="B341" s="3977" t="s">
        <v>1866</v>
      </c>
      <c r="C341" s="4210" t="s">
        <v>52</v>
      </c>
      <c r="D341" s="4210"/>
      <c r="E341" s="6235"/>
      <c r="F341" s="4211"/>
      <c r="G341" s="6235"/>
      <c r="H341" s="4211"/>
      <c r="I341" s="6229"/>
      <c r="J341" s="4212"/>
      <c r="K341" s="6235"/>
      <c r="L341" s="4211"/>
      <c r="M341" s="6197"/>
      <c r="N341" s="4215">
        <f t="shared" si="574"/>
        <v>0</v>
      </c>
      <c r="O341" s="6235"/>
      <c r="P341" s="4211"/>
      <c r="Q341" s="6229"/>
      <c r="R341" s="4212"/>
      <c r="S341" s="6235"/>
      <c r="T341" s="4211"/>
      <c r="U341" s="6229"/>
      <c r="V341" s="4212"/>
      <c r="W341" s="6235"/>
      <c r="X341" s="4211"/>
      <c r="Y341" s="6197"/>
      <c r="Z341" s="4215"/>
      <c r="AA341" s="6199"/>
      <c r="AB341" s="3979">
        <f t="shared" si="575"/>
        <v>0</v>
      </c>
      <c r="AC341" s="6235"/>
      <c r="AD341" s="4211"/>
      <c r="AE341" s="6229"/>
      <c r="AF341" s="4212">
        <f t="shared" si="577"/>
        <v>0</v>
      </c>
      <c r="AG341" s="896"/>
      <c r="AH341" s="4397">
        <v>510.47999999999996</v>
      </c>
      <c r="AI341" s="2345"/>
      <c r="AJ341" s="4394">
        <f t="shared" si="578"/>
        <v>510.47999999999996</v>
      </c>
      <c r="AK341" s="6235"/>
      <c r="AL341" s="4276">
        <v>198.18</v>
      </c>
      <c r="AM341" s="6197"/>
      <c r="AN341" s="4283">
        <f t="shared" si="567"/>
        <v>708.66</v>
      </c>
      <c r="AO341" s="6229"/>
      <c r="AP341" s="4277">
        <f t="shared" si="568"/>
        <v>708.66</v>
      </c>
      <c r="AQ341" s="896"/>
      <c r="AR341" s="4455"/>
      <c r="AS341" s="2345"/>
      <c r="AT341" s="4456">
        <f t="shared" si="579"/>
        <v>708.66</v>
      </c>
      <c r="AU341" s="896"/>
      <c r="AV341" s="4634"/>
      <c r="AW341" s="2345"/>
      <c r="AX341" s="4635">
        <f t="shared" si="580"/>
        <v>708.66</v>
      </c>
      <c r="AY341" s="896"/>
      <c r="AZ341" s="5135">
        <v>615.33999999999992</v>
      </c>
      <c r="BA341" s="6197"/>
      <c r="BB341" s="5185">
        <f t="shared" si="571"/>
        <v>615.33999999999992</v>
      </c>
      <c r="BC341" s="6199"/>
      <c r="BD341" s="784">
        <f t="shared" si="572"/>
        <v>1324</v>
      </c>
      <c r="BE341" s="2345"/>
      <c r="BF341" s="5127">
        <f t="shared" si="581"/>
        <v>1324</v>
      </c>
      <c r="BG341" s="26"/>
      <c r="BH341" s="26"/>
      <c r="BI341" s="26"/>
      <c r="BJ341" s="26"/>
    </row>
    <row r="342" spans="1:62" ht="20.25" customHeight="1" x14ac:dyDescent="0.25">
      <c r="A342" s="122"/>
      <c r="B342" s="3977" t="s">
        <v>740</v>
      </c>
      <c r="C342" s="3955" t="s">
        <v>52</v>
      </c>
      <c r="D342" s="3955"/>
      <c r="E342" s="6235"/>
      <c r="F342" s="3956">
        <v>1725.4400000000003</v>
      </c>
      <c r="G342" s="6235"/>
      <c r="H342" s="3956">
        <v>1644.48</v>
      </c>
      <c r="I342" s="6229"/>
      <c r="J342" s="3959">
        <f t="shared" si="561"/>
        <v>3369.92</v>
      </c>
      <c r="K342" s="6235"/>
      <c r="L342" s="3956">
        <v>2896.7</v>
      </c>
      <c r="M342" s="6197"/>
      <c r="N342" s="4016">
        <f t="shared" si="574"/>
        <v>6266.62</v>
      </c>
      <c r="O342" s="6235"/>
      <c r="P342" s="3956">
        <v>2902.66</v>
      </c>
      <c r="Q342" s="6229"/>
      <c r="R342" s="3959">
        <f t="shared" si="562"/>
        <v>9169.2799999999988</v>
      </c>
      <c r="S342" s="6235"/>
      <c r="T342" s="3956">
        <v>3517.38</v>
      </c>
      <c r="U342" s="6229"/>
      <c r="V342" s="3959">
        <f t="shared" si="576"/>
        <v>12686.66</v>
      </c>
      <c r="W342" s="6235"/>
      <c r="X342" s="3956">
        <v>564.73</v>
      </c>
      <c r="Y342" s="6197"/>
      <c r="Z342" s="4016">
        <f t="shared" si="564"/>
        <v>6984.77</v>
      </c>
      <c r="AA342" s="6199"/>
      <c r="AB342" s="3979">
        <f t="shared" si="575"/>
        <v>13251.39</v>
      </c>
      <c r="AC342" s="6235"/>
      <c r="AD342" s="4048">
        <v>817.74</v>
      </c>
      <c r="AE342" s="6229"/>
      <c r="AF342" s="4050">
        <f t="shared" si="577"/>
        <v>14069.13</v>
      </c>
      <c r="AG342" s="4449"/>
      <c r="AH342" s="4397">
        <v>1554.5400000000004</v>
      </c>
      <c r="AI342" s="4451"/>
      <c r="AJ342" s="4394">
        <f t="shared" si="578"/>
        <v>15623.67</v>
      </c>
      <c r="AK342" s="6237"/>
      <c r="AL342" s="4276">
        <v>194.88</v>
      </c>
      <c r="AM342" s="6197"/>
      <c r="AN342" s="4283">
        <f t="shared" si="567"/>
        <v>2567.1600000000008</v>
      </c>
      <c r="AO342" s="6229"/>
      <c r="AP342" s="4277">
        <f t="shared" si="568"/>
        <v>15818.55</v>
      </c>
      <c r="AQ342" s="4449"/>
      <c r="AR342" s="4455">
        <v>1132.6600000000001</v>
      </c>
      <c r="AS342" s="4451"/>
      <c r="AT342" s="4456">
        <f t="shared" si="579"/>
        <v>16951.21</v>
      </c>
      <c r="AU342" s="4640"/>
      <c r="AV342" s="4634"/>
      <c r="AW342" s="4451"/>
      <c r="AX342" s="4635">
        <f t="shared" si="580"/>
        <v>16951.21</v>
      </c>
      <c r="AY342" s="5133"/>
      <c r="AZ342" s="5135">
        <v>1196.8999999999999</v>
      </c>
      <c r="BA342" s="6197"/>
      <c r="BB342" s="5129">
        <f t="shared" ref="BB342:BB343" si="582">AR342+AV342+AZ342</f>
        <v>2329.56</v>
      </c>
      <c r="BC342" s="6199"/>
      <c r="BD342" s="784">
        <f t="shared" si="572"/>
        <v>4896.7200000000012</v>
      </c>
      <c r="BE342" s="4451"/>
      <c r="BF342" s="5127">
        <f t="shared" si="581"/>
        <v>18148.11</v>
      </c>
      <c r="BG342" s="26"/>
      <c r="BH342" s="26"/>
      <c r="BI342" s="26"/>
      <c r="BJ342" s="26"/>
    </row>
    <row r="343" spans="1:62" ht="21.2" customHeight="1" x14ac:dyDescent="0.25">
      <c r="A343" s="122"/>
      <c r="B343" s="3978" t="s">
        <v>549</v>
      </c>
      <c r="C343" s="3961" t="s">
        <v>52</v>
      </c>
      <c r="D343" s="748">
        <f>+D40</f>
        <v>592000</v>
      </c>
      <c r="E343" s="748"/>
      <c r="F343" s="748">
        <f>SUM(F316:F342)</f>
        <v>46043.420000000006</v>
      </c>
      <c r="G343" s="748"/>
      <c r="H343" s="748">
        <f>SUM(H316:H342)</f>
        <v>40857.710000000014</v>
      </c>
      <c r="I343" s="3960"/>
      <c r="J343" s="3960">
        <f t="shared" si="561"/>
        <v>86901.130000000019</v>
      </c>
      <c r="K343" s="748"/>
      <c r="L343" s="748">
        <f>SUM(L316:L342)</f>
        <v>41544.21</v>
      </c>
      <c r="M343" s="3954"/>
      <c r="N343" s="4016">
        <f t="shared" si="574"/>
        <v>128445.34000000003</v>
      </c>
      <c r="O343" s="748"/>
      <c r="P343" s="748">
        <f>SUM(P316:P342)</f>
        <v>52468.430000000008</v>
      </c>
      <c r="Q343" s="3960"/>
      <c r="R343" s="3960">
        <f t="shared" si="562"/>
        <v>180913.77000000002</v>
      </c>
      <c r="S343" s="748"/>
      <c r="T343" s="748">
        <f>SUM(T316:T342)</f>
        <v>49636.03</v>
      </c>
      <c r="U343" s="3960"/>
      <c r="V343" s="3960">
        <f t="shared" si="576"/>
        <v>230549.80000000002</v>
      </c>
      <c r="W343" s="748"/>
      <c r="X343" s="748">
        <f>SUM(X316:X342)</f>
        <v>50070.689999999995</v>
      </c>
      <c r="Y343" s="3954"/>
      <c r="Z343" s="4016">
        <f t="shared" si="564"/>
        <v>152175.15</v>
      </c>
      <c r="AA343" s="3953"/>
      <c r="AB343" s="3979">
        <f t="shared" si="575"/>
        <v>280620.49</v>
      </c>
      <c r="AC343" s="748"/>
      <c r="AD343" s="748">
        <f>SUM(AD316:AD342)</f>
        <v>50729.57</v>
      </c>
      <c r="AE343" s="4051"/>
      <c r="AF343" s="4051">
        <f t="shared" si="577"/>
        <v>331350.06</v>
      </c>
      <c r="AG343" s="748"/>
      <c r="AH343" s="748">
        <f>SUM(AH316:AH342)</f>
        <v>44557.799999999996</v>
      </c>
      <c r="AI343" s="4392"/>
      <c r="AJ343" s="4392">
        <f t="shared" si="578"/>
        <v>375907.86</v>
      </c>
      <c r="AK343" s="748"/>
      <c r="AL343" s="748">
        <f>SUM(AL316:AL342)</f>
        <v>47752.299999999988</v>
      </c>
      <c r="AM343" s="4283"/>
      <c r="AN343" s="4283">
        <f t="shared" si="567"/>
        <v>143039.66999999998</v>
      </c>
      <c r="AO343" s="4273"/>
      <c r="AP343" s="4273">
        <f t="shared" si="568"/>
        <v>423660.16</v>
      </c>
      <c r="AQ343" s="748"/>
      <c r="AR343" s="748">
        <f>SUM(AR316:AR342)</f>
        <v>39709.360000000001</v>
      </c>
      <c r="AS343" s="4453"/>
      <c r="AT343" s="4453">
        <f t="shared" si="579"/>
        <v>463369.51999999996</v>
      </c>
      <c r="AU343" s="748"/>
      <c r="AV343" s="748">
        <f>SUM(AV316:AV342)</f>
        <v>42520.470000000008</v>
      </c>
      <c r="AW343" s="4630"/>
      <c r="AX343" s="4630">
        <f t="shared" si="580"/>
        <v>505889.99</v>
      </c>
      <c r="AY343" s="748"/>
      <c r="AZ343" s="748">
        <f>SUM(AZ316:AZ342)</f>
        <v>51977.61</v>
      </c>
      <c r="BA343" s="5129"/>
      <c r="BB343" s="5129">
        <f t="shared" si="582"/>
        <v>134207.44</v>
      </c>
      <c r="BC343" s="5140"/>
      <c r="BD343" s="784">
        <f t="shared" si="572"/>
        <v>277247.11</v>
      </c>
      <c r="BE343" s="5124"/>
      <c r="BF343" s="5124">
        <f t="shared" si="581"/>
        <v>557867.6</v>
      </c>
      <c r="BG343" s="26"/>
      <c r="BH343" s="26"/>
      <c r="BI343" s="26"/>
      <c r="BJ343" s="26"/>
    </row>
    <row r="344" spans="1:62" ht="20.25" customHeight="1" x14ac:dyDescent="0.25">
      <c r="A344" s="122"/>
      <c r="B344" s="3976" t="s">
        <v>548</v>
      </c>
      <c r="C344" s="299"/>
      <c r="D344" s="299"/>
      <c r="E344" s="299"/>
      <c r="F344" s="299"/>
      <c r="G344" s="299"/>
      <c r="H344" s="299"/>
      <c r="I344" s="2339"/>
      <c r="J344" s="2339"/>
      <c r="K344" s="299"/>
      <c r="L344" s="299"/>
      <c r="M344" s="2464"/>
      <c r="N344" s="2464"/>
      <c r="O344" s="299"/>
      <c r="P344" s="299"/>
      <c r="Q344" s="2339"/>
      <c r="R344" s="2339"/>
      <c r="S344" s="299"/>
      <c r="T344" s="299"/>
      <c r="U344" s="2339"/>
      <c r="V344" s="2339"/>
      <c r="W344" s="299"/>
      <c r="X344" s="299"/>
      <c r="Y344" s="2464"/>
      <c r="Z344" s="2464"/>
      <c r="AA344" s="3549"/>
      <c r="AB344" s="3980"/>
      <c r="AC344" s="299"/>
      <c r="AD344" s="299"/>
      <c r="AE344" s="2339"/>
      <c r="AF344" s="2339"/>
      <c r="AG344" s="299"/>
      <c r="AH344" s="299"/>
      <c r="AI344" s="2339"/>
      <c r="AJ344" s="2339"/>
      <c r="AK344" s="299"/>
      <c r="AL344" s="299"/>
      <c r="AM344" s="2464"/>
      <c r="AN344" s="2464">
        <f t="shared" si="567"/>
        <v>0</v>
      </c>
      <c r="AO344" s="2339"/>
      <c r="AP344" s="2339">
        <f t="shared" si="568"/>
        <v>0</v>
      </c>
      <c r="AQ344" s="299"/>
      <c r="AR344" s="299"/>
      <c r="AS344" s="2339"/>
      <c r="AT344" s="2339"/>
      <c r="AU344" s="299"/>
      <c r="AV344" s="299"/>
      <c r="AW344" s="2339"/>
      <c r="AX344" s="2339"/>
      <c r="AY344" s="299"/>
      <c r="AZ344" s="299"/>
      <c r="BA344" s="2464"/>
      <c r="BB344" s="2464"/>
      <c r="BC344" s="3549"/>
      <c r="BD344" s="5155"/>
      <c r="BE344" s="2339"/>
      <c r="BF344" s="2339"/>
      <c r="BG344" s="26"/>
      <c r="BH344" s="26"/>
      <c r="BI344" s="26"/>
      <c r="BJ344" s="26"/>
    </row>
    <row r="345" spans="1:62" ht="20.25" customHeight="1" x14ac:dyDescent="0.25">
      <c r="A345" s="188"/>
      <c r="B345" s="3975" t="s">
        <v>1984</v>
      </c>
      <c r="C345" s="3955"/>
      <c r="D345" s="3955"/>
      <c r="E345" s="894"/>
      <c r="F345" s="4027">
        <f>+F346+F347+F348</f>
        <v>0</v>
      </c>
      <c r="G345" s="1254"/>
      <c r="H345" s="4027">
        <f>+H346+H347+H348</f>
        <v>103</v>
      </c>
      <c r="I345" s="4032"/>
      <c r="J345" s="4033">
        <f>F345+H345</f>
        <v>103</v>
      </c>
      <c r="K345" s="1254"/>
      <c r="L345" s="4027">
        <f>+L346+L347+L348</f>
        <v>0</v>
      </c>
      <c r="M345" s="4034"/>
      <c r="N345" s="4024">
        <f t="shared" ref="N345" si="583">F345+H345+L345</f>
        <v>103</v>
      </c>
      <c r="O345" s="1254"/>
      <c r="P345" s="4027">
        <f>+P346+P347+P348</f>
        <v>2735.94</v>
      </c>
      <c r="Q345" s="4032"/>
      <c r="R345" s="4033">
        <f>N345+P345</f>
        <v>2838.94</v>
      </c>
      <c r="S345" s="1254"/>
      <c r="T345" s="4027">
        <f>+T346+T347+T348</f>
        <v>237.26</v>
      </c>
      <c r="U345" s="4032"/>
      <c r="V345" s="4033">
        <f>R345+T345</f>
        <v>3076.2</v>
      </c>
      <c r="W345" s="1254"/>
      <c r="X345" s="4027">
        <f>+X346+X347+X348</f>
        <v>0</v>
      </c>
      <c r="Y345" s="4034"/>
      <c r="Z345" s="4024">
        <f t="shared" ref="Z345" si="584">P345+T345+X345</f>
        <v>2973.2</v>
      </c>
      <c r="AA345" s="4035"/>
      <c r="AB345" s="4036">
        <f t="shared" ref="AB345" si="585">N345+Z345</f>
        <v>3076.2</v>
      </c>
      <c r="AC345" s="1254"/>
      <c r="AD345" s="4027">
        <f>+AD346+AD347+AD348</f>
        <v>0</v>
      </c>
      <c r="AE345" s="4032"/>
      <c r="AF345" s="4033">
        <f>AB345+AD345</f>
        <v>3076.2</v>
      </c>
      <c r="AG345" s="1254"/>
      <c r="AH345" s="4027">
        <f>+AH346+AH347+AH348</f>
        <v>0</v>
      </c>
      <c r="AI345" s="4032"/>
      <c r="AJ345" s="4033">
        <f>AF345+AH345</f>
        <v>3076.2</v>
      </c>
      <c r="AK345" s="1254"/>
      <c r="AL345" s="4027">
        <f>+AL346+AL347+AL348</f>
        <v>0</v>
      </c>
      <c r="AM345" s="4034"/>
      <c r="AN345" s="4024">
        <f t="shared" si="567"/>
        <v>0</v>
      </c>
      <c r="AO345" s="4032"/>
      <c r="AP345" s="4033">
        <f t="shared" si="568"/>
        <v>3076.2</v>
      </c>
      <c r="AQ345" s="1254"/>
      <c r="AR345" s="4027">
        <f>+AR346+AR347+AR348</f>
        <v>0</v>
      </c>
      <c r="AS345" s="4032"/>
      <c r="AT345" s="4033">
        <f>AP345+AR345</f>
        <v>3076.2</v>
      </c>
      <c r="AU345" s="1254"/>
      <c r="AV345" s="4027">
        <f>+AV346+AV347+AV348</f>
        <v>0</v>
      </c>
      <c r="AW345" s="4032"/>
      <c r="AX345" s="4033">
        <f>AT345+AV345</f>
        <v>3076.2</v>
      </c>
      <c r="AY345" s="1254"/>
      <c r="AZ345" s="4027">
        <f>+AZ346+AZ347+AZ348</f>
        <v>0</v>
      </c>
      <c r="BA345" s="4034"/>
      <c r="BB345" s="4024">
        <f t="shared" ref="BB345:BB359" si="586">AR345+AV345+AZ345</f>
        <v>0</v>
      </c>
      <c r="BC345" s="4035"/>
      <c r="BD345" s="5156">
        <f t="shared" si="572"/>
        <v>0</v>
      </c>
      <c r="BE345" s="4032"/>
      <c r="BF345" s="4033">
        <f>AX345+AZ345</f>
        <v>3076.2</v>
      </c>
      <c r="BG345" s="26"/>
      <c r="BH345" s="26"/>
      <c r="BI345" s="26"/>
      <c r="BJ345" s="26"/>
    </row>
    <row r="346" spans="1:62" s="3728" customFormat="1" ht="18.75" customHeight="1" x14ac:dyDescent="0.25">
      <c r="A346" s="188"/>
      <c r="B346" s="3952" t="s">
        <v>1672</v>
      </c>
      <c r="C346" s="3955" t="s">
        <v>52</v>
      </c>
      <c r="D346" s="3955"/>
      <c r="E346" s="894"/>
      <c r="F346" s="3956">
        <v>0</v>
      </c>
      <c r="G346" s="894"/>
      <c r="H346" s="3956">
        <v>103</v>
      </c>
      <c r="I346" s="2339"/>
      <c r="J346" s="3959"/>
      <c r="K346" s="894"/>
      <c r="L346" s="3956">
        <v>0</v>
      </c>
      <c r="M346" s="2464"/>
      <c r="N346" s="3957">
        <f t="shared" ref="N346:N354" si="587">F346+H346+L346</f>
        <v>103</v>
      </c>
      <c r="O346" s="894"/>
      <c r="P346" s="3956">
        <v>0</v>
      </c>
      <c r="Q346" s="2339"/>
      <c r="R346" s="3959"/>
      <c r="S346" s="894"/>
      <c r="T346" s="3956">
        <v>237.26</v>
      </c>
      <c r="U346" s="2339"/>
      <c r="V346" s="3959"/>
      <c r="W346" s="894"/>
      <c r="X346" s="3956">
        <v>0</v>
      </c>
      <c r="Y346" s="2464"/>
      <c r="Z346" s="3957">
        <f t="shared" ref="Z346:Z355" si="588">P346+T346+X346</f>
        <v>237.26</v>
      </c>
      <c r="AA346" s="3549"/>
      <c r="AB346" s="3979">
        <f t="shared" ref="AB346:AB355" si="589">N346+Z346</f>
        <v>340.26</v>
      </c>
      <c r="AC346" s="894"/>
      <c r="AD346" s="4048"/>
      <c r="AE346" s="2339"/>
      <c r="AF346" s="4050">
        <f t="shared" ref="AF346:AF352" si="590">AB346+AD346</f>
        <v>340.26</v>
      </c>
      <c r="AG346" s="894"/>
      <c r="AH346" s="4397"/>
      <c r="AI346" s="2339"/>
      <c r="AJ346" s="4394">
        <f t="shared" ref="AJ346:AJ361" si="591">AF346+AH346</f>
        <v>340.26</v>
      </c>
      <c r="AK346" s="894"/>
      <c r="AL346" s="4276"/>
      <c r="AM346" s="2464"/>
      <c r="AN346" s="4282">
        <f t="shared" si="567"/>
        <v>0</v>
      </c>
      <c r="AO346" s="2339"/>
      <c r="AP346" s="4277">
        <f t="shared" si="568"/>
        <v>340.26</v>
      </c>
      <c r="AQ346" s="894"/>
      <c r="AR346" s="4455"/>
      <c r="AS346" s="2339"/>
      <c r="AT346" s="4456">
        <f t="shared" ref="AT346:AT361" si="592">AP346+AR346</f>
        <v>340.26</v>
      </c>
      <c r="AU346" s="894"/>
      <c r="AV346" s="4634"/>
      <c r="AW346" s="2339"/>
      <c r="AX346" s="4635">
        <f t="shared" ref="AX346:AX361" si="593">AT346+AV346</f>
        <v>340.26</v>
      </c>
      <c r="AY346" s="894"/>
      <c r="AZ346" s="5135"/>
      <c r="BA346" s="2464"/>
      <c r="BB346" s="5136">
        <f t="shared" si="586"/>
        <v>0</v>
      </c>
      <c r="BC346" s="3549"/>
      <c r="BD346" s="595">
        <f t="shared" si="572"/>
        <v>0</v>
      </c>
      <c r="BE346" s="2339"/>
      <c r="BF346" s="5127">
        <f t="shared" ref="BF346:BF361" si="594">AX346+AZ346</f>
        <v>340.26</v>
      </c>
      <c r="BG346" s="26"/>
      <c r="BH346" s="26"/>
      <c r="BI346" s="26"/>
      <c r="BJ346" s="26"/>
    </row>
    <row r="347" spans="1:62" s="3728" customFormat="1" ht="18.75" customHeight="1" x14ac:dyDescent="0.25">
      <c r="A347" s="188"/>
      <c r="B347" s="3952" t="s">
        <v>1186</v>
      </c>
      <c r="C347" s="3955" t="s">
        <v>52</v>
      </c>
      <c r="D347" s="3955"/>
      <c r="E347" s="894"/>
      <c r="F347" s="3956">
        <v>0</v>
      </c>
      <c r="G347" s="894"/>
      <c r="H347" s="3956">
        <v>0</v>
      </c>
      <c r="I347" s="2339"/>
      <c r="J347" s="3959"/>
      <c r="K347" s="894"/>
      <c r="L347" s="3956">
        <v>0</v>
      </c>
      <c r="M347" s="2464"/>
      <c r="N347" s="3957">
        <f t="shared" si="587"/>
        <v>0</v>
      </c>
      <c r="O347" s="894"/>
      <c r="P347" s="3956">
        <v>2735.94</v>
      </c>
      <c r="Q347" s="2339"/>
      <c r="R347" s="3959"/>
      <c r="S347" s="894"/>
      <c r="T347" s="3956">
        <v>0</v>
      </c>
      <c r="U347" s="2339"/>
      <c r="V347" s="3959"/>
      <c r="W347" s="894"/>
      <c r="X347" s="3956">
        <v>0</v>
      </c>
      <c r="Y347" s="2464"/>
      <c r="Z347" s="3957">
        <f t="shared" si="588"/>
        <v>2735.94</v>
      </c>
      <c r="AA347" s="3549"/>
      <c r="AB347" s="3979">
        <f t="shared" si="589"/>
        <v>2735.94</v>
      </c>
      <c r="AC347" s="894"/>
      <c r="AD347" s="4048"/>
      <c r="AE347" s="2339"/>
      <c r="AF347" s="4050">
        <f t="shared" si="590"/>
        <v>2735.94</v>
      </c>
      <c r="AG347" s="894"/>
      <c r="AH347" s="4397"/>
      <c r="AI347" s="2339"/>
      <c r="AJ347" s="4394">
        <f t="shared" si="591"/>
        <v>2735.94</v>
      </c>
      <c r="AK347" s="894"/>
      <c r="AL347" s="4276"/>
      <c r="AM347" s="2464"/>
      <c r="AN347" s="4282">
        <f t="shared" si="567"/>
        <v>0</v>
      </c>
      <c r="AO347" s="2339"/>
      <c r="AP347" s="4277">
        <f t="shared" si="568"/>
        <v>2735.94</v>
      </c>
      <c r="AQ347" s="894"/>
      <c r="AR347" s="4455"/>
      <c r="AS347" s="2339"/>
      <c r="AT347" s="4456">
        <f t="shared" si="592"/>
        <v>2735.94</v>
      </c>
      <c r="AU347" s="894"/>
      <c r="AV347" s="4634"/>
      <c r="AW347" s="2339"/>
      <c r="AX347" s="4635">
        <f t="shared" si="593"/>
        <v>2735.94</v>
      </c>
      <c r="AY347" s="894"/>
      <c r="AZ347" s="5135"/>
      <c r="BA347" s="2464"/>
      <c r="BB347" s="5136">
        <f t="shared" si="586"/>
        <v>0</v>
      </c>
      <c r="BC347" s="3549"/>
      <c r="BD347" s="595">
        <f t="shared" si="572"/>
        <v>0</v>
      </c>
      <c r="BE347" s="2339"/>
      <c r="BF347" s="5127">
        <f t="shared" si="594"/>
        <v>2735.94</v>
      </c>
      <c r="BG347" s="26"/>
      <c r="BH347" s="26"/>
      <c r="BI347" s="26"/>
      <c r="BJ347" s="26"/>
    </row>
    <row r="348" spans="1:62" s="4021" customFormat="1" ht="18.75" hidden="1" customHeight="1" x14ac:dyDescent="0.25">
      <c r="A348" s="188"/>
      <c r="B348" s="3952" t="s">
        <v>1455</v>
      </c>
      <c r="C348" s="4017" t="s">
        <v>52</v>
      </c>
      <c r="D348" s="4017"/>
      <c r="E348" s="894"/>
      <c r="F348" s="4018">
        <v>0</v>
      </c>
      <c r="G348" s="894"/>
      <c r="H348" s="4018">
        <v>0</v>
      </c>
      <c r="I348" s="2339"/>
      <c r="J348" s="4020"/>
      <c r="K348" s="894"/>
      <c r="L348" s="4018">
        <v>0</v>
      </c>
      <c r="M348" s="2464"/>
      <c r="N348" s="4019">
        <f t="shared" si="587"/>
        <v>0</v>
      </c>
      <c r="O348" s="894"/>
      <c r="P348" s="4018">
        <v>0</v>
      </c>
      <c r="Q348" s="2339"/>
      <c r="R348" s="4020"/>
      <c r="S348" s="894"/>
      <c r="T348" s="4018">
        <v>0</v>
      </c>
      <c r="U348" s="2339"/>
      <c r="V348" s="4020"/>
      <c r="W348" s="894"/>
      <c r="X348" s="4018">
        <v>0</v>
      </c>
      <c r="Y348" s="2464"/>
      <c r="Z348" s="4019">
        <f t="shared" si="588"/>
        <v>0</v>
      </c>
      <c r="AA348" s="3549"/>
      <c r="AB348" s="3979">
        <f t="shared" si="589"/>
        <v>0</v>
      </c>
      <c r="AC348" s="894"/>
      <c r="AD348" s="4048"/>
      <c r="AE348" s="2339"/>
      <c r="AF348" s="4050">
        <f t="shared" si="590"/>
        <v>0</v>
      </c>
      <c r="AG348" s="894"/>
      <c r="AH348" s="4397"/>
      <c r="AI348" s="2339"/>
      <c r="AJ348" s="4394">
        <f t="shared" si="591"/>
        <v>0</v>
      </c>
      <c r="AK348" s="894"/>
      <c r="AL348" s="4276"/>
      <c r="AM348" s="2464"/>
      <c r="AN348" s="4282">
        <f t="shared" si="567"/>
        <v>0</v>
      </c>
      <c r="AO348" s="2339"/>
      <c r="AP348" s="4277">
        <f t="shared" si="568"/>
        <v>0</v>
      </c>
      <c r="AQ348" s="894"/>
      <c r="AR348" s="4455"/>
      <c r="AS348" s="2339"/>
      <c r="AT348" s="4456">
        <f t="shared" si="592"/>
        <v>0</v>
      </c>
      <c r="AU348" s="894"/>
      <c r="AV348" s="4634"/>
      <c r="AW348" s="2339"/>
      <c r="AX348" s="4635">
        <f t="shared" si="593"/>
        <v>0</v>
      </c>
      <c r="AY348" s="894"/>
      <c r="AZ348" s="5135"/>
      <c r="BA348" s="2464"/>
      <c r="BB348" s="5136">
        <f t="shared" si="586"/>
        <v>0</v>
      </c>
      <c r="BC348" s="3549"/>
      <c r="BD348" s="595">
        <f t="shared" si="572"/>
        <v>0</v>
      </c>
      <c r="BE348" s="2339"/>
      <c r="BF348" s="5377">
        <f t="shared" si="594"/>
        <v>0</v>
      </c>
      <c r="BG348" s="26"/>
      <c r="BH348" s="26"/>
      <c r="BI348" s="26"/>
      <c r="BJ348" s="26"/>
    </row>
    <row r="349" spans="1:62" s="4021" customFormat="1" ht="20.25" customHeight="1" x14ac:dyDescent="0.25">
      <c r="A349" s="188"/>
      <c r="B349" s="3975" t="s">
        <v>1830</v>
      </c>
      <c r="C349" s="4017" t="s">
        <v>52</v>
      </c>
      <c r="D349" s="4017"/>
      <c r="E349" s="894"/>
      <c r="F349" s="4027">
        <f>+F350+F351</f>
        <v>555.94000000000005</v>
      </c>
      <c r="G349" s="894"/>
      <c r="H349" s="4027">
        <f>+H350+H351</f>
        <v>1854.3999999999999</v>
      </c>
      <c r="I349" s="2339"/>
      <c r="J349" s="4020"/>
      <c r="K349" s="894"/>
      <c r="L349" s="4027">
        <f>+L350+L351</f>
        <v>0</v>
      </c>
      <c r="M349" s="2464"/>
      <c r="N349" s="4024">
        <f t="shared" si="587"/>
        <v>2410.34</v>
      </c>
      <c r="O349" s="894"/>
      <c r="P349" s="4027">
        <f>+P350+P351</f>
        <v>199.99</v>
      </c>
      <c r="Q349" s="2339"/>
      <c r="R349" s="4020"/>
      <c r="S349" s="894"/>
      <c r="T349" s="4027">
        <f>+T350+T351</f>
        <v>0</v>
      </c>
      <c r="U349" s="2339"/>
      <c r="V349" s="4020"/>
      <c r="W349" s="894"/>
      <c r="X349" s="4027">
        <f>+X350+X351</f>
        <v>579.49</v>
      </c>
      <c r="Y349" s="2464"/>
      <c r="Z349" s="4024">
        <f t="shared" si="588"/>
        <v>779.48</v>
      </c>
      <c r="AA349" s="3549"/>
      <c r="AB349" s="4036">
        <f t="shared" si="589"/>
        <v>3189.82</v>
      </c>
      <c r="AC349" s="894"/>
      <c r="AD349" s="4027">
        <f>+AD350+AD351</f>
        <v>468.48999999999995</v>
      </c>
      <c r="AE349" s="2339"/>
      <c r="AF349" s="4050">
        <f t="shared" si="590"/>
        <v>3658.31</v>
      </c>
      <c r="AG349" s="894"/>
      <c r="AH349" s="4027">
        <f>+AH350+AH351</f>
        <v>691.2</v>
      </c>
      <c r="AI349" s="2339"/>
      <c r="AJ349" s="4394">
        <f t="shared" si="591"/>
        <v>4349.51</v>
      </c>
      <c r="AK349" s="894"/>
      <c r="AL349" s="4027">
        <f>+AL350+AL351</f>
        <v>0</v>
      </c>
      <c r="AM349" s="2464"/>
      <c r="AN349" s="4024">
        <f t="shared" si="567"/>
        <v>1159.69</v>
      </c>
      <c r="AO349" s="2339"/>
      <c r="AP349" s="4277">
        <f t="shared" si="568"/>
        <v>4349.51</v>
      </c>
      <c r="AQ349" s="894"/>
      <c r="AR349" s="4027">
        <f>+AR350+AR351</f>
        <v>0</v>
      </c>
      <c r="AS349" s="2339"/>
      <c r="AT349" s="4456">
        <f t="shared" si="592"/>
        <v>4349.51</v>
      </c>
      <c r="AU349" s="894"/>
      <c r="AV349" s="4027">
        <f>+AV350+AV351</f>
        <v>1253.96</v>
      </c>
      <c r="AW349" s="2339"/>
      <c r="AX349" s="4635">
        <f t="shared" si="593"/>
        <v>5603.47</v>
      </c>
      <c r="AY349" s="894"/>
      <c r="AZ349" s="4027">
        <f>+AZ350+AZ351</f>
        <v>1274.74</v>
      </c>
      <c r="BA349" s="2464"/>
      <c r="BB349" s="4024">
        <f t="shared" si="586"/>
        <v>2528.6999999999998</v>
      </c>
      <c r="BC349" s="3549"/>
      <c r="BD349" s="5156">
        <f t="shared" si="572"/>
        <v>3688.39</v>
      </c>
      <c r="BE349" s="2339"/>
      <c r="BF349" s="5127">
        <f t="shared" si="594"/>
        <v>6878.21</v>
      </c>
      <c r="BG349" s="26"/>
      <c r="BH349" s="26"/>
      <c r="BI349" s="26"/>
      <c r="BJ349" s="26"/>
    </row>
    <row r="350" spans="1:62" ht="21.2" customHeight="1" x14ac:dyDescent="0.25">
      <c r="A350" s="188"/>
      <c r="B350" s="3952" t="s">
        <v>1432</v>
      </c>
      <c r="C350" s="3958" t="s">
        <v>52</v>
      </c>
      <c r="D350" s="3958"/>
      <c r="E350" s="894"/>
      <c r="F350" s="4018">
        <v>259.31</v>
      </c>
      <c r="G350" s="4028"/>
      <c r="H350" s="4018">
        <v>399.78</v>
      </c>
      <c r="I350" s="4029"/>
      <c r="J350" s="4020">
        <f>F350+H350</f>
        <v>659.08999999999992</v>
      </c>
      <c r="K350" s="4028"/>
      <c r="L350" s="4018">
        <v>0</v>
      </c>
      <c r="M350" s="4030"/>
      <c r="N350" s="4019">
        <f t="shared" si="587"/>
        <v>659.08999999999992</v>
      </c>
      <c r="O350" s="4028"/>
      <c r="P350" s="4018">
        <v>199.99</v>
      </c>
      <c r="Q350" s="4029"/>
      <c r="R350" s="4020">
        <f>N350+P350</f>
        <v>859.07999999999993</v>
      </c>
      <c r="S350" s="4028"/>
      <c r="T350" s="4018">
        <v>0</v>
      </c>
      <c r="U350" s="4029"/>
      <c r="V350" s="4020">
        <f>R350+T350</f>
        <v>859.07999999999993</v>
      </c>
      <c r="W350" s="4028"/>
      <c r="X350" s="4018">
        <v>249.73000000000002</v>
      </c>
      <c r="Y350" s="4030"/>
      <c r="Z350" s="4019">
        <f t="shared" si="588"/>
        <v>449.72</v>
      </c>
      <c r="AA350" s="4031"/>
      <c r="AB350" s="3973">
        <f t="shared" si="589"/>
        <v>1108.81</v>
      </c>
      <c r="AC350" s="4028"/>
      <c r="AD350" s="4048"/>
      <c r="AE350" s="4029"/>
      <c r="AF350" s="4050">
        <f t="shared" si="590"/>
        <v>1108.81</v>
      </c>
      <c r="AG350" s="4028"/>
      <c r="AH350" s="4397"/>
      <c r="AI350" s="4029"/>
      <c r="AJ350" s="4394">
        <f t="shared" si="591"/>
        <v>1108.81</v>
      </c>
      <c r="AK350" s="4028"/>
      <c r="AL350" s="4276"/>
      <c r="AM350" s="4030"/>
      <c r="AN350" s="4282">
        <f t="shared" si="567"/>
        <v>0</v>
      </c>
      <c r="AO350" s="4029"/>
      <c r="AP350" s="4277">
        <f t="shared" si="568"/>
        <v>1108.81</v>
      </c>
      <c r="AQ350" s="4028"/>
      <c r="AR350" s="4455"/>
      <c r="AS350" s="4029"/>
      <c r="AT350" s="4456">
        <f t="shared" si="592"/>
        <v>1108.81</v>
      </c>
      <c r="AU350" s="4028"/>
      <c r="AV350" s="4634"/>
      <c r="AW350" s="4029"/>
      <c r="AX350" s="4635">
        <f t="shared" si="593"/>
        <v>1108.81</v>
      </c>
      <c r="AY350" s="4028"/>
      <c r="AZ350" s="5135"/>
      <c r="BA350" s="4030"/>
      <c r="BB350" s="5136">
        <f t="shared" si="586"/>
        <v>0</v>
      </c>
      <c r="BC350" s="4031"/>
      <c r="BD350" s="595">
        <f t="shared" si="572"/>
        <v>0</v>
      </c>
      <c r="BE350" s="4029"/>
      <c r="BF350" s="5127">
        <f t="shared" si="594"/>
        <v>1108.81</v>
      </c>
      <c r="BG350" s="26"/>
      <c r="BH350" s="26"/>
      <c r="BI350" s="26"/>
      <c r="BJ350" s="26"/>
    </row>
    <row r="351" spans="1:62" ht="56.25" customHeight="1" x14ac:dyDescent="0.25">
      <c r="A351" s="188"/>
      <c r="B351" s="5378" t="s">
        <v>1983</v>
      </c>
      <c r="C351" s="3958" t="s">
        <v>52</v>
      </c>
      <c r="D351" s="3958"/>
      <c r="E351" s="894"/>
      <c r="F351" s="4018">
        <v>296.63</v>
      </c>
      <c r="G351" s="4028"/>
      <c r="H351" s="4018">
        <v>1454.62</v>
      </c>
      <c r="I351" s="4029"/>
      <c r="J351" s="4020">
        <f t="shared" ref="J351:J361" si="595">F351+H351</f>
        <v>1751.25</v>
      </c>
      <c r="K351" s="4028"/>
      <c r="L351" s="4018">
        <v>0</v>
      </c>
      <c r="M351" s="4030"/>
      <c r="N351" s="4019">
        <f t="shared" si="587"/>
        <v>1751.25</v>
      </c>
      <c r="O351" s="4028"/>
      <c r="P351" s="4018">
        <v>0</v>
      </c>
      <c r="Q351" s="4029"/>
      <c r="R351" s="4020">
        <f t="shared" ref="R351" si="596">N351+P351</f>
        <v>1751.25</v>
      </c>
      <c r="S351" s="4028"/>
      <c r="T351" s="4018">
        <v>0</v>
      </c>
      <c r="U351" s="4029"/>
      <c r="V351" s="4020">
        <f t="shared" ref="V351" si="597">R351+T351</f>
        <v>1751.25</v>
      </c>
      <c r="W351" s="4028"/>
      <c r="X351" s="4018">
        <v>329.76000000000005</v>
      </c>
      <c r="Y351" s="4030"/>
      <c r="Z351" s="4019">
        <f t="shared" si="588"/>
        <v>329.76000000000005</v>
      </c>
      <c r="AA351" s="4031"/>
      <c r="AB351" s="3973">
        <f t="shared" si="589"/>
        <v>2081.0100000000002</v>
      </c>
      <c r="AC351" s="4028"/>
      <c r="AD351" s="4048">
        <v>468.48999999999995</v>
      </c>
      <c r="AE351" s="4029"/>
      <c r="AF351" s="4050">
        <f t="shared" si="590"/>
        <v>2549.5</v>
      </c>
      <c r="AG351" s="4028"/>
      <c r="AH351" s="4397">
        <v>691.2</v>
      </c>
      <c r="AI351" s="4029"/>
      <c r="AJ351" s="4394">
        <f t="shared" si="591"/>
        <v>3240.7</v>
      </c>
      <c r="AK351" s="4028"/>
      <c r="AL351" s="4276"/>
      <c r="AM351" s="4030"/>
      <c r="AN351" s="4282">
        <f t="shared" si="567"/>
        <v>1159.69</v>
      </c>
      <c r="AO351" s="4029"/>
      <c r="AP351" s="4277">
        <f t="shared" si="568"/>
        <v>3240.7</v>
      </c>
      <c r="AQ351" s="4028"/>
      <c r="AR351" s="4455"/>
      <c r="AS351" s="4029"/>
      <c r="AT351" s="4456">
        <f t="shared" si="592"/>
        <v>3240.7</v>
      </c>
      <c r="AU351" s="4028"/>
      <c r="AV351" s="4634">
        <v>1253.96</v>
      </c>
      <c r="AW351" s="4029"/>
      <c r="AX351" s="4635">
        <f t="shared" si="593"/>
        <v>4494.66</v>
      </c>
      <c r="AY351" s="4028"/>
      <c r="AZ351" s="5135">
        <v>1274.74</v>
      </c>
      <c r="BA351" s="4030"/>
      <c r="BB351" s="5136">
        <f t="shared" si="586"/>
        <v>2528.6999999999998</v>
      </c>
      <c r="BC351" s="4031"/>
      <c r="BD351" s="595">
        <f t="shared" si="572"/>
        <v>3688.39</v>
      </c>
      <c r="BE351" s="4029"/>
      <c r="BF351" s="5258">
        <f t="shared" si="594"/>
        <v>5769.4</v>
      </c>
      <c r="BG351" s="26"/>
      <c r="BH351" s="26"/>
      <c r="BI351" s="26"/>
      <c r="BJ351" s="26"/>
    </row>
    <row r="352" spans="1:62" ht="20.25" customHeight="1" x14ac:dyDescent="0.25">
      <c r="A352" s="188"/>
      <c r="B352" s="3975" t="s">
        <v>657</v>
      </c>
      <c r="C352" s="3955" t="s">
        <v>52</v>
      </c>
      <c r="D352" s="3955"/>
      <c r="E352" s="895"/>
      <c r="F352" s="299"/>
      <c r="G352" s="895"/>
      <c r="H352" s="299"/>
      <c r="I352" s="2345"/>
      <c r="J352" s="2339">
        <f t="shared" si="595"/>
        <v>0</v>
      </c>
      <c r="K352" s="895"/>
      <c r="L352" s="299"/>
      <c r="M352" s="2468"/>
      <c r="N352" s="4019">
        <f t="shared" si="587"/>
        <v>0</v>
      </c>
      <c r="O352" s="895"/>
      <c r="P352" s="299"/>
      <c r="Q352" s="2345"/>
      <c r="R352" s="2339"/>
      <c r="S352" s="895"/>
      <c r="T352" s="299"/>
      <c r="U352" s="2345"/>
      <c r="V352" s="2339"/>
      <c r="W352" s="895"/>
      <c r="X352" s="299"/>
      <c r="Y352" s="2468"/>
      <c r="Z352" s="4019">
        <f t="shared" si="588"/>
        <v>0</v>
      </c>
      <c r="AA352" s="3563"/>
      <c r="AB352" s="3979">
        <f t="shared" si="589"/>
        <v>0</v>
      </c>
      <c r="AC352" s="895"/>
      <c r="AD352" s="299"/>
      <c r="AE352" s="2345"/>
      <c r="AF352" s="4050">
        <f t="shared" si="590"/>
        <v>0</v>
      </c>
      <c r="AG352" s="895"/>
      <c r="AH352" s="299"/>
      <c r="AI352" s="2345"/>
      <c r="AJ352" s="4394">
        <f t="shared" si="591"/>
        <v>0</v>
      </c>
      <c r="AK352" s="895"/>
      <c r="AL352" s="299"/>
      <c r="AM352" s="2468"/>
      <c r="AN352" s="4282">
        <f t="shared" si="567"/>
        <v>0</v>
      </c>
      <c r="AO352" s="2345"/>
      <c r="AP352" s="4277">
        <f t="shared" si="568"/>
        <v>0</v>
      </c>
      <c r="AQ352" s="895"/>
      <c r="AR352" s="299"/>
      <c r="AS352" s="2345"/>
      <c r="AT352" s="4456">
        <f t="shared" si="592"/>
        <v>0</v>
      </c>
      <c r="AU352" s="895"/>
      <c r="AV352" s="299"/>
      <c r="AW352" s="2345"/>
      <c r="AX352" s="4635">
        <f t="shared" si="593"/>
        <v>0</v>
      </c>
      <c r="AY352" s="895"/>
      <c r="AZ352" s="299"/>
      <c r="BA352" s="2468"/>
      <c r="BB352" s="5136">
        <f t="shared" si="586"/>
        <v>0</v>
      </c>
      <c r="BC352" s="3563"/>
      <c r="BD352" s="595">
        <f t="shared" si="572"/>
        <v>0</v>
      </c>
      <c r="BE352" s="2345"/>
      <c r="BF352" s="5127">
        <f t="shared" si="594"/>
        <v>0</v>
      </c>
      <c r="BG352" s="26"/>
      <c r="BH352" s="26"/>
      <c r="BI352" s="26"/>
      <c r="BJ352" s="26"/>
    </row>
    <row r="353" spans="1:62" ht="20.25" customHeight="1" x14ac:dyDescent="0.25">
      <c r="A353" s="122"/>
      <c r="B353" s="3977" t="s">
        <v>646</v>
      </c>
      <c r="C353" s="3955" t="s">
        <v>52</v>
      </c>
      <c r="D353" s="3955"/>
      <c r="E353" s="896"/>
      <c r="F353" s="3956">
        <v>2904.3599999999997</v>
      </c>
      <c r="G353" s="896"/>
      <c r="H353" s="3956">
        <v>1533.18</v>
      </c>
      <c r="I353" s="2345"/>
      <c r="J353" s="3959">
        <f t="shared" si="595"/>
        <v>4437.54</v>
      </c>
      <c r="K353" s="896"/>
      <c r="L353" s="3956">
        <v>1981</v>
      </c>
      <c r="M353" s="2468"/>
      <c r="N353" s="4019">
        <f t="shared" si="587"/>
        <v>6418.54</v>
      </c>
      <c r="O353" s="896"/>
      <c r="P353" s="3956">
        <v>6626.65</v>
      </c>
      <c r="Q353" s="2345"/>
      <c r="R353" s="3959">
        <f t="shared" ref="R353:R361" si="598">N353+P353</f>
        <v>13045.189999999999</v>
      </c>
      <c r="S353" s="896"/>
      <c r="T353" s="3956">
        <v>1983.1999999999998</v>
      </c>
      <c r="U353" s="2345"/>
      <c r="V353" s="3959">
        <f t="shared" ref="V353:V361" si="599">R353+T353</f>
        <v>15028.39</v>
      </c>
      <c r="W353" s="896"/>
      <c r="X353" s="3956"/>
      <c r="Y353" s="2468"/>
      <c r="Z353" s="4019">
        <f t="shared" si="588"/>
        <v>8609.8499999999985</v>
      </c>
      <c r="AA353" s="3563"/>
      <c r="AB353" s="3979">
        <f t="shared" si="589"/>
        <v>15028.39</v>
      </c>
      <c r="AC353" s="896"/>
      <c r="AD353" s="4048">
        <v>2851.7199999999993</v>
      </c>
      <c r="AE353" s="2345"/>
      <c r="AF353" s="4050">
        <f t="shared" ref="AF353:AF361" si="600">AB353+AD353</f>
        <v>17880.11</v>
      </c>
      <c r="AG353" s="896"/>
      <c r="AH353" s="4397">
        <v>142.55000000000001</v>
      </c>
      <c r="AI353" s="2345"/>
      <c r="AJ353" s="4394">
        <f t="shared" si="591"/>
        <v>18022.66</v>
      </c>
      <c r="AK353" s="896"/>
      <c r="AL353" s="4276">
        <v>1038.8800000000001</v>
      </c>
      <c r="AM353" s="2468"/>
      <c r="AN353" s="4282">
        <f t="shared" si="567"/>
        <v>4033.1499999999996</v>
      </c>
      <c r="AO353" s="2345"/>
      <c r="AP353" s="4277">
        <f t="shared" si="568"/>
        <v>19061.54</v>
      </c>
      <c r="AQ353" s="896"/>
      <c r="AR353" s="4455">
        <v>929.18000000000006</v>
      </c>
      <c r="AS353" s="2345"/>
      <c r="AT353" s="4456">
        <f t="shared" si="592"/>
        <v>19990.72</v>
      </c>
      <c r="AU353" s="896"/>
      <c r="AV353" s="4634">
        <v>1943.9900000000002</v>
      </c>
      <c r="AW353" s="2345"/>
      <c r="AX353" s="4635">
        <f t="shared" si="593"/>
        <v>21934.710000000003</v>
      </c>
      <c r="AY353" s="896"/>
      <c r="AZ353" s="5135">
        <v>441.55999999999995</v>
      </c>
      <c r="BA353" s="2468"/>
      <c r="BB353" s="5136">
        <f t="shared" si="586"/>
        <v>3314.73</v>
      </c>
      <c r="BC353" s="3563"/>
      <c r="BD353" s="595">
        <f t="shared" si="572"/>
        <v>7347.8799999999992</v>
      </c>
      <c r="BE353" s="2345"/>
      <c r="BF353" s="5127">
        <f t="shared" si="594"/>
        <v>22376.270000000004</v>
      </c>
      <c r="BG353" s="26"/>
      <c r="BH353" s="26"/>
      <c r="BI353" s="26"/>
      <c r="BJ353" s="26"/>
    </row>
    <row r="354" spans="1:62" ht="21.2" customHeight="1" x14ac:dyDescent="0.25">
      <c r="A354" s="122"/>
      <c r="B354" s="3977" t="s">
        <v>998</v>
      </c>
      <c r="C354" s="3955" t="s">
        <v>52</v>
      </c>
      <c r="D354" s="3955"/>
      <c r="E354" s="896"/>
      <c r="F354" s="3956"/>
      <c r="G354" s="896"/>
      <c r="H354" s="3956"/>
      <c r="I354" s="2345"/>
      <c r="J354" s="3959">
        <f t="shared" si="595"/>
        <v>0</v>
      </c>
      <c r="K354" s="896"/>
      <c r="L354" s="3956">
        <v>647.16999999999996</v>
      </c>
      <c r="M354" s="2468"/>
      <c r="N354" s="4019">
        <f t="shared" si="587"/>
        <v>647.16999999999996</v>
      </c>
      <c r="O354" s="896"/>
      <c r="P354" s="3956">
        <v>472.42</v>
      </c>
      <c r="Q354" s="2345"/>
      <c r="R354" s="3959">
        <f t="shared" si="598"/>
        <v>1119.5899999999999</v>
      </c>
      <c r="S354" s="896"/>
      <c r="T354" s="3956">
        <v>382.29999999999995</v>
      </c>
      <c r="U354" s="2345"/>
      <c r="V354" s="3959">
        <f t="shared" si="599"/>
        <v>1501.8899999999999</v>
      </c>
      <c r="W354" s="896"/>
      <c r="X354" s="3956"/>
      <c r="Y354" s="2468"/>
      <c r="Z354" s="4019">
        <f t="shared" si="588"/>
        <v>854.72</v>
      </c>
      <c r="AA354" s="3563"/>
      <c r="AB354" s="3979">
        <f t="shared" si="589"/>
        <v>1501.8899999999999</v>
      </c>
      <c r="AC354" s="896"/>
      <c r="AD354" s="4048"/>
      <c r="AE354" s="2345"/>
      <c r="AF354" s="4050">
        <f t="shared" si="600"/>
        <v>1501.8899999999999</v>
      </c>
      <c r="AG354" s="896"/>
      <c r="AH354" s="4397"/>
      <c r="AI354" s="2345"/>
      <c r="AJ354" s="4394">
        <f t="shared" si="591"/>
        <v>1501.8899999999999</v>
      </c>
      <c r="AK354" s="896"/>
      <c r="AL354" s="4276"/>
      <c r="AM354" s="2468"/>
      <c r="AN354" s="4282">
        <f t="shared" si="567"/>
        <v>0</v>
      </c>
      <c r="AO354" s="2345"/>
      <c r="AP354" s="4277">
        <f t="shared" si="568"/>
        <v>1501.8899999999999</v>
      </c>
      <c r="AQ354" s="896"/>
      <c r="AR354" s="4455"/>
      <c r="AS354" s="2345"/>
      <c r="AT354" s="4456">
        <f t="shared" si="592"/>
        <v>1501.8899999999999</v>
      </c>
      <c r="AU354" s="896"/>
      <c r="AV354" s="4634">
        <v>595.17999999999995</v>
      </c>
      <c r="AW354" s="2345"/>
      <c r="AX354" s="4635">
        <f t="shared" si="593"/>
        <v>2097.0699999999997</v>
      </c>
      <c r="AY354" s="896"/>
      <c r="AZ354" s="5135"/>
      <c r="BA354" s="2468"/>
      <c r="BB354" s="5136">
        <f t="shared" si="586"/>
        <v>595.17999999999995</v>
      </c>
      <c r="BC354" s="3563"/>
      <c r="BD354" s="595">
        <f t="shared" si="572"/>
        <v>595.17999999999995</v>
      </c>
      <c r="BE354" s="2345"/>
      <c r="BF354" s="5127">
        <f t="shared" si="594"/>
        <v>2097.0699999999997</v>
      </c>
      <c r="BG354" s="26"/>
      <c r="BH354" s="26"/>
      <c r="BI354" s="26"/>
      <c r="BJ354" s="26"/>
    </row>
    <row r="355" spans="1:62" ht="21.2" customHeight="1" x14ac:dyDescent="0.25">
      <c r="A355" s="122"/>
      <c r="B355" s="3977" t="s">
        <v>1820</v>
      </c>
      <c r="C355" s="4017" t="s">
        <v>52</v>
      </c>
      <c r="D355" s="3955"/>
      <c r="E355" s="896"/>
      <c r="F355" s="3956"/>
      <c r="G355" s="896"/>
      <c r="H355" s="3956"/>
      <c r="I355" s="2345"/>
      <c r="J355" s="3959"/>
      <c r="K355" s="896"/>
      <c r="L355" s="3956"/>
      <c r="M355" s="2468"/>
      <c r="N355" s="3957">
        <f t="shared" ref="N355:N359" si="601">F355+H355+L355</f>
        <v>0</v>
      </c>
      <c r="O355" s="896"/>
      <c r="P355" s="3956"/>
      <c r="Q355" s="2345"/>
      <c r="R355" s="3959"/>
      <c r="S355" s="896"/>
      <c r="T355" s="3956"/>
      <c r="U355" s="2345"/>
      <c r="V355" s="3959">
        <f t="shared" si="599"/>
        <v>0</v>
      </c>
      <c r="W355" s="896"/>
      <c r="X355" s="3956">
        <v>692.46</v>
      </c>
      <c r="Y355" s="2468"/>
      <c r="Z355" s="4019">
        <f t="shared" si="588"/>
        <v>692.46</v>
      </c>
      <c r="AA355" s="3563"/>
      <c r="AB355" s="3979">
        <f t="shared" si="589"/>
        <v>692.46</v>
      </c>
      <c r="AC355" s="896"/>
      <c r="AD355" s="4048"/>
      <c r="AE355" s="2345"/>
      <c r="AF355" s="4050">
        <f t="shared" si="600"/>
        <v>692.46</v>
      </c>
      <c r="AG355" s="896"/>
      <c r="AH355" s="4397"/>
      <c r="AI355" s="2345"/>
      <c r="AJ355" s="4394">
        <f t="shared" si="591"/>
        <v>692.46</v>
      </c>
      <c r="AK355" s="896"/>
      <c r="AL355" s="4276">
        <v>315.36</v>
      </c>
      <c r="AM355" s="2468"/>
      <c r="AN355" s="4282">
        <f t="shared" si="567"/>
        <v>315.36</v>
      </c>
      <c r="AO355" s="2345"/>
      <c r="AP355" s="4277">
        <f t="shared" si="568"/>
        <v>1007.82</v>
      </c>
      <c r="AQ355" s="896"/>
      <c r="AR355" s="4455"/>
      <c r="AS355" s="2345"/>
      <c r="AT355" s="4456">
        <f t="shared" si="592"/>
        <v>1007.82</v>
      </c>
      <c r="AU355" s="896"/>
      <c r="AV355" s="4634"/>
      <c r="AW355" s="2345"/>
      <c r="AX355" s="4635">
        <f t="shared" si="593"/>
        <v>1007.82</v>
      </c>
      <c r="AY355" s="896"/>
      <c r="AZ355" s="5135"/>
      <c r="BA355" s="2468"/>
      <c r="BB355" s="5136">
        <f t="shared" si="586"/>
        <v>0</v>
      </c>
      <c r="BC355" s="3563"/>
      <c r="BD355" s="595">
        <f t="shared" si="572"/>
        <v>315.36</v>
      </c>
      <c r="BE355" s="2345"/>
      <c r="BF355" s="5127">
        <f t="shared" si="594"/>
        <v>1007.82</v>
      </c>
      <c r="BG355" s="26"/>
      <c r="BH355" s="26"/>
      <c r="BI355" s="26"/>
      <c r="BJ355" s="26"/>
    </row>
    <row r="356" spans="1:62" ht="20.25" customHeight="1" x14ac:dyDescent="0.25">
      <c r="A356" s="188"/>
      <c r="B356" s="3977" t="s">
        <v>557</v>
      </c>
      <c r="C356" s="3955" t="s">
        <v>52</v>
      </c>
      <c r="D356" s="3955"/>
      <c r="E356" s="896"/>
      <c r="F356" s="3956">
        <v>3996</v>
      </c>
      <c r="G356" s="896"/>
      <c r="H356" s="3956">
        <v>2957.76</v>
      </c>
      <c r="I356" s="2345"/>
      <c r="J356" s="3959">
        <f t="shared" si="595"/>
        <v>6953.76</v>
      </c>
      <c r="K356" s="896"/>
      <c r="L356" s="3956">
        <v>4033.8999999999987</v>
      </c>
      <c r="M356" s="2468"/>
      <c r="N356" s="3957">
        <f t="shared" si="601"/>
        <v>10987.66</v>
      </c>
      <c r="O356" s="896"/>
      <c r="P356" s="3956">
        <v>3922.9199999999996</v>
      </c>
      <c r="Q356" s="2345"/>
      <c r="R356" s="3959">
        <f t="shared" si="598"/>
        <v>14910.58</v>
      </c>
      <c r="S356" s="896"/>
      <c r="T356" s="3956">
        <v>4755.5200000000004</v>
      </c>
      <c r="U356" s="2345"/>
      <c r="V356" s="3959">
        <f t="shared" si="599"/>
        <v>19666.099999999999</v>
      </c>
      <c r="W356" s="896"/>
      <c r="X356" s="3956">
        <v>4453.5199999999995</v>
      </c>
      <c r="Y356" s="2468"/>
      <c r="Z356" s="3957">
        <f t="shared" ref="Z356:Z359" si="602">P356+T356+X356</f>
        <v>13131.96</v>
      </c>
      <c r="AA356" s="3563"/>
      <c r="AB356" s="3973">
        <f t="shared" ref="AB356:AB361" si="603">N356+Z356</f>
        <v>24119.62</v>
      </c>
      <c r="AC356" s="896"/>
      <c r="AD356" s="4048">
        <v>3962.7400000000002</v>
      </c>
      <c r="AE356" s="2345"/>
      <c r="AF356" s="4050">
        <f t="shared" si="600"/>
        <v>28082.36</v>
      </c>
      <c r="AG356" s="896"/>
      <c r="AH356" s="4397">
        <v>845.28</v>
      </c>
      <c r="AI356" s="2345"/>
      <c r="AJ356" s="4394">
        <f t="shared" si="591"/>
        <v>28927.64</v>
      </c>
      <c r="AK356" s="896"/>
      <c r="AL356" s="4276">
        <v>977.05999999999983</v>
      </c>
      <c r="AM356" s="2468"/>
      <c r="AN356" s="4282">
        <f t="shared" si="567"/>
        <v>5785.08</v>
      </c>
      <c r="AO356" s="2345"/>
      <c r="AP356" s="4277">
        <f t="shared" si="568"/>
        <v>29904.7</v>
      </c>
      <c r="AQ356" s="896"/>
      <c r="AR356" s="4455">
        <v>3675.6399999999994</v>
      </c>
      <c r="AS356" s="2345"/>
      <c r="AT356" s="4456">
        <f t="shared" si="592"/>
        <v>33580.339999999997</v>
      </c>
      <c r="AU356" s="896"/>
      <c r="AV356" s="4634">
        <v>1077.6199999999999</v>
      </c>
      <c r="AW356" s="2345"/>
      <c r="AX356" s="4635">
        <f t="shared" si="593"/>
        <v>34657.96</v>
      </c>
      <c r="AY356" s="896"/>
      <c r="AZ356" s="5135">
        <v>1142.8999999999999</v>
      </c>
      <c r="BA356" s="2468"/>
      <c r="BB356" s="5136">
        <f t="shared" si="586"/>
        <v>5896.1599999999989</v>
      </c>
      <c r="BC356" s="3563"/>
      <c r="BD356" s="595">
        <f t="shared" si="572"/>
        <v>11681.239999999998</v>
      </c>
      <c r="BE356" s="2345"/>
      <c r="BF356" s="5127">
        <f t="shared" si="594"/>
        <v>35800.86</v>
      </c>
      <c r="BG356" s="26"/>
      <c r="BH356" s="26"/>
      <c r="BI356" s="26"/>
      <c r="BJ356" s="26"/>
    </row>
    <row r="357" spans="1:62" ht="20.25" customHeight="1" x14ac:dyDescent="0.25">
      <c r="A357" s="122"/>
      <c r="B357" s="3977" t="s">
        <v>738</v>
      </c>
      <c r="C357" s="3955" t="s">
        <v>52</v>
      </c>
      <c r="D357" s="3955"/>
      <c r="E357" s="896"/>
      <c r="F357" s="3956">
        <v>1530.2200000000003</v>
      </c>
      <c r="G357" s="896"/>
      <c r="H357" s="3956">
        <v>1925.8199999999997</v>
      </c>
      <c r="I357" s="2345"/>
      <c r="J357" s="3959">
        <f t="shared" si="595"/>
        <v>3456.04</v>
      </c>
      <c r="K357" s="896"/>
      <c r="L357" s="3956"/>
      <c r="M357" s="2468"/>
      <c r="N357" s="3957">
        <f t="shared" si="601"/>
        <v>3456.04</v>
      </c>
      <c r="O357" s="896"/>
      <c r="P357" s="3956">
        <v>447.70000000000005</v>
      </c>
      <c r="Q357" s="2345"/>
      <c r="R357" s="3959">
        <f t="shared" si="598"/>
        <v>3903.74</v>
      </c>
      <c r="S357" s="896"/>
      <c r="T357" s="3956">
        <v>127.7</v>
      </c>
      <c r="U357" s="2345"/>
      <c r="V357" s="3959">
        <f t="shared" si="599"/>
        <v>4031.4399999999996</v>
      </c>
      <c r="W357" s="896"/>
      <c r="X357" s="3956">
        <v>1414.6200000000001</v>
      </c>
      <c r="Y357" s="2468"/>
      <c r="Z357" s="3957">
        <f t="shared" si="602"/>
        <v>1990.0200000000002</v>
      </c>
      <c r="AA357" s="3563"/>
      <c r="AB357" s="3973">
        <f t="shared" si="603"/>
        <v>5446.06</v>
      </c>
      <c r="AC357" s="896"/>
      <c r="AD357" s="4048">
        <v>4679.4799999999968</v>
      </c>
      <c r="AE357" s="2345"/>
      <c r="AF357" s="4050">
        <f t="shared" si="600"/>
        <v>10125.539999999997</v>
      </c>
      <c r="AG357" s="896"/>
      <c r="AH357" s="4397">
        <v>569.79999999999995</v>
      </c>
      <c r="AI357" s="2345"/>
      <c r="AJ357" s="4394">
        <f t="shared" si="591"/>
        <v>10695.339999999997</v>
      </c>
      <c r="AK357" s="896"/>
      <c r="AL357" s="4276">
        <v>5755.6400000000012</v>
      </c>
      <c r="AM357" s="2468"/>
      <c r="AN357" s="4282">
        <f t="shared" si="567"/>
        <v>11004.919999999998</v>
      </c>
      <c r="AO357" s="2345"/>
      <c r="AP357" s="4277">
        <f t="shared" si="568"/>
        <v>16450.979999999996</v>
      </c>
      <c r="AQ357" s="896"/>
      <c r="AR357" s="4455">
        <v>2763.0800000000004</v>
      </c>
      <c r="AS357" s="2345"/>
      <c r="AT357" s="4456">
        <f t="shared" si="592"/>
        <v>19214.059999999998</v>
      </c>
      <c r="AU357" s="896"/>
      <c r="AV357" s="4634">
        <v>1632.84</v>
      </c>
      <c r="AW357" s="2345"/>
      <c r="AX357" s="4635">
        <f t="shared" si="593"/>
        <v>20846.899999999998</v>
      </c>
      <c r="AY357" s="896"/>
      <c r="AZ357" s="5135">
        <v>4513.8500000000004</v>
      </c>
      <c r="BA357" s="2468"/>
      <c r="BB357" s="5136">
        <f t="shared" si="586"/>
        <v>8909.77</v>
      </c>
      <c r="BC357" s="3563"/>
      <c r="BD357" s="595">
        <f t="shared" si="572"/>
        <v>19914.689999999999</v>
      </c>
      <c r="BE357" s="2345"/>
      <c r="BF357" s="5127">
        <f t="shared" si="594"/>
        <v>25360.75</v>
      </c>
      <c r="BG357" s="26"/>
      <c r="BH357" s="26"/>
      <c r="BI357" s="26"/>
      <c r="BJ357" s="26"/>
    </row>
    <row r="358" spans="1:62" ht="20.25" customHeight="1" x14ac:dyDescent="0.25">
      <c r="A358" s="122"/>
      <c r="B358" s="3977" t="s">
        <v>739</v>
      </c>
      <c r="C358" s="3955" t="s">
        <v>52</v>
      </c>
      <c r="D358" s="3955"/>
      <c r="E358" s="896"/>
      <c r="F358" s="3956"/>
      <c r="G358" s="896"/>
      <c r="H358" s="3956"/>
      <c r="I358" s="2345"/>
      <c r="J358" s="3959">
        <f t="shared" si="595"/>
        <v>0</v>
      </c>
      <c r="K358" s="896"/>
      <c r="L358" s="3956"/>
      <c r="M358" s="2468"/>
      <c r="N358" s="3957">
        <f t="shared" si="601"/>
        <v>0</v>
      </c>
      <c r="O358" s="896"/>
      <c r="P358" s="3956">
        <v>1209.6199999999999</v>
      </c>
      <c r="Q358" s="2345"/>
      <c r="R358" s="3959">
        <f t="shared" si="598"/>
        <v>1209.6199999999999</v>
      </c>
      <c r="S358" s="896"/>
      <c r="T358" s="3956">
        <v>63.64</v>
      </c>
      <c r="U358" s="2345"/>
      <c r="V358" s="3959">
        <f t="shared" si="599"/>
        <v>1273.26</v>
      </c>
      <c r="W358" s="896"/>
      <c r="X358" s="3956">
        <v>692.04000000000008</v>
      </c>
      <c r="Y358" s="2468"/>
      <c r="Z358" s="3957">
        <f t="shared" si="602"/>
        <v>1965.3000000000002</v>
      </c>
      <c r="AA358" s="3563"/>
      <c r="AB358" s="3973">
        <f t="shared" si="603"/>
        <v>1965.3000000000002</v>
      </c>
      <c r="AC358" s="896"/>
      <c r="AD358" s="4048"/>
      <c r="AE358" s="2345"/>
      <c r="AF358" s="4050">
        <f t="shared" si="600"/>
        <v>1965.3000000000002</v>
      </c>
      <c r="AG358" s="896"/>
      <c r="AH358" s="4397"/>
      <c r="AI358" s="2345"/>
      <c r="AJ358" s="4394">
        <f t="shared" si="591"/>
        <v>1965.3000000000002</v>
      </c>
      <c r="AK358" s="896"/>
      <c r="AL358" s="4276"/>
      <c r="AM358" s="2468"/>
      <c r="AN358" s="4282">
        <f t="shared" si="567"/>
        <v>0</v>
      </c>
      <c r="AO358" s="2345"/>
      <c r="AP358" s="4277">
        <f t="shared" si="568"/>
        <v>1965.3000000000002</v>
      </c>
      <c r="AQ358" s="896"/>
      <c r="AR358" s="4455"/>
      <c r="AS358" s="2345"/>
      <c r="AT358" s="4456">
        <f t="shared" si="592"/>
        <v>1965.3000000000002</v>
      </c>
      <c r="AU358" s="896"/>
      <c r="AV358" s="4634"/>
      <c r="AW358" s="2345"/>
      <c r="AX358" s="4635">
        <f t="shared" si="593"/>
        <v>1965.3000000000002</v>
      </c>
      <c r="AY358" s="896"/>
      <c r="AZ358" s="5135"/>
      <c r="BA358" s="2468"/>
      <c r="BB358" s="5136">
        <f t="shared" si="586"/>
        <v>0</v>
      </c>
      <c r="BC358" s="3563"/>
      <c r="BD358" s="595">
        <f t="shared" si="572"/>
        <v>0</v>
      </c>
      <c r="BE358" s="2345"/>
      <c r="BF358" s="5127">
        <f t="shared" si="594"/>
        <v>1965.3000000000002</v>
      </c>
      <c r="BG358" s="26"/>
      <c r="BH358" s="26"/>
      <c r="BI358" s="26"/>
      <c r="BJ358" s="26"/>
    </row>
    <row r="359" spans="1:62" ht="20.25" customHeight="1" x14ac:dyDescent="0.25">
      <c r="A359" s="122"/>
      <c r="B359" s="3977" t="s">
        <v>740</v>
      </c>
      <c r="C359" s="3955" t="s">
        <v>52</v>
      </c>
      <c r="D359" s="3955"/>
      <c r="E359" s="896"/>
      <c r="F359" s="3956">
        <v>382.74</v>
      </c>
      <c r="G359" s="896"/>
      <c r="H359" s="3956"/>
      <c r="I359" s="2345"/>
      <c r="J359" s="3959">
        <f t="shared" si="595"/>
        <v>382.74</v>
      </c>
      <c r="K359" s="896"/>
      <c r="L359" s="3956"/>
      <c r="M359" s="2468"/>
      <c r="N359" s="3957">
        <f t="shared" si="601"/>
        <v>382.74</v>
      </c>
      <c r="O359" s="896"/>
      <c r="P359" s="3956"/>
      <c r="Q359" s="2345"/>
      <c r="R359" s="3959">
        <f t="shared" si="598"/>
        <v>382.74</v>
      </c>
      <c r="S359" s="896"/>
      <c r="T359" s="3956">
        <v>314.88</v>
      </c>
      <c r="U359" s="2345"/>
      <c r="V359" s="3959">
        <f t="shared" si="599"/>
        <v>697.62</v>
      </c>
      <c r="W359" s="896"/>
      <c r="X359" s="3956"/>
      <c r="Y359" s="2468"/>
      <c r="Z359" s="3957">
        <f t="shared" si="602"/>
        <v>314.88</v>
      </c>
      <c r="AA359" s="3563"/>
      <c r="AB359" s="3973">
        <f t="shared" si="603"/>
        <v>697.62</v>
      </c>
      <c r="AC359" s="896"/>
      <c r="AD359" s="4048"/>
      <c r="AE359" s="2345"/>
      <c r="AF359" s="4050">
        <f t="shared" si="600"/>
        <v>697.62</v>
      </c>
      <c r="AG359" s="896"/>
      <c r="AH359" s="4397"/>
      <c r="AI359" s="2345"/>
      <c r="AJ359" s="4394">
        <f t="shared" si="591"/>
        <v>697.62</v>
      </c>
      <c r="AK359" s="896"/>
      <c r="AL359" s="4276"/>
      <c r="AM359" s="2468"/>
      <c r="AN359" s="4282">
        <f t="shared" si="567"/>
        <v>0</v>
      </c>
      <c r="AO359" s="2345"/>
      <c r="AP359" s="4277">
        <f t="shared" si="568"/>
        <v>697.62</v>
      </c>
      <c r="AQ359" s="896"/>
      <c r="AR359" s="4455"/>
      <c r="AS359" s="2345"/>
      <c r="AT359" s="4456">
        <f t="shared" si="592"/>
        <v>697.62</v>
      </c>
      <c r="AU359" s="896"/>
      <c r="AV359" s="4634"/>
      <c r="AW359" s="2345"/>
      <c r="AX359" s="4635">
        <f t="shared" si="593"/>
        <v>697.62</v>
      </c>
      <c r="AY359" s="896"/>
      <c r="AZ359" s="5135"/>
      <c r="BA359" s="2468"/>
      <c r="BB359" s="5136">
        <f t="shared" si="586"/>
        <v>0</v>
      </c>
      <c r="BC359" s="3563"/>
      <c r="BD359" s="595">
        <f t="shared" si="572"/>
        <v>0</v>
      </c>
      <c r="BE359" s="2345"/>
      <c r="BF359" s="5127">
        <f t="shared" si="594"/>
        <v>697.62</v>
      </c>
      <c r="BG359" s="26"/>
      <c r="BH359" s="26"/>
      <c r="BI359" s="26"/>
      <c r="BJ359" s="26"/>
    </row>
    <row r="360" spans="1:62" ht="20.25" customHeight="1" x14ac:dyDescent="0.25">
      <c r="A360" s="188"/>
      <c r="B360" s="3978" t="s">
        <v>550</v>
      </c>
      <c r="C360" s="3961" t="s">
        <v>52</v>
      </c>
      <c r="D360" s="748">
        <f>+D47</f>
        <v>58000</v>
      </c>
      <c r="E360" s="748"/>
      <c r="F360" s="748">
        <f>+F345+F349+SUM(F353:F359)</f>
        <v>9369.26</v>
      </c>
      <c r="G360" s="748"/>
      <c r="H360" s="748">
        <f>+H345+H349+SUM(H353:H359)</f>
        <v>8374.16</v>
      </c>
      <c r="I360" s="3960"/>
      <c r="J360" s="3960">
        <f t="shared" si="595"/>
        <v>17743.419999999998</v>
      </c>
      <c r="K360" s="748"/>
      <c r="L360" s="748">
        <f>+L345+L349+SUM(L353:L359)</f>
        <v>6662.0699999999988</v>
      </c>
      <c r="M360" s="3954"/>
      <c r="N360" s="3954">
        <f>F360+H360+L360</f>
        <v>24405.489999999998</v>
      </c>
      <c r="O360" s="748"/>
      <c r="P360" s="748">
        <f>+P345+P349+SUM(P353:P359)</f>
        <v>15615.240000000002</v>
      </c>
      <c r="Q360" s="3960"/>
      <c r="R360" s="3960">
        <f t="shared" si="598"/>
        <v>40020.729999999996</v>
      </c>
      <c r="S360" s="748"/>
      <c r="T360" s="748">
        <f>+T345+T349+SUM(T353:T359)</f>
        <v>7864.5000000000009</v>
      </c>
      <c r="U360" s="3960"/>
      <c r="V360" s="3960">
        <f t="shared" si="599"/>
        <v>47885.229999999996</v>
      </c>
      <c r="W360" s="748"/>
      <c r="X360" s="748">
        <f>+X345+X349+SUM(X353:X359)</f>
        <v>7832.1299999999992</v>
      </c>
      <c r="Y360" s="3954"/>
      <c r="Z360" s="3954">
        <f>P360+T360+X360</f>
        <v>31311.870000000003</v>
      </c>
      <c r="AA360" s="3953"/>
      <c r="AB360" s="3979">
        <f t="shared" si="603"/>
        <v>55717.36</v>
      </c>
      <c r="AC360" s="748"/>
      <c r="AD360" s="748">
        <f>+AD345+AD349+SUM(AD353:AD359)</f>
        <v>11962.429999999995</v>
      </c>
      <c r="AE360" s="4051"/>
      <c r="AF360" s="4051">
        <f t="shared" si="600"/>
        <v>67679.789999999994</v>
      </c>
      <c r="AG360" s="748"/>
      <c r="AH360" s="748">
        <f>+AH345+AH349+SUM(AH353:AH359)</f>
        <v>2248.83</v>
      </c>
      <c r="AI360" s="4392"/>
      <c r="AJ360" s="4392">
        <f t="shared" si="591"/>
        <v>69928.62</v>
      </c>
      <c r="AK360" s="748"/>
      <c r="AL360" s="748">
        <f>+AL345+AL349+SUM(AL353:AL359)</f>
        <v>8086.9400000000014</v>
      </c>
      <c r="AM360" s="4283"/>
      <c r="AN360" s="4283">
        <f t="shared" si="567"/>
        <v>22298.199999999997</v>
      </c>
      <c r="AO360" s="4273"/>
      <c r="AP360" s="4273">
        <f t="shared" si="568"/>
        <v>78015.56</v>
      </c>
      <c r="AQ360" s="748"/>
      <c r="AR360" s="748">
        <f>+AR345+AR349+SUM(AR353:AR359)</f>
        <v>7367.9</v>
      </c>
      <c r="AS360" s="4453"/>
      <c r="AT360" s="4453">
        <f t="shared" si="592"/>
        <v>85383.459999999992</v>
      </c>
      <c r="AU360" s="748"/>
      <c r="AV360" s="748">
        <f>+AV345+AV349+SUM(AV353:AV359)</f>
        <v>6503.59</v>
      </c>
      <c r="AW360" s="4630"/>
      <c r="AX360" s="4630">
        <f t="shared" si="593"/>
        <v>91887.049999999988</v>
      </c>
      <c r="AY360" s="748"/>
      <c r="AZ360" s="748">
        <f>+AZ345+AZ349+SUM(AZ353:AZ359)</f>
        <v>7373.05</v>
      </c>
      <c r="BA360" s="5129"/>
      <c r="BB360" s="5129">
        <f>AR360+AV360+AZ360</f>
        <v>21244.54</v>
      </c>
      <c r="BC360" s="5140"/>
      <c r="BD360" s="784">
        <f t="shared" si="572"/>
        <v>43542.74</v>
      </c>
      <c r="BE360" s="5124"/>
      <c r="BF360" s="5124">
        <f t="shared" si="594"/>
        <v>99260.099999999991</v>
      </c>
      <c r="BG360" s="26"/>
      <c r="BH360" s="26"/>
      <c r="BI360" s="26"/>
      <c r="BJ360" s="26"/>
    </row>
    <row r="361" spans="1:62" ht="21" customHeight="1" thickBot="1" x14ac:dyDescent="0.3">
      <c r="A361" s="122"/>
      <c r="B361" s="3982" t="s">
        <v>551</v>
      </c>
      <c r="C361" s="3983" t="s">
        <v>52</v>
      </c>
      <c r="D361" s="3984">
        <f>+D33</f>
        <v>650000</v>
      </c>
      <c r="E361" s="3984">
        <f>+E33</f>
        <v>54000.486872227273</v>
      </c>
      <c r="F361" s="3984">
        <f>+F343+F360</f>
        <v>55412.680000000008</v>
      </c>
      <c r="G361" s="3984">
        <f>+G33</f>
        <v>41500.44144996407</v>
      </c>
      <c r="H361" s="3984">
        <f>+H343+H360</f>
        <v>49231.87000000001</v>
      </c>
      <c r="I361" s="3985">
        <f>+I33</f>
        <v>95500.92832219135</v>
      </c>
      <c r="J361" s="3985">
        <f t="shared" si="595"/>
        <v>104644.55000000002</v>
      </c>
      <c r="K361" s="3984">
        <f>+K33</f>
        <v>56500.27133862226</v>
      </c>
      <c r="L361" s="3984">
        <f>+L343+L360</f>
        <v>48206.28</v>
      </c>
      <c r="M361" s="3986">
        <f>E361+G361+K361</f>
        <v>152001.19966081361</v>
      </c>
      <c r="N361" s="3986">
        <f>F361+H361+L361</f>
        <v>152850.83000000002</v>
      </c>
      <c r="O361" s="3984">
        <f>+O33</f>
        <v>52000.374234374751</v>
      </c>
      <c r="P361" s="3984">
        <f>+P343+P360</f>
        <v>68083.670000000013</v>
      </c>
      <c r="Q361" s="3985">
        <f>+Q33</f>
        <v>204001.57389518837</v>
      </c>
      <c r="R361" s="3985">
        <f t="shared" si="598"/>
        <v>220934.50000000003</v>
      </c>
      <c r="S361" s="3984">
        <f>+S33</f>
        <v>52000.373964374739</v>
      </c>
      <c r="T361" s="3984">
        <f>+T343+T360</f>
        <v>57500.53</v>
      </c>
      <c r="U361" s="3985">
        <f>+U33</f>
        <v>256001.94785956311</v>
      </c>
      <c r="V361" s="3985">
        <f t="shared" si="599"/>
        <v>278435.03000000003</v>
      </c>
      <c r="W361" s="3984">
        <f>+W33</f>
        <v>49999.901966540951</v>
      </c>
      <c r="X361" s="3984">
        <f>+X343+X360</f>
        <v>57902.819999999992</v>
      </c>
      <c r="Y361" s="3986">
        <f>O361+S361+W361</f>
        <v>154000.65016529046</v>
      </c>
      <c r="Z361" s="3986">
        <f t="shared" ref="Z361" si="604">P361+T361+X361</f>
        <v>183487.02000000002</v>
      </c>
      <c r="AA361" s="3987">
        <f>M361+Y361</f>
        <v>306001.84982610407</v>
      </c>
      <c r="AB361" s="3988">
        <f t="shared" si="603"/>
        <v>336337.85000000003</v>
      </c>
      <c r="AC361" s="3984">
        <f>+AC33</f>
        <v>57499.147549254507</v>
      </c>
      <c r="AD361" s="3984">
        <f>+AD343+AD360</f>
        <v>62691.999999999993</v>
      </c>
      <c r="AE361" s="3985">
        <f>+AE33</f>
        <v>363500.99737535859</v>
      </c>
      <c r="AF361" s="3985">
        <f t="shared" si="600"/>
        <v>399029.85000000003</v>
      </c>
      <c r="AG361" s="3984">
        <f>+AG33</f>
        <v>55500.279325031559</v>
      </c>
      <c r="AH361" s="3984">
        <f>+AH343+AH360</f>
        <v>46806.63</v>
      </c>
      <c r="AI361" s="3985">
        <f>+AI33</f>
        <v>419001.27670039015</v>
      </c>
      <c r="AJ361" s="3985">
        <f t="shared" si="591"/>
        <v>445836.48000000004</v>
      </c>
      <c r="AK361" s="3984">
        <f>+AK33</f>
        <v>58499.543775669597</v>
      </c>
      <c r="AL361" s="3984">
        <f>+AL343+AL360</f>
        <v>55839.239999999991</v>
      </c>
      <c r="AM361" s="3986">
        <f>AC361+AG361+AK361</f>
        <v>171498.97064995565</v>
      </c>
      <c r="AN361" s="3986">
        <f t="shared" si="567"/>
        <v>165337.87</v>
      </c>
      <c r="AO361" s="3985">
        <f t="shared" si="568"/>
        <v>477500.82047605974</v>
      </c>
      <c r="AP361" s="3985">
        <f t="shared" si="568"/>
        <v>501675.72000000003</v>
      </c>
      <c r="AQ361" s="3984">
        <f>+AQ33</f>
        <v>58499.543775669597</v>
      </c>
      <c r="AR361" s="3984">
        <f>+AR343+AR360</f>
        <v>47077.26</v>
      </c>
      <c r="AS361" s="3985">
        <f>+AS33</f>
        <v>536000.36425172933</v>
      </c>
      <c r="AT361" s="3985">
        <f t="shared" si="592"/>
        <v>548752.98</v>
      </c>
      <c r="AU361" s="3984">
        <f>+AU33</f>
        <v>54999.612159368837</v>
      </c>
      <c r="AV361" s="3984">
        <f>+AV343+AV360</f>
        <v>49024.060000000012</v>
      </c>
      <c r="AW361" s="3985">
        <f>+AW33</f>
        <v>590999.97641109815</v>
      </c>
      <c r="AX361" s="3985">
        <f t="shared" si="593"/>
        <v>597777.04</v>
      </c>
      <c r="AY361" s="3984">
        <f>+AY33</f>
        <v>58999.940002084688</v>
      </c>
      <c r="AZ361" s="3984">
        <f>+AZ343+AZ360</f>
        <v>59350.66</v>
      </c>
      <c r="BA361" s="3986">
        <f>AQ361+AU361+AY361</f>
        <v>172499.09593712311</v>
      </c>
      <c r="BB361" s="3986">
        <f t="shared" ref="BB361" si="605">AR361+AV361+AZ361</f>
        <v>155451.98000000001</v>
      </c>
      <c r="BC361" s="5140">
        <f>AM361+BA361</f>
        <v>343998.06658707873</v>
      </c>
      <c r="BD361" s="5157">
        <f t="shared" si="572"/>
        <v>320789.84999999998</v>
      </c>
      <c r="BE361" s="3985">
        <f>+BE33</f>
        <v>649999.91641318286</v>
      </c>
      <c r="BF361" s="3985">
        <f t="shared" si="594"/>
        <v>657127.70000000007</v>
      </c>
      <c r="BG361" s="26"/>
      <c r="BH361" s="26"/>
      <c r="BI361" s="26"/>
      <c r="BJ361" s="26"/>
    </row>
    <row r="362" spans="1:62" ht="15" hidden="1" customHeight="1" x14ac:dyDescent="0.35">
      <c r="A362" s="6242"/>
      <c r="B362" s="3964"/>
      <c r="C362" s="3965"/>
      <c r="D362" s="3965"/>
      <c r="E362" s="3966"/>
      <c r="F362" s="3966"/>
      <c r="G362" s="3966"/>
      <c r="H362" s="3966"/>
      <c r="I362" s="3966"/>
      <c r="J362" s="3966"/>
      <c r="K362" s="3966"/>
      <c r="L362" s="3966"/>
      <c r="M362" s="3967"/>
      <c r="N362" s="3967"/>
      <c r="O362" s="3966"/>
      <c r="P362" s="3966"/>
      <c r="Q362" s="3966"/>
      <c r="R362" s="3966"/>
      <c r="S362" s="3966"/>
      <c r="T362" s="3966"/>
      <c r="U362" s="3966"/>
      <c r="V362" s="3966"/>
      <c r="W362" s="3966"/>
      <c r="X362" s="3966"/>
      <c r="Y362" s="3967"/>
      <c r="Z362" s="3967"/>
      <c r="AA362" s="3966"/>
      <c r="AB362" s="3966"/>
      <c r="AC362" s="3966"/>
      <c r="AD362" s="3966"/>
      <c r="AE362" s="3966"/>
      <c r="AF362" s="3966"/>
      <c r="AG362" s="4399"/>
      <c r="AH362" s="4399"/>
      <c r="AI362" s="4399"/>
      <c r="AJ362" s="4399"/>
      <c r="AK362" s="3966"/>
      <c r="AL362" s="3966"/>
      <c r="AM362" s="3967"/>
      <c r="AN362" s="3967"/>
      <c r="AO362" s="4280"/>
      <c r="AP362" s="4280"/>
      <c r="AQ362" s="4459"/>
      <c r="AR362" s="4459"/>
      <c r="AS362" s="4459"/>
      <c r="AT362" s="4459"/>
      <c r="AU362" s="4638"/>
      <c r="AV362" s="4638"/>
      <c r="AW362" s="4638"/>
      <c r="AX362" s="4638"/>
      <c r="AY362" s="5139"/>
      <c r="AZ362" s="5139"/>
      <c r="BA362" s="3967"/>
      <c r="BB362" s="3967"/>
      <c r="BC362" s="3966"/>
      <c r="BD362" s="3966"/>
      <c r="BE362" s="5139"/>
      <c r="BF362" s="5139"/>
      <c r="BG362" s="26"/>
      <c r="BH362" s="26"/>
      <c r="BI362" s="26"/>
      <c r="BJ362" s="26"/>
    </row>
    <row r="363" spans="1:62" ht="15" hidden="1" customHeight="1" x14ac:dyDescent="0.35">
      <c r="A363" s="6242"/>
      <c r="B363" s="2505"/>
      <c r="C363" s="774"/>
      <c r="D363" s="774"/>
      <c r="E363" s="774"/>
      <c r="F363" s="774"/>
      <c r="G363" s="774"/>
      <c r="H363" s="774"/>
      <c r="I363" s="774"/>
      <c r="J363" s="774"/>
      <c r="K363" s="774"/>
      <c r="L363" s="774"/>
      <c r="M363" s="1078"/>
      <c r="N363" s="1078"/>
      <c r="O363" s="774"/>
      <c r="P363" s="774"/>
      <c r="Q363" s="774"/>
      <c r="R363" s="774"/>
      <c r="S363" s="774"/>
      <c r="T363" s="774"/>
      <c r="U363" s="774"/>
      <c r="V363" s="774"/>
      <c r="W363" s="774"/>
      <c r="X363" s="774"/>
      <c r="Y363" s="1078"/>
      <c r="Z363" s="1078"/>
      <c r="AA363" s="774"/>
      <c r="AB363" s="774"/>
      <c r="AC363" s="774"/>
      <c r="AD363" s="774"/>
      <c r="AE363" s="774"/>
      <c r="AF363" s="774"/>
      <c r="AG363" s="4399"/>
      <c r="AH363" s="4399"/>
      <c r="AI363" s="4399"/>
      <c r="AJ363" s="4399"/>
      <c r="AK363" s="774"/>
      <c r="AL363" s="774"/>
      <c r="AM363" s="1078"/>
      <c r="AN363" s="1078"/>
      <c r="AO363" s="4280"/>
      <c r="AP363" s="4280"/>
      <c r="AQ363" s="4459"/>
      <c r="AR363" s="4459"/>
      <c r="AS363" s="4459"/>
      <c r="AT363" s="4459"/>
      <c r="AU363" s="4638"/>
      <c r="AV363" s="4638"/>
      <c r="AW363" s="4638"/>
      <c r="AX363" s="4638"/>
      <c r="AY363" s="5139"/>
      <c r="AZ363" s="5139"/>
      <c r="BA363" s="1078"/>
      <c r="BB363" s="1078"/>
      <c r="BC363" s="774"/>
      <c r="BD363" s="774"/>
      <c r="BE363" s="5139"/>
      <c r="BF363" s="5139"/>
      <c r="BG363" s="26"/>
      <c r="BH363" s="26"/>
      <c r="BI363" s="26"/>
      <c r="BJ363" s="26"/>
    </row>
    <row r="364" spans="1:62" ht="15" hidden="1" customHeight="1" x14ac:dyDescent="0.35">
      <c r="A364" s="6242"/>
      <c r="B364" s="2505" t="s">
        <v>1161</v>
      </c>
      <c r="C364" s="774"/>
      <c r="D364" s="774"/>
      <c r="E364" s="1708">
        <f t="shared" ref="E364:AJ364" si="606">+E361-E33</f>
        <v>0</v>
      </c>
      <c r="F364" s="1708">
        <f t="shared" si="606"/>
        <v>0</v>
      </c>
      <c r="G364" s="1708">
        <f t="shared" si="606"/>
        <v>0</v>
      </c>
      <c r="H364" s="1708">
        <f t="shared" si="606"/>
        <v>-5.9999999997671694E-2</v>
      </c>
      <c r="I364" s="1708">
        <f t="shared" si="606"/>
        <v>0</v>
      </c>
      <c r="J364" s="1708">
        <f t="shared" si="606"/>
        <v>-5.9999999997671694E-2</v>
      </c>
      <c r="K364" s="1708">
        <f t="shared" si="606"/>
        <v>0</v>
      </c>
      <c r="L364" s="1708">
        <f t="shared" si="606"/>
        <v>0.39999999999417923</v>
      </c>
      <c r="M364" s="2506">
        <f t="shared" si="606"/>
        <v>0</v>
      </c>
      <c r="N364" s="2506">
        <f t="shared" si="606"/>
        <v>0.33999999999650754</v>
      </c>
      <c r="O364" s="1708">
        <f t="shared" si="606"/>
        <v>0</v>
      </c>
      <c r="P364" s="1708">
        <f t="shared" si="606"/>
        <v>0</v>
      </c>
      <c r="Q364" s="1708">
        <f t="shared" si="606"/>
        <v>0</v>
      </c>
      <c r="R364" s="1708">
        <f t="shared" si="606"/>
        <v>0.33999999999650754</v>
      </c>
      <c r="S364" s="1708">
        <f t="shared" si="606"/>
        <v>0</v>
      </c>
      <c r="T364" s="1708">
        <f t="shared" si="606"/>
        <v>0</v>
      </c>
      <c r="U364" s="1708">
        <f t="shared" si="606"/>
        <v>0</v>
      </c>
      <c r="V364" s="1708">
        <f t="shared" si="606"/>
        <v>0.34000000002561137</v>
      </c>
      <c r="W364" s="1708">
        <f t="shared" si="606"/>
        <v>0</v>
      </c>
      <c r="X364" s="1708">
        <f t="shared" si="606"/>
        <v>0</v>
      </c>
      <c r="Y364" s="2506">
        <f t="shared" si="606"/>
        <v>0</v>
      </c>
      <c r="Z364" s="2506">
        <f t="shared" si="606"/>
        <v>0</v>
      </c>
      <c r="AA364" s="1708">
        <f t="shared" si="606"/>
        <v>0</v>
      </c>
      <c r="AB364" s="1708">
        <f t="shared" si="606"/>
        <v>0.34000000002561137</v>
      </c>
      <c r="AC364" s="1708">
        <f t="shared" si="606"/>
        <v>0</v>
      </c>
      <c r="AD364" s="1708">
        <f t="shared" si="606"/>
        <v>0</v>
      </c>
      <c r="AE364" s="1708">
        <f t="shared" si="606"/>
        <v>0</v>
      </c>
      <c r="AF364" s="1708">
        <f t="shared" si="606"/>
        <v>0.34000000002561137</v>
      </c>
      <c r="AG364" s="1708">
        <f t="shared" si="606"/>
        <v>0</v>
      </c>
      <c r="AH364" s="1708">
        <f t="shared" si="606"/>
        <v>0</v>
      </c>
      <c r="AI364" s="1708">
        <f t="shared" si="606"/>
        <v>0</v>
      </c>
      <c r="AJ364" s="1708">
        <f t="shared" si="606"/>
        <v>0.34000000002561137</v>
      </c>
      <c r="AK364" s="1708">
        <f t="shared" ref="AK364:BF364" si="607">+AK361-AK33</f>
        <v>0</v>
      </c>
      <c r="AL364" s="1708">
        <f t="shared" si="607"/>
        <v>0</v>
      </c>
      <c r="AM364" s="2506">
        <f t="shared" si="607"/>
        <v>0</v>
      </c>
      <c r="AN364" s="2506">
        <f t="shared" si="607"/>
        <v>0</v>
      </c>
      <c r="AO364" s="1708">
        <f t="shared" si="607"/>
        <v>0</v>
      </c>
      <c r="AP364" s="1708">
        <f t="shared" si="607"/>
        <v>0.34000000002561137</v>
      </c>
      <c r="AQ364" s="1708">
        <f t="shared" si="607"/>
        <v>0</v>
      </c>
      <c r="AR364" s="1708">
        <f t="shared" si="607"/>
        <v>0</v>
      </c>
      <c r="AS364" s="1708">
        <f t="shared" si="607"/>
        <v>0</v>
      </c>
      <c r="AT364" s="1708">
        <f t="shared" si="607"/>
        <v>0.33999999996740371</v>
      </c>
      <c r="AU364" s="1708">
        <f t="shared" si="607"/>
        <v>0</v>
      </c>
      <c r="AV364" s="1708">
        <f t="shared" si="607"/>
        <v>0</v>
      </c>
      <c r="AW364" s="1708">
        <f t="shared" si="607"/>
        <v>0</v>
      </c>
      <c r="AX364" s="1708">
        <f t="shared" si="607"/>
        <v>0.34000000008381903</v>
      </c>
      <c r="AY364" s="1708">
        <f t="shared" si="607"/>
        <v>0</v>
      </c>
      <c r="AZ364" s="1708">
        <f t="shared" si="607"/>
        <v>0</v>
      </c>
      <c r="BA364" s="2506">
        <f t="shared" si="607"/>
        <v>0</v>
      </c>
      <c r="BB364" s="2506">
        <f t="shared" si="607"/>
        <v>0</v>
      </c>
      <c r="BC364" s="1708">
        <f t="shared" si="607"/>
        <v>0</v>
      </c>
      <c r="BD364" s="1708">
        <f t="shared" si="607"/>
        <v>0</v>
      </c>
      <c r="BE364" s="1708">
        <f t="shared" si="607"/>
        <v>0</v>
      </c>
      <c r="BF364" s="1708">
        <f t="shared" si="607"/>
        <v>0.34000000008381903</v>
      </c>
      <c r="BG364" s="26"/>
      <c r="BH364" s="26"/>
      <c r="BI364" s="26"/>
      <c r="BJ364" s="26"/>
    </row>
    <row r="365" spans="1:62" ht="15" hidden="1" customHeight="1" x14ac:dyDescent="0.35">
      <c r="A365" s="6242"/>
      <c r="B365" s="2505"/>
      <c r="C365" s="774"/>
      <c r="D365" s="774"/>
      <c r="E365" s="1708">
        <f>+E361-E77</f>
        <v>0</v>
      </c>
      <c r="F365" s="1708">
        <f>+F361-F79</f>
        <v>0</v>
      </c>
      <c r="G365" s="1708">
        <f>+G361-G77</f>
        <v>0</v>
      </c>
      <c r="H365" s="1708">
        <f>+H361-H79</f>
        <v>0.38999999999941792</v>
      </c>
      <c r="I365" s="1708">
        <f>+I361-I77</f>
        <v>0</v>
      </c>
      <c r="J365" s="1708">
        <f>+J361-J79</f>
        <v>0.38999999999941792</v>
      </c>
      <c r="K365" s="1708">
        <f>+K361-K77</f>
        <v>0</v>
      </c>
      <c r="L365" s="1708">
        <f>+L361-L79</f>
        <v>0.41999999999097781</v>
      </c>
      <c r="M365" s="2506">
        <f>+M361-M77</f>
        <v>0</v>
      </c>
      <c r="N365" s="2506">
        <f>+N361-N79</f>
        <v>0.80999999999767169</v>
      </c>
      <c r="O365" s="1708">
        <f>+O361-O77</f>
        <v>0</v>
      </c>
      <c r="P365" s="1708">
        <f>+P361-P79</f>
        <v>-5.9999999997671694E-2</v>
      </c>
      <c r="Q365" s="1708">
        <f>+Q361-Q77</f>
        <v>0</v>
      </c>
      <c r="R365" s="1708">
        <f>+R361-R79</f>
        <v>0.75</v>
      </c>
      <c r="S365" s="1708">
        <f>+S361-S77</f>
        <v>0</v>
      </c>
      <c r="T365" s="1708">
        <f>+T361-T79</f>
        <v>0</v>
      </c>
      <c r="U365" s="1708">
        <f>+U361-U77</f>
        <v>0</v>
      </c>
      <c r="V365" s="1708">
        <f>+V361-V79</f>
        <v>0.75</v>
      </c>
      <c r="W365" s="1708">
        <f>+W361-W77</f>
        <v>0</v>
      </c>
      <c r="X365" s="1708">
        <f>+X361-X79</f>
        <v>0</v>
      </c>
      <c r="Y365" s="2506">
        <f>+Y361-Y77</f>
        <v>0</v>
      </c>
      <c r="Z365" s="2506">
        <f>+Z361-Z79</f>
        <v>-5.9999999997671694E-2</v>
      </c>
      <c r="AA365" s="1708">
        <f>+AA361-AA77</f>
        <v>0</v>
      </c>
      <c r="AB365" s="1708">
        <f>+AB361-AB79</f>
        <v>0.75</v>
      </c>
      <c r="AC365" s="1708">
        <f>+AC361-AC77</f>
        <v>0</v>
      </c>
      <c r="AD365" s="1708">
        <f>+AD361-AD79</f>
        <v>0</v>
      </c>
      <c r="AE365" s="1708">
        <f>+AE361-AE77</f>
        <v>0</v>
      </c>
      <c r="AF365" s="1708">
        <f>+AF361-AF79</f>
        <v>0.75</v>
      </c>
      <c r="AG365" s="1708">
        <f>+AG361-AG77</f>
        <v>0</v>
      </c>
      <c r="AH365" s="1708">
        <f>+AH361-AH79</f>
        <v>6.0000000012223609E-2</v>
      </c>
      <c r="AI365" s="1708">
        <f>+AI361-AI77</f>
        <v>0</v>
      </c>
      <c r="AJ365" s="1708">
        <f>+AJ361-AJ79</f>
        <v>0.80999999999767169</v>
      </c>
      <c r="AK365" s="1708">
        <f>+AK361-AK77</f>
        <v>0</v>
      </c>
      <c r="AL365" s="1708">
        <f>+AL361-AL79</f>
        <v>0</v>
      </c>
      <c r="AM365" s="2506">
        <f>+AM361-AM77</f>
        <v>0</v>
      </c>
      <c r="AN365" s="2506">
        <f>+AN361-AN79</f>
        <v>6.0000000026775524E-2</v>
      </c>
      <c r="AO365" s="1708">
        <f>+AO361-AO77</f>
        <v>0</v>
      </c>
      <c r="AP365" s="1708">
        <f>+AP361-AP79</f>
        <v>0.80999999999767169</v>
      </c>
      <c r="AQ365" s="1708">
        <f>+AQ361-AQ77</f>
        <v>0</v>
      </c>
      <c r="AR365" s="1708">
        <f>+AR361-AR79</f>
        <v>6.0000000004947651E-2</v>
      </c>
      <c r="AS365" s="1708">
        <f>+AS361-AS77</f>
        <v>0</v>
      </c>
      <c r="AT365" s="1708">
        <f>+AT361-AT79</f>
        <v>0.86999999999534339</v>
      </c>
      <c r="AU365" s="1708">
        <f>+AU361-AU77</f>
        <v>0</v>
      </c>
      <c r="AV365" s="1708">
        <f>+AV361-AV79</f>
        <v>-0.39999999999417923</v>
      </c>
      <c r="AW365" s="1708">
        <f>+AW361-AW77</f>
        <v>0</v>
      </c>
      <c r="AX365" s="1708">
        <f>+AX361-AX79</f>
        <v>0.47000000008847564</v>
      </c>
      <c r="AY365" s="1708">
        <f>+AY361-AY77</f>
        <v>0</v>
      </c>
      <c r="AZ365" s="1708">
        <f>+AZ361-AZ79</f>
        <v>-0.29999999998835847</v>
      </c>
      <c r="BA365" s="2506">
        <f>+BA361-BA77</f>
        <v>0</v>
      </c>
      <c r="BB365" s="2506">
        <f>+BB361-BB79</f>
        <v>-0.63999999998486601</v>
      </c>
      <c r="BC365" s="1708">
        <f>+BC361-BC77</f>
        <v>0</v>
      </c>
      <c r="BD365" s="1708">
        <f>+BD361-BD79</f>
        <v>-0.57999999995809048</v>
      </c>
      <c r="BE365" s="1708">
        <f>+BE361-BE77</f>
        <v>0</v>
      </c>
      <c r="BF365" s="1708">
        <f>+BF361-BF79</f>
        <v>0.17000000015832484</v>
      </c>
      <c r="BG365" s="26"/>
      <c r="BH365" s="26"/>
      <c r="BI365" s="26"/>
      <c r="BJ365" s="26"/>
    </row>
    <row r="366" spans="1:62" ht="15" hidden="1" customHeight="1" x14ac:dyDescent="0.35">
      <c r="A366" s="6242"/>
      <c r="B366" s="2505"/>
      <c r="C366" s="774"/>
      <c r="D366" s="774"/>
      <c r="E366" s="774"/>
      <c r="F366" s="774"/>
      <c r="G366" s="774"/>
      <c r="H366" s="774"/>
      <c r="I366" s="774"/>
      <c r="J366" s="774"/>
      <c r="K366" s="774"/>
      <c r="L366" s="774"/>
      <c r="M366" s="1078"/>
      <c r="N366" s="1078"/>
      <c r="O366" s="774"/>
      <c r="P366" s="774"/>
      <c r="Q366" s="774"/>
      <c r="R366" s="774"/>
      <c r="S366" s="774"/>
      <c r="T366" s="774"/>
      <c r="U366" s="774"/>
      <c r="V366" s="774"/>
      <c r="W366" s="774"/>
      <c r="X366" s="774"/>
      <c r="Y366" s="1078"/>
      <c r="Z366" s="1078"/>
      <c r="AA366" s="774"/>
      <c r="AB366" s="774"/>
      <c r="AC366" s="774"/>
      <c r="AD366" s="774"/>
      <c r="AE366" s="774"/>
      <c r="AF366" s="774"/>
      <c r="AG366" s="774"/>
      <c r="AH366" s="774"/>
      <c r="AI366" s="774"/>
      <c r="AJ366" s="774"/>
      <c r="AK366" s="774"/>
      <c r="AL366" s="774"/>
      <c r="AM366" s="1078"/>
      <c r="AN366" s="1078"/>
      <c r="AO366" s="774"/>
      <c r="AP366" s="774"/>
      <c r="AQ366" s="774"/>
      <c r="AR366" s="774"/>
      <c r="AS366" s="774"/>
      <c r="AT366" s="774"/>
      <c r="AU366" s="774"/>
      <c r="AV366" s="774"/>
      <c r="AW366" s="774"/>
      <c r="AX366" s="774"/>
      <c r="AY366" s="774"/>
      <c r="AZ366" s="774"/>
      <c r="BA366" s="1078"/>
      <c r="BB366" s="1078"/>
      <c r="BC366" s="774"/>
      <c r="BD366" s="774"/>
      <c r="BE366" s="774"/>
      <c r="BF366" s="774"/>
      <c r="BG366" s="26"/>
      <c r="BH366" s="26"/>
      <c r="BI366" s="26"/>
      <c r="BJ366" s="26"/>
    </row>
    <row r="367" spans="1:62" ht="15" hidden="1" customHeight="1" x14ac:dyDescent="0.35">
      <c r="A367" s="6242"/>
      <c r="B367" s="2505"/>
      <c r="C367" s="774"/>
      <c r="D367" s="774"/>
      <c r="E367" s="774"/>
      <c r="F367" s="774"/>
      <c r="G367" s="774"/>
      <c r="H367" s="774"/>
      <c r="I367" s="774"/>
      <c r="J367" s="774"/>
      <c r="K367" s="774"/>
      <c r="L367" s="774"/>
      <c r="M367" s="1078"/>
      <c r="N367" s="1078"/>
      <c r="O367" s="774"/>
      <c r="P367" s="774"/>
      <c r="Q367" s="774"/>
      <c r="R367" s="774"/>
      <c r="S367" s="774"/>
      <c r="T367" s="774"/>
      <c r="U367" s="774"/>
      <c r="V367" s="774"/>
      <c r="W367" s="774"/>
      <c r="X367" s="774"/>
      <c r="Y367" s="1078"/>
      <c r="Z367" s="1078"/>
      <c r="AA367" s="774"/>
      <c r="AB367" s="774"/>
      <c r="AC367" s="774"/>
      <c r="AD367" s="774"/>
      <c r="AE367" s="774"/>
      <c r="AF367" s="774"/>
      <c r="AG367" s="774"/>
      <c r="AH367" s="774"/>
      <c r="AI367" s="774"/>
      <c r="AJ367" s="774"/>
      <c r="AK367" s="774"/>
      <c r="AL367" s="774"/>
      <c r="AM367" s="1078"/>
      <c r="AN367" s="1078"/>
      <c r="AO367" s="774"/>
      <c r="AP367" s="774"/>
      <c r="AQ367" s="774"/>
      <c r="AR367" s="774"/>
      <c r="AS367" s="774"/>
      <c r="AT367" s="774"/>
      <c r="AU367" s="774"/>
      <c r="AV367" s="774"/>
      <c r="AW367" s="774"/>
      <c r="AX367" s="774"/>
      <c r="AY367" s="774"/>
      <c r="AZ367" s="774"/>
      <c r="BA367" s="1078"/>
      <c r="BB367" s="1078"/>
      <c r="BC367" s="774"/>
      <c r="BD367" s="774"/>
      <c r="BE367" s="774"/>
      <c r="BF367" s="774"/>
      <c r="BG367" s="26"/>
      <c r="BH367" s="26"/>
      <c r="BI367" s="26"/>
      <c r="BJ367" s="26"/>
    </row>
    <row r="368" spans="1:62" ht="15" hidden="1" customHeight="1" x14ac:dyDescent="0.35">
      <c r="A368" s="6242"/>
      <c r="B368" s="2505"/>
      <c r="C368" s="774"/>
      <c r="D368" s="774"/>
      <c r="E368" s="774"/>
      <c r="F368" s="774"/>
      <c r="G368" s="774"/>
      <c r="H368" s="774"/>
      <c r="I368" s="774"/>
      <c r="J368" s="774"/>
      <c r="K368" s="774"/>
      <c r="L368" s="774"/>
      <c r="M368" s="1078"/>
      <c r="N368" s="1078"/>
      <c r="O368" s="774"/>
      <c r="P368" s="774"/>
      <c r="Q368" s="774"/>
      <c r="R368" s="774"/>
      <c r="S368" s="774"/>
      <c r="T368" s="774"/>
      <c r="U368" s="774"/>
      <c r="V368" s="774"/>
      <c r="W368" s="774"/>
      <c r="X368" s="774"/>
      <c r="Y368" s="1078"/>
      <c r="Z368" s="1078"/>
      <c r="AA368" s="774"/>
      <c r="AB368" s="774"/>
      <c r="AC368" s="774"/>
      <c r="AD368" s="774"/>
      <c r="AE368" s="774"/>
      <c r="AF368" s="774"/>
      <c r="AG368" s="774"/>
      <c r="AH368" s="774"/>
      <c r="AI368" s="774"/>
      <c r="AJ368" s="774"/>
      <c r="AK368" s="774"/>
      <c r="AL368" s="774"/>
      <c r="AM368" s="1078"/>
      <c r="AN368" s="1078"/>
      <c r="AO368" s="774"/>
      <c r="AP368" s="774"/>
      <c r="AQ368" s="774"/>
      <c r="AR368" s="774"/>
      <c r="AS368" s="774"/>
      <c r="AT368" s="774"/>
      <c r="AU368" s="774"/>
      <c r="AV368" s="774"/>
      <c r="AW368" s="774"/>
      <c r="AX368" s="774"/>
      <c r="AY368" s="774"/>
      <c r="AZ368" s="774"/>
      <c r="BA368" s="1078"/>
      <c r="BB368" s="1078"/>
      <c r="BC368" s="774"/>
      <c r="BD368" s="774"/>
      <c r="BE368" s="774"/>
      <c r="BF368" s="774"/>
      <c r="BG368" s="26"/>
      <c r="BH368" s="26"/>
      <c r="BI368" s="26"/>
      <c r="BJ368" s="26"/>
    </row>
    <row r="369" spans="1:62" ht="15" hidden="1" customHeight="1" x14ac:dyDescent="0.35">
      <c r="A369" s="6243"/>
      <c r="B369" s="2505"/>
      <c r="C369" s="774"/>
      <c r="D369" s="774"/>
      <c r="E369" s="774"/>
      <c r="F369" s="774"/>
      <c r="G369" s="774"/>
      <c r="H369" s="774"/>
      <c r="I369" s="774"/>
      <c r="J369" s="774"/>
      <c r="K369" s="774"/>
      <c r="L369" s="774"/>
      <c r="M369" s="1078"/>
      <c r="N369" s="1078"/>
      <c r="O369" s="774"/>
      <c r="P369" s="774"/>
      <c r="Q369" s="774"/>
      <c r="R369" s="774"/>
      <c r="S369" s="774"/>
      <c r="T369" s="774"/>
      <c r="U369" s="774"/>
      <c r="V369" s="774"/>
      <c r="W369" s="774"/>
      <c r="X369" s="774"/>
      <c r="Y369" s="1078"/>
      <c r="Z369" s="1078"/>
      <c r="AA369" s="774"/>
      <c r="AB369" s="774"/>
      <c r="AC369" s="774"/>
      <c r="AD369" s="774"/>
      <c r="AE369" s="774"/>
      <c r="AF369" s="774"/>
      <c r="AG369" s="774"/>
      <c r="AH369" s="774"/>
      <c r="AI369" s="774"/>
      <c r="AJ369" s="774"/>
      <c r="AK369" s="774"/>
      <c r="AL369" s="774"/>
      <c r="AM369" s="1078"/>
      <c r="AN369" s="1078"/>
      <c r="AO369" s="774"/>
      <c r="AP369" s="774"/>
      <c r="AQ369" s="774"/>
      <c r="AR369" s="774"/>
      <c r="AS369" s="774"/>
      <c r="AT369" s="774"/>
      <c r="AU369" s="774"/>
      <c r="AV369" s="774"/>
      <c r="AW369" s="774"/>
      <c r="AX369" s="774"/>
      <c r="AY369" s="774"/>
      <c r="AZ369" s="774"/>
      <c r="BA369" s="1078"/>
      <c r="BB369" s="1078"/>
      <c r="BC369" s="774"/>
      <c r="BD369" s="774"/>
      <c r="BE369" s="774"/>
      <c r="BF369" s="774"/>
      <c r="BG369" s="26"/>
      <c r="BH369" s="26"/>
      <c r="BI369" s="26"/>
      <c r="BJ369" s="26"/>
    </row>
    <row r="370" spans="1:62" ht="15" hidden="1" customHeight="1" x14ac:dyDescent="0.35">
      <c r="A370" s="188"/>
      <c r="B370" s="2505"/>
      <c r="C370" s="774"/>
      <c r="D370" s="774"/>
      <c r="E370" s="1708">
        <f>+E236-E69</f>
        <v>0</v>
      </c>
      <c r="F370" s="1708">
        <f>+F236-F71</f>
        <v>0</v>
      </c>
      <c r="G370" s="1708">
        <f>+G236-G69</f>
        <v>0</v>
      </c>
      <c r="H370" s="1708">
        <f>+H236-H71</f>
        <v>0</v>
      </c>
      <c r="I370" s="1708">
        <f>+I236-I69</f>
        <v>0</v>
      </c>
      <c r="J370" s="1708">
        <f>+J236-J71</f>
        <v>0</v>
      </c>
      <c r="K370" s="1708">
        <f>+K236-K69</f>
        <v>0</v>
      </c>
      <c r="L370" s="1708">
        <f>+L236-L71</f>
        <v>0</v>
      </c>
      <c r="M370" s="2506">
        <f>+M236-M69</f>
        <v>0</v>
      </c>
      <c r="N370" s="2506">
        <f>+N236-N71</f>
        <v>0</v>
      </c>
      <c r="O370" s="1708">
        <f>+O236-O69</f>
        <v>0</v>
      </c>
      <c r="P370" s="1708">
        <f>+P236-P71</f>
        <v>0</v>
      </c>
      <c r="Q370" s="1708">
        <f>+Q236-Q69</f>
        <v>0</v>
      </c>
      <c r="R370" s="1708">
        <f>+R236-R71</f>
        <v>0</v>
      </c>
      <c r="S370" s="1708">
        <f>+S236-S69</f>
        <v>0</v>
      </c>
      <c r="T370" s="1708">
        <f>+T236-T71</f>
        <v>0</v>
      </c>
      <c r="U370" s="1708">
        <f>+U236-U69</f>
        <v>0</v>
      </c>
      <c r="V370" s="1708">
        <f>+V236-V71</f>
        <v>0</v>
      </c>
      <c r="W370" s="1708">
        <f>+W236-W69</f>
        <v>0</v>
      </c>
      <c r="X370" s="1708">
        <f>+X236-X71</f>
        <v>0</v>
      </c>
      <c r="Y370" s="2506">
        <f>+Y236-Y69</f>
        <v>0</v>
      </c>
      <c r="Z370" s="2506">
        <f>+Z236-Z71</f>
        <v>0</v>
      </c>
      <c r="AA370" s="1708">
        <f>+AA236-AA69</f>
        <v>0</v>
      </c>
      <c r="AB370" s="1708">
        <f>+AB236-AB71</f>
        <v>0</v>
      </c>
      <c r="AC370" s="1708">
        <f>+AC236-AC69</f>
        <v>0</v>
      </c>
      <c r="AD370" s="1708">
        <f>+AD236-AD71</f>
        <v>0</v>
      </c>
      <c r="AE370" s="1708">
        <f>+AE236-AE69</f>
        <v>0</v>
      </c>
      <c r="AF370" s="1708">
        <f>+AF236-AF71</f>
        <v>0</v>
      </c>
      <c r="AG370" s="1708">
        <f>+AG236-AG69</f>
        <v>0</v>
      </c>
      <c r="AH370" s="1708">
        <f>+AH236-AH71</f>
        <v>0</v>
      </c>
      <c r="AI370" s="1708">
        <f>+AI236-AI69</f>
        <v>0</v>
      </c>
      <c r="AJ370" s="1708">
        <f>+AJ236-AJ71</f>
        <v>0</v>
      </c>
      <c r="AK370" s="1708">
        <f>+AK236-AK69</f>
        <v>0</v>
      </c>
      <c r="AL370" s="1708">
        <f>+AL236-AL71</f>
        <v>0</v>
      </c>
      <c r="AM370" s="2506">
        <f>+AM236-AM69</f>
        <v>0</v>
      </c>
      <c r="AN370" s="2506">
        <f>+AN236-AN71</f>
        <v>0</v>
      </c>
      <c r="AO370" s="1708">
        <f>+AO236-AO69</f>
        <v>0</v>
      </c>
      <c r="AP370" s="1708">
        <f>+AP236-AP71</f>
        <v>0</v>
      </c>
      <c r="AQ370" s="1708">
        <f>+AQ236-AQ69</f>
        <v>0</v>
      </c>
      <c r="AR370" s="1708">
        <f>+AR236-AR71</f>
        <v>0</v>
      </c>
      <c r="AS370" s="1708">
        <f>+AS236-AS69</f>
        <v>0</v>
      </c>
      <c r="AT370" s="1708">
        <f>+AT236-AT71</f>
        <v>0</v>
      </c>
      <c r="AU370" s="1708">
        <f>+AU236-AU69</f>
        <v>0</v>
      </c>
      <c r="AV370" s="1708">
        <f>+AV236-AV71</f>
        <v>0</v>
      </c>
      <c r="AW370" s="1708">
        <f>+AW236-AW69</f>
        <v>0</v>
      </c>
      <c r="AX370" s="1708">
        <f>+AX236-AX71</f>
        <v>0</v>
      </c>
      <c r="AY370" s="1708">
        <f>+AY236-AY69</f>
        <v>0</v>
      </c>
      <c r="AZ370" s="1708">
        <f>+AZ236-AZ71</f>
        <v>0</v>
      </c>
      <c r="BA370" s="2506">
        <f>+BA236-BA69</f>
        <v>0</v>
      </c>
      <c r="BB370" s="2506">
        <f>+BB236-BB71</f>
        <v>0</v>
      </c>
      <c r="BC370" s="1708">
        <f>+BC236-BC69</f>
        <v>0</v>
      </c>
      <c r="BD370" s="1708">
        <f>+BD236-BD71</f>
        <v>0</v>
      </c>
      <c r="BE370" s="1708">
        <f>+BE236-BE69</f>
        <v>0</v>
      </c>
      <c r="BF370" s="1708">
        <f>+BF236-BF71</f>
        <v>0</v>
      </c>
      <c r="BG370" s="26"/>
      <c r="BH370" s="26"/>
      <c r="BI370" s="26"/>
      <c r="BJ370" s="26"/>
    </row>
    <row r="371" spans="1:62" ht="15" hidden="1" customHeight="1" x14ac:dyDescent="0.35">
      <c r="A371" s="188"/>
      <c r="B371" s="2505"/>
      <c r="C371" s="774"/>
      <c r="D371" s="774"/>
      <c r="E371" s="1708">
        <f t="shared" ref="E371:AJ371" si="608">+E236-E19</f>
        <v>0</v>
      </c>
      <c r="F371" s="1708">
        <f t="shared" si="608"/>
        <v>0</v>
      </c>
      <c r="G371" s="1708">
        <f t="shared" si="608"/>
        <v>0</v>
      </c>
      <c r="H371" s="1708">
        <f t="shared" si="608"/>
        <v>0</v>
      </c>
      <c r="I371" s="1708">
        <f t="shared" si="608"/>
        <v>0</v>
      </c>
      <c r="J371" s="1708">
        <f t="shared" si="608"/>
        <v>0</v>
      </c>
      <c r="K371" s="1708">
        <f t="shared" si="608"/>
        <v>0</v>
      </c>
      <c r="L371" s="1708">
        <f t="shared" si="608"/>
        <v>0</v>
      </c>
      <c r="M371" s="2506">
        <f t="shared" si="608"/>
        <v>0</v>
      </c>
      <c r="N371" s="2506">
        <f t="shared" si="608"/>
        <v>0</v>
      </c>
      <c r="O371" s="1708">
        <f t="shared" si="608"/>
        <v>0</v>
      </c>
      <c r="P371" s="1708">
        <f t="shared" si="608"/>
        <v>0</v>
      </c>
      <c r="Q371" s="1708">
        <f t="shared" si="608"/>
        <v>0</v>
      </c>
      <c r="R371" s="1708">
        <f t="shared" si="608"/>
        <v>0</v>
      </c>
      <c r="S371" s="1708">
        <f t="shared" si="608"/>
        <v>0</v>
      </c>
      <c r="T371" s="1708">
        <f t="shared" si="608"/>
        <v>0</v>
      </c>
      <c r="U371" s="1708">
        <f t="shared" si="608"/>
        <v>0</v>
      </c>
      <c r="V371" s="1708">
        <f t="shared" si="608"/>
        <v>0</v>
      </c>
      <c r="W371" s="1708">
        <f t="shared" si="608"/>
        <v>0</v>
      </c>
      <c r="X371" s="1708">
        <f t="shared" si="608"/>
        <v>0</v>
      </c>
      <c r="Y371" s="2506">
        <f t="shared" si="608"/>
        <v>0</v>
      </c>
      <c r="Z371" s="2506">
        <f t="shared" si="608"/>
        <v>0</v>
      </c>
      <c r="AA371" s="1708">
        <f t="shared" si="608"/>
        <v>0</v>
      </c>
      <c r="AB371" s="1708">
        <f t="shared" si="608"/>
        <v>0</v>
      </c>
      <c r="AC371" s="1708">
        <f t="shared" si="608"/>
        <v>0</v>
      </c>
      <c r="AD371" s="1708">
        <f t="shared" si="608"/>
        <v>0</v>
      </c>
      <c r="AE371" s="1708">
        <f t="shared" si="608"/>
        <v>0</v>
      </c>
      <c r="AF371" s="1708">
        <f t="shared" si="608"/>
        <v>0</v>
      </c>
      <c r="AG371" s="1708">
        <f t="shared" si="608"/>
        <v>0</v>
      </c>
      <c r="AH371" s="1708">
        <f t="shared" si="608"/>
        <v>0</v>
      </c>
      <c r="AI371" s="1708">
        <f t="shared" si="608"/>
        <v>0</v>
      </c>
      <c r="AJ371" s="1708">
        <f t="shared" si="608"/>
        <v>0</v>
      </c>
      <c r="AK371" s="1708">
        <f t="shared" ref="AK371:BF371" si="609">+AK236-AK19</f>
        <v>0</v>
      </c>
      <c r="AL371" s="1708">
        <f t="shared" si="609"/>
        <v>0</v>
      </c>
      <c r="AM371" s="2506">
        <f t="shared" si="609"/>
        <v>0</v>
      </c>
      <c r="AN371" s="2506">
        <f t="shared" si="609"/>
        <v>0</v>
      </c>
      <c r="AO371" s="1708">
        <f t="shared" si="609"/>
        <v>0</v>
      </c>
      <c r="AP371" s="1708">
        <f t="shared" si="609"/>
        <v>0</v>
      </c>
      <c r="AQ371" s="1708">
        <f t="shared" si="609"/>
        <v>0</v>
      </c>
      <c r="AR371" s="1708">
        <f t="shared" si="609"/>
        <v>0</v>
      </c>
      <c r="AS371" s="1708">
        <f t="shared" si="609"/>
        <v>0</v>
      </c>
      <c r="AT371" s="1708">
        <f t="shared" si="609"/>
        <v>0</v>
      </c>
      <c r="AU371" s="1708">
        <f t="shared" si="609"/>
        <v>0</v>
      </c>
      <c r="AV371" s="1708">
        <f t="shared" si="609"/>
        <v>0</v>
      </c>
      <c r="AW371" s="1708">
        <f t="shared" si="609"/>
        <v>0</v>
      </c>
      <c r="AX371" s="1708">
        <f t="shared" si="609"/>
        <v>0</v>
      </c>
      <c r="AY371" s="1708">
        <f t="shared" si="609"/>
        <v>0</v>
      </c>
      <c r="AZ371" s="1708">
        <f t="shared" si="609"/>
        <v>0</v>
      </c>
      <c r="BA371" s="2506">
        <f t="shared" si="609"/>
        <v>0</v>
      </c>
      <c r="BB371" s="2506">
        <f t="shared" si="609"/>
        <v>0</v>
      </c>
      <c r="BC371" s="1708">
        <f t="shared" si="609"/>
        <v>0</v>
      </c>
      <c r="BD371" s="1708">
        <f t="shared" si="609"/>
        <v>0</v>
      </c>
      <c r="BE371" s="1708">
        <f t="shared" si="609"/>
        <v>0</v>
      </c>
      <c r="BF371" s="1708">
        <f t="shared" si="609"/>
        <v>0</v>
      </c>
      <c r="BG371" s="26"/>
      <c r="BH371" s="26"/>
      <c r="BI371" s="26"/>
      <c r="BJ371" s="26"/>
    </row>
    <row r="372" spans="1:62" ht="15" hidden="1" customHeight="1" x14ac:dyDescent="0.35">
      <c r="A372" s="188"/>
      <c r="B372" s="2505"/>
      <c r="C372" s="774"/>
      <c r="D372" s="774"/>
      <c r="E372" s="774"/>
      <c r="F372" s="774"/>
      <c r="G372" s="774"/>
      <c r="H372" s="774"/>
      <c r="I372" s="774"/>
      <c r="J372" s="774"/>
      <c r="K372" s="774"/>
      <c r="L372" s="774"/>
      <c r="M372" s="1078"/>
      <c r="N372" s="1078"/>
      <c r="O372" s="774"/>
      <c r="P372" s="774"/>
      <c r="Q372" s="774"/>
      <c r="R372" s="774"/>
      <c r="S372" s="774"/>
      <c r="T372" s="774"/>
      <c r="U372" s="774"/>
      <c r="V372" s="774"/>
      <c r="W372" s="774"/>
      <c r="X372" s="774"/>
      <c r="Y372" s="1078"/>
      <c r="Z372" s="1078"/>
      <c r="AA372" s="774"/>
      <c r="AB372" s="774"/>
      <c r="AC372" s="774"/>
      <c r="AD372" s="774"/>
      <c r="AE372" s="774"/>
      <c r="AF372" s="774"/>
      <c r="AG372" s="774"/>
      <c r="AH372" s="774"/>
      <c r="AI372" s="774"/>
      <c r="AJ372" s="774"/>
      <c r="AK372" s="774"/>
      <c r="AL372" s="774"/>
      <c r="AM372" s="1078"/>
      <c r="AN372" s="1078"/>
      <c r="AO372" s="774"/>
      <c r="AP372" s="774"/>
      <c r="AQ372" s="774"/>
      <c r="AR372" s="774"/>
      <c r="AS372" s="774"/>
      <c r="AT372" s="774"/>
      <c r="AU372" s="774"/>
      <c r="AV372" s="774"/>
      <c r="AW372" s="774"/>
      <c r="AX372" s="774"/>
      <c r="AY372" s="774"/>
      <c r="AZ372" s="774"/>
      <c r="BA372" s="1078"/>
      <c r="BB372" s="1078"/>
      <c r="BC372" s="774"/>
      <c r="BD372" s="774"/>
      <c r="BE372" s="774"/>
      <c r="BF372" s="774"/>
      <c r="BG372" s="26"/>
      <c r="BH372" s="26"/>
      <c r="BI372" s="26"/>
      <c r="BJ372" s="26"/>
    </row>
    <row r="373" spans="1:62" ht="15" hidden="1" customHeight="1" x14ac:dyDescent="0.25">
      <c r="A373" s="188"/>
      <c r="B373" s="6244" t="s">
        <v>117</v>
      </c>
      <c r="C373" s="1013"/>
      <c r="D373" s="1013"/>
      <c r="E373" s="473">
        <f>+E12-E65</f>
        <v>0</v>
      </c>
      <c r="F373" s="473">
        <f>+F12-F67</f>
        <v>0</v>
      </c>
      <c r="G373" s="473">
        <f>+G12-G65</f>
        <v>0</v>
      </c>
      <c r="H373" s="473">
        <f>+H12-H67</f>
        <v>0</v>
      </c>
      <c r="I373" s="473">
        <f>+I12-I65</f>
        <v>0</v>
      </c>
      <c r="J373" s="473">
        <f>+J12-J67</f>
        <v>0</v>
      </c>
      <c r="K373" s="473">
        <f>+K12-K65</f>
        <v>0</v>
      </c>
      <c r="L373" s="473">
        <f>+L12-L67</f>
        <v>0</v>
      </c>
      <c r="M373" s="533">
        <f>+M12-M65</f>
        <v>0</v>
      </c>
      <c r="N373" s="533">
        <f>+N12-N67</f>
        <v>0</v>
      </c>
      <c r="O373" s="473">
        <f>+O12-O65</f>
        <v>0</v>
      </c>
      <c r="P373" s="473">
        <f>+P12-P67</f>
        <v>0</v>
      </c>
      <c r="Q373" s="473">
        <f>+Q12-Q65</f>
        <v>0</v>
      </c>
      <c r="R373" s="473">
        <f>+R12-R67</f>
        <v>0</v>
      </c>
      <c r="S373" s="473">
        <f>+S12-S65</f>
        <v>0</v>
      </c>
      <c r="T373" s="473">
        <f>+T12-T67</f>
        <v>0</v>
      </c>
      <c r="U373" s="473">
        <f>+U12-U65</f>
        <v>0</v>
      </c>
      <c r="V373" s="473">
        <f>+V12-V67</f>
        <v>0</v>
      </c>
      <c r="W373" s="473">
        <f>+W12-W65</f>
        <v>0</v>
      </c>
      <c r="X373" s="473">
        <f>+X12-X67</f>
        <v>0</v>
      </c>
      <c r="Y373" s="533">
        <f>+Y12-Y65</f>
        <v>0</v>
      </c>
      <c r="Z373" s="533">
        <f>+Z12-Z67</f>
        <v>0</v>
      </c>
      <c r="AA373" s="473">
        <f>+AA12-AA65</f>
        <v>0</v>
      </c>
      <c r="AB373" s="473">
        <f>+AB12-AB67</f>
        <v>0</v>
      </c>
      <c r="AC373" s="473">
        <f>+AC12-AC65</f>
        <v>0</v>
      </c>
      <c r="AD373" s="473">
        <f>+AD12-AD67</f>
        <v>0</v>
      </c>
      <c r="AE373" s="473">
        <f>+AE12-AE65</f>
        <v>0</v>
      </c>
      <c r="AF373" s="473">
        <f>+AF12-AF67</f>
        <v>0</v>
      </c>
      <c r="AG373" s="473">
        <f>+AG12-AG65</f>
        <v>0</v>
      </c>
      <c r="AH373" s="473">
        <f>+AH12-AH67</f>
        <v>0</v>
      </c>
      <c r="AI373" s="473">
        <f>+AI12-AI65</f>
        <v>0</v>
      </c>
      <c r="AJ373" s="473">
        <f>+AJ12-AJ67</f>
        <v>0</v>
      </c>
      <c r="AK373" s="473">
        <f>+AK12-AK65</f>
        <v>0</v>
      </c>
      <c r="AL373" s="473">
        <f>+AL12-AL67</f>
        <v>0</v>
      </c>
      <c r="AM373" s="533">
        <f>+AM12-AM65</f>
        <v>0</v>
      </c>
      <c r="AN373" s="533">
        <f>+AN12-AN67</f>
        <v>0</v>
      </c>
      <c r="AO373" s="473">
        <f>+AO12-AO65</f>
        <v>0</v>
      </c>
      <c r="AP373" s="473">
        <f>+AP12-AP67</f>
        <v>0</v>
      </c>
      <c r="AQ373" s="473">
        <f>+AQ12-AQ65</f>
        <v>0</v>
      </c>
      <c r="AR373" s="473">
        <f>+AR12-AR67</f>
        <v>0</v>
      </c>
      <c r="AS373" s="473">
        <f>+AS12-AS65</f>
        <v>0</v>
      </c>
      <c r="AT373" s="473">
        <f>+AT12-AT67</f>
        <v>0</v>
      </c>
      <c r="AU373" s="473">
        <f>+AU12-AU65</f>
        <v>0</v>
      </c>
      <c r="AV373" s="473">
        <f>+AV12-AV67</f>
        <v>0</v>
      </c>
      <c r="AW373" s="473">
        <f>+AW12-AW65</f>
        <v>0</v>
      </c>
      <c r="AX373" s="473">
        <f>+AX12-AX67</f>
        <v>0</v>
      </c>
      <c r="AY373" s="473">
        <f>+AY12-AY65</f>
        <v>0</v>
      </c>
      <c r="AZ373" s="473">
        <f>+AZ12-AZ67</f>
        <v>0</v>
      </c>
      <c r="BA373" s="533">
        <f>+BA12-BA65</f>
        <v>0</v>
      </c>
      <c r="BB373" s="533">
        <f>+BB12-BB67</f>
        <v>0</v>
      </c>
      <c r="BC373" s="473">
        <f>+BC12-BC65</f>
        <v>0</v>
      </c>
      <c r="BD373" s="473">
        <f>+BD12-BD67</f>
        <v>0</v>
      </c>
      <c r="BE373" s="473">
        <f>+BE12-BE65</f>
        <v>0</v>
      </c>
      <c r="BF373" s="473">
        <f>+BF12-BF67</f>
        <v>0</v>
      </c>
      <c r="BG373" s="26"/>
      <c r="BH373" s="26"/>
      <c r="BI373" s="26"/>
      <c r="BJ373" s="26"/>
    </row>
    <row r="374" spans="1:62" ht="15" hidden="1" customHeight="1" x14ac:dyDescent="0.25">
      <c r="A374" s="188"/>
      <c r="B374" s="6244"/>
      <c r="C374" s="1013"/>
      <c r="D374" s="1013"/>
      <c r="E374" s="473">
        <f>+E65-E186</f>
        <v>0</v>
      </c>
      <c r="F374" s="473">
        <f>+F67-F186</f>
        <v>0</v>
      </c>
      <c r="G374" s="473">
        <f>+G65-G186</f>
        <v>0</v>
      </c>
      <c r="H374" s="473">
        <f>+H67-H186</f>
        <v>0</v>
      </c>
      <c r="I374" s="473">
        <f>+I65-I186</f>
        <v>0</v>
      </c>
      <c r="J374" s="473">
        <f>+J67-J186</f>
        <v>0</v>
      </c>
      <c r="K374" s="473">
        <f>+K65-K186</f>
        <v>0</v>
      </c>
      <c r="L374" s="473">
        <f>+L67-L186</f>
        <v>0</v>
      </c>
      <c r="M374" s="533">
        <f>+M65-M186</f>
        <v>0</v>
      </c>
      <c r="N374" s="533">
        <f>+N67-N186</f>
        <v>0</v>
      </c>
      <c r="O374" s="473">
        <f>+O65-O186</f>
        <v>0</v>
      </c>
      <c r="P374" s="473">
        <f>+P67-P186</f>
        <v>0</v>
      </c>
      <c r="Q374" s="473">
        <f>+Q65-Q186</f>
        <v>0</v>
      </c>
      <c r="R374" s="473">
        <f>+R67-R186</f>
        <v>0</v>
      </c>
      <c r="S374" s="473">
        <f>+S65-S186</f>
        <v>0</v>
      </c>
      <c r="T374" s="473">
        <f>+T67-T186</f>
        <v>0</v>
      </c>
      <c r="U374" s="473">
        <f>+U65-U186</f>
        <v>0</v>
      </c>
      <c r="V374" s="473">
        <f>+V67-V186</f>
        <v>0</v>
      </c>
      <c r="W374" s="473">
        <f>+W65-W186</f>
        <v>0</v>
      </c>
      <c r="X374" s="473">
        <f>+X67-X186</f>
        <v>0</v>
      </c>
      <c r="Y374" s="533">
        <f>+Y65-Y186</f>
        <v>0</v>
      </c>
      <c r="Z374" s="533">
        <f>+Z67-Z186</f>
        <v>0</v>
      </c>
      <c r="AA374" s="473">
        <f>+AA65-AA186</f>
        <v>0</v>
      </c>
      <c r="AB374" s="473">
        <f>+AB67-AB186</f>
        <v>0</v>
      </c>
      <c r="AC374" s="473">
        <f>+AC65-AC186</f>
        <v>0</v>
      </c>
      <c r="AD374" s="473">
        <f>+AD67-AD186</f>
        <v>0</v>
      </c>
      <c r="AE374" s="473">
        <f>+AE65-AE186</f>
        <v>0</v>
      </c>
      <c r="AF374" s="473">
        <f>+AF67-AF186</f>
        <v>0</v>
      </c>
      <c r="AG374" s="473">
        <f>+AG65-AG186</f>
        <v>0</v>
      </c>
      <c r="AH374" s="473">
        <f>+AH67-AH186</f>
        <v>0</v>
      </c>
      <c r="AI374" s="473">
        <f>+AI65-AI186</f>
        <v>0</v>
      </c>
      <c r="AJ374" s="473">
        <f>+AJ67-AJ186</f>
        <v>0</v>
      </c>
      <c r="AK374" s="473">
        <f>+AK65-AK186</f>
        <v>0</v>
      </c>
      <c r="AL374" s="473">
        <f>+AL67-AL186</f>
        <v>0</v>
      </c>
      <c r="AM374" s="533">
        <f>+AM65-AM186</f>
        <v>0</v>
      </c>
      <c r="AN374" s="533">
        <f>+AN67-AN186</f>
        <v>0</v>
      </c>
      <c r="AO374" s="473">
        <f>+AO65-AO186</f>
        <v>0</v>
      </c>
      <c r="AP374" s="473">
        <f>+AP67-AP186</f>
        <v>0</v>
      </c>
      <c r="AQ374" s="473">
        <f>+AQ65-AQ186</f>
        <v>0</v>
      </c>
      <c r="AR374" s="473">
        <f>+AR67-AR186</f>
        <v>0</v>
      </c>
      <c r="AS374" s="473">
        <f>+AS65-AS186</f>
        <v>0</v>
      </c>
      <c r="AT374" s="473">
        <f>+AT67-AT186</f>
        <v>0</v>
      </c>
      <c r="AU374" s="473">
        <f>+AU65-AU186</f>
        <v>0</v>
      </c>
      <c r="AV374" s="473">
        <f>+AV67-AV186</f>
        <v>0</v>
      </c>
      <c r="AW374" s="473">
        <f>+AW65-AW186</f>
        <v>0</v>
      </c>
      <c r="AX374" s="473">
        <f>+AX67-AX186</f>
        <v>0</v>
      </c>
      <c r="AY374" s="473">
        <f>+AY65-AY186</f>
        <v>0</v>
      </c>
      <c r="AZ374" s="473">
        <f>+AZ67-AZ186</f>
        <v>0</v>
      </c>
      <c r="BA374" s="533">
        <f>+BA65-BA186</f>
        <v>0</v>
      </c>
      <c r="BB374" s="533">
        <f>+BB67-BB186</f>
        <v>0</v>
      </c>
      <c r="BC374" s="473">
        <f>+BC65-BC186</f>
        <v>0</v>
      </c>
      <c r="BD374" s="473">
        <f>+BD67-BD186</f>
        <v>0</v>
      </c>
      <c r="BE374" s="473">
        <f>+BE65-BE186</f>
        <v>0</v>
      </c>
      <c r="BF374" s="473">
        <f>+BF67-BF186</f>
        <v>0</v>
      </c>
      <c r="BG374" s="26"/>
      <c r="BH374" s="26"/>
      <c r="BI374" s="26"/>
      <c r="BJ374" s="26"/>
    </row>
    <row r="375" spans="1:62" ht="15" hidden="1" customHeight="1" x14ac:dyDescent="0.25">
      <c r="A375" s="188"/>
      <c r="B375" s="6244"/>
      <c r="C375" s="1013"/>
      <c r="D375" s="1013"/>
      <c r="E375" s="473">
        <f t="shared" ref="E375:AJ375" si="610">+E12-E186</f>
        <v>0</v>
      </c>
      <c r="F375" s="473">
        <f t="shared" si="610"/>
        <v>0</v>
      </c>
      <c r="G375" s="473">
        <f t="shared" si="610"/>
        <v>0</v>
      </c>
      <c r="H375" s="473">
        <f t="shared" si="610"/>
        <v>0</v>
      </c>
      <c r="I375" s="473">
        <f t="shared" si="610"/>
        <v>0</v>
      </c>
      <c r="J375" s="473">
        <f t="shared" si="610"/>
        <v>0</v>
      </c>
      <c r="K375" s="473">
        <f t="shared" si="610"/>
        <v>0</v>
      </c>
      <c r="L375" s="473">
        <f t="shared" si="610"/>
        <v>0</v>
      </c>
      <c r="M375" s="533">
        <f t="shared" si="610"/>
        <v>0</v>
      </c>
      <c r="N375" s="533">
        <f t="shared" si="610"/>
        <v>0</v>
      </c>
      <c r="O375" s="473">
        <f t="shared" si="610"/>
        <v>0</v>
      </c>
      <c r="P375" s="473">
        <f t="shared" si="610"/>
        <v>0</v>
      </c>
      <c r="Q375" s="473">
        <f t="shared" si="610"/>
        <v>0</v>
      </c>
      <c r="R375" s="473">
        <f t="shared" si="610"/>
        <v>0</v>
      </c>
      <c r="S375" s="473">
        <f t="shared" si="610"/>
        <v>0</v>
      </c>
      <c r="T375" s="473">
        <f t="shared" si="610"/>
        <v>0</v>
      </c>
      <c r="U375" s="473">
        <f t="shared" si="610"/>
        <v>0</v>
      </c>
      <c r="V375" s="473">
        <f t="shared" si="610"/>
        <v>0</v>
      </c>
      <c r="W375" s="473">
        <f t="shared" si="610"/>
        <v>0</v>
      </c>
      <c r="X375" s="473">
        <f t="shared" si="610"/>
        <v>0</v>
      </c>
      <c r="Y375" s="533">
        <f t="shared" si="610"/>
        <v>0</v>
      </c>
      <c r="Z375" s="533">
        <f t="shared" si="610"/>
        <v>0</v>
      </c>
      <c r="AA375" s="473">
        <f t="shared" si="610"/>
        <v>0</v>
      </c>
      <c r="AB375" s="473">
        <f t="shared" si="610"/>
        <v>0</v>
      </c>
      <c r="AC375" s="473">
        <f t="shared" si="610"/>
        <v>0</v>
      </c>
      <c r="AD375" s="473">
        <f t="shared" si="610"/>
        <v>0</v>
      </c>
      <c r="AE375" s="473">
        <f t="shared" si="610"/>
        <v>0</v>
      </c>
      <c r="AF375" s="473">
        <f t="shared" si="610"/>
        <v>0</v>
      </c>
      <c r="AG375" s="473">
        <f t="shared" si="610"/>
        <v>0</v>
      </c>
      <c r="AH375" s="473">
        <f t="shared" si="610"/>
        <v>0</v>
      </c>
      <c r="AI375" s="473">
        <f t="shared" si="610"/>
        <v>0</v>
      </c>
      <c r="AJ375" s="473">
        <f t="shared" si="610"/>
        <v>0</v>
      </c>
      <c r="AK375" s="473">
        <f t="shared" ref="AK375:BF375" si="611">+AK12-AK186</f>
        <v>0</v>
      </c>
      <c r="AL375" s="473">
        <f t="shared" si="611"/>
        <v>0</v>
      </c>
      <c r="AM375" s="533">
        <f t="shared" si="611"/>
        <v>0</v>
      </c>
      <c r="AN375" s="533">
        <f t="shared" si="611"/>
        <v>0</v>
      </c>
      <c r="AO375" s="473">
        <f t="shared" si="611"/>
        <v>0</v>
      </c>
      <c r="AP375" s="473">
        <f t="shared" si="611"/>
        <v>0</v>
      </c>
      <c r="AQ375" s="473">
        <f t="shared" si="611"/>
        <v>0</v>
      </c>
      <c r="AR375" s="473">
        <f t="shared" si="611"/>
        <v>0</v>
      </c>
      <c r="AS375" s="473">
        <f t="shared" si="611"/>
        <v>0</v>
      </c>
      <c r="AT375" s="473">
        <f t="shared" si="611"/>
        <v>0</v>
      </c>
      <c r="AU375" s="473">
        <f t="shared" si="611"/>
        <v>0</v>
      </c>
      <c r="AV375" s="473">
        <f t="shared" si="611"/>
        <v>0</v>
      </c>
      <c r="AW375" s="473">
        <f t="shared" si="611"/>
        <v>0</v>
      </c>
      <c r="AX375" s="473">
        <f t="shared" si="611"/>
        <v>0</v>
      </c>
      <c r="AY375" s="473">
        <f t="shared" si="611"/>
        <v>0</v>
      </c>
      <c r="AZ375" s="473">
        <f t="shared" si="611"/>
        <v>0</v>
      </c>
      <c r="BA375" s="533">
        <f t="shared" si="611"/>
        <v>0</v>
      </c>
      <c r="BB375" s="533">
        <f t="shared" si="611"/>
        <v>0</v>
      </c>
      <c r="BC375" s="473">
        <f t="shared" si="611"/>
        <v>0</v>
      </c>
      <c r="BD375" s="473">
        <f t="shared" si="611"/>
        <v>0</v>
      </c>
      <c r="BE375" s="473">
        <f t="shared" si="611"/>
        <v>0</v>
      </c>
      <c r="BF375" s="473">
        <f t="shared" si="611"/>
        <v>0</v>
      </c>
      <c r="BG375" s="26"/>
      <c r="BH375" s="26"/>
      <c r="BI375" s="26"/>
      <c r="BJ375" s="26"/>
    </row>
    <row r="376" spans="1:62" ht="15" hidden="1" customHeight="1" x14ac:dyDescent="0.25">
      <c r="A376" s="188"/>
      <c r="B376" s="6244"/>
      <c r="C376" s="1106"/>
      <c r="D376" s="1106"/>
      <c r="E376" s="1106"/>
      <c r="F376" s="442">
        <f>+F9-F198</f>
        <v>0</v>
      </c>
      <c r="G376" s="1106"/>
      <c r="H376" s="442">
        <f>+H9-H198</f>
        <v>0</v>
      </c>
      <c r="I376" s="1106"/>
      <c r="J376" s="442">
        <f>+J9-J198</f>
        <v>0</v>
      </c>
      <c r="K376" s="1106"/>
      <c r="L376" s="442">
        <f>+L9-L198</f>
        <v>0</v>
      </c>
      <c r="M376" s="778"/>
      <c r="N376" s="533">
        <f>+N9-N198</f>
        <v>0</v>
      </c>
      <c r="O376" s="1106"/>
      <c r="P376" s="442">
        <f>+P9-P198</f>
        <v>0</v>
      </c>
      <c r="Q376" s="1106"/>
      <c r="R376" s="442">
        <f>+R9-R198</f>
        <v>0</v>
      </c>
      <c r="S376" s="1106"/>
      <c r="T376" s="442">
        <f>+T9-T198</f>
        <v>0</v>
      </c>
      <c r="U376" s="1106"/>
      <c r="V376" s="442">
        <f>+V9-V198</f>
        <v>0</v>
      </c>
      <c r="W376" s="1106"/>
      <c r="X376" s="442">
        <f>+X9-X198</f>
        <v>0</v>
      </c>
      <c r="Y376" s="778"/>
      <c r="Z376" s="533">
        <f>+Z9-Z198</f>
        <v>0</v>
      </c>
      <c r="AA376" s="1106"/>
      <c r="AB376" s="442">
        <f>+AB9-AB198</f>
        <v>0</v>
      </c>
      <c r="AC376" s="1106"/>
      <c r="AD376" s="442">
        <f>+AD9-AD198</f>
        <v>0</v>
      </c>
      <c r="AE376" s="1106"/>
      <c r="AF376" s="442">
        <f>+AF9-AF198</f>
        <v>0</v>
      </c>
      <c r="AG376" s="1106"/>
      <c r="AH376" s="442">
        <f>+AH9-AH198</f>
        <v>0</v>
      </c>
      <c r="AI376" s="1106"/>
      <c r="AJ376" s="442">
        <f>+AJ9-AJ198</f>
        <v>0</v>
      </c>
      <c r="AK376" s="1106"/>
      <c r="AL376" s="442">
        <f>+AL9-AL198</f>
        <v>0</v>
      </c>
      <c r="AM376" s="778"/>
      <c r="AN376" s="533">
        <f>+AN9-AN198</f>
        <v>0</v>
      </c>
      <c r="AO376" s="1106"/>
      <c r="AP376" s="442">
        <f>+AP9-AP198</f>
        <v>0</v>
      </c>
      <c r="AQ376" s="1106"/>
      <c r="AR376" s="442">
        <f>+AR9-AR198</f>
        <v>0</v>
      </c>
      <c r="AS376" s="1106"/>
      <c r="AT376" s="442">
        <f>+AT9-AT198</f>
        <v>0</v>
      </c>
      <c r="AU376" s="1106"/>
      <c r="AV376" s="442">
        <f>+AV9-AV198</f>
        <v>0</v>
      </c>
      <c r="AW376" s="1106"/>
      <c r="AX376" s="442">
        <f>+AX9-AX198</f>
        <v>0</v>
      </c>
      <c r="AY376" s="1106"/>
      <c r="AZ376" s="442">
        <f>+AZ9-AZ198</f>
        <v>0</v>
      </c>
      <c r="BA376" s="778"/>
      <c r="BB376" s="533">
        <f>+BB9-BB198</f>
        <v>0</v>
      </c>
      <c r="BC376" s="1106"/>
      <c r="BD376" s="442">
        <f>+BD9-BD198</f>
        <v>0</v>
      </c>
      <c r="BE376" s="1106"/>
      <c r="BF376" s="442">
        <f>+BF9-BF198</f>
        <v>0</v>
      </c>
      <c r="BG376" s="26"/>
      <c r="BH376" s="26"/>
      <c r="BI376" s="26"/>
      <c r="BJ376" s="26"/>
    </row>
    <row r="377" spans="1:62" ht="15" hidden="1" customHeight="1" x14ac:dyDescent="0.25">
      <c r="A377" s="188"/>
      <c r="B377" s="6244" t="s">
        <v>1197</v>
      </c>
      <c r="C377" s="336"/>
      <c r="D377" s="336"/>
      <c r="E377" s="442">
        <f>+E19-E69</f>
        <v>0</v>
      </c>
      <c r="F377" s="442">
        <f>+F19-F71</f>
        <v>0</v>
      </c>
      <c r="G377" s="442">
        <f>+G19-G69</f>
        <v>0</v>
      </c>
      <c r="H377" s="442">
        <f>+H19-H71</f>
        <v>0</v>
      </c>
      <c r="I377" s="442">
        <f>+I19-I69</f>
        <v>0</v>
      </c>
      <c r="J377" s="442">
        <f>+J19-J71</f>
        <v>0</v>
      </c>
      <c r="K377" s="442">
        <f>+K19-K69</f>
        <v>0</v>
      </c>
      <c r="L377" s="442">
        <f>+L19-L71</f>
        <v>0</v>
      </c>
      <c r="M377" s="533">
        <f>+M19-M69</f>
        <v>0</v>
      </c>
      <c r="N377" s="533">
        <f>+N19-N71</f>
        <v>0</v>
      </c>
      <c r="O377" s="442">
        <f>+O19-O69</f>
        <v>0</v>
      </c>
      <c r="P377" s="442">
        <f>+P19-P71</f>
        <v>0</v>
      </c>
      <c r="Q377" s="442">
        <f>+Q19-Q69</f>
        <v>0</v>
      </c>
      <c r="R377" s="442">
        <f>+R19-R71</f>
        <v>0</v>
      </c>
      <c r="S377" s="442">
        <f>+S19-S69</f>
        <v>0</v>
      </c>
      <c r="T377" s="442">
        <f>+T19-T71</f>
        <v>0</v>
      </c>
      <c r="U377" s="442">
        <f>+U19-U69</f>
        <v>0</v>
      </c>
      <c r="V377" s="442">
        <f>+V19-V71</f>
        <v>0</v>
      </c>
      <c r="W377" s="442">
        <f>+W19-W69</f>
        <v>0</v>
      </c>
      <c r="X377" s="442">
        <f>+X19-X71</f>
        <v>0</v>
      </c>
      <c r="Y377" s="533">
        <f>+Y19-Y69</f>
        <v>0</v>
      </c>
      <c r="Z377" s="533">
        <f>+Z19-Z71</f>
        <v>0</v>
      </c>
      <c r="AA377" s="442">
        <f>+AA19-AA69</f>
        <v>0</v>
      </c>
      <c r="AB377" s="442">
        <f>+AB19-AB71</f>
        <v>0</v>
      </c>
      <c r="AC377" s="442">
        <f>+AC19-AC69</f>
        <v>0</v>
      </c>
      <c r="AD377" s="442">
        <f>+AD19-AD71</f>
        <v>0</v>
      </c>
      <c r="AE377" s="442">
        <f>+AE19-AE69</f>
        <v>0</v>
      </c>
      <c r="AF377" s="442">
        <f>+AF19-AF71</f>
        <v>0</v>
      </c>
      <c r="AG377" s="442">
        <f>+AG19-AG69</f>
        <v>0</v>
      </c>
      <c r="AH377" s="442">
        <f>+AH19-AH71</f>
        <v>0</v>
      </c>
      <c r="AI377" s="442">
        <f>+AI19-AI69</f>
        <v>0</v>
      </c>
      <c r="AJ377" s="442">
        <f>+AJ19-AJ71</f>
        <v>0</v>
      </c>
      <c r="AK377" s="442">
        <f>+AK19-AK69</f>
        <v>0</v>
      </c>
      <c r="AL377" s="442">
        <f>+AL19-AL71</f>
        <v>0</v>
      </c>
      <c r="AM377" s="533">
        <f>+AM19-AM69</f>
        <v>0</v>
      </c>
      <c r="AN377" s="533">
        <f>+AN19-AN71</f>
        <v>0</v>
      </c>
      <c r="AO377" s="442">
        <f>+AO19-AO69</f>
        <v>0</v>
      </c>
      <c r="AP377" s="442">
        <f>+AP19-AP71</f>
        <v>0</v>
      </c>
      <c r="AQ377" s="442">
        <f>+AQ19-AQ69</f>
        <v>0</v>
      </c>
      <c r="AR377" s="442">
        <f>+AR19-AR71</f>
        <v>0</v>
      </c>
      <c r="AS377" s="442">
        <f>+AS19-AS69</f>
        <v>0</v>
      </c>
      <c r="AT377" s="442">
        <f>+AT19-AT71</f>
        <v>0</v>
      </c>
      <c r="AU377" s="442">
        <f>+AU19-AU69</f>
        <v>0</v>
      </c>
      <c r="AV377" s="442">
        <f>+AV19-AV71</f>
        <v>0</v>
      </c>
      <c r="AW377" s="442">
        <f>+AW19-AW69</f>
        <v>0</v>
      </c>
      <c r="AX377" s="442">
        <f>+AX19-AX71</f>
        <v>0</v>
      </c>
      <c r="AY377" s="442">
        <f>+AY19-AY69</f>
        <v>0</v>
      </c>
      <c r="AZ377" s="442">
        <f>+AZ19-AZ71</f>
        <v>0</v>
      </c>
      <c r="BA377" s="533">
        <f>+BA19-BA69</f>
        <v>0</v>
      </c>
      <c r="BB377" s="533">
        <f>+BB19-BB71</f>
        <v>0</v>
      </c>
      <c r="BC377" s="442">
        <f>+BC19-BC69</f>
        <v>0</v>
      </c>
      <c r="BD377" s="442">
        <f>+BD19-BD71</f>
        <v>0</v>
      </c>
      <c r="BE377" s="442">
        <f>+BE19-BE69</f>
        <v>0</v>
      </c>
      <c r="BF377" s="442">
        <f>+BF19-BF71</f>
        <v>0</v>
      </c>
      <c r="BG377" s="26"/>
      <c r="BH377" s="26"/>
      <c r="BI377" s="26"/>
      <c r="BJ377" s="26"/>
    </row>
    <row r="378" spans="1:62" ht="21.2" hidden="1" customHeight="1" x14ac:dyDescent="0.25">
      <c r="A378" s="188"/>
      <c r="B378" s="6244"/>
      <c r="C378" s="336"/>
      <c r="D378" s="336"/>
      <c r="E378" s="442">
        <f>+E69-E236</f>
        <v>0</v>
      </c>
      <c r="F378" s="442">
        <f>+F71-F236</f>
        <v>0</v>
      </c>
      <c r="G378" s="442">
        <f>+G69-G236</f>
        <v>0</v>
      </c>
      <c r="H378" s="442">
        <f>+H71-H236</f>
        <v>0</v>
      </c>
      <c r="I378" s="442">
        <f>+I69-I236</f>
        <v>0</v>
      </c>
      <c r="J378" s="442">
        <f>+J71-J236</f>
        <v>0</v>
      </c>
      <c r="K378" s="442">
        <f>+K69-K236</f>
        <v>0</v>
      </c>
      <c r="L378" s="442">
        <f>+L71-L236</f>
        <v>0</v>
      </c>
      <c r="M378" s="533">
        <f>+M69-M236</f>
        <v>0</v>
      </c>
      <c r="N378" s="533">
        <f>+N71-N236</f>
        <v>0</v>
      </c>
      <c r="O378" s="442">
        <f>+O69-O236</f>
        <v>0</v>
      </c>
      <c r="P378" s="442">
        <f>+P71-P236</f>
        <v>0</v>
      </c>
      <c r="Q378" s="442">
        <f>+Q69-Q236</f>
        <v>0</v>
      </c>
      <c r="R378" s="442">
        <f>+R71-R236</f>
        <v>0</v>
      </c>
      <c r="S378" s="442">
        <f>+S69-S236</f>
        <v>0</v>
      </c>
      <c r="T378" s="442">
        <f>+T71-T236</f>
        <v>0</v>
      </c>
      <c r="U378" s="442">
        <f>+U69-U236</f>
        <v>0</v>
      </c>
      <c r="V378" s="442">
        <f>+V71-V236</f>
        <v>0</v>
      </c>
      <c r="W378" s="442">
        <f>+W69-W236</f>
        <v>0</v>
      </c>
      <c r="X378" s="442">
        <f>+X71-X236</f>
        <v>0</v>
      </c>
      <c r="Y378" s="533">
        <f>+Y69-Y236</f>
        <v>0</v>
      </c>
      <c r="Z378" s="533">
        <f>+Z71-Z236</f>
        <v>0</v>
      </c>
      <c r="AA378" s="442">
        <f>+AA69-AA236</f>
        <v>0</v>
      </c>
      <c r="AB378" s="442">
        <f>+AB71-AB236</f>
        <v>0</v>
      </c>
      <c r="AC378" s="442">
        <f>+AC69-AC236</f>
        <v>0</v>
      </c>
      <c r="AD378" s="442">
        <f>+AD71-AD236</f>
        <v>0</v>
      </c>
      <c r="AE378" s="442">
        <f>+AE69-AE236</f>
        <v>0</v>
      </c>
      <c r="AF378" s="442">
        <f>+AF71-AF236</f>
        <v>0</v>
      </c>
      <c r="AG378" s="442">
        <f>+AG69-AG236</f>
        <v>0</v>
      </c>
      <c r="AH378" s="442">
        <f>+AH71-AH236</f>
        <v>0</v>
      </c>
      <c r="AI378" s="442">
        <f>+AI69-AI236</f>
        <v>0</v>
      </c>
      <c r="AJ378" s="442">
        <f>+AJ71-AJ236</f>
        <v>0</v>
      </c>
      <c r="AK378" s="442">
        <f>+AK69-AK236</f>
        <v>0</v>
      </c>
      <c r="AL378" s="442">
        <f>+AL71-AL236</f>
        <v>0</v>
      </c>
      <c r="AM378" s="533">
        <f>+AM69-AM236</f>
        <v>0</v>
      </c>
      <c r="AN378" s="533">
        <f>+AN71-AN236</f>
        <v>0</v>
      </c>
      <c r="AO378" s="442">
        <f>+AO69-AO236</f>
        <v>0</v>
      </c>
      <c r="AP378" s="442">
        <f>+AP71-AP236</f>
        <v>0</v>
      </c>
      <c r="AQ378" s="442">
        <f>+AQ69-AQ236</f>
        <v>0</v>
      </c>
      <c r="AR378" s="442">
        <f>+AR71-AR236</f>
        <v>0</v>
      </c>
      <c r="AS378" s="442">
        <f>+AS69-AS236</f>
        <v>0</v>
      </c>
      <c r="AT378" s="442">
        <f>+AT71-AT236</f>
        <v>0</v>
      </c>
      <c r="AU378" s="442">
        <f>+AU69-AU236</f>
        <v>0</v>
      </c>
      <c r="AV378" s="442">
        <f>+AV71-AV236</f>
        <v>0</v>
      </c>
      <c r="AW378" s="442">
        <f>+AW69-AW236</f>
        <v>0</v>
      </c>
      <c r="AX378" s="442">
        <f>+AX71-AX236</f>
        <v>0</v>
      </c>
      <c r="AY378" s="442">
        <f>+AY69-AY236</f>
        <v>0</v>
      </c>
      <c r="AZ378" s="442">
        <f>+AZ71-AZ236</f>
        <v>0</v>
      </c>
      <c r="BA378" s="533">
        <f>+BA69-BA236</f>
        <v>0</v>
      </c>
      <c r="BB378" s="533">
        <f>+BB71-BB236</f>
        <v>0</v>
      </c>
      <c r="BC378" s="442">
        <f>+BC69-BC236</f>
        <v>0</v>
      </c>
      <c r="BD378" s="442">
        <f>+BD71-BD236</f>
        <v>0</v>
      </c>
      <c r="BE378" s="442">
        <f>+BE69-BE236</f>
        <v>0</v>
      </c>
      <c r="BF378" s="442">
        <f>+BF71-BF236</f>
        <v>0</v>
      </c>
      <c r="BG378" s="26"/>
      <c r="BH378" s="26"/>
      <c r="BI378" s="26"/>
      <c r="BJ378" s="26"/>
    </row>
    <row r="379" spans="1:62" ht="15" hidden="1" customHeight="1" x14ac:dyDescent="0.25">
      <c r="A379" s="188"/>
      <c r="B379" s="6244"/>
      <c r="C379" s="336"/>
      <c r="D379" s="336"/>
      <c r="E379" s="442">
        <f t="shared" ref="E379:AJ379" si="612">+E19-E236</f>
        <v>0</v>
      </c>
      <c r="F379" s="442">
        <f t="shared" si="612"/>
        <v>0</v>
      </c>
      <c r="G379" s="442">
        <f t="shared" si="612"/>
        <v>0</v>
      </c>
      <c r="H379" s="442">
        <f t="shared" si="612"/>
        <v>0</v>
      </c>
      <c r="I379" s="442">
        <f t="shared" si="612"/>
        <v>0</v>
      </c>
      <c r="J379" s="442">
        <f t="shared" si="612"/>
        <v>0</v>
      </c>
      <c r="K379" s="442">
        <f t="shared" si="612"/>
        <v>0</v>
      </c>
      <c r="L379" s="442">
        <f t="shared" si="612"/>
        <v>0</v>
      </c>
      <c r="M379" s="533">
        <f t="shared" si="612"/>
        <v>0</v>
      </c>
      <c r="N379" s="533">
        <f t="shared" si="612"/>
        <v>0</v>
      </c>
      <c r="O379" s="442">
        <f t="shared" si="612"/>
        <v>0</v>
      </c>
      <c r="P379" s="442">
        <f t="shared" si="612"/>
        <v>0</v>
      </c>
      <c r="Q379" s="442">
        <f t="shared" si="612"/>
        <v>0</v>
      </c>
      <c r="R379" s="442">
        <f t="shared" si="612"/>
        <v>0</v>
      </c>
      <c r="S379" s="442">
        <f t="shared" si="612"/>
        <v>0</v>
      </c>
      <c r="T379" s="442">
        <f t="shared" si="612"/>
        <v>0</v>
      </c>
      <c r="U379" s="442">
        <f t="shared" si="612"/>
        <v>0</v>
      </c>
      <c r="V379" s="442">
        <f t="shared" si="612"/>
        <v>0</v>
      </c>
      <c r="W379" s="442">
        <f t="shared" si="612"/>
        <v>0</v>
      </c>
      <c r="X379" s="442">
        <f t="shared" si="612"/>
        <v>0</v>
      </c>
      <c r="Y379" s="533">
        <f t="shared" si="612"/>
        <v>0</v>
      </c>
      <c r="Z379" s="533">
        <f t="shared" si="612"/>
        <v>0</v>
      </c>
      <c r="AA379" s="442">
        <f t="shared" si="612"/>
        <v>0</v>
      </c>
      <c r="AB379" s="442">
        <f t="shared" si="612"/>
        <v>0</v>
      </c>
      <c r="AC379" s="442">
        <f t="shared" si="612"/>
        <v>0</v>
      </c>
      <c r="AD379" s="442">
        <f t="shared" si="612"/>
        <v>0</v>
      </c>
      <c r="AE379" s="442">
        <f t="shared" si="612"/>
        <v>0</v>
      </c>
      <c r="AF379" s="442">
        <f t="shared" si="612"/>
        <v>0</v>
      </c>
      <c r="AG379" s="442">
        <f t="shared" si="612"/>
        <v>0</v>
      </c>
      <c r="AH379" s="442">
        <f t="shared" si="612"/>
        <v>0</v>
      </c>
      <c r="AI379" s="442">
        <f t="shared" si="612"/>
        <v>0</v>
      </c>
      <c r="AJ379" s="442">
        <f t="shared" si="612"/>
        <v>0</v>
      </c>
      <c r="AK379" s="442">
        <f t="shared" ref="AK379:BF379" si="613">+AK19-AK236</f>
        <v>0</v>
      </c>
      <c r="AL379" s="442">
        <f t="shared" si="613"/>
        <v>0</v>
      </c>
      <c r="AM379" s="533">
        <f t="shared" si="613"/>
        <v>0</v>
      </c>
      <c r="AN379" s="533">
        <f t="shared" si="613"/>
        <v>0</v>
      </c>
      <c r="AO379" s="442">
        <f t="shared" si="613"/>
        <v>0</v>
      </c>
      <c r="AP379" s="442">
        <f t="shared" si="613"/>
        <v>0</v>
      </c>
      <c r="AQ379" s="442">
        <f t="shared" si="613"/>
        <v>0</v>
      </c>
      <c r="AR379" s="442">
        <f t="shared" si="613"/>
        <v>0</v>
      </c>
      <c r="AS379" s="442">
        <f t="shared" si="613"/>
        <v>0</v>
      </c>
      <c r="AT379" s="442">
        <f t="shared" si="613"/>
        <v>0</v>
      </c>
      <c r="AU379" s="442">
        <f t="shared" si="613"/>
        <v>0</v>
      </c>
      <c r="AV379" s="442">
        <f t="shared" si="613"/>
        <v>0</v>
      </c>
      <c r="AW379" s="442">
        <f t="shared" si="613"/>
        <v>0</v>
      </c>
      <c r="AX379" s="442">
        <f t="shared" si="613"/>
        <v>0</v>
      </c>
      <c r="AY379" s="442">
        <f t="shared" si="613"/>
        <v>0</v>
      </c>
      <c r="AZ379" s="442">
        <f t="shared" si="613"/>
        <v>0</v>
      </c>
      <c r="BA379" s="533">
        <f t="shared" si="613"/>
        <v>0</v>
      </c>
      <c r="BB379" s="533">
        <f t="shared" si="613"/>
        <v>0</v>
      </c>
      <c r="BC379" s="442">
        <f t="shared" si="613"/>
        <v>0</v>
      </c>
      <c r="BD379" s="442">
        <f t="shared" si="613"/>
        <v>0</v>
      </c>
      <c r="BE379" s="442">
        <f t="shared" si="613"/>
        <v>0</v>
      </c>
      <c r="BF379" s="442">
        <f t="shared" si="613"/>
        <v>0</v>
      </c>
      <c r="BG379" s="26"/>
      <c r="BH379" s="26"/>
      <c r="BI379" s="26"/>
      <c r="BJ379" s="26"/>
    </row>
    <row r="380" spans="1:62" ht="15" hidden="1" customHeight="1" x14ac:dyDescent="0.25">
      <c r="A380" s="188"/>
      <c r="B380" s="6244"/>
      <c r="C380" s="336"/>
      <c r="D380" s="336"/>
      <c r="E380" s="1106"/>
      <c r="F380" s="442">
        <f>+F16-F241</f>
        <v>0</v>
      </c>
      <c r="G380" s="1106"/>
      <c r="H380" s="442">
        <f>+H16-H241</f>
        <v>0</v>
      </c>
      <c r="I380" s="1106"/>
      <c r="J380" s="442">
        <f>+J16-J241</f>
        <v>0</v>
      </c>
      <c r="K380" s="1106"/>
      <c r="L380" s="442">
        <f>+L16-L241</f>
        <v>0</v>
      </c>
      <c r="M380" s="778"/>
      <c r="N380" s="442">
        <f>+N16-N241</f>
        <v>0</v>
      </c>
      <c r="O380" s="1106"/>
      <c r="P380" s="442">
        <f>+P16-P241</f>
        <v>0</v>
      </c>
      <c r="Q380" s="1106"/>
      <c r="R380" s="442">
        <f>+R16-R241</f>
        <v>0</v>
      </c>
      <c r="S380" s="1106"/>
      <c r="T380" s="442">
        <f>+T16-T241</f>
        <v>0</v>
      </c>
      <c r="U380" s="1106"/>
      <c r="V380" s="442">
        <f>+V16-V241</f>
        <v>0</v>
      </c>
      <c r="W380" s="1106"/>
      <c r="X380" s="442">
        <f>+X16-X241</f>
        <v>0</v>
      </c>
      <c r="Y380" s="778"/>
      <c r="Z380" s="442">
        <f>+Z16-Z241</f>
        <v>0</v>
      </c>
      <c r="AA380" s="1106"/>
      <c r="AB380" s="442">
        <f>+AB16-AB241</f>
        <v>0</v>
      </c>
      <c r="AC380" s="1106"/>
      <c r="AD380" s="442">
        <f>+AD16-AD241</f>
        <v>0</v>
      </c>
      <c r="AE380" s="1106"/>
      <c r="AF380" s="442">
        <f>+AF16-AF241</f>
        <v>0</v>
      </c>
      <c r="AG380" s="1106"/>
      <c r="AH380" s="442">
        <f>+AH16-AH241</f>
        <v>0</v>
      </c>
      <c r="AI380" s="1106"/>
      <c r="AJ380" s="442">
        <f>+AJ16-AJ241</f>
        <v>0</v>
      </c>
      <c r="AK380" s="1106"/>
      <c r="AL380" s="442">
        <f>+AL16-AL241</f>
        <v>0</v>
      </c>
      <c r="AM380" s="778"/>
      <c r="AN380" s="442">
        <f>+AN16-AN241</f>
        <v>0</v>
      </c>
      <c r="AO380" s="1106"/>
      <c r="AP380" s="442">
        <f>+AP16-AP241</f>
        <v>0</v>
      </c>
      <c r="AQ380" s="1106"/>
      <c r="AR380" s="442">
        <f>+AR16-AR241</f>
        <v>0</v>
      </c>
      <c r="AS380" s="1106"/>
      <c r="AT380" s="442">
        <f>+AT16-AT241</f>
        <v>0</v>
      </c>
      <c r="AU380" s="1106"/>
      <c r="AV380" s="442">
        <f>+AV16-AV241</f>
        <v>0</v>
      </c>
      <c r="AW380" s="1106"/>
      <c r="AX380" s="442">
        <f>+AX16-AX241</f>
        <v>0</v>
      </c>
      <c r="AY380" s="1106"/>
      <c r="AZ380" s="442">
        <f>+AZ16-AZ241</f>
        <v>0</v>
      </c>
      <c r="BA380" s="778"/>
      <c r="BB380" s="533">
        <f>+BB16-BB241</f>
        <v>0</v>
      </c>
      <c r="BC380" s="1106"/>
      <c r="BD380" s="442">
        <f>+BD16-BD241</f>
        <v>0</v>
      </c>
      <c r="BE380" s="1106"/>
      <c r="BF380" s="442">
        <f>+BF16-BF241</f>
        <v>0</v>
      </c>
      <c r="BG380" s="26"/>
      <c r="BH380" s="26"/>
      <c r="BI380" s="26"/>
      <c r="BJ380" s="26"/>
    </row>
    <row r="381" spans="1:62" ht="15" hidden="1" customHeight="1" x14ac:dyDescent="0.25">
      <c r="A381" s="188"/>
      <c r="B381" s="6244" t="s">
        <v>1198</v>
      </c>
      <c r="C381" s="774"/>
      <c r="D381" s="774"/>
      <c r="E381" s="473">
        <f>+E26-E73</f>
        <v>0</v>
      </c>
      <c r="F381" s="473">
        <f>+F26-F75</f>
        <v>0</v>
      </c>
      <c r="G381" s="473">
        <f>+G26-G73</f>
        <v>0</v>
      </c>
      <c r="H381" s="473">
        <f>+H26-H75</f>
        <v>0</v>
      </c>
      <c r="I381" s="473">
        <f>+I26-I73</f>
        <v>0</v>
      </c>
      <c r="J381" s="473">
        <f>+J26-J75</f>
        <v>0</v>
      </c>
      <c r="K381" s="473">
        <f>+K26-K73</f>
        <v>0</v>
      </c>
      <c r="L381" s="473">
        <f>+L26-L75</f>
        <v>0</v>
      </c>
      <c r="M381" s="533">
        <f>+M26-M73</f>
        <v>0</v>
      </c>
      <c r="N381" s="533">
        <f>+N26-N75</f>
        <v>0</v>
      </c>
      <c r="O381" s="473">
        <f>+O26-O73</f>
        <v>0</v>
      </c>
      <c r="P381" s="473">
        <f>+P26-P75</f>
        <v>0</v>
      </c>
      <c r="Q381" s="473">
        <f>+Q26-Q73</f>
        <v>0</v>
      </c>
      <c r="R381" s="473">
        <f>+R26-R75</f>
        <v>0</v>
      </c>
      <c r="S381" s="473">
        <f>+S26-S73</f>
        <v>0</v>
      </c>
      <c r="T381" s="473">
        <f>+T26-T75</f>
        <v>0</v>
      </c>
      <c r="U381" s="473">
        <f>+U26-U73</f>
        <v>0</v>
      </c>
      <c r="V381" s="473">
        <f>+V26-V75</f>
        <v>0</v>
      </c>
      <c r="W381" s="473">
        <f>+W26-W73</f>
        <v>0</v>
      </c>
      <c r="X381" s="473">
        <f>+X26-X75</f>
        <v>0</v>
      </c>
      <c r="Y381" s="533">
        <f>+Y26-Y73</f>
        <v>0</v>
      </c>
      <c r="Z381" s="533">
        <f>+Z26-Z75</f>
        <v>0</v>
      </c>
      <c r="AA381" s="473">
        <f>+AA26-AA73</f>
        <v>0</v>
      </c>
      <c r="AB381" s="473">
        <f>+AB26-AB75</f>
        <v>0</v>
      </c>
      <c r="AC381" s="473">
        <f>+AC26-AC73</f>
        <v>0</v>
      </c>
      <c r="AD381" s="473">
        <f>+AD26-AD75</f>
        <v>0</v>
      </c>
      <c r="AE381" s="473">
        <f>+AE26-AE73</f>
        <v>0</v>
      </c>
      <c r="AF381" s="473">
        <f>+AF26-AF75</f>
        <v>0</v>
      </c>
      <c r="AG381" s="473">
        <f>+AG26-AG73</f>
        <v>0</v>
      </c>
      <c r="AH381" s="473">
        <f>+AH26-AH75</f>
        <v>0</v>
      </c>
      <c r="AI381" s="473">
        <f>+AI26-AI73</f>
        <v>0</v>
      </c>
      <c r="AJ381" s="473">
        <f>+AJ26-AJ75</f>
        <v>0</v>
      </c>
      <c r="AK381" s="473">
        <f>+AK26-AK73</f>
        <v>0</v>
      </c>
      <c r="AL381" s="473">
        <f>+AL26-AL75</f>
        <v>0</v>
      </c>
      <c r="AM381" s="533">
        <f>+AM26-AM73</f>
        <v>0</v>
      </c>
      <c r="AN381" s="533">
        <f>+AN26-AN75</f>
        <v>0</v>
      </c>
      <c r="AO381" s="473">
        <f>+AO26-AO73</f>
        <v>0</v>
      </c>
      <c r="AP381" s="473">
        <f>+AP26-AP75</f>
        <v>0</v>
      </c>
      <c r="AQ381" s="473">
        <f>+AQ26-AQ73</f>
        <v>0</v>
      </c>
      <c r="AR381" s="473">
        <f>+AR26-AR75</f>
        <v>0</v>
      </c>
      <c r="AS381" s="473">
        <f>+AS26-AS73</f>
        <v>0</v>
      </c>
      <c r="AT381" s="473">
        <f>+AT26-AT75</f>
        <v>0</v>
      </c>
      <c r="AU381" s="473">
        <f>+AU26-AU73</f>
        <v>0</v>
      </c>
      <c r="AV381" s="473">
        <f>+AV26-AV75</f>
        <v>0</v>
      </c>
      <c r="AW381" s="473">
        <f>+AW26-AW73</f>
        <v>0</v>
      </c>
      <c r="AX381" s="473">
        <f>+AX26-AX75</f>
        <v>0</v>
      </c>
      <c r="AY381" s="473">
        <f>+AY26-AY73</f>
        <v>0</v>
      </c>
      <c r="AZ381" s="473">
        <f>+AZ26-AZ75</f>
        <v>0</v>
      </c>
      <c r="BA381" s="533">
        <f>+BA26-BA73</f>
        <v>0</v>
      </c>
      <c r="BB381" s="533">
        <f>+BB26-BB75</f>
        <v>0</v>
      </c>
      <c r="BC381" s="473">
        <f>+BC26-BC73</f>
        <v>0</v>
      </c>
      <c r="BD381" s="473">
        <f>+BD26-BD75</f>
        <v>0</v>
      </c>
      <c r="BE381" s="473">
        <f>+BE26-BE73</f>
        <v>0</v>
      </c>
      <c r="BF381" s="473">
        <f>+BF26-BF75</f>
        <v>0</v>
      </c>
      <c r="BG381" s="26"/>
      <c r="BH381" s="26"/>
      <c r="BI381" s="26"/>
      <c r="BJ381" s="26"/>
    </row>
    <row r="382" spans="1:62" ht="15" hidden="1" customHeight="1" x14ac:dyDescent="0.25">
      <c r="A382" s="188"/>
      <c r="B382" s="6244"/>
      <c r="C382" s="774"/>
      <c r="D382" s="774"/>
      <c r="E382" s="473">
        <f>+E73-E300</f>
        <v>0</v>
      </c>
      <c r="F382" s="473">
        <f>+F75-F300</f>
        <v>0</v>
      </c>
      <c r="G382" s="473">
        <f>+G73-G300</f>
        <v>0</v>
      </c>
      <c r="H382" s="473">
        <f>+H75-H300</f>
        <v>0</v>
      </c>
      <c r="I382" s="473">
        <f>+I73-I300</f>
        <v>0</v>
      </c>
      <c r="J382" s="473">
        <f>+J75-J300</f>
        <v>0</v>
      </c>
      <c r="K382" s="473">
        <f>+K73-K300</f>
        <v>0</v>
      </c>
      <c r="L382" s="473">
        <f>+L75-L300</f>
        <v>0</v>
      </c>
      <c r="M382" s="533">
        <f>+M73-M300</f>
        <v>0</v>
      </c>
      <c r="N382" s="533">
        <f>+N75-N300</f>
        <v>0</v>
      </c>
      <c r="O382" s="473">
        <f>+O73-O300</f>
        <v>0</v>
      </c>
      <c r="P382" s="473">
        <f>+P75-P300</f>
        <v>0</v>
      </c>
      <c r="Q382" s="473">
        <f>+Q73-Q300</f>
        <v>0</v>
      </c>
      <c r="R382" s="473">
        <f>+R75-R300</f>
        <v>0</v>
      </c>
      <c r="S382" s="473">
        <f>+S73-S300</f>
        <v>0</v>
      </c>
      <c r="T382" s="473">
        <f>+T75-T300</f>
        <v>0</v>
      </c>
      <c r="U382" s="473">
        <f>+U73-U300</f>
        <v>0</v>
      </c>
      <c r="V382" s="473">
        <f>+V75-V300</f>
        <v>0</v>
      </c>
      <c r="W382" s="473">
        <f>+W73-W300</f>
        <v>0</v>
      </c>
      <c r="X382" s="473">
        <f>+X75-X300</f>
        <v>0</v>
      </c>
      <c r="Y382" s="533">
        <f>+Y73-Y300</f>
        <v>0</v>
      </c>
      <c r="Z382" s="533">
        <f>+Z75-Z300</f>
        <v>0</v>
      </c>
      <c r="AA382" s="473">
        <f>+AA73-AA300</f>
        <v>0</v>
      </c>
      <c r="AB382" s="473">
        <f>+AB75-AB300</f>
        <v>0</v>
      </c>
      <c r="AC382" s="473">
        <f>+AC73-AC300</f>
        <v>0</v>
      </c>
      <c r="AD382" s="473">
        <f>+AD75-AD300</f>
        <v>0</v>
      </c>
      <c r="AE382" s="473">
        <f>+AE73-AE300</f>
        <v>0</v>
      </c>
      <c r="AF382" s="473">
        <f>+AF75-AF300</f>
        <v>0</v>
      </c>
      <c r="AG382" s="473">
        <f>+AG73-AG300</f>
        <v>0</v>
      </c>
      <c r="AH382" s="473">
        <f>+AH75-AH300</f>
        <v>0</v>
      </c>
      <c r="AI382" s="473">
        <f>+AI73-AI300</f>
        <v>0</v>
      </c>
      <c r="AJ382" s="473">
        <f>+AJ75-AJ300</f>
        <v>0</v>
      </c>
      <c r="AK382" s="473">
        <f>+AK73-AK300</f>
        <v>0</v>
      </c>
      <c r="AL382" s="473">
        <f>+AL75-AL300</f>
        <v>0</v>
      </c>
      <c r="AM382" s="533">
        <f>+AM73-AM300</f>
        <v>0</v>
      </c>
      <c r="AN382" s="533">
        <f>+AN75-AN300</f>
        <v>0</v>
      </c>
      <c r="AO382" s="473">
        <f>+AO73-AO300</f>
        <v>0</v>
      </c>
      <c r="AP382" s="473">
        <f>+AP75-AP300</f>
        <v>0</v>
      </c>
      <c r="AQ382" s="473">
        <f>+AQ73-AQ300</f>
        <v>0</v>
      </c>
      <c r="AR382" s="473">
        <f>+AR75-AR300</f>
        <v>0</v>
      </c>
      <c r="AS382" s="473">
        <f>+AS73-AS300</f>
        <v>0</v>
      </c>
      <c r="AT382" s="473">
        <f>+AT75-AT300</f>
        <v>0</v>
      </c>
      <c r="AU382" s="473">
        <f>+AU73-AU300</f>
        <v>0</v>
      </c>
      <c r="AV382" s="473">
        <f>+AV75-AV300</f>
        <v>0</v>
      </c>
      <c r="AW382" s="473">
        <f>+AW73-AW300</f>
        <v>0</v>
      </c>
      <c r="AX382" s="473">
        <f>+AX75-AX300</f>
        <v>0</v>
      </c>
      <c r="AY382" s="473">
        <f>+AY73-AY300</f>
        <v>0</v>
      </c>
      <c r="AZ382" s="473">
        <f>+AZ75-AZ300</f>
        <v>0</v>
      </c>
      <c r="BA382" s="533">
        <f>+BA73-BA300</f>
        <v>0</v>
      </c>
      <c r="BB382" s="533">
        <f>+BB75-BB300</f>
        <v>0</v>
      </c>
      <c r="BC382" s="473">
        <f>+BC73-BC300</f>
        <v>0</v>
      </c>
      <c r="BD382" s="473">
        <f>+BD75-BD300</f>
        <v>0</v>
      </c>
      <c r="BE382" s="473">
        <f>+BE73-BE300</f>
        <v>0</v>
      </c>
      <c r="BF382" s="473">
        <f>+BF75-BF300</f>
        <v>0</v>
      </c>
      <c r="BG382" s="26"/>
      <c r="BH382" s="26"/>
      <c r="BI382" s="26"/>
      <c r="BJ382" s="26"/>
    </row>
    <row r="383" spans="1:62" ht="15" hidden="1" customHeight="1" x14ac:dyDescent="0.25">
      <c r="A383" s="188"/>
      <c r="B383" s="6244"/>
      <c r="C383" s="774"/>
      <c r="D383" s="774"/>
      <c r="E383" s="473">
        <f>E26-E300</f>
        <v>0</v>
      </c>
      <c r="F383" s="473">
        <f>+F26-F300</f>
        <v>0</v>
      </c>
      <c r="G383" s="473">
        <f>G26-G300</f>
        <v>0</v>
      </c>
      <c r="H383" s="473">
        <f>+H26-H300</f>
        <v>0</v>
      </c>
      <c r="I383" s="473">
        <f>I26-I300</f>
        <v>0</v>
      </c>
      <c r="J383" s="473">
        <f>+J26-J300</f>
        <v>0</v>
      </c>
      <c r="K383" s="473">
        <f>K26-K300</f>
        <v>0</v>
      </c>
      <c r="L383" s="473">
        <f>+L26-L300</f>
        <v>0</v>
      </c>
      <c r="M383" s="533">
        <f>M26-M300</f>
        <v>0</v>
      </c>
      <c r="N383" s="533">
        <f>+N26-N300</f>
        <v>0</v>
      </c>
      <c r="O383" s="473">
        <f>O26-O300</f>
        <v>0</v>
      </c>
      <c r="P383" s="473">
        <f>+P26-P300</f>
        <v>0</v>
      </c>
      <c r="Q383" s="473">
        <f>Q26-Q300</f>
        <v>0</v>
      </c>
      <c r="R383" s="473">
        <f>+R26-R300</f>
        <v>0</v>
      </c>
      <c r="S383" s="473">
        <f>S26-S300</f>
        <v>0</v>
      </c>
      <c r="T383" s="473">
        <f>+T26-T300</f>
        <v>0</v>
      </c>
      <c r="U383" s="473">
        <f>U26-U300</f>
        <v>0</v>
      </c>
      <c r="V383" s="473">
        <f>+V26-V300</f>
        <v>0</v>
      </c>
      <c r="W383" s="473">
        <f>W26-W300</f>
        <v>0</v>
      </c>
      <c r="X383" s="473">
        <f>+X26-X300</f>
        <v>0</v>
      </c>
      <c r="Y383" s="533">
        <f>Y26-Y300</f>
        <v>0</v>
      </c>
      <c r="Z383" s="533">
        <f>+Z26-Z300</f>
        <v>0</v>
      </c>
      <c r="AA383" s="473">
        <f>AA26-AA300</f>
        <v>0</v>
      </c>
      <c r="AB383" s="473">
        <f>+AB26-AB300</f>
        <v>0</v>
      </c>
      <c r="AC383" s="473">
        <f>AC26-AC300</f>
        <v>0</v>
      </c>
      <c r="AD383" s="473">
        <f>+AD26-AD300</f>
        <v>0</v>
      </c>
      <c r="AE383" s="473">
        <f>AE26-AE300</f>
        <v>0</v>
      </c>
      <c r="AF383" s="473">
        <f>+AF26-AF300</f>
        <v>0</v>
      </c>
      <c r="AG383" s="473">
        <f>AG26-AG300</f>
        <v>0</v>
      </c>
      <c r="AH383" s="473">
        <f>+AH26-AH300</f>
        <v>0</v>
      </c>
      <c r="AI383" s="473">
        <f>AI26-AI300</f>
        <v>0</v>
      </c>
      <c r="AJ383" s="473">
        <f>+AJ26-AJ300</f>
        <v>0</v>
      </c>
      <c r="AK383" s="473">
        <f>AK26-AK300</f>
        <v>0</v>
      </c>
      <c r="AL383" s="473">
        <f>+AL26-AL300</f>
        <v>0</v>
      </c>
      <c r="AM383" s="533">
        <f>AM26-AM300</f>
        <v>0</v>
      </c>
      <c r="AN383" s="533">
        <f>+AN26-AN300</f>
        <v>0</v>
      </c>
      <c r="AO383" s="473">
        <f>AO26-AO300</f>
        <v>0</v>
      </c>
      <c r="AP383" s="473">
        <f>+AP26-AP300</f>
        <v>0</v>
      </c>
      <c r="AQ383" s="473">
        <f>AQ26-AQ300</f>
        <v>0</v>
      </c>
      <c r="AR383" s="473">
        <f>+AR26-AR300</f>
        <v>0</v>
      </c>
      <c r="AS383" s="473">
        <f>AS26-AS300</f>
        <v>0</v>
      </c>
      <c r="AT383" s="473">
        <f>+AT26-AT300</f>
        <v>0</v>
      </c>
      <c r="AU383" s="473">
        <f>AU26-AU300</f>
        <v>0</v>
      </c>
      <c r="AV383" s="473">
        <f>+AV26-AV300</f>
        <v>0</v>
      </c>
      <c r="AW383" s="473">
        <f>AW26-AW300</f>
        <v>0</v>
      </c>
      <c r="AX383" s="473">
        <f>+AX26-AX300</f>
        <v>0</v>
      </c>
      <c r="AY383" s="473">
        <f>AY26-AY300</f>
        <v>0</v>
      </c>
      <c r="AZ383" s="473">
        <f>+AZ26-AZ300</f>
        <v>0</v>
      </c>
      <c r="BA383" s="533">
        <f>BA26-BA300</f>
        <v>0</v>
      </c>
      <c r="BB383" s="533">
        <f>+BB26-BB300</f>
        <v>0</v>
      </c>
      <c r="BC383" s="473">
        <f>BC26-BC300</f>
        <v>0</v>
      </c>
      <c r="BD383" s="473">
        <f>+BD26-BD300</f>
        <v>0</v>
      </c>
      <c r="BE383" s="473">
        <f>BE26-BE300</f>
        <v>0</v>
      </c>
      <c r="BF383" s="473">
        <f>+BF26-BF300</f>
        <v>0</v>
      </c>
      <c r="BG383" s="26"/>
      <c r="BH383" s="26"/>
      <c r="BI383" s="26"/>
      <c r="BJ383" s="26"/>
    </row>
    <row r="384" spans="1:62" ht="15" hidden="1" customHeight="1" x14ac:dyDescent="0.25">
      <c r="A384" s="188"/>
      <c r="B384" s="6244"/>
      <c r="C384" s="774"/>
      <c r="D384" s="774"/>
      <c r="E384" s="1013"/>
      <c r="F384" s="473">
        <f>+F23-F310</f>
        <v>0</v>
      </c>
      <c r="G384" s="1013"/>
      <c r="H384" s="473">
        <f>+H23-H310</f>
        <v>0</v>
      </c>
      <c r="I384" s="1013"/>
      <c r="J384" s="473">
        <f>+J24-J310</f>
        <v>0</v>
      </c>
      <c r="K384" s="1013"/>
      <c r="L384" s="473">
        <f>+L23-L310</f>
        <v>0</v>
      </c>
      <c r="M384" s="778"/>
      <c r="N384" s="533">
        <f>+N23-N310</f>
        <v>0</v>
      </c>
      <c r="O384" s="1013"/>
      <c r="P384" s="473">
        <f>+P23-P310</f>
        <v>0</v>
      </c>
      <c r="Q384" s="1013"/>
      <c r="R384" s="473">
        <f>+R23-R310</f>
        <v>0</v>
      </c>
      <c r="S384" s="1013"/>
      <c r="T384" s="473">
        <f>+T23-T310</f>
        <v>0</v>
      </c>
      <c r="U384" s="1013"/>
      <c r="V384" s="473">
        <f>+V23-V310</f>
        <v>0</v>
      </c>
      <c r="W384" s="1013"/>
      <c r="X384" s="473">
        <f>+X23-X310</f>
        <v>0</v>
      </c>
      <c r="Y384" s="778"/>
      <c r="Z384" s="533">
        <f>+Z23-Z310</f>
        <v>0</v>
      </c>
      <c r="AA384" s="1013"/>
      <c r="AB384" s="473">
        <f>+AB23-AB310</f>
        <v>0</v>
      </c>
      <c r="AC384" s="1013"/>
      <c r="AD384" s="473">
        <f>+AD23-AD310</f>
        <v>0</v>
      </c>
      <c r="AE384" s="1013"/>
      <c r="AF384" s="473">
        <f>+AF23-AF310</f>
        <v>0</v>
      </c>
      <c r="AG384" s="1013"/>
      <c r="AH384" s="473">
        <f>+AH23-AH310</f>
        <v>0</v>
      </c>
      <c r="AI384" s="1013"/>
      <c r="AJ384" s="473">
        <f>+AJ23-AJ310</f>
        <v>0</v>
      </c>
      <c r="AK384" s="1013"/>
      <c r="AL384" s="473">
        <f>+AL23-AL310</f>
        <v>0</v>
      </c>
      <c r="AM384" s="778"/>
      <c r="AN384" s="533">
        <f>+AN23-AN310</f>
        <v>0</v>
      </c>
      <c r="AO384" s="1013"/>
      <c r="AP384" s="473">
        <f>+AP23-AP310</f>
        <v>0</v>
      </c>
      <c r="AQ384" s="1013"/>
      <c r="AR384" s="473">
        <f>+AR23-AR310</f>
        <v>0</v>
      </c>
      <c r="AS384" s="1013"/>
      <c r="AT384" s="473">
        <f>+AT23-AT310</f>
        <v>0</v>
      </c>
      <c r="AU384" s="1013"/>
      <c r="AV384" s="473">
        <f>+AV23-AV310</f>
        <v>0</v>
      </c>
      <c r="AW384" s="1013"/>
      <c r="AX384" s="473">
        <f>+AX23-AX310</f>
        <v>0</v>
      </c>
      <c r="AY384" s="1013"/>
      <c r="AZ384" s="473">
        <f>+AZ23-AZ310</f>
        <v>0</v>
      </c>
      <c r="BA384" s="778"/>
      <c r="BB384" s="533">
        <f>+BB23-BB310</f>
        <v>0</v>
      </c>
      <c r="BC384" s="1013"/>
      <c r="BD384" s="473">
        <f>+BD23-BD310</f>
        <v>0</v>
      </c>
      <c r="BE384" s="1013"/>
      <c r="BF384" s="473">
        <f>+BF23-BF310</f>
        <v>0</v>
      </c>
      <c r="BG384" s="26"/>
      <c r="BH384" s="26"/>
      <c r="BI384" s="26"/>
      <c r="BJ384" s="26"/>
    </row>
    <row r="385" spans="1:62" ht="15" hidden="1" customHeight="1" x14ac:dyDescent="0.25">
      <c r="A385" s="188"/>
      <c r="B385" s="6244" t="s">
        <v>521</v>
      </c>
      <c r="C385" s="1013"/>
      <c r="D385" s="1013"/>
      <c r="E385" s="473">
        <f>+E33-E77</f>
        <v>0</v>
      </c>
      <c r="F385" s="473">
        <f>+F33-F79</f>
        <v>0</v>
      </c>
      <c r="G385" s="473">
        <f>+G33-G77</f>
        <v>0</v>
      </c>
      <c r="H385" s="473">
        <f>+H33-H79</f>
        <v>0.44999999999708962</v>
      </c>
      <c r="I385" s="473">
        <f>+I33-I77</f>
        <v>0</v>
      </c>
      <c r="J385" s="473">
        <f>+J33-J79</f>
        <v>0.44999999999708962</v>
      </c>
      <c r="K385" s="473">
        <f>+K33-K77</f>
        <v>0</v>
      </c>
      <c r="L385" s="473">
        <f>+L33-L79</f>
        <v>1.9999999996798579E-2</v>
      </c>
      <c r="M385" s="533">
        <f>+M33-M77</f>
        <v>0</v>
      </c>
      <c r="N385" s="533">
        <f>+N33-N79</f>
        <v>0.47000000000116415</v>
      </c>
      <c r="O385" s="473">
        <f>+O33-O77</f>
        <v>0</v>
      </c>
      <c r="P385" s="473">
        <f>+P33-P79</f>
        <v>-6.0000000012223609E-2</v>
      </c>
      <c r="Q385" s="473">
        <f>+Q33-Q77</f>
        <v>0</v>
      </c>
      <c r="R385" s="473">
        <f>+R33-R79</f>
        <v>0.41000000000349246</v>
      </c>
      <c r="S385" s="473">
        <f>+S33-S77</f>
        <v>0</v>
      </c>
      <c r="T385" s="473">
        <f>+T33-T79</f>
        <v>0</v>
      </c>
      <c r="U385" s="473">
        <f>+U33-U77</f>
        <v>0</v>
      </c>
      <c r="V385" s="473">
        <f>+V33-V79</f>
        <v>0.40999999997438863</v>
      </c>
      <c r="W385" s="473">
        <f>+W33-W77</f>
        <v>0</v>
      </c>
      <c r="X385" s="473">
        <f>+X33-X79</f>
        <v>0</v>
      </c>
      <c r="Y385" s="533">
        <f>+Y33-Y77</f>
        <v>0</v>
      </c>
      <c r="Z385" s="533">
        <f>+Z33-Z79</f>
        <v>-6.0000000055879354E-2</v>
      </c>
      <c r="AA385" s="473">
        <f>+AA33-AA77</f>
        <v>0</v>
      </c>
      <c r="AB385" s="473">
        <f>+AB33-AB79</f>
        <v>0.40999999997438863</v>
      </c>
      <c r="AC385" s="473">
        <f>+AC33-AC77</f>
        <v>0</v>
      </c>
      <c r="AD385" s="473">
        <f>+AD33-AD79</f>
        <v>0</v>
      </c>
      <c r="AE385" s="473">
        <f>+AE33-AE77</f>
        <v>0</v>
      </c>
      <c r="AF385" s="473">
        <f>+AF33-AF79</f>
        <v>0.40999999997438863</v>
      </c>
      <c r="AG385" s="473">
        <f>+AG33-AG77</f>
        <v>0</v>
      </c>
      <c r="AH385" s="473">
        <f>+AH33-AH79</f>
        <v>6.0000000004947651E-2</v>
      </c>
      <c r="AI385" s="473">
        <f>+AI33-AI77</f>
        <v>0</v>
      </c>
      <c r="AJ385" s="473">
        <f>+AJ33-AJ79</f>
        <v>0.46999999997206032</v>
      </c>
      <c r="AK385" s="473">
        <f>+AK33-AK77</f>
        <v>0</v>
      </c>
      <c r="AL385" s="473">
        <f>+AL33-AL79</f>
        <v>0</v>
      </c>
      <c r="AM385" s="533">
        <f>+AM33-AM77</f>
        <v>0</v>
      </c>
      <c r="AN385" s="533">
        <f>+AN33-AN79</f>
        <v>5.9999999997671694E-2</v>
      </c>
      <c r="AO385" s="473">
        <f>+AO33-AO77</f>
        <v>0</v>
      </c>
      <c r="AP385" s="473">
        <f>+AP33-AP79</f>
        <v>0.46999999997206032</v>
      </c>
      <c r="AQ385" s="473">
        <f>+AQ33-AQ77</f>
        <v>0</v>
      </c>
      <c r="AR385" s="473">
        <f>+AR33-AR79</f>
        <v>6.0000000004947651E-2</v>
      </c>
      <c r="AS385" s="473">
        <f>+AS33-AS77</f>
        <v>0</v>
      </c>
      <c r="AT385" s="473">
        <f>+AT33-AT79</f>
        <v>0.53000000002793968</v>
      </c>
      <c r="AU385" s="473">
        <f>+AU33-AU77</f>
        <v>0</v>
      </c>
      <c r="AV385" s="473">
        <f>+AV33-AV79</f>
        <v>-0.40000000000873115</v>
      </c>
      <c r="AW385" s="473">
        <f>+AW33-AW77</f>
        <v>0</v>
      </c>
      <c r="AX385" s="473">
        <f>+AX33-AX79</f>
        <v>0.13000000000465661</v>
      </c>
      <c r="AY385" s="473">
        <f>+AY33-AY77</f>
        <v>0</v>
      </c>
      <c r="AZ385" s="473">
        <f>+AZ33-AZ79</f>
        <v>-0.29999999998835847</v>
      </c>
      <c r="BA385" s="533">
        <f>+BA33-BA77</f>
        <v>0</v>
      </c>
      <c r="BB385" s="533">
        <f>+BB33-BB79</f>
        <v>-0.63999999998486601</v>
      </c>
      <c r="BC385" s="473">
        <f>+BC33-BC77</f>
        <v>0</v>
      </c>
      <c r="BD385" s="473">
        <f>+BD33-BD79</f>
        <v>-0.57999999995809048</v>
      </c>
      <c r="BE385" s="473">
        <f>+BE33-BE77</f>
        <v>0</v>
      </c>
      <c r="BF385" s="473">
        <f>+BF33-BF79</f>
        <v>-0.16999999992549419</v>
      </c>
      <c r="BG385" s="26"/>
      <c r="BH385" s="26"/>
      <c r="BI385" s="26"/>
      <c r="BJ385" s="26"/>
    </row>
    <row r="386" spans="1:62" ht="15" hidden="1" customHeight="1" x14ac:dyDescent="0.25">
      <c r="A386" s="188"/>
      <c r="B386" s="6244"/>
      <c r="C386" s="1013"/>
      <c r="D386" s="1013"/>
      <c r="E386" s="473">
        <f>+E77-E361</f>
        <v>0</v>
      </c>
      <c r="F386" s="473">
        <f>+F79-F361</f>
        <v>0</v>
      </c>
      <c r="G386" s="473">
        <f>+G77-G361</f>
        <v>0</v>
      </c>
      <c r="H386" s="473">
        <f>+H79-H361</f>
        <v>-0.38999999999941792</v>
      </c>
      <c r="I386" s="473">
        <f>+I77-I361</f>
        <v>0</v>
      </c>
      <c r="J386" s="473">
        <f>+J79-J361</f>
        <v>-0.38999999999941792</v>
      </c>
      <c r="K386" s="473">
        <f>+K77-K361</f>
        <v>0</v>
      </c>
      <c r="L386" s="473">
        <f>+L79-L361</f>
        <v>-0.41999999999097781</v>
      </c>
      <c r="M386" s="533">
        <f>+M77-M361</f>
        <v>0</v>
      </c>
      <c r="N386" s="533">
        <f>+N79-N361</f>
        <v>-0.80999999999767169</v>
      </c>
      <c r="O386" s="473">
        <f>+O77-O361</f>
        <v>0</v>
      </c>
      <c r="P386" s="473">
        <f>+P79-P361</f>
        <v>5.9999999997671694E-2</v>
      </c>
      <c r="Q386" s="473">
        <f>+Q77-Q361</f>
        <v>0</v>
      </c>
      <c r="R386" s="473">
        <f>+R79-R361</f>
        <v>-0.75</v>
      </c>
      <c r="S386" s="473">
        <f>+S77-S361</f>
        <v>0</v>
      </c>
      <c r="T386" s="473">
        <f>+T79-T361</f>
        <v>0</v>
      </c>
      <c r="U386" s="473">
        <f>+U77-U361</f>
        <v>0</v>
      </c>
      <c r="V386" s="473">
        <f>+V79-V361</f>
        <v>-0.75</v>
      </c>
      <c r="W386" s="473">
        <f>+W77-W361</f>
        <v>0</v>
      </c>
      <c r="X386" s="473">
        <f>+X79-X361</f>
        <v>0</v>
      </c>
      <c r="Y386" s="533">
        <f>+Y77-Y361</f>
        <v>0</v>
      </c>
      <c r="Z386" s="533">
        <f>+Z79-Z361</f>
        <v>5.9999999997671694E-2</v>
      </c>
      <c r="AA386" s="473">
        <f>+AA77-AA361</f>
        <v>0</v>
      </c>
      <c r="AB386" s="473">
        <f>+AB79-AB361</f>
        <v>-0.75</v>
      </c>
      <c r="AC386" s="473">
        <f>+AC77-AC361</f>
        <v>0</v>
      </c>
      <c r="AD386" s="473">
        <f>+AD79-AD361</f>
        <v>0</v>
      </c>
      <c r="AE386" s="473">
        <f>+AE77-AE361</f>
        <v>0</v>
      </c>
      <c r="AF386" s="473">
        <f>+AF79-AF361</f>
        <v>-0.75</v>
      </c>
      <c r="AG386" s="473">
        <f>+AG77-AG361</f>
        <v>0</v>
      </c>
      <c r="AH386" s="473">
        <f>+AH79-AH361</f>
        <v>-6.0000000012223609E-2</v>
      </c>
      <c r="AI386" s="473">
        <f>+AI77-AI361</f>
        <v>0</v>
      </c>
      <c r="AJ386" s="473">
        <f>+AJ79-AJ361</f>
        <v>-0.80999999999767169</v>
      </c>
      <c r="AK386" s="473">
        <f>+AK77-AK361</f>
        <v>0</v>
      </c>
      <c r="AL386" s="473">
        <f>+AL79-AL361</f>
        <v>0</v>
      </c>
      <c r="AM386" s="533">
        <f>+AM77-AM361</f>
        <v>0</v>
      </c>
      <c r="AN386" s="533">
        <f>+AN79-AN361</f>
        <v>-6.0000000026775524E-2</v>
      </c>
      <c r="AO386" s="473">
        <f>+AO77-AO361</f>
        <v>0</v>
      </c>
      <c r="AP386" s="473">
        <f>+AP79-AP361</f>
        <v>-0.80999999999767169</v>
      </c>
      <c r="AQ386" s="473">
        <f>+AQ77-AQ361</f>
        <v>0</v>
      </c>
      <c r="AR386" s="473">
        <f>+AR79-AR361</f>
        <v>-6.0000000004947651E-2</v>
      </c>
      <c r="AS386" s="473">
        <f>+AS77-AS361</f>
        <v>0</v>
      </c>
      <c r="AT386" s="473">
        <f>+AT79-AT361</f>
        <v>-0.86999999999534339</v>
      </c>
      <c r="AU386" s="473">
        <f>+AU77-AU361</f>
        <v>0</v>
      </c>
      <c r="AV386" s="473">
        <f>+AV79-AV361</f>
        <v>0.39999999999417923</v>
      </c>
      <c r="AW386" s="473">
        <f>+AW77-AW361</f>
        <v>0</v>
      </c>
      <c r="AX386" s="473">
        <f>+AX79-AX361</f>
        <v>-0.47000000008847564</v>
      </c>
      <c r="AY386" s="473">
        <f>+AY77-AY361</f>
        <v>0</v>
      </c>
      <c r="AZ386" s="473">
        <f>+AZ79-AZ361</f>
        <v>0.29999999998835847</v>
      </c>
      <c r="BA386" s="533">
        <f>+BA77-BA361</f>
        <v>0</v>
      </c>
      <c r="BB386" s="533">
        <f>+BB79-BB361</f>
        <v>0.63999999998486601</v>
      </c>
      <c r="BC386" s="473">
        <f>+BC77-BC361</f>
        <v>0</v>
      </c>
      <c r="BD386" s="473">
        <f>+BD79-BD361</f>
        <v>0.57999999995809048</v>
      </c>
      <c r="BE386" s="473">
        <f>+BE77-BE361</f>
        <v>0</v>
      </c>
      <c r="BF386" s="473">
        <f>+BF79-BF361</f>
        <v>-0.17000000015832484</v>
      </c>
      <c r="BG386" s="26"/>
      <c r="BH386" s="26"/>
      <c r="BI386" s="26"/>
      <c r="BJ386" s="26"/>
    </row>
    <row r="387" spans="1:62" ht="15" hidden="1" customHeight="1" x14ac:dyDescent="0.25">
      <c r="A387" s="188"/>
      <c r="B387" s="6244"/>
      <c r="C387" s="1013"/>
      <c r="D387" s="1013"/>
      <c r="E387" s="473">
        <f t="shared" ref="E387:AJ387" si="614">+E33-E361</f>
        <v>0</v>
      </c>
      <c r="F387" s="473">
        <f t="shared" si="614"/>
        <v>0</v>
      </c>
      <c r="G387" s="473">
        <f t="shared" si="614"/>
        <v>0</v>
      </c>
      <c r="H387" s="473">
        <f t="shared" si="614"/>
        <v>5.9999999997671694E-2</v>
      </c>
      <c r="I387" s="473">
        <f t="shared" si="614"/>
        <v>0</v>
      </c>
      <c r="J387" s="473">
        <f t="shared" si="614"/>
        <v>5.9999999997671694E-2</v>
      </c>
      <c r="K387" s="473">
        <f t="shared" si="614"/>
        <v>0</v>
      </c>
      <c r="L387" s="473">
        <f t="shared" si="614"/>
        <v>-0.39999999999417923</v>
      </c>
      <c r="M387" s="533">
        <f t="shared" si="614"/>
        <v>0</v>
      </c>
      <c r="N387" s="533">
        <f t="shared" si="614"/>
        <v>-0.33999999999650754</v>
      </c>
      <c r="O387" s="473">
        <f t="shared" si="614"/>
        <v>0</v>
      </c>
      <c r="P387" s="473">
        <f t="shared" si="614"/>
        <v>0</v>
      </c>
      <c r="Q387" s="473">
        <f t="shared" si="614"/>
        <v>0</v>
      </c>
      <c r="R387" s="473">
        <f t="shared" si="614"/>
        <v>-0.33999999999650754</v>
      </c>
      <c r="S387" s="473">
        <f t="shared" si="614"/>
        <v>0</v>
      </c>
      <c r="T387" s="473">
        <f t="shared" si="614"/>
        <v>0</v>
      </c>
      <c r="U387" s="473">
        <f t="shared" si="614"/>
        <v>0</v>
      </c>
      <c r="V387" s="473">
        <f t="shared" si="614"/>
        <v>-0.34000000002561137</v>
      </c>
      <c r="W387" s="473">
        <f t="shared" si="614"/>
        <v>0</v>
      </c>
      <c r="X387" s="473">
        <f t="shared" si="614"/>
        <v>0</v>
      </c>
      <c r="Y387" s="533">
        <f t="shared" si="614"/>
        <v>0</v>
      </c>
      <c r="Z387" s="533">
        <f t="shared" si="614"/>
        <v>0</v>
      </c>
      <c r="AA387" s="473">
        <f t="shared" si="614"/>
        <v>0</v>
      </c>
      <c r="AB387" s="473">
        <f t="shared" si="614"/>
        <v>-0.34000000002561137</v>
      </c>
      <c r="AC387" s="473">
        <f t="shared" si="614"/>
        <v>0</v>
      </c>
      <c r="AD387" s="473">
        <f t="shared" si="614"/>
        <v>0</v>
      </c>
      <c r="AE387" s="473">
        <f t="shared" si="614"/>
        <v>0</v>
      </c>
      <c r="AF387" s="473">
        <f t="shared" si="614"/>
        <v>-0.34000000002561137</v>
      </c>
      <c r="AG387" s="473">
        <f t="shared" si="614"/>
        <v>0</v>
      </c>
      <c r="AH387" s="473">
        <f t="shared" si="614"/>
        <v>0</v>
      </c>
      <c r="AI387" s="473">
        <f t="shared" si="614"/>
        <v>0</v>
      </c>
      <c r="AJ387" s="473">
        <f t="shared" si="614"/>
        <v>-0.34000000002561137</v>
      </c>
      <c r="AK387" s="473">
        <f t="shared" ref="AK387:BF387" si="615">+AK33-AK361</f>
        <v>0</v>
      </c>
      <c r="AL387" s="473">
        <f t="shared" si="615"/>
        <v>0</v>
      </c>
      <c r="AM387" s="533">
        <f t="shared" si="615"/>
        <v>0</v>
      </c>
      <c r="AN387" s="533">
        <f t="shared" si="615"/>
        <v>0</v>
      </c>
      <c r="AO387" s="473">
        <f t="shared" si="615"/>
        <v>0</v>
      </c>
      <c r="AP387" s="473">
        <f t="shared" si="615"/>
        <v>-0.34000000002561137</v>
      </c>
      <c r="AQ387" s="473">
        <f t="shared" si="615"/>
        <v>0</v>
      </c>
      <c r="AR387" s="473">
        <f t="shared" si="615"/>
        <v>0</v>
      </c>
      <c r="AS387" s="473">
        <f t="shared" si="615"/>
        <v>0</v>
      </c>
      <c r="AT387" s="473">
        <f t="shared" si="615"/>
        <v>-0.33999999996740371</v>
      </c>
      <c r="AU387" s="473">
        <f t="shared" si="615"/>
        <v>0</v>
      </c>
      <c r="AV387" s="473">
        <f t="shared" si="615"/>
        <v>0</v>
      </c>
      <c r="AW387" s="473">
        <f t="shared" si="615"/>
        <v>0</v>
      </c>
      <c r="AX387" s="473">
        <f t="shared" si="615"/>
        <v>-0.34000000008381903</v>
      </c>
      <c r="AY387" s="473">
        <f t="shared" si="615"/>
        <v>0</v>
      </c>
      <c r="AZ387" s="473">
        <f t="shared" si="615"/>
        <v>0</v>
      </c>
      <c r="BA387" s="533">
        <f t="shared" si="615"/>
        <v>0</v>
      </c>
      <c r="BB387" s="533">
        <f t="shared" si="615"/>
        <v>0</v>
      </c>
      <c r="BC387" s="473">
        <f t="shared" si="615"/>
        <v>0</v>
      </c>
      <c r="BD387" s="473">
        <f t="shared" si="615"/>
        <v>0</v>
      </c>
      <c r="BE387" s="473">
        <f t="shared" si="615"/>
        <v>0</v>
      </c>
      <c r="BF387" s="473">
        <f t="shared" si="615"/>
        <v>-0.34000000008381903</v>
      </c>
      <c r="BG387" s="26"/>
      <c r="BH387" s="26"/>
      <c r="BI387" s="26"/>
      <c r="BJ387" s="26"/>
    </row>
    <row r="388" spans="1:62" ht="15" hidden="1" customHeight="1" x14ac:dyDescent="0.25">
      <c r="A388" s="188"/>
      <c r="B388" s="6244"/>
      <c r="C388" s="1013"/>
      <c r="D388" s="1013"/>
      <c r="E388" s="1013"/>
      <c r="F388" s="1013"/>
      <c r="G388" s="1013"/>
      <c r="H388" s="1013"/>
      <c r="I388" s="1013"/>
      <c r="J388" s="1013"/>
      <c r="K388" s="1013"/>
      <c r="L388" s="1013"/>
      <c r="M388" s="778"/>
      <c r="N388" s="778"/>
      <c r="O388" s="1013"/>
      <c r="P388" s="1013"/>
      <c r="Q388" s="1013"/>
      <c r="R388" s="1013"/>
      <c r="S388" s="1013"/>
      <c r="T388" s="1013"/>
      <c r="U388" s="1013"/>
      <c r="V388" s="1013"/>
      <c r="W388" s="1013"/>
      <c r="X388" s="1013"/>
      <c r="Y388" s="778"/>
      <c r="Z388" s="778"/>
      <c r="AA388" s="1013"/>
      <c r="AB388" s="1013"/>
      <c r="AC388" s="1013"/>
      <c r="AD388" s="1013"/>
      <c r="AE388" s="1013"/>
      <c r="AF388" s="1013"/>
      <c r="AG388" s="1013"/>
      <c r="AH388" s="1013"/>
      <c r="AI388" s="1013"/>
      <c r="AJ388" s="1013"/>
      <c r="AK388" s="1013"/>
      <c r="AL388" s="1013"/>
      <c r="AM388" s="778"/>
      <c r="AN388" s="778"/>
      <c r="AO388" s="1013"/>
      <c r="AP388" s="1013"/>
      <c r="AQ388" s="1013"/>
      <c r="AR388" s="1013"/>
      <c r="AS388" s="1013"/>
      <c r="AT388" s="1013"/>
      <c r="AU388" s="1013"/>
      <c r="AV388" s="1013"/>
      <c r="AW388" s="1013"/>
      <c r="AX388" s="1013"/>
      <c r="AY388" s="1013"/>
      <c r="AZ388" s="1013"/>
      <c r="BA388" s="778"/>
      <c r="BB388" s="778"/>
      <c r="BC388" s="1013"/>
      <c r="BD388" s="1013"/>
      <c r="BE388" s="1013"/>
      <c r="BF388" s="1013"/>
      <c r="BG388" s="26"/>
      <c r="BH388" s="26"/>
      <c r="BI388" s="26"/>
      <c r="BJ388" s="26"/>
    </row>
    <row r="389" spans="1:62" ht="21" hidden="1" customHeight="1" x14ac:dyDescent="0.35">
      <c r="A389" s="188"/>
      <c r="B389" s="2505"/>
      <c r="C389" s="774"/>
      <c r="D389" s="774"/>
      <c r="E389" s="774"/>
      <c r="F389" s="774"/>
      <c r="G389" s="774"/>
      <c r="H389" s="774"/>
      <c r="I389" s="774"/>
      <c r="J389" s="774"/>
      <c r="K389" s="774"/>
      <c r="L389" s="774"/>
      <c r="M389" s="1078"/>
      <c r="N389" s="1078"/>
      <c r="O389" s="774"/>
      <c r="P389" s="774"/>
      <c r="Q389" s="774"/>
      <c r="R389" s="774"/>
      <c r="S389" s="774"/>
      <c r="T389" s="774"/>
      <c r="U389" s="774"/>
      <c r="V389" s="774"/>
      <c r="W389" s="774"/>
      <c r="X389" s="774"/>
      <c r="Y389" s="1078"/>
      <c r="Z389" s="1078"/>
      <c r="AA389" s="774"/>
      <c r="AB389" s="774"/>
      <c r="AC389" s="774"/>
      <c r="AD389" s="774"/>
      <c r="AE389" s="774"/>
      <c r="AF389" s="774"/>
      <c r="AG389" s="774"/>
      <c r="AH389" s="774"/>
      <c r="AI389" s="774"/>
      <c r="AJ389" s="774"/>
      <c r="AK389" s="774"/>
      <c r="AL389" s="774"/>
      <c r="AM389" s="1078"/>
      <c r="AN389" s="1078"/>
      <c r="AO389" s="774"/>
      <c r="AP389" s="774"/>
      <c r="AQ389" s="774"/>
      <c r="AR389" s="774"/>
      <c r="AS389" s="774"/>
      <c r="AT389" s="774"/>
      <c r="AU389" s="774"/>
      <c r="AV389" s="774"/>
      <c r="AW389" s="774"/>
      <c r="AX389" s="774"/>
      <c r="AY389" s="774"/>
      <c r="AZ389" s="774"/>
      <c r="BA389" s="1078"/>
      <c r="BB389" s="1078"/>
      <c r="BC389" s="774"/>
      <c r="BD389" s="774"/>
      <c r="BE389" s="774"/>
      <c r="BF389" s="774"/>
      <c r="BG389" s="26"/>
      <c r="BH389" s="26"/>
      <c r="BI389" s="26"/>
      <c r="BJ389" s="26"/>
    </row>
    <row r="390" spans="1:62" ht="21" hidden="1" customHeight="1" x14ac:dyDescent="0.35">
      <c r="A390" s="188"/>
      <c r="B390" s="2507" t="s">
        <v>1199</v>
      </c>
      <c r="C390" s="774"/>
      <c r="D390" s="774"/>
      <c r="E390" s="1708">
        <f>+E55-'Maj Despatch Summ'!E12</f>
        <v>0</v>
      </c>
      <c r="F390" s="1708">
        <f>+F55-'Maj Despatch Summ'!F12</f>
        <v>0</v>
      </c>
      <c r="G390" s="1708">
        <f>+G55-'Maj Despatch Summ'!G12</f>
        <v>0</v>
      </c>
      <c r="H390" s="1708">
        <f>+H55-'Maj Despatch Summ'!H12</f>
        <v>0.4499999999825377</v>
      </c>
      <c r="I390" s="1708">
        <f>+I55-'Maj Despatch Summ'!I12</f>
        <v>0</v>
      </c>
      <c r="J390" s="1708">
        <f>+J55-'Maj Despatch Summ'!J12</f>
        <v>0.45000000001164153</v>
      </c>
      <c r="K390" s="1708">
        <f>+K55-'Maj Despatch Summ'!K12</f>
        <v>0</v>
      </c>
      <c r="L390" s="1708">
        <f>+L55-'Maj Despatch Summ'!L12</f>
        <v>0</v>
      </c>
      <c r="M390" s="2506">
        <f>+M55-'Maj Despatch Summ'!M12</f>
        <v>0</v>
      </c>
      <c r="N390" s="2506">
        <f>+N55-'Maj Despatch Summ'!N12</f>
        <v>0.45000000006984919</v>
      </c>
      <c r="O390" s="1708">
        <f>+O55-'Maj Despatch Summ'!O12</f>
        <v>0</v>
      </c>
      <c r="P390" s="1708">
        <f>+P55-'Maj Despatch Summ'!P12</f>
        <v>0</v>
      </c>
      <c r="Q390" s="1708">
        <f>+Q55-'Maj Despatch Summ'!Q12</f>
        <v>0</v>
      </c>
      <c r="R390" s="1708">
        <f>+R55-'Maj Despatch Summ'!R12</f>
        <v>0.45000000006984919</v>
      </c>
      <c r="S390" s="1708">
        <f>+S55-'Maj Despatch Summ'!S12</f>
        <v>0</v>
      </c>
      <c r="T390" s="1708">
        <f>+T55-'Maj Despatch Summ'!T12</f>
        <v>0</v>
      </c>
      <c r="U390" s="1708">
        <f>+U55-'Maj Despatch Summ'!U12</f>
        <v>0</v>
      </c>
      <c r="V390" s="1708">
        <f>+V55-'Maj Despatch Summ'!V12</f>
        <v>0.45000000006984919</v>
      </c>
      <c r="W390" s="1708">
        <f>+W55-'Maj Despatch Summ'!W12</f>
        <v>-9.8033459042198956E-2</v>
      </c>
      <c r="X390" s="1708">
        <f>+X55-'Maj Despatch Summ'!X12</f>
        <v>0</v>
      </c>
      <c r="Y390" s="2506">
        <f>+Y55-'Maj Despatch Summ'!Y12</f>
        <v>-9.8033459042198956E-2</v>
      </c>
      <c r="Z390" s="2506">
        <f>+Z55-'Maj Despatch Summ'!Z12</f>
        <v>0</v>
      </c>
      <c r="AA390" s="1708">
        <f>+AA55-'Maj Despatch Summ'!AA12</f>
        <v>-9.8033458925783634E-2</v>
      </c>
      <c r="AB390" s="1708">
        <f>+AB55-'Maj Despatch Summ'!AB12</f>
        <v>0.45000000018626451</v>
      </c>
      <c r="AC390" s="1708">
        <f>+AC55-'Maj Despatch Summ'!AC12</f>
        <v>0</v>
      </c>
      <c r="AD390" s="1708">
        <f>+AD55-'Maj Despatch Summ'!AD12</f>
        <v>0</v>
      </c>
      <c r="AE390" s="1708">
        <f>+AE55-'Maj Despatch Summ'!AE12</f>
        <v>-9.8033458925783634E-2</v>
      </c>
      <c r="AF390" s="1708">
        <f>+AF55-'Maj Despatch Summ'!AF12</f>
        <v>0.45000000018626451</v>
      </c>
      <c r="AG390" s="1708">
        <f>+AG55-'Maj Despatch Summ'!AG12</f>
        <v>0</v>
      </c>
      <c r="AH390" s="1708">
        <f>+AH55-'Maj Despatch Summ'!AH12</f>
        <v>0</v>
      </c>
      <c r="AI390" s="1708">
        <f>+AI55-'Maj Despatch Summ'!AI12</f>
        <v>-9.8033458925783634E-2</v>
      </c>
      <c r="AJ390" s="1708">
        <f>+AJ55-'Maj Despatch Summ'!AJ12</f>
        <v>0.45000000018626451</v>
      </c>
      <c r="AK390" s="1708">
        <f>+AK55-'Maj Despatch Summ'!AK12</f>
        <v>0</v>
      </c>
      <c r="AL390" s="1708">
        <f>+AL55-'Maj Despatch Summ'!AL12</f>
        <v>0</v>
      </c>
      <c r="AM390" s="2506">
        <f>+AM55-'Maj Despatch Summ'!AM12</f>
        <v>0</v>
      </c>
      <c r="AN390" s="2506">
        <f>+AN55-'Maj Despatch Summ'!AN12</f>
        <v>0</v>
      </c>
      <c r="AO390" s="1708">
        <f>+AO55-'Maj Despatch Summ'!AO12</f>
        <v>-9.8033459158614278E-2</v>
      </c>
      <c r="AP390" s="1708">
        <f>+AP55-'Maj Despatch Summ'!AP12</f>
        <v>0.45000000018626451</v>
      </c>
      <c r="AQ390" s="1708">
        <f>+AQ55-'Maj Despatch Summ'!AQ12</f>
        <v>0</v>
      </c>
      <c r="AR390" s="1708">
        <f>+AR55-'Maj Despatch Summ'!AR12</f>
        <v>0</v>
      </c>
      <c r="AS390" s="1708">
        <f>+AS55-'Maj Despatch Summ'!AS12</f>
        <v>-9.8033459158614278E-2</v>
      </c>
      <c r="AT390" s="1708">
        <f>+AT55-'Maj Despatch Summ'!AT12</f>
        <v>0.45000000041909516</v>
      </c>
      <c r="AU390" s="1708">
        <f>+AU55-'Maj Despatch Summ'!AU12</f>
        <v>0</v>
      </c>
      <c r="AV390" s="1708">
        <f>+AV55-'Maj Despatch Summ'!AV12</f>
        <v>0</v>
      </c>
      <c r="AW390" s="1708">
        <f>+AW55-'Maj Despatch Summ'!AW12</f>
        <v>-9.8033458925783634E-2</v>
      </c>
      <c r="AX390" s="1708">
        <f>+AX55-'Maj Despatch Summ'!AX12</f>
        <v>0.45000000018626451</v>
      </c>
      <c r="AY390" s="1708">
        <f>+AY55-'Maj Despatch Summ'!AY12</f>
        <v>0</v>
      </c>
      <c r="AZ390" s="1708">
        <f>+AZ55-'Maj Despatch Summ'!AZ12</f>
        <v>-0.3000000000174623</v>
      </c>
      <c r="BA390" s="2506">
        <f>+BA55-'Maj Despatch Summ'!BA12</f>
        <v>0</v>
      </c>
      <c r="BB390" s="2506">
        <f>+BB55-'Maj Despatch Summ'!BB12</f>
        <v>-0.30000000004656613</v>
      </c>
      <c r="BC390" s="1708">
        <f>+BC55-'Maj Despatch Summ'!BC12</f>
        <v>0</v>
      </c>
      <c r="BD390" s="1708">
        <f>+BD55-'Maj Despatch Summ'!BD12</f>
        <v>-0.29999999981373549</v>
      </c>
      <c r="BE390" s="1708">
        <f>+BE55-'Maj Despatch Summ'!BE12</f>
        <v>-9.8033458925783634E-2</v>
      </c>
      <c r="BF390" s="1708">
        <f>+BF55-'Maj Despatch Summ'!BF12</f>
        <v>0.15000000037252903</v>
      </c>
      <c r="BG390" s="26"/>
      <c r="BH390" s="26"/>
      <c r="BI390" s="26"/>
      <c r="BJ390" s="26"/>
    </row>
    <row r="391" spans="1:62" ht="21" hidden="1" customHeight="1" x14ac:dyDescent="0.35">
      <c r="A391" s="188"/>
      <c r="B391" s="2505"/>
      <c r="C391" s="774"/>
      <c r="D391" s="774"/>
      <c r="E391" s="1708">
        <f>+E62-'Maj Despatch Summ'!E12</f>
        <v>0</v>
      </c>
      <c r="F391" s="1708">
        <f>+F62-'Maj Despatch Summ'!F12</f>
        <v>0</v>
      </c>
      <c r="G391" s="1708">
        <f>+G62-'Maj Despatch Summ'!G12</f>
        <v>0</v>
      </c>
      <c r="H391" s="1708">
        <f>+H62-'Maj Despatch Summ'!H12</f>
        <v>0.4499999999825377</v>
      </c>
      <c r="I391" s="1708">
        <f>+I62-'Maj Despatch Summ'!I12</f>
        <v>0</v>
      </c>
      <c r="J391" s="1708">
        <f>+J62-'Maj Despatch Summ'!J12</f>
        <v>0.44999999995343387</v>
      </c>
      <c r="K391" s="1708">
        <f>+K62-'Maj Despatch Summ'!K12</f>
        <v>0</v>
      </c>
      <c r="L391" s="1708">
        <f>+L62-'Maj Despatch Summ'!L12</f>
        <v>0</v>
      </c>
      <c r="M391" s="2506">
        <f>+M62-'Maj Despatch Summ'!M12</f>
        <v>0</v>
      </c>
      <c r="N391" s="2506">
        <f>+N62-'Maj Despatch Summ'!N12</f>
        <v>0.44999999995343387</v>
      </c>
      <c r="O391" s="1708">
        <f>+O62-'Maj Despatch Summ'!O12</f>
        <v>0</v>
      </c>
      <c r="P391" s="1708">
        <f>+P62-'Maj Despatch Summ'!P12</f>
        <v>0</v>
      </c>
      <c r="Q391" s="1708">
        <f>+Q62-'Maj Despatch Summ'!Q12</f>
        <v>0</v>
      </c>
      <c r="R391" s="1708">
        <f>+R62-'Maj Despatch Summ'!R12</f>
        <v>0.44999999983701855</v>
      </c>
      <c r="S391" s="1708">
        <f>+S62-'Maj Despatch Summ'!S12</f>
        <v>0</v>
      </c>
      <c r="T391" s="1708">
        <f>+T62-'Maj Despatch Summ'!T12</f>
        <v>0</v>
      </c>
      <c r="U391" s="1708">
        <f>+U62-'Maj Despatch Summ'!U12</f>
        <v>0</v>
      </c>
      <c r="V391" s="1708">
        <f>+V62-'Maj Despatch Summ'!V12</f>
        <v>0.44999999983701855</v>
      </c>
      <c r="W391" s="1708">
        <f>+W62-'Maj Despatch Summ'!W12</f>
        <v>-9.8033459042198956E-2</v>
      </c>
      <c r="X391" s="1708">
        <f>+X62-'Maj Despatch Summ'!X12</f>
        <v>0</v>
      </c>
      <c r="Y391" s="2506">
        <f>+Y62-'Maj Despatch Summ'!Y12</f>
        <v>-9.8033459042198956E-2</v>
      </c>
      <c r="Z391" s="2506">
        <f>+Z62-'Maj Despatch Summ'!Z12</f>
        <v>0</v>
      </c>
      <c r="AA391" s="1708">
        <f>+AA62-'Maj Despatch Summ'!AA12</f>
        <v>-9.8033458925783634E-2</v>
      </c>
      <c r="AB391" s="1708">
        <f>+AB62-'Maj Despatch Summ'!AB12</f>
        <v>0.44999999995343387</v>
      </c>
      <c r="AC391" s="1708">
        <f>+AC62-'Maj Despatch Summ'!AC12</f>
        <v>0</v>
      </c>
      <c r="AD391" s="1708">
        <f>+AD62-'Maj Despatch Summ'!AD12</f>
        <v>0</v>
      </c>
      <c r="AE391" s="1708">
        <f>+AE62-'Maj Despatch Summ'!AE12</f>
        <v>-9.8033458925783634E-2</v>
      </c>
      <c r="AF391" s="1708">
        <f>+AF62-'Maj Despatch Summ'!AF12</f>
        <v>0.44999999995343387</v>
      </c>
      <c r="AG391" s="1708">
        <f>+AG62-'Maj Despatch Summ'!AG12</f>
        <v>0</v>
      </c>
      <c r="AH391" s="1708">
        <f>+AH62-'Maj Despatch Summ'!AH12</f>
        <v>0</v>
      </c>
      <c r="AI391" s="1708">
        <f>+AI62-'Maj Despatch Summ'!AI12</f>
        <v>-9.8033458925783634E-2</v>
      </c>
      <c r="AJ391" s="1708">
        <f>+AJ62-'Maj Despatch Summ'!AJ12</f>
        <v>0.44999999995343387</v>
      </c>
      <c r="AK391" s="1708">
        <f>+AK62-'Maj Despatch Summ'!AK12</f>
        <v>0</v>
      </c>
      <c r="AL391" s="1708">
        <f>+AL62-'Maj Despatch Summ'!AL12</f>
        <v>0</v>
      </c>
      <c r="AM391" s="2506">
        <f>+AM62-'Maj Despatch Summ'!AM12</f>
        <v>0</v>
      </c>
      <c r="AN391" s="2506">
        <f>+AN62-'Maj Despatch Summ'!AN12</f>
        <v>0</v>
      </c>
      <c r="AO391" s="1708">
        <f>+AO62-'Maj Despatch Summ'!AO12</f>
        <v>-9.8033459158614278E-2</v>
      </c>
      <c r="AP391" s="1708">
        <f>+AP62-'Maj Despatch Summ'!AP12</f>
        <v>0.44999999995343387</v>
      </c>
      <c r="AQ391" s="1708">
        <f>+AQ62-'Maj Despatch Summ'!AQ12</f>
        <v>0</v>
      </c>
      <c r="AR391" s="1708">
        <f>+AR62-'Maj Despatch Summ'!AR12</f>
        <v>0</v>
      </c>
      <c r="AS391" s="1708">
        <f>+AS62-'Maj Despatch Summ'!AS12</f>
        <v>-9.8033459158614278E-2</v>
      </c>
      <c r="AT391" s="1708">
        <f>+AT62-'Maj Despatch Summ'!AT12</f>
        <v>0.45000000018626451</v>
      </c>
      <c r="AU391" s="1708">
        <f>+AU62-'Maj Despatch Summ'!AU12</f>
        <v>0</v>
      </c>
      <c r="AV391" s="1708">
        <f>+AV62-'Maj Despatch Summ'!AV12</f>
        <v>0</v>
      </c>
      <c r="AW391" s="1708">
        <f>+AW62-'Maj Despatch Summ'!AW12</f>
        <v>-9.8033458925783634E-2</v>
      </c>
      <c r="AX391" s="1708">
        <f>+AX62-'Maj Despatch Summ'!AX12</f>
        <v>0.44999999972060323</v>
      </c>
      <c r="AY391" s="1708">
        <f>+AY62-'Maj Despatch Summ'!AY12</f>
        <v>0</v>
      </c>
      <c r="AZ391" s="1708">
        <f>+AZ62-'Maj Despatch Summ'!AZ12</f>
        <v>-0.3000000000174623</v>
      </c>
      <c r="BA391" s="2506">
        <f>+BA62-'Maj Despatch Summ'!BA12</f>
        <v>0</v>
      </c>
      <c r="BB391" s="2506">
        <f>+BB62-'Maj Despatch Summ'!BB12</f>
        <v>-0.30000000004656613</v>
      </c>
      <c r="BC391" s="1708">
        <f>+BC62-'Maj Despatch Summ'!BC12</f>
        <v>0</v>
      </c>
      <c r="BD391" s="1708">
        <f>+BD62-'Maj Despatch Summ'!BD12</f>
        <v>-0.29999999981373549</v>
      </c>
      <c r="BE391" s="1708">
        <f>+BE62-'Maj Despatch Summ'!BE12</f>
        <v>-9.8033458925783634E-2</v>
      </c>
      <c r="BF391" s="1708">
        <f>+BF62-'Maj Despatch Summ'!BF12</f>
        <v>0.14999999990686774</v>
      </c>
      <c r="BG391" s="26"/>
      <c r="BH391" s="26"/>
      <c r="BI391" s="26"/>
      <c r="BJ391" s="26"/>
    </row>
    <row r="392" spans="1:62" ht="21" hidden="1" customHeight="1" x14ac:dyDescent="0.35">
      <c r="A392" s="188"/>
      <c r="B392" s="2505"/>
      <c r="C392" s="774"/>
      <c r="D392" s="774"/>
      <c r="E392" s="1708">
        <f t="shared" ref="E392:AJ392" si="616">E360-E47</f>
        <v>0</v>
      </c>
      <c r="F392" s="1708">
        <f t="shared" si="616"/>
        <v>0</v>
      </c>
      <c r="G392" s="1708">
        <f t="shared" si="616"/>
        <v>0</v>
      </c>
      <c r="H392" s="1708">
        <f t="shared" si="616"/>
        <v>-5.9999999999490683E-2</v>
      </c>
      <c r="I392" s="1708">
        <f t="shared" si="616"/>
        <v>0</v>
      </c>
      <c r="J392" s="1708">
        <f t="shared" si="616"/>
        <v>-6.0000000001309672E-2</v>
      </c>
      <c r="K392" s="1708">
        <f t="shared" si="616"/>
        <v>0</v>
      </c>
      <c r="L392" s="1708">
        <f t="shared" si="616"/>
        <v>0.4000000000005457</v>
      </c>
      <c r="M392" s="2506">
        <f t="shared" si="616"/>
        <v>0</v>
      </c>
      <c r="N392" s="2506">
        <f t="shared" si="616"/>
        <v>0.34000000000014552</v>
      </c>
      <c r="O392" s="1708">
        <f t="shared" si="616"/>
        <v>0</v>
      </c>
      <c r="P392" s="1708">
        <f t="shared" si="616"/>
        <v>0</v>
      </c>
      <c r="Q392" s="1708">
        <f t="shared" si="616"/>
        <v>0</v>
      </c>
      <c r="R392" s="1708">
        <f t="shared" si="616"/>
        <v>0.33999999999650754</v>
      </c>
      <c r="S392" s="1708">
        <f t="shared" si="616"/>
        <v>0</v>
      </c>
      <c r="T392" s="1708">
        <f t="shared" si="616"/>
        <v>0</v>
      </c>
      <c r="U392" s="1708">
        <f t="shared" si="616"/>
        <v>0</v>
      </c>
      <c r="V392" s="1708">
        <f t="shared" si="616"/>
        <v>0.33999999999650754</v>
      </c>
      <c r="W392" s="1708">
        <f t="shared" si="616"/>
        <v>0</v>
      </c>
      <c r="X392" s="1708">
        <f t="shared" si="616"/>
        <v>0</v>
      </c>
      <c r="Y392" s="2506">
        <f t="shared" si="616"/>
        <v>0</v>
      </c>
      <c r="Z392" s="2506">
        <f t="shared" si="616"/>
        <v>0</v>
      </c>
      <c r="AA392" s="1708">
        <f t="shared" si="616"/>
        <v>0</v>
      </c>
      <c r="AB392" s="1708">
        <f t="shared" si="616"/>
        <v>0.34000000001105946</v>
      </c>
      <c r="AC392" s="1708">
        <f t="shared" si="616"/>
        <v>0</v>
      </c>
      <c r="AD392" s="1708">
        <f t="shared" si="616"/>
        <v>0</v>
      </c>
      <c r="AE392" s="1708">
        <f t="shared" si="616"/>
        <v>0</v>
      </c>
      <c r="AF392" s="1708">
        <f t="shared" si="616"/>
        <v>0.34000000001105946</v>
      </c>
      <c r="AG392" s="1708">
        <f t="shared" si="616"/>
        <v>0</v>
      </c>
      <c r="AH392" s="1708">
        <f t="shared" si="616"/>
        <v>0</v>
      </c>
      <c r="AI392" s="1708">
        <f t="shared" si="616"/>
        <v>0</v>
      </c>
      <c r="AJ392" s="1708">
        <f t="shared" si="616"/>
        <v>0.34000000001105946</v>
      </c>
      <c r="AK392" s="1708">
        <f t="shared" ref="AK392:BF392" si="617">AK360-AK47</f>
        <v>0</v>
      </c>
      <c r="AL392" s="1708">
        <f t="shared" si="617"/>
        <v>0</v>
      </c>
      <c r="AM392" s="2506">
        <f t="shared" si="617"/>
        <v>0</v>
      </c>
      <c r="AN392" s="2506">
        <f t="shared" si="617"/>
        <v>0</v>
      </c>
      <c r="AO392" s="1708">
        <f t="shared" si="617"/>
        <v>0</v>
      </c>
      <c r="AP392" s="1708">
        <f t="shared" si="617"/>
        <v>0.34000000001105946</v>
      </c>
      <c r="AQ392" s="1708">
        <f t="shared" si="617"/>
        <v>0</v>
      </c>
      <c r="AR392" s="1708">
        <f t="shared" si="617"/>
        <v>0</v>
      </c>
      <c r="AS392" s="1708">
        <f t="shared" si="617"/>
        <v>0</v>
      </c>
      <c r="AT392" s="1708">
        <f t="shared" si="617"/>
        <v>0.34000000001105946</v>
      </c>
      <c r="AU392" s="1708">
        <f t="shared" si="617"/>
        <v>0</v>
      </c>
      <c r="AV392" s="1708">
        <f t="shared" si="617"/>
        <v>0</v>
      </c>
      <c r="AW392" s="1708">
        <f t="shared" si="617"/>
        <v>0</v>
      </c>
      <c r="AX392" s="1708">
        <f t="shared" si="617"/>
        <v>0.34000000001105946</v>
      </c>
      <c r="AY392" s="1708">
        <f t="shared" si="617"/>
        <v>0</v>
      </c>
      <c r="AZ392" s="1708">
        <f t="shared" si="617"/>
        <v>0</v>
      </c>
      <c r="BA392" s="2506">
        <f t="shared" si="617"/>
        <v>0</v>
      </c>
      <c r="BB392" s="2506">
        <f t="shared" si="617"/>
        <v>0</v>
      </c>
      <c r="BC392" s="1708">
        <f t="shared" si="617"/>
        <v>0</v>
      </c>
      <c r="BD392" s="1708">
        <f t="shared" si="617"/>
        <v>0</v>
      </c>
      <c r="BE392" s="1708"/>
      <c r="BF392" s="1708">
        <f t="shared" si="617"/>
        <v>0.34000000001105946</v>
      </c>
      <c r="BG392" s="26"/>
      <c r="BH392" s="26"/>
      <c r="BI392" s="26"/>
      <c r="BJ392" s="26"/>
    </row>
    <row r="393" spans="1:62" ht="21" hidden="1" customHeight="1" x14ac:dyDescent="0.35">
      <c r="A393" s="188"/>
      <c r="B393" s="2505"/>
      <c r="C393" s="774"/>
      <c r="D393" s="774"/>
      <c r="E393" s="774"/>
      <c r="F393" s="1708">
        <f t="shared" ref="F393:AK393" si="618">F343-F40</f>
        <v>0</v>
      </c>
      <c r="G393" s="1708">
        <f t="shared" si="618"/>
        <v>0</v>
      </c>
      <c r="H393" s="1708">
        <f t="shared" si="618"/>
        <v>0</v>
      </c>
      <c r="I393" s="1708">
        <f t="shared" si="618"/>
        <v>0</v>
      </c>
      <c r="J393" s="1708">
        <f t="shared" si="618"/>
        <v>0</v>
      </c>
      <c r="K393" s="1708">
        <f t="shared" si="618"/>
        <v>0</v>
      </c>
      <c r="L393" s="1708">
        <f t="shared" si="618"/>
        <v>0</v>
      </c>
      <c r="M393" s="2506">
        <f t="shared" si="618"/>
        <v>0</v>
      </c>
      <c r="N393" s="2506">
        <f t="shared" si="618"/>
        <v>0</v>
      </c>
      <c r="O393" s="1708">
        <f t="shared" si="618"/>
        <v>0</v>
      </c>
      <c r="P393" s="1708">
        <f t="shared" si="618"/>
        <v>0</v>
      </c>
      <c r="Q393" s="1708">
        <f t="shared" si="618"/>
        <v>0</v>
      </c>
      <c r="R393" s="1708">
        <f t="shared" si="618"/>
        <v>0</v>
      </c>
      <c r="S393" s="1708">
        <f t="shared" si="618"/>
        <v>0</v>
      </c>
      <c r="T393" s="1708">
        <f t="shared" si="618"/>
        <v>0</v>
      </c>
      <c r="U393" s="1708">
        <f t="shared" si="618"/>
        <v>0</v>
      </c>
      <c r="V393" s="1708">
        <f t="shared" si="618"/>
        <v>0</v>
      </c>
      <c r="W393" s="1708">
        <f t="shared" si="618"/>
        <v>0</v>
      </c>
      <c r="X393" s="1708">
        <f t="shared" si="618"/>
        <v>0</v>
      </c>
      <c r="Y393" s="2506">
        <f t="shared" si="618"/>
        <v>0</v>
      </c>
      <c r="Z393" s="2506">
        <f t="shared" si="618"/>
        <v>0</v>
      </c>
      <c r="AA393" s="1708">
        <f t="shared" si="618"/>
        <v>0</v>
      </c>
      <c r="AB393" s="1708">
        <f t="shared" si="618"/>
        <v>0</v>
      </c>
      <c r="AC393" s="1708">
        <f t="shared" si="618"/>
        <v>0</v>
      </c>
      <c r="AD393" s="1708">
        <f t="shared" si="618"/>
        <v>0</v>
      </c>
      <c r="AE393" s="1708">
        <f t="shared" si="618"/>
        <v>0</v>
      </c>
      <c r="AF393" s="1708">
        <f t="shared" si="618"/>
        <v>0</v>
      </c>
      <c r="AG393" s="1708">
        <f t="shared" si="618"/>
        <v>0</v>
      </c>
      <c r="AH393" s="1708">
        <f t="shared" si="618"/>
        <v>0</v>
      </c>
      <c r="AI393" s="1708">
        <f t="shared" si="618"/>
        <v>0</v>
      </c>
      <c r="AJ393" s="1708">
        <f t="shared" si="618"/>
        <v>0</v>
      </c>
      <c r="AK393" s="1708">
        <f t="shared" si="618"/>
        <v>0</v>
      </c>
      <c r="AL393" s="1708">
        <f t="shared" ref="AL393:BF393" si="619">AL343-AL40</f>
        <v>0</v>
      </c>
      <c r="AM393" s="2506">
        <f t="shared" si="619"/>
        <v>0</v>
      </c>
      <c r="AN393" s="2506">
        <f t="shared" si="619"/>
        <v>0</v>
      </c>
      <c r="AO393" s="1708">
        <f t="shared" si="619"/>
        <v>0</v>
      </c>
      <c r="AP393" s="1708">
        <f t="shared" si="619"/>
        <v>0</v>
      </c>
      <c r="AQ393" s="1708">
        <f t="shared" si="619"/>
        <v>0</v>
      </c>
      <c r="AR393" s="1708">
        <f t="shared" si="619"/>
        <v>0</v>
      </c>
      <c r="AS393" s="1708">
        <f t="shared" si="619"/>
        <v>0</v>
      </c>
      <c r="AT393" s="1708">
        <f t="shared" si="619"/>
        <v>0</v>
      </c>
      <c r="AU393" s="1708">
        <f t="shared" si="619"/>
        <v>0</v>
      </c>
      <c r="AV393" s="1708">
        <f t="shared" si="619"/>
        <v>0</v>
      </c>
      <c r="AW393" s="1708">
        <f t="shared" si="619"/>
        <v>0</v>
      </c>
      <c r="AX393" s="1708">
        <f t="shared" si="619"/>
        <v>0</v>
      </c>
      <c r="AY393" s="1708">
        <f t="shared" si="619"/>
        <v>0</v>
      </c>
      <c r="AZ393" s="1708">
        <f t="shared" si="619"/>
        <v>0</v>
      </c>
      <c r="BA393" s="2506">
        <f t="shared" si="619"/>
        <v>0</v>
      </c>
      <c r="BB393" s="2506">
        <f t="shared" si="619"/>
        <v>0</v>
      </c>
      <c r="BC393" s="1708">
        <f t="shared" si="619"/>
        <v>0</v>
      </c>
      <c r="BD393" s="1708">
        <f t="shared" si="619"/>
        <v>0</v>
      </c>
      <c r="BE393" s="1708"/>
      <c r="BF393" s="1708">
        <f t="shared" si="619"/>
        <v>0</v>
      </c>
      <c r="BG393" s="26"/>
      <c r="BH393" s="26"/>
      <c r="BI393" s="26"/>
      <c r="BJ393" s="26"/>
    </row>
    <row r="394" spans="1:62" ht="21" hidden="1" customHeight="1" x14ac:dyDescent="0.35">
      <c r="A394" s="188"/>
      <c r="B394" s="2505"/>
      <c r="C394" s="774"/>
      <c r="D394" s="774"/>
      <c r="E394" s="774"/>
      <c r="F394" s="774"/>
      <c r="G394" s="774"/>
      <c r="H394" s="774"/>
      <c r="I394" s="774"/>
      <c r="J394" s="774"/>
      <c r="K394" s="774"/>
      <c r="L394" s="774"/>
      <c r="M394" s="1078"/>
      <c r="N394" s="1078"/>
      <c r="O394" s="774"/>
      <c r="P394" s="774"/>
      <c r="Q394" s="774"/>
      <c r="R394" s="774"/>
      <c r="S394" s="774"/>
      <c r="T394" s="774"/>
      <c r="U394" s="774"/>
      <c r="V394" s="774"/>
      <c r="W394" s="774"/>
      <c r="X394" s="774"/>
      <c r="Y394" s="1078"/>
      <c r="Z394" s="1078"/>
      <c r="AA394" s="774"/>
      <c r="AB394" s="774"/>
      <c r="AC394" s="774"/>
      <c r="AD394" s="774"/>
      <c r="AE394" s="774"/>
      <c r="AF394" s="774"/>
      <c r="AG394" s="4399"/>
      <c r="AH394" s="4399"/>
      <c r="AI394" s="4399"/>
      <c r="AJ394" s="4399"/>
      <c r="AK394" s="774"/>
      <c r="AL394" s="774"/>
      <c r="AM394" s="1078"/>
      <c r="AN394" s="1078"/>
      <c r="AO394" s="4280"/>
      <c r="AP394" s="4280"/>
      <c r="AQ394" s="4459"/>
      <c r="AR394" s="4459"/>
      <c r="AS394" s="4459"/>
      <c r="AT394" s="4459"/>
      <c r="AU394" s="4638"/>
      <c r="AV394" s="4638"/>
      <c r="AW394" s="4638"/>
      <c r="AX394" s="4638"/>
      <c r="AY394" s="5139"/>
      <c r="AZ394" s="5139"/>
      <c r="BA394" s="1078"/>
      <c r="BB394" s="1078"/>
      <c r="BC394" s="774"/>
      <c r="BD394" s="774"/>
      <c r="BE394" s="5139"/>
      <c r="BF394" s="5139"/>
      <c r="BG394" s="26"/>
      <c r="BH394" s="26"/>
      <c r="BI394" s="26"/>
      <c r="BJ394" s="26"/>
    </row>
    <row r="395" spans="1:62" ht="21" hidden="1" customHeight="1" x14ac:dyDescent="0.35">
      <c r="A395" s="188"/>
      <c r="B395" s="2505"/>
      <c r="C395" s="774"/>
      <c r="D395" s="774"/>
      <c r="E395" s="774"/>
      <c r="F395" s="774"/>
      <c r="G395" s="774"/>
      <c r="H395" s="774"/>
      <c r="I395" s="774"/>
      <c r="J395" s="774"/>
      <c r="K395" s="774"/>
      <c r="L395" s="774"/>
      <c r="M395" s="1078"/>
      <c r="N395" s="1078"/>
      <c r="O395" s="774"/>
      <c r="P395" s="774"/>
      <c r="Q395" s="774"/>
      <c r="R395" s="774"/>
      <c r="S395" s="774"/>
      <c r="T395" s="774"/>
      <c r="U395" s="774"/>
      <c r="V395" s="774"/>
      <c r="W395" s="774"/>
      <c r="X395" s="774"/>
      <c r="Y395" s="1078"/>
      <c r="Z395" s="1078"/>
      <c r="AA395" s="774"/>
      <c r="AB395" s="774"/>
      <c r="AC395" s="774"/>
      <c r="AD395" s="774"/>
      <c r="AE395" s="774"/>
      <c r="AF395" s="774"/>
      <c r="AG395" s="4399"/>
      <c r="AH395" s="4399"/>
      <c r="AI395" s="4399"/>
      <c r="AJ395" s="4399"/>
      <c r="AK395" s="774"/>
      <c r="AL395" s="774"/>
      <c r="AM395" s="1078"/>
      <c r="AN395" s="1078"/>
      <c r="AO395" s="4280"/>
      <c r="AP395" s="4280"/>
      <c r="AQ395" s="4459"/>
      <c r="AR395" s="4459"/>
      <c r="AS395" s="4459"/>
      <c r="AT395" s="4459"/>
      <c r="AU395" s="4638"/>
      <c r="AV395" s="4638"/>
      <c r="AW395" s="4638"/>
      <c r="AX395" s="4638"/>
      <c r="AY395" s="5139"/>
      <c r="AZ395" s="5139"/>
      <c r="BA395" s="1078"/>
      <c r="BB395" s="1078"/>
      <c r="BC395" s="774"/>
      <c r="BD395" s="774"/>
      <c r="BE395" s="5139"/>
      <c r="BF395" s="5139"/>
      <c r="BG395" s="26"/>
      <c r="BH395" s="26"/>
      <c r="BI395" s="26"/>
      <c r="BJ395" s="26"/>
    </row>
    <row r="396" spans="1:62" ht="21" hidden="1" customHeight="1" x14ac:dyDescent="0.35">
      <c r="A396" s="188"/>
      <c r="B396" s="2505"/>
      <c r="C396" s="774"/>
      <c r="D396" s="774"/>
      <c r="E396" s="774"/>
      <c r="F396" s="774"/>
      <c r="G396" s="774"/>
      <c r="H396" s="774"/>
      <c r="I396" s="774"/>
      <c r="J396" s="774"/>
      <c r="K396" s="774"/>
      <c r="L396" s="774"/>
      <c r="M396" s="1078"/>
      <c r="N396" s="1078"/>
      <c r="O396" s="774"/>
      <c r="P396" s="774"/>
      <c r="Q396" s="774"/>
      <c r="R396" s="774"/>
      <c r="S396" s="774"/>
      <c r="T396" s="774"/>
      <c r="U396" s="774"/>
      <c r="V396" s="774"/>
      <c r="W396" s="774"/>
      <c r="X396" s="774"/>
      <c r="Y396" s="1078"/>
      <c r="Z396" s="1078"/>
      <c r="AA396" s="774"/>
      <c r="AB396" s="774"/>
      <c r="AC396" s="774"/>
      <c r="AD396" s="774"/>
      <c r="AE396" s="774"/>
      <c r="AF396" s="774"/>
      <c r="AG396" s="4399"/>
      <c r="AH396" s="4399"/>
      <c r="AI396" s="4399"/>
      <c r="AJ396" s="4399"/>
      <c r="AK396" s="774"/>
      <c r="AL396" s="774"/>
      <c r="AM396" s="1078"/>
      <c r="AN396" s="1078"/>
      <c r="AO396" s="4280"/>
      <c r="AP396" s="4280"/>
      <c r="AQ396" s="4459"/>
      <c r="AR396" s="4459"/>
      <c r="AS396" s="4459"/>
      <c r="AT396" s="4459"/>
      <c r="AU396" s="4638"/>
      <c r="AV396" s="4638"/>
      <c r="AW396" s="4638"/>
      <c r="AX396" s="4638"/>
      <c r="AY396" s="5139"/>
      <c r="AZ396" s="5139"/>
      <c r="BA396" s="1078"/>
      <c r="BB396" s="1078"/>
      <c r="BC396" s="774"/>
      <c r="BD396" s="774"/>
      <c r="BE396" s="5139"/>
      <c r="BF396" s="5139"/>
      <c r="BG396" s="26"/>
      <c r="BH396" s="26"/>
      <c r="BI396" s="26"/>
      <c r="BJ396" s="26"/>
    </row>
    <row r="397" spans="1:62" ht="21" hidden="1" customHeight="1" x14ac:dyDescent="0.35">
      <c r="A397" s="188"/>
      <c r="B397" s="2505"/>
      <c r="C397" s="774"/>
      <c r="D397" s="774"/>
      <c r="E397" s="774"/>
      <c r="F397" s="774"/>
      <c r="G397" s="774"/>
      <c r="H397" s="774"/>
      <c r="I397" s="774"/>
      <c r="J397" s="774"/>
      <c r="K397" s="774"/>
      <c r="L397" s="774"/>
      <c r="M397" s="1078"/>
      <c r="N397" s="1078"/>
      <c r="O397" s="774"/>
      <c r="P397" s="774"/>
      <c r="Q397" s="774"/>
      <c r="R397" s="774"/>
      <c r="S397" s="774"/>
      <c r="T397" s="774"/>
      <c r="U397" s="774"/>
      <c r="V397" s="774"/>
      <c r="W397" s="774"/>
      <c r="X397" s="774"/>
      <c r="Y397" s="1078"/>
      <c r="Z397" s="1078"/>
      <c r="AA397" s="774"/>
      <c r="AB397" s="774"/>
      <c r="AC397" s="774"/>
      <c r="AD397" s="774"/>
      <c r="AE397" s="774"/>
      <c r="AF397" s="774"/>
      <c r="AG397" s="4399"/>
      <c r="AH397" s="4399"/>
      <c r="AI397" s="4399"/>
      <c r="AJ397" s="4399"/>
      <c r="AK397" s="774"/>
      <c r="AL397" s="774"/>
      <c r="AM397" s="1078"/>
      <c r="AN397" s="1078"/>
      <c r="AO397" s="4280"/>
      <c r="AP397" s="4280"/>
      <c r="AQ397" s="4459"/>
      <c r="AR397" s="4459"/>
      <c r="AS397" s="4459"/>
      <c r="AT397" s="4459"/>
      <c r="AU397" s="4638"/>
      <c r="AV397" s="4638"/>
      <c r="AW397" s="4638"/>
      <c r="AX397" s="4638"/>
      <c r="AY397" s="5139"/>
      <c r="AZ397" s="5139"/>
      <c r="BA397" s="1078"/>
      <c r="BB397" s="1078"/>
      <c r="BC397" s="774"/>
      <c r="BD397" s="774"/>
      <c r="BE397" s="5139"/>
      <c r="BF397" s="5139"/>
      <c r="BG397" s="26"/>
      <c r="BH397" s="26"/>
      <c r="BI397" s="26"/>
      <c r="BJ397" s="26"/>
    </row>
    <row r="398" spans="1:62" ht="21" hidden="1" customHeight="1" x14ac:dyDescent="0.35">
      <c r="A398" s="188"/>
      <c r="B398" s="2505"/>
      <c r="C398" s="774"/>
      <c r="D398" s="774"/>
      <c r="E398" s="774"/>
      <c r="F398" s="774"/>
      <c r="G398" s="774"/>
      <c r="H398" s="774"/>
      <c r="I398" s="774"/>
      <c r="J398" s="774"/>
      <c r="K398" s="774"/>
      <c r="L398" s="774"/>
      <c r="M398" s="1078"/>
      <c r="N398" s="1078"/>
      <c r="O398" s="774"/>
      <c r="P398" s="774"/>
      <c r="Q398" s="774"/>
      <c r="R398" s="774"/>
      <c r="S398" s="774"/>
      <c r="T398" s="774"/>
      <c r="U398" s="774"/>
      <c r="V398" s="774"/>
      <c r="W398" s="774"/>
      <c r="X398" s="774"/>
      <c r="Y398" s="1078"/>
      <c r="Z398" s="1078"/>
      <c r="AA398" s="774"/>
      <c r="AB398" s="774"/>
      <c r="AC398" s="774"/>
      <c r="AD398" s="774"/>
      <c r="AE398" s="774"/>
      <c r="AF398" s="774"/>
      <c r="AG398" s="4399"/>
      <c r="AH398" s="4399"/>
      <c r="AI398" s="4399"/>
      <c r="AJ398" s="4399"/>
      <c r="AK398" s="774"/>
      <c r="AL398" s="774"/>
      <c r="AM398" s="1078"/>
      <c r="AN398" s="1078"/>
      <c r="AO398" s="4280"/>
      <c r="AP398" s="4280"/>
      <c r="AQ398" s="4459"/>
      <c r="AR398" s="4459"/>
      <c r="AS398" s="4459"/>
      <c r="AT398" s="4459"/>
      <c r="AU398" s="4638"/>
      <c r="AV398" s="4638"/>
      <c r="AW398" s="4638"/>
      <c r="AX398" s="4638"/>
      <c r="AY398" s="5139"/>
      <c r="AZ398" s="5139"/>
      <c r="BA398" s="1078"/>
      <c r="BB398" s="1078"/>
      <c r="BC398" s="774"/>
      <c r="BD398" s="774"/>
      <c r="BE398" s="5139"/>
      <c r="BF398" s="5139"/>
      <c r="BG398" s="26"/>
      <c r="BH398" s="26"/>
      <c r="BI398" s="26"/>
      <c r="BJ398" s="26"/>
    </row>
    <row r="399" spans="1:62" ht="21" hidden="1" customHeight="1" x14ac:dyDescent="0.35">
      <c r="A399" s="188"/>
      <c r="B399" s="2505"/>
      <c r="C399" s="774"/>
      <c r="D399" s="774"/>
      <c r="E399" s="774"/>
      <c r="F399" s="774"/>
      <c r="G399" s="774"/>
      <c r="H399" s="774"/>
      <c r="I399" s="774"/>
      <c r="J399" s="774"/>
      <c r="K399" s="774"/>
      <c r="L399" s="774"/>
      <c r="M399" s="1078"/>
      <c r="N399" s="1078"/>
      <c r="O399" s="774"/>
      <c r="P399" s="774"/>
      <c r="Q399" s="774"/>
      <c r="R399" s="774"/>
      <c r="S399" s="774"/>
      <c r="T399" s="774"/>
      <c r="U399" s="774"/>
      <c r="V399" s="774"/>
      <c r="W399" s="774"/>
      <c r="X399" s="774"/>
      <c r="Y399" s="1078"/>
      <c r="Z399" s="1078"/>
      <c r="AA399" s="774"/>
      <c r="AB399" s="774"/>
      <c r="AC399" s="774"/>
      <c r="AD399" s="774"/>
      <c r="AE399" s="774"/>
      <c r="AF399" s="774"/>
      <c r="AG399" s="4399"/>
      <c r="AH399" s="4399"/>
      <c r="AI399" s="4399"/>
      <c r="AJ399" s="4399"/>
      <c r="AK399" s="774"/>
      <c r="AL399" s="774"/>
      <c r="AM399" s="1078"/>
      <c r="AN399" s="1078"/>
      <c r="AO399" s="4280"/>
      <c r="AP399" s="4280"/>
      <c r="AQ399" s="4459"/>
      <c r="AR399" s="4459"/>
      <c r="AS399" s="4459"/>
      <c r="AT399" s="4459"/>
      <c r="AU399" s="4638"/>
      <c r="AV399" s="4638"/>
      <c r="AW399" s="4638"/>
      <c r="AX399" s="4638"/>
      <c r="AY399" s="5139"/>
      <c r="AZ399" s="5139"/>
      <c r="BA399" s="1078"/>
      <c r="BB399" s="1078"/>
      <c r="BC399" s="774"/>
      <c r="BD399" s="774"/>
      <c r="BE399" s="5139"/>
      <c r="BF399" s="5139"/>
      <c r="BG399" s="26"/>
      <c r="BH399" s="26"/>
      <c r="BI399" s="26"/>
      <c r="BJ399" s="26"/>
    </row>
    <row r="400" spans="1:62" ht="21" hidden="1" customHeight="1" x14ac:dyDescent="0.35">
      <c r="A400" s="188"/>
      <c r="B400" s="2505"/>
      <c r="C400" s="774"/>
      <c r="D400" s="774"/>
      <c r="E400" s="774"/>
      <c r="F400" s="774"/>
      <c r="G400" s="774"/>
      <c r="H400" s="774"/>
      <c r="I400" s="774"/>
      <c r="J400" s="774"/>
      <c r="K400" s="774"/>
      <c r="L400" s="774"/>
      <c r="M400" s="1078"/>
      <c r="N400" s="1078"/>
      <c r="O400" s="774"/>
      <c r="P400" s="774"/>
      <c r="Q400" s="774"/>
      <c r="R400" s="774"/>
      <c r="S400" s="774"/>
      <c r="T400" s="774"/>
      <c r="U400" s="774"/>
      <c r="V400" s="774"/>
      <c r="W400" s="774"/>
      <c r="X400" s="774"/>
      <c r="Y400" s="1078"/>
      <c r="Z400" s="1078"/>
      <c r="AA400" s="774"/>
      <c r="AB400" s="774"/>
      <c r="AC400" s="774"/>
      <c r="AD400" s="774"/>
      <c r="AE400" s="774"/>
      <c r="AF400" s="774"/>
      <c r="AG400" s="4399"/>
      <c r="AH400" s="4399"/>
      <c r="AI400" s="4399"/>
      <c r="AJ400" s="4399"/>
      <c r="AK400" s="774"/>
      <c r="AL400" s="774"/>
      <c r="AM400" s="1078"/>
      <c r="AN400" s="1078"/>
      <c r="AO400" s="4280"/>
      <c r="AP400" s="4280"/>
      <c r="AQ400" s="4459"/>
      <c r="AR400" s="4459"/>
      <c r="AS400" s="4459"/>
      <c r="AT400" s="4459"/>
      <c r="AU400" s="4638"/>
      <c r="AV400" s="4638"/>
      <c r="AW400" s="4638"/>
      <c r="AX400" s="4638"/>
      <c r="AY400" s="5139"/>
      <c r="AZ400" s="5139"/>
      <c r="BA400" s="1078"/>
      <c r="BB400" s="1078"/>
      <c r="BC400" s="774"/>
      <c r="BD400" s="774"/>
      <c r="BE400" s="5139"/>
      <c r="BF400" s="5139"/>
      <c r="BG400" s="26"/>
      <c r="BH400" s="26"/>
      <c r="BI400" s="26"/>
      <c r="BJ400" s="26"/>
    </row>
    <row r="401" spans="1:62" ht="21" hidden="1" customHeight="1" x14ac:dyDescent="0.35">
      <c r="A401" s="188"/>
      <c r="B401" s="2505"/>
      <c r="C401" s="774"/>
      <c r="D401" s="774"/>
      <c r="E401" s="774"/>
      <c r="F401" s="774"/>
      <c r="G401" s="774"/>
      <c r="H401" s="774"/>
      <c r="I401" s="774"/>
      <c r="J401" s="774"/>
      <c r="K401" s="774"/>
      <c r="L401" s="774"/>
      <c r="M401" s="1078"/>
      <c r="N401" s="1078"/>
      <c r="O401" s="774"/>
      <c r="P401" s="774"/>
      <c r="Q401" s="774"/>
      <c r="R401" s="774"/>
      <c r="S401" s="774"/>
      <c r="T401" s="774"/>
      <c r="U401" s="774"/>
      <c r="V401" s="774"/>
      <c r="W401" s="774"/>
      <c r="X401" s="774"/>
      <c r="Y401" s="1078"/>
      <c r="Z401" s="1078"/>
      <c r="AA401" s="774"/>
      <c r="AB401" s="774"/>
      <c r="AC401" s="774"/>
      <c r="AD401" s="774"/>
      <c r="AE401" s="774"/>
      <c r="AF401" s="774"/>
      <c r="AG401" s="4399"/>
      <c r="AH401" s="4399"/>
      <c r="AI401" s="4399"/>
      <c r="AJ401" s="4399"/>
      <c r="AK401" s="774"/>
      <c r="AL401" s="774"/>
      <c r="AM401" s="1078"/>
      <c r="AN401" s="1078"/>
      <c r="AO401" s="4280"/>
      <c r="AP401" s="4280"/>
      <c r="AQ401" s="4459"/>
      <c r="AR401" s="4459"/>
      <c r="AS401" s="4459"/>
      <c r="AT401" s="4459"/>
      <c r="AU401" s="4638"/>
      <c r="AV401" s="4638"/>
      <c r="AW401" s="4638"/>
      <c r="AX401" s="4638"/>
      <c r="AY401" s="5139"/>
      <c r="AZ401" s="5139"/>
      <c r="BA401" s="1078"/>
      <c r="BB401" s="1078"/>
      <c r="BC401" s="774"/>
      <c r="BD401" s="774"/>
      <c r="BE401" s="5139"/>
      <c r="BF401" s="5139"/>
      <c r="BG401" s="26"/>
      <c r="BH401" s="26"/>
      <c r="BI401" s="26"/>
      <c r="BJ401" s="26"/>
    </row>
    <row r="402" spans="1:62" ht="21" hidden="1" customHeight="1" x14ac:dyDescent="0.35">
      <c r="A402" s="188"/>
      <c r="B402" s="2505"/>
      <c r="C402" s="774"/>
      <c r="D402" s="774"/>
      <c r="E402" s="774"/>
      <c r="F402" s="774"/>
      <c r="G402" s="774"/>
      <c r="H402" s="774"/>
      <c r="I402" s="774"/>
      <c r="J402" s="774"/>
      <c r="K402" s="774"/>
      <c r="L402" s="774"/>
      <c r="M402" s="1078"/>
      <c r="N402" s="1078"/>
      <c r="O402" s="774"/>
      <c r="P402" s="774"/>
      <c r="Q402" s="774"/>
      <c r="R402" s="774"/>
      <c r="S402" s="774"/>
      <c r="T402" s="774"/>
      <c r="U402" s="774"/>
      <c r="V402" s="774"/>
      <c r="W402" s="774"/>
      <c r="X402" s="774"/>
      <c r="Y402" s="1078"/>
      <c r="Z402" s="1078"/>
      <c r="AA402" s="774"/>
      <c r="AB402" s="774"/>
      <c r="AC402" s="774"/>
      <c r="AD402" s="774"/>
      <c r="AE402" s="774"/>
      <c r="AF402" s="774"/>
      <c r="AG402" s="4399"/>
      <c r="AH402" s="4399"/>
      <c r="AI402" s="4399"/>
      <c r="AJ402" s="4399"/>
      <c r="AK402" s="774"/>
      <c r="AL402" s="774"/>
      <c r="AM402" s="1078"/>
      <c r="AN402" s="1078"/>
      <c r="AO402" s="4280"/>
      <c r="AP402" s="4280"/>
      <c r="AQ402" s="4459"/>
      <c r="AR402" s="4459"/>
      <c r="AS402" s="4459"/>
      <c r="AT402" s="4459"/>
      <c r="AU402" s="4638"/>
      <c r="AV402" s="4638"/>
      <c r="AW402" s="4638"/>
      <c r="AX402" s="4638"/>
      <c r="AY402" s="5139"/>
      <c r="AZ402" s="5139"/>
      <c r="BA402" s="1078"/>
      <c r="BB402" s="1078"/>
      <c r="BC402" s="774"/>
      <c r="BD402" s="774"/>
      <c r="BE402" s="5139"/>
      <c r="BF402" s="5139"/>
      <c r="BG402" s="26"/>
      <c r="BH402" s="26"/>
      <c r="BI402" s="26"/>
      <c r="BJ402" s="26"/>
    </row>
    <row r="403" spans="1:62" ht="21" hidden="1" customHeight="1" x14ac:dyDescent="0.35">
      <c r="A403" s="188"/>
      <c r="B403" s="2505"/>
      <c r="C403" s="774"/>
      <c r="D403" s="774"/>
      <c r="E403" s="774"/>
      <c r="F403" s="774"/>
      <c r="G403" s="774"/>
      <c r="H403" s="774"/>
      <c r="I403" s="774"/>
      <c r="J403" s="774"/>
      <c r="K403" s="774"/>
      <c r="L403" s="774"/>
      <c r="M403" s="1078"/>
      <c r="N403" s="1078"/>
      <c r="O403" s="774"/>
      <c r="P403" s="774"/>
      <c r="Q403" s="774"/>
      <c r="R403" s="774"/>
      <c r="S403" s="774"/>
      <c r="T403" s="774"/>
      <c r="U403" s="774"/>
      <c r="V403" s="774"/>
      <c r="W403" s="774"/>
      <c r="X403" s="774"/>
      <c r="Y403" s="1078"/>
      <c r="Z403" s="1078"/>
      <c r="AA403" s="774"/>
      <c r="AB403" s="774"/>
      <c r="AC403" s="774"/>
      <c r="AD403" s="774"/>
      <c r="AE403" s="774"/>
      <c r="AF403" s="774"/>
      <c r="AG403" s="4399"/>
      <c r="AH403" s="4399"/>
      <c r="AI403" s="4399"/>
      <c r="AJ403" s="4399"/>
      <c r="AK403" s="774"/>
      <c r="AL403" s="774"/>
      <c r="AM403" s="1078"/>
      <c r="AN403" s="1078"/>
      <c r="AO403" s="4280"/>
      <c r="AP403" s="4280"/>
      <c r="AQ403" s="4459"/>
      <c r="AR403" s="4459"/>
      <c r="AS403" s="4459"/>
      <c r="AT403" s="4459"/>
      <c r="AU403" s="4638"/>
      <c r="AV403" s="4638"/>
      <c r="AW403" s="4638"/>
      <c r="AX403" s="4638"/>
      <c r="AY403" s="5139"/>
      <c r="AZ403" s="5139"/>
      <c r="BA403" s="1078"/>
      <c r="BB403" s="1078"/>
      <c r="BC403" s="774"/>
      <c r="BD403" s="774"/>
      <c r="BE403" s="5139"/>
      <c r="BF403" s="5139"/>
      <c r="BG403" s="26"/>
      <c r="BH403" s="26"/>
      <c r="BI403" s="26"/>
      <c r="BJ403" s="26"/>
    </row>
    <row r="404" spans="1:62" ht="21" hidden="1" customHeight="1" x14ac:dyDescent="0.35">
      <c r="A404" s="188"/>
      <c r="B404" s="2505"/>
      <c r="C404" s="774"/>
      <c r="D404" s="774"/>
      <c r="E404" s="774"/>
      <c r="F404" s="774"/>
      <c r="G404" s="774"/>
      <c r="H404" s="774"/>
      <c r="I404" s="774"/>
      <c r="J404" s="774"/>
      <c r="K404" s="774"/>
      <c r="L404" s="774"/>
      <c r="M404" s="1078"/>
      <c r="N404" s="1078"/>
      <c r="O404" s="774"/>
      <c r="P404" s="774"/>
      <c r="Q404" s="774"/>
      <c r="R404" s="774"/>
      <c r="S404" s="774"/>
      <c r="T404" s="774"/>
      <c r="U404" s="774"/>
      <c r="V404" s="774"/>
      <c r="W404" s="774"/>
      <c r="X404" s="774"/>
      <c r="Y404" s="1078"/>
      <c r="Z404" s="1078"/>
      <c r="AA404" s="774"/>
      <c r="AB404" s="774"/>
      <c r="AC404" s="774"/>
      <c r="AD404" s="774"/>
      <c r="AE404" s="774"/>
      <c r="AF404" s="774"/>
      <c r="AG404" s="4399"/>
      <c r="AH404" s="4399"/>
      <c r="AI404" s="4399"/>
      <c r="AJ404" s="4399"/>
      <c r="AK404" s="774"/>
      <c r="AL404" s="774"/>
      <c r="AM404" s="1078"/>
      <c r="AN404" s="1078"/>
      <c r="AO404" s="4280"/>
      <c r="AP404" s="4280"/>
      <c r="AQ404" s="4459"/>
      <c r="AR404" s="4459"/>
      <c r="AS404" s="4459"/>
      <c r="AT404" s="4459"/>
      <c r="AU404" s="4638"/>
      <c r="AV404" s="4638"/>
      <c r="AW404" s="4638"/>
      <c r="AX404" s="4638"/>
      <c r="AY404" s="5139"/>
      <c r="AZ404" s="5139"/>
      <c r="BA404" s="1078"/>
      <c r="BB404" s="1078"/>
      <c r="BC404" s="774"/>
      <c r="BD404" s="774"/>
      <c r="BE404" s="5139"/>
      <c r="BF404" s="5139"/>
      <c r="BG404" s="26"/>
      <c r="BH404" s="26"/>
      <c r="BI404" s="26"/>
      <c r="BJ404" s="26"/>
    </row>
    <row r="405" spans="1:62" ht="21" hidden="1" customHeight="1" x14ac:dyDescent="0.35">
      <c r="A405" s="188"/>
      <c r="B405" s="2505"/>
      <c r="C405" s="774"/>
      <c r="D405" s="774"/>
      <c r="E405" s="774"/>
      <c r="F405" s="774"/>
      <c r="G405" s="774"/>
      <c r="H405" s="774"/>
      <c r="I405" s="774"/>
      <c r="J405" s="774"/>
      <c r="K405" s="774"/>
      <c r="L405" s="774"/>
      <c r="M405" s="1078"/>
      <c r="N405" s="1078"/>
      <c r="O405" s="774"/>
      <c r="P405" s="774"/>
      <c r="Q405" s="774"/>
      <c r="R405" s="774"/>
      <c r="S405" s="774"/>
      <c r="T405" s="774"/>
      <c r="U405" s="774"/>
      <c r="V405" s="774"/>
      <c r="W405" s="774"/>
      <c r="X405" s="774"/>
      <c r="Y405" s="1078"/>
      <c r="Z405" s="1078"/>
      <c r="AA405" s="774"/>
      <c r="AB405" s="774"/>
      <c r="AC405" s="774"/>
      <c r="AD405" s="774"/>
      <c r="AE405" s="774"/>
      <c r="AF405" s="774"/>
      <c r="AG405" s="4399"/>
      <c r="AH405" s="4399"/>
      <c r="AI405" s="4399"/>
      <c r="AJ405" s="4399"/>
      <c r="AK405" s="774"/>
      <c r="AL405" s="774"/>
      <c r="AM405" s="1078"/>
      <c r="AN405" s="1078"/>
      <c r="AO405" s="4280"/>
      <c r="AP405" s="4280"/>
      <c r="AQ405" s="4459"/>
      <c r="AR405" s="4459"/>
      <c r="AS405" s="4459"/>
      <c r="AT405" s="4459"/>
      <c r="AU405" s="4638"/>
      <c r="AV405" s="4638"/>
      <c r="AW405" s="4638"/>
      <c r="AX405" s="4638"/>
      <c r="AY405" s="5139"/>
      <c r="AZ405" s="5139"/>
      <c r="BA405" s="1078"/>
      <c r="BB405" s="1078"/>
      <c r="BC405" s="774"/>
      <c r="BD405" s="774"/>
      <c r="BE405" s="5139"/>
      <c r="BF405" s="5139"/>
      <c r="BG405" s="26"/>
      <c r="BH405" s="26"/>
      <c r="BI405" s="26"/>
      <c r="BJ405" s="26"/>
    </row>
    <row r="406" spans="1:62" ht="21" hidden="1" customHeight="1" x14ac:dyDescent="0.35">
      <c r="A406" s="188"/>
      <c r="B406" s="2505"/>
      <c r="C406" s="774"/>
      <c r="D406" s="774"/>
      <c r="E406" s="774"/>
      <c r="F406" s="774"/>
      <c r="G406" s="774"/>
      <c r="H406" s="774"/>
      <c r="I406" s="774"/>
      <c r="J406" s="774"/>
      <c r="K406" s="774"/>
      <c r="L406" s="774"/>
      <c r="M406" s="1078"/>
      <c r="N406" s="1078"/>
      <c r="O406" s="774"/>
      <c r="P406" s="774"/>
      <c r="Q406" s="774"/>
      <c r="R406" s="774"/>
      <c r="S406" s="774"/>
      <c r="T406" s="774"/>
      <c r="U406" s="774"/>
      <c r="V406" s="774"/>
      <c r="W406" s="774"/>
      <c r="X406" s="774"/>
      <c r="Y406" s="1078"/>
      <c r="Z406" s="1078"/>
      <c r="AA406" s="774"/>
      <c r="AB406" s="774"/>
      <c r="AC406" s="774"/>
      <c r="AD406" s="774"/>
      <c r="AE406" s="774"/>
      <c r="AF406" s="774"/>
      <c r="AG406" s="4399"/>
      <c r="AH406" s="4399"/>
      <c r="AI406" s="4399"/>
      <c r="AJ406" s="4399"/>
      <c r="AK406" s="774"/>
      <c r="AL406" s="774"/>
      <c r="AM406" s="1078"/>
      <c r="AN406" s="1078"/>
      <c r="AO406" s="4280"/>
      <c r="AP406" s="4280"/>
      <c r="AQ406" s="4459"/>
      <c r="AR406" s="4459"/>
      <c r="AS406" s="4459"/>
      <c r="AT406" s="4459"/>
      <c r="AU406" s="4638"/>
      <c r="AV406" s="4638"/>
      <c r="AW406" s="4638"/>
      <c r="AX406" s="4638"/>
      <c r="AY406" s="5139"/>
      <c r="AZ406" s="5139"/>
      <c r="BA406" s="1078"/>
      <c r="BB406" s="1078"/>
      <c r="BC406" s="774"/>
      <c r="BD406" s="774"/>
      <c r="BE406" s="5139"/>
      <c r="BF406" s="5139"/>
      <c r="BG406" s="26"/>
      <c r="BH406" s="26"/>
      <c r="BI406" s="26"/>
      <c r="BJ406" s="26"/>
    </row>
    <row r="407" spans="1:62" ht="21" hidden="1" customHeight="1" x14ac:dyDescent="0.35">
      <c r="A407" s="188"/>
      <c r="B407" s="2505"/>
      <c r="C407" s="774"/>
      <c r="D407" s="774"/>
      <c r="E407" s="774"/>
      <c r="F407" s="774"/>
      <c r="G407" s="774"/>
      <c r="H407" s="774"/>
      <c r="I407" s="774"/>
      <c r="J407" s="774"/>
      <c r="K407" s="774"/>
      <c r="L407" s="774"/>
      <c r="M407" s="1078"/>
      <c r="N407" s="1078"/>
      <c r="O407" s="774"/>
      <c r="P407" s="774"/>
      <c r="Q407" s="774"/>
      <c r="R407" s="774"/>
      <c r="S407" s="774"/>
      <c r="T407" s="774"/>
      <c r="U407" s="774"/>
      <c r="V407" s="774"/>
      <c r="W407" s="774"/>
      <c r="X407" s="774"/>
      <c r="Y407" s="1078"/>
      <c r="Z407" s="1078"/>
      <c r="AA407" s="774"/>
      <c r="AB407" s="774"/>
      <c r="AC407" s="774"/>
      <c r="AD407" s="774"/>
      <c r="AE407" s="774"/>
      <c r="AF407" s="774"/>
      <c r="AG407" s="4399"/>
      <c r="AH407" s="4399"/>
      <c r="AI407" s="4399"/>
      <c r="AJ407" s="4399"/>
      <c r="AK407" s="774"/>
      <c r="AL407" s="774"/>
      <c r="AM407" s="1078"/>
      <c r="AN407" s="1078"/>
      <c r="AO407" s="4280"/>
      <c r="AP407" s="4280"/>
      <c r="AQ407" s="4459"/>
      <c r="AR407" s="4459"/>
      <c r="AS407" s="4459"/>
      <c r="AT407" s="4459"/>
      <c r="AU407" s="4638"/>
      <c r="AV407" s="4638"/>
      <c r="AW407" s="4638"/>
      <c r="AX407" s="4638"/>
      <c r="AY407" s="5139"/>
      <c r="AZ407" s="5139"/>
      <c r="BA407" s="1078"/>
      <c r="BB407" s="1078"/>
      <c r="BC407" s="774"/>
      <c r="BD407" s="774"/>
      <c r="BE407" s="5139"/>
      <c r="BF407" s="5139"/>
      <c r="BG407" s="26"/>
      <c r="BH407" s="26"/>
      <c r="BI407" s="26"/>
      <c r="BJ407" s="26"/>
    </row>
    <row r="408" spans="1:62" ht="21" hidden="1" customHeight="1" x14ac:dyDescent="0.35">
      <c r="A408" s="188"/>
      <c r="B408" s="2505"/>
      <c r="C408" s="774"/>
      <c r="D408" s="774"/>
      <c r="E408" s="774"/>
      <c r="F408" s="774"/>
      <c r="G408" s="774"/>
      <c r="H408" s="774"/>
      <c r="I408" s="774"/>
      <c r="J408" s="774"/>
      <c r="K408" s="774"/>
      <c r="L408" s="774"/>
      <c r="M408" s="1078"/>
      <c r="N408" s="1078"/>
      <c r="O408" s="774"/>
      <c r="P408" s="774"/>
      <c r="Q408" s="774"/>
      <c r="R408" s="774"/>
      <c r="S408" s="774"/>
      <c r="T408" s="774"/>
      <c r="U408" s="774"/>
      <c r="V408" s="774"/>
      <c r="W408" s="774"/>
      <c r="X408" s="774"/>
      <c r="Y408" s="1078"/>
      <c r="Z408" s="1078"/>
      <c r="AA408" s="774"/>
      <c r="AB408" s="774"/>
      <c r="AC408" s="774"/>
      <c r="AD408" s="774"/>
      <c r="AE408" s="774"/>
      <c r="AF408" s="774"/>
      <c r="AG408" s="4399"/>
      <c r="AH408" s="4399"/>
      <c r="AI408" s="4399"/>
      <c r="AJ408" s="4399"/>
      <c r="AK408" s="774"/>
      <c r="AL408" s="774"/>
      <c r="AM408" s="1078"/>
      <c r="AN408" s="1078"/>
      <c r="AO408" s="4280"/>
      <c r="AP408" s="4280"/>
      <c r="AQ408" s="4459"/>
      <c r="AR408" s="4459"/>
      <c r="AS408" s="4459"/>
      <c r="AT408" s="4459"/>
      <c r="AU408" s="4638"/>
      <c r="AV408" s="4638"/>
      <c r="AW408" s="4638"/>
      <c r="AX408" s="4638"/>
      <c r="AY408" s="5139"/>
      <c r="AZ408" s="5139"/>
      <c r="BA408" s="1078"/>
      <c r="BB408" s="1078"/>
      <c r="BC408" s="774"/>
      <c r="BD408" s="774"/>
      <c r="BE408" s="5139"/>
      <c r="BF408" s="5139"/>
      <c r="BG408" s="26"/>
      <c r="BH408" s="26"/>
      <c r="BI408" s="26"/>
      <c r="BJ408" s="26"/>
    </row>
    <row r="409" spans="1:62" ht="21" hidden="1" customHeight="1" x14ac:dyDescent="0.35">
      <c r="A409" s="188"/>
      <c r="B409" s="2505"/>
      <c r="C409" s="774"/>
      <c r="D409" s="774"/>
      <c r="E409" s="774"/>
      <c r="F409" s="774"/>
      <c r="G409" s="774"/>
      <c r="H409" s="774"/>
      <c r="I409" s="774"/>
      <c r="J409" s="774"/>
      <c r="K409" s="774"/>
      <c r="L409" s="774"/>
      <c r="M409" s="1078"/>
      <c r="N409" s="1078"/>
      <c r="O409" s="774"/>
      <c r="P409" s="774"/>
      <c r="Q409" s="774"/>
      <c r="R409" s="774"/>
      <c r="S409" s="774"/>
      <c r="T409" s="774"/>
      <c r="U409" s="774"/>
      <c r="V409" s="774"/>
      <c r="W409" s="774"/>
      <c r="X409" s="774"/>
      <c r="Y409" s="1078"/>
      <c r="Z409" s="1078"/>
      <c r="AA409" s="774"/>
      <c r="AB409" s="774"/>
      <c r="AC409" s="774"/>
      <c r="AD409" s="774"/>
      <c r="AE409" s="774"/>
      <c r="AF409" s="774"/>
      <c r="AG409" s="4399"/>
      <c r="AH409" s="4399"/>
      <c r="AI409" s="4399"/>
      <c r="AJ409" s="4399"/>
      <c r="AK409" s="774"/>
      <c r="AL409" s="774"/>
      <c r="AM409" s="1078"/>
      <c r="AN409" s="1078"/>
      <c r="AO409" s="4280"/>
      <c r="AP409" s="4280"/>
      <c r="AQ409" s="4459"/>
      <c r="AR409" s="4459"/>
      <c r="AS409" s="4459"/>
      <c r="AT409" s="4459"/>
      <c r="AU409" s="4638"/>
      <c r="AV409" s="4638"/>
      <c r="AW409" s="4638"/>
      <c r="AX409" s="4638"/>
      <c r="AY409" s="5139"/>
      <c r="AZ409" s="5139"/>
      <c r="BA409" s="1078"/>
      <c r="BB409" s="1078"/>
      <c r="BC409" s="774"/>
      <c r="BD409" s="774"/>
      <c r="BE409" s="5139"/>
      <c r="BF409" s="5139"/>
      <c r="BG409" s="26"/>
      <c r="BH409" s="26"/>
      <c r="BI409" s="26"/>
      <c r="BJ409" s="26"/>
    </row>
    <row r="410" spans="1:62" ht="21" hidden="1" customHeight="1" x14ac:dyDescent="0.35">
      <c r="A410" s="188"/>
      <c r="B410" s="2505"/>
      <c r="C410" s="774"/>
      <c r="D410" s="774"/>
      <c r="E410" s="774"/>
      <c r="F410" s="774"/>
      <c r="G410" s="774"/>
      <c r="H410" s="774"/>
      <c r="I410" s="774"/>
      <c r="J410" s="774"/>
      <c r="K410" s="774"/>
      <c r="L410" s="774"/>
      <c r="M410" s="1078"/>
      <c r="N410" s="1078"/>
      <c r="O410" s="774"/>
      <c r="P410" s="774"/>
      <c r="Q410" s="774"/>
      <c r="R410" s="774"/>
      <c r="S410" s="774"/>
      <c r="T410" s="774"/>
      <c r="U410" s="774"/>
      <c r="V410" s="774"/>
      <c r="W410" s="774"/>
      <c r="X410" s="774"/>
      <c r="Y410" s="1078"/>
      <c r="Z410" s="1078"/>
      <c r="AA410" s="774"/>
      <c r="AB410" s="774"/>
      <c r="AC410" s="774"/>
      <c r="AD410" s="774"/>
      <c r="AE410" s="774"/>
      <c r="AF410" s="774"/>
      <c r="AG410" s="4399"/>
      <c r="AH410" s="4399"/>
      <c r="AI410" s="4399"/>
      <c r="AJ410" s="4399"/>
      <c r="AK410" s="774"/>
      <c r="AL410" s="774"/>
      <c r="AM410" s="1078"/>
      <c r="AN410" s="1078"/>
      <c r="AO410" s="4280"/>
      <c r="AP410" s="4280"/>
      <c r="AQ410" s="4459"/>
      <c r="AR410" s="4459"/>
      <c r="AS410" s="4459"/>
      <c r="AT410" s="4459"/>
      <c r="AU410" s="4638"/>
      <c r="AV410" s="4638"/>
      <c r="AW410" s="4638"/>
      <c r="AX410" s="4638"/>
      <c r="AY410" s="5139"/>
      <c r="AZ410" s="5139"/>
      <c r="BA410" s="1078"/>
      <c r="BB410" s="1078"/>
      <c r="BC410" s="774"/>
      <c r="BD410" s="774"/>
      <c r="BE410" s="5139"/>
      <c r="BF410" s="5139"/>
      <c r="BG410" s="26"/>
      <c r="BH410" s="26"/>
      <c r="BI410" s="26"/>
      <c r="BJ410" s="26"/>
    </row>
    <row r="411" spans="1:62" ht="21" hidden="1" customHeight="1" x14ac:dyDescent="0.35">
      <c r="A411" s="188"/>
      <c r="B411" s="2505"/>
      <c r="C411" s="774"/>
      <c r="D411" s="774"/>
      <c r="E411" s="774"/>
      <c r="F411" s="774"/>
      <c r="G411" s="774"/>
      <c r="H411" s="774"/>
      <c r="I411" s="774"/>
      <c r="J411" s="774"/>
      <c r="K411" s="774"/>
      <c r="L411" s="774"/>
      <c r="M411" s="1078"/>
      <c r="N411" s="1078"/>
      <c r="O411" s="774"/>
      <c r="P411" s="774"/>
      <c r="Q411" s="774"/>
      <c r="R411" s="774"/>
      <c r="S411" s="774"/>
      <c r="T411" s="774"/>
      <c r="U411" s="774"/>
      <c r="V411" s="774"/>
      <c r="W411" s="774"/>
      <c r="X411" s="774"/>
      <c r="Y411" s="1078"/>
      <c r="Z411" s="1078"/>
      <c r="AA411" s="774"/>
      <c r="AB411" s="774"/>
      <c r="AC411" s="774"/>
      <c r="AD411" s="774"/>
      <c r="AE411" s="774"/>
      <c r="AF411" s="774"/>
      <c r="AG411" s="4399"/>
      <c r="AH411" s="4399"/>
      <c r="AI411" s="4399"/>
      <c r="AJ411" s="4399"/>
      <c r="AK411" s="774"/>
      <c r="AL411" s="774"/>
      <c r="AM411" s="1078"/>
      <c r="AN411" s="1078"/>
      <c r="AO411" s="4280"/>
      <c r="AP411" s="4280"/>
      <c r="AQ411" s="4459"/>
      <c r="AR411" s="4459"/>
      <c r="AS411" s="4459"/>
      <c r="AT411" s="4459"/>
      <c r="AU411" s="4638"/>
      <c r="AV411" s="4638"/>
      <c r="AW411" s="4638"/>
      <c r="AX411" s="4638"/>
      <c r="AY411" s="5139"/>
      <c r="AZ411" s="5139"/>
      <c r="BA411" s="1078"/>
      <c r="BB411" s="1078"/>
      <c r="BC411" s="774"/>
      <c r="BD411" s="774"/>
      <c r="BE411" s="5139"/>
      <c r="BF411" s="5139"/>
      <c r="BG411" s="26"/>
      <c r="BH411" s="26"/>
      <c r="BI411" s="26"/>
      <c r="BJ411" s="26"/>
    </row>
    <row r="412" spans="1:62" ht="21" hidden="1" customHeight="1" x14ac:dyDescent="0.35">
      <c r="A412" s="188"/>
      <c r="B412" s="2505"/>
      <c r="C412" s="774"/>
      <c r="D412" s="774"/>
      <c r="E412" s="774"/>
      <c r="F412" s="774"/>
      <c r="G412" s="774"/>
      <c r="H412" s="774"/>
      <c r="I412" s="774"/>
      <c r="J412" s="774"/>
      <c r="K412" s="774"/>
      <c r="L412" s="774"/>
      <c r="M412" s="1078"/>
      <c r="N412" s="1078"/>
      <c r="O412" s="774"/>
      <c r="P412" s="774"/>
      <c r="Q412" s="774"/>
      <c r="R412" s="774"/>
      <c r="S412" s="774"/>
      <c r="T412" s="774"/>
      <c r="U412" s="774"/>
      <c r="V412" s="774"/>
      <c r="W412" s="774"/>
      <c r="X412" s="774"/>
      <c r="Y412" s="1078"/>
      <c r="Z412" s="1078"/>
      <c r="AA412" s="774"/>
      <c r="AB412" s="774"/>
      <c r="AC412" s="774"/>
      <c r="AD412" s="774"/>
      <c r="AE412" s="774"/>
      <c r="AF412" s="774"/>
      <c r="AG412" s="4399"/>
      <c r="AH412" s="4399"/>
      <c r="AI412" s="4399"/>
      <c r="AJ412" s="4399"/>
      <c r="AK412" s="774"/>
      <c r="AL412" s="774"/>
      <c r="AM412" s="1078"/>
      <c r="AN412" s="1078"/>
      <c r="AO412" s="4280"/>
      <c r="AP412" s="4280"/>
      <c r="AQ412" s="4459"/>
      <c r="AR412" s="4459"/>
      <c r="AS412" s="4459"/>
      <c r="AT412" s="4459"/>
      <c r="AU412" s="4638"/>
      <c r="AV412" s="4638"/>
      <c r="AW412" s="4638"/>
      <c r="AX412" s="4638"/>
      <c r="AY412" s="5139"/>
      <c r="AZ412" s="5139"/>
      <c r="BA412" s="1078"/>
      <c r="BB412" s="1078"/>
      <c r="BC412" s="774"/>
      <c r="BD412" s="774"/>
      <c r="BE412" s="5139"/>
      <c r="BF412" s="5139"/>
      <c r="BG412" s="26"/>
      <c r="BH412" s="26"/>
      <c r="BI412" s="26"/>
      <c r="BJ412" s="26"/>
    </row>
    <row r="413" spans="1:62" ht="21" hidden="1" customHeight="1" x14ac:dyDescent="0.35">
      <c r="A413" s="188"/>
      <c r="B413" s="2505"/>
      <c r="C413" s="774"/>
      <c r="D413" s="774"/>
      <c r="E413" s="774"/>
      <c r="F413" s="774"/>
      <c r="G413" s="774"/>
      <c r="H413" s="774"/>
      <c r="I413" s="774"/>
      <c r="J413" s="774"/>
      <c r="K413" s="774"/>
      <c r="L413" s="774"/>
      <c r="M413" s="1078"/>
      <c r="N413" s="1078"/>
      <c r="O413" s="774"/>
      <c r="P413" s="774"/>
      <c r="Q413" s="774"/>
      <c r="R413" s="774"/>
      <c r="S413" s="774"/>
      <c r="T413" s="774"/>
      <c r="U413" s="774"/>
      <c r="V413" s="774"/>
      <c r="W413" s="774"/>
      <c r="X413" s="774"/>
      <c r="Y413" s="1078"/>
      <c r="Z413" s="1078"/>
      <c r="AA413" s="774"/>
      <c r="AB413" s="774"/>
      <c r="AC413" s="774"/>
      <c r="AD413" s="774"/>
      <c r="AE413" s="774"/>
      <c r="AF413" s="774"/>
      <c r="AG413" s="4399"/>
      <c r="AH413" s="4399"/>
      <c r="AI413" s="4399"/>
      <c r="AJ413" s="4399"/>
      <c r="AK413" s="774"/>
      <c r="AL413" s="774"/>
      <c r="AM413" s="1078"/>
      <c r="AN413" s="1078"/>
      <c r="AO413" s="4280"/>
      <c r="AP413" s="4280"/>
      <c r="AQ413" s="4459"/>
      <c r="AR413" s="4459"/>
      <c r="AS413" s="4459"/>
      <c r="AT413" s="4459"/>
      <c r="AU413" s="4638"/>
      <c r="AV413" s="4638"/>
      <c r="AW413" s="4638"/>
      <c r="AX413" s="4638"/>
      <c r="AY413" s="5139"/>
      <c r="AZ413" s="5139"/>
      <c r="BA413" s="1078"/>
      <c r="BB413" s="1078"/>
      <c r="BC413" s="774"/>
      <c r="BD413" s="774"/>
      <c r="BE413" s="5139"/>
      <c r="BF413" s="5139"/>
      <c r="BG413" s="26"/>
      <c r="BH413" s="26"/>
      <c r="BI413" s="26"/>
      <c r="BJ413" s="26"/>
    </row>
    <row r="414" spans="1:62" ht="21" hidden="1" customHeight="1" x14ac:dyDescent="0.35">
      <c r="A414" s="188"/>
      <c r="B414" s="2505"/>
      <c r="C414" s="774"/>
      <c r="D414" s="774"/>
      <c r="E414" s="774"/>
      <c r="F414" s="774"/>
      <c r="G414" s="774"/>
      <c r="H414" s="774"/>
      <c r="I414" s="774"/>
      <c r="J414" s="774"/>
      <c r="K414" s="774"/>
      <c r="L414" s="774"/>
      <c r="M414" s="1078"/>
      <c r="N414" s="1078"/>
      <c r="O414" s="774"/>
      <c r="P414" s="774"/>
      <c r="Q414" s="774"/>
      <c r="R414" s="774"/>
      <c r="S414" s="774"/>
      <c r="T414" s="774"/>
      <c r="U414" s="774"/>
      <c r="V414" s="774"/>
      <c r="W414" s="774"/>
      <c r="X414" s="774"/>
      <c r="Y414" s="1078"/>
      <c r="Z414" s="1078"/>
      <c r="AA414" s="774"/>
      <c r="AB414" s="774"/>
      <c r="AC414" s="774"/>
      <c r="AD414" s="774"/>
      <c r="AE414" s="774"/>
      <c r="AF414" s="774"/>
      <c r="AG414" s="4399"/>
      <c r="AH414" s="4399"/>
      <c r="AI414" s="4399"/>
      <c r="AJ414" s="4399"/>
      <c r="AK414" s="774"/>
      <c r="AL414" s="774"/>
      <c r="AM414" s="1078"/>
      <c r="AN414" s="1078"/>
      <c r="AO414" s="4280"/>
      <c r="AP414" s="4280"/>
      <c r="AQ414" s="4459"/>
      <c r="AR414" s="4459"/>
      <c r="AS414" s="4459"/>
      <c r="AT414" s="4459"/>
      <c r="AU414" s="4638"/>
      <c r="AV414" s="4638"/>
      <c r="AW414" s="4638"/>
      <c r="AX414" s="4638"/>
      <c r="AY414" s="5139"/>
      <c r="AZ414" s="5139"/>
      <c r="BA414" s="1078"/>
      <c r="BB414" s="1078"/>
      <c r="BC414" s="774"/>
      <c r="BD414" s="774"/>
      <c r="BE414" s="5139"/>
      <c r="BF414" s="5139"/>
      <c r="BG414" s="26"/>
      <c r="BH414" s="26"/>
      <c r="BI414" s="26"/>
      <c r="BJ414" s="26"/>
    </row>
    <row r="415" spans="1:62" ht="21" hidden="1" customHeight="1" x14ac:dyDescent="0.35">
      <c r="A415" s="188"/>
      <c r="B415" s="2505"/>
      <c r="C415" s="774"/>
      <c r="D415" s="774"/>
      <c r="E415" s="774"/>
      <c r="F415" s="774"/>
      <c r="G415" s="774"/>
      <c r="H415" s="774"/>
      <c r="I415" s="774"/>
      <c r="J415" s="774"/>
      <c r="K415" s="774"/>
      <c r="L415" s="774"/>
      <c r="M415" s="1078"/>
      <c r="N415" s="1078"/>
      <c r="O415" s="774"/>
      <c r="P415" s="774"/>
      <c r="Q415" s="774"/>
      <c r="R415" s="774"/>
      <c r="S415" s="774"/>
      <c r="T415" s="774"/>
      <c r="U415" s="774"/>
      <c r="V415" s="774"/>
      <c r="W415" s="774"/>
      <c r="X415" s="774"/>
      <c r="Y415" s="1078"/>
      <c r="Z415" s="1078"/>
      <c r="AA415" s="774"/>
      <c r="AB415" s="774"/>
      <c r="AC415" s="774"/>
      <c r="AD415" s="774"/>
      <c r="AE415" s="774"/>
      <c r="AF415" s="774"/>
      <c r="AG415" s="4399"/>
      <c r="AH415" s="4399"/>
      <c r="AI415" s="4399"/>
      <c r="AJ415" s="4399"/>
      <c r="AK415" s="774"/>
      <c r="AL415" s="774"/>
      <c r="AM415" s="1078"/>
      <c r="AN415" s="1078"/>
      <c r="AO415" s="4280"/>
      <c r="AP415" s="4280"/>
      <c r="AQ415" s="4459"/>
      <c r="AR415" s="4459"/>
      <c r="AS415" s="4459"/>
      <c r="AT415" s="4459"/>
      <c r="AU415" s="4638"/>
      <c r="AV415" s="4638"/>
      <c r="AW415" s="4638"/>
      <c r="AX415" s="4638"/>
      <c r="AY415" s="5139"/>
      <c r="AZ415" s="5139"/>
      <c r="BA415" s="1078"/>
      <c r="BB415" s="1078"/>
      <c r="BC415" s="774"/>
      <c r="BD415" s="774"/>
      <c r="BE415" s="5139"/>
      <c r="BF415" s="5139"/>
      <c r="BG415" s="26"/>
      <c r="BH415" s="26"/>
      <c r="BI415" s="26"/>
      <c r="BJ415" s="26"/>
    </row>
    <row r="416" spans="1:62" ht="21" hidden="1" customHeight="1" x14ac:dyDescent="0.35">
      <c r="A416" s="188"/>
      <c r="B416" s="2505"/>
      <c r="C416" s="774"/>
      <c r="D416" s="774"/>
      <c r="E416" s="774"/>
      <c r="F416" s="774"/>
      <c r="G416" s="774"/>
      <c r="H416" s="774"/>
      <c r="I416" s="774"/>
      <c r="J416" s="774"/>
      <c r="K416" s="774"/>
      <c r="L416" s="774"/>
      <c r="M416" s="1078"/>
      <c r="N416" s="1078"/>
      <c r="O416" s="774"/>
      <c r="P416" s="774"/>
      <c r="Q416" s="774"/>
      <c r="R416" s="774"/>
      <c r="S416" s="774"/>
      <c r="T416" s="774"/>
      <c r="U416" s="774"/>
      <c r="V416" s="774"/>
      <c r="W416" s="774"/>
      <c r="X416" s="774"/>
      <c r="Y416" s="1078"/>
      <c r="Z416" s="1078"/>
      <c r="AA416" s="774"/>
      <c r="AB416" s="774"/>
      <c r="AC416" s="774"/>
      <c r="AD416" s="774"/>
      <c r="AE416" s="774"/>
      <c r="AF416" s="774"/>
      <c r="AG416" s="4399"/>
      <c r="AH416" s="4399"/>
      <c r="AI416" s="4399"/>
      <c r="AJ416" s="4399"/>
      <c r="AK416" s="774"/>
      <c r="AL416" s="774"/>
      <c r="AM416" s="1078"/>
      <c r="AN416" s="1078"/>
      <c r="AO416" s="4280"/>
      <c r="AP416" s="4280"/>
      <c r="AQ416" s="4459"/>
      <c r="AR416" s="4459"/>
      <c r="AS416" s="4459"/>
      <c r="AT416" s="4459"/>
      <c r="AU416" s="4638"/>
      <c r="AV416" s="4638"/>
      <c r="AW416" s="4638"/>
      <c r="AX416" s="4638"/>
      <c r="AY416" s="5139"/>
      <c r="AZ416" s="5139"/>
      <c r="BA416" s="1078"/>
      <c r="BB416" s="1078"/>
      <c r="BC416" s="774"/>
      <c r="BD416" s="774"/>
      <c r="BE416" s="5139"/>
      <c r="BF416" s="5139"/>
      <c r="BG416" s="26"/>
      <c r="BH416" s="26"/>
      <c r="BI416" s="26"/>
      <c r="BJ416" s="26"/>
    </row>
    <row r="417" spans="1:62" ht="21" hidden="1" customHeight="1" x14ac:dyDescent="0.35">
      <c r="A417" s="188"/>
      <c r="B417" s="2505"/>
      <c r="C417" s="774"/>
      <c r="D417" s="774"/>
      <c r="E417" s="774"/>
      <c r="F417" s="774"/>
      <c r="G417" s="774"/>
      <c r="H417" s="774"/>
      <c r="I417" s="774"/>
      <c r="J417" s="774"/>
      <c r="K417" s="774"/>
      <c r="L417" s="774"/>
      <c r="M417" s="1078"/>
      <c r="N417" s="1078"/>
      <c r="O417" s="774"/>
      <c r="P417" s="774"/>
      <c r="Q417" s="774"/>
      <c r="R417" s="774"/>
      <c r="S417" s="774"/>
      <c r="T417" s="774"/>
      <c r="U417" s="774"/>
      <c r="V417" s="774"/>
      <c r="W417" s="774"/>
      <c r="X417" s="774"/>
      <c r="Y417" s="1078"/>
      <c r="Z417" s="1078"/>
      <c r="AA417" s="774"/>
      <c r="AB417" s="774"/>
      <c r="AC417" s="774"/>
      <c r="AD417" s="774"/>
      <c r="AE417" s="774"/>
      <c r="AF417" s="774"/>
      <c r="AG417" s="4399"/>
      <c r="AH417" s="4399"/>
      <c r="AI417" s="4399"/>
      <c r="AJ417" s="4399"/>
      <c r="AK417" s="774"/>
      <c r="AL417" s="774"/>
      <c r="AM417" s="1078"/>
      <c r="AN417" s="1078"/>
      <c r="AO417" s="4280"/>
      <c r="AP417" s="4280"/>
      <c r="AQ417" s="4459"/>
      <c r="AR417" s="4459"/>
      <c r="AS417" s="4459"/>
      <c r="AT417" s="4459"/>
      <c r="AU417" s="4638"/>
      <c r="AV417" s="4638"/>
      <c r="AW417" s="4638"/>
      <c r="AX417" s="4638"/>
      <c r="AY417" s="5139"/>
      <c r="AZ417" s="5139"/>
      <c r="BA417" s="1078"/>
      <c r="BB417" s="1078"/>
      <c r="BC417" s="774"/>
      <c r="BD417" s="774"/>
      <c r="BE417" s="5139"/>
      <c r="BF417" s="5139"/>
      <c r="BG417" s="26"/>
      <c r="BH417" s="26"/>
      <c r="BI417" s="26"/>
      <c r="BJ417" s="26"/>
    </row>
    <row r="418" spans="1:62" ht="21" hidden="1" customHeight="1" x14ac:dyDescent="0.35">
      <c r="A418" s="188"/>
      <c r="B418" s="2505"/>
      <c r="C418" s="774"/>
      <c r="D418" s="774"/>
      <c r="E418" s="774"/>
      <c r="F418" s="774"/>
      <c r="G418" s="774"/>
      <c r="H418" s="774"/>
      <c r="I418" s="774"/>
      <c r="J418" s="774"/>
      <c r="K418" s="774"/>
      <c r="L418" s="774"/>
      <c r="M418" s="1078"/>
      <c r="N418" s="1078"/>
      <c r="O418" s="774"/>
      <c r="P418" s="774"/>
      <c r="Q418" s="774"/>
      <c r="R418" s="774"/>
      <c r="S418" s="774"/>
      <c r="T418" s="774"/>
      <c r="U418" s="774"/>
      <c r="V418" s="774"/>
      <c r="W418" s="774"/>
      <c r="X418" s="774"/>
      <c r="Y418" s="1078"/>
      <c r="Z418" s="1078"/>
      <c r="AA418" s="774"/>
      <c r="AB418" s="774"/>
      <c r="AC418" s="774"/>
      <c r="AD418" s="774"/>
      <c r="AE418" s="774"/>
      <c r="AF418" s="774"/>
      <c r="AG418" s="4399"/>
      <c r="AH418" s="4399"/>
      <c r="AI418" s="4399"/>
      <c r="AJ418" s="4399"/>
      <c r="AK418" s="774"/>
      <c r="AL418" s="774"/>
      <c r="AM418" s="1078"/>
      <c r="AN418" s="1078"/>
      <c r="AO418" s="4280"/>
      <c r="AP418" s="4280"/>
      <c r="AQ418" s="4459"/>
      <c r="AR418" s="4459"/>
      <c r="AS418" s="4459"/>
      <c r="AT418" s="4459"/>
      <c r="AU418" s="4638"/>
      <c r="AV418" s="4638"/>
      <c r="AW418" s="4638"/>
      <c r="AX418" s="4638"/>
      <c r="AY418" s="5139"/>
      <c r="AZ418" s="5139"/>
      <c r="BA418" s="1078"/>
      <c r="BB418" s="1078"/>
      <c r="BC418" s="774"/>
      <c r="BD418" s="774"/>
      <c r="BE418" s="5139"/>
      <c r="BF418" s="5139"/>
      <c r="BG418" s="26"/>
      <c r="BH418" s="26"/>
      <c r="BI418" s="26"/>
      <c r="BJ418" s="26"/>
    </row>
    <row r="419" spans="1:62" ht="21" hidden="1" customHeight="1" x14ac:dyDescent="0.35">
      <c r="A419" s="188"/>
      <c r="B419" s="2505"/>
      <c r="C419" s="774"/>
      <c r="D419" s="774"/>
      <c r="E419" s="774"/>
      <c r="F419" s="774"/>
      <c r="G419" s="774"/>
      <c r="H419" s="774"/>
      <c r="I419" s="774"/>
      <c r="J419" s="774"/>
      <c r="K419" s="774"/>
      <c r="L419" s="774"/>
      <c r="M419" s="1078"/>
      <c r="N419" s="1078"/>
      <c r="O419" s="774"/>
      <c r="P419" s="774"/>
      <c r="Q419" s="774"/>
      <c r="R419" s="774"/>
      <c r="S419" s="774"/>
      <c r="T419" s="774"/>
      <c r="U419" s="774"/>
      <c r="V419" s="774"/>
      <c r="W419" s="774"/>
      <c r="X419" s="774"/>
      <c r="Y419" s="1078"/>
      <c r="Z419" s="1078"/>
      <c r="AA419" s="774"/>
      <c r="AB419" s="774"/>
      <c r="AC419" s="774"/>
      <c r="AD419" s="774"/>
      <c r="AE419" s="774"/>
      <c r="AF419" s="774"/>
      <c r="AG419" s="4399"/>
      <c r="AH419" s="4399"/>
      <c r="AI419" s="4399"/>
      <c r="AJ419" s="4399"/>
      <c r="AK419" s="774"/>
      <c r="AL419" s="774"/>
      <c r="AM419" s="1078"/>
      <c r="AN419" s="1078"/>
      <c r="AO419" s="4280"/>
      <c r="AP419" s="4280"/>
      <c r="AQ419" s="4459"/>
      <c r="AR419" s="4459"/>
      <c r="AS419" s="4459"/>
      <c r="AT419" s="4459"/>
      <c r="AU419" s="4638"/>
      <c r="AV419" s="4638"/>
      <c r="AW419" s="4638"/>
      <c r="AX419" s="4638"/>
      <c r="AY419" s="5139"/>
      <c r="AZ419" s="5139"/>
      <c r="BA419" s="1078"/>
      <c r="BB419" s="1078"/>
      <c r="BC419" s="774"/>
      <c r="BD419" s="774"/>
      <c r="BE419" s="5139"/>
      <c r="BF419" s="5139"/>
      <c r="BG419" s="26"/>
      <c r="BH419" s="26"/>
      <c r="BI419" s="26"/>
      <c r="BJ419" s="26"/>
    </row>
    <row r="420" spans="1:62" ht="21" hidden="1" customHeight="1" x14ac:dyDescent="0.35">
      <c r="A420" s="188"/>
      <c r="B420" s="2505"/>
      <c r="C420" s="774"/>
      <c r="D420" s="774"/>
      <c r="E420" s="774"/>
      <c r="F420" s="774"/>
      <c r="G420" s="774"/>
      <c r="H420" s="774"/>
      <c r="I420" s="774"/>
      <c r="J420" s="774"/>
      <c r="K420" s="774"/>
      <c r="L420" s="774"/>
      <c r="M420" s="1078"/>
      <c r="N420" s="1078"/>
      <c r="O420" s="774"/>
      <c r="P420" s="774"/>
      <c r="Q420" s="774"/>
      <c r="R420" s="774"/>
      <c r="S420" s="774"/>
      <c r="T420" s="774"/>
      <c r="U420" s="774"/>
      <c r="V420" s="774"/>
      <c r="W420" s="774"/>
      <c r="X420" s="774"/>
      <c r="Y420" s="1078"/>
      <c r="Z420" s="1078"/>
      <c r="AA420" s="774"/>
      <c r="AB420" s="774"/>
      <c r="AC420" s="774"/>
      <c r="AD420" s="774"/>
      <c r="AE420" s="774"/>
      <c r="AF420" s="774"/>
      <c r="AG420" s="4399"/>
      <c r="AH420" s="4399"/>
      <c r="AI420" s="4399"/>
      <c r="AJ420" s="4399"/>
      <c r="AK420" s="774"/>
      <c r="AL420" s="774"/>
      <c r="AM420" s="1078"/>
      <c r="AN420" s="1078"/>
      <c r="AO420" s="4280"/>
      <c r="AP420" s="4280"/>
      <c r="AQ420" s="4459"/>
      <c r="AR420" s="4459"/>
      <c r="AS420" s="4459"/>
      <c r="AT420" s="4459"/>
      <c r="AU420" s="4638"/>
      <c r="AV420" s="4638"/>
      <c r="AW420" s="4638"/>
      <c r="AX420" s="4638"/>
      <c r="AY420" s="5139"/>
      <c r="AZ420" s="5139"/>
      <c r="BA420" s="1078"/>
      <c r="BB420" s="1078"/>
      <c r="BC420" s="774"/>
      <c r="BD420" s="774"/>
      <c r="BE420" s="5139"/>
      <c r="BF420" s="5139"/>
      <c r="BG420" s="26"/>
      <c r="BH420" s="26"/>
      <c r="BI420" s="26"/>
      <c r="BJ420" s="26"/>
    </row>
    <row r="421" spans="1:62" ht="21" hidden="1" customHeight="1" x14ac:dyDescent="0.35">
      <c r="A421" s="188"/>
      <c r="B421" s="2505"/>
      <c r="C421" s="774"/>
      <c r="D421" s="774"/>
      <c r="E421" s="774"/>
      <c r="F421" s="774"/>
      <c r="G421" s="774"/>
      <c r="H421" s="774"/>
      <c r="I421" s="774"/>
      <c r="J421" s="774"/>
      <c r="K421" s="774"/>
      <c r="L421" s="774"/>
      <c r="M421" s="1078"/>
      <c r="N421" s="1078"/>
      <c r="O421" s="774"/>
      <c r="P421" s="774"/>
      <c r="Q421" s="774"/>
      <c r="R421" s="774"/>
      <c r="S421" s="774"/>
      <c r="T421" s="774"/>
      <c r="U421" s="774"/>
      <c r="V421" s="774"/>
      <c r="W421" s="774"/>
      <c r="X421" s="774"/>
      <c r="Y421" s="1078"/>
      <c r="Z421" s="1078"/>
      <c r="AA421" s="774"/>
      <c r="AB421" s="774"/>
      <c r="AC421" s="774"/>
      <c r="AD421" s="774"/>
      <c r="AE421" s="774"/>
      <c r="AF421" s="774"/>
      <c r="AG421" s="4399"/>
      <c r="AH421" s="4399"/>
      <c r="AI421" s="4399"/>
      <c r="AJ421" s="4399"/>
      <c r="AK421" s="774"/>
      <c r="AL421" s="774"/>
      <c r="AM421" s="1078"/>
      <c r="AN421" s="1078"/>
      <c r="AO421" s="4280"/>
      <c r="AP421" s="4280"/>
      <c r="AQ421" s="4459"/>
      <c r="AR421" s="4459"/>
      <c r="AS421" s="4459"/>
      <c r="AT421" s="4459"/>
      <c r="AU421" s="4638"/>
      <c r="AV421" s="4638"/>
      <c r="AW421" s="4638"/>
      <c r="AX421" s="4638"/>
      <c r="AY421" s="5139"/>
      <c r="AZ421" s="5139"/>
      <c r="BA421" s="1078"/>
      <c r="BB421" s="1078"/>
      <c r="BC421" s="774"/>
      <c r="BD421" s="774"/>
      <c r="BE421" s="5139"/>
      <c r="BF421" s="5139"/>
      <c r="BG421" s="26"/>
      <c r="BH421" s="26"/>
      <c r="BI421" s="26"/>
      <c r="BJ421" s="26"/>
    </row>
    <row r="422" spans="1:62" ht="21" hidden="1" customHeight="1" x14ac:dyDescent="0.35">
      <c r="A422" s="188"/>
      <c r="B422" s="2505"/>
      <c r="C422" s="774"/>
      <c r="D422" s="774"/>
      <c r="E422" s="774"/>
      <c r="F422" s="774"/>
      <c r="G422" s="774"/>
      <c r="H422" s="774"/>
      <c r="I422" s="774"/>
      <c r="J422" s="774"/>
      <c r="K422" s="774"/>
      <c r="L422" s="774"/>
      <c r="M422" s="1078"/>
      <c r="N422" s="1078"/>
      <c r="O422" s="774"/>
      <c r="P422" s="774"/>
      <c r="Q422" s="774"/>
      <c r="R422" s="774"/>
      <c r="S422" s="774"/>
      <c r="T422" s="774"/>
      <c r="U422" s="774"/>
      <c r="V422" s="774"/>
      <c r="W422" s="774"/>
      <c r="X422" s="774"/>
      <c r="Y422" s="1078"/>
      <c r="Z422" s="1078"/>
      <c r="AA422" s="774"/>
      <c r="AB422" s="774"/>
      <c r="AC422" s="774"/>
      <c r="AD422" s="774"/>
      <c r="AE422" s="774"/>
      <c r="AF422" s="774"/>
      <c r="AG422" s="4399"/>
      <c r="AH422" s="4399"/>
      <c r="AI422" s="4399"/>
      <c r="AJ422" s="4399"/>
      <c r="AK422" s="774"/>
      <c r="AL422" s="774"/>
      <c r="AM422" s="1078"/>
      <c r="AN422" s="1078"/>
      <c r="AO422" s="4280"/>
      <c r="AP422" s="4280"/>
      <c r="AQ422" s="4459"/>
      <c r="AR422" s="4459"/>
      <c r="AS422" s="4459"/>
      <c r="AT422" s="4459"/>
      <c r="AU422" s="4638"/>
      <c r="AV422" s="4638"/>
      <c r="AW422" s="4638"/>
      <c r="AX422" s="4638"/>
      <c r="AY422" s="5139"/>
      <c r="AZ422" s="5139"/>
      <c r="BA422" s="1078"/>
      <c r="BB422" s="1078"/>
      <c r="BC422" s="774"/>
      <c r="BD422" s="774"/>
      <c r="BE422" s="5139"/>
      <c r="BF422" s="5139"/>
      <c r="BG422" s="26"/>
      <c r="BH422" s="26"/>
      <c r="BI422" s="26"/>
      <c r="BJ422" s="26"/>
    </row>
    <row r="423" spans="1:62" ht="21" hidden="1" customHeight="1" x14ac:dyDescent="0.35">
      <c r="A423" s="188"/>
      <c r="B423" s="2505"/>
      <c r="C423" s="774"/>
      <c r="D423" s="774"/>
      <c r="E423" s="774"/>
      <c r="F423" s="774"/>
      <c r="G423" s="774"/>
      <c r="H423" s="774"/>
      <c r="I423" s="774"/>
      <c r="J423" s="774"/>
      <c r="K423" s="774"/>
      <c r="L423" s="774"/>
      <c r="M423" s="1078"/>
      <c r="N423" s="1078"/>
      <c r="O423" s="774"/>
      <c r="P423" s="774"/>
      <c r="Q423" s="774"/>
      <c r="R423" s="774"/>
      <c r="S423" s="774"/>
      <c r="T423" s="774"/>
      <c r="U423" s="774"/>
      <c r="V423" s="774"/>
      <c r="W423" s="774"/>
      <c r="X423" s="774"/>
      <c r="Y423" s="1078"/>
      <c r="Z423" s="1078"/>
      <c r="AA423" s="774"/>
      <c r="AB423" s="774"/>
      <c r="AC423" s="774"/>
      <c r="AD423" s="774"/>
      <c r="AE423" s="774"/>
      <c r="AF423" s="774"/>
      <c r="AG423" s="4399"/>
      <c r="AH423" s="4399"/>
      <c r="AI423" s="4399"/>
      <c r="AJ423" s="4399"/>
      <c r="AK423" s="774"/>
      <c r="AL423" s="774"/>
      <c r="AM423" s="1078"/>
      <c r="AN423" s="1078"/>
      <c r="AO423" s="4280"/>
      <c r="AP423" s="4280"/>
      <c r="AQ423" s="4459"/>
      <c r="AR423" s="4459"/>
      <c r="AS423" s="4459"/>
      <c r="AT423" s="4459"/>
      <c r="AU423" s="4638"/>
      <c r="AV423" s="4638"/>
      <c r="AW423" s="4638"/>
      <c r="AX423" s="4638"/>
      <c r="AY423" s="5139"/>
      <c r="AZ423" s="5139"/>
      <c r="BA423" s="1078"/>
      <c r="BB423" s="1078"/>
      <c r="BC423" s="774"/>
      <c r="BD423" s="774"/>
      <c r="BE423" s="5139"/>
      <c r="BF423" s="5139"/>
      <c r="BG423" s="26"/>
      <c r="BH423" s="26"/>
      <c r="BI423" s="26"/>
      <c r="BJ423" s="26"/>
    </row>
    <row r="424" spans="1:62" ht="21" hidden="1" customHeight="1" x14ac:dyDescent="0.35">
      <c r="A424" s="188"/>
      <c r="B424" s="2505"/>
      <c r="C424" s="774"/>
      <c r="D424" s="774"/>
      <c r="E424" s="774"/>
      <c r="F424" s="774"/>
      <c r="G424" s="774"/>
      <c r="H424" s="774"/>
      <c r="I424" s="774"/>
      <c r="J424" s="774"/>
      <c r="K424" s="774"/>
      <c r="L424" s="774"/>
      <c r="M424" s="1078"/>
      <c r="N424" s="1078"/>
      <c r="O424" s="774"/>
      <c r="P424" s="774"/>
      <c r="Q424" s="774"/>
      <c r="R424" s="774"/>
      <c r="S424" s="774"/>
      <c r="T424" s="774"/>
      <c r="U424" s="774"/>
      <c r="V424" s="774"/>
      <c r="W424" s="774"/>
      <c r="X424" s="774"/>
      <c r="Y424" s="1078"/>
      <c r="Z424" s="1078"/>
      <c r="AA424" s="774"/>
      <c r="AB424" s="774"/>
      <c r="AC424" s="774"/>
      <c r="AD424" s="774"/>
      <c r="AE424" s="774"/>
      <c r="AF424" s="774"/>
      <c r="AG424" s="4399"/>
      <c r="AH424" s="4399"/>
      <c r="AI424" s="4399"/>
      <c r="AJ424" s="4399"/>
      <c r="AK424" s="774"/>
      <c r="AL424" s="774"/>
      <c r="AM424" s="1078"/>
      <c r="AN424" s="1078"/>
      <c r="AO424" s="4280"/>
      <c r="AP424" s="4280"/>
      <c r="AQ424" s="4459"/>
      <c r="AR424" s="4459"/>
      <c r="AS424" s="4459"/>
      <c r="AT424" s="4459"/>
      <c r="AU424" s="4638"/>
      <c r="AV424" s="4638"/>
      <c r="AW424" s="4638"/>
      <c r="AX424" s="4638"/>
      <c r="AY424" s="5139"/>
      <c r="AZ424" s="5139"/>
      <c r="BA424" s="1078"/>
      <c r="BB424" s="1078"/>
      <c r="BC424" s="774"/>
      <c r="BD424" s="774"/>
      <c r="BE424" s="5139"/>
      <c r="BF424" s="5139"/>
      <c r="BG424" s="26"/>
      <c r="BH424" s="26"/>
      <c r="BI424" s="26"/>
      <c r="BJ424" s="26"/>
    </row>
    <row r="425" spans="1:62" ht="21" hidden="1" customHeight="1" x14ac:dyDescent="0.35">
      <c r="A425" s="188"/>
      <c r="B425" s="2505"/>
      <c r="C425" s="774"/>
      <c r="D425" s="774"/>
      <c r="E425" s="774"/>
      <c r="F425" s="774"/>
      <c r="G425" s="774"/>
      <c r="H425" s="774"/>
      <c r="I425" s="774"/>
      <c r="J425" s="774"/>
      <c r="K425" s="774"/>
      <c r="L425" s="774"/>
      <c r="M425" s="1078"/>
      <c r="N425" s="1078"/>
      <c r="O425" s="774"/>
      <c r="P425" s="774"/>
      <c r="Q425" s="774"/>
      <c r="R425" s="774"/>
      <c r="S425" s="774"/>
      <c r="T425" s="774"/>
      <c r="U425" s="774"/>
      <c r="V425" s="774"/>
      <c r="W425" s="774"/>
      <c r="X425" s="774"/>
      <c r="Y425" s="1078"/>
      <c r="Z425" s="1078"/>
      <c r="AA425" s="774"/>
      <c r="AB425" s="774"/>
      <c r="AC425" s="774"/>
      <c r="AD425" s="774"/>
      <c r="AE425" s="774"/>
      <c r="AF425" s="774"/>
      <c r="AG425" s="4399"/>
      <c r="AH425" s="4399"/>
      <c r="AI425" s="4399"/>
      <c r="AJ425" s="4399"/>
      <c r="AK425" s="774"/>
      <c r="AL425" s="774"/>
      <c r="AM425" s="1078"/>
      <c r="AN425" s="1078"/>
      <c r="AO425" s="4280"/>
      <c r="AP425" s="4280"/>
      <c r="AQ425" s="4459"/>
      <c r="AR425" s="4459"/>
      <c r="AS425" s="4459"/>
      <c r="AT425" s="4459"/>
      <c r="AU425" s="4638"/>
      <c r="AV425" s="4638"/>
      <c r="AW425" s="4638"/>
      <c r="AX425" s="4638"/>
      <c r="AY425" s="5139"/>
      <c r="AZ425" s="5139"/>
      <c r="BA425" s="1078"/>
      <c r="BB425" s="1078"/>
      <c r="BC425" s="774"/>
      <c r="BD425" s="774"/>
      <c r="BE425" s="5139"/>
      <c r="BF425" s="5139"/>
      <c r="BG425" s="26"/>
      <c r="BH425" s="26"/>
      <c r="BI425" s="26"/>
      <c r="BJ425" s="26"/>
    </row>
    <row r="426" spans="1:62" ht="21" hidden="1" customHeight="1" x14ac:dyDescent="0.35">
      <c r="A426" s="188"/>
      <c r="B426" s="2505"/>
      <c r="C426" s="774"/>
      <c r="D426" s="774"/>
      <c r="E426" s="774"/>
      <c r="F426" s="774"/>
      <c r="G426" s="774"/>
      <c r="H426" s="774"/>
      <c r="I426" s="774"/>
      <c r="J426" s="774"/>
      <c r="K426" s="774"/>
      <c r="L426" s="774"/>
      <c r="M426" s="1078"/>
      <c r="N426" s="1078"/>
      <c r="O426" s="774"/>
      <c r="P426" s="774"/>
      <c r="Q426" s="774"/>
      <c r="R426" s="774"/>
      <c r="S426" s="774"/>
      <c r="T426" s="774"/>
      <c r="U426" s="774"/>
      <c r="V426" s="774"/>
      <c r="W426" s="774"/>
      <c r="X426" s="774"/>
      <c r="Y426" s="1078"/>
      <c r="Z426" s="1078"/>
      <c r="AA426" s="774"/>
      <c r="AB426" s="774"/>
      <c r="AC426" s="774"/>
      <c r="AD426" s="774"/>
      <c r="AE426" s="774"/>
      <c r="AF426" s="774"/>
      <c r="AG426" s="4399"/>
      <c r="AH426" s="4399"/>
      <c r="AI426" s="4399"/>
      <c r="AJ426" s="4399"/>
      <c r="AK426" s="774"/>
      <c r="AL426" s="774"/>
      <c r="AM426" s="1078"/>
      <c r="AN426" s="1078"/>
      <c r="AO426" s="4280"/>
      <c r="AP426" s="4280"/>
      <c r="AQ426" s="4459"/>
      <c r="AR426" s="4459"/>
      <c r="AS426" s="4459"/>
      <c r="AT426" s="4459"/>
      <c r="AU426" s="4638"/>
      <c r="AV426" s="4638"/>
      <c r="AW426" s="4638"/>
      <c r="AX426" s="4638"/>
      <c r="AY426" s="5139"/>
      <c r="AZ426" s="5139"/>
      <c r="BA426" s="1078"/>
      <c r="BB426" s="1078"/>
      <c r="BC426" s="774"/>
      <c r="BD426" s="774"/>
      <c r="BE426" s="5139"/>
      <c r="BF426" s="5139"/>
      <c r="BG426" s="26"/>
      <c r="BH426" s="26"/>
      <c r="BI426" s="26"/>
      <c r="BJ426" s="26"/>
    </row>
    <row r="427" spans="1:62" ht="21" hidden="1" customHeight="1" x14ac:dyDescent="0.35">
      <c r="A427" s="188"/>
      <c r="B427" s="2505"/>
      <c r="C427" s="774"/>
      <c r="D427" s="774"/>
      <c r="E427" s="774"/>
      <c r="F427" s="774"/>
      <c r="G427" s="774"/>
      <c r="H427" s="774"/>
      <c r="I427" s="774"/>
      <c r="J427" s="774"/>
      <c r="K427" s="774"/>
      <c r="L427" s="774"/>
      <c r="M427" s="1078"/>
      <c r="N427" s="1078"/>
      <c r="O427" s="774"/>
      <c r="P427" s="774"/>
      <c r="Q427" s="774"/>
      <c r="R427" s="774"/>
      <c r="S427" s="774"/>
      <c r="T427" s="774"/>
      <c r="U427" s="774"/>
      <c r="V427" s="774"/>
      <c r="W427" s="774"/>
      <c r="X427" s="774"/>
      <c r="Y427" s="1078"/>
      <c r="Z427" s="1078"/>
      <c r="AA427" s="774"/>
      <c r="AB427" s="774"/>
      <c r="AC427" s="774"/>
      <c r="AD427" s="774"/>
      <c r="AE427" s="774"/>
      <c r="AF427" s="774"/>
      <c r="AG427" s="4399"/>
      <c r="AH427" s="4399"/>
      <c r="AI427" s="4399"/>
      <c r="AJ427" s="4399"/>
      <c r="AK427" s="774"/>
      <c r="AL427" s="774"/>
      <c r="AM427" s="1078"/>
      <c r="AN427" s="1078"/>
      <c r="AO427" s="4280"/>
      <c r="AP427" s="4280"/>
      <c r="AQ427" s="4459"/>
      <c r="AR427" s="4459"/>
      <c r="AS427" s="4459"/>
      <c r="AT427" s="4459"/>
      <c r="AU427" s="4638"/>
      <c r="AV427" s="4638"/>
      <c r="AW427" s="4638"/>
      <c r="AX427" s="4638"/>
      <c r="AY427" s="5139"/>
      <c r="AZ427" s="5139"/>
      <c r="BA427" s="1078"/>
      <c r="BB427" s="1078"/>
      <c r="BC427" s="774"/>
      <c r="BD427" s="774"/>
      <c r="BE427" s="5139"/>
      <c r="BF427" s="5139"/>
      <c r="BG427" s="26"/>
      <c r="BH427" s="26"/>
      <c r="BI427" s="26"/>
      <c r="BJ427" s="26"/>
    </row>
    <row r="428" spans="1:62" ht="21" hidden="1" customHeight="1" x14ac:dyDescent="0.35">
      <c r="A428" s="188"/>
      <c r="B428" s="2505"/>
      <c r="C428" s="774"/>
      <c r="D428" s="774"/>
      <c r="E428" s="774"/>
      <c r="F428" s="774"/>
      <c r="G428" s="774"/>
      <c r="H428" s="774"/>
      <c r="I428" s="774"/>
      <c r="J428" s="774"/>
      <c r="K428" s="774"/>
      <c r="L428" s="774"/>
      <c r="M428" s="1078"/>
      <c r="N428" s="1078"/>
      <c r="O428" s="774"/>
      <c r="P428" s="774"/>
      <c r="Q428" s="774"/>
      <c r="R428" s="774"/>
      <c r="S428" s="774"/>
      <c r="T428" s="774"/>
      <c r="U428" s="774"/>
      <c r="V428" s="774"/>
      <c r="W428" s="774"/>
      <c r="X428" s="774"/>
      <c r="Y428" s="1078"/>
      <c r="Z428" s="1078"/>
      <c r="AA428" s="774"/>
      <c r="AB428" s="774"/>
      <c r="AC428" s="774"/>
      <c r="AD428" s="774"/>
      <c r="AE428" s="774"/>
      <c r="AF428" s="774"/>
      <c r="AG428" s="4399"/>
      <c r="AH428" s="4399"/>
      <c r="AI428" s="4399"/>
      <c r="AJ428" s="4399"/>
      <c r="AK428" s="774"/>
      <c r="AL428" s="774"/>
      <c r="AM428" s="1078"/>
      <c r="AN428" s="1078"/>
      <c r="AO428" s="4280"/>
      <c r="AP428" s="4280"/>
      <c r="AQ428" s="4459"/>
      <c r="AR428" s="4459"/>
      <c r="AS428" s="4459"/>
      <c r="AT428" s="4459"/>
      <c r="AU428" s="4638"/>
      <c r="AV428" s="4638"/>
      <c r="AW428" s="4638"/>
      <c r="AX428" s="4638"/>
      <c r="AY428" s="5139"/>
      <c r="AZ428" s="5139"/>
      <c r="BA428" s="1078"/>
      <c r="BB428" s="1078"/>
      <c r="BC428" s="774"/>
      <c r="BD428" s="774"/>
      <c r="BE428" s="5139"/>
      <c r="BF428" s="5139"/>
      <c r="BG428" s="26"/>
      <c r="BH428" s="26"/>
      <c r="BI428" s="26"/>
      <c r="BJ428" s="26"/>
    </row>
    <row r="429" spans="1:62" ht="21" hidden="1" customHeight="1" x14ac:dyDescent="0.35">
      <c r="A429" s="188"/>
      <c r="B429" s="2505"/>
      <c r="C429" s="774"/>
      <c r="D429" s="774"/>
      <c r="E429" s="774"/>
      <c r="F429" s="774"/>
      <c r="G429" s="774"/>
      <c r="H429" s="774"/>
      <c r="I429" s="774"/>
      <c r="J429" s="774"/>
      <c r="K429" s="774"/>
      <c r="L429" s="774"/>
      <c r="M429" s="1078"/>
      <c r="N429" s="1078"/>
      <c r="O429" s="774"/>
      <c r="P429" s="774"/>
      <c r="Q429" s="774"/>
      <c r="R429" s="774"/>
      <c r="S429" s="774"/>
      <c r="T429" s="774"/>
      <c r="U429" s="774"/>
      <c r="V429" s="774"/>
      <c r="W429" s="774"/>
      <c r="X429" s="774"/>
      <c r="Y429" s="1078"/>
      <c r="Z429" s="1078"/>
      <c r="AA429" s="774"/>
      <c r="AB429" s="774"/>
      <c r="AC429" s="774"/>
      <c r="AD429" s="774"/>
      <c r="AE429" s="774"/>
      <c r="AF429" s="774"/>
      <c r="AG429" s="4399"/>
      <c r="AH429" s="4399"/>
      <c r="AI429" s="4399"/>
      <c r="AJ429" s="4399"/>
      <c r="AK429" s="774"/>
      <c r="AL429" s="774"/>
      <c r="AM429" s="1078"/>
      <c r="AN429" s="1078"/>
      <c r="AO429" s="4280"/>
      <c r="AP429" s="4280"/>
      <c r="AQ429" s="4459"/>
      <c r="AR429" s="4459"/>
      <c r="AS429" s="4459"/>
      <c r="AT429" s="4459"/>
      <c r="AU429" s="4638"/>
      <c r="AV429" s="4638"/>
      <c r="AW429" s="4638"/>
      <c r="AX429" s="4638"/>
      <c r="AY429" s="5139"/>
      <c r="AZ429" s="5139"/>
      <c r="BA429" s="1078"/>
      <c r="BB429" s="1078"/>
      <c r="BC429" s="774"/>
      <c r="BD429" s="774"/>
      <c r="BE429" s="5139"/>
      <c r="BF429" s="5139"/>
      <c r="BG429" s="26"/>
      <c r="BH429" s="26"/>
      <c r="BI429" s="26"/>
      <c r="BJ429" s="26"/>
    </row>
    <row r="430" spans="1:62" ht="21" hidden="1" customHeight="1" x14ac:dyDescent="0.35">
      <c r="A430" s="188"/>
      <c r="B430" s="2505"/>
      <c r="C430" s="774"/>
      <c r="D430" s="774"/>
      <c r="E430" s="774"/>
      <c r="F430" s="774"/>
      <c r="G430" s="774"/>
      <c r="H430" s="774"/>
      <c r="I430" s="774"/>
      <c r="J430" s="774"/>
      <c r="K430" s="774"/>
      <c r="L430" s="774"/>
      <c r="M430" s="1078"/>
      <c r="N430" s="1078"/>
      <c r="O430" s="774"/>
      <c r="P430" s="774"/>
      <c r="Q430" s="774"/>
      <c r="R430" s="774"/>
      <c r="S430" s="774"/>
      <c r="T430" s="774"/>
      <c r="U430" s="774"/>
      <c r="V430" s="774"/>
      <c r="W430" s="774"/>
      <c r="X430" s="774"/>
      <c r="Y430" s="1078"/>
      <c r="Z430" s="1078"/>
      <c r="AA430" s="774"/>
      <c r="AB430" s="774"/>
      <c r="AC430" s="774"/>
      <c r="AD430" s="774"/>
      <c r="AE430" s="774"/>
      <c r="AF430" s="774"/>
      <c r="AG430" s="4399"/>
      <c r="AH430" s="4399"/>
      <c r="AI430" s="4399"/>
      <c r="AJ430" s="4399"/>
      <c r="AK430" s="774"/>
      <c r="AL430" s="774"/>
      <c r="AM430" s="1078"/>
      <c r="AN430" s="1078"/>
      <c r="AO430" s="4280"/>
      <c r="AP430" s="4280"/>
      <c r="AQ430" s="4459"/>
      <c r="AR430" s="4459"/>
      <c r="AS430" s="4459"/>
      <c r="AT430" s="4459"/>
      <c r="AU430" s="4638"/>
      <c r="AV430" s="4638"/>
      <c r="AW430" s="4638"/>
      <c r="AX430" s="4638"/>
      <c r="AY430" s="5139"/>
      <c r="AZ430" s="5139"/>
      <c r="BA430" s="1078"/>
      <c r="BB430" s="1078"/>
      <c r="BC430" s="774"/>
      <c r="BD430" s="774"/>
      <c r="BE430" s="5139"/>
      <c r="BF430" s="5139"/>
      <c r="BG430" s="26"/>
      <c r="BH430" s="26"/>
      <c r="BI430" s="26"/>
      <c r="BJ430" s="26"/>
    </row>
    <row r="431" spans="1:62" ht="21" hidden="1" customHeight="1" x14ac:dyDescent="0.35">
      <c r="A431" s="188"/>
      <c r="B431" s="2505"/>
      <c r="C431" s="774"/>
      <c r="D431" s="774"/>
      <c r="E431" s="774"/>
      <c r="F431" s="774"/>
      <c r="G431" s="774"/>
      <c r="H431" s="774"/>
      <c r="I431" s="774"/>
      <c r="J431" s="774"/>
      <c r="K431" s="774"/>
      <c r="L431" s="774"/>
      <c r="M431" s="1078"/>
      <c r="N431" s="1078"/>
      <c r="O431" s="774"/>
      <c r="P431" s="774"/>
      <c r="Q431" s="774"/>
      <c r="R431" s="774"/>
      <c r="S431" s="774"/>
      <c r="T431" s="774"/>
      <c r="U431" s="774"/>
      <c r="V431" s="774"/>
      <c r="W431" s="774"/>
      <c r="X431" s="774"/>
      <c r="Y431" s="1078"/>
      <c r="Z431" s="1078"/>
      <c r="AA431" s="774"/>
      <c r="AB431" s="774"/>
      <c r="AC431" s="774"/>
      <c r="AD431" s="774"/>
      <c r="AE431" s="774"/>
      <c r="AF431" s="774"/>
      <c r="AG431" s="4399"/>
      <c r="AH431" s="4399"/>
      <c r="AI431" s="4399"/>
      <c r="AJ431" s="4399"/>
      <c r="AK431" s="774"/>
      <c r="AL431" s="774"/>
      <c r="AM431" s="1078"/>
      <c r="AN431" s="1078"/>
      <c r="AO431" s="4280"/>
      <c r="AP431" s="4280"/>
      <c r="AQ431" s="4459"/>
      <c r="AR431" s="4459"/>
      <c r="AS431" s="4459"/>
      <c r="AT431" s="4459"/>
      <c r="AU431" s="4638"/>
      <c r="AV431" s="4638"/>
      <c r="AW431" s="4638"/>
      <c r="AX431" s="4638"/>
      <c r="AY431" s="5139"/>
      <c r="AZ431" s="5139"/>
      <c r="BA431" s="1078"/>
      <c r="BB431" s="1078"/>
      <c r="BC431" s="774"/>
      <c r="BD431" s="774"/>
      <c r="BE431" s="5139"/>
      <c r="BF431" s="5139"/>
      <c r="BG431" s="26"/>
      <c r="BH431" s="26"/>
      <c r="BI431" s="26"/>
      <c r="BJ431" s="26"/>
    </row>
    <row r="432" spans="1:62" ht="21" hidden="1" customHeight="1" x14ac:dyDescent="0.35">
      <c r="A432" s="188"/>
      <c r="B432" s="2505"/>
      <c r="C432" s="774"/>
      <c r="D432" s="774"/>
      <c r="E432" s="774"/>
      <c r="F432" s="774"/>
      <c r="G432" s="774"/>
      <c r="H432" s="774"/>
      <c r="I432" s="774"/>
      <c r="J432" s="774"/>
      <c r="K432" s="774"/>
      <c r="L432" s="774"/>
      <c r="M432" s="1078"/>
      <c r="N432" s="1078"/>
      <c r="O432" s="774"/>
      <c r="P432" s="774"/>
      <c r="Q432" s="774"/>
      <c r="R432" s="774"/>
      <c r="S432" s="774"/>
      <c r="T432" s="774"/>
      <c r="U432" s="774"/>
      <c r="V432" s="774"/>
      <c r="W432" s="774"/>
      <c r="X432" s="774"/>
      <c r="Y432" s="1078"/>
      <c r="Z432" s="1078"/>
      <c r="AA432" s="774"/>
      <c r="AB432" s="774"/>
      <c r="AC432" s="774"/>
      <c r="AD432" s="774"/>
      <c r="AE432" s="774"/>
      <c r="AF432" s="774"/>
      <c r="AG432" s="4399"/>
      <c r="AH432" s="4399"/>
      <c r="AI432" s="4399"/>
      <c r="AJ432" s="4399"/>
      <c r="AK432" s="774"/>
      <c r="AL432" s="774"/>
      <c r="AM432" s="1078"/>
      <c r="AN432" s="1078"/>
      <c r="AO432" s="4280"/>
      <c r="AP432" s="4280"/>
      <c r="AQ432" s="4459"/>
      <c r="AR432" s="4459"/>
      <c r="AS432" s="4459"/>
      <c r="AT432" s="4459"/>
      <c r="AU432" s="4638"/>
      <c r="AV432" s="4638"/>
      <c r="AW432" s="4638"/>
      <c r="AX432" s="4638"/>
      <c r="AY432" s="5139"/>
      <c r="AZ432" s="5139"/>
      <c r="BA432" s="1078"/>
      <c r="BB432" s="1078"/>
      <c r="BC432" s="774"/>
      <c r="BD432" s="774"/>
      <c r="BE432" s="5139"/>
      <c r="BF432" s="5139"/>
      <c r="BG432" s="26"/>
      <c r="BH432" s="26"/>
      <c r="BI432" s="26"/>
      <c r="BJ432" s="26"/>
    </row>
    <row r="433" spans="1:62" ht="21" hidden="1" customHeight="1" x14ac:dyDescent="0.35">
      <c r="A433" s="188"/>
      <c r="B433" s="2505"/>
      <c r="C433" s="774"/>
      <c r="D433" s="774"/>
      <c r="E433" s="774"/>
      <c r="F433" s="774"/>
      <c r="G433" s="774"/>
      <c r="H433" s="774"/>
      <c r="I433" s="774"/>
      <c r="J433" s="774"/>
      <c r="K433" s="774"/>
      <c r="L433" s="774"/>
      <c r="M433" s="1078"/>
      <c r="N433" s="1078"/>
      <c r="O433" s="774"/>
      <c r="P433" s="774"/>
      <c r="Q433" s="774"/>
      <c r="R433" s="774"/>
      <c r="S433" s="774"/>
      <c r="T433" s="774"/>
      <c r="U433" s="774"/>
      <c r="V433" s="774"/>
      <c r="W433" s="774"/>
      <c r="X433" s="774"/>
      <c r="Y433" s="1078"/>
      <c r="Z433" s="1078"/>
      <c r="AA433" s="774"/>
      <c r="AB433" s="774"/>
      <c r="AC433" s="774"/>
      <c r="AD433" s="774"/>
      <c r="AE433" s="774"/>
      <c r="AF433" s="774"/>
      <c r="AG433" s="4399"/>
      <c r="AH433" s="4399"/>
      <c r="AI433" s="4399"/>
      <c r="AJ433" s="4399"/>
      <c r="AK433" s="774"/>
      <c r="AL433" s="774"/>
      <c r="AM433" s="1078"/>
      <c r="AN433" s="1078"/>
      <c r="AO433" s="4280"/>
      <c r="AP433" s="4280"/>
      <c r="AQ433" s="4459"/>
      <c r="AR433" s="4459"/>
      <c r="AS433" s="4459"/>
      <c r="AT433" s="4459"/>
      <c r="AU433" s="4638"/>
      <c r="AV433" s="4638"/>
      <c r="AW433" s="4638"/>
      <c r="AX433" s="4638"/>
      <c r="AY433" s="5139"/>
      <c r="AZ433" s="5139"/>
      <c r="BA433" s="1078"/>
      <c r="BB433" s="1078"/>
      <c r="BC433" s="774"/>
      <c r="BD433" s="774"/>
      <c r="BE433" s="5139"/>
      <c r="BF433" s="5139"/>
      <c r="BG433" s="26"/>
      <c r="BH433" s="26"/>
      <c r="BI433" s="26"/>
      <c r="BJ433" s="26"/>
    </row>
    <row r="434" spans="1:62" ht="21" hidden="1" customHeight="1" x14ac:dyDescent="0.35">
      <c r="A434" s="188"/>
      <c r="B434" s="2505"/>
      <c r="C434" s="774"/>
      <c r="D434" s="774"/>
      <c r="E434" s="774"/>
      <c r="F434" s="774"/>
      <c r="G434" s="774"/>
      <c r="H434" s="774"/>
      <c r="I434" s="774"/>
      <c r="J434" s="774"/>
      <c r="K434" s="774"/>
      <c r="L434" s="774"/>
      <c r="M434" s="1078"/>
      <c r="N434" s="1078"/>
      <c r="O434" s="774"/>
      <c r="P434" s="774"/>
      <c r="Q434" s="774"/>
      <c r="R434" s="774"/>
      <c r="S434" s="774"/>
      <c r="T434" s="774"/>
      <c r="U434" s="774"/>
      <c r="V434" s="774"/>
      <c r="W434" s="774"/>
      <c r="X434" s="774"/>
      <c r="Y434" s="1078"/>
      <c r="Z434" s="1078"/>
      <c r="AA434" s="774"/>
      <c r="AB434" s="774"/>
      <c r="AC434" s="774"/>
      <c r="AD434" s="774"/>
      <c r="AE434" s="774"/>
      <c r="AF434" s="774"/>
      <c r="AG434" s="4399"/>
      <c r="AH434" s="4399"/>
      <c r="AI434" s="4399"/>
      <c r="AJ434" s="4399"/>
      <c r="AK434" s="774"/>
      <c r="AL434" s="774"/>
      <c r="AM434" s="1078"/>
      <c r="AN434" s="1078"/>
      <c r="AO434" s="4280"/>
      <c r="AP434" s="4280"/>
      <c r="AQ434" s="4459"/>
      <c r="AR434" s="4459"/>
      <c r="AS434" s="4459"/>
      <c r="AT434" s="4459"/>
      <c r="AU434" s="4638"/>
      <c r="AV434" s="4638"/>
      <c r="AW434" s="4638"/>
      <c r="AX434" s="4638"/>
      <c r="AY434" s="5139"/>
      <c r="AZ434" s="5139"/>
      <c r="BA434" s="1078"/>
      <c r="BB434" s="1078"/>
      <c r="BC434" s="774"/>
      <c r="BD434" s="774"/>
      <c r="BE434" s="5139"/>
      <c r="BF434" s="5139"/>
      <c r="BG434" s="26"/>
      <c r="BH434" s="26"/>
      <c r="BI434" s="26"/>
      <c r="BJ434" s="26"/>
    </row>
    <row r="435" spans="1:62" ht="21" hidden="1" customHeight="1" x14ac:dyDescent="0.35">
      <c r="A435" s="188"/>
      <c r="B435" s="2505"/>
      <c r="C435" s="774"/>
      <c r="D435" s="774"/>
      <c r="E435" s="774"/>
      <c r="F435" s="774"/>
      <c r="G435" s="774"/>
      <c r="H435" s="774"/>
      <c r="I435" s="774"/>
      <c r="J435" s="774"/>
      <c r="K435" s="774"/>
      <c r="L435" s="774"/>
      <c r="M435" s="1078"/>
      <c r="N435" s="1078"/>
      <c r="O435" s="774"/>
      <c r="P435" s="774"/>
      <c r="Q435" s="774"/>
      <c r="R435" s="774"/>
      <c r="S435" s="774"/>
      <c r="T435" s="774"/>
      <c r="U435" s="774"/>
      <c r="V435" s="774"/>
      <c r="W435" s="774"/>
      <c r="X435" s="774"/>
      <c r="Y435" s="1078"/>
      <c r="Z435" s="1078"/>
      <c r="AA435" s="774"/>
      <c r="AB435" s="774"/>
      <c r="AC435" s="774"/>
      <c r="AD435" s="774"/>
      <c r="AE435" s="774"/>
      <c r="AF435" s="774"/>
      <c r="AG435" s="4399"/>
      <c r="AH435" s="4399"/>
      <c r="AI435" s="4399"/>
      <c r="AJ435" s="4399"/>
      <c r="AK435" s="774"/>
      <c r="AL435" s="774"/>
      <c r="AM435" s="1078"/>
      <c r="AN435" s="1078"/>
      <c r="AO435" s="4280"/>
      <c r="AP435" s="4280"/>
      <c r="AQ435" s="4459"/>
      <c r="AR435" s="4459"/>
      <c r="AS435" s="4459"/>
      <c r="AT435" s="4459"/>
      <c r="AU435" s="4638"/>
      <c r="AV435" s="4638"/>
      <c r="AW435" s="4638"/>
      <c r="AX435" s="4638"/>
      <c r="AY435" s="5139"/>
      <c r="AZ435" s="5139"/>
      <c r="BA435" s="1078"/>
      <c r="BB435" s="1078"/>
      <c r="BC435" s="774"/>
      <c r="BD435" s="774"/>
      <c r="BE435" s="5139"/>
      <c r="BF435" s="5139"/>
      <c r="BG435" s="26"/>
      <c r="BH435" s="26"/>
      <c r="BI435" s="26"/>
      <c r="BJ435" s="26"/>
    </row>
    <row r="436" spans="1:62" ht="21" hidden="1" customHeight="1" x14ac:dyDescent="0.35">
      <c r="A436" s="188"/>
      <c r="B436" s="2505"/>
      <c r="C436" s="774"/>
      <c r="D436" s="774"/>
      <c r="E436" s="774"/>
      <c r="F436" s="774"/>
      <c r="G436" s="774"/>
      <c r="H436" s="774"/>
      <c r="I436" s="774"/>
      <c r="J436" s="774"/>
      <c r="K436" s="774"/>
      <c r="L436" s="774"/>
      <c r="M436" s="1078"/>
      <c r="N436" s="1078"/>
      <c r="O436" s="774"/>
      <c r="P436" s="774"/>
      <c r="Q436" s="774"/>
      <c r="R436" s="774"/>
      <c r="S436" s="774"/>
      <c r="T436" s="774"/>
      <c r="U436" s="774"/>
      <c r="V436" s="774"/>
      <c r="W436" s="774"/>
      <c r="X436" s="774"/>
      <c r="Y436" s="1078"/>
      <c r="Z436" s="1078"/>
      <c r="AA436" s="774"/>
      <c r="AB436" s="774"/>
      <c r="AC436" s="774"/>
      <c r="AD436" s="774"/>
      <c r="AE436" s="774"/>
      <c r="AF436" s="774"/>
      <c r="AG436" s="4399"/>
      <c r="AH436" s="4399"/>
      <c r="AI436" s="4399"/>
      <c r="AJ436" s="4399"/>
      <c r="AK436" s="774"/>
      <c r="AL436" s="774"/>
      <c r="AM436" s="1078"/>
      <c r="AN436" s="1078"/>
      <c r="AO436" s="4280"/>
      <c r="AP436" s="4280"/>
      <c r="AQ436" s="4459"/>
      <c r="AR436" s="4459"/>
      <c r="AS436" s="4459"/>
      <c r="AT436" s="4459"/>
      <c r="AU436" s="4638"/>
      <c r="AV436" s="4638"/>
      <c r="AW436" s="4638"/>
      <c r="AX436" s="4638"/>
      <c r="AY436" s="5139"/>
      <c r="AZ436" s="5139"/>
      <c r="BA436" s="1078"/>
      <c r="BB436" s="1078"/>
      <c r="BC436" s="774"/>
      <c r="BD436" s="774"/>
      <c r="BE436" s="5139"/>
      <c r="BF436" s="5139"/>
      <c r="BG436" s="26"/>
      <c r="BH436" s="26"/>
      <c r="BI436" s="26"/>
      <c r="BJ436" s="26"/>
    </row>
    <row r="437" spans="1:62" ht="21" hidden="1" customHeight="1" x14ac:dyDescent="0.35">
      <c r="A437" s="188"/>
      <c r="B437" s="2505"/>
      <c r="C437" s="774"/>
      <c r="D437" s="774"/>
      <c r="E437" s="774"/>
      <c r="F437" s="774"/>
      <c r="G437" s="774"/>
      <c r="H437" s="774"/>
      <c r="I437" s="774"/>
      <c r="J437" s="774"/>
      <c r="K437" s="774"/>
      <c r="L437" s="774"/>
      <c r="M437" s="1078"/>
      <c r="N437" s="1078"/>
      <c r="O437" s="774"/>
      <c r="P437" s="774"/>
      <c r="Q437" s="774"/>
      <c r="R437" s="774"/>
      <c r="S437" s="774"/>
      <c r="T437" s="774"/>
      <c r="U437" s="774"/>
      <c r="V437" s="774"/>
      <c r="W437" s="774"/>
      <c r="X437" s="774"/>
      <c r="Y437" s="1078"/>
      <c r="Z437" s="1078"/>
      <c r="AA437" s="774"/>
      <c r="AB437" s="774"/>
      <c r="AC437" s="774"/>
      <c r="AD437" s="774"/>
      <c r="AE437" s="774"/>
      <c r="AF437" s="774"/>
      <c r="AG437" s="4399"/>
      <c r="AH437" s="4399"/>
      <c r="AI437" s="4399"/>
      <c r="AJ437" s="4399"/>
      <c r="AK437" s="774"/>
      <c r="AL437" s="774"/>
      <c r="AM437" s="1078"/>
      <c r="AN437" s="1078"/>
      <c r="AO437" s="4280"/>
      <c r="AP437" s="4280"/>
      <c r="AQ437" s="4459"/>
      <c r="AR437" s="4459"/>
      <c r="AS437" s="4459"/>
      <c r="AT437" s="4459"/>
      <c r="AU437" s="4638"/>
      <c r="AV437" s="4638"/>
      <c r="AW437" s="4638"/>
      <c r="AX437" s="4638"/>
      <c r="AY437" s="5139"/>
      <c r="AZ437" s="5139"/>
      <c r="BA437" s="1078"/>
      <c r="BB437" s="1078"/>
      <c r="BC437" s="774"/>
      <c r="BD437" s="774"/>
      <c r="BE437" s="5139"/>
      <c r="BF437" s="5139"/>
      <c r="BG437" s="26"/>
      <c r="BH437" s="26"/>
      <c r="BI437" s="26"/>
      <c r="BJ437" s="26"/>
    </row>
    <row r="438" spans="1:62" ht="21" hidden="1" customHeight="1" x14ac:dyDescent="0.35">
      <c r="A438" s="188"/>
      <c r="B438" s="2505"/>
      <c r="C438" s="774"/>
      <c r="D438" s="774"/>
      <c r="E438" s="774"/>
      <c r="F438" s="774"/>
      <c r="G438" s="774"/>
      <c r="H438" s="774"/>
      <c r="I438" s="774"/>
      <c r="J438" s="774"/>
      <c r="K438" s="774"/>
      <c r="L438" s="774"/>
      <c r="M438" s="1078"/>
      <c r="N438" s="1078"/>
      <c r="O438" s="774"/>
      <c r="P438" s="774"/>
      <c r="Q438" s="774"/>
      <c r="R438" s="774"/>
      <c r="S438" s="774"/>
      <c r="T438" s="774"/>
      <c r="U438" s="774"/>
      <c r="V438" s="774"/>
      <c r="W438" s="774"/>
      <c r="X438" s="774"/>
      <c r="Y438" s="1078"/>
      <c r="Z438" s="1078"/>
      <c r="AA438" s="774"/>
      <c r="AB438" s="774"/>
      <c r="AC438" s="774"/>
      <c r="AD438" s="774"/>
      <c r="AE438" s="774"/>
      <c r="AF438" s="774"/>
      <c r="AG438" s="4399"/>
      <c r="AH438" s="4399"/>
      <c r="AI438" s="4399"/>
      <c r="AJ438" s="4399"/>
      <c r="AK438" s="774"/>
      <c r="AL438" s="774"/>
      <c r="AM438" s="1078"/>
      <c r="AN438" s="1078"/>
      <c r="AO438" s="4280"/>
      <c r="AP438" s="4280"/>
      <c r="AQ438" s="4459"/>
      <c r="AR438" s="4459"/>
      <c r="AS438" s="4459"/>
      <c r="AT438" s="4459"/>
      <c r="AU438" s="4638"/>
      <c r="AV438" s="4638"/>
      <c r="AW438" s="4638"/>
      <c r="AX438" s="4638"/>
      <c r="AY438" s="5139"/>
      <c r="AZ438" s="5139"/>
      <c r="BA438" s="1078"/>
      <c r="BB438" s="1078"/>
      <c r="BC438" s="774"/>
      <c r="BD438" s="774"/>
      <c r="BE438" s="5139"/>
      <c r="BF438" s="5139"/>
      <c r="BG438" s="26"/>
      <c r="BH438" s="26"/>
      <c r="BI438" s="26"/>
      <c r="BJ438" s="26"/>
    </row>
    <row r="439" spans="1:62" ht="21" hidden="1" customHeight="1" x14ac:dyDescent="0.35">
      <c r="A439" s="188"/>
      <c r="B439" s="2505"/>
      <c r="C439" s="774"/>
      <c r="D439" s="774"/>
      <c r="E439" s="774"/>
      <c r="F439" s="774"/>
      <c r="G439" s="774"/>
      <c r="H439" s="774"/>
      <c r="I439" s="774"/>
      <c r="J439" s="774"/>
      <c r="K439" s="774"/>
      <c r="L439" s="774"/>
      <c r="M439" s="1078"/>
      <c r="N439" s="1078"/>
      <c r="O439" s="774"/>
      <c r="P439" s="774"/>
      <c r="Q439" s="774"/>
      <c r="R439" s="774"/>
      <c r="S439" s="774"/>
      <c r="T439" s="774"/>
      <c r="U439" s="774"/>
      <c r="V439" s="774"/>
      <c r="W439" s="774"/>
      <c r="X439" s="774"/>
      <c r="Y439" s="1078"/>
      <c r="Z439" s="1078"/>
      <c r="AA439" s="774"/>
      <c r="AB439" s="774"/>
      <c r="AC439" s="774"/>
      <c r="AD439" s="774"/>
      <c r="AE439" s="774"/>
      <c r="AF439" s="774"/>
      <c r="AG439" s="4399"/>
      <c r="AH439" s="4399"/>
      <c r="AI439" s="4399"/>
      <c r="AJ439" s="4399"/>
      <c r="AK439" s="774"/>
      <c r="AL439" s="774"/>
      <c r="AM439" s="1078"/>
      <c r="AN439" s="1078"/>
      <c r="AO439" s="4280"/>
      <c r="AP439" s="4280"/>
      <c r="AQ439" s="4459"/>
      <c r="AR439" s="4459"/>
      <c r="AS439" s="4459"/>
      <c r="AT439" s="4459"/>
      <c r="AU439" s="4638"/>
      <c r="AV439" s="4638"/>
      <c r="AW439" s="4638"/>
      <c r="AX439" s="4638"/>
      <c r="AY439" s="5139"/>
      <c r="AZ439" s="5139"/>
      <c r="BA439" s="1078"/>
      <c r="BB439" s="1078"/>
      <c r="BC439" s="774"/>
      <c r="BD439" s="774"/>
      <c r="BE439" s="5139"/>
      <c r="BF439" s="5139"/>
      <c r="BG439" s="26"/>
      <c r="BH439" s="26"/>
      <c r="BI439" s="26"/>
      <c r="BJ439" s="26"/>
    </row>
    <row r="440" spans="1:62" ht="21" hidden="1" customHeight="1" x14ac:dyDescent="0.35">
      <c r="A440" s="188"/>
      <c r="B440" s="2505"/>
      <c r="C440" s="774"/>
      <c r="D440" s="774"/>
      <c r="E440" s="774"/>
      <c r="F440" s="774"/>
      <c r="G440" s="774"/>
      <c r="H440" s="774"/>
      <c r="I440" s="774"/>
      <c r="J440" s="774"/>
      <c r="K440" s="774"/>
      <c r="L440" s="774"/>
      <c r="M440" s="1078"/>
      <c r="N440" s="1078"/>
      <c r="O440" s="774"/>
      <c r="P440" s="774"/>
      <c r="Q440" s="774"/>
      <c r="R440" s="774"/>
      <c r="S440" s="774"/>
      <c r="T440" s="774"/>
      <c r="U440" s="774"/>
      <c r="V440" s="774"/>
      <c r="W440" s="774"/>
      <c r="X440" s="774"/>
      <c r="Y440" s="1078"/>
      <c r="Z440" s="1078"/>
      <c r="AA440" s="774"/>
      <c r="AB440" s="774"/>
      <c r="AC440" s="774"/>
      <c r="AD440" s="774"/>
      <c r="AE440" s="774"/>
      <c r="AF440" s="774"/>
      <c r="AG440" s="4399"/>
      <c r="AH440" s="4399"/>
      <c r="AI440" s="4399"/>
      <c r="AJ440" s="4399"/>
      <c r="AK440" s="774"/>
      <c r="AL440" s="774"/>
      <c r="AM440" s="1078"/>
      <c r="AN440" s="1078"/>
      <c r="AO440" s="4280"/>
      <c r="AP440" s="4280"/>
      <c r="AQ440" s="4459"/>
      <c r="AR440" s="4459"/>
      <c r="AS440" s="4459"/>
      <c r="AT440" s="4459"/>
      <c r="AU440" s="4638"/>
      <c r="AV440" s="4638"/>
      <c r="AW440" s="4638"/>
      <c r="AX440" s="4638"/>
      <c r="AY440" s="5139"/>
      <c r="AZ440" s="5139"/>
      <c r="BA440" s="1078"/>
      <c r="BB440" s="1078"/>
      <c r="BC440" s="774"/>
      <c r="BD440" s="774"/>
      <c r="BE440" s="5139"/>
      <c r="BF440" s="5139"/>
      <c r="BG440" s="26"/>
      <c r="BH440" s="26"/>
      <c r="BI440" s="26"/>
      <c r="BJ440" s="26"/>
    </row>
    <row r="441" spans="1:62" ht="21" hidden="1" customHeight="1" x14ac:dyDescent="0.35">
      <c r="A441" s="188"/>
      <c r="B441" s="2505"/>
      <c r="C441" s="774"/>
      <c r="D441" s="774"/>
      <c r="E441" s="774"/>
      <c r="F441" s="774"/>
      <c r="G441" s="774"/>
      <c r="H441" s="774"/>
      <c r="I441" s="774"/>
      <c r="J441" s="774"/>
      <c r="K441" s="774"/>
      <c r="L441" s="774"/>
      <c r="M441" s="1078"/>
      <c r="N441" s="1078"/>
      <c r="O441" s="774"/>
      <c r="P441" s="774"/>
      <c r="Q441" s="774"/>
      <c r="R441" s="774"/>
      <c r="S441" s="774"/>
      <c r="T441" s="774"/>
      <c r="U441" s="774"/>
      <c r="V441" s="774"/>
      <c r="W441" s="774"/>
      <c r="X441" s="774"/>
      <c r="Y441" s="1078"/>
      <c r="Z441" s="1078"/>
      <c r="AA441" s="774"/>
      <c r="AB441" s="774"/>
      <c r="AC441" s="774"/>
      <c r="AD441" s="774"/>
      <c r="AE441" s="774"/>
      <c r="AF441" s="774"/>
      <c r="AG441" s="4399"/>
      <c r="AH441" s="4399"/>
      <c r="AI441" s="4399"/>
      <c r="AJ441" s="4399"/>
      <c r="AK441" s="774"/>
      <c r="AL441" s="774"/>
      <c r="AM441" s="1078"/>
      <c r="AN441" s="1078"/>
      <c r="AO441" s="4280"/>
      <c r="AP441" s="4280"/>
      <c r="AQ441" s="4459"/>
      <c r="AR441" s="4459"/>
      <c r="AS441" s="4459"/>
      <c r="AT441" s="4459"/>
      <c r="AU441" s="4638"/>
      <c r="AV441" s="4638"/>
      <c r="AW441" s="4638"/>
      <c r="AX441" s="4638"/>
      <c r="AY441" s="5139"/>
      <c r="AZ441" s="5139"/>
      <c r="BA441" s="1078"/>
      <c r="BB441" s="1078"/>
      <c r="BC441" s="774"/>
      <c r="BD441" s="774"/>
      <c r="BE441" s="5139"/>
      <c r="BF441" s="5139"/>
      <c r="BG441" s="26"/>
      <c r="BH441" s="26"/>
      <c r="BI441" s="26"/>
      <c r="BJ441" s="26"/>
    </row>
    <row r="442" spans="1:62" ht="21" hidden="1" customHeight="1" x14ac:dyDescent="0.35">
      <c r="A442" s="188"/>
      <c r="B442" s="2505"/>
      <c r="C442" s="774"/>
      <c r="D442" s="774"/>
      <c r="E442" s="774"/>
      <c r="F442" s="774"/>
      <c r="G442" s="774"/>
      <c r="H442" s="774"/>
      <c r="I442" s="774"/>
      <c r="J442" s="774"/>
      <c r="K442" s="774"/>
      <c r="L442" s="774"/>
      <c r="M442" s="1078"/>
      <c r="N442" s="1078"/>
      <c r="O442" s="774"/>
      <c r="P442" s="774"/>
      <c r="Q442" s="774"/>
      <c r="R442" s="774"/>
      <c r="S442" s="774"/>
      <c r="T442" s="774"/>
      <c r="U442" s="774"/>
      <c r="V442" s="774"/>
      <c r="W442" s="774"/>
      <c r="X442" s="774"/>
      <c r="Y442" s="1078"/>
      <c r="Z442" s="1078"/>
      <c r="AA442" s="774"/>
      <c r="AB442" s="774"/>
      <c r="AC442" s="774"/>
      <c r="AD442" s="774"/>
      <c r="AE442" s="774"/>
      <c r="AF442" s="774"/>
      <c r="AG442" s="4399"/>
      <c r="AH442" s="4399"/>
      <c r="AI442" s="4399"/>
      <c r="AJ442" s="4399"/>
      <c r="AK442" s="774"/>
      <c r="AL442" s="774"/>
      <c r="AM442" s="1078"/>
      <c r="AN442" s="1078"/>
      <c r="AO442" s="4280"/>
      <c r="AP442" s="4280"/>
      <c r="AQ442" s="4459"/>
      <c r="AR442" s="4459"/>
      <c r="AS442" s="4459"/>
      <c r="AT442" s="4459"/>
      <c r="AU442" s="4638"/>
      <c r="AV442" s="4638"/>
      <c r="AW442" s="4638"/>
      <c r="AX442" s="4638"/>
      <c r="AY442" s="5139"/>
      <c r="AZ442" s="5139"/>
      <c r="BA442" s="1078"/>
      <c r="BB442" s="1078"/>
      <c r="BC442" s="774"/>
      <c r="BD442" s="774"/>
      <c r="BE442" s="5139"/>
      <c r="BF442" s="5139"/>
      <c r="BG442" s="26"/>
      <c r="BH442" s="26"/>
      <c r="BI442" s="26"/>
      <c r="BJ442" s="26"/>
    </row>
    <row r="443" spans="1:62" ht="21" hidden="1" customHeight="1" x14ac:dyDescent="0.35">
      <c r="A443" s="188"/>
      <c r="B443" s="2505"/>
      <c r="C443" s="774"/>
      <c r="D443" s="774"/>
      <c r="E443" s="774"/>
      <c r="F443" s="774"/>
      <c r="G443" s="774"/>
      <c r="H443" s="774"/>
      <c r="I443" s="774"/>
      <c r="J443" s="774"/>
      <c r="K443" s="774"/>
      <c r="L443" s="774"/>
      <c r="M443" s="1078"/>
      <c r="N443" s="1078"/>
      <c r="O443" s="774"/>
      <c r="P443" s="774"/>
      <c r="Q443" s="774"/>
      <c r="R443" s="774"/>
      <c r="S443" s="774"/>
      <c r="T443" s="774"/>
      <c r="U443" s="774"/>
      <c r="V443" s="774"/>
      <c r="W443" s="774"/>
      <c r="X443" s="774"/>
      <c r="Y443" s="1078"/>
      <c r="Z443" s="1078"/>
      <c r="AA443" s="774"/>
      <c r="AB443" s="774"/>
      <c r="AC443" s="774"/>
      <c r="AD443" s="774"/>
      <c r="AE443" s="774"/>
      <c r="AF443" s="774"/>
      <c r="AG443" s="4399"/>
      <c r="AH443" s="4399"/>
      <c r="AI443" s="4399"/>
      <c r="AJ443" s="4399"/>
      <c r="AK443" s="774"/>
      <c r="AL443" s="774"/>
      <c r="AM443" s="1078"/>
      <c r="AN443" s="1078"/>
      <c r="AO443" s="4280"/>
      <c r="AP443" s="4280"/>
      <c r="AQ443" s="4459"/>
      <c r="AR443" s="4459"/>
      <c r="AS443" s="4459"/>
      <c r="AT443" s="4459"/>
      <c r="AU443" s="4638"/>
      <c r="AV443" s="4638"/>
      <c r="AW443" s="4638"/>
      <c r="AX443" s="4638"/>
      <c r="AY443" s="5139"/>
      <c r="AZ443" s="5139"/>
      <c r="BA443" s="1078"/>
      <c r="BB443" s="1078"/>
      <c r="BC443" s="774"/>
      <c r="BD443" s="774"/>
      <c r="BE443" s="5139"/>
      <c r="BF443" s="5139"/>
      <c r="BG443" s="26"/>
      <c r="BH443" s="26"/>
      <c r="BI443" s="26"/>
      <c r="BJ443" s="26"/>
    </row>
    <row r="444" spans="1:62" ht="21" hidden="1" customHeight="1" x14ac:dyDescent="0.35">
      <c r="A444" s="188"/>
      <c r="B444" s="2505"/>
      <c r="C444" s="774"/>
      <c r="D444" s="774"/>
      <c r="E444" s="774"/>
      <c r="F444" s="774"/>
      <c r="G444" s="774"/>
      <c r="H444" s="774"/>
      <c r="I444" s="774"/>
      <c r="J444" s="774"/>
      <c r="K444" s="774"/>
      <c r="L444" s="774"/>
      <c r="M444" s="1078"/>
      <c r="N444" s="1078"/>
      <c r="O444" s="774"/>
      <c r="P444" s="774"/>
      <c r="Q444" s="774"/>
      <c r="R444" s="774"/>
      <c r="S444" s="774"/>
      <c r="T444" s="774"/>
      <c r="U444" s="774"/>
      <c r="V444" s="774"/>
      <c r="W444" s="774"/>
      <c r="X444" s="774"/>
      <c r="Y444" s="1078"/>
      <c r="Z444" s="1078"/>
      <c r="AA444" s="774"/>
      <c r="AB444" s="774"/>
      <c r="AC444" s="774"/>
      <c r="AD444" s="774"/>
      <c r="AE444" s="774"/>
      <c r="AF444" s="774"/>
      <c r="AG444" s="4399"/>
      <c r="AH444" s="4399"/>
      <c r="AI444" s="4399"/>
      <c r="AJ444" s="4399"/>
      <c r="AK444" s="774"/>
      <c r="AL444" s="774"/>
      <c r="AM444" s="1078"/>
      <c r="AN444" s="1078"/>
      <c r="AO444" s="4280"/>
      <c r="AP444" s="4280"/>
      <c r="AQ444" s="4459"/>
      <c r="AR444" s="4459"/>
      <c r="AS444" s="4459"/>
      <c r="AT444" s="4459"/>
      <c r="AU444" s="4638"/>
      <c r="AV444" s="4638"/>
      <c r="AW444" s="4638"/>
      <c r="AX444" s="4638"/>
      <c r="AY444" s="5139"/>
      <c r="AZ444" s="5139"/>
      <c r="BA444" s="1078"/>
      <c r="BB444" s="1078"/>
      <c r="BC444" s="774"/>
      <c r="BD444" s="774"/>
      <c r="BE444" s="5139"/>
      <c r="BF444" s="5139"/>
      <c r="BG444" s="26"/>
      <c r="BH444" s="26"/>
      <c r="BI444" s="26"/>
      <c r="BJ444" s="26"/>
    </row>
    <row r="445" spans="1:62" ht="21" hidden="1" customHeight="1" x14ac:dyDescent="0.35">
      <c r="A445" s="188"/>
      <c r="B445" s="2505"/>
      <c r="C445" s="774"/>
      <c r="D445" s="774"/>
      <c r="E445" s="774"/>
      <c r="F445" s="774"/>
      <c r="G445" s="774"/>
      <c r="H445" s="774"/>
      <c r="I445" s="774"/>
      <c r="J445" s="774"/>
      <c r="K445" s="774"/>
      <c r="L445" s="774"/>
      <c r="M445" s="1078"/>
      <c r="N445" s="1078"/>
      <c r="O445" s="774"/>
      <c r="P445" s="774"/>
      <c r="Q445" s="774"/>
      <c r="R445" s="774"/>
      <c r="S445" s="774"/>
      <c r="T445" s="774"/>
      <c r="U445" s="774"/>
      <c r="V445" s="774"/>
      <c r="W445" s="774"/>
      <c r="X445" s="774"/>
      <c r="Y445" s="1078"/>
      <c r="Z445" s="1078"/>
      <c r="AA445" s="774"/>
      <c r="AB445" s="774"/>
      <c r="AC445" s="774"/>
      <c r="AD445" s="774"/>
      <c r="AE445" s="774"/>
      <c r="AF445" s="774"/>
      <c r="AG445" s="4399"/>
      <c r="AH445" s="4399"/>
      <c r="AI445" s="4399"/>
      <c r="AJ445" s="4399"/>
      <c r="AK445" s="774"/>
      <c r="AL445" s="774"/>
      <c r="AM445" s="1078"/>
      <c r="AN445" s="1078"/>
      <c r="AO445" s="4280"/>
      <c r="AP445" s="4280"/>
      <c r="AQ445" s="4459"/>
      <c r="AR445" s="4459"/>
      <c r="AS445" s="4459"/>
      <c r="AT445" s="4459"/>
      <c r="AU445" s="4638"/>
      <c r="AV445" s="4638"/>
      <c r="AW445" s="4638"/>
      <c r="AX445" s="4638"/>
      <c r="AY445" s="5139"/>
      <c r="AZ445" s="5139"/>
      <c r="BA445" s="1078"/>
      <c r="BB445" s="1078"/>
      <c r="BC445" s="774"/>
      <c r="BD445" s="774"/>
      <c r="BE445" s="5139"/>
      <c r="BF445" s="5139"/>
      <c r="BG445" s="26"/>
      <c r="BH445" s="26"/>
      <c r="BI445" s="26"/>
      <c r="BJ445" s="26"/>
    </row>
    <row r="446" spans="1:62" x14ac:dyDescent="0.25">
      <c r="A446" s="2455"/>
      <c r="B446" s="2455"/>
      <c r="C446" s="2455"/>
      <c r="D446" s="2455"/>
      <c r="E446" s="2455"/>
      <c r="F446" s="2455"/>
      <c r="G446" s="2455"/>
      <c r="H446" s="2455"/>
      <c r="I446" s="2455"/>
      <c r="J446" s="2455"/>
      <c r="K446" s="2455"/>
      <c r="L446" s="2455"/>
      <c r="M446" s="2455"/>
      <c r="N446" s="2455"/>
      <c r="O446" s="2455"/>
      <c r="P446" s="2455"/>
      <c r="Q446" s="2455"/>
      <c r="R446" s="2455"/>
      <c r="S446" s="2556"/>
      <c r="T446" s="2556"/>
      <c r="U446" s="2556"/>
      <c r="V446" s="2556"/>
      <c r="W446" s="3399"/>
      <c r="X446" s="3399"/>
      <c r="Y446" s="3399"/>
      <c r="Z446" s="3399"/>
      <c r="AC446" s="4052"/>
      <c r="AD446" s="4052"/>
      <c r="AE446" s="4052"/>
      <c r="AF446" s="4052"/>
      <c r="AG446" s="4399"/>
      <c r="AH446" s="4399"/>
      <c r="AI446" s="4399"/>
      <c r="AJ446" s="4399"/>
      <c r="AK446" s="4280"/>
      <c r="AL446" s="4280"/>
      <c r="AM446" s="4280"/>
      <c r="AN446" s="4280"/>
      <c r="AO446" s="4280"/>
      <c r="AP446" s="4280"/>
      <c r="AQ446" s="4459"/>
      <c r="AR446" s="4459"/>
      <c r="AS446" s="4459"/>
      <c r="AT446" s="4459"/>
      <c r="AU446" s="4638"/>
      <c r="AV446" s="4638"/>
      <c r="AW446" s="4638"/>
      <c r="AX446" s="4638"/>
      <c r="AY446" s="5139"/>
      <c r="AZ446" s="5139"/>
      <c r="BE446" s="5139"/>
      <c r="BF446" s="5139"/>
      <c r="BG446" s="26"/>
      <c r="BH446" s="26"/>
      <c r="BI446" s="26"/>
      <c r="BJ446" s="26"/>
    </row>
    <row r="447" spans="1:62" x14ac:dyDescent="0.25">
      <c r="AC447" s="4052"/>
      <c r="AD447" s="4052"/>
      <c r="AE447" s="4052"/>
      <c r="AF447" s="4052"/>
      <c r="AG447" s="4399"/>
      <c r="AH447" s="4399"/>
      <c r="AI447" s="4399"/>
      <c r="AJ447" s="4399"/>
      <c r="AK447" s="4280"/>
      <c r="AL447" s="4280"/>
      <c r="AM447" s="4280"/>
      <c r="AN447" s="4280"/>
      <c r="AO447" s="4280"/>
      <c r="AP447" s="4280"/>
      <c r="AY447" s="5139"/>
      <c r="AZ447" s="5139"/>
      <c r="BE447" s="5139"/>
      <c r="BF447" s="5139"/>
      <c r="BG447" s="26"/>
      <c r="BH447" s="26"/>
      <c r="BI447" s="26"/>
      <c r="BJ447" s="26"/>
    </row>
    <row r="448" spans="1:62" x14ac:dyDescent="0.25">
      <c r="AC448" s="4052"/>
      <c r="AD448" s="4052"/>
      <c r="AE448" s="4052"/>
      <c r="AF448" s="4052"/>
      <c r="AK448" s="4280"/>
      <c r="AL448" s="4280"/>
      <c r="AM448" s="4280"/>
      <c r="AN448" s="4280"/>
      <c r="AO448" s="4280"/>
      <c r="AP448" s="4280"/>
      <c r="AY448" s="5139"/>
      <c r="AZ448" s="5139"/>
      <c r="BE448" s="5139"/>
      <c r="BF448" s="5139"/>
    </row>
    <row r="449" spans="2:58" x14ac:dyDescent="0.25">
      <c r="AC449" s="4052"/>
      <c r="AD449" s="4052"/>
      <c r="AE449" s="4052"/>
      <c r="AF449" s="4052"/>
      <c r="AY449" s="5139"/>
      <c r="AZ449" s="5139"/>
      <c r="BE449" s="5139"/>
      <c r="BF449" s="5139"/>
    </row>
    <row r="450" spans="2:58" ht="5.25" hidden="1" customHeight="1" x14ac:dyDescent="0.25">
      <c r="AC450" s="4052"/>
      <c r="AD450" s="4052"/>
      <c r="AE450" s="4052"/>
      <c r="AF450" s="4052"/>
      <c r="AY450" s="5139"/>
      <c r="AZ450" s="5139"/>
      <c r="BE450" s="5139"/>
      <c r="BF450" s="5139"/>
    </row>
    <row r="451" spans="2:58" hidden="1" x14ac:dyDescent="0.25">
      <c r="AY451" s="5139"/>
      <c r="AZ451" s="5139"/>
      <c r="BE451" s="5139"/>
      <c r="BF451" s="5139"/>
    </row>
    <row r="452" spans="2:58" hidden="1" x14ac:dyDescent="0.25">
      <c r="AY452" s="5139"/>
      <c r="AZ452" s="5139"/>
      <c r="BE452" s="5139"/>
      <c r="BF452" s="5139"/>
    </row>
    <row r="453" spans="2:58" hidden="1" x14ac:dyDescent="0.25">
      <c r="AY453" s="5139"/>
      <c r="AZ453" s="5139"/>
      <c r="BE453" s="5139"/>
      <c r="BF453" s="5139"/>
    </row>
    <row r="454" spans="2:58" hidden="1" x14ac:dyDescent="0.25">
      <c r="B454" t="s">
        <v>1702</v>
      </c>
      <c r="AY454" s="5139"/>
      <c r="AZ454" s="5139"/>
      <c r="BE454" s="5139"/>
      <c r="BF454" s="5139"/>
    </row>
    <row r="455" spans="2:58" hidden="1" x14ac:dyDescent="0.25">
      <c r="AY455" s="5139"/>
      <c r="AZ455" s="5139"/>
      <c r="BE455" s="5139"/>
      <c r="BF455" s="5139"/>
    </row>
    <row r="456" spans="2:58" hidden="1" x14ac:dyDescent="0.25"/>
  </sheetData>
  <mergeCells count="419">
    <mergeCell ref="AU73:AU75"/>
    <mergeCell ref="AW73:AW75"/>
    <mergeCell ref="AU77:AU79"/>
    <mergeCell ref="AW77:AW79"/>
    <mergeCell ref="AU81:AU83"/>
    <mergeCell ref="AW81:AW83"/>
    <mergeCell ref="AU244:AU299"/>
    <mergeCell ref="AW244:AW299"/>
    <mergeCell ref="AU35:AU36"/>
    <mergeCell ref="AW35:AW36"/>
    <mergeCell ref="AU42:AU43"/>
    <mergeCell ref="AW42:AW43"/>
    <mergeCell ref="AU50:AU51"/>
    <mergeCell ref="AW50:AW51"/>
    <mergeCell ref="AU65:AU67"/>
    <mergeCell ref="AW65:AW67"/>
    <mergeCell ref="AU69:AU71"/>
    <mergeCell ref="AW69:AW71"/>
    <mergeCell ref="AU3:AV3"/>
    <mergeCell ref="AW3:AX3"/>
    <mergeCell ref="AU7:AU8"/>
    <mergeCell ref="AW7:AW8"/>
    <mergeCell ref="AU14:AU15"/>
    <mergeCell ref="AW14:AW15"/>
    <mergeCell ref="AU21:AU22"/>
    <mergeCell ref="AW21:AW22"/>
    <mergeCell ref="AU28:AU29"/>
    <mergeCell ref="AW28:AW29"/>
    <mergeCell ref="AQ73:AQ75"/>
    <mergeCell ref="AS73:AS75"/>
    <mergeCell ref="AQ77:AQ79"/>
    <mergeCell ref="AS77:AS79"/>
    <mergeCell ref="AQ81:AQ83"/>
    <mergeCell ref="AS81:AS83"/>
    <mergeCell ref="AQ244:AQ299"/>
    <mergeCell ref="AS244:AS299"/>
    <mergeCell ref="AQ35:AQ36"/>
    <mergeCell ref="AS35:AS36"/>
    <mergeCell ref="AQ42:AQ43"/>
    <mergeCell ref="AS42:AS43"/>
    <mergeCell ref="AQ50:AQ51"/>
    <mergeCell ref="AS50:AS51"/>
    <mergeCell ref="AQ65:AQ67"/>
    <mergeCell ref="AS65:AS67"/>
    <mergeCell ref="AQ69:AQ71"/>
    <mergeCell ref="AS69:AS71"/>
    <mergeCell ref="AQ3:AR3"/>
    <mergeCell ref="AS3:AT3"/>
    <mergeCell ref="AQ7:AQ8"/>
    <mergeCell ref="AS7:AS8"/>
    <mergeCell ref="AQ14:AQ15"/>
    <mergeCell ref="AS14:AS15"/>
    <mergeCell ref="AQ21:AQ22"/>
    <mergeCell ref="AS21:AS22"/>
    <mergeCell ref="AQ28:AQ29"/>
    <mergeCell ref="AS28:AS29"/>
    <mergeCell ref="AG73:AG75"/>
    <mergeCell ref="AI73:AI75"/>
    <mergeCell ref="AG77:AG79"/>
    <mergeCell ref="AI77:AI79"/>
    <mergeCell ref="AG81:AG83"/>
    <mergeCell ref="AI81:AI83"/>
    <mergeCell ref="AG244:AG299"/>
    <mergeCell ref="AI244:AI299"/>
    <mergeCell ref="AG35:AG36"/>
    <mergeCell ref="AI35:AI36"/>
    <mergeCell ref="AG42:AG43"/>
    <mergeCell ref="AI42:AI43"/>
    <mergeCell ref="AG50:AG51"/>
    <mergeCell ref="AI50:AI51"/>
    <mergeCell ref="AG65:AG67"/>
    <mergeCell ref="AI65:AI67"/>
    <mergeCell ref="AG69:AG71"/>
    <mergeCell ref="AI69:AI71"/>
    <mergeCell ref="AG3:AH3"/>
    <mergeCell ref="AI3:AJ3"/>
    <mergeCell ref="AG7:AG8"/>
    <mergeCell ref="AI7:AI8"/>
    <mergeCell ref="AG14:AG15"/>
    <mergeCell ref="AI14:AI15"/>
    <mergeCell ref="AG21:AG22"/>
    <mergeCell ref="AI21:AI22"/>
    <mergeCell ref="AG28:AG29"/>
    <mergeCell ref="AI28:AI29"/>
    <mergeCell ref="AC73:AC75"/>
    <mergeCell ref="AE73:AE75"/>
    <mergeCell ref="AC77:AC79"/>
    <mergeCell ref="AE77:AE79"/>
    <mergeCell ref="AC81:AC83"/>
    <mergeCell ref="AE81:AE83"/>
    <mergeCell ref="AC244:AC299"/>
    <mergeCell ref="AE244:AE299"/>
    <mergeCell ref="AC315:AC342"/>
    <mergeCell ref="AE315:AE342"/>
    <mergeCell ref="AC35:AC36"/>
    <mergeCell ref="AE35:AE36"/>
    <mergeCell ref="AC42:AC43"/>
    <mergeCell ref="AE42:AE43"/>
    <mergeCell ref="AC50:AC51"/>
    <mergeCell ref="AE50:AE51"/>
    <mergeCell ref="AC65:AC67"/>
    <mergeCell ref="AE65:AE67"/>
    <mergeCell ref="AC69:AC71"/>
    <mergeCell ref="AE69:AE71"/>
    <mergeCell ref="AC3:AD3"/>
    <mergeCell ref="AE3:AF3"/>
    <mergeCell ref="AC7:AC8"/>
    <mergeCell ref="AE7:AE8"/>
    <mergeCell ref="AC14:AC15"/>
    <mergeCell ref="AE14:AE15"/>
    <mergeCell ref="AC21:AC22"/>
    <mergeCell ref="AE21:AE22"/>
    <mergeCell ref="AC28:AC29"/>
    <mergeCell ref="AE28:AE29"/>
    <mergeCell ref="AA69:AA71"/>
    <mergeCell ref="AA73:AA75"/>
    <mergeCell ref="AA77:AA79"/>
    <mergeCell ref="AA81:AA83"/>
    <mergeCell ref="AA244:AA299"/>
    <mergeCell ref="AA315:AA342"/>
    <mergeCell ref="AA3:AB3"/>
    <mergeCell ref="AA7:AA8"/>
    <mergeCell ref="AA14:AA15"/>
    <mergeCell ref="AA21:AA22"/>
    <mergeCell ref="AA28:AA29"/>
    <mergeCell ref="AA35:AA36"/>
    <mergeCell ref="AA42:AA43"/>
    <mergeCell ref="AA50:AA51"/>
    <mergeCell ref="AA65:AA67"/>
    <mergeCell ref="W73:W75"/>
    <mergeCell ref="Y73:Y75"/>
    <mergeCell ref="W77:W79"/>
    <mergeCell ref="Y77:Y79"/>
    <mergeCell ref="W81:W83"/>
    <mergeCell ref="Y81:Y83"/>
    <mergeCell ref="W244:W299"/>
    <mergeCell ref="Y244:Y299"/>
    <mergeCell ref="W315:W342"/>
    <mergeCell ref="Y315:Y342"/>
    <mergeCell ref="W35:W36"/>
    <mergeCell ref="Y35:Y36"/>
    <mergeCell ref="W42:W43"/>
    <mergeCell ref="Y42:Y43"/>
    <mergeCell ref="W50:W51"/>
    <mergeCell ref="Y50:Y51"/>
    <mergeCell ref="W65:W67"/>
    <mergeCell ref="Y65:Y67"/>
    <mergeCell ref="W69:W71"/>
    <mergeCell ref="Y69:Y71"/>
    <mergeCell ref="W3:X3"/>
    <mergeCell ref="Y3:Z3"/>
    <mergeCell ref="W7:W8"/>
    <mergeCell ref="Y7:Y8"/>
    <mergeCell ref="W14:W15"/>
    <mergeCell ref="Y14:Y15"/>
    <mergeCell ref="W21:W22"/>
    <mergeCell ref="Y21:Y22"/>
    <mergeCell ref="W28:W29"/>
    <mergeCell ref="Y28:Y29"/>
    <mergeCell ref="K77:K79"/>
    <mergeCell ref="M77:M79"/>
    <mergeCell ref="K81:K83"/>
    <mergeCell ref="M81:M83"/>
    <mergeCell ref="K244:K299"/>
    <mergeCell ref="M244:M299"/>
    <mergeCell ref="K315:K342"/>
    <mergeCell ref="M315:M342"/>
    <mergeCell ref="K42:K43"/>
    <mergeCell ref="M42:M43"/>
    <mergeCell ref="K50:K51"/>
    <mergeCell ref="M50:M51"/>
    <mergeCell ref="K65:K67"/>
    <mergeCell ref="M65:M67"/>
    <mergeCell ref="K69:K71"/>
    <mergeCell ref="M69:M71"/>
    <mergeCell ref="K73:K75"/>
    <mergeCell ref="M73:M75"/>
    <mergeCell ref="B187:R187"/>
    <mergeCell ref="I315:I342"/>
    <mergeCell ref="I42:I43"/>
    <mergeCell ref="I50:I51"/>
    <mergeCell ref="I65:I67"/>
    <mergeCell ref="I69:I71"/>
    <mergeCell ref="E28:E29"/>
    <mergeCell ref="E35:E36"/>
    <mergeCell ref="K3:L3"/>
    <mergeCell ref="M3:N3"/>
    <mergeCell ref="K7:K8"/>
    <mergeCell ref="M7:M8"/>
    <mergeCell ref="K14:K15"/>
    <mergeCell ref="M14:M15"/>
    <mergeCell ref="K21:K22"/>
    <mergeCell ref="M21:M22"/>
    <mergeCell ref="K28:K29"/>
    <mergeCell ref="M28:M29"/>
    <mergeCell ref="K35:K36"/>
    <mergeCell ref="M35:M36"/>
    <mergeCell ref="I35:I36"/>
    <mergeCell ref="G14:G15"/>
    <mergeCell ref="G21:G22"/>
    <mergeCell ref="G28:G29"/>
    <mergeCell ref="B381:B384"/>
    <mergeCell ref="E244:E299"/>
    <mergeCell ref="B385:B388"/>
    <mergeCell ref="B377:B380"/>
    <mergeCell ref="E3:F3"/>
    <mergeCell ref="D3:D4"/>
    <mergeCell ref="E65:E67"/>
    <mergeCell ref="E73:E75"/>
    <mergeCell ref="E81:E83"/>
    <mergeCell ref="D42:D43"/>
    <mergeCell ref="D50:D51"/>
    <mergeCell ref="D65:D67"/>
    <mergeCell ref="B3:B4"/>
    <mergeCell ref="C3:C4"/>
    <mergeCell ref="D69:D71"/>
    <mergeCell ref="D73:D75"/>
    <mergeCell ref="D7:D8"/>
    <mergeCell ref="D14:D15"/>
    <mergeCell ref="D21:D22"/>
    <mergeCell ref="D28:D29"/>
    <mergeCell ref="D35:D36"/>
    <mergeCell ref="E7:E8"/>
    <mergeCell ref="E14:E15"/>
    <mergeCell ref="E21:E22"/>
    <mergeCell ref="A362:A369"/>
    <mergeCell ref="B373:B376"/>
    <mergeCell ref="E315:E342"/>
    <mergeCell ref="D77:D79"/>
    <mergeCell ref="D81:D83"/>
    <mergeCell ref="E77:E79"/>
    <mergeCell ref="E69:E71"/>
    <mergeCell ref="E42:E43"/>
    <mergeCell ref="E50:E51"/>
    <mergeCell ref="G315:G342"/>
    <mergeCell ref="G35:G36"/>
    <mergeCell ref="G42:G43"/>
    <mergeCell ref="G50:G51"/>
    <mergeCell ref="G1:H1"/>
    <mergeCell ref="I73:I75"/>
    <mergeCell ref="I77:I79"/>
    <mergeCell ref="I81:I83"/>
    <mergeCell ref="I244:I299"/>
    <mergeCell ref="I3:J3"/>
    <mergeCell ref="I7:I8"/>
    <mergeCell ref="I14:I15"/>
    <mergeCell ref="I21:I22"/>
    <mergeCell ref="I28:I29"/>
    <mergeCell ref="G73:G75"/>
    <mergeCell ref="G77:G79"/>
    <mergeCell ref="G81:G83"/>
    <mergeCell ref="G244:G299"/>
    <mergeCell ref="G3:H3"/>
    <mergeCell ref="G7:G8"/>
    <mergeCell ref="G65:G67"/>
    <mergeCell ref="G69:G71"/>
    <mergeCell ref="O35:O36"/>
    <mergeCell ref="O42:O43"/>
    <mergeCell ref="O50:O51"/>
    <mergeCell ref="O65:O67"/>
    <mergeCell ref="O69:O71"/>
    <mergeCell ref="O3:P3"/>
    <mergeCell ref="O7:O8"/>
    <mergeCell ref="O14:O15"/>
    <mergeCell ref="O21:O22"/>
    <mergeCell ref="O28:O29"/>
    <mergeCell ref="O73:O75"/>
    <mergeCell ref="O77:O79"/>
    <mergeCell ref="O81:O83"/>
    <mergeCell ref="O244:O299"/>
    <mergeCell ref="Q73:Q75"/>
    <mergeCell ref="Q77:Q79"/>
    <mergeCell ref="Q81:Q83"/>
    <mergeCell ref="Q244:Q299"/>
    <mergeCell ref="O315:O342"/>
    <mergeCell ref="Q315:Q342"/>
    <mergeCell ref="Q35:Q36"/>
    <mergeCell ref="Q42:Q43"/>
    <mergeCell ref="Q50:Q51"/>
    <mergeCell ref="Q65:Q67"/>
    <mergeCell ref="Q69:Q71"/>
    <mergeCell ref="Q3:R3"/>
    <mergeCell ref="Q7:Q8"/>
    <mergeCell ref="Q14:Q15"/>
    <mergeCell ref="Q21:Q22"/>
    <mergeCell ref="Q28:Q29"/>
    <mergeCell ref="S3:T3"/>
    <mergeCell ref="U3:V3"/>
    <mergeCell ref="S7:S8"/>
    <mergeCell ref="U7:U8"/>
    <mergeCell ref="S14:S15"/>
    <mergeCell ref="U14:U15"/>
    <mergeCell ref="S21:S22"/>
    <mergeCell ref="U21:U22"/>
    <mergeCell ref="S28:S29"/>
    <mergeCell ref="U28:U29"/>
    <mergeCell ref="S35:S36"/>
    <mergeCell ref="U35:U36"/>
    <mergeCell ref="S42:S43"/>
    <mergeCell ref="U42:U43"/>
    <mergeCell ref="S50:S51"/>
    <mergeCell ref="U50:U51"/>
    <mergeCell ref="S65:S67"/>
    <mergeCell ref="U65:U67"/>
    <mergeCell ref="S69:S71"/>
    <mergeCell ref="U69:U71"/>
    <mergeCell ref="S73:S75"/>
    <mergeCell ref="U73:U75"/>
    <mergeCell ref="S77:S79"/>
    <mergeCell ref="U77:U79"/>
    <mergeCell ref="S81:S83"/>
    <mergeCell ref="U81:U83"/>
    <mergeCell ref="S244:S299"/>
    <mergeCell ref="U244:U299"/>
    <mergeCell ref="S315:S342"/>
    <mergeCell ref="U315:U342"/>
    <mergeCell ref="AK3:AL3"/>
    <mergeCell ref="AM3:AN3"/>
    <mergeCell ref="AK7:AK8"/>
    <mergeCell ref="AM7:AM8"/>
    <mergeCell ref="AK14:AK15"/>
    <mergeCell ref="AM14:AM15"/>
    <mergeCell ref="AK21:AK22"/>
    <mergeCell ref="AM21:AM22"/>
    <mergeCell ref="AK28:AK29"/>
    <mergeCell ref="AM28:AM29"/>
    <mergeCell ref="AK35:AK36"/>
    <mergeCell ref="AM35:AM36"/>
    <mergeCell ref="AK42:AK43"/>
    <mergeCell ref="AM42:AM43"/>
    <mergeCell ref="AK50:AK51"/>
    <mergeCell ref="AM50:AM51"/>
    <mergeCell ref="AK65:AK67"/>
    <mergeCell ref="AM65:AM67"/>
    <mergeCell ref="AK69:AK71"/>
    <mergeCell ref="AM69:AM71"/>
    <mergeCell ref="AK73:AK75"/>
    <mergeCell ref="AM73:AM75"/>
    <mergeCell ref="AK77:AK79"/>
    <mergeCell ref="AM77:AM79"/>
    <mergeCell ref="AK81:AK83"/>
    <mergeCell ref="AM81:AM83"/>
    <mergeCell ref="AK244:AK299"/>
    <mergeCell ref="AM244:AM299"/>
    <mergeCell ref="AK315:AK342"/>
    <mergeCell ref="AM315:AM342"/>
    <mergeCell ref="AO69:AO71"/>
    <mergeCell ref="AO73:AO75"/>
    <mergeCell ref="AO77:AO79"/>
    <mergeCell ref="AO81:AO83"/>
    <mergeCell ref="AO244:AO299"/>
    <mergeCell ref="AO315:AO342"/>
    <mergeCell ref="AO3:AP3"/>
    <mergeCell ref="AO7:AO8"/>
    <mergeCell ref="AO14:AO15"/>
    <mergeCell ref="AO21:AO22"/>
    <mergeCell ref="AO28:AO29"/>
    <mergeCell ref="AO35:AO36"/>
    <mergeCell ref="AO42:AO43"/>
    <mergeCell ref="AO50:AO51"/>
    <mergeCell ref="AO65:AO67"/>
    <mergeCell ref="AY3:AZ3"/>
    <mergeCell ref="BE3:BF3"/>
    <mergeCell ref="AY7:AY8"/>
    <mergeCell ref="BE7:BE8"/>
    <mergeCell ref="AY14:AY15"/>
    <mergeCell ref="BE14:BE15"/>
    <mergeCell ref="AY21:AY22"/>
    <mergeCell ref="BE21:BE22"/>
    <mergeCell ref="AY28:AY29"/>
    <mergeCell ref="BE28:BE29"/>
    <mergeCell ref="AY35:AY36"/>
    <mergeCell ref="BE35:BE36"/>
    <mergeCell ref="AY42:AY43"/>
    <mergeCell ref="BE42:BE43"/>
    <mergeCell ref="AY50:AY51"/>
    <mergeCell ref="BE50:BE51"/>
    <mergeCell ref="AY65:AY67"/>
    <mergeCell ref="BE65:BE67"/>
    <mergeCell ref="AY69:AY71"/>
    <mergeCell ref="BE69:BE71"/>
    <mergeCell ref="BA65:BA67"/>
    <mergeCell ref="BC65:BC67"/>
    <mergeCell ref="BA69:BA71"/>
    <mergeCell ref="BC69:BC71"/>
    <mergeCell ref="AY73:AY75"/>
    <mergeCell ref="BE73:BE75"/>
    <mergeCell ref="AY77:AY79"/>
    <mergeCell ref="BE77:BE79"/>
    <mergeCell ref="AY81:AY83"/>
    <mergeCell ref="BE81:BE83"/>
    <mergeCell ref="AY244:AY299"/>
    <mergeCell ref="BE244:BE299"/>
    <mergeCell ref="BA3:BB3"/>
    <mergeCell ref="BC3:BD3"/>
    <mergeCell ref="BA7:BA8"/>
    <mergeCell ref="BC7:BC8"/>
    <mergeCell ref="BA14:BA15"/>
    <mergeCell ref="BC14:BC15"/>
    <mergeCell ref="BA21:BA22"/>
    <mergeCell ref="BC21:BC22"/>
    <mergeCell ref="BA28:BA29"/>
    <mergeCell ref="BC28:BC29"/>
    <mergeCell ref="BA35:BA36"/>
    <mergeCell ref="BC35:BC36"/>
    <mergeCell ref="BA42:BA43"/>
    <mergeCell ref="BC42:BC43"/>
    <mergeCell ref="BA50:BA51"/>
    <mergeCell ref="BC50:BC51"/>
    <mergeCell ref="BA73:BA75"/>
    <mergeCell ref="BC73:BC75"/>
    <mergeCell ref="BA77:BA79"/>
    <mergeCell ref="BC77:BC79"/>
    <mergeCell ref="BA81:BA83"/>
    <mergeCell ref="BC81:BC83"/>
    <mergeCell ref="BA244:BA299"/>
    <mergeCell ref="BC244:BC299"/>
    <mergeCell ref="BA315:BA342"/>
    <mergeCell ref="BC315:BC342"/>
  </mergeCells>
  <phoneticPr fontId="90" type="noConversion"/>
  <printOptions horizontalCentered="1" verticalCentered="1"/>
  <pageMargins left="0" right="0" top="0" bottom="0" header="0" footer="0"/>
  <pageSetup scale="35" orientation="landscape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9">
    <tabColor theme="4" tint="0.39997558519241921"/>
  </sheetPr>
  <dimension ref="B1:BI139"/>
  <sheetViews>
    <sheetView zoomScale="85" zoomScaleNormal="85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E159" sqref="E159"/>
    </sheetView>
  </sheetViews>
  <sheetFormatPr defaultRowHeight="15" x14ac:dyDescent="0.25"/>
  <cols>
    <col min="2" max="2" width="47.7109375" bestFit="1" customWidth="1"/>
    <col min="3" max="3" width="27.5703125" customWidth="1"/>
    <col min="4" max="4" width="29" hidden="1" customWidth="1"/>
    <col min="5" max="5" width="19.42578125" bestFit="1" customWidth="1"/>
    <col min="6" max="6" width="10.140625" hidden="1" customWidth="1"/>
    <col min="7" max="7" width="11.28515625" bestFit="1" customWidth="1"/>
    <col min="8" max="8" width="7.5703125" hidden="1" customWidth="1"/>
    <col min="9" max="9" width="8.42578125" hidden="1" customWidth="1"/>
    <col min="10" max="10" width="7.85546875" style="183" hidden="1" customWidth="1"/>
    <col min="11" max="11" width="10.28515625" style="183" bestFit="1" customWidth="1"/>
    <col min="12" max="12" width="7.85546875" hidden="1" customWidth="1"/>
    <col min="13" max="13" width="11.42578125" bestFit="1" customWidth="1"/>
    <col min="14" max="14" width="7.85546875" hidden="1" customWidth="1"/>
    <col min="15" max="15" width="11.28515625" bestFit="1" customWidth="1"/>
    <col min="16" max="16" width="7.5703125" hidden="1" customWidth="1"/>
    <col min="17" max="17" width="9.42578125" hidden="1" customWidth="1"/>
    <col min="18" max="18" width="7.85546875" hidden="1" customWidth="1"/>
    <col min="19" max="19" width="10.28515625" bestFit="1" customWidth="1"/>
    <col min="20" max="20" width="7.5703125" hidden="1" customWidth="1"/>
    <col min="21" max="21" width="9.42578125" hidden="1" customWidth="1"/>
    <col min="22" max="22" width="8" hidden="1" customWidth="1"/>
    <col min="23" max="23" width="10.28515625" bestFit="1" customWidth="1"/>
    <col min="24" max="24" width="7.85546875" hidden="1" customWidth="1"/>
    <col min="25" max="25" width="11.42578125" bestFit="1" customWidth="1"/>
    <col min="26" max="26" width="7.85546875" hidden="1" customWidth="1"/>
    <col min="27" max="27" width="11.5703125" bestFit="1" customWidth="1"/>
    <col min="28" max="28" width="0" hidden="1" customWidth="1"/>
    <col min="30" max="32" width="0" hidden="1" customWidth="1"/>
    <col min="34" max="35" width="9.140625" hidden="1" customWidth="1"/>
    <col min="36" max="36" width="0" hidden="1" customWidth="1"/>
    <col min="38" max="38" width="7.5703125" hidden="1" customWidth="1"/>
    <col min="39" max="39" width="8.140625" bestFit="1" customWidth="1"/>
    <col min="40" max="40" width="9.140625" hidden="1" customWidth="1"/>
    <col min="41" max="41" width="9.42578125" hidden="1" customWidth="1"/>
    <col min="42" max="42" width="0" hidden="1" customWidth="1"/>
    <col min="44" max="46" width="0" hidden="1" customWidth="1"/>
    <col min="48" max="50" width="0" hidden="1" customWidth="1"/>
    <col min="52" max="52" width="0" style="5170" hidden="1" customWidth="1"/>
    <col min="53" max="53" width="9.140625" style="5170"/>
    <col min="54" max="54" width="0" style="5170" hidden="1" customWidth="1"/>
    <col min="55" max="55" width="9.140625" style="5170"/>
    <col min="56" max="56" width="0" hidden="1" customWidth="1"/>
    <col min="57" max="57" width="11.28515625" bestFit="1" customWidth="1"/>
    <col min="60" max="60" width="19.42578125" bestFit="1" customWidth="1"/>
  </cols>
  <sheetData>
    <row r="1" spans="2:61" ht="15.75" thickBot="1" x14ac:dyDescent="0.3">
      <c r="BE1" s="5743"/>
    </row>
    <row r="2" spans="2:61" ht="21.95" customHeight="1" x14ac:dyDescent="0.25">
      <c r="B2" s="1934"/>
      <c r="C2" s="1937"/>
      <c r="D2" s="6265">
        <v>45017</v>
      </c>
      <c r="E2" s="6266"/>
      <c r="F2" s="6265">
        <v>45047</v>
      </c>
      <c r="G2" s="6266"/>
      <c r="H2" s="6257" t="s">
        <v>680</v>
      </c>
      <c r="I2" s="6258"/>
      <c r="J2" s="6255">
        <v>45078</v>
      </c>
      <c r="K2" s="6267"/>
      <c r="L2" s="6268" t="s">
        <v>658</v>
      </c>
      <c r="M2" s="6269"/>
      <c r="N2" s="6255">
        <v>45108</v>
      </c>
      <c r="O2" s="6256"/>
      <c r="P2" s="6257" t="s">
        <v>672</v>
      </c>
      <c r="Q2" s="6258"/>
      <c r="R2" s="6255">
        <v>45139</v>
      </c>
      <c r="S2" s="6256"/>
      <c r="T2" s="6257" t="s">
        <v>866</v>
      </c>
      <c r="U2" s="6258"/>
      <c r="V2" s="6255">
        <v>45170</v>
      </c>
      <c r="W2" s="6256"/>
      <c r="X2" s="6268" t="s">
        <v>682</v>
      </c>
      <c r="Y2" s="6280"/>
      <c r="Z2" s="6264" t="s">
        <v>679</v>
      </c>
      <c r="AA2" s="6264"/>
      <c r="AB2" s="6255">
        <v>45200</v>
      </c>
      <c r="AC2" s="6256"/>
      <c r="AD2" s="6257" t="s">
        <v>1148</v>
      </c>
      <c r="AE2" s="6258"/>
      <c r="AF2" s="6255">
        <v>45231</v>
      </c>
      <c r="AG2" s="6256"/>
      <c r="AH2" s="6257" t="s">
        <v>1864</v>
      </c>
      <c r="AI2" s="6258"/>
      <c r="AJ2" s="6255">
        <v>45261</v>
      </c>
      <c r="AK2" s="6256"/>
      <c r="AL2" s="6268" t="s">
        <v>684</v>
      </c>
      <c r="AM2" s="6269"/>
      <c r="AN2" s="6257" t="s">
        <v>951</v>
      </c>
      <c r="AO2" s="6258"/>
      <c r="AP2" s="6255">
        <v>45292</v>
      </c>
      <c r="AQ2" s="6256"/>
      <c r="AR2" s="6257" t="s">
        <v>1919</v>
      </c>
      <c r="AS2" s="6258"/>
      <c r="AT2" s="6255">
        <v>45323</v>
      </c>
      <c r="AU2" s="6256"/>
      <c r="AV2" s="6257" t="s">
        <v>1941</v>
      </c>
      <c r="AW2" s="6258"/>
      <c r="AX2" s="6255">
        <v>45352</v>
      </c>
      <c r="AY2" s="6256"/>
      <c r="AZ2" s="6268" t="s">
        <v>685</v>
      </c>
      <c r="BA2" s="6280"/>
      <c r="BB2" s="6283" t="s">
        <v>693</v>
      </c>
      <c r="BC2" s="6283"/>
      <c r="BD2" s="6257" t="s">
        <v>1513</v>
      </c>
      <c r="BE2" s="6258"/>
    </row>
    <row r="3" spans="2:61" s="1720" customFormat="1" ht="21.95" customHeight="1" thickBot="1" x14ac:dyDescent="0.3">
      <c r="B3" s="1935"/>
      <c r="C3" s="1938"/>
      <c r="D3" s="1936" t="s">
        <v>1283</v>
      </c>
      <c r="E3" s="1933" t="s">
        <v>1284</v>
      </c>
      <c r="F3" s="1936" t="s">
        <v>1283</v>
      </c>
      <c r="G3" s="1933" t="s">
        <v>1284</v>
      </c>
      <c r="H3" s="1947" t="s">
        <v>1283</v>
      </c>
      <c r="I3" s="1944" t="s">
        <v>1284</v>
      </c>
      <c r="J3" s="2009" t="s">
        <v>1283</v>
      </c>
      <c r="K3" s="3425" t="s">
        <v>1284</v>
      </c>
      <c r="L3" s="3436" t="s">
        <v>1283</v>
      </c>
      <c r="M3" s="3437" t="s">
        <v>1284</v>
      </c>
      <c r="N3" s="2009" t="s">
        <v>1283</v>
      </c>
      <c r="O3" s="2010" t="s">
        <v>1284</v>
      </c>
      <c r="P3" s="1947" t="s">
        <v>1283</v>
      </c>
      <c r="Q3" s="1944" t="s">
        <v>1284</v>
      </c>
      <c r="R3" s="2009" t="s">
        <v>1283</v>
      </c>
      <c r="S3" s="2010" t="s">
        <v>1284</v>
      </c>
      <c r="T3" s="1947" t="s">
        <v>1283</v>
      </c>
      <c r="U3" s="1944" t="s">
        <v>1284</v>
      </c>
      <c r="V3" s="2009" t="s">
        <v>1283</v>
      </c>
      <c r="W3" s="2010" t="s">
        <v>1284</v>
      </c>
      <c r="X3" s="3436" t="s">
        <v>1283</v>
      </c>
      <c r="Y3" s="5858" t="s">
        <v>1284</v>
      </c>
      <c r="Z3" s="5876" t="s">
        <v>1283</v>
      </c>
      <c r="AA3" s="5876" t="s">
        <v>1284</v>
      </c>
      <c r="AB3" s="2009" t="s">
        <v>1283</v>
      </c>
      <c r="AC3" s="2010" t="s">
        <v>1284</v>
      </c>
      <c r="AD3" s="1947" t="s">
        <v>1283</v>
      </c>
      <c r="AE3" s="1944" t="s">
        <v>1284</v>
      </c>
      <c r="AF3" s="2009" t="s">
        <v>1283</v>
      </c>
      <c r="AG3" s="2010" t="s">
        <v>1284</v>
      </c>
      <c r="AH3" s="1947" t="s">
        <v>1283</v>
      </c>
      <c r="AI3" s="1944" t="s">
        <v>1284</v>
      </c>
      <c r="AJ3" s="2009" t="s">
        <v>1283</v>
      </c>
      <c r="AK3" s="2010" t="s">
        <v>1284</v>
      </c>
      <c r="AL3" s="3436" t="s">
        <v>1283</v>
      </c>
      <c r="AM3" s="3437" t="s">
        <v>1284</v>
      </c>
      <c r="AN3" s="1947" t="s">
        <v>1283</v>
      </c>
      <c r="AO3" s="1944" t="s">
        <v>1284</v>
      </c>
      <c r="AP3" s="2009" t="s">
        <v>1283</v>
      </c>
      <c r="AQ3" s="2010" t="s">
        <v>1284</v>
      </c>
      <c r="AR3" s="1947" t="s">
        <v>1283</v>
      </c>
      <c r="AS3" s="1944" t="s">
        <v>1284</v>
      </c>
      <c r="AT3" s="2009" t="s">
        <v>1283</v>
      </c>
      <c r="AU3" s="2010" t="s">
        <v>1284</v>
      </c>
      <c r="AV3" s="1947" t="s">
        <v>1283</v>
      </c>
      <c r="AW3" s="1944" t="s">
        <v>1284</v>
      </c>
      <c r="AX3" s="2009" t="s">
        <v>1283</v>
      </c>
      <c r="AY3" s="2010" t="s">
        <v>1284</v>
      </c>
      <c r="AZ3" s="3436" t="s">
        <v>1283</v>
      </c>
      <c r="BA3" s="5858" t="s">
        <v>1284</v>
      </c>
      <c r="BB3" s="5895" t="s">
        <v>1283</v>
      </c>
      <c r="BC3" s="5895" t="s">
        <v>1284</v>
      </c>
      <c r="BD3" s="1947" t="s">
        <v>1283</v>
      </c>
      <c r="BE3" s="1944" t="s">
        <v>1999</v>
      </c>
    </row>
    <row r="4" spans="2:61" ht="21.95" customHeight="1" thickBot="1" x14ac:dyDescent="0.3">
      <c r="B4" s="6270" t="s">
        <v>1285</v>
      </c>
      <c r="C4" s="1912" t="s">
        <v>1065</v>
      </c>
      <c r="D4" s="1931">
        <v>15.7</v>
      </c>
      <c r="E4" s="1941">
        <v>57840.7</v>
      </c>
      <c r="F4" s="1931">
        <v>22.3</v>
      </c>
      <c r="G4" s="1941">
        <v>76240</v>
      </c>
      <c r="H4" s="1948">
        <f>+D4+F4</f>
        <v>38</v>
      </c>
      <c r="I4" s="1949">
        <f>+G4+E4</f>
        <v>134080.70000000001</v>
      </c>
      <c r="J4" s="1931">
        <v>14.7</v>
      </c>
      <c r="K4" s="3426">
        <v>51108.7</v>
      </c>
      <c r="L4" s="3438">
        <f>+D4+F4+J4</f>
        <v>52.7</v>
      </c>
      <c r="M4" s="3439">
        <f>+E4+G4+K4</f>
        <v>185189.40000000002</v>
      </c>
      <c r="N4" s="1931">
        <v>13.3470569236173</v>
      </c>
      <c r="O4" s="1941">
        <v>43466.8</v>
      </c>
      <c r="P4" s="2066">
        <f>L4+N4</f>
        <v>66.047056923617305</v>
      </c>
      <c r="Q4" s="2066">
        <f>M4+O4</f>
        <v>228656.2</v>
      </c>
      <c r="R4" s="2011">
        <v>15.9</v>
      </c>
      <c r="S4" s="2012">
        <v>53192.21</v>
      </c>
      <c r="T4" s="1948">
        <f>P4+R4</f>
        <v>81.947056923617311</v>
      </c>
      <c r="U4" s="2066">
        <f>Q4+S4</f>
        <v>281848.41000000003</v>
      </c>
      <c r="V4" s="2011">
        <v>16.5</v>
      </c>
      <c r="W4" s="2012">
        <v>62259.199999999997</v>
      </c>
      <c r="X4" s="3438">
        <f>+N4+R4+V4</f>
        <v>45.747056923617301</v>
      </c>
      <c r="Y4" s="5859">
        <f>+O4+S4+W4</f>
        <v>158918.21000000002</v>
      </c>
      <c r="Z4" s="5844">
        <f>L4+X4</f>
        <v>98.447056923617311</v>
      </c>
      <c r="AA4" s="5842">
        <f>M4+Y4</f>
        <v>344107.61000000004</v>
      </c>
      <c r="AB4" s="2011">
        <v>17.899999999999999</v>
      </c>
      <c r="AC4" s="2012">
        <v>66310</v>
      </c>
      <c r="AD4" s="1948">
        <f>Z4+AB4</f>
        <v>116.34705692361732</v>
      </c>
      <c r="AE4" s="2066">
        <f>AA4+AC4</f>
        <v>410417.61000000004</v>
      </c>
      <c r="AF4" s="2011">
        <v>15.6</v>
      </c>
      <c r="AG4" s="2012">
        <v>58858</v>
      </c>
      <c r="AH4" s="1948">
        <f>AD4+AF4</f>
        <v>131.94705692361731</v>
      </c>
      <c r="AI4" s="2066">
        <f>AE4+AG4</f>
        <v>469275.61000000004</v>
      </c>
      <c r="AJ4" s="2011">
        <v>12.4</v>
      </c>
      <c r="AK4" s="2012">
        <v>44862</v>
      </c>
      <c r="AL4" s="3438">
        <f>+AB4+AF4+AJ4</f>
        <v>45.9</v>
      </c>
      <c r="AM4" s="3439">
        <f>+AC4+AG4+AK4</f>
        <v>170030</v>
      </c>
      <c r="AN4" s="1948">
        <f>AH4+AJ4</f>
        <v>144.34705692361732</v>
      </c>
      <c r="AO4" s="2066">
        <f>AI4+AK4</f>
        <v>514137.61000000004</v>
      </c>
      <c r="AP4" s="2011">
        <v>9.6</v>
      </c>
      <c r="AQ4" s="2012">
        <v>35431</v>
      </c>
      <c r="AR4" s="1948">
        <f>AN4+AP4</f>
        <v>153.94705692361731</v>
      </c>
      <c r="AS4" s="2066">
        <f>AO4+AQ4</f>
        <v>549568.6100000001</v>
      </c>
      <c r="AT4" s="2011">
        <v>14</v>
      </c>
      <c r="AU4" s="2012">
        <v>51462</v>
      </c>
      <c r="AV4" s="1948">
        <f>AR4+AT4</f>
        <v>167.94705692361731</v>
      </c>
      <c r="AW4" s="2066">
        <f>AS4+AU4</f>
        <v>601030.6100000001</v>
      </c>
      <c r="AX4" s="2011">
        <v>15</v>
      </c>
      <c r="AY4" s="2012">
        <v>54013</v>
      </c>
      <c r="AZ4" s="3438">
        <f>+AP4+AT4+AX4</f>
        <v>38.6</v>
      </c>
      <c r="BA4" s="5859">
        <f>+AQ4+AU4+AY4</f>
        <v>140906</v>
      </c>
      <c r="BB4" s="5813">
        <f>AL4+AZ4</f>
        <v>84.5</v>
      </c>
      <c r="BC4" s="5814">
        <f>AM4+BA4</f>
        <v>310936</v>
      </c>
      <c r="BD4" s="1948">
        <f>AV4+AX4</f>
        <v>182.94705692361731</v>
      </c>
      <c r="BE4" s="2066">
        <f>AW4+AY4</f>
        <v>655043.6100000001</v>
      </c>
      <c r="BF4" s="648"/>
      <c r="BG4" s="648"/>
      <c r="BH4" s="648"/>
      <c r="BI4" s="648"/>
    </row>
    <row r="5" spans="2:61" ht="21.95" customHeight="1" thickBot="1" x14ac:dyDescent="0.3">
      <c r="B5" s="6271"/>
      <c r="C5" s="1913" t="s">
        <v>1066</v>
      </c>
      <c r="D5" s="1916">
        <v>1.5</v>
      </c>
      <c r="E5" s="1932">
        <v>4500</v>
      </c>
      <c r="F5" s="1916">
        <v>7.6</v>
      </c>
      <c r="G5" s="1932">
        <v>27435.599999999999</v>
      </c>
      <c r="H5" s="1948">
        <f t="shared" ref="H5:H62" si="0">+D5+F5</f>
        <v>9.1</v>
      </c>
      <c r="I5" s="1949">
        <f t="shared" ref="I5:I69" si="1">+G5+E5</f>
        <v>31935.599999999999</v>
      </c>
      <c r="J5" s="1916">
        <v>11.3</v>
      </c>
      <c r="K5" s="3427">
        <v>39470.5</v>
      </c>
      <c r="L5" s="3438">
        <f t="shared" ref="L5:L63" si="2">+D5+F5+J5</f>
        <v>20.399999999999999</v>
      </c>
      <c r="M5" s="3439">
        <f t="shared" ref="M5:M69" si="3">+E5+G5+K5</f>
        <v>71406.100000000006</v>
      </c>
      <c r="N5" s="1916">
        <v>6</v>
      </c>
      <c r="O5" s="3435">
        <v>22176.5</v>
      </c>
      <c r="P5" s="2066">
        <f t="shared" ref="P5:P63" si="4">L5+N5</f>
        <v>26.4</v>
      </c>
      <c r="Q5" s="2066">
        <f t="shared" ref="Q5:Q64" si="5">M5+O5</f>
        <v>93582.6</v>
      </c>
      <c r="R5" s="2013">
        <v>0.4</v>
      </c>
      <c r="S5" s="2014">
        <v>1705.4</v>
      </c>
      <c r="T5" s="1948">
        <f t="shared" ref="T5:U64" si="6">P5+R5</f>
        <v>26.799999999999997</v>
      </c>
      <c r="U5" s="2066">
        <f t="shared" si="6"/>
        <v>95288</v>
      </c>
      <c r="V5" s="2013">
        <v>0.4</v>
      </c>
      <c r="W5" s="2014">
        <v>1926</v>
      </c>
      <c r="X5" s="3438">
        <f t="shared" ref="X5:X63" si="7">+N5+R5+V5</f>
        <v>6.8000000000000007</v>
      </c>
      <c r="Y5" s="5859">
        <f t="shared" ref="Y5:Y68" si="8">+O5+S5+W5</f>
        <v>25807.9</v>
      </c>
      <c r="Z5" s="5844">
        <f t="shared" ref="Z5:Z63" si="9">L5+X5</f>
        <v>27.2</v>
      </c>
      <c r="AA5" s="5842">
        <f t="shared" ref="AA5:AA68" si="10">M5+Y5</f>
        <v>97214</v>
      </c>
      <c r="AB5" s="2013">
        <v>4.0999999999999996</v>
      </c>
      <c r="AC5" s="2014">
        <v>14907</v>
      </c>
      <c r="AD5" s="1948">
        <f t="shared" ref="AD5:AD6" si="11">Z5+AB5</f>
        <v>31.299999999999997</v>
      </c>
      <c r="AE5" s="2066">
        <f t="shared" ref="AE5:AE6" si="12">AA5+AC5</f>
        <v>112121</v>
      </c>
      <c r="AF5" s="2013">
        <v>4.8</v>
      </c>
      <c r="AG5" s="2014">
        <v>18110</v>
      </c>
      <c r="AH5" s="1948">
        <f t="shared" ref="AH5:AH6" si="13">AD5+AF5</f>
        <v>36.099999999999994</v>
      </c>
      <c r="AI5" s="2066">
        <f t="shared" ref="AI5:AI6" si="14">AE5+AG5</f>
        <v>130231</v>
      </c>
      <c r="AJ5" s="2013">
        <v>8.5</v>
      </c>
      <c r="AK5" s="2014">
        <v>30752</v>
      </c>
      <c r="AL5" s="3438">
        <f t="shared" ref="AL5:AL6" si="15">+AB5+AF5+AJ5</f>
        <v>17.399999999999999</v>
      </c>
      <c r="AM5" s="3439">
        <f t="shared" ref="AM5:AM6" si="16">+AC5+AG5+AK5</f>
        <v>63769</v>
      </c>
      <c r="AN5" s="1948">
        <f t="shared" ref="AN5:AO8" si="17">AH5+AJ5</f>
        <v>44.599999999999994</v>
      </c>
      <c r="AO5" s="2066">
        <f t="shared" ref="AO5:AO6" si="18">AI5+AK5</f>
        <v>160983</v>
      </c>
      <c r="AP5" s="2013">
        <v>11</v>
      </c>
      <c r="AQ5" s="2014">
        <v>43014</v>
      </c>
      <c r="AR5" s="1948">
        <f t="shared" ref="AR5:AR6" si="19">AN5+AP5</f>
        <v>55.599999999999994</v>
      </c>
      <c r="AS5" s="2066">
        <f t="shared" ref="AS5:AS6" si="20">AO5+AQ5</f>
        <v>203997</v>
      </c>
      <c r="AT5" s="2013">
        <v>11.2</v>
      </c>
      <c r="AU5" s="2014">
        <v>41929</v>
      </c>
      <c r="AV5" s="1948">
        <f t="shared" ref="AV5:AV6" si="21">AR5+AT5</f>
        <v>66.8</v>
      </c>
      <c r="AW5" s="2066">
        <f t="shared" ref="AW5:AW6" si="22">AS5+AU5</f>
        <v>245926</v>
      </c>
      <c r="AX5" s="2013">
        <v>5</v>
      </c>
      <c r="AY5" s="2014">
        <v>20574</v>
      </c>
      <c r="AZ5" s="3438">
        <f t="shared" ref="AZ5:AZ6" si="23">+AP5+AT5+AX5</f>
        <v>27.2</v>
      </c>
      <c r="BA5" s="5859">
        <f t="shared" ref="BA5:BA6" si="24">+AQ5+AU5+AY5</f>
        <v>105517</v>
      </c>
      <c r="BB5" s="5813">
        <f t="shared" ref="BB5:BB6" si="25">AL5+AZ5</f>
        <v>44.599999999999994</v>
      </c>
      <c r="BC5" s="5814">
        <f t="shared" ref="BC5:BC6" si="26">AM5+BA5</f>
        <v>169286</v>
      </c>
      <c r="BD5" s="1948">
        <f t="shared" ref="BD5:BD6" si="27">AV5+AX5</f>
        <v>71.8</v>
      </c>
      <c r="BE5" s="2066">
        <f t="shared" ref="BE5:BE6" si="28">AW5+AY5</f>
        <v>266500</v>
      </c>
      <c r="BF5" s="648"/>
      <c r="BG5" s="648"/>
      <c r="BH5" s="648"/>
      <c r="BI5" s="648"/>
    </row>
    <row r="6" spans="2:61" ht="21.95" customHeight="1" x14ac:dyDescent="0.25">
      <c r="B6" s="6271"/>
      <c r="C6" s="1913" t="s">
        <v>1286</v>
      </c>
      <c r="D6" s="1916">
        <v>1</v>
      </c>
      <c r="E6" s="1932">
        <v>3757</v>
      </c>
      <c r="F6" s="1916">
        <v>6</v>
      </c>
      <c r="G6" s="1932">
        <v>22741</v>
      </c>
      <c r="H6" s="1948">
        <f t="shared" si="0"/>
        <v>7</v>
      </c>
      <c r="I6" s="1949">
        <f t="shared" si="1"/>
        <v>26498</v>
      </c>
      <c r="J6" s="1916">
        <v>1.4</v>
      </c>
      <c r="K6" s="3427">
        <f>5015-98</f>
        <v>4917</v>
      </c>
      <c r="L6" s="3438">
        <f t="shared" si="2"/>
        <v>8.4</v>
      </c>
      <c r="M6" s="3439">
        <f t="shared" si="3"/>
        <v>31415</v>
      </c>
      <c r="N6" s="1916">
        <v>0</v>
      </c>
      <c r="O6" s="1932">
        <v>0</v>
      </c>
      <c r="P6" s="2066">
        <f t="shared" si="4"/>
        <v>8.4</v>
      </c>
      <c r="Q6" s="2066">
        <f t="shared" si="5"/>
        <v>31415</v>
      </c>
      <c r="R6" s="2013">
        <v>0</v>
      </c>
      <c r="S6" s="2014">
        <v>0</v>
      </c>
      <c r="T6" s="1948">
        <f t="shared" si="6"/>
        <v>8.4</v>
      </c>
      <c r="U6" s="2066">
        <f t="shared" si="6"/>
        <v>31415</v>
      </c>
      <c r="V6" s="2013">
        <v>0.1</v>
      </c>
      <c r="W6" s="2014">
        <f>209-2</f>
        <v>207</v>
      </c>
      <c r="X6" s="3438">
        <f t="shared" si="7"/>
        <v>0.1</v>
      </c>
      <c r="Y6" s="5859">
        <f t="shared" si="8"/>
        <v>207</v>
      </c>
      <c r="Z6" s="5844">
        <f t="shared" si="9"/>
        <v>8.5</v>
      </c>
      <c r="AA6" s="5842">
        <f t="shared" si="10"/>
        <v>31622</v>
      </c>
      <c r="AB6" s="2013">
        <v>0</v>
      </c>
      <c r="AC6" s="2014">
        <v>0</v>
      </c>
      <c r="AD6" s="1948">
        <f t="shared" si="11"/>
        <v>8.5</v>
      </c>
      <c r="AE6" s="2066">
        <f t="shared" si="12"/>
        <v>31622</v>
      </c>
      <c r="AF6" s="2013">
        <v>0.6</v>
      </c>
      <c r="AG6" s="2014">
        <v>2264</v>
      </c>
      <c r="AH6" s="1948">
        <f t="shared" si="13"/>
        <v>9.1</v>
      </c>
      <c r="AI6" s="2066">
        <f t="shared" si="14"/>
        <v>33886</v>
      </c>
      <c r="AJ6" s="2013">
        <v>0.5</v>
      </c>
      <c r="AK6" s="2014">
        <v>1809</v>
      </c>
      <c r="AL6" s="3438">
        <f t="shared" si="15"/>
        <v>1.1000000000000001</v>
      </c>
      <c r="AM6" s="3439">
        <f t="shared" si="16"/>
        <v>4073</v>
      </c>
      <c r="AN6" s="1948">
        <f t="shared" si="17"/>
        <v>9.6</v>
      </c>
      <c r="AO6" s="2066">
        <f t="shared" si="18"/>
        <v>35695</v>
      </c>
      <c r="AP6" s="2013">
        <v>1.3</v>
      </c>
      <c r="AQ6" s="2014">
        <v>4707</v>
      </c>
      <c r="AR6" s="1948">
        <f t="shared" si="19"/>
        <v>10.9</v>
      </c>
      <c r="AS6" s="2066">
        <f t="shared" si="20"/>
        <v>40402</v>
      </c>
      <c r="AT6" s="2013">
        <v>0.3</v>
      </c>
      <c r="AU6" s="2014">
        <v>1003</v>
      </c>
      <c r="AV6" s="1948">
        <f t="shared" si="21"/>
        <v>11.200000000000001</v>
      </c>
      <c r="AW6" s="2066">
        <f t="shared" si="22"/>
        <v>41405</v>
      </c>
      <c r="AX6" s="2013">
        <v>0.2</v>
      </c>
      <c r="AY6" s="2014">
        <v>690</v>
      </c>
      <c r="AZ6" s="3438">
        <f t="shared" si="23"/>
        <v>1.8</v>
      </c>
      <c r="BA6" s="5859">
        <f t="shared" si="24"/>
        <v>6400</v>
      </c>
      <c r="BB6" s="5813">
        <f t="shared" si="25"/>
        <v>2.9000000000000004</v>
      </c>
      <c r="BC6" s="5814">
        <f t="shared" si="26"/>
        <v>10473</v>
      </c>
      <c r="BD6" s="1948">
        <f t="shared" si="27"/>
        <v>11.4</v>
      </c>
      <c r="BE6" s="2066">
        <f t="shared" si="28"/>
        <v>42095</v>
      </c>
      <c r="BF6" s="648"/>
      <c r="BG6" s="648"/>
      <c r="BH6" s="648"/>
      <c r="BI6" s="648"/>
    </row>
    <row r="7" spans="2:61" ht="21.95" customHeight="1" thickBot="1" x14ac:dyDescent="0.3">
      <c r="B7" s="6271"/>
      <c r="C7" s="1939" t="s">
        <v>2</v>
      </c>
      <c r="D7" s="3434">
        <f>SUM(D4:D6)</f>
        <v>18.2</v>
      </c>
      <c r="E7" s="3433">
        <f t="shared" ref="E7:AA7" si="29">SUM(E4:E6)</f>
        <v>66097.7</v>
      </c>
      <c r="F7" s="3433">
        <f t="shared" si="29"/>
        <v>35.9</v>
      </c>
      <c r="G7" s="3433">
        <f t="shared" si="29"/>
        <v>126416.6</v>
      </c>
      <c r="H7" s="3433">
        <f t="shared" si="29"/>
        <v>54.1</v>
      </c>
      <c r="I7" s="3433">
        <f t="shared" si="29"/>
        <v>192514.30000000002</v>
      </c>
      <c r="J7" s="3433">
        <f t="shared" si="29"/>
        <v>27.4</v>
      </c>
      <c r="K7" s="3433">
        <f t="shared" si="29"/>
        <v>95496.2</v>
      </c>
      <c r="L7" s="5855">
        <f t="shared" si="29"/>
        <v>81.5</v>
      </c>
      <c r="M7" s="5855">
        <f t="shared" si="29"/>
        <v>288010.5</v>
      </c>
      <c r="N7" s="3433">
        <f t="shared" si="29"/>
        <v>19.347056923617302</v>
      </c>
      <c r="O7" s="3433">
        <f t="shared" si="29"/>
        <v>65643.3</v>
      </c>
      <c r="P7" s="3433">
        <f t="shared" si="29"/>
        <v>100.84705692361732</v>
      </c>
      <c r="Q7" s="3433">
        <f t="shared" si="29"/>
        <v>353653.80000000005</v>
      </c>
      <c r="R7" s="3433">
        <f t="shared" si="29"/>
        <v>16.3</v>
      </c>
      <c r="S7" s="3433">
        <f t="shared" si="29"/>
        <v>54897.61</v>
      </c>
      <c r="T7" s="3433">
        <f t="shared" si="29"/>
        <v>117.14705692361731</v>
      </c>
      <c r="U7" s="3433">
        <f t="shared" si="29"/>
        <v>408551.41000000003</v>
      </c>
      <c r="V7" s="3433">
        <f t="shared" si="29"/>
        <v>17</v>
      </c>
      <c r="W7" s="3433">
        <f t="shared" si="29"/>
        <v>64392.2</v>
      </c>
      <c r="X7" s="5855">
        <f t="shared" si="29"/>
        <v>52.647056923617306</v>
      </c>
      <c r="Y7" s="5860">
        <f t="shared" si="29"/>
        <v>184933.11000000002</v>
      </c>
      <c r="Z7" s="5843">
        <f t="shared" si="29"/>
        <v>134.1470569236173</v>
      </c>
      <c r="AA7" s="5843">
        <f t="shared" si="29"/>
        <v>472943.61000000004</v>
      </c>
      <c r="AB7" s="3433">
        <f t="shared" ref="AB7:AE7" si="30">SUM(AB4:AB6)</f>
        <v>22</v>
      </c>
      <c r="AC7" s="3433">
        <f t="shared" si="30"/>
        <v>81217</v>
      </c>
      <c r="AD7" s="3433">
        <f t="shared" si="30"/>
        <v>156.1470569236173</v>
      </c>
      <c r="AE7" s="3433">
        <f t="shared" si="30"/>
        <v>554160.6100000001</v>
      </c>
      <c r="AF7" s="3433">
        <f t="shared" ref="AF7:AI7" si="31">SUM(AF4:AF6)</f>
        <v>21</v>
      </c>
      <c r="AG7" s="3433">
        <f t="shared" si="31"/>
        <v>79232</v>
      </c>
      <c r="AH7" s="3433">
        <f t="shared" si="31"/>
        <v>177.1470569236173</v>
      </c>
      <c r="AI7" s="3433">
        <f t="shared" si="31"/>
        <v>633392.6100000001</v>
      </c>
      <c r="AJ7" s="3433">
        <f t="shared" ref="AJ7:AS7" si="32">SUM(AJ4:AJ6)</f>
        <v>21.4</v>
      </c>
      <c r="AK7" s="3433">
        <f t="shared" si="32"/>
        <v>77423</v>
      </c>
      <c r="AL7" s="3433">
        <f t="shared" si="32"/>
        <v>64.399999999999991</v>
      </c>
      <c r="AM7" s="3433">
        <f t="shared" si="32"/>
        <v>237872</v>
      </c>
      <c r="AN7" s="3433">
        <f t="shared" si="32"/>
        <v>198.5470569236173</v>
      </c>
      <c r="AO7" s="3433">
        <f t="shared" si="32"/>
        <v>710815.6100000001</v>
      </c>
      <c r="AP7" s="3433">
        <f t="shared" si="32"/>
        <v>21.900000000000002</v>
      </c>
      <c r="AQ7" s="3433">
        <f t="shared" si="32"/>
        <v>83152</v>
      </c>
      <c r="AR7" s="3433">
        <f t="shared" si="32"/>
        <v>220.44705692361731</v>
      </c>
      <c r="AS7" s="3433">
        <f t="shared" si="32"/>
        <v>793967.6100000001</v>
      </c>
      <c r="AT7" s="3433">
        <f t="shared" ref="AT7:AW7" si="33">SUM(AT4:AT6)</f>
        <v>25.5</v>
      </c>
      <c r="AU7" s="3433">
        <f t="shared" si="33"/>
        <v>94394</v>
      </c>
      <c r="AV7" s="3433">
        <f t="shared" si="33"/>
        <v>245.94705692361731</v>
      </c>
      <c r="AW7" s="3433">
        <f t="shared" si="33"/>
        <v>888361.6100000001</v>
      </c>
      <c r="AX7" s="3433">
        <f t="shared" ref="AX7:BE7" si="34">SUM(AX4:AX6)</f>
        <v>20.2</v>
      </c>
      <c r="AY7" s="3433">
        <f t="shared" si="34"/>
        <v>75277</v>
      </c>
      <c r="AZ7" s="3433">
        <f t="shared" si="34"/>
        <v>67.599999999999994</v>
      </c>
      <c r="BA7" s="5882">
        <f t="shared" si="34"/>
        <v>252823</v>
      </c>
      <c r="BB7" s="5804">
        <f t="shared" si="34"/>
        <v>132</v>
      </c>
      <c r="BC7" s="5804">
        <f t="shared" si="34"/>
        <v>490695</v>
      </c>
      <c r="BD7" s="3433">
        <f t="shared" si="34"/>
        <v>266.1470569236173</v>
      </c>
      <c r="BE7" s="3433">
        <f t="shared" si="34"/>
        <v>963638.6100000001</v>
      </c>
      <c r="BF7" s="648"/>
      <c r="BG7" s="648"/>
      <c r="BH7" s="648"/>
      <c r="BI7" s="648"/>
    </row>
    <row r="8" spans="2:61" ht="21.95" customHeight="1" thickBot="1" x14ac:dyDescent="0.3">
      <c r="B8" s="6271"/>
      <c r="C8" s="1913" t="s">
        <v>1063</v>
      </c>
      <c r="D8" s="1916">
        <v>17.2</v>
      </c>
      <c r="E8" s="1932">
        <v>64188</v>
      </c>
      <c r="F8" s="1916">
        <v>33.200000000000003</v>
      </c>
      <c r="G8" s="1932">
        <v>116073</v>
      </c>
      <c r="H8" s="1948">
        <f t="shared" si="0"/>
        <v>50.400000000000006</v>
      </c>
      <c r="I8" s="1949">
        <f t="shared" si="1"/>
        <v>180261</v>
      </c>
      <c r="J8" s="1916">
        <v>27</v>
      </c>
      <c r="K8" s="3427">
        <v>95009</v>
      </c>
      <c r="L8" s="3438">
        <f t="shared" si="2"/>
        <v>77.400000000000006</v>
      </c>
      <c r="M8" s="3439">
        <f t="shared" si="3"/>
        <v>275270</v>
      </c>
      <c r="N8" s="1916">
        <v>18.94966504820685</v>
      </c>
      <c r="O8" s="1932">
        <v>67773.840026732825</v>
      </c>
      <c r="P8" s="2066">
        <f t="shared" si="4"/>
        <v>96.349665048206859</v>
      </c>
      <c r="Q8" s="2066">
        <f t="shared" si="5"/>
        <v>343043.84002673283</v>
      </c>
      <c r="R8" s="2013">
        <v>13.4</v>
      </c>
      <c r="S8" s="2014">
        <v>46674</v>
      </c>
      <c r="T8" s="1948">
        <f t="shared" si="6"/>
        <v>109.74966504820686</v>
      </c>
      <c r="U8" s="2066">
        <f t="shared" si="6"/>
        <v>389717.84002673283</v>
      </c>
      <c r="V8" s="2013">
        <v>15.2</v>
      </c>
      <c r="W8" s="2014">
        <v>56857</v>
      </c>
      <c r="X8" s="3438">
        <f t="shared" si="7"/>
        <v>47.549665048206847</v>
      </c>
      <c r="Y8" s="5859">
        <f t="shared" si="8"/>
        <v>171304.84002673283</v>
      </c>
      <c r="Z8" s="5844">
        <f t="shared" si="9"/>
        <v>124.94966504820685</v>
      </c>
      <c r="AA8" s="5842">
        <f t="shared" si="10"/>
        <v>446574.84002673283</v>
      </c>
      <c r="AB8" s="2013">
        <v>19.7</v>
      </c>
      <c r="AC8" s="2014">
        <v>72256</v>
      </c>
      <c r="AD8" s="1948">
        <f t="shared" ref="AD8:AD12" si="35">Z8+AB8</f>
        <v>144.64966504820686</v>
      </c>
      <c r="AE8" s="2066">
        <f t="shared" ref="AE8:AE12" si="36">AA8+AC8</f>
        <v>518830.84002673283</v>
      </c>
      <c r="AF8" s="2013">
        <v>18.5</v>
      </c>
      <c r="AG8" s="2014">
        <v>69799</v>
      </c>
      <c r="AH8" s="1948">
        <f t="shared" ref="AH8:AH12" si="37">AD8+AF8</f>
        <v>163.14966504820686</v>
      </c>
      <c r="AI8" s="2066">
        <f t="shared" ref="AI8:AI12" si="38">AE8+AG8</f>
        <v>588629.84002673277</v>
      </c>
      <c r="AJ8" s="2013">
        <v>19.899999999999999</v>
      </c>
      <c r="AK8" s="2014">
        <v>72358</v>
      </c>
      <c r="AL8" s="3438">
        <f t="shared" ref="AL8:AL12" si="39">+AB8+AF8+AJ8</f>
        <v>58.1</v>
      </c>
      <c r="AM8" s="3439">
        <f t="shared" ref="AM8:AM12" si="40">+AC8+AG8+AK8</f>
        <v>214413</v>
      </c>
      <c r="AN8" s="1948">
        <f t="shared" si="17"/>
        <v>183.04966504820686</v>
      </c>
      <c r="AO8" s="2066">
        <f t="shared" si="17"/>
        <v>660987.84002673277</v>
      </c>
      <c r="AP8" s="2013">
        <v>21.2</v>
      </c>
      <c r="AQ8" s="2014">
        <v>80450</v>
      </c>
      <c r="AR8" s="1948">
        <f t="shared" ref="AR8:AR12" si="41">AN8+AP8</f>
        <v>204.24966504820685</v>
      </c>
      <c r="AS8" s="2066">
        <f t="shared" ref="AS8:AS12" si="42">AO8+AQ8</f>
        <v>741437.84002673277</v>
      </c>
      <c r="AT8" s="2013">
        <v>25.5</v>
      </c>
      <c r="AU8" s="2014">
        <v>94394</v>
      </c>
      <c r="AV8" s="1948">
        <f t="shared" ref="AV8:AV12" si="43">AR8+AT8</f>
        <v>229.74966504820685</v>
      </c>
      <c r="AW8" s="2066">
        <f t="shared" ref="AW8:AW12" si="44">AS8+AU8</f>
        <v>835831.84002673277</v>
      </c>
      <c r="AX8" s="2013">
        <v>20</v>
      </c>
      <c r="AY8" s="2014">
        <v>75278</v>
      </c>
      <c r="AZ8" s="3438">
        <f t="shared" ref="AZ8:AZ12" si="45">+AP8+AT8+AX8</f>
        <v>66.7</v>
      </c>
      <c r="BA8" s="5859">
        <f t="shared" ref="BA8:BA12" si="46">+AQ8+AU8+AY8</f>
        <v>250122</v>
      </c>
      <c r="BB8" s="5813">
        <f t="shared" ref="BB8:BB12" si="47">AL8+AZ8</f>
        <v>124.80000000000001</v>
      </c>
      <c r="BC8" s="5814">
        <f t="shared" ref="BC8:BC12" si="48">AM8+BA8</f>
        <v>464535</v>
      </c>
      <c r="BD8" s="1948">
        <f t="shared" ref="BD8:BD12" si="49">AV8+AX8</f>
        <v>249.74966504820685</v>
      </c>
      <c r="BE8" s="2066">
        <f t="shared" ref="BE8:BE12" si="50">AW8+AY8</f>
        <v>911109.84002673277</v>
      </c>
      <c r="BF8" s="648"/>
      <c r="BG8" s="648"/>
      <c r="BH8" s="648"/>
      <c r="BI8" s="648"/>
    </row>
    <row r="9" spans="2:61" ht="21.95" customHeight="1" thickBot="1" x14ac:dyDescent="0.3">
      <c r="B9" s="6272"/>
      <c r="C9" s="1921" t="s">
        <v>1064</v>
      </c>
      <c r="D9" s="1919">
        <v>1</v>
      </c>
      <c r="E9" s="1940">
        <v>3459</v>
      </c>
      <c r="F9" s="1919">
        <v>2.7</v>
      </c>
      <c r="G9" s="1940">
        <v>10700</v>
      </c>
      <c r="H9" s="1948">
        <f t="shared" si="0"/>
        <v>3.7</v>
      </c>
      <c r="I9" s="1949">
        <f t="shared" si="1"/>
        <v>14159</v>
      </c>
      <c r="J9" s="1919">
        <v>0.4</v>
      </c>
      <c r="K9" s="3428">
        <v>1523</v>
      </c>
      <c r="L9" s="3438">
        <f t="shared" si="2"/>
        <v>4.1000000000000005</v>
      </c>
      <c r="M9" s="3439">
        <f t="shared" si="3"/>
        <v>15682</v>
      </c>
      <c r="N9" s="1919">
        <v>0.85411140583554368</v>
      </c>
      <c r="O9" s="1940">
        <v>3266.1697612732096</v>
      </c>
      <c r="P9" s="2066">
        <f t="shared" si="4"/>
        <v>4.954111405835544</v>
      </c>
      <c r="Q9" s="2066">
        <f t="shared" si="5"/>
        <v>18948.16976127321</v>
      </c>
      <c r="R9" s="2015">
        <v>2.9</v>
      </c>
      <c r="S9" s="2016">
        <v>11198</v>
      </c>
      <c r="T9" s="1948">
        <f t="shared" si="6"/>
        <v>7.8541114058355443</v>
      </c>
      <c r="U9" s="2066">
        <f t="shared" si="6"/>
        <v>30146.16976127321</v>
      </c>
      <c r="V9" s="2015">
        <v>1.8</v>
      </c>
      <c r="W9" s="2016">
        <v>7545</v>
      </c>
      <c r="X9" s="3438">
        <f t="shared" si="7"/>
        <v>5.5541114058355436</v>
      </c>
      <c r="Y9" s="5859">
        <f t="shared" si="8"/>
        <v>22009.16976127321</v>
      </c>
      <c r="Z9" s="5844">
        <f t="shared" si="9"/>
        <v>9.6541114058355433</v>
      </c>
      <c r="AA9" s="5842">
        <f t="shared" si="10"/>
        <v>37691.16976127321</v>
      </c>
      <c r="AB9" s="2015">
        <v>2.2999999999999998</v>
      </c>
      <c r="AC9" s="2016">
        <v>8961</v>
      </c>
      <c r="AD9" s="1948">
        <f t="shared" si="35"/>
        <v>11.954111405835544</v>
      </c>
      <c r="AE9" s="2066">
        <f t="shared" si="36"/>
        <v>46652.16976127321</v>
      </c>
      <c r="AF9" s="2015">
        <v>2.5</v>
      </c>
      <c r="AG9" s="2016">
        <v>9432</v>
      </c>
      <c r="AH9" s="1948">
        <f t="shared" si="37"/>
        <v>14.454111405835544</v>
      </c>
      <c r="AI9" s="2066">
        <f t="shared" si="38"/>
        <v>56084.16976127321</v>
      </c>
      <c r="AJ9" s="2015">
        <v>1.4</v>
      </c>
      <c r="AK9" s="2016">
        <v>5065</v>
      </c>
      <c r="AL9" s="3438">
        <f t="shared" si="39"/>
        <v>6.1999999999999993</v>
      </c>
      <c r="AM9" s="3439">
        <f t="shared" si="40"/>
        <v>23458</v>
      </c>
      <c r="AN9" s="1948">
        <f t="shared" ref="AN9:AO14" si="51">AH9+AJ9</f>
        <v>15.854111405835544</v>
      </c>
      <c r="AO9" s="2066">
        <f t="shared" ref="AO9:AO12" si="52">AI9+AK9</f>
        <v>61149.16976127321</v>
      </c>
      <c r="AP9" s="2015">
        <v>0.7</v>
      </c>
      <c r="AQ9" s="2016">
        <v>2702</v>
      </c>
      <c r="AR9" s="1948">
        <f t="shared" si="41"/>
        <v>16.554111405835545</v>
      </c>
      <c r="AS9" s="2066">
        <f t="shared" si="42"/>
        <v>63851.16976127321</v>
      </c>
      <c r="AT9" s="2015">
        <v>0</v>
      </c>
      <c r="AU9" s="2016"/>
      <c r="AV9" s="1948">
        <f t="shared" si="43"/>
        <v>16.554111405835545</v>
      </c>
      <c r="AW9" s="2066">
        <f t="shared" si="44"/>
        <v>63851.16976127321</v>
      </c>
      <c r="AX9" s="2015">
        <v>0</v>
      </c>
      <c r="AY9" s="2016">
        <v>0</v>
      </c>
      <c r="AZ9" s="3438">
        <f t="shared" si="45"/>
        <v>0.7</v>
      </c>
      <c r="BA9" s="5859">
        <f t="shared" si="46"/>
        <v>2702</v>
      </c>
      <c r="BB9" s="5813">
        <f t="shared" si="47"/>
        <v>6.8999999999999995</v>
      </c>
      <c r="BC9" s="5814">
        <f t="shared" si="48"/>
        <v>26160</v>
      </c>
      <c r="BD9" s="1948">
        <f t="shared" si="49"/>
        <v>16.554111405835545</v>
      </c>
      <c r="BE9" s="2066">
        <f t="shared" si="50"/>
        <v>63851.16976127321</v>
      </c>
      <c r="BF9" s="648"/>
      <c r="BG9" s="648"/>
      <c r="BH9" s="648"/>
      <c r="BI9" s="648"/>
    </row>
    <row r="10" spans="2:61" ht="21.95" customHeight="1" thickBot="1" x14ac:dyDescent="0.3">
      <c r="B10" s="6270" t="s">
        <v>1287</v>
      </c>
      <c r="C10" s="1912" t="s">
        <v>1065</v>
      </c>
      <c r="D10" s="1931">
        <v>59.3</v>
      </c>
      <c r="E10" s="1941">
        <v>225520.52</v>
      </c>
      <c r="F10" s="1931">
        <v>59.7</v>
      </c>
      <c r="G10" s="1941">
        <v>215801.76</v>
      </c>
      <c r="H10" s="1948">
        <f t="shared" si="0"/>
        <v>119</v>
      </c>
      <c r="I10" s="1949">
        <f t="shared" si="1"/>
        <v>441322.28</v>
      </c>
      <c r="J10" s="1931">
        <v>52.3</v>
      </c>
      <c r="K10" s="3426">
        <v>185219.5</v>
      </c>
      <c r="L10" s="3438">
        <f t="shared" si="2"/>
        <v>171.3</v>
      </c>
      <c r="M10" s="3439">
        <f t="shared" si="3"/>
        <v>626541.78</v>
      </c>
      <c r="N10" s="1931">
        <v>51.652943076382726</v>
      </c>
      <c r="O10" s="1941">
        <v>188089.25</v>
      </c>
      <c r="P10" s="2066">
        <f t="shared" si="4"/>
        <v>222.95294307638272</v>
      </c>
      <c r="Q10" s="2066">
        <f t="shared" si="5"/>
        <v>814631.03</v>
      </c>
      <c r="R10" s="2011">
        <v>53.1</v>
      </c>
      <c r="S10" s="2012">
        <v>191329.26</v>
      </c>
      <c r="T10" s="1948">
        <f t="shared" si="6"/>
        <v>276.05294307638275</v>
      </c>
      <c r="U10" s="2066">
        <f t="shared" si="6"/>
        <v>1005960.29</v>
      </c>
      <c r="V10" s="2011">
        <v>45.5</v>
      </c>
      <c r="W10" s="2012">
        <v>168937</v>
      </c>
      <c r="X10" s="3438">
        <f t="shared" si="7"/>
        <v>150.25294307638273</v>
      </c>
      <c r="Y10" s="5859">
        <f t="shared" si="8"/>
        <v>548355.51</v>
      </c>
      <c r="Z10" s="5844">
        <f t="shared" si="9"/>
        <v>321.55294307638275</v>
      </c>
      <c r="AA10" s="5842">
        <f t="shared" si="10"/>
        <v>1174897.29</v>
      </c>
      <c r="AB10" s="2011">
        <v>56.1</v>
      </c>
      <c r="AC10" s="2012">
        <v>206393</v>
      </c>
      <c r="AD10" s="1948">
        <f t="shared" si="35"/>
        <v>377.65294307638277</v>
      </c>
      <c r="AE10" s="2066">
        <f t="shared" si="36"/>
        <v>1381290.29</v>
      </c>
      <c r="AF10" s="2011">
        <v>58.4</v>
      </c>
      <c r="AG10" s="2012">
        <v>219974</v>
      </c>
      <c r="AH10" s="1948">
        <f t="shared" si="37"/>
        <v>436.05294307638275</v>
      </c>
      <c r="AI10" s="2066">
        <f t="shared" si="38"/>
        <v>1601264.29</v>
      </c>
      <c r="AJ10" s="2011">
        <v>63.6</v>
      </c>
      <c r="AK10" s="2012">
        <v>239736</v>
      </c>
      <c r="AL10" s="3438">
        <f t="shared" si="39"/>
        <v>178.1</v>
      </c>
      <c r="AM10" s="3439">
        <f t="shared" si="40"/>
        <v>666103</v>
      </c>
      <c r="AN10" s="1948">
        <f t="shared" si="51"/>
        <v>499.65294307638277</v>
      </c>
      <c r="AO10" s="2066">
        <f t="shared" si="52"/>
        <v>1841000.29</v>
      </c>
      <c r="AP10" s="2011">
        <v>63.4</v>
      </c>
      <c r="AQ10" s="2012">
        <v>235557</v>
      </c>
      <c r="AR10" s="1948">
        <f t="shared" si="41"/>
        <v>563.0529430763828</v>
      </c>
      <c r="AS10" s="2066">
        <f t="shared" si="42"/>
        <v>2076557.29</v>
      </c>
      <c r="AT10" s="2011">
        <v>50</v>
      </c>
      <c r="AU10" s="2012">
        <v>185300</v>
      </c>
      <c r="AV10" s="1948">
        <f t="shared" si="43"/>
        <v>613.0529430763828</v>
      </c>
      <c r="AW10" s="2066">
        <f t="shared" si="44"/>
        <v>2261857.29</v>
      </c>
      <c r="AX10" s="2011">
        <v>61.2</v>
      </c>
      <c r="AY10" s="2012">
        <v>225245</v>
      </c>
      <c r="AZ10" s="3438">
        <f t="shared" si="45"/>
        <v>174.60000000000002</v>
      </c>
      <c r="BA10" s="5859">
        <f t="shared" si="46"/>
        <v>646102</v>
      </c>
      <c r="BB10" s="5813">
        <f t="shared" si="47"/>
        <v>352.70000000000005</v>
      </c>
      <c r="BC10" s="5814">
        <f t="shared" si="48"/>
        <v>1312205</v>
      </c>
      <c r="BD10" s="1948">
        <f t="shared" si="49"/>
        <v>674.25294307638285</v>
      </c>
      <c r="BE10" s="2066">
        <f t="shared" si="50"/>
        <v>2487102.29</v>
      </c>
      <c r="BF10" s="648"/>
      <c r="BG10" s="648"/>
      <c r="BH10" s="648"/>
      <c r="BI10" s="648"/>
    </row>
    <row r="11" spans="2:61" ht="21.95" customHeight="1" thickBot="1" x14ac:dyDescent="0.3">
      <c r="B11" s="6271"/>
      <c r="C11" s="1913" t="s">
        <v>1066</v>
      </c>
      <c r="D11" s="1916">
        <v>7.4</v>
      </c>
      <c r="E11" s="2014">
        <v>26298.7</v>
      </c>
      <c r="F11" s="1916">
        <v>11.4</v>
      </c>
      <c r="G11" s="1932">
        <v>40865.800000000003</v>
      </c>
      <c r="H11" s="1948">
        <f t="shared" si="0"/>
        <v>18.8</v>
      </c>
      <c r="I11" s="1949">
        <f t="shared" si="1"/>
        <v>67164.5</v>
      </c>
      <c r="J11" s="1916">
        <v>2.7</v>
      </c>
      <c r="K11" s="3427">
        <v>9321.6</v>
      </c>
      <c r="L11" s="3438">
        <f t="shared" si="2"/>
        <v>21.5</v>
      </c>
      <c r="M11" s="3439">
        <f t="shared" si="3"/>
        <v>76486.100000000006</v>
      </c>
      <c r="N11" s="1916">
        <v>15</v>
      </c>
      <c r="O11" s="2014">
        <v>56465.26</v>
      </c>
      <c r="P11" s="2066">
        <f t="shared" si="4"/>
        <v>36.5</v>
      </c>
      <c r="Q11" s="2066">
        <f t="shared" si="5"/>
        <v>132951.36000000002</v>
      </c>
      <c r="R11" s="2013">
        <v>11.6</v>
      </c>
      <c r="S11" s="2014">
        <v>46347.6</v>
      </c>
      <c r="T11" s="1948">
        <f t="shared" si="6"/>
        <v>48.1</v>
      </c>
      <c r="U11" s="2066">
        <f t="shared" si="6"/>
        <v>179298.96000000002</v>
      </c>
      <c r="V11" s="2013">
        <v>11.6</v>
      </c>
      <c r="W11" s="2014">
        <v>44377.3</v>
      </c>
      <c r="X11" s="3438">
        <f t="shared" si="7"/>
        <v>38.200000000000003</v>
      </c>
      <c r="Y11" s="5859">
        <f t="shared" si="8"/>
        <v>147190.16</v>
      </c>
      <c r="Z11" s="5844">
        <f t="shared" si="9"/>
        <v>59.7</v>
      </c>
      <c r="AA11" s="5842">
        <f t="shared" si="10"/>
        <v>223676.26</v>
      </c>
      <c r="AB11" s="2013">
        <v>26.9</v>
      </c>
      <c r="AC11" s="2014">
        <v>105514</v>
      </c>
      <c r="AD11" s="1948">
        <f t="shared" si="35"/>
        <v>86.6</v>
      </c>
      <c r="AE11" s="2066">
        <f t="shared" si="36"/>
        <v>329190.26</v>
      </c>
      <c r="AF11" s="2013">
        <v>28.2</v>
      </c>
      <c r="AG11" s="2014">
        <v>106220</v>
      </c>
      <c r="AH11" s="1948">
        <f t="shared" si="37"/>
        <v>114.8</v>
      </c>
      <c r="AI11" s="2066">
        <f t="shared" si="38"/>
        <v>435410.26</v>
      </c>
      <c r="AJ11" s="2013">
        <v>23.5</v>
      </c>
      <c r="AK11" s="2014">
        <v>88582</v>
      </c>
      <c r="AL11" s="3438">
        <f t="shared" si="39"/>
        <v>78.599999999999994</v>
      </c>
      <c r="AM11" s="3439">
        <f t="shared" si="40"/>
        <v>300316</v>
      </c>
      <c r="AN11" s="1948">
        <f t="shared" si="51"/>
        <v>138.30000000000001</v>
      </c>
      <c r="AO11" s="2066">
        <f t="shared" si="52"/>
        <v>523992.26</v>
      </c>
      <c r="AP11" s="2013">
        <v>16</v>
      </c>
      <c r="AQ11" s="2014">
        <v>62122</v>
      </c>
      <c r="AR11" s="1948">
        <f t="shared" si="41"/>
        <v>154.30000000000001</v>
      </c>
      <c r="AS11" s="2066">
        <f t="shared" si="42"/>
        <v>586114.26</v>
      </c>
      <c r="AT11" s="2013">
        <v>11.8</v>
      </c>
      <c r="AU11" s="2014">
        <v>44832</v>
      </c>
      <c r="AV11" s="1948">
        <f t="shared" si="43"/>
        <v>166.10000000000002</v>
      </c>
      <c r="AW11" s="2066">
        <f t="shared" si="44"/>
        <v>630946.26</v>
      </c>
      <c r="AX11" s="2013">
        <v>7.6</v>
      </c>
      <c r="AY11" s="2014">
        <v>28904</v>
      </c>
      <c r="AZ11" s="3438">
        <f t="shared" si="45"/>
        <v>35.4</v>
      </c>
      <c r="BA11" s="5859">
        <f t="shared" si="46"/>
        <v>135858</v>
      </c>
      <c r="BB11" s="5813">
        <f t="shared" si="47"/>
        <v>114</v>
      </c>
      <c r="BC11" s="5814">
        <f t="shared" si="48"/>
        <v>436174</v>
      </c>
      <c r="BD11" s="1948">
        <f t="shared" si="49"/>
        <v>173.70000000000002</v>
      </c>
      <c r="BE11" s="2066">
        <f t="shared" si="50"/>
        <v>659850.26</v>
      </c>
      <c r="BF11" s="648"/>
      <c r="BG11" s="648"/>
      <c r="BH11" s="648"/>
      <c r="BI11" s="648"/>
    </row>
    <row r="12" spans="2:61" ht="21.95" customHeight="1" x14ac:dyDescent="0.25">
      <c r="B12" s="6271"/>
      <c r="C12" s="1913" t="s">
        <v>1286</v>
      </c>
      <c r="D12" s="1916">
        <v>3</v>
      </c>
      <c r="E12" s="1932">
        <f>4233+8769</f>
        <v>13002</v>
      </c>
      <c r="F12" s="1916">
        <v>3</v>
      </c>
      <c r="G12" s="1932">
        <v>12306</v>
      </c>
      <c r="H12" s="1948">
        <f t="shared" si="0"/>
        <v>6</v>
      </c>
      <c r="I12" s="1949">
        <f t="shared" si="1"/>
        <v>25308</v>
      </c>
      <c r="J12" s="1916">
        <v>2.6</v>
      </c>
      <c r="K12" s="3427">
        <f>10554+100</f>
        <v>10654</v>
      </c>
      <c r="L12" s="3438">
        <f t="shared" si="2"/>
        <v>8.6</v>
      </c>
      <c r="M12" s="3439">
        <f t="shared" si="3"/>
        <v>35962</v>
      </c>
      <c r="N12" s="1916">
        <v>11</v>
      </c>
      <c r="O12" s="1932">
        <f>44327-3244</f>
        <v>41083</v>
      </c>
      <c r="P12" s="2066">
        <f t="shared" si="4"/>
        <v>19.600000000000001</v>
      </c>
      <c r="Q12" s="2066">
        <f t="shared" si="5"/>
        <v>77045</v>
      </c>
      <c r="R12" s="2013">
        <v>9</v>
      </c>
      <c r="S12" s="2014">
        <f>35727.19+3230</f>
        <v>38957.19</v>
      </c>
      <c r="T12" s="1948">
        <f t="shared" si="6"/>
        <v>28.6</v>
      </c>
      <c r="U12" s="2066">
        <f t="shared" si="6"/>
        <v>116002.19</v>
      </c>
      <c r="V12" s="2013">
        <v>4.9000000000000004</v>
      </c>
      <c r="W12" s="2014">
        <f>20001+3</f>
        <v>20004</v>
      </c>
      <c r="X12" s="3438">
        <f t="shared" si="7"/>
        <v>24.9</v>
      </c>
      <c r="Y12" s="5859">
        <f t="shared" si="8"/>
        <v>100044.19</v>
      </c>
      <c r="Z12" s="5844">
        <f t="shared" si="9"/>
        <v>33.5</v>
      </c>
      <c r="AA12" s="5842">
        <f t="shared" si="10"/>
        <v>136006.19</v>
      </c>
      <c r="AB12" s="2013">
        <v>4</v>
      </c>
      <c r="AC12" s="2014">
        <v>13963</v>
      </c>
      <c r="AD12" s="1948">
        <f t="shared" si="35"/>
        <v>37.5</v>
      </c>
      <c r="AE12" s="2066">
        <f t="shared" si="36"/>
        <v>149969.19</v>
      </c>
      <c r="AF12" s="2013">
        <v>1.4</v>
      </c>
      <c r="AG12" s="2014">
        <v>5273</v>
      </c>
      <c r="AH12" s="1948">
        <f t="shared" si="37"/>
        <v>38.9</v>
      </c>
      <c r="AI12" s="2066">
        <f t="shared" si="38"/>
        <v>155242.19</v>
      </c>
      <c r="AJ12" s="2013">
        <v>0.5</v>
      </c>
      <c r="AK12" s="2014">
        <v>1885</v>
      </c>
      <c r="AL12" s="3438">
        <f t="shared" si="39"/>
        <v>5.9</v>
      </c>
      <c r="AM12" s="3439">
        <f t="shared" si="40"/>
        <v>21121</v>
      </c>
      <c r="AN12" s="1948">
        <f t="shared" si="51"/>
        <v>39.4</v>
      </c>
      <c r="AO12" s="2066">
        <f t="shared" si="52"/>
        <v>157127.19</v>
      </c>
      <c r="AP12" s="2013">
        <v>2.7</v>
      </c>
      <c r="AQ12" s="2014">
        <v>10074</v>
      </c>
      <c r="AR12" s="1948">
        <f t="shared" si="41"/>
        <v>42.1</v>
      </c>
      <c r="AS12" s="2066">
        <f t="shared" si="42"/>
        <v>167201.19</v>
      </c>
      <c r="AT12" s="2013">
        <v>0.7</v>
      </c>
      <c r="AU12" s="2014">
        <v>2876</v>
      </c>
      <c r="AV12" s="1948">
        <f t="shared" si="43"/>
        <v>42.800000000000004</v>
      </c>
      <c r="AW12" s="2066">
        <f t="shared" si="44"/>
        <v>170077.19</v>
      </c>
      <c r="AX12" s="2013">
        <v>0.8</v>
      </c>
      <c r="AY12" s="2014">
        <v>3244</v>
      </c>
      <c r="AZ12" s="3438">
        <f t="shared" si="45"/>
        <v>4.2</v>
      </c>
      <c r="BA12" s="5859">
        <f t="shared" si="46"/>
        <v>16194</v>
      </c>
      <c r="BB12" s="5813">
        <f t="shared" si="47"/>
        <v>10.100000000000001</v>
      </c>
      <c r="BC12" s="5814">
        <f t="shared" si="48"/>
        <v>37315</v>
      </c>
      <c r="BD12" s="1948">
        <f t="shared" si="49"/>
        <v>43.6</v>
      </c>
      <c r="BE12" s="2066">
        <f t="shared" si="50"/>
        <v>173321.19</v>
      </c>
      <c r="BF12" s="648"/>
      <c r="BG12" s="648"/>
      <c r="BH12" s="648"/>
      <c r="BI12" s="648"/>
    </row>
    <row r="13" spans="2:61" ht="21.95" customHeight="1" thickBot="1" x14ac:dyDescent="0.3">
      <c r="B13" s="6271"/>
      <c r="C13" s="1939" t="s">
        <v>2</v>
      </c>
      <c r="D13" s="3433">
        <f>SUM(D10:D12)</f>
        <v>69.7</v>
      </c>
      <c r="E13" s="3433">
        <f t="shared" ref="E13:AA13" si="53">SUM(E10:E12)</f>
        <v>264821.21999999997</v>
      </c>
      <c r="F13" s="3433">
        <f t="shared" si="53"/>
        <v>74.100000000000009</v>
      </c>
      <c r="G13" s="3433">
        <f t="shared" si="53"/>
        <v>268973.56</v>
      </c>
      <c r="H13" s="3433">
        <f t="shared" si="53"/>
        <v>143.80000000000001</v>
      </c>
      <c r="I13" s="3433">
        <f t="shared" si="53"/>
        <v>533794.78</v>
      </c>
      <c r="J13" s="3433">
        <f t="shared" si="53"/>
        <v>57.6</v>
      </c>
      <c r="K13" s="3433">
        <f t="shared" si="53"/>
        <v>205195.1</v>
      </c>
      <c r="L13" s="5855">
        <f t="shared" si="53"/>
        <v>201.4</v>
      </c>
      <c r="M13" s="5855">
        <f t="shared" si="53"/>
        <v>738989.88</v>
      </c>
      <c r="N13" s="3433">
        <f t="shared" si="53"/>
        <v>77.652943076382726</v>
      </c>
      <c r="O13" s="3433">
        <f t="shared" si="53"/>
        <v>285637.51</v>
      </c>
      <c r="P13" s="3433">
        <f t="shared" si="53"/>
        <v>279.05294307638275</v>
      </c>
      <c r="Q13" s="3433">
        <f t="shared" si="53"/>
        <v>1024627.39</v>
      </c>
      <c r="R13" s="3433">
        <f t="shared" si="53"/>
        <v>73.7</v>
      </c>
      <c r="S13" s="3433">
        <f t="shared" si="53"/>
        <v>276634.05000000005</v>
      </c>
      <c r="T13" s="3433">
        <f t="shared" si="53"/>
        <v>352.75294307638279</v>
      </c>
      <c r="U13" s="3433">
        <f t="shared" si="53"/>
        <v>1301261.44</v>
      </c>
      <c r="V13" s="3433">
        <f t="shared" si="53"/>
        <v>62</v>
      </c>
      <c r="W13" s="3433">
        <f t="shared" si="53"/>
        <v>233318.3</v>
      </c>
      <c r="X13" s="5855">
        <f t="shared" si="53"/>
        <v>213.35294307638273</v>
      </c>
      <c r="Y13" s="5860">
        <f t="shared" si="53"/>
        <v>795589.8600000001</v>
      </c>
      <c r="Z13" s="5843">
        <f t="shared" si="53"/>
        <v>414.75294307638273</v>
      </c>
      <c r="AA13" s="5843">
        <f t="shared" si="53"/>
        <v>1534579.74</v>
      </c>
      <c r="AB13" s="3433">
        <f t="shared" ref="AB13:AE13" si="54">SUM(AB10:AB12)</f>
        <v>87</v>
      </c>
      <c r="AC13" s="3433">
        <f t="shared" si="54"/>
        <v>325870</v>
      </c>
      <c r="AD13" s="3433">
        <f t="shared" si="54"/>
        <v>501.75294307638273</v>
      </c>
      <c r="AE13" s="3433">
        <f t="shared" si="54"/>
        <v>1860449.74</v>
      </c>
      <c r="AF13" s="3433">
        <f t="shared" ref="AF13:AI13" si="55">SUM(AF10:AF12)</f>
        <v>88</v>
      </c>
      <c r="AG13" s="3433">
        <f t="shared" si="55"/>
        <v>331467</v>
      </c>
      <c r="AH13" s="3433">
        <f t="shared" si="55"/>
        <v>589.75294307638273</v>
      </c>
      <c r="AI13" s="3433">
        <f t="shared" si="55"/>
        <v>2191916.7400000002</v>
      </c>
      <c r="AJ13" s="3433">
        <f t="shared" ref="AJ13:AS13" si="56">SUM(AJ10:AJ12)</f>
        <v>87.6</v>
      </c>
      <c r="AK13" s="3433">
        <f t="shared" si="56"/>
        <v>330203</v>
      </c>
      <c r="AL13" s="3433">
        <f t="shared" si="56"/>
        <v>262.59999999999997</v>
      </c>
      <c r="AM13" s="3433">
        <f t="shared" si="56"/>
        <v>987540</v>
      </c>
      <c r="AN13" s="3433">
        <f t="shared" si="56"/>
        <v>677.35294307638276</v>
      </c>
      <c r="AO13" s="3433">
        <f t="shared" si="56"/>
        <v>2522119.7399999998</v>
      </c>
      <c r="AP13" s="3433">
        <f t="shared" si="56"/>
        <v>82.100000000000009</v>
      </c>
      <c r="AQ13" s="3433">
        <f t="shared" si="56"/>
        <v>307753</v>
      </c>
      <c r="AR13" s="3433">
        <f t="shared" si="56"/>
        <v>759.45294307638289</v>
      </c>
      <c r="AS13" s="3433">
        <f t="shared" si="56"/>
        <v>2829872.7399999998</v>
      </c>
      <c r="AT13" s="3433">
        <f t="shared" ref="AT13:AW13" si="57">SUM(AT10:AT12)</f>
        <v>62.5</v>
      </c>
      <c r="AU13" s="3433">
        <f t="shared" si="57"/>
        <v>233008</v>
      </c>
      <c r="AV13" s="3433">
        <f t="shared" si="57"/>
        <v>821.95294307638278</v>
      </c>
      <c r="AW13" s="3433">
        <f t="shared" si="57"/>
        <v>3062880.7399999998</v>
      </c>
      <c r="AX13" s="3433">
        <f t="shared" ref="AX13:BE13" si="58">SUM(AX10:AX12)</f>
        <v>69.599999999999994</v>
      </c>
      <c r="AY13" s="3433">
        <f t="shared" si="58"/>
        <v>257393</v>
      </c>
      <c r="AZ13" s="3433">
        <f t="shared" si="58"/>
        <v>214.20000000000002</v>
      </c>
      <c r="BA13" s="5882">
        <f t="shared" si="58"/>
        <v>798154</v>
      </c>
      <c r="BB13" s="5804">
        <f t="shared" si="58"/>
        <v>476.80000000000007</v>
      </c>
      <c r="BC13" s="5804">
        <f t="shared" si="58"/>
        <v>1785694</v>
      </c>
      <c r="BD13" s="3433">
        <f t="shared" si="58"/>
        <v>891.55294307638292</v>
      </c>
      <c r="BE13" s="3433">
        <f t="shared" si="58"/>
        <v>3320273.7399999998</v>
      </c>
      <c r="BF13" s="648"/>
      <c r="BG13" s="648"/>
      <c r="BH13" s="648"/>
      <c r="BI13" s="648"/>
    </row>
    <row r="14" spans="2:61" ht="21.95" customHeight="1" thickBot="1" x14ac:dyDescent="0.3">
      <c r="B14" s="6271"/>
      <c r="C14" s="1913" t="s">
        <v>1063</v>
      </c>
      <c r="D14" s="1916">
        <v>53.7</v>
      </c>
      <c r="E14" s="1932">
        <v>198631</v>
      </c>
      <c r="F14" s="1916">
        <v>65.8</v>
      </c>
      <c r="G14" s="1932">
        <v>235162</v>
      </c>
      <c r="H14" s="1948">
        <f t="shared" si="0"/>
        <v>119.5</v>
      </c>
      <c r="I14" s="1949">
        <f t="shared" si="1"/>
        <v>433793</v>
      </c>
      <c r="J14" s="1916">
        <v>53</v>
      </c>
      <c r="K14" s="3427">
        <v>186626</v>
      </c>
      <c r="L14" s="3438">
        <f t="shared" si="2"/>
        <v>172.5</v>
      </c>
      <c r="M14" s="3439">
        <f t="shared" si="3"/>
        <v>620419</v>
      </c>
      <c r="N14" s="1916">
        <v>50.050334951793175</v>
      </c>
      <c r="O14" s="1932">
        <v>179403.75997326712</v>
      </c>
      <c r="P14" s="2066">
        <f t="shared" si="4"/>
        <v>222.55033495179316</v>
      </c>
      <c r="Q14" s="2066">
        <f t="shared" si="5"/>
        <v>799822.75997326709</v>
      </c>
      <c r="R14" s="2013">
        <v>51.6</v>
      </c>
      <c r="S14" s="2014">
        <v>181713</v>
      </c>
      <c r="T14" s="1948">
        <f t="shared" si="6"/>
        <v>274.15033495179318</v>
      </c>
      <c r="U14" s="2066">
        <f t="shared" si="6"/>
        <v>981535.75997326709</v>
      </c>
      <c r="V14" s="2013">
        <v>50.8</v>
      </c>
      <c r="W14" s="2014">
        <v>187660</v>
      </c>
      <c r="X14" s="3438">
        <f t="shared" si="7"/>
        <v>152.4503349517932</v>
      </c>
      <c r="Y14" s="5859">
        <f t="shared" si="8"/>
        <v>548776.75997326709</v>
      </c>
      <c r="Z14" s="5844">
        <f t="shared" si="9"/>
        <v>324.9503349517932</v>
      </c>
      <c r="AA14" s="5842">
        <f t="shared" si="10"/>
        <v>1169195.7599732671</v>
      </c>
      <c r="AB14" s="2013">
        <v>67.3</v>
      </c>
      <c r="AC14" s="2014">
        <v>248707</v>
      </c>
      <c r="AD14" s="1948">
        <f t="shared" ref="AD14:AD17" si="59">Z14+AB14</f>
        <v>392.25033495179321</v>
      </c>
      <c r="AE14" s="2066">
        <f t="shared" ref="AE14:AE17" si="60">AA14+AC14</f>
        <v>1417902.7599732671</v>
      </c>
      <c r="AF14" s="2013">
        <v>66.5</v>
      </c>
      <c r="AG14" s="2014">
        <v>250484</v>
      </c>
      <c r="AH14" s="1948">
        <f t="shared" ref="AH14:AH17" si="61">AD14+AF14</f>
        <v>458.75033495179321</v>
      </c>
      <c r="AI14" s="2066">
        <f t="shared" ref="AI14:AI17" si="62">AE14+AG14</f>
        <v>1668386.7599732671</v>
      </c>
      <c r="AJ14" s="2013">
        <v>82.1</v>
      </c>
      <c r="AK14" s="2014">
        <v>309093</v>
      </c>
      <c r="AL14" s="3438">
        <f t="shared" ref="AL14:AL17" si="63">+AB14+AF14+AJ14</f>
        <v>215.9</v>
      </c>
      <c r="AM14" s="3439">
        <f t="shared" ref="AM14:AM17" si="64">+AC14+AG14+AK14</f>
        <v>808284</v>
      </c>
      <c r="AN14" s="1948">
        <f t="shared" si="51"/>
        <v>540.85033495179323</v>
      </c>
      <c r="AO14" s="2066">
        <f t="shared" si="51"/>
        <v>1977479.7599732671</v>
      </c>
      <c r="AP14" s="2013">
        <v>79.8</v>
      </c>
      <c r="AQ14" s="2014">
        <v>298589</v>
      </c>
      <c r="AR14" s="1948">
        <f t="shared" ref="AR14:AR17" si="65">AN14+AP14</f>
        <v>620.65033495179318</v>
      </c>
      <c r="AS14" s="2066">
        <f t="shared" ref="AS14:AS17" si="66">AO14+AQ14</f>
        <v>2276068.7599732671</v>
      </c>
      <c r="AT14" s="2013">
        <v>61.6</v>
      </c>
      <c r="AU14" s="2014">
        <v>228604</v>
      </c>
      <c r="AV14" s="1948">
        <f t="shared" ref="AV14:AV17" si="67">AR14+AT14</f>
        <v>682.25033495179321</v>
      </c>
      <c r="AW14" s="2066">
        <f t="shared" ref="AW14:AW17" si="68">AS14+AU14</f>
        <v>2504672.7599732671</v>
      </c>
      <c r="AX14" s="2013">
        <v>68.599999999999994</v>
      </c>
      <c r="AY14" s="2014">
        <v>253717</v>
      </c>
      <c r="AZ14" s="3438">
        <f t="shared" ref="AZ14:AZ17" si="69">+AP14+AT14+AX14</f>
        <v>210</v>
      </c>
      <c r="BA14" s="5859">
        <f t="shared" ref="BA14:BA17" si="70">+AQ14+AU14+AY14</f>
        <v>780910</v>
      </c>
      <c r="BB14" s="5813">
        <f t="shared" ref="BB14:BB17" si="71">AL14+AZ14</f>
        <v>425.9</v>
      </c>
      <c r="BC14" s="5814">
        <f t="shared" ref="BC14:BC17" si="72">AM14+BA14</f>
        <v>1589194</v>
      </c>
      <c r="BD14" s="1948">
        <f t="shared" ref="BD14:BD17" si="73">AV14+AX14</f>
        <v>750.85033495179323</v>
      </c>
      <c r="BE14" s="2066">
        <f t="shared" ref="BE14:BE17" si="74">AW14+AY14</f>
        <v>2758389.7599732671</v>
      </c>
      <c r="BF14" s="648"/>
      <c r="BG14" s="648"/>
      <c r="BH14" s="648"/>
      <c r="BI14" s="648"/>
    </row>
    <row r="15" spans="2:61" ht="21.95" customHeight="1" thickBot="1" x14ac:dyDescent="0.3">
      <c r="B15" s="6272"/>
      <c r="C15" s="1921" t="s">
        <v>1064</v>
      </c>
      <c r="D15" s="1919">
        <v>16</v>
      </c>
      <c r="E15" s="1940">
        <v>63112</v>
      </c>
      <c r="F15" s="1919">
        <v>8.3000000000000007</v>
      </c>
      <c r="G15" s="1940">
        <v>31072</v>
      </c>
      <c r="H15" s="1948">
        <f t="shared" si="0"/>
        <v>24.3</v>
      </c>
      <c r="I15" s="1949">
        <f t="shared" si="1"/>
        <v>94184</v>
      </c>
      <c r="J15" s="1919">
        <v>4.5999999999999996</v>
      </c>
      <c r="K15" s="3428">
        <v>17470</v>
      </c>
      <c r="L15" s="3438">
        <f t="shared" si="2"/>
        <v>28.9</v>
      </c>
      <c r="M15" s="3439">
        <f t="shared" si="3"/>
        <v>111654</v>
      </c>
      <c r="N15" s="1919">
        <v>27.145888594164454</v>
      </c>
      <c r="O15" s="1940">
        <v>107327.73023872677</v>
      </c>
      <c r="P15" s="2066">
        <f t="shared" si="4"/>
        <v>56.045888594164452</v>
      </c>
      <c r="Q15" s="2066">
        <f t="shared" si="5"/>
        <v>218981.73023872677</v>
      </c>
      <c r="R15" s="2015">
        <v>23.1</v>
      </c>
      <c r="S15" s="2016">
        <v>85449</v>
      </c>
      <c r="T15" s="1948">
        <f t="shared" si="6"/>
        <v>79.145888594164461</v>
      </c>
      <c r="U15" s="2066">
        <f t="shared" si="6"/>
        <v>304430.73023872677</v>
      </c>
      <c r="V15" s="2015">
        <v>11.2</v>
      </c>
      <c r="W15" s="2016">
        <v>46036</v>
      </c>
      <c r="X15" s="3438">
        <f t="shared" si="7"/>
        <v>61.445888594164458</v>
      </c>
      <c r="Y15" s="5859">
        <f t="shared" si="8"/>
        <v>238812.73023872677</v>
      </c>
      <c r="Z15" s="5844">
        <f t="shared" si="9"/>
        <v>90.34588859416445</v>
      </c>
      <c r="AA15" s="5842">
        <f t="shared" si="10"/>
        <v>350466.73023872677</v>
      </c>
      <c r="AB15" s="2015">
        <v>19.7</v>
      </c>
      <c r="AC15" s="2016">
        <v>77163</v>
      </c>
      <c r="AD15" s="1948">
        <f t="shared" si="59"/>
        <v>110.04588859416445</v>
      </c>
      <c r="AE15" s="2066">
        <f t="shared" si="60"/>
        <v>427629.73023872677</v>
      </c>
      <c r="AF15" s="2015">
        <v>21.5</v>
      </c>
      <c r="AG15" s="2016">
        <v>80983</v>
      </c>
      <c r="AH15" s="1948">
        <f t="shared" si="61"/>
        <v>131.54588859416447</v>
      </c>
      <c r="AI15" s="2066">
        <f t="shared" si="62"/>
        <v>508612.73023872677</v>
      </c>
      <c r="AJ15" s="2015">
        <v>5.6</v>
      </c>
      <c r="AK15" s="2016">
        <v>21109</v>
      </c>
      <c r="AL15" s="3438">
        <f t="shared" si="63"/>
        <v>46.800000000000004</v>
      </c>
      <c r="AM15" s="3439">
        <f t="shared" si="64"/>
        <v>179255</v>
      </c>
      <c r="AN15" s="1948">
        <f t="shared" ref="AN15:AO19" si="75">AH15+AJ15</f>
        <v>137.14588859416446</v>
      </c>
      <c r="AO15" s="2066">
        <f t="shared" ref="AO15:AO17" si="76">AI15+AK15</f>
        <v>529721.73023872683</v>
      </c>
      <c r="AP15" s="2015">
        <v>2.2999999999999998</v>
      </c>
      <c r="AQ15" s="2016">
        <v>9165</v>
      </c>
      <c r="AR15" s="1948">
        <f t="shared" si="65"/>
        <v>139.44588859416447</v>
      </c>
      <c r="AS15" s="2066">
        <f t="shared" si="66"/>
        <v>538886.73023872683</v>
      </c>
      <c r="AT15" s="2015">
        <v>1</v>
      </c>
      <c r="AU15" s="2016">
        <v>4405</v>
      </c>
      <c r="AV15" s="1948">
        <f t="shared" si="67"/>
        <v>140.44588859416447</v>
      </c>
      <c r="AW15" s="2066">
        <f t="shared" si="68"/>
        <v>543291.73023872683</v>
      </c>
      <c r="AX15" s="2015">
        <v>1</v>
      </c>
      <c r="AY15" s="2016">
        <v>3677</v>
      </c>
      <c r="AZ15" s="3438">
        <f t="shared" si="69"/>
        <v>4.3</v>
      </c>
      <c r="BA15" s="5859">
        <f t="shared" si="70"/>
        <v>17247</v>
      </c>
      <c r="BB15" s="5813">
        <f t="shared" si="71"/>
        <v>51.1</v>
      </c>
      <c r="BC15" s="5814">
        <f t="shared" si="72"/>
        <v>196502</v>
      </c>
      <c r="BD15" s="1948">
        <f t="shared" si="73"/>
        <v>141.44588859416447</v>
      </c>
      <c r="BE15" s="2066">
        <f t="shared" si="74"/>
        <v>546968.73023872683</v>
      </c>
      <c r="BF15" s="648"/>
      <c r="BG15" s="648"/>
      <c r="BH15" s="648"/>
      <c r="BI15" s="648"/>
    </row>
    <row r="16" spans="2:61" ht="21.95" customHeight="1" thickBot="1" x14ac:dyDescent="0.3">
      <c r="B16" s="6273" t="s">
        <v>1288</v>
      </c>
      <c r="C16" s="1912" t="s">
        <v>1068</v>
      </c>
      <c r="D16" s="1931">
        <v>9</v>
      </c>
      <c r="E16" s="1941">
        <v>36768</v>
      </c>
      <c r="F16" s="1931">
        <v>4</v>
      </c>
      <c r="G16" s="1941">
        <v>16272</v>
      </c>
      <c r="H16" s="1948">
        <f t="shared" si="0"/>
        <v>13</v>
      </c>
      <c r="I16" s="1949">
        <f t="shared" si="1"/>
        <v>53040</v>
      </c>
      <c r="J16" s="1931">
        <v>10</v>
      </c>
      <c r="K16" s="3426">
        <v>41066</v>
      </c>
      <c r="L16" s="3438">
        <f t="shared" si="2"/>
        <v>23</v>
      </c>
      <c r="M16" s="3439">
        <f t="shared" si="3"/>
        <v>94106</v>
      </c>
      <c r="N16" s="1931">
        <v>6</v>
      </c>
      <c r="O16" s="1941">
        <v>24499.1</v>
      </c>
      <c r="P16" s="2066">
        <f t="shared" si="4"/>
        <v>29</v>
      </c>
      <c r="Q16" s="2066">
        <f t="shared" si="5"/>
        <v>118605.1</v>
      </c>
      <c r="R16" s="2011">
        <v>6</v>
      </c>
      <c r="S16" s="2012">
        <v>24564</v>
      </c>
      <c r="T16" s="1948">
        <f t="shared" si="6"/>
        <v>35</v>
      </c>
      <c r="U16" s="2066">
        <f t="shared" si="6"/>
        <v>143169.1</v>
      </c>
      <c r="V16" s="2011">
        <v>0</v>
      </c>
      <c r="W16" s="2012">
        <v>0</v>
      </c>
      <c r="X16" s="3438">
        <f t="shared" si="7"/>
        <v>12</v>
      </c>
      <c r="Y16" s="5859">
        <f t="shared" si="8"/>
        <v>49063.1</v>
      </c>
      <c r="Z16" s="5844">
        <f t="shared" si="9"/>
        <v>35</v>
      </c>
      <c r="AA16" s="5842">
        <f t="shared" si="10"/>
        <v>143169.1</v>
      </c>
      <c r="AB16" s="2011">
        <v>0</v>
      </c>
      <c r="AC16" s="2012">
        <v>0</v>
      </c>
      <c r="AD16" s="1948">
        <f t="shared" si="59"/>
        <v>35</v>
      </c>
      <c r="AE16" s="2066">
        <f t="shared" si="60"/>
        <v>143169.1</v>
      </c>
      <c r="AF16" s="2011">
        <v>0</v>
      </c>
      <c r="AG16" s="2012">
        <v>0</v>
      </c>
      <c r="AH16" s="1948">
        <f t="shared" si="61"/>
        <v>35</v>
      </c>
      <c r="AI16" s="2066">
        <f t="shared" si="62"/>
        <v>143169.1</v>
      </c>
      <c r="AJ16" s="2011">
        <v>0</v>
      </c>
      <c r="AK16" s="2012">
        <v>0</v>
      </c>
      <c r="AL16" s="3438">
        <f t="shared" si="63"/>
        <v>0</v>
      </c>
      <c r="AM16" s="3439">
        <f t="shared" si="64"/>
        <v>0</v>
      </c>
      <c r="AN16" s="1948">
        <f t="shared" si="75"/>
        <v>35</v>
      </c>
      <c r="AO16" s="2066">
        <f t="shared" si="76"/>
        <v>143169.1</v>
      </c>
      <c r="AP16" s="2011">
        <v>8</v>
      </c>
      <c r="AQ16" s="2012">
        <v>33030</v>
      </c>
      <c r="AR16" s="1948">
        <f t="shared" si="65"/>
        <v>43</v>
      </c>
      <c r="AS16" s="2066">
        <f t="shared" si="66"/>
        <v>176199.1</v>
      </c>
      <c r="AT16" s="2011">
        <v>9</v>
      </c>
      <c r="AU16" s="2012">
        <v>36718</v>
      </c>
      <c r="AV16" s="1948">
        <f t="shared" si="67"/>
        <v>52</v>
      </c>
      <c r="AW16" s="2066">
        <f t="shared" si="68"/>
        <v>212917.1</v>
      </c>
      <c r="AX16" s="2011">
        <v>11</v>
      </c>
      <c r="AY16" s="2012">
        <v>45174</v>
      </c>
      <c r="AZ16" s="3438">
        <f t="shared" si="69"/>
        <v>28</v>
      </c>
      <c r="BA16" s="5859">
        <f t="shared" si="70"/>
        <v>114922</v>
      </c>
      <c r="BB16" s="5813">
        <f t="shared" si="71"/>
        <v>28</v>
      </c>
      <c r="BC16" s="5814">
        <f t="shared" si="72"/>
        <v>114922</v>
      </c>
      <c r="BD16" s="1948">
        <f t="shared" si="73"/>
        <v>63</v>
      </c>
      <c r="BE16" s="2066">
        <f t="shared" si="74"/>
        <v>258091.1</v>
      </c>
      <c r="BF16" s="648"/>
      <c r="BG16" s="648"/>
      <c r="BH16" s="648"/>
      <c r="BI16" s="648"/>
    </row>
    <row r="17" spans="2:61" ht="21.95" customHeight="1" x14ac:dyDescent="0.25">
      <c r="B17" s="6274"/>
      <c r="C17" s="1913" t="s">
        <v>1069</v>
      </c>
      <c r="D17" s="1916">
        <v>10</v>
      </c>
      <c r="E17" s="1932">
        <v>38086</v>
      </c>
      <c r="F17" s="1916">
        <v>7</v>
      </c>
      <c r="G17" s="1932">
        <v>26305</v>
      </c>
      <c r="H17" s="1948">
        <f t="shared" si="0"/>
        <v>17</v>
      </c>
      <c r="I17" s="1949">
        <f t="shared" si="1"/>
        <v>64391</v>
      </c>
      <c r="J17" s="1916">
        <v>6</v>
      </c>
      <c r="K17" s="3427">
        <v>22646</v>
      </c>
      <c r="L17" s="3438">
        <f t="shared" si="2"/>
        <v>23</v>
      </c>
      <c r="M17" s="3439">
        <f t="shared" si="3"/>
        <v>87037</v>
      </c>
      <c r="N17" s="1916">
        <v>11</v>
      </c>
      <c r="O17" s="1932">
        <v>41667.321428571428</v>
      </c>
      <c r="P17" s="2066">
        <f t="shared" si="4"/>
        <v>34</v>
      </c>
      <c r="Q17" s="2066">
        <f t="shared" si="5"/>
        <v>128704.32142857142</v>
      </c>
      <c r="R17" s="2013">
        <v>13</v>
      </c>
      <c r="S17" s="2014">
        <v>48843</v>
      </c>
      <c r="T17" s="1948">
        <f t="shared" si="6"/>
        <v>47</v>
      </c>
      <c r="U17" s="2066">
        <f t="shared" si="6"/>
        <v>177547.32142857142</v>
      </c>
      <c r="V17" s="2013">
        <v>17</v>
      </c>
      <c r="W17" s="2014">
        <v>66087</v>
      </c>
      <c r="X17" s="3438">
        <f t="shared" si="7"/>
        <v>41</v>
      </c>
      <c r="Y17" s="5859">
        <f t="shared" si="8"/>
        <v>156597.32142857142</v>
      </c>
      <c r="Z17" s="5844">
        <f t="shared" si="9"/>
        <v>64</v>
      </c>
      <c r="AA17" s="5842">
        <f t="shared" si="10"/>
        <v>243634.32142857142</v>
      </c>
      <c r="AB17" s="2013">
        <v>16</v>
      </c>
      <c r="AC17" s="2014">
        <v>62178</v>
      </c>
      <c r="AD17" s="1948">
        <f t="shared" si="59"/>
        <v>80</v>
      </c>
      <c r="AE17" s="2066">
        <f t="shared" si="60"/>
        <v>305812.32142857142</v>
      </c>
      <c r="AF17" s="2013">
        <v>16</v>
      </c>
      <c r="AG17" s="2014">
        <v>59099</v>
      </c>
      <c r="AH17" s="1948">
        <f t="shared" si="61"/>
        <v>96</v>
      </c>
      <c r="AI17" s="2066">
        <f t="shared" si="62"/>
        <v>364911.32142857142</v>
      </c>
      <c r="AJ17" s="2013">
        <v>16</v>
      </c>
      <c r="AK17" s="2014">
        <v>59221</v>
      </c>
      <c r="AL17" s="3438">
        <f t="shared" si="63"/>
        <v>48</v>
      </c>
      <c r="AM17" s="3439">
        <f t="shared" si="64"/>
        <v>180498</v>
      </c>
      <c r="AN17" s="1948">
        <f t="shared" si="75"/>
        <v>112</v>
      </c>
      <c r="AO17" s="2066">
        <f t="shared" si="76"/>
        <v>424132.32142857142</v>
      </c>
      <c r="AP17" s="2013">
        <v>11</v>
      </c>
      <c r="AQ17" s="2014">
        <v>42106</v>
      </c>
      <c r="AR17" s="1948">
        <f t="shared" si="65"/>
        <v>123</v>
      </c>
      <c r="AS17" s="2066">
        <f t="shared" si="66"/>
        <v>466238.32142857142</v>
      </c>
      <c r="AT17" s="2013">
        <v>8</v>
      </c>
      <c r="AU17" s="2014">
        <v>31054</v>
      </c>
      <c r="AV17" s="1948">
        <f t="shared" si="67"/>
        <v>131</v>
      </c>
      <c r="AW17" s="2066">
        <f t="shared" si="68"/>
        <v>497292.32142857142</v>
      </c>
      <c r="AX17" s="2013">
        <v>5</v>
      </c>
      <c r="AY17" s="2014">
        <v>19332</v>
      </c>
      <c r="AZ17" s="3438">
        <f t="shared" si="69"/>
        <v>24</v>
      </c>
      <c r="BA17" s="5859">
        <f t="shared" si="70"/>
        <v>92492</v>
      </c>
      <c r="BB17" s="5813">
        <f t="shared" si="71"/>
        <v>72</v>
      </c>
      <c r="BC17" s="5814">
        <f t="shared" si="72"/>
        <v>272990</v>
      </c>
      <c r="BD17" s="1948">
        <f t="shared" si="73"/>
        <v>136</v>
      </c>
      <c r="BE17" s="2066">
        <f t="shared" si="74"/>
        <v>516624.32142857142</v>
      </c>
      <c r="BF17" s="648"/>
      <c r="BG17" s="648"/>
      <c r="BH17" s="648"/>
      <c r="BI17" s="648"/>
    </row>
    <row r="18" spans="2:61" ht="21.95" customHeight="1" thickBot="1" x14ac:dyDescent="0.3">
      <c r="B18" s="6275"/>
      <c r="C18" s="1945" t="s">
        <v>2</v>
      </c>
      <c r="D18" s="4037">
        <f>SUM(D16:D17)</f>
        <v>19</v>
      </c>
      <c r="E18" s="4037">
        <f t="shared" ref="E18:AA18" si="77">SUM(E16:E17)</f>
        <v>74854</v>
      </c>
      <c r="F18" s="4037">
        <f t="shared" si="77"/>
        <v>11</v>
      </c>
      <c r="G18" s="4037">
        <f t="shared" si="77"/>
        <v>42577</v>
      </c>
      <c r="H18" s="4037">
        <f t="shared" si="77"/>
        <v>30</v>
      </c>
      <c r="I18" s="4037">
        <f t="shared" si="77"/>
        <v>117431</v>
      </c>
      <c r="J18" s="4037">
        <f t="shared" si="77"/>
        <v>16</v>
      </c>
      <c r="K18" s="4037">
        <f t="shared" si="77"/>
        <v>63712</v>
      </c>
      <c r="L18" s="5856">
        <f t="shared" si="77"/>
        <v>46</v>
      </c>
      <c r="M18" s="5856">
        <f t="shared" si="77"/>
        <v>181143</v>
      </c>
      <c r="N18" s="4037">
        <f t="shared" si="77"/>
        <v>17</v>
      </c>
      <c r="O18" s="4037">
        <f t="shared" si="77"/>
        <v>66166.421428571426</v>
      </c>
      <c r="P18" s="4037">
        <f t="shared" si="77"/>
        <v>63</v>
      </c>
      <c r="Q18" s="4037">
        <f t="shared" si="77"/>
        <v>247309.42142857143</v>
      </c>
      <c r="R18" s="4037">
        <f t="shared" si="77"/>
        <v>19</v>
      </c>
      <c r="S18" s="4037">
        <f t="shared" si="77"/>
        <v>73407</v>
      </c>
      <c r="T18" s="4037">
        <f t="shared" si="77"/>
        <v>82</v>
      </c>
      <c r="U18" s="4037">
        <f t="shared" si="77"/>
        <v>320716.42142857146</v>
      </c>
      <c r="V18" s="4037">
        <f t="shared" si="77"/>
        <v>17</v>
      </c>
      <c r="W18" s="4037">
        <f t="shared" si="77"/>
        <v>66087</v>
      </c>
      <c r="X18" s="5856">
        <f t="shared" si="77"/>
        <v>53</v>
      </c>
      <c r="Y18" s="5861">
        <f t="shared" si="77"/>
        <v>205660.42142857143</v>
      </c>
      <c r="Z18" s="5843">
        <f t="shared" si="77"/>
        <v>99</v>
      </c>
      <c r="AA18" s="5843">
        <f t="shared" si="77"/>
        <v>386803.42142857146</v>
      </c>
      <c r="AB18" s="5801">
        <f t="shared" ref="AB18:AE18" si="78">SUM(AB16:AB17)</f>
        <v>16</v>
      </c>
      <c r="AC18" s="4037">
        <f t="shared" si="78"/>
        <v>62178</v>
      </c>
      <c r="AD18" s="4037">
        <f t="shared" si="78"/>
        <v>115</v>
      </c>
      <c r="AE18" s="4037">
        <f t="shared" si="78"/>
        <v>448981.42142857146</v>
      </c>
      <c r="AF18" s="4037">
        <f t="shared" ref="AF18:AI18" si="79">SUM(AF16:AF17)</f>
        <v>16</v>
      </c>
      <c r="AG18" s="4037">
        <f t="shared" si="79"/>
        <v>59099</v>
      </c>
      <c r="AH18" s="4037">
        <f t="shared" si="79"/>
        <v>131</v>
      </c>
      <c r="AI18" s="4037">
        <f t="shared" si="79"/>
        <v>508080.42142857146</v>
      </c>
      <c r="AJ18" s="4037">
        <f t="shared" ref="AJ18:AS18" si="80">SUM(AJ16:AJ17)</f>
        <v>16</v>
      </c>
      <c r="AK18" s="4037">
        <f t="shared" si="80"/>
        <v>59221</v>
      </c>
      <c r="AL18" s="4037">
        <f t="shared" si="80"/>
        <v>48</v>
      </c>
      <c r="AM18" s="4037">
        <f t="shared" si="80"/>
        <v>180498</v>
      </c>
      <c r="AN18" s="4037">
        <f t="shared" si="80"/>
        <v>147</v>
      </c>
      <c r="AO18" s="4037">
        <f t="shared" si="80"/>
        <v>567301.42142857146</v>
      </c>
      <c r="AP18" s="4037">
        <f t="shared" si="80"/>
        <v>19</v>
      </c>
      <c r="AQ18" s="4037">
        <f t="shared" si="80"/>
        <v>75136</v>
      </c>
      <c r="AR18" s="4037">
        <f t="shared" si="80"/>
        <v>166</v>
      </c>
      <c r="AS18" s="4037">
        <f t="shared" si="80"/>
        <v>642437.42142857146</v>
      </c>
      <c r="AT18" s="4037">
        <f t="shared" ref="AT18:AW18" si="81">SUM(AT16:AT17)</f>
        <v>17</v>
      </c>
      <c r="AU18" s="4037">
        <f t="shared" si="81"/>
        <v>67772</v>
      </c>
      <c r="AV18" s="4037">
        <f t="shared" si="81"/>
        <v>183</v>
      </c>
      <c r="AW18" s="4037">
        <f t="shared" si="81"/>
        <v>710209.42142857146</v>
      </c>
      <c r="AX18" s="4037">
        <f t="shared" ref="AX18:BE18" si="82">SUM(AX16:AX17)</f>
        <v>16</v>
      </c>
      <c r="AY18" s="4037">
        <f t="shared" si="82"/>
        <v>64506</v>
      </c>
      <c r="AZ18" s="4037">
        <f t="shared" si="82"/>
        <v>52</v>
      </c>
      <c r="BA18" s="5883">
        <f t="shared" si="82"/>
        <v>207414</v>
      </c>
      <c r="BB18" s="5804">
        <f t="shared" si="82"/>
        <v>100</v>
      </c>
      <c r="BC18" s="5804">
        <f t="shared" si="82"/>
        <v>387912</v>
      </c>
      <c r="BD18" s="5801">
        <f t="shared" si="82"/>
        <v>199</v>
      </c>
      <c r="BE18" s="4037">
        <f t="shared" si="82"/>
        <v>774715.42142857146</v>
      </c>
      <c r="BF18" s="648"/>
      <c r="BG18" s="648"/>
      <c r="BH18" s="648"/>
      <c r="BI18" s="648"/>
    </row>
    <row r="19" spans="2:61" ht="21.95" hidden="1" customHeight="1" thickBot="1" x14ac:dyDescent="0.3">
      <c r="B19" s="6273" t="s">
        <v>1289</v>
      </c>
      <c r="C19" s="2177" t="s">
        <v>1068</v>
      </c>
      <c r="D19" s="1931">
        <v>0</v>
      </c>
      <c r="E19" s="1941">
        <v>0</v>
      </c>
      <c r="F19" s="1931">
        <v>0</v>
      </c>
      <c r="G19" s="1941">
        <v>0</v>
      </c>
      <c r="H19" s="1948" t="s">
        <v>34</v>
      </c>
      <c r="I19" s="1949" t="s">
        <v>34</v>
      </c>
      <c r="J19" s="1931">
        <v>0</v>
      </c>
      <c r="K19" s="3426">
        <v>0</v>
      </c>
      <c r="L19" s="3438">
        <f t="shared" si="2"/>
        <v>0</v>
      </c>
      <c r="M19" s="3439">
        <f t="shared" si="3"/>
        <v>0</v>
      </c>
      <c r="N19" s="1931">
        <v>0</v>
      </c>
      <c r="O19" s="1931">
        <v>0</v>
      </c>
      <c r="P19" s="2066">
        <f t="shared" si="4"/>
        <v>0</v>
      </c>
      <c r="Q19" s="2066">
        <f t="shared" si="5"/>
        <v>0</v>
      </c>
      <c r="R19" s="2011">
        <v>0</v>
      </c>
      <c r="S19" s="2018">
        <v>0</v>
      </c>
      <c r="T19" s="3291">
        <f t="shared" si="6"/>
        <v>0</v>
      </c>
      <c r="U19" s="2066">
        <f t="shared" si="6"/>
        <v>0</v>
      </c>
      <c r="V19" s="2011">
        <v>0</v>
      </c>
      <c r="W19" s="3661">
        <v>0</v>
      </c>
      <c r="X19" s="3438">
        <f t="shared" si="7"/>
        <v>0</v>
      </c>
      <c r="Y19" s="5859">
        <f t="shared" si="8"/>
        <v>0</v>
      </c>
      <c r="Z19" s="5844">
        <f t="shared" si="9"/>
        <v>0</v>
      </c>
      <c r="AA19" s="5842">
        <f t="shared" si="10"/>
        <v>0</v>
      </c>
      <c r="AB19" s="2011">
        <v>0</v>
      </c>
      <c r="AC19" s="2018">
        <v>0</v>
      </c>
      <c r="AD19" s="3291">
        <f t="shared" ref="AD19:AD22" si="83">Z19+AB19</f>
        <v>0</v>
      </c>
      <c r="AE19" s="2066">
        <f t="shared" ref="AE19:AE22" si="84">AA19+AC19</f>
        <v>0</v>
      </c>
      <c r="AF19" s="2011">
        <v>0</v>
      </c>
      <c r="AG19" s="2018">
        <v>0</v>
      </c>
      <c r="AH19" s="3291">
        <f t="shared" ref="AH19:AH22" si="85">AD19+AF19</f>
        <v>0</v>
      </c>
      <c r="AI19" s="2066">
        <f t="shared" ref="AI19:AI22" si="86">AE19+AG19</f>
        <v>0</v>
      </c>
      <c r="AJ19" s="2011">
        <v>0</v>
      </c>
      <c r="AK19" s="2018">
        <v>0</v>
      </c>
      <c r="AL19" s="3438">
        <f t="shared" ref="AL19:AL22" si="87">+AB19+AF19+AJ19</f>
        <v>0</v>
      </c>
      <c r="AM19" s="3439">
        <f t="shared" ref="AM19:AM22" si="88">+AC19+AG19+AK19</f>
        <v>0</v>
      </c>
      <c r="AN19" s="1948">
        <f t="shared" si="75"/>
        <v>0</v>
      </c>
      <c r="AO19" s="2066">
        <f t="shared" si="75"/>
        <v>0</v>
      </c>
      <c r="AP19" s="2011">
        <v>0</v>
      </c>
      <c r="AQ19" s="2018">
        <v>0</v>
      </c>
      <c r="AR19" s="3291">
        <f t="shared" ref="AR19:AR22" si="89">AN19+AP19</f>
        <v>0</v>
      </c>
      <c r="AS19" s="2066">
        <f t="shared" ref="AS19:AS22" si="90">AO19+AQ19</f>
        <v>0</v>
      </c>
      <c r="AT19" s="2011"/>
      <c r="AU19" s="2018"/>
      <c r="AV19" s="3291">
        <f t="shared" ref="AV19:AV22" si="91">AR19+AT19</f>
        <v>0</v>
      </c>
      <c r="AW19" s="2066">
        <f t="shared" ref="AW19:AW22" si="92">AS19+AU19</f>
        <v>0</v>
      </c>
      <c r="AX19" s="2011">
        <v>0</v>
      </c>
      <c r="AY19" s="2018">
        <v>0</v>
      </c>
      <c r="AZ19" s="3438">
        <f t="shared" ref="AZ19:AZ22" si="93">+AP19+AT19+AX19</f>
        <v>0</v>
      </c>
      <c r="BA19" s="5859">
        <f t="shared" ref="BA19:BA22" si="94">+AQ19+AU19+AY19</f>
        <v>0</v>
      </c>
      <c r="BB19" s="5813">
        <f t="shared" ref="BB19:BB22" si="95">AL19+AZ19</f>
        <v>0</v>
      </c>
      <c r="BC19" s="5814">
        <f t="shared" ref="BC19:BC22" si="96">AM19+BA19</f>
        <v>0</v>
      </c>
      <c r="BD19" s="1948">
        <f t="shared" ref="BD19:BD22" si="97">AV19+AX19</f>
        <v>0</v>
      </c>
      <c r="BE19" s="2066">
        <f t="shared" ref="BE19:BE22" si="98">AW19+AY19</f>
        <v>0</v>
      </c>
      <c r="BF19" s="648"/>
      <c r="BG19" s="648"/>
      <c r="BH19" s="648"/>
      <c r="BI19" s="648"/>
    </row>
    <row r="20" spans="2:61" ht="21.95" customHeight="1" thickBot="1" x14ac:dyDescent="0.3">
      <c r="B20" s="6274"/>
      <c r="C20" s="2172" t="s">
        <v>1069</v>
      </c>
      <c r="D20" s="1916">
        <v>0</v>
      </c>
      <c r="E20" s="1932">
        <v>0</v>
      </c>
      <c r="F20" s="1916">
        <v>0</v>
      </c>
      <c r="G20" s="1932">
        <v>0</v>
      </c>
      <c r="H20" s="1948" t="s">
        <v>34</v>
      </c>
      <c r="I20" s="1949" t="s">
        <v>34</v>
      </c>
      <c r="J20" s="1916">
        <v>0</v>
      </c>
      <c r="K20" s="3427">
        <v>0</v>
      </c>
      <c r="L20" s="3438">
        <f t="shared" si="2"/>
        <v>0</v>
      </c>
      <c r="M20" s="3439">
        <f t="shared" si="3"/>
        <v>0</v>
      </c>
      <c r="N20" s="1916">
        <v>0</v>
      </c>
      <c r="O20" s="1916">
        <v>0</v>
      </c>
      <c r="P20" s="2066">
        <f t="shared" si="4"/>
        <v>0</v>
      </c>
      <c r="Q20" s="2066">
        <f t="shared" si="5"/>
        <v>0</v>
      </c>
      <c r="R20" s="2013">
        <v>0</v>
      </c>
      <c r="S20" s="2019">
        <v>0</v>
      </c>
      <c r="T20" s="3291">
        <f t="shared" si="6"/>
        <v>0</v>
      </c>
      <c r="U20" s="2066">
        <f t="shared" si="6"/>
        <v>0</v>
      </c>
      <c r="V20" s="2013">
        <v>0</v>
      </c>
      <c r="W20" s="3662">
        <v>0</v>
      </c>
      <c r="X20" s="3438">
        <f t="shared" si="7"/>
        <v>0</v>
      </c>
      <c r="Y20" s="5859">
        <f t="shared" si="8"/>
        <v>0</v>
      </c>
      <c r="Z20" s="5844">
        <f t="shared" si="9"/>
        <v>0</v>
      </c>
      <c r="AA20" s="5842">
        <f t="shared" si="10"/>
        <v>0</v>
      </c>
      <c r="AB20" s="2013">
        <v>1</v>
      </c>
      <c r="AC20" s="2019">
        <v>4045</v>
      </c>
      <c r="AD20" s="3291">
        <f t="shared" si="83"/>
        <v>1</v>
      </c>
      <c r="AE20" s="2066">
        <f t="shared" si="84"/>
        <v>4045</v>
      </c>
      <c r="AF20" s="2013">
        <v>0</v>
      </c>
      <c r="AG20" s="2019">
        <v>0</v>
      </c>
      <c r="AH20" s="3291">
        <f t="shared" si="85"/>
        <v>1</v>
      </c>
      <c r="AI20" s="2066">
        <f t="shared" si="86"/>
        <v>4045</v>
      </c>
      <c r="AJ20" s="2013">
        <v>0</v>
      </c>
      <c r="AK20" s="2019">
        <v>0</v>
      </c>
      <c r="AL20" s="3438">
        <f t="shared" si="87"/>
        <v>1</v>
      </c>
      <c r="AM20" s="3439">
        <f t="shared" si="88"/>
        <v>4045</v>
      </c>
      <c r="AN20" s="1948">
        <f t="shared" ref="AN20:AO24" si="99">AH20+AJ20</f>
        <v>1</v>
      </c>
      <c r="AO20" s="2066">
        <f t="shared" ref="AO20:AO22" si="100">AI20+AK20</f>
        <v>4045</v>
      </c>
      <c r="AP20" s="2013">
        <v>0</v>
      </c>
      <c r="AQ20" s="2019">
        <v>0</v>
      </c>
      <c r="AR20" s="3291">
        <f t="shared" si="89"/>
        <v>1</v>
      </c>
      <c r="AS20" s="2066">
        <f t="shared" si="90"/>
        <v>4045</v>
      </c>
      <c r="AT20" s="2013"/>
      <c r="AU20" s="2019"/>
      <c r="AV20" s="3291">
        <f t="shared" si="91"/>
        <v>1</v>
      </c>
      <c r="AW20" s="2066">
        <f t="shared" si="92"/>
        <v>4045</v>
      </c>
      <c r="AX20" s="2013">
        <v>0</v>
      </c>
      <c r="AY20" s="2019">
        <v>0</v>
      </c>
      <c r="AZ20" s="3438">
        <f t="shared" si="93"/>
        <v>0</v>
      </c>
      <c r="BA20" s="5859">
        <f t="shared" si="94"/>
        <v>0</v>
      </c>
      <c r="BB20" s="5813">
        <f t="shared" si="95"/>
        <v>1</v>
      </c>
      <c r="BC20" s="5814">
        <f t="shared" si="96"/>
        <v>4045</v>
      </c>
      <c r="BD20" s="1948">
        <f t="shared" si="97"/>
        <v>1</v>
      </c>
      <c r="BE20" s="2066">
        <f t="shared" si="98"/>
        <v>4045</v>
      </c>
      <c r="BF20" s="648"/>
      <c r="BG20" s="648"/>
      <c r="BH20" s="648"/>
      <c r="BI20" s="648"/>
    </row>
    <row r="21" spans="2:61" ht="21.95" customHeight="1" thickBot="1" x14ac:dyDescent="0.3">
      <c r="B21" s="6274"/>
      <c r="C21" s="2172" t="s">
        <v>1179</v>
      </c>
      <c r="D21" s="1916">
        <v>1</v>
      </c>
      <c r="E21" s="1932">
        <v>3967</v>
      </c>
      <c r="F21" s="1916">
        <v>1</v>
      </c>
      <c r="G21" s="1932">
        <v>4078</v>
      </c>
      <c r="H21" s="1948">
        <f t="shared" si="0"/>
        <v>2</v>
      </c>
      <c r="I21" s="1949">
        <f t="shared" si="1"/>
        <v>8045</v>
      </c>
      <c r="J21" s="1916">
        <v>1</v>
      </c>
      <c r="K21" s="3427">
        <v>3987</v>
      </c>
      <c r="L21" s="3438">
        <f t="shared" si="2"/>
        <v>3</v>
      </c>
      <c r="M21" s="3439">
        <f t="shared" si="3"/>
        <v>12032</v>
      </c>
      <c r="N21" s="1931">
        <v>0</v>
      </c>
      <c r="O21" s="1931">
        <v>0</v>
      </c>
      <c r="P21" s="2066">
        <f t="shared" si="4"/>
        <v>3</v>
      </c>
      <c r="Q21" s="2066">
        <f t="shared" si="5"/>
        <v>12032</v>
      </c>
      <c r="R21" s="2013">
        <v>1</v>
      </c>
      <c r="S21" s="2019">
        <v>3998</v>
      </c>
      <c r="T21" s="3292">
        <f t="shared" si="6"/>
        <v>4</v>
      </c>
      <c r="U21" s="2066">
        <f t="shared" si="6"/>
        <v>16030</v>
      </c>
      <c r="V21" s="2013">
        <v>0</v>
      </c>
      <c r="W21" s="3662">
        <v>0</v>
      </c>
      <c r="X21" s="3438">
        <f t="shared" si="7"/>
        <v>1</v>
      </c>
      <c r="Y21" s="5859">
        <f t="shared" si="8"/>
        <v>3998</v>
      </c>
      <c r="Z21" s="5844">
        <f t="shared" si="9"/>
        <v>4</v>
      </c>
      <c r="AA21" s="5842">
        <f t="shared" si="10"/>
        <v>16030</v>
      </c>
      <c r="AB21" s="2013">
        <v>0</v>
      </c>
      <c r="AC21" s="2019">
        <v>0</v>
      </c>
      <c r="AD21" s="3292">
        <f t="shared" si="83"/>
        <v>4</v>
      </c>
      <c r="AE21" s="2066">
        <f t="shared" si="84"/>
        <v>16030</v>
      </c>
      <c r="AF21" s="2013">
        <v>1</v>
      </c>
      <c r="AG21" s="2019">
        <v>3697</v>
      </c>
      <c r="AH21" s="3292">
        <f t="shared" si="85"/>
        <v>5</v>
      </c>
      <c r="AI21" s="2066">
        <f t="shared" si="86"/>
        <v>19727</v>
      </c>
      <c r="AJ21" s="2013">
        <v>0</v>
      </c>
      <c r="AK21" s="2019">
        <v>0</v>
      </c>
      <c r="AL21" s="3438">
        <f t="shared" si="87"/>
        <v>1</v>
      </c>
      <c r="AM21" s="3439">
        <f t="shared" si="88"/>
        <v>3697</v>
      </c>
      <c r="AN21" s="1948">
        <f t="shared" si="99"/>
        <v>5</v>
      </c>
      <c r="AO21" s="2066">
        <f t="shared" si="100"/>
        <v>19727</v>
      </c>
      <c r="AP21" s="2013">
        <v>0</v>
      </c>
      <c r="AQ21" s="2019">
        <v>0</v>
      </c>
      <c r="AR21" s="3292">
        <f t="shared" si="89"/>
        <v>5</v>
      </c>
      <c r="AS21" s="2066">
        <f t="shared" si="90"/>
        <v>19727</v>
      </c>
      <c r="AT21" s="2013"/>
      <c r="AU21" s="2019"/>
      <c r="AV21" s="3292">
        <f t="shared" si="91"/>
        <v>5</v>
      </c>
      <c r="AW21" s="2066">
        <f t="shared" si="92"/>
        <v>19727</v>
      </c>
      <c r="AX21" s="2013">
        <v>0</v>
      </c>
      <c r="AY21" s="2019">
        <v>0</v>
      </c>
      <c r="AZ21" s="3438">
        <f t="shared" si="93"/>
        <v>0</v>
      </c>
      <c r="BA21" s="5859">
        <f t="shared" si="94"/>
        <v>0</v>
      </c>
      <c r="BB21" s="5813">
        <f t="shared" si="95"/>
        <v>1</v>
      </c>
      <c r="BC21" s="5814">
        <f t="shared" si="96"/>
        <v>3697</v>
      </c>
      <c r="BD21" s="5886">
        <f t="shared" si="97"/>
        <v>5</v>
      </c>
      <c r="BE21" s="2066">
        <f t="shared" si="98"/>
        <v>19727</v>
      </c>
      <c r="BF21" s="648"/>
      <c r="BG21" s="648"/>
      <c r="BH21" s="648"/>
      <c r="BI21" s="648"/>
    </row>
    <row r="22" spans="2:61" ht="21.95" customHeight="1" x14ac:dyDescent="0.25">
      <c r="B22" s="6275"/>
      <c r="C22" s="2178" t="s">
        <v>1354</v>
      </c>
      <c r="D22" s="1918">
        <v>1</v>
      </c>
      <c r="E22" s="1946">
        <v>4166</v>
      </c>
      <c r="F22" s="1918">
        <v>3</v>
      </c>
      <c r="G22" s="1946">
        <v>12273</v>
      </c>
      <c r="H22" s="1948">
        <f t="shared" si="0"/>
        <v>4</v>
      </c>
      <c r="I22" s="1949">
        <f t="shared" si="1"/>
        <v>16439</v>
      </c>
      <c r="J22" s="1918">
        <v>1</v>
      </c>
      <c r="K22" s="3429">
        <v>4119</v>
      </c>
      <c r="L22" s="3438">
        <f t="shared" si="2"/>
        <v>5</v>
      </c>
      <c r="M22" s="3439">
        <f t="shared" si="3"/>
        <v>20558</v>
      </c>
      <c r="N22" s="1916">
        <v>0</v>
      </c>
      <c r="O22" s="1916">
        <v>0</v>
      </c>
      <c r="P22" s="2066">
        <f t="shared" si="4"/>
        <v>5</v>
      </c>
      <c r="Q22" s="2066">
        <f t="shared" si="5"/>
        <v>20558</v>
      </c>
      <c r="R22" s="2017">
        <v>2</v>
      </c>
      <c r="S22" s="2171">
        <v>8204</v>
      </c>
      <c r="T22" s="2241">
        <f t="shared" si="6"/>
        <v>7</v>
      </c>
      <c r="U22" s="2066">
        <f t="shared" si="6"/>
        <v>28762</v>
      </c>
      <c r="V22" s="2017">
        <v>3</v>
      </c>
      <c r="W22" s="2171">
        <v>12261</v>
      </c>
      <c r="X22" s="3438">
        <f t="shared" si="7"/>
        <v>5</v>
      </c>
      <c r="Y22" s="5859">
        <f t="shared" si="8"/>
        <v>20465</v>
      </c>
      <c r="Z22" s="5844">
        <f t="shared" si="9"/>
        <v>10</v>
      </c>
      <c r="AA22" s="5842">
        <f t="shared" si="10"/>
        <v>41023</v>
      </c>
      <c r="AB22" s="5869">
        <v>2</v>
      </c>
      <c r="AC22" s="2171">
        <v>8195</v>
      </c>
      <c r="AD22" s="2241">
        <f t="shared" si="83"/>
        <v>12</v>
      </c>
      <c r="AE22" s="2066">
        <f t="shared" si="84"/>
        <v>49218</v>
      </c>
      <c r="AF22" s="2017">
        <v>2</v>
      </c>
      <c r="AG22" s="2171">
        <v>8213</v>
      </c>
      <c r="AH22" s="2241">
        <f t="shared" si="85"/>
        <v>14</v>
      </c>
      <c r="AI22" s="2066">
        <f t="shared" si="86"/>
        <v>57431</v>
      </c>
      <c r="AJ22" s="2017">
        <v>2</v>
      </c>
      <c r="AK22" s="2171">
        <v>8201</v>
      </c>
      <c r="AL22" s="3438">
        <f t="shared" si="87"/>
        <v>6</v>
      </c>
      <c r="AM22" s="3439">
        <f t="shared" si="88"/>
        <v>24609</v>
      </c>
      <c r="AN22" s="1948">
        <f t="shared" si="99"/>
        <v>16</v>
      </c>
      <c r="AO22" s="2066">
        <f t="shared" si="100"/>
        <v>65632</v>
      </c>
      <c r="AP22" s="2017">
        <v>1</v>
      </c>
      <c r="AQ22" s="2171">
        <v>4135</v>
      </c>
      <c r="AR22" s="2241">
        <f t="shared" si="89"/>
        <v>17</v>
      </c>
      <c r="AS22" s="2066">
        <f t="shared" si="90"/>
        <v>69767</v>
      </c>
      <c r="AT22" s="2017"/>
      <c r="AU22" s="2171"/>
      <c r="AV22" s="2241">
        <f t="shared" si="91"/>
        <v>17</v>
      </c>
      <c r="AW22" s="2066">
        <f t="shared" si="92"/>
        <v>69767</v>
      </c>
      <c r="AX22" s="2017">
        <v>1</v>
      </c>
      <c r="AY22" s="2171">
        <v>4037</v>
      </c>
      <c r="AZ22" s="3438">
        <f t="shared" si="93"/>
        <v>2</v>
      </c>
      <c r="BA22" s="5859">
        <f t="shared" si="94"/>
        <v>8172</v>
      </c>
      <c r="BB22" s="5813">
        <f t="shared" si="95"/>
        <v>8</v>
      </c>
      <c r="BC22" s="5814">
        <f t="shared" si="96"/>
        <v>32781</v>
      </c>
      <c r="BD22" s="5887">
        <f t="shared" si="97"/>
        <v>18</v>
      </c>
      <c r="BE22" s="2066">
        <f t="shared" si="98"/>
        <v>73804</v>
      </c>
      <c r="BF22" s="648"/>
      <c r="BG22" s="648"/>
      <c r="BH22" s="648"/>
      <c r="BI22" s="648"/>
    </row>
    <row r="23" spans="2:61" ht="21.95" customHeight="1" thickBot="1" x14ac:dyDescent="0.3">
      <c r="B23" s="6281"/>
      <c r="C23" s="2179" t="s">
        <v>2</v>
      </c>
      <c r="D23" s="3641">
        <f>SUM(D19:D22)</f>
        <v>2</v>
      </c>
      <c r="E23" s="3641">
        <f t="shared" ref="E23:AA23" si="101">SUM(E19:E22)</f>
        <v>8133</v>
      </c>
      <c r="F23" s="3641">
        <f t="shared" si="101"/>
        <v>4</v>
      </c>
      <c r="G23" s="3641">
        <f t="shared" si="101"/>
        <v>16351</v>
      </c>
      <c r="H23" s="3641">
        <f t="shared" si="101"/>
        <v>6</v>
      </c>
      <c r="I23" s="3641">
        <f t="shared" si="101"/>
        <v>24484</v>
      </c>
      <c r="J23" s="3641">
        <f t="shared" si="101"/>
        <v>2</v>
      </c>
      <c r="K23" s="3641">
        <f t="shared" si="101"/>
        <v>8106</v>
      </c>
      <c r="L23" s="5857">
        <f t="shared" si="101"/>
        <v>8</v>
      </c>
      <c r="M23" s="5857">
        <f t="shared" si="101"/>
        <v>32590</v>
      </c>
      <c r="N23" s="3641">
        <f t="shared" si="101"/>
        <v>0</v>
      </c>
      <c r="O23" s="3641">
        <f t="shared" si="101"/>
        <v>0</v>
      </c>
      <c r="P23" s="3641">
        <f t="shared" si="101"/>
        <v>8</v>
      </c>
      <c r="Q23" s="3641">
        <f t="shared" si="101"/>
        <v>32590</v>
      </c>
      <c r="R23" s="3641">
        <f t="shared" si="101"/>
        <v>3</v>
      </c>
      <c r="S23" s="3641">
        <f t="shared" si="101"/>
        <v>12202</v>
      </c>
      <c r="T23" s="3641">
        <f t="shared" si="101"/>
        <v>11</v>
      </c>
      <c r="U23" s="3641">
        <f t="shared" si="101"/>
        <v>44792</v>
      </c>
      <c r="V23" s="3641">
        <f t="shared" si="101"/>
        <v>3</v>
      </c>
      <c r="W23" s="3641">
        <f t="shared" si="101"/>
        <v>12261</v>
      </c>
      <c r="X23" s="5857">
        <f t="shared" si="101"/>
        <v>6</v>
      </c>
      <c r="Y23" s="5862">
        <f t="shared" si="101"/>
        <v>24463</v>
      </c>
      <c r="Z23" s="5843">
        <f t="shared" si="101"/>
        <v>14</v>
      </c>
      <c r="AA23" s="5843">
        <f t="shared" si="101"/>
        <v>57053</v>
      </c>
      <c r="AB23" s="3641">
        <f t="shared" ref="AB23:AE23" si="102">SUM(AB19:AB22)</f>
        <v>3</v>
      </c>
      <c r="AC23" s="3641">
        <f t="shared" si="102"/>
        <v>12240</v>
      </c>
      <c r="AD23" s="3641">
        <f t="shared" si="102"/>
        <v>17</v>
      </c>
      <c r="AE23" s="3641">
        <f t="shared" si="102"/>
        <v>69293</v>
      </c>
      <c r="AF23" s="3641">
        <f t="shared" ref="AF23:AI23" si="103">SUM(AF19:AF22)</f>
        <v>3</v>
      </c>
      <c r="AG23" s="3641">
        <f t="shared" si="103"/>
        <v>11910</v>
      </c>
      <c r="AH23" s="3641">
        <f t="shared" si="103"/>
        <v>20</v>
      </c>
      <c r="AI23" s="3641">
        <f t="shared" si="103"/>
        <v>81203</v>
      </c>
      <c r="AJ23" s="3641">
        <f t="shared" ref="AJ23:AS23" si="104">SUM(AJ19:AJ22)</f>
        <v>2</v>
      </c>
      <c r="AK23" s="3641">
        <f t="shared" si="104"/>
        <v>8201</v>
      </c>
      <c r="AL23" s="3641">
        <f t="shared" si="104"/>
        <v>8</v>
      </c>
      <c r="AM23" s="3641">
        <f t="shared" si="104"/>
        <v>32351</v>
      </c>
      <c r="AN23" s="3641">
        <f t="shared" si="104"/>
        <v>22</v>
      </c>
      <c r="AO23" s="3641">
        <f t="shared" si="104"/>
        <v>89404</v>
      </c>
      <c r="AP23" s="3641">
        <f t="shared" si="104"/>
        <v>1</v>
      </c>
      <c r="AQ23" s="3641">
        <f t="shared" si="104"/>
        <v>4135</v>
      </c>
      <c r="AR23" s="3641">
        <f t="shared" si="104"/>
        <v>23</v>
      </c>
      <c r="AS23" s="3641">
        <f t="shared" si="104"/>
        <v>93539</v>
      </c>
      <c r="AT23" s="3641">
        <f t="shared" ref="AT23:AW23" si="105">SUM(AT19:AT22)</f>
        <v>0</v>
      </c>
      <c r="AU23" s="3641">
        <f t="shared" si="105"/>
        <v>0</v>
      </c>
      <c r="AV23" s="3641">
        <f t="shared" si="105"/>
        <v>23</v>
      </c>
      <c r="AW23" s="3641">
        <f t="shared" si="105"/>
        <v>93539</v>
      </c>
      <c r="AX23" s="3641">
        <f t="shared" ref="AX23:BE23" si="106">SUM(AX19:AX22)</f>
        <v>1</v>
      </c>
      <c r="AY23" s="3641">
        <f t="shared" si="106"/>
        <v>4037</v>
      </c>
      <c r="AZ23" s="3641">
        <f t="shared" si="106"/>
        <v>2</v>
      </c>
      <c r="BA23" s="5884">
        <f t="shared" si="106"/>
        <v>8172</v>
      </c>
      <c r="BB23" s="5804">
        <f t="shared" si="106"/>
        <v>10</v>
      </c>
      <c r="BC23" s="5804">
        <f t="shared" si="106"/>
        <v>40523</v>
      </c>
      <c r="BD23" s="3641">
        <f t="shared" si="106"/>
        <v>24</v>
      </c>
      <c r="BE23" s="3641">
        <f t="shared" si="106"/>
        <v>97576</v>
      </c>
      <c r="BF23" s="648"/>
      <c r="BG23" s="648"/>
      <c r="BH23" s="648"/>
      <c r="BI23" s="648"/>
    </row>
    <row r="24" spans="2:61" ht="21.95" customHeight="1" thickBot="1" x14ac:dyDescent="0.3">
      <c r="B24" s="6282" t="s">
        <v>1290</v>
      </c>
      <c r="C24" s="2180" t="s">
        <v>1291</v>
      </c>
      <c r="D24" s="1915">
        <v>1</v>
      </c>
      <c r="E24" s="1920">
        <v>4040</v>
      </c>
      <c r="F24" s="1915">
        <v>1</v>
      </c>
      <c r="G24" s="1920">
        <v>4066</v>
      </c>
      <c r="H24" s="1948">
        <f t="shared" si="0"/>
        <v>2</v>
      </c>
      <c r="I24" s="1949">
        <f t="shared" si="1"/>
        <v>8106</v>
      </c>
      <c r="J24" s="1915">
        <v>2</v>
      </c>
      <c r="K24" s="3430">
        <v>6916</v>
      </c>
      <c r="L24" s="3438">
        <f t="shared" si="2"/>
        <v>4</v>
      </c>
      <c r="M24" s="3439">
        <f t="shared" si="3"/>
        <v>15022</v>
      </c>
      <c r="N24" s="1915">
        <v>2</v>
      </c>
      <c r="O24" s="1920">
        <v>8113.1999999999989</v>
      </c>
      <c r="P24" s="2066">
        <f t="shared" si="4"/>
        <v>6</v>
      </c>
      <c r="Q24" s="2066">
        <f t="shared" si="5"/>
        <v>23135.199999999997</v>
      </c>
      <c r="R24" s="2020">
        <v>2</v>
      </c>
      <c r="S24" s="2021">
        <v>7844</v>
      </c>
      <c r="T24" s="1948">
        <f t="shared" si="6"/>
        <v>8</v>
      </c>
      <c r="U24" s="2066">
        <f t="shared" si="6"/>
        <v>30979.199999999997</v>
      </c>
      <c r="V24" s="2020">
        <v>2</v>
      </c>
      <c r="W24" s="3663">
        <v>7797</v>
      </c>
      <c r="X24" s="3438">
        <f t="shared" si="7"/>
        <v>6</v>
      </c>
      <c r="Y24" s="5859">
        <f t="shared" si="8"/>
        <v>23754.199999999997</v>
      </c>
      <c r="Z24" s="5844">
        <f t="shared" si="9"/>
        <v>10</v>
      </c>
      <c r="AA24" s="5842">
        <f t="shared" si="10"/>
        <v>38776.199999999997</v>
      </c>
      <c r="AB24" s="2020">
        <v>1</v>
      </c>
      <c r="AC24" s="2021">
        <v>3846</v>
      </c>
      <c r="AD24" s="1948">
        <f t="shared" ref="AD24:AD28" si="107">Z24+AB24</f>
        <v>11</v>
      </c>
      <c r="AE24" s="2066">
        <f t="shared" ref="AE24:AE28" si="108">AA24+AC24</f>
        <v>42622.2</v>
      </c>
      <c r="AF24" s="2020">
        <v>2</v>
      </c>
      <c r="AG24" s="2021">
        <v>7283</v>
      </c>
      <c r="AH24" s="1948">
        <f t="shared" ref="AH24:AH28" si="109">AD24+AF24</f>
        <v>13</v>
      </c>
      <c r="AI24" s="2066">
        <f t="shared" ref="AI24:AI28" si="110">AE24+AG24</f>
        <v>49905.2</v>
      </c>
      <c r="AJ24" s="2020">
        <v>2</v>
      </c>
      <c r="AK24" s="2021">
        <v>7998</v>
      </c>
      <c r="AL24" s="3438">
        <f t="shared" ref="AL24:AL28" si="111">+AB24+AF24+AJ24</f>
        <v>5</v>
      </c>
      <c r="AM24" s="3439">
        <f t="shared" ref="AM24:AM28" si="112">+AC24+AG24+AK24</f>
        <v>19127</v>
      </c>
      <c r="AN24" s="1948">
        <f t="shared" si="99"/>
        <v>15</v>
      </c>
      <c r="AO24" s="2066">
        <f t="shared" si="99"/>
        <v>57903.199999999997</v>
      </c>
      <c r="AP24" s="2020">
        <v>0</v>
      </c>
      <c r="AQ24" s="2021">
        <v>0</v>
      </c>
      <c r="AR24" s="1948">
        <f t="shared" ref="AR24:AR28" si="113">AN24+AP24</f>
        <v>15</v>
      </c>
      <c r="AS24" s="2066">
        <f t="shared" ref="AS24:AS28" si="114">AO24+AQ24</f>
        <v>57903.199999999997</v>
      </c>
      <c r="AT24" s="2020">
        <v>2</v>
      </c>
      <c r="AU24" s="2021">
        <v>8101</v>
      </c>
      <c r="AV24" s="1948">
        <f t="shared" ref="AV24:AV28" si="115">AR24+AT24</f>
        <v>17</v>
      </c>
      <c r="AW24" s="2066">
        <f t="shared" ref="AW24:AW28" si="116">AS24+AU24</f>
        <v>66004.2</v>
      </c>
      <c r="AX24" s="2020">
        <v>2</v>
      </c>
      <c r="AY24" s="2021">
        <v>8006</v>
      </c>
      <c r="AZ24" s="3438">
        <f t="shared" ref="AZ24:AZ28" si="117">+AP24+AT24+AX24</f>
        <v>4</v>
      </c>
      <c r="BA24" s="5859">
        <f t="shared" ref="BA24:BA28" si="118">+AQ24+AU24+AY24</f>
        <v>16107</v>
      </c>
      <c r="BB24" s="5813">
        <f t="shared" ref="BB24:BB28" si="119">AL24+AZ24</f>
        <v>9</v>
      </c>
      <c r="BC24" s="5814">
        <f t="shared" ref="BC24:BC28" si="120">AM24+BA24</f>
        <v>35234</v>
      </c>
      <c r="BD24" s="1948">
        <f t="shared" ref="BD24:BD28" si="121">AV24+AX24</f>
        <v>19</v>
      </c>
      <c r="BE24" s="2066">
        <f t="shared" ref="BE24:BE28" si="122">AW24+AY24</f>
        <v>74010.2</v>
      </c>
      <c r="BF24" s="648"/>
      <c r="BG24" s="648"/>
      <c r="BH24" s="648"/>
      <c r="BI24" s="648"/>
    </row>
    <row r="25" spans="2:61" ht="21.95" hidden="1" customHeight="1" thickBot="1" x14ac:dyDescent="0.3">
      <c r="B25" s="6277"/>
      <c r="C25" s="2172" t="s">
        <v>1292</v>
      </c>
      <c r="D25" s="2305">
        <v>0</v>
      </c>
      <c r="E25" s="2306">
        <v>0</v>
      </c>
      <c r="F25" s="2305">
        <v>0</v>
      </c>
      <c r="G25" s="2306">
        <v>0</v>
      </c>
      <c r="H25" s="1948" t="s">
        <v>34</v>
      </c>
      <c r="I25" s="1949" t="s">
        <v>34</v>
      </c>
      <c r="J25" s="2305">
        <v>0</v>
      </c>
      <c r="K25" s="3431">
        <v>0</v>
      </c>
      <c r="L25" s="3438">
        <f t="shared" si="2"/>
        <v>0</v>
      </c>
      <c r="M25" s="3439">
        <f t="shared" si="3"/>
        <v>0</v>
      </c>
      <c r="N25" s="2305">
        <v>0</v>
      </c>
      <c r="O25" s="2306">
        <v>0</v>
      </c>
      <c r="P25" s="2066">
        <f t="shared" si="4"/>
        <v>0</v>
      </c>
      <c r="Q25" s="2066">
        <f t="shared" si="5"/>
        <v>0</v>
      </c>
      <c r="R25" s="2013">
        <v>0</v>
      </c>
      <c r="S25" s="2014"/>
      <c r="T25" s="1948">
        <f t="shared" si="6"/>
        <v>0</v>
      </c>
      <c r="U25" s="2066">
        <f t="shared" si="6"/>
        <v>0</v>
      </c>
      <c r="V25" s="2013">
        <v>0</v>
      </c>
      <c r="W25" s="3662">
        <v>0</v>
      </c>
      <c r="X25" s="3438">
        <f t="shared" si="7"/>
        <v>0</v>
      </c>
      <c r="Y25" s="5859">
        <f t="shared" si="8"/>
        <v>0</v>
      </c>
      <c r="Z25" s="5844">
        <f t="shared" si="9"/>
        <v>0</v>
      </c>
      <c r="AA25" s="5842">
        <f t="shared" si="10"/>
        <v>0</v>
      </c>
      <c r="AB25" s="2013">
        <v>0</v>
      </c>
      <c r="AC25" s="2014">
        <v>0</v>
      </c>
      <c r="AD25" s="1948">
        <f t="shared" si="107"/>
        <v>0</v>
      </c>
      <c r="AE25" s="2066">
        <f t="shared" si="108"/>
        <v>0</v>
      </c>
      <c r="AF25" s="2013">
        <v>0</v>
      </c>
      <c r="AG25" s="2014">
        <v>0</v>
      </c>
      <c r="AH25" s="1948">
        <f t="shared" si="109"/>
        <v>0</v>
      </c>
      <c r="AI25" s="2066">
        <f t="shared" si="110"/>
        <v>0</v>
      </c>
      <c r="AJ25" s="2013">
        <v>0</v>
      </c>
      <c r="AK25" s="2014">
        <v>0</v>
      </c>
      <c r="AL25" s="3438">
        <f t="shared" si="111"/>
        <v>0</v>
      </c>
      <c r="AM25" s="3439">
        <f t="shared" si="112"/>
        <v>0</v>
      </c>
      <c r="AN25" s="1948">
        <f t="shared" ref="AN25:AO30" si="123">AH25+AJ25</f>
        <v>0</v>
      </c>
      <c r="AO25" s="2066">
        <f t="shared" ref="AO25:AO28" si="124">AI25+AK25</f>
        <v>0</v>
      </c>
      <c r="AP25" s="2013">
        <v>0</v>
      </c>
      <c r="AQ25" s="2014">
        <v>0</v>
      </c>
      <c r="AR25" s="1948">
        <f t="shared" si="113"/>
        <v>0</v>
      </c>
      <c r="AS25" s="2066">
        <f t="shared" si="114"/>
        <v>0</v>
      </c>
      <c r="AT25" s="2013">
        <v>0</v>
      </c>
      <c r="AU25" s="2014"/>
      <c r="AV25" s="1948">
        <f t="shared" si="115"/>
        <v>0</v>
      </c>
      <c r="AW25" s="2066">
        <f t="shared" si="116"/>
        <v>0</v>
      </c>
      <c r="AX25" s="2013">
        <v>0</v>
      </c>
      <c r="AY25" s="2014">
        <v>0</v>
      </c>
      <c r="AZ25" s="3438">
        <f t="shared" si="117"/>
        <v>0</v>
      </c>
      <c r="BA25" s="5859">
        <f t="shared" si="118"/>
        <v>0</v>
      </c>
      <c r="BB25" s="5813">
        <f t="shared" si="119"/>
        <v>0</v>
      </c>
      <c r="BC25" s="5814">
        <f t="shared" si="120"/>
        <v>0</v>
      </c>
      <c r="BD25" s="1948">
        <f t="shared" si="121"/>
        <v>0</v>
      </c>
      <c r="BE25" s="2066">
        <f t="shared" si="122"/>
        <v>0</v>
      </c>
      <c r="BF25" s="648"/>
      <c r="BG25" s="648"/>
      <c r="BH25" s="648"/>
      <c r="BI25" s="648"/>
    </row>
    <row r="26" spans="2:61" ht="21.95" customHeight="1" thickBot="1" x14ac:dyDescent="0.3">
      <c r="B26" s="6277"/>
      <c r="C26" s="2172" t="s">
        <v>1067</v>
      </c>
      <c r="D26" s="1916">
        <v>3</v>
      </c>
      <c r="E26" s="1932">
        <v>11771</v>
      </c>
      <c r="F26" s="1916">
        <v>2</v>
      </c>
      <c r="G26" s="1932">
        <v>7795</v>
      </c>
      <c r="H26" s="1948">
        <f t="shared" si="0"/>
        <v>5</v>
      </c>
      <c r="I26" s="1949">
        <f t="shared" si="1"/>
        <v>19566</v>
      </c>
      <c r="J26" s="1916">
        <v>4</v>
      </c>
      <c r="K26" s="3427">
        <v>15077</v>
      </c>
      <c r="L26" s="3438">
        <f t="shared" si="2"/>
        <v>9</v>
      </c>
      <c r="M26" s="3439">
        <f t="shared" si="3"/>
        <v>34643</v>
      </c>
      <c r="N26" s="1916">
        <v>4</v>
      </c>
      <c r="O26" s="1932">
        <v>15703.299999999997</v>
      </c>
      <c r="P26" s="2066">
        <f t="shared" si="4"/>
        <v>13</v>
      </c>
      <c r="Q26" s="2066">
        <f t="shared" si="5"/>
        <v>50346.299999999996</v>
      </c>
      <c r="R26" s="2013">
        <v>2</v>
      </c>
      <c r="S26" s="2014">
        <v>7890</v>
      </c>
      <c r="T26" s="1948">
        <f t="shared" si="6"/>
        <v>15</v>
      </c>
      <c r="U26" s="2066">
        <f t="shared" si="6"/>
        <v>58236.299999999996</v>
      </c>
      <c r="V26" s="2013">
        <v>2</v>
      </c>
      <c r="W26" s="3662">
        <v>7934</v>
      </c>
      <c r="X26" s="3438">
        <f t="shared" si="7"/>
        <v>8</v>
      </c>
      <c r="Y26" s="5859">
        <f t="shared" si="8"/>
        <v>31527.299999999996</v>
      </c>
      <c r="Z26" s="5844">
        <f t="shared" si="9"/>
        <v>17</v>
      </c>
      <c r="AA26" s="5842">
        <f t="shared" si="10"/>
        <v>66170.299999999988</v>
      </c>
      <c r="AB26" s="2013">
        <v>2</v>
      </c>
      <c r="AC26" s="2014">
        <v>7673</v>
      </c>
      <c r="AD26" s="1948">
        <f t="shared" si="107"/>
        <v>19</v>
      </c>
      <c r="AE26" s="2066">
        <f t="shared" si="108"/>
        <v>73843.299999999988</v>
      </c>
      <c r="AF26" s="2013">
        <v>3</v>
      </c>
      <c r="AG26" s="2014">
        <v>11393</v>
      </c>
      <c r="AH26" s="1948">
        <f t="shared" si="109"/>
        <v>22</v>
      </c>
      <c r="AI26" s="2066">
        <f t="shared" si="110"/>
        <v>85236.299999999988</v>
      </c>
      <c r="AJ26" s="2013">
        <v>2</v>
      </c>
      <c r="AK26" s="2014">
        <v>8019</v>
      </c>
      <c r="AL26" s="3438">
        <f t="shared" si="111"/>
        <v>7</v>
      </c>
      <c r="AM26" s="3439">
        <f t="shared" si="112"/>
        <v>27085</v>
      </c>
      <c r="AN26" s="1948">
        <f t="shared" si="123"/>
        <v>24</v>
      </c>
      <c r="AO26" s="2066">
        <f t="shared" si="124"/>
        <v>93255.299999999988</v>
      </c>
      <c r="AP26" s="2013">
        <v>2</v>
      </c>
      <c r="AQ26" s="2014">
        <v>7737</v>
      </c>
      <c r="AR26" s="1948">
        <f t="shared" si="113"/>
        <v>26</v>
      </c>
      <c r="AS26" s="2066">
        <f t="shared" si="114"/>
        <v>100992.29999999999</v>
      </c>
      <c r="AT26" s="2013">
        <v>1</v>
      </c>
      <c r="AU26" s="2014">
        <v>3849</v>
      </c>
      <c r="AV26" s="1948">
        <f t="shared" si="115"/>
        <v>27</v>
      </c>
      <c r="AW26" s="2066">
        <f t="shared" si="116"/>
        <v>104841.29999999999</v>
      </c>
      <c r="AX26" s="2013">
        <v>6</v>
      </c>
      <c r="AY26" s="2014">
        <v>22359</v>
      </c>
      <c r="AZ26" s="3438">
        <f t="shared" si="117"/>
        <v>9</v>
      </c>
      <c r="BA26" s="5859">
        <f t="shared" si="118"/>
        <v>33945</v>
      </c>
      <c r="BB26" s="5813">
        <f t="shared" si="119"/>
        <v>16</v>
      </c>
      <c r="BC26" s="5814">
        <f t="shared" si="120"/>
        <v>61030</v>
      </c>
      <c r="BD26" s="1948">
        <f t="shared" si="121"/>
        <v>33</v>
      </c>
      <c r="BE26" s="2066">
        <f t="shared" si="122"/>
        <v>127200.29999999999</v>
      </c>
      <c r="BF26" s="648"/>
      <c r="BG26" s="648"/>
      <c r="BH26" s="648"/>
      <c r="BI26" s="648"/>
    </row>
    <row r="27" spans="2:61" ht="21.95" customHeight="1" thickBot="1" x14ac:dyDescent="0.3">
      <c r="B27" s="6277"/>
      <c r="C27" s="2172" t="s">
        <v>1293</v>
      </c>
      <c r="D27" s="1916">
        <v>1</v>
      </c>
      <c r="E27" s="1932">
        <v>3693</v>
      </c>
      <c r="F27" s="1916">
        <v>0</v>
      </c>
      <c r="G27" s="1932">
        <v>0</v>
      </c>
      <c r="H27" s="1948">
        <f t="shared" si="0"/>
        <v>1</v>
      </c>
      <c r="I27" s="1949">
        <f t="shared" si="1"/>
        <v>3693</v>
      </c>
      <c r="J27" s="1916">
        <v>0</v>
      </c>
      <c r="K27" s="3427">
        <v>0</v>
      </c>
      <c r="L27" s="3438">
        <f t="shared" si="2"/>
        <v>1</v>
      </c>
      <c r="M27" s="3439">
        <f t="shared" si="3"/>
        <v>3693</v>
      </c>
      <c r="N27" s="1916">
        <v>2</v>
      </c>
      <c r="O27" s="1932">
        <v>7734.69649122807</v>
      </c>
      <c r="P27" s="2066">
        <f t="shared" si="4"/>
        <v>3</v>
      </c>
      <c r="Q27" s="2066">
        <f t="shared" si="5"/>
        <v>11427.696491228071</v>
      </c>
      <c r="R27" s="2013">
        <v>3</v>
      </c>
      <c r="S27" s="2014">
        <v>12228</v>
      </c>
      <c r="T27" s="1948">
        <f t="shared" si="6"/>
        <v>6</v>
      </c>
      <c r="U27" s="2066">
        <f t="shared" si="6"/>
        <v>23655.696491228071</v>
      </c>
      <c r="V27" s="2013">
        <v>0</v>
      </c>
      <c r="W27" s="3662">
        <v>0</v>
      </c>
      <c r="X27" s="3438">
        <f t="shared" si="7"/>
        <v>5</v>
      </c>
      <c r="Y27" s="5859">
        <f t="shared" si="8"/>
        <v>19962.696491228071</v>
      </c>
      <c r="Z27" s="5844">
        <f t="shared" si="9"/>
        <v>6</v>
      </c>
      <c r="AA27" s="5842">
        <f t="shared" si="10"/>
        <v>23655.696491228071</v>
      </c>
      <c r="AB27" s="2013">
        <v>3</v>
      </c>
      <c r="AC27" s="2014">
        <v>11996</v>
      </c>
      <c r="AD27" s="1948">
        <f t="shared" si="107"/>
        <v>9</v>
      </c>
      <c r="AE27" s="2066">
        <f t="shared" si="108"/>
        <v>35651.696491228067</v>
      </c>
      <c r="AF27" s="2013">
        <v>2</v>
      </c>
      <c r="AG27" s="2014">
        <v>8154</v>
      </c>
      <c r="AH27" s="1948">
        <f t="shared" si="109"/>
        <v>11</v>
      </c>
      <c r="AI27" s="2066">
        <f t="shared" si="110"/>
        <v>43805.696491228067</v>
      </c>
      <c r="AJ27" s="2013">
        <v>2</v>
      </c>
      <c r="AK27" s="2014">
        <v>7841</v>
      </c>
      <c r="AL27" s="3438">
        <f t="shared" si="111"/>
        <v>7</v>
      </c>
      <c r="AM27" s="3439">
        <f t="shared" si="112"/>
        <v>27991</v>
      </c>
      <c r="AN27" s="1948">
        <f t="shared" si="123"/>
        <v>13</v>
      </c>
      <c r="AO27" s="2066">
        <f t="shared" si="124"/>
        <v>51646.696491228067</v>
      </c>
      <c r="AP27" s="2013">
        <v>3</v>
      </c>
      <c r="AQ27" s="2014">
        <v>12021</v>
      </c>
      <c r="AR27" s="1948">
        <f t="shared" si="113"/>
        <v>16</v>
      </c>
      <c r="AS27" s="2066">
        <f t="shared" si="114"/>
        <v>63667.696491228067</v>
      </c>
      <c r="AT27" s="2013">
        <v>1</v>
      </c>
      <c r="AU27" s="2014">
        <v>4176</v>
      </c>
      <c r="AV27" s="1948">
        <f t="shared" si="115"/>
        <v>17</v>
      </c>
      <c r="AW27" s="2066">
        <f t="shared" si="116"/>
        <v>67843.696491228067</v>
      </c>
      <c r="AX27" s="2013">
        <v>1</v>
      </c>
      <c r="AY27" s="2014">
        <v>4104</v>
      </c>
      <c r="AZ27" s="3438">
        <f t="shared" si="117"/>
        <v>5</v>
      </c>
      <c r="BA27" s="5859">
        <f t="shared" si="118"/>
        <v>20301</v>
      </c>
      <c r="BB27" s="5813">
        <f t="shared" si="119"/>
        <v>12</v>
      </c>
      <c r="BC27" s="5814">
        <f t="shared" si="120"/>
        <v>48292</v>
      </c>
      <c r="BD27" s="1948">
        <f t="shared" si="121"/>
        <v>18</v>
      </c>
      <c r="BE27" s="2066">
        <f t="shared" si="122"/>
        <v>71947.696491228067</v>
      </c>
      <c r="BF27" s="648"/>
      <c r="BG27" s="648"/>
      <c r="BH27" s="648"/>
      <c r="BI27" s="648"/>
    </row>
    <row r="28" spans="2:61" ht="21.95" customHeight="1" x14ac:dyDescent="0.25">
      <c r="B28" s="6277"/>
      <c r="C28" s="2172" t="s">
        <v>1294</v>
      </c>
      <c r="D28" s="1916">
        <v>2</v>
      </c>
      <c r="E28" s="1932">
        <v>7963</v>
      </c>
      <c r="F28" s="1916">
        <v>0</v>
      </c>
      <c r="G28" s="1932">
        <v>0</v>
      </c>
      <c r="H28" s="1948">
        <f t="shared" si="0"/>
        <v>2</v>
      </c>
      <c r="I28" s="1949">
        <f t="shared" si="1"/>
        <v>7963</v>
      </c>
      <c r="J28" s="1916">
        <v>2</v>
      </c>
      <c r="K28" s="3427">
        <v>7674</v>
      </c>
      <c r="L28" s="3438">
        <f t="shared" si="2"/>
        <v>4</v>
      </c>
      <c r="M28" s="3439">
        <f t="shared" si="3"/>
        <v>15637</v>
      </c>
      <c r="N28" s="1916">
        <v>1</v>
      </c>
      <c r="O28" s="1932">
        <v>3239.9</v>
      </c>
      <c r="P28" s="2066">
        <f t="shared" si="4"/>
        <v>5</v>
      </c>
      <c r="Q28" s="2066">
        <f t="shared" si="5"/>
        <v>18876.900000000001</v>
      </c>
      <c r="R28" s="2013">
        <v>0.8</v>
      </c>
      <c r="S28" s="2014">
        <v>3098</v>
      </c>
      <c r="T28" s="1948">
        <f t="shared" si="6"/>
        <v>5.8</v>
      </c>
      <c r="U28" s="2066">
        <f t="shared" si="6"/>
        <v>21974.9</v>
      </c>
      <c r="V28" s="2013">
        <v>1.8</v>
      </c>
      <c r="W28" s="3662">
        <v>7168</v>
      </c>
      <c r="X28" s="3438">
        <f t="shared" si="7"/>
        <v>3.6</v>
      </c>
      <c r="Y28" s="5859">
        <f t="shared" si="8"/>
        <v>13505.9</v>
      </c>
      <c r="Z28" s="5844">
        <f t="shared" si="9"/>
        <v>7.6</v>
      </c>
      <c r="AA28" s="5842">
        <f t="shared" si="10"/>
        <v>29142.9</v>
      </c>
      <c r="AB28" s="2013">
        <v>1</v>
      </c>
      <c r="AC28" s="2014">
        <v>3870</v>
      </c>
      <c r="AD28" s="1948">
        <f t="shared" si="107"/>
        <v>8.6</v>
      </c>
      <c r="AE28" s="2066">
        <f t="shared" si="108"/>
        <v>33012.9</v>
      </c>
      <c r="AF28" s="2013">
        <v>1</v>
      </c>
      <c r="AG28" s="2014">
        <v>3864</v>
      </c>
      <c r="AH28" s="1948">
        <f t="shared" si="109"/>
        <v>9.6</v>
      </c>
      <c r="AI28" s="2066">
        <f t="shared" si="110"/>
        <v>36876.9</v>
      </c>
      <c r="AJ28" s="2013">
        <v>1</v>
      </c>
      <c r="AK28" s="2014">
        <v>3823</v>
      </c>
      <c r="AL28" s="3438">
        <f t="shared" si="111"/>
        <v>3</v>
      </c>
      <c r="AM28" s="3439">
        <f t="shared" si="112"/>
        <v>11557</v>
      </c>
      <c r="AN28" s="1948">
        <f t="shared" si="123"/>
        <v>10.6</v>
      </c>
      <c r="AO28" s="2066">
        <f t="shared" si="124"/>
        <v>40699.9</v>
      </c>
      <c r="AP28" s="2013">
        <v>1</v>
      </c>
      <c r="AQ28" s="2014">
        <v>3788</v>
      </c>
      <c r="AR28" s="1948">
        <f t="shared" si="113"/>
        <v>11.6</v>
      </c>
      <c r="AS28" s="2066">
        <f t="shared" si="114"/>
        <v>44487.9</v>
      </c>
      <c r="AT28" s="2013">
        <v>1</v>
      </c>
      <c r="AU28" s="2014">
        <v>3628</v>
      </c>
      <c r="AV28" s="1948">
        <f t="shared" si="115"/>
        <v>12.6</v>
      </c>
      <c r="AW28" s="2066">
        <f t="shared" si="116"/>
        <v>48115.9</v>
      </c>
      <c r="AX28" s="2013">
        <v>0</v>
      </c>
      <c r="AY28" s="2014">
        <v>0</v>
      </c>
      <c r="AZ28" s="3438">
        <f t="shared" si="117"/>
        <v>2</v>
      </c>
      <c r="BA28" s="5859">
        <f t="shared" si="118"/>
        <v>7416</v>
      </c>
      <c r="BB28" s="5813">
        <f t="shared" si="119"/>
        <v>5</v>
      </c>
      <c r="BC28" s="5814">
        <f t="shared" si="120"/>
        <v>18973</v>
      </c>
      <c r="BD28" s="1948">
        <f t="shared" si="121"/>
        <v>12.6</v>
      </c>
      <c r="BE28" s="2066">
        <f t="shared" si="122"/>
        <v>48115.9</v>
      </c>
      <c r="BF28" s="648"/>
      <c r="BG28" s="648"/>
      <c r="BH28" s="648"/>
      <c r="BI28" s="648"/>
    </row>
    <row r="29" spans="2:61" ht="21.95" customHeight="1" thickBot="1" x14ac:dyDescent="0.3">
      <c r="B29" s="6279"/>
      <c r="C29" s="2179" t="s">
        <v>2</v>
      </c>
      <c r="D29" s="3641">
        <f>SUM(D24:D28)</f>
        <v>7</v>
      </c>
      <c r="E29" s="3641">
        <f t="shared" ref="E29:AA29" si="125">SUM(E24:E28)</f>
        <v>27467</v>
      </c>
      <c r="F29" s="3641">
        <f t="shared" si="125"/>
        <v>3</v>
      </c>
      <c r="G29" s="3641">
        <f t="shared" si="125"/>
        <v>11861</v>
      </c>
      <c r="H29" s="3641">
        <f t="shared" si="125"/>
        <v>10</v>
      </c>
      <c r="I29" s="3641">
        <f t="shared" si="125"/>
        <v>39328</v>
      </c>
      <c r="J29" s="3641">
        <f t="shared" si="125"/>
        <v>8</v>
      </c>
      <c r="K29" s="3641">
        <f t="shared" si="125"/>
        <v>29667</v>
      </c>
      <c r="L29" s="5857">
        <f t="shared" si="125"/>
        <v>18</v>
      </c>
      <c r="M29" s="5857">
        <f t="shared" si="125"/>
        <v>68995</v>
      </c>
      <c r="N29" s="3641">
        <f t="shared" si="125"/>
        <v>9</v>
      </c>
      <c r="O29" s="3641">
        <f t="shared" si="125"/>
        <v>34791.096491228069</v>
      </c>
      <c r="P29" s="3641">
        <f t="shared" si="125"/>
        <v>27</v>
      </c>
      <c r="Q29" s="3641">
        <f t="shared" si="125"/>
        <v>103786.09649122806</v>
      </c>
      <c r="R29" s="3641">
        <f t="shared" si="125"/>
        <v>7.8</v>
      </c>
      <c r="S29" s="3641">
        <f t="shared" si="125"/>
        <v>31060</v>
      </c>
      <c r="T29" s="3641">
        <f t="shared" si="125"/>
        <v>34.799999999999997</v>
      </c>
      <c r="U29" s="3641">
        <f t="shared" si="125"/>
        <v>134846.09649122806</v>
      </c>
      <c r="V29" s="3641">
        <f t="shared" si="125"/>
        <v>5.8</v>
      </c>
      <c r="W29" s="3641">
        <f t="shared" si="125"/>
        <v>22899</v>
      </c>
      <c r="X29" s="5857">
        <f t="shared" si="125"/>
        <v>22.6</v>
      </c>
      <c r="Y29" s="5862">
        <f t="shared" si="125"/>
        <v>88750.096491228061</v>
      </c>
      <c r="Z29" s="5843">
        <f t="shared" si="125"/>
        <v>40.6</v>
      </c>
      <c r="AA29" s="5843">
        <f t="shared" si="125"/>
        <v>157745.09649122806</v>
      </c>
      <c r="AB29" s="3641">
        <f t="shared" ref="AB29:AE29" si="126">SUM(AB24:AB28)</f>
        <v>7</v>
      </c>
      <c r="AC29" s="3641">
        <f t="shared" si="126"/>
        <v>27385</v>
      </c>
      <c r="AD29" s="3641">
        <f t="shared" si="126"/>
        <v>47.6</v>
      </c>
      <c r="AE29" s="3641">
        <f t="shared" si="126"/>
        <v>185130.09649122806</v>
      </c>
      <c r="AF29" s="3641">
        <f t="shared" ref="AF29:AI29" si="127">SUM(AF24:AF28)</f>
        <v>8</v>
      </c>
      <c r="AG29" s="3641">
        <f t="shared" si="127"/>
        <v>30694</v>
      </c>
      <c r="AH29" s="3641">
        <f t="shared" si="127"/>
        <v>55.6</v>
      </c>
      <c r="AI29" s="3641">
        <f t="shared" si="127"/>
        <v>215824.09649122806</v>
      </c>
      <c r="AJ29" s="3641">
        <f t="shared" ref="AJ29:AS29" si="128">SUM(AJ24:AJ28)</f>
        <v>7</v>
      </c>
      <c r="AK29" s="3641">
        <f t="shared" si="128"/>
        <v>27681</v>
      </c>
      <c r="AL29" s="3641">
        <f t="shared" si="128"/>
        <v>22</v>
      </c>
      <c r="AM29" s="3641">
        <f t="shared" si="128"/>
        <v>85760</v>
      </c>
      <c r="AN29" s="3641">
        <f t="shared" si="128"/>
        <v>62.6</v>
      </c>
      <c r="AO29" s="3641">
        <f t="shared" si="128"/>
        <v>243505.09649122806</v>
      </c>
      <c r="AP29" s="3641">
        <f t="shared" si="128"/>
        <v>6</v>
      </c>
      <c r="AQ29" s="3641">
        <f t="shared" si="128"/>
        <v>23546</v>
      </c>
      <c r="AR29" s="3641">
        <f t="shared" si="128"/>
        <v>68.599999999999994</v>
      </c>
      <c r="AS29" s="3641">
        <f t="shared" si="128"/>
        <v>267051.09649122809</v>
      </c>
      <c r="AT29" s="3641">
        <f t="shared" ref="AT29:AW29" si="129">SUM(AT24:AT28)</f>
        <v>5</v>
      </c>
      <c r="AU29" s="3641">
        <f t="shared" si="129"/>
        <v>19754</v>
      </c>
      <c r="AV29" s="3641">
        <f t="shared" si="129"/>
        <v>73.599999999999994</v>
      </c>
      <c r="AW29" s="3641">
        <f t="shared" si="129"/>
        <v>286805.09649122809</v>
      </c>
      <c r="AX29" s="3641">
        <f t="shared" ref="AX29:BE29" si="130">SUM(AX24:AX28)</f>
        <v>9</v>
      </c>
      <c r="AY29" s="3641">
        <f t="shared" si="130"/>
        <v>34469</v>
      </c>
      <c r="AZ29" s="3641">
        <f t="shared" si="130"/>
        <v>20</v>
      </c>
      <c r="BA29" s="5884">
        <f t="shared" si="130"/>
        <v>77769</v>
      </c>
      <c r="BB29" s="5804">
        <f t="shared" si="130"/>
        <v>42</v>
      </c>
      <c r="BC29" s="5804">
        <f t="shared" si="130"/>
        <v>163529</v>
      </c>
      <c r="BD29" s="3641">
        <f t="shared" si="130"/>
        <v>82.6</v>
      </c>
      <c r="BE29" s="3641">
        <f t="shared" si="130"/>
        <v>321274.09649122809</v>
      </c>
      <c r="BF29" s="648"/>
      <c r="BG29" s="648"/>
      <c r="BH29" s="648"/>
      <c r="BI29" s="648"/>
    </row>
    <row r="30" spans="2:61" ht="21.95" customHeight="1" thickBot="1" x14ac:dyDescent="0.3">
      <c r="B30" s="6276" t="s">
        <v>1295</v>
      </c>
      <c r="C30" s="2177" t="s">
        <v>1067</v>
      </c>
      <c r="D30" s="1931">
        <v>2</v>
      </c>
      <c r="E30" s="1941">
        <v>7872</v>
      </c>
      <c r="F30" s="1931">
        <v>1</v>
      </c>
      <c r="G30" s="1941">
        <v>3885</v>
      </c>
      <c r="H30" s="1948">
        <f t="shared" si="0"/>
        <v>3</v>
      </c>
      <c r="I30" s="1949">
        <f t="shared" si="1"/>
        <v>11757</v>
      </c>
      <c r="J30" s="1931">
        <v>4</v>
      </c>
      <c r="K30" s="3426">
        <v>15023</v>
      </c>
      <c r="L30" s="3438">
        <f t="shared" si="2"/>
        <v>7</v>
      </c>
      <c r="M30" s="3439">
        <f t="shared" si="3"/>
        <v>26780</v>
      </c>
      <c r="N30" s="1931">
        <v>4</v>
      </c>
      <c r="O30" s="1941">
        <v>15503.7</v>
      </c>
      <c r="P30" s="2066">
        <f t="shared" si="4"/>
        <v>11</v>
      </c>
      <c r="Q30" s="2066">
        <f t="shared" si="5"/>
        <v>42283.7</v>
      </c>
      <c r="R30" s="2011">
        <v>4</v>
      </c>
      <c r="S30" s="2012">
        <v>15574</v>
      </c>
      <c r="T30" s="1948">
        <f t="shared" si="6"/>
        <v>15</v>
      </c>
      <c r="U30" s="2066">
        <f t="shared" si="6"/>
        <v>57857.7</v>
      </c>
      <c r="V30" s="2011">
        <v>2</v>
      </c>
      <c r="W30" s="3661">
        <v>7734</v>
      </c>
      <c r="X30" s="3438">
        <f t="shared" si="7"/>
        <v>10</v>
      </c>
      <c r="Y30" s="5859">
        <f t="shared" si="8"/>
        <v>38811.699999999997</v>
      </c>
      <c r="Z30" s="5844">
        <f t="shared" si="9"/>
        <v>17</v>
      </c>
      <c r="AA30" s="5842">
        <f t="shared" si="10"/>
        <v>65591.7</v>
      </c>
      <c r="AB30" s="2011">
        <v>2</v>
      </c>
      <c r="AC30" s="2012">
        <v>7562</v>
      </c>
      <c r="AD30" s="1948">
        <f t="shared" ref="AD30:AD31" si="131">Z30+AB30</f>
        <v>19</v>
      </c>
      <c r="AE30" s="2066">
        <f t="shared" ref="AE30:AE31" si="132">AA30+AC30</f>
        <v>73153.7</v>
      </c>
      <c r="AF30" s="2011">
        <v>2</v>
      </c>
      <c r="AG30" s="2012">
        <v>7712</v>
      </c>
      <c r="AH30" s="1948">
        <f t="shared" ref="AH30:AH32" si="133">AD30+AF30</f>
        <v>21</v>
      </c>
      <c r="AI30" s="2066">
        <f t="shared" ref="AI30:AI32" si="134">AE30+AG30</f>
        <v>80865.7</v>
      </c>
      <c r="AJ30" s="2011">
        <v>2</v>
      </c>
      <c r="AK30" s="2012">
        <v>7503</v>
      </c>
      <c r="AL30" s="3438">
        <f t="shared" ref="AL30:AL32" si="135">+AB30+AF30+AJ30</f>
        <v>6</v>
      </c>
      <c r="AM30" s="3439">
        <f t="shared" ref="AM30:AM32" si="136">+AC30+AG30+AK30</f>
        <v>22777</v>
      </c>
      <c r="AN30" s="1948">
        <f t="shared" si="123"/>
        <v>23</v>
      </c>
      <c r="AO30" s="2066">
        <f t="shared" si="123"/>
        <v>88368.7</v>
      </c>
      <c r="AP30" s="2011">
        <v>2</v>
      </c>
      <c r="AQ30" s="2012">
        <v>7916</v>
      </c>
      <c r="AR30" s="1948">
        <f t="shared" ref="AR30:AR32" si="137">AN30+AP30</f>
        <v>25</v>
      </c>
      <c r="AS30" s="2066">
        <f t="shared" ref="AS30:AS32" si="138">AO30+AQ30</f>
        <v>96284.7</v>
      </c>
      <c r="AT30" s="2011">
        <v>3</v>
      </c>
      <c r="AU30" s="2012">
        <v>11699</v>
      </c>
      <c r="AV30" s="1948">
        <f t="shared" ref="AV30:AV32" si="139">AR30+AT30</f>
        <v>28</v>
      </c>
      <c r="AW30" s="2066">
        <f t="shared" ref="AW30:AW32" si="140">AS30+AU30</f>
        <v>107983.7</v>
      </c>
      <c r="AX30" s="2011">
        <v>5</v>
      </c>
      <c r="AY30" s="2012">
        <v>18988</v>
      </c>
      <c r="AZ30" s="3438">
        <f t="shared" ref="AZ30:AZ32" si="141">+AP30+AT30+AX30</f>
        <v>10</v>
      </c>
      <c r="BA30" s="5859">
        <f t="shared" ref="BA30:BA32" si="142">+AQ30+AU30+AY30</f>
        <v>38603</v>
      </c>
      <c r="BB30" s="5813">
        <f t="shared" ref="BB30:BB32" si="143">AL30+AZ30</f>
        <v>16</v>
      </c>
      <c r="BC30" s="5814">
        <f t="shared" ref="BC30:BC32" si="144">AM30+BA30</f>
        <v>61380</v>
      </c>
      <c r="BD30" s="1948">
        <f t="shared" ref="BD30:BD32" si="145">AV30+AX30</f>
        <v>33</v>
      </c>
      <c r="BE30" s="2066">
        <f t="shared" ref="BE30:BE32" si="146">AW30+AY30</f>
        <v>126971.7</v>
      </c>
      <c r="BF30" s="648"/>
      <c r="BG30" s="648"/>
      <c r="BH30" s="648"/>
      <c r="BI30" s="648"/>
    </row>
    <row r="31" spans="2:61" ht="21.95" customHeight="1" thickBot="1" x14ac:dyDescent="0.3">
      <c r="B31" s="6277"/>
      <c r="C31" s="1913" t="s">
        <v>1293</v>
      </c>
      <c r="D31" s="1916">
        <v>1</v>
      </c>
      <c r="E31" s="1932">
        <v>4052</v>
      </c>
      <c r="F31" s="1916">
        <v>0</v>
      </c>
      <c r="G31" s="1932">
        <v>0</v>
      </c>
      <c r="H31" s="1948">
        <f t="shared" si="0"/>
        <v>1</v>
      </c>
      <c r="I31" s="1949">
        <f t="shared" si="1"/>
        <v>4052</v>
      </c>
      <c r="J31" s="1916">
        <v>0</v>
      </c>
      <c r="K31" s="3427">
        <v>0</v>
      </c>
      <c r="L31" s="3438">
        <f t="shared" si="2"/>
        <v>1</v>
      </c>
      <c r="M31" s="3439">
        <f t="shared" si="3"/>
        <v>4052</v>
      </c>
      <c r="N31" s="1916">
        <v>2</v>
      </c>
      <c r="O31" s="1932">
        <v>7678.2</v>
      </c>
      <c r="P31" s="2066">
        <f t="shared" si="4"/>
        <v>3</v>
      </c>
      <c r="Q31" s="2066">
        <f t="shared" si="5"/>
        <v>11730.2</v>
      </c>
      <c r="R31" s="2013">
        <v>1</v>
      </c>
      <c r="S31" s="2014">
        <v>4012</v>
      </c>
      <c r="T31" s="1948">
        <f t="shared" si="6"/>
        <v>4</v>
      </c>
      <c r="U31" s="2066">
        <f t="shared" si="6"/>
        <v>15742.2</v>
      </c>
      <c r="V31" s="2013">
        <v>3</v>
      </c>
      <c r="W31" s="3662">
        <v>11716</v>
      </c>
      <c r="X31" s="3438">
        <f t="shared" si="7"/>
        <v>6</v>
      </c>
      <c r="Y31" s="5859">
        <f t="shared" si="8"/>
        <v>23406.2</v>
      </c>
      <c r="Z31" s="5844">
        <f t="shared" si="9"/>
        <v>7</v>
      </c>
      <c r="AA31" s="5842">
        <f t="shared" si="10"/>
        <v>27458.2</v>
      </c>
      <c r="AB31" s="2013">
        <v>2</v>
      </c>
      <c r="AC31" s="2014">
        <v>7739</v>
      </c>
      <c r="AD31" s="1948">
        <f t="shared" si="131"/>
        <v>9</v>
      </c>
      <c r="AE31" s="2066">
        <f t="shared" si="132"/>
        <v>35197.199999999997</v>
      </c>
      <c r="AF31" s="2013">
        <v>2</v>
      </c>
      <c r="AG31" s="2014">
        <v>8130</v>
      </c>
      <c r="AH31" s="1948">
        <f t="shared" si="133"/>
        <v>11</v>
      </c>
      <c r="AI31" s="2066">
        <f t="shared" si="134"/>
        <v>43327.199999999997</v>
      </c>
      <c r="AJ31" s="2013">
        <v>3</v>
      </c>
      <c r="AK31" s="2014">
        <v>11867</v>
      </c>
      <c r="AL31" s="3438">
        <f t="shared" si="135"/>
        <v>7</v>
      </c>
      <c r="AM31" s="3439">
        <f t="shared" si="136"/>
        <v>27736</v>
      </c>
      <c r="AN31" s="1948">
        <f t="shared" ref="AN31:AO34" si="147">AH31+AJ31</f>
        <v>14</v>
      </c>
      <c r="AO31" s="2066">
        <f t="shared" ref="AO31:AO32" si="148">AI31+AK31</f>
        <v>55194.2</v>
      </c>
      <c r="AP31" s="2013">
        <v>0</v>
      </c>
      <c r="AQ31" s="2014">
        <v>0</v>
      </c>
      <c r="AR31" s="1948">
        <f t="shared" si="137"/>
        <v>14</v>
      </c>
      <c r="AS31" s="2066">
        <f t="shared" si="138"/>
        <v>55194.2</v>
      </c>
      <c r="AT31" s="2013">
        <v>1</v>
      </c>
      <c r="AU31" s="2014">
        <v>4065</v>
      </c>
      <c r="AV31" s="1948">
        <f t="shared" si="139"/>
        <v>15</v>
      </c>
      <c r="AW31" s="2066">
        <f t="shared" si="140"/>
        <v>59259.199999999997</v>
      </c>
      <c r="AX31" s="2013">
        <v>2</v>
      </c>
      <c r="AY31" s="2014">
        <v>8157</v>
      </c>
      <c r="AZ31" s="3438">
        <f t="shared" si="141"/>
        <v>3</v>
      </c>
      <c r="BA31" s="5859">
        <f t="shared" si="142"/>
        <v>12222</v>
      </c>
      <c r="BB31" s="5813">
        <f t="shared" si="143"/>
        <v>10</v>
      </c>
      <c r="BC31" s="5814">
        <f t="shared" si="144"/>
        <v>39958</v>
      </c>
      <c r="BD31" s="1948">
        <f t="shared" si="145"/>
        <v>17</v>
      </c>
      <c r="BE31" s="2066">
        <f t="shared" si="146"/>
        <v>67416.2</v>
      </c>
      <c r="BF31" s="648"/>
      <c r="BG31" s="648"/>
      <c r="BH31" s="648"/>
      <c r="BI31" s="648"/>
    </row>
    <row r="32" spans="2:61" s="3421" customFormat="1" ht="21.95" customHeight="1" x14ac:dyDescent="0.25">
      <c r="B32" s="6278"/>
      <c r="C32" s="2172" t="s">
        <v>1294</v>
      </c>
      <c r="D32" s="1918"/>
      <c r="E32" s="1946"/>
      <c r="F32" s="1918"/>
      <c r="G32" s="1946"/>
      <c r="H32" s="1948"/>
      <c r="I32" s="1949"/>
      <c r="J32" s="1918"/>
      <c r="K32" s="3429"/>
      <c r="L32" s="3438"/>
      <c r="M32" s="3439"/>
      <c r="N32" s="1918"/>
      <c r="O32" s="1946"/>
      <c r="P32" s="2066"/>
      <c r="Q32" s="2066"/>
      <c r="R32" s="2013">
        <v>0.2</v>
      </c>
      <c r="S32" s="2014">
        <v>876</v>
      </c>
      <c r="T32" s="1948"/>
      <c r="U32" s="2066"/>
      <c r="V32" s="2017">
        <v>0.2</v>
      </c>
      <c r="W32" s="3449">
        <v>897</v>
      </c>
      <c r="X32" s="3438">
        <f t="shared" si="7"/>
        <v>0.4</v>
      </c>
      <c r="Y32" s="5859">
        <f t="shared" si="8"/>
        <v>1773</v>
      </c>
      <c r="Z32" s="5844">
        <f t="shared" si="9"/>
        <v>0.4</v>
      </c>
      <c r="AA32" s="5842">
        <f t="shared" si="10"/>
        <v>1773</v>
      </c>
      <c r="AB32" s="2013">
        <v>0</v>
      </c>
      <c r="AC32" s="2014">
        <v>0</v>
      </c>
      <c r="AD32" s="1948">
        <f t="shared" ref="AD32" si="149">Z32+AB32</f>
        <v>0.4</v>
      </c>
      <c r="AE32" s="2066">
        <f t="shared" ref="AE32" si="150">AA32+AC32</f>
        <v>1773</v>
      </c>
      <c r="AF32" s="2013">
        <v>0</v>
      </c>
      <c r="AG32" s="2014">
        <v>0</v>
      </c>
      <c r="AH32" s="1948">
        <f t="shared" si="133"/>
        <v>0.4</v>
      </c>
      <c r="AI32" s="2066">
        <f t="shared" si="134"/>
        <v>1773</v>
      </c>
      <c r="AJ32" s="2013">
        <v>0</v>
      </c>
      <c r="AK32" s="2014">
        <v>0</v>
      </c>
      <c r="AL32" s="3438">
        <f t="shared" si="135"/>
        <v>0</v>
      </c>
      <c r="AM32" s="3439">
        <f t="shared" si="136"/>
        <v>0</v>
      </c>
      <c r="AN32" s="1948">
        <f t="shared" si="147"/>
        <v>0.4</v>
      </c>
      <c r="AO32" s="2066">
        <f t="shared" si="148"/>
        <v>1773</v>
      </c>
      <c r="AP32" s="2013">
        <v>0</v>
      </c>
      <c r="AQ32" s="2014">
        <v>0</v>
      </c>
      <c r="AR32" s="1948">
        <f t="shared" si="137"/>
        <v>0.4</v>
      </c>
      <c r="AS32" s="2066">
        <f t="shared" si="138"/>
        <v>1773</v>
      </c>
      <c r="AT32" s="2013">
        <v>0</v>
      </c>
      <c r="AU32" s="2014"/>
      <c r="AV32" s="1948">
        <f t="shared" si="139"/>
        <v>0.4</v>
      </c>
      <c r="AW32" s="2066">
        <f t="shared" si="140"/>
        <v>1773</v>
      </c>
      <c r="AX32" s="2013">
        <v>0</v>
      </c>
      <c r="AY32" s="2014">
        <v>0</v>
      </c>
      <c r="AZ32" s="3438">
        <f t="shared" si="141"/>
        <v>0</v>
      </c>
      <c r="BA32" s="5859">
        <f t="shared" si="142"/>
        <v>0</v>
      </c>
      <c r="BB32" s="5813">
        <f t="shared" si="143"/>
        <v>0</v>
      </c>
      <c r="BC32" s="5814">
        <f t="shared" si="144"/>
        <v>0</v>
      </c>
      <c r="BD32" s="1948">
        <f t="shared" si="145"/>
        <v>0.4</v>
      </c>
      <c r="BE32" s="2066">
        <f t="shared" si="146"/>
        <v>1773</v>
      </c>
      <c r="BF32" s="648"/>
      <c r="BG32" s="648"/>
      <c r="BH32" s="648"/>
      <c r="BI32" s="648"/>
    </row>
    <row r="33" spans="2:61" ht="21.95" customHeight="1" thickBot="1" x14ac:dyDescent="0.3">
      <c r="B33" s="6279"/>
      <c r="C33" s="1914" t="s">
        <v>2</v>
      </c>
      <c r="D33" s="3641">
        <f>SUM(D30:D32)</f>
        <v>3</v>
      </c>
      <c r="E33" s="3641">
        <f t="shared" ref="E33:AA33" si="151">SUM(E30:E32)</f>
        <v>11924</v>
      </c>
      <c r="F33" s="3641">
        <f t="shared" si="151"/>
        <v>1</v>
      </c>
      <c r="G33" s="3641">
        <f t="shared" si="151"/>
        <v>3885</v>
      </c>
      <c r="H33" s="3641">
        <f t="shared" si="151"/>
        <v>4</v>
      </c>
      <c r="I33" s="3641">
        <f t="shared" si="151"/>
        <v>15809</v>
      </c>
      <c r="J33" s="3641">
        <f t="shared" si="151"/>
        <v>4</v>
      </c>
      <c r="K33" s="3641">
        <f t="shared" si="151"/>
        <v>15023</v>
      </c>
      <c r="L33" s="5857">
        <f t="shared" si="151"/>
        <v>8</v>
      </c>
      <c r="M33" s="5857">
        <f t="shared" si="151"/>
        <v>30832</v>
      </c>
      <c r="N33" s="3641">
        <f t="shared" si="151"/>
        <v>6</v>
      </c>
      <c r="O33" s="3641">
        <f t="shared" si="151"/>
        <v>23181.9</v>
      </c>
      <c r="P33" s="3641">
        <f t="shared" si="151"/>
        <v>14</v>
      </c>
      <c r="Q33" s="3641">
        <f t="shared" si="151"/>
        <v>54013.899999999994</v>
      </c>
      <c r="R33" s="3641">
        <f t="shared" si="151"/>
        <v>5.2</v>
      </c>
      <c r="S33" s="3641">
        <f t="shared" si="151"/>
        <v>20462</v>
      </c>
      <c r="T33" s="3641">
        <f t="shared" si="151"/>
        <v>19</v>
      </c>
      <c r="U33" s="3641">
        <f t="shared" si="151"/>
        <v>73599.899999999994</v>
      </c>
      <c r="V33" s="3641">
        <f t="shared" si="151"/>
        <v>5.2</v>
      </c>
      <c r="W33" s="3641">
        <f t="shared" si="151"/>
        <v>20347</v>
      </c>
      <c r="X33" s="5857">
        <f t="shared" si="151"/>
        <v>16.399999999999999</v>
      </c>
      <c r="Y33" s="5862">
        <f t="shared" si="151"/>
        <v>63990.899999999994</v>
      </c>
      <c r="Z33" s="5843">
        <f t="shared" si="151"/>
        <v>24.4</v>
      </c>
      <c r="AA33" s="5843">
        <f t="shared" si="151"/>
        <v>94822.9</v>
      </c>
      <c r="AB33" s="3641">
        <f t="shared" ref="AB33:AE33" si="152">SUM(AB30:AB32)</f>
        <v>4</v>
      </c>
      <c r="AC33" s="3641">
        <f t="shared" si="152"/>
        <v>15301</v>
      </c>
      <c r="AD33" s="3641">
        <f t="shared" si="152"/>
        <v>28.4</v>
      </c>
      <c r="AE33" s="3641">
        <f t="shared" si="152"/>
        <v>110123.9</v>
      </c>
      <c r="AF33" s="3641">
        <f t="shared" ref="AF33:AI33" si="153">SUM(AF30:AF32)</f>
        <v>4</v>
      </c>
      <c r="AG33" s="3641">
        <f t="shared" si="153"/>
        <v>15842</v>
      </c>
      <c r="AH33" s="3641">
        <f t="shared" si="153"/>
        <v>32.4</v>
      </c>
      <c r="AI33" s="3641">
        <f t="shared" si="153"/>
        <v>125965.9</v>
      </c>
      <c r="AJ33" s="3641">
        <f t="shared" ref="AJ33:AS33" si="154">SUM(AJ30:AJ32)</f>
        <v>5</v>
      </c>
      <c r="AK33" s="3641">
        <f t="shared" si="154"/>
        <v>19370</v>
      </c>
      <c r="AL33" s="3641">
        <f t="shared" si="154"/>
        <v>13</v>
      </c>
      <c r="AM33" s="3641">
        <f t="shared" si="154"/>
        <v>50513</v>
      </c>
      <c r="AN33" s="3641">
        <f t="shared" si="154"/>
        <v>37.4</v>
      </c>
      <c r="AO33" s="3641">
        <f t="shared" si="154"/>
        <v>145335.9</v>
      </c>
      <c r="AP33" s="3641">
        <f t="shared" si="154"/>
        <v>2</v>
      </c>
      <c r="AQ33" s="3641">
        <f t="shared" si="154"/>
        <v>7916</v>
      </c>
      <c r="AR33" s="3641">
        <f t="shared" si="154"/>
        <v>39.4</v>
      </c>
      <c r="AS33" s="3641">
        <f t="shared" si="154"/>
        <v>153251.9</v>
      </c>
      <c r="AT33" s="3641">
        <f t="shared" ref="AT33:AW33" si="155">SUM(AT30:AT32)</f>
        <v>4</v>
      </c>
      <c r="AU33" s="3641">
        <f t="shared" si="155"/>
        <v>15764</v>
      </c>
      <c r="AV33" s="3641">
        <f t="shared" si="155"/>
        <v>43.4</v>
      </c>
      <c r="AW33" s="3641">
        <f t="shared" si="155"/>
        <v>169015.9</v>
      </c>
      <c r="AX33" s="3641">
        <f t="shared" ref="AX33:BE33" si="156">SUM(AX30:AX32)</f>
        <v>7</v>
      </c>
      <c r="AY33" s="3641">
        <f t="shared" si="156"/>
        <v>27145</v>
      </c>
      <c r="AZ33" s="3641">
        <f t="shared" si="156"/>
        <v>13</v>
      </c>
      <c r="BA33" s="5884">
        <f t="shared" si="156"/>
        <v>50825</v>
      </c>
      <c r="BB33" s="5804">
        <f t="shared" si="156"/>
        <v>26</v>
      </c>
      <c r="BC33" s="5804">
        <f t="shared" si="156"/>
        <v>101338</v>
      </c>
      <c r="BD33" s="3641">
        <f t="shared" si="156"/>
        <v>50.4</v>
      </c>
      <c r="BE33" s="3641">
        <f t="shared" si="156"/>
        <v>196160.9</v>
      </c>
      <c r="BF33" s="648"/>
      <c r="BG33" s="648"/>
      <c r="BH33" s="648"/>
      <c r="BI33" s="648"/>
    </row>
    <row r="34" spans="2:61" ht="21.95" customHeight="1" thickBot="1" x14ac:dyDescent="0.3">
      <c r="B34" s="6261" t="s">
        <v>1296</v>
      </c>
      <c r="C34" s="1912" t="s">
        <v>1297</v>
      </c>
      <c r="D34" s="1931">
        <v>12.6</v>
      </c>
      <c r="E34" s="1941">
        <v>48829</v>
      </c>
      <c r="F34" s="1931">
        <v>15</v>
      </c>
      <c r="G34" s="1941">
        <v>57343</v>
      </c>
      <c r="H34" s="1948">
        <f t="shared" si="0"/>
        <v>27.6</v>
      </c>
      <c r="I34" s="1949">
        <f t="shared" si="1"/>
        <v>106172</v>
      </c>
      <c r="J34" s="1931">
        <v>7</v>
      </c>
      <c r="K34" s="3426">
        <v>26648</v>
      </c>
      <c r="L34" s="3438">
        <f t="shared" si="2"/>
        <v>34.6</v>
      </c>
      <c r="M34" s="3439">
        <f t="shared" si="3"/>
        <v>132820</v>
      </c>
      <c r="N34" s="1931">
        <v>14.180221210149643</v>
      </c>
      <c r="O34" s="1941">
        <v>53780.406791408401</v>
      </c>
      <c r="P34" s="2066">
        <f t="shared" si="4"/>
        <v>48.780221210149648</v>
      </c>
      <c r="Q34" s="2066">
        <f t="shared" si="5"/>
        <v>186600.4067914084</v>
      </c>
      <c r="R34" s="2011">
        <v>11.1</v>
      </c>
      <c r="S34" s="2012">
        <v>41920</v>
      </c>
      <c r="T34" s="1948">
        <f t="shared" si="6"/>
        <v>59.880221210149649</v>
      </c>
      <c r="U34" s="2066">
        <f t="shared" si="6"/>
        <v>228520.4067914084</v>
      </c>
      <c r="V34" s="2011">
        <v>9.5</v>
      </c>
      <c r="W34" s="3661">
        <v>37115</v>
      </c>
      <c r="X34" s="3438">
        <f t="shared" si="7"/>
        <v>34.780221210149641</v>
      </c>
      <c r="Y34" s="5859">
        <f t="shared" si="8"/>
        <v>132815.4067914084</v>
      </c>
      <c r="Z34" s="5844">
        <f t="shared" si="9"/>
        <v>69.380221210149642</v>
      </c>
      <c r="AA34" s="5842">
        <f t="shared" si="10"/>
        <v>265635.40679140843</v>
      </c>
      <c r="AB34" s="2011">
        <v>9.1</v>
      </c>
      <c r="AC34" s="2012">
        <v>34940</v>
      </c>
      <c r="AD34" s="1948">
        <f t="shared" ref="AD34:AD42" si="157">Z34+AB34</f>
        <v>78.480221210149637</v>
      </c>
      <c r="AE34" s="2066">
        <f t="shared" ref="AE34:AE42" si="158">AA34+AC34</f>
        <v>300575.40679140843</v>
      </c>
      <c r="AF34" s="2011">
        <v>9.5</v>
      </c>
      <c r="AG34" s="2012">
        <v>36295</v>
      </c>
      <c r="AH34" s="1948">
        <f t="shared" ref="AH34:AH42" si="159">AD34+AF34</f>
        <v>87.980221210149637</v>
      </c>
      <c r="AI34" s="2066">
        <f t="shared" ref="AI34:AI42" si="160">AE34+AG34</f>
        <v>336870.40679140843</v>
      </c>
      <c r="AJ34" s="2011">
        <v>14.3</v>
      </c>
      <c r="AK34" s="2012">
        <v>54669</v>
      </c>
      <c r="AL34" s="3438">
        <f t="shared" ref="AL34:AL42" si="161">+AB34+AF34+AJ34</f>
        <v>32.900000000000006</v>
      </c>
      <c r="AM34" s="3439">
        <f t="shared" ref="AM34:AM42" si="162">+AC34+AG34+AK34</f>
        <v>125904</v>
      </c>
      <c r="AN34" s="1948">
        <f t="shared" si="147"/>
        <v>102.28022121014963</v>
      </c>
      <c r="AO34" s="2066">
        <f t="shared" si="147"/>
        <v>391539.40679140843</v>
      </c>
      <c r="AP34" s="2011">
        <v>14.4</v>
      </c>
      <c r="AQ34" s="2012">
        <v>55353</v>
      </c>
      <c r="AR34" s="1948">
        <f t="shared" ref="AR34:AR42" si="163">AN34+AP34</f>
        <v>116.68022121014964</v>
      </c>
      <c r="AS34" s="2066">
        <f t="shared" ref="AS34:AS42" si="164">AO34+AQ34</f>
        <v>446892.40679140843</v>
      </c>
      <c r="AT34" s="2011">
        <v>13.2</v>
      </c>
      <c r="AU34" s="2012">
        <v>50729</v>
      </c>
      <c r="AV34" s="1948">
        <f t="shared" ref="AV34:AV42" si="165">AR34+AT34</f>
        <v>129.88022121014964</v>
      </c>
      <c r="AW34" s="2066">
        <f t="shared" ref="AW34:AW42" si="166">AS34+AU34</f>
        <v>497621.40679140843</v>
      </c>
      <c r="AX34" s="2011">
        <v>15.3</v>
      </c>
      <c r="AY34" s="2012">
        <v>57670</v>
      </c>
      <c r="AZ34" s="3438">
        <f t="shared" ref="AZ34:AZ42" si="167">+AP34+AT34+AX34</f>
        <v>42.900000000000006</v>
      </c>
      <c r="BA34" s="5859">
        <f t="shared" ref="BA34:BA42" si="168">+AQ34+AU34+AY34</f>
        <v>163752</v>
      </c>
      <c r="BB34" s="5813">
        <f t="shared" ref="BB34:BB42" si="169">AL34+AZ34</f>
        <v>75.800000000000011</v>
      </c>
      <c r="BC34" s="5814">
        <f t="shared" ref="BC34:BC42" si="170">AM34+BA34</f>
        <v>289656</v>
      </c>
      <c r="BD34" s="1948">
        <f t="shared" ref="BD34:BD42" si="171">AV34+AX34</f>
        <v>145.18022121014965</v>
      </c>
      <c r="BE34" s="2066">
        <f t="shared" ref="BE34:BE42" si="172">AW34+AY34</f>
        <v>555291.40679140843</v>
      </c>
      <c r="BF34" s="648"/>
      <c r="BG34" s="648"/>
      <c r="BH34" s="648"/>
      <c r="BI34" s="648"/>
    </row>
    <row r="35" spans="2:61" ht="21.95" customHeight="1" thickBot="1" x14ac:dyDescent="0.3">
      <c r="B35" s="6262"/>
      <c r="C35" s="1913" t="s">
        <v>1298</v>
      </c>
      <c r="D35" s="1916">
        <v>2</v>
      </c>
      <c r="E35" s="1932">
        <v>7315</v>
      </c>
      <c r="F35" s="1916">
        <v>4</v>
      </c>
      <c r="G35" s="1932">
        <v>14844</v>
      </c>
      <c r="H35" s="1948">
        <f t="shared" si="0"/>
        <v>6</v>
      </c>
      <c r="I35" s="1949">
        <f t="shared" si="1"/>
        <v>22159</v>
      </c>
      <c r="J35" s="1916">
        <v>2</v>
      </c>
      <c r="K35" s="3427">
        <v>7654</v>
      </c>
      <c r="L35" s="3438">
        <f t="shared" si="2"/>
        <v>8</v>
      </c>
      <c r="M35" s="3439">
        <f t="shared" si="3"/>
        <v>29813</v>
      </c>
      <c r="N35" s="1916">
        <v>2</v>
      </c>
      <c r="O35" s="1932">
        <v>7851.1999999999989</v>
      </c>
      <c r="P35" s="2066">
        <f t="shared" si="4"/>
        <v>10</v>
      </c>
      <c r="Q35" s="2066">
        <f t="shared" si="5"/>
        <v>37664.199999999997</v>
      </c>
      <c r="R35" s="2013">
        <v>1.5</v>
      </c>
      <c r="S35" s="2014">
        <v>5596</v>
      </c>
      <c r="T35" s="1948">
        <f t="shared" si="6"/>
        <v>11.5</v>
      </c>
      <c r="U35" s="2066">
        <f t="shared" si="6"/>
        <v>43260.2</v>
      </c>
      <c r="V35" s="2013">
        <v>4</v>
      </c>
      <c r="W35" s="3662">
        <v>14880</v>
      </c>
      <c r="X35" s="3438">
        <f t="shared" si="7"/>
        <v>7.5</v>
      </c>
      <c r="Y35" s="5859">
        <f t="shared" si="8"/>
        <v>28327.199999999997</v>
      </c>
      <c r="Z35" s="5844">
        <f t="shared" si="9"/>
        <v>15.5</v>
      </c>
      <c r="AA35" s="5842">
        <f t="shared" si="10"/>
        <v>58140.2</v>
      </c>
      <c r="AB35" s="2013">
        <v>2</v>
      </c>
      <c r="AC35" s="2014">
        <v>7262</v>
      </c>
      <c r="AD35" s="1948">
        <f t="shared" si="157"/>
        <v>17.5</v>
      </c>
      <c r="AE35" s="2066">
        <f t="shared" si="158"/>
        <v>65402.2</v>
      </c>
      <c r="AF35" s="2013">
        <v>4</v>
      </c>
      <c r="AG35" s="2014">
        <v>15287</v>
      </c>
      <c r="AH35" s="1948">
        <f t="shared" si="159"/>
        <v>21.5</v>
      </c>
      <c r="AI35" s="2066">
        <f t="shared" si="160"/>
        <v>80689.2</v>
      </c>
      <c r="AJ35" s="2013">
        <v>3.5</v>
      </c>
      <c r="AK35" s="2014">
        <v>13121</v>
      </c>
      <c r="AL35" s="3438">
        <f t="shared" si="161"/>
        <v>9.5</v>
      </c>
      <c r="AM35" s="3439">
        <f t="shared" si="162"/>
        <v>35670</v>
      </c>
      <c r="AN35" s="1948">
        <f t="shared" ref="AN35:AO44" si="173">AH35+AJ35</f>
        <v>25</v>
      </c>
      <c r="AO35" s="2066">
        <f t="shared" ref="AO35:AO42" si="174">AI35+AK35</f>
        <v>93810.2</v>
      </c>
      <c r="AP35" s="2013">
        <v>3.9</v>
      </c>
      <c r="AQ35" s="2014">
        <v>15536</v>
      </c>
      <c r="AR35" s="1948">
        <f t="shared" si="163"/>
        <v>28.9</v>
      </c>
      <c r="AS35" s="2066">
        <f t="shared" si="164"/>
        <v>109346.2</v>
      </c>
      <c r="AT35" s="2013">
        <v>2</v>
      </c>
      <c r="AU35" s="2014">
        <v>7807</v>
      </c>
      <c r="AV35" s="1948">
        <f t="shared" si="165"/>
        <v>30.9</v>
      </c>
      <c r="AW35" s="2066">
        <f t="shared" si="166"/>
        <v>117153.2</v>
      </c>
      <c r="AX35" s="2013">
        <v>2</v>
      </c>
      <c r="AY35" s="2014">
        <v>7699</v>
      </c>
      <c r="AZ35" s="3438">
        <f t="shared" si="167"/>
        <v>7.9</v>
      </c>
      <c r="BA35" s="5859">
        <f t="shared" si="168"/>
        <v>31042</v>
      </c>
      <c r="BB35" s="5813">
        <f t="shared" si="169"/>
        <v>17.399999999999999</v>
      </c>
      <c r="BC35" s="5814">
        <f t="shared" si="170"/>
        <v>66712</v>
      </c>
      <c r="BD35" s="1948">
        <f t="shared" si="171"/>
        <v>32.9</v>
      </c>
      <c r="BE35" s="2066">
        <f t="shared" si="172"/>
        <v>124852.2</v>
      </c>
      <c r="BF35" s="648"/>
      <c r="BG35" s="648"/>
      <c r="BH35" s="648"/>
      <c r="BI35" s="648"/>
    </row>
    <row r="36" spans="2:61" s="1721" customFormat="1" ht="21.95" customHeight="1" thickBot="1" x14ac:dyDescent="0.3">
      <c r="B36" s="6262"/>
      <c r="C36" s="1913" t="s">
        <v>1299</v>
      </c>
      <c r="D36" s="1916">
        <v>0</v>
      </c>
      <c r="E36" s="1932">
        <v>0</v>
      </c>
      <c r="F36" s="1916">
        <v>0</v>
      </c>
      <c r="G36" s="1932">
        <v>0</v>
      </c>
      <c r="H36" s="1948" t="s">
        <v>34</v>
      </c>
      <c r="I36" s="1949" t="s">
        <v>34</v>
      </c>
      <c r="J36" s="1916">
        <v>0</v>
      </c>
      <c r="K36" s="3427">
        <v>0</v>
      </c>
      <c r="L36" s="3438">
        <f t="shared" si="2"/>
        <v>0</v>
      </c>
      <c r="M36" s="3439">
        <f t="shared" si="3"/>
        <v>0</v>
      </c>
      <c r="N36" s="1916">
        <v>1</v>
      </c>
      <c r="O36" s="1932">
        <v>3616.9999999999995</v>
      </c>
      <c r="P36" s="2066">
        <f t="shared" si="4"/>
        <v>1</v>
      </c>
      <c r="Q36" s="2066">
        <f t="shared" si="5"/>
        <v>3616.9999999999995</v>
      </c>
      <c r="R36" s="2013">
        <v>4</v>
      </c>
      <c r="S36" s="2014">
        <v>14536</v>
      </c>
      <c r="T36" s="1948">
        <f t="shared" si="6"/>
        <v>5</v>
      </c>
      <c r="U36" s="2066">
        <f t="shared" si="6"/>
        <v>18153</v>
      </c>
      <c r="V36" s="2013">
        <v>4</v>
      </c>
      <c r="W36" s="3662">
        <v>14737</v>
      </c>
      <c r="X36" s="3438">
        <f t="shared" si="7"/>
        <v>9</v>
      </c>
      <c r="Y36" s="5859">
        <f t="shared" si="8"/>
        <v>32890</v>
      </c>
      <c r="Z36" s="5844">
        <f t="shared" si="9"/>
        <v>9</v>
      </c>
      <c r="AA36" s="5842">
        <f t="shared" si="10"/>
        <v>32890</v>
      </c>
      <c r="AB36" s="2013">
        <v>4.0999999999999996</v>
      </c>
      <c r="AC36" s="2014">
        <v>15515</v>
      </c>
      <c r="AD36" s="1948">
        <f t="shared" si="157"/>
        <v>13.1</v>
      </c>
      <c r="AE36" s="2066">
        <f t="shared" si="158"/>
        <v>48405</v>
      </c>
      <c r="AF36" s="2013">
        <v>0</v>
      </c>
      <c r="AG36" s="2014">
        <v>0</v>
      </c>
      <c r="AH36" s="1948">
        <f t="shared" si="159"/>
        <v>13.1</v>
      </c>
      <c r="AI36" s="2066">
        <f t="shared" si="160"/>
        <v>48405</v>
      </c>
      <c r="AJ36" s="2013">
        <v>0</v>
      </c>
      <c r="AK36" s="2014">
        <v>0</v>
      </c>
      <c r="AL36" s="3438">
        <f t="shared" si="161"/>
        <v>4.0999999999999996</v>
      </c>
      <c r="AM36" s="3439">
        <f t="shared" si="162"/>
        <v>15515</v>
      </c>
      <c r="AN36" s="1948">
        <f t="shared" si="173"/>
        <v>13.1</v>
      </c>
      <c r="AO36" s="2066">
        <f t="shared" si="174"/>
        <v>48405</v>
      </c>
      <c r="AP36" s="2013">
        <v>0</v>
      </c>
      <c r="AQ36" s="2014">
        <v>0</v>
      </c>
      <c r="AR36" s="1948">
        <f t="shared" si="163"/>
        <v>13.1</v>
      </c>
      <c r="AS36" s="2066">
        <f t="shared" si="164"/>
        <v>48405</v>
      </c>
      <c r="AT36" s="2013">
        <v>0</v>
      </c>
      <c r="AU36" s="2014"/>
      <c r="AV36" s="1948">
        <f t="shared" si="165"/>
        <v>13.1</v>
      </c>
      <c r="AW36" s="2066">
        <f t="shared" si="166"/>
        <v>48405</v>
      </c>
      <c r="AX36" s="2013">
        <v>0</v>
      </c>
      <c r="AY36" s="2014">
        <v>0</v>
      </c>
      <c r="AZ36" s="3438">
        <f t="shared" si="167"/>
        <v>0</v>
      </c>
      <c r="BA36" s="5859">
        <f t="shared" si="168"/>
        <v>0</v>
      </c>
      <c r="BB36" s="5813">
        <f t="shared" si="169"/>
        <v>4.0999999999999996</v>
      </c>
      <c r="BC36" s="5814">
        <f t="shared" si="170"/>
        <v>15515</v>
      </c>
      <c r="BD36" s="1948">
        <f t="shared" si="171"/>
        <v>13.1</v>
      </c>
      <c r="BE36" s="2066">
        <f t="shared" si="172"/>
        <v>48405</v>
      </c>
      <c r="BF36" s="648"/>
      <c r="BG36" s="648"/>
      <c r="BH36" s="648"/>
      <c r="BI36" s="648"/>
    </row>
    <row r="37" spans="2:61" s="1721" customFormat="1" ht="21.95" customHeight="1" thickBot="1" x14ac:dyDescent="0.3">
      <c r="B37" s="6262"/>
      <c r="C37" s="2172" t="s">
        <v>1355</v>
      </c>
      <c r="D37" s="1916">
        <v>2</v>
      </c>
      <c r="E37" s="1932">
        <v>7495</v>
      </c>
      <c r="F37" s="1916">
        <v>1</v>
      </c>
      <c r="G37" s="1932">
        <v>3838</v>
      </c>
      <c r="H37" s="1948">
        <f t="shared" si="0"/>
        <v>3</v>
      </c>
      <c r="I37" s="1949">
        <f t="shared" si="1"/>
        <v>11333</v>
      </c>
      <c r="J37" s="1916">
        <v>1</v>
      </c>
      <c r="K37" s="3427">
        <v>3598</v>
      </c>
      <c r="L37" s="3438">
        <f t="shared" si="2"/>
        <v>4</v>
      </c>
      <c r="M37" s="3439">
        <f t="shared" si="3"/>
        <v>14931</v>
      </c>
      <c r="N37" s="1916">
        <v>0</v>
      </c>
      <c r="O37" s="1932">
        <v>0</v>
      </c>
      <c r="P37" s="2066">
        <f t="shared" ref="P37:P39" si="175">L37+N37</f>
        <v>4</v>
      </c>
      <c r="Q37" s="2066">
        <f t="shared" si="5"/>
        <v>14931</v>
      </c>
      <c r="R37" s="2013">
        <v>0</v>
      </c>
      <c r="S37" s="2014">
        <v>0</v>
      </c>
      <c r="T37" s="1948">
        <f t="shared" si="6"/>
        <v>4</v>
      </c>
      <c r="U37" s="2066">
        <f t="shared" si="6"/>
        <v>14931</v>
      </c>
      <c r="V37" s="2013">
        <v>0</v>
      </c>
      <c r="W37" s="3662">
        <v>0</v>
      </c>
      <c r="X37" s="3438">
        <f t="shared" si="7"/>
        <v>0</v>
      </c>
      <c r="Y37" s="5859">
        <f t="shared" si="8"/>
        <v>0</v>
      </c>
      <c r="Z37" s="5844">
        <f t="shared" si="9"/>
        <v>4</v>
      </c>
      <c r="AA37" s="5842">
        <f t="shared" si="10"/>
        <v>14931</v>
      </c>
      <c r="AB37" s="2013">
        <v>0</v>
      </c>
      <c r="AC37" s="2014">
        <v>0</v>
      </c>
      <c r="AD37" s="1948">
        <f t="shared" si="157"/>
        <v>4</v>
      </c>
      <c r="AE37" s="2066">
        <f t="shared" si="158"/>
        <v>14931</v>
      </c>
      <c r="AF37" s="2013">
        <v>3</v>
      </c>
      <c r="AG37" s="2014">
        <v>10562</v>
      </c>
      <c r="AH37" s="1948">
        <f t="shared" si="159"/>
        <v>7</v>
      </c>
      <c r="AI37" s="2066">
        <f t="shared" si="160"/>
        <v>25493</v>
      </c>
      <c r="AJ37" s="2013">
        <v>0</v>
      </c>
      <c r="AK37" s="2014">
        <v>0</v>
      </c>
      <c r="AL37" s="3438">
        <f t="shared" si="161"/>
        <v>3</v>
      </c>
      <c r="AM37" s="3439">
        <f t="shared" si="162"/>
        <v>10562</v>
      </c>
      <c r="AN37" s="1948">
        <f t="shared" si="173"/>
        <v>7</v>
      </c>
      <c r="AO37" s="2066">
        <f t="shared" si="174"/>
        <v>25493</v>
      </c>
      <c r="AP37" s="2013">
        <v>0.2</v>
      </c>
      <c r="AQ37" s="2014">
        <v>900</v>
      </c>
      <c r="AR37" s="1948">
        <f t="shared" si="163"/>
        <v>7.2</v>
      </c>
      <c r="AS37" s="2066">
        <f t="shared" si="164"/>
        <v>26393</v>
      </c>
      <c r="AT37" s="2013">
        <v>0</v>
      </c>
      <c r="AU37" s="2014"/>
      <c r="AV37" s="1948">
        <f t="shared" si="165"/>
        <v>7.2</v>
      </c>
      <c r="AW37" s="2066">
        <f t="shared" si="166"/>
        <v>26393</v>
      </c>
      <c r="AX37" s="2013">
        <v>0</v>
      </c>
      <c r="AY37" s="2014">
        <v>0</v>
      </c>
      <c r="AZ37" s="3438">
        <f t="shared" si="167"/>
        <v>0.2</v>
      </c>
      <c r="BA37" s="5859">
        <f t="shared" si="168"/>
        <v>900</v>
      </c>
      <c r="BB37" s="5813">
        <f t="shared" si="169"/>
        <v>3.2</v>
      </c>
      <c r="BC37" s="5814">
        <f t="shared" si="170"/>
        <v>11462</v>
      </c>
      <c r="BD37" s="1948">
        <f t="shared" si="171"/>
        <v>7.2</v>
      </c>
      <c r="BE37" s="2066">
        <f t="shared" si="172"/>
        <v>26393</v>
      </c>
      <c r="BF37" s="648"/>
      <c r="BG37" s="648"/>
      <c r="BH37" s="648"/>
      <c r="BI37" s="648"/>
    </row>
    <row r="38" spans="2:61" s="1721" customFormat="1" ht="21.95" customHeight="1" thickBot="1" x14ac:dyDescent="0.3">
      <c r="B38" s="6262"/>
      <c r="C38" s="2172" t="s">
        <v>1300</v>
      </c>
      <c r="D38" s="1916">
        <v>4</v>
      </c>
      <c r="E38" s="1932">
        <v>15088</v>
      </c>
      <c r="F38" s="1916">
        <v>2</v>
      </c>
      <c r="G38" s="1932">
        <v>7383</v>
      </c>
      <c r="H38" s="1948">
        <f t="shared" si="0"/>
        <v>6</v>
      </c>
      <c r="I38" s="1949">
        <f t="shared" si="1"/>
        <v>22471</v>
      </c>
      <c r="J38" s="1916">
        <v>3</v>
      </c>
      <c r="K38" s="3427">
        <v>11360</v>
      </c>
      <c r="L38" s="3438">
        <f t="shared" si="2"/>
        <v>9</v>
      </c>
      <c r="M38" s="3439">
        <f t="shared" si="3"/>
        <v>33831</v>
      </c>
      <c r="N38" s="1916">
        <v>3.4827586206896552</v>
      </c>
      <c r="O38" s="1932">
        <v>13220.662068965517</v>
      </c>
      <c r="P38" s="2066">
        <f t="shared" si="175"/>
        <v>12.482758620689655</v>
      </c>
      <c r="Q38" s="2066">
        <f t="shared" si="5"/>
        <v>47051.662068965517</v>
      </c>
      <c r="R38" s="2013">
        <v>2.2999999999999998</v>
      </c>
      <c r="S38" s="2014">
        <v>8694</v>
      </c>
      <c r="T38" s="1948">
        <f t="shared" si="6"/>
        <v>14.782758620689656</v>
      </c>
      <c r="U38" s="2066">
        <f t="shared" si="6"/>
        <v>55745.662068965517</v>
      </c>
      <c r="V38" s="2013">
        <v>1</v>
      </c>
      <c r="W38" s="3662">
        <v>4022</v>
      </c>
      <c r="X38" s="3438">
        <f t="shared" si="7"/>
        <v>6.7827586206896555</v>
      </c>
      <c r="Y38" s="5859">
        <f t="shared" si="8"/>
        <v>25936.662068965517</v>
      </c>
      <c r="Z38" s="5844">
        <f t="shared" si="9"/>
        <v>15.782758620689656</v>
      </c>
      <c r="AA38" s="5842">
        <f t="shared" si="10"/>
        <v>59767.662068965517</v>
      </c>
      <c r="AB38" s="2013">
        <v>3.5</v>
      </c>
      <c r="AC38" s="2014">
        <v>13268</v>
      </c>
      <c r="AD38" s="1948">
        <f t="shared" si="157"/>
        <v>19.282758620689656</v>
      </c>
      <c r="AE38" s="2066">
        <f t="shared" si="158"/>
        <v>73035.662068965525</v>
      </c>
      <c r="AF38" s="2013">
        <v>2</v>
      </c>
      <c r="AG38" s="2014">
        <v>7420</v>
      </c>
      <c r="AH38" s="1948">
        <f t="shared" si="159"/>
        <v>21.282758620689656</v>
      </c>
      <c r="AI38" s="2066">
        <f t="shared" si="160"/>
        <v>80455.662068965525</v>
      </c>
      <c r="AJ38" s="2013">
        <v>3.2</v>
      </c>
      <c r="AK38" s="2014">
        <v>12143</v>
      </c>
      <c r="AL38" s="3438">
        <f t="shared" si="161"/>
        <v>8.6999999999999993</v>
      </c>
      <c r="AM38" s="3439">
        <f t="shared" si="162"/>
        <v>32831</v>
      </c>
      <c r="AN38" s="1948">
        <f t="shared" si="173"/>
        <v>24.482758620689655</v>
      </c>
      <c r="AO38" s="2066">
        <f t="shared" si="174"/>
        <v>92598.662068965525</v>
      </c>
      <c r="AP38" s="2013">
        <v>0</v>
      </c>
      <c r="AQ38" s="2014">
        <v>0</v>
      </c>
      <c r="AR38" s="1948">
        <f t="shared" si="163"/>
        <v>24.482758620689655</v>
      </c>
      <c r="AS38" s="2066">
        <f t="shared" si="164"/>
        <v>92598.662068965525</v>
      </c>
      <c r="AT38" s="2013">
        <v>2.7</v>
      </c>
      <c r="AU38" s="2014">
        <v>10341</v>
      </c>
      <c r="AV38" s="1948">
        <f t="shared" si="165"/>
        <v>27.182758620689654</v>
      </c>
      <c r="AW38" s="2066">
        <f t="shared" si="166"/>
        <v>102939.66206896552</v>
      </c>
      <c r="AX38" s="2013">
        <v>3</v>
      </c>
      <c r="AY38" s="2014">
        <v>11225</v>
      </c>
      <c r="AZ38" s="3438">
        <f t="shared" si="167"/>
        <v>5.7</v>
      </c>
      <c r="BA38" s="5859">
        <f t="shared" si="168"/>
        <v>21566</v>
      </c>
      <c r="BB38" s="5813">
        <f t="shared" si="169"/>
        <v>14.399999999999999</v>
      </c>
      <c r="BC38" s="5814">
        <f t="shared" si="170"/>
        <v>54397</v>
      </c>
      <c r="BD38" s="1948">
        <f t="shared" si="171"/>
        <v>30.182758620689654</v>
      </c>
      <c r="BE38" s="2066">
        <f t="shared" si="172"/>
        <v>114164.66206896552</v>
      </c>
      <c r="BF38" s="648"/>
      <c r="BG38" s="648"/>
      <c r="BH38" s="648"/>
      <c r="BI38" s="648"/>
    </row>
    <row r="39" spans="2:61" s="1721" customFormat="1" ht="21.95" customHeight="1" thickBot="1" x14ac:dyDescent="0.3">
      <c r="B39" s="6262"/>
      <c r="C39" s="2172" t="s">
        <v>1301</v>
      </c>
      <c r="D39" s="1916">
        <v>2.5</v>
      </c>
      <c r="E39" s="1932">
        <v>9581</v>
      </c>
      <c r="F39" s="1916">
        <v>7.5</v>
      </c>
      <c r="G39" s="1932">
        <v>28568</v>
      </c>
      <c r="H39" s="1948">
        <f t="shared" si="0"/>
        <v>10</v>
      </c>
      <c r="I39" s="1949">
        <f t="shared" si="1"/>
        <v>38149</v>
      </c>
      <c r="J39" s="1916">
        <v>3</v>
      </c>
      <c r="K39" s="3427">
        <v>11381</v>
      </c>
      <c r="L39" s="3438">
        <f t="shared" si="2"/>
        <v>13</v>
      </c>
      <c r="M39" s="3439">
        <f t="shared" si="3"/>
        <v>49530</v>
      </c>
      <c r="N39" s="1916">
        <v>4.3370201691607022</v>
      </c>
      <c r="O39" s="1932">
        <v>15992.695901106052</v>
      </c>
      <c r="P39" s="2066">
        <f t="shared" si="175"/>
        <v>17.337020169160702</v>
      </c>
      <c r="Q39" s="2066">
        <f t="shared" si="5"/>
        <v>65522.695901106053</v>
      </c>
      <c r="R39" s="2013">
        <v>3.1</v>
      </c>
      <c r="S39" s="2014">
        <v>11247</v>
      </c>
      <c r="T39" s="1948">
        <f t="shared" si="6"/>
        <v>20.437020169160704</v>
      </c>
      <c r="U39" s="2066">
        <f t="shared" si="6"/>
        <v>76769.695901106053</v>
      </c>
      <c r="V39" s="2013">
        <v>4.5</v>
      </c>
      <c r="W39" s="3662">
        <v>17937</v>
      </c>
      <c r="X39" s="3438">
        <f t="shared" si="7"/>
        <v>11.937020169160702</v>
      </c>
      <c r="Y39" s="5859">
        <f t="shared" si="8"/>
        <v>45176.695901106053</v>
      </c>
      <c r="Z39" s="5844">
        <f t="shared" si="9"/>
        <v>24.937020169160704</v>
      </c>
      <c r="AA39" s="5842">
        <f t="shared" si="10"/>
        <v>94706.695901106053</v>
      </c>
      <c r="AB39" s="2013">
        <v>6.4</v>
      </c>
      <c r="AC39" s="2014">
        <v>24541</v>
      </c>
      <c r="AD39" s="1948">
        <f t="shared" si="157"/>
        <v>31.337020169160702</v>
      </c>
      <c r="AE39" s="2066">
        <f t="shared" si="158"/>
        <v>119247.69590110605</v>
      </c>
      <c r="AF39" s="2013">
        <v>8</v>
      </c>
      <c r="AG39" s="2014">
        <v>30415</v>
      </c>
      <c r="AH39" s="1948">
        <f t="shared" si="159"/>
        <v>39.337020169160702</v>
      </c>
      <c r="AI39" s="2066">
        <f t="shared" si="160"/>
        <v>149662.69590110605</v>
      </c>
      <c r="AJ39" s="2013">
        <v>7.1</v>
      </c>
      <c r="AK39" s="2014">
        <v>27574</v>
      </c>
      <c r="AL39" s="3438">
        <f t="shared" si="161"/>
        <v>21.5</v>
      </c>
      <c r="AM39" s="3439">
        <f t="shared" si="162"/>
        <v>82530</v>
      </c>
      <c r="AN39" s="1948">
        <f t="shared" si="173"/>
        <v>46.437020169160704</v>
      </c>
      <c r="AO39" s="2066">
        <f t="shared" si="174"/>
        <v>177236.69590110605</v>
      </c>
      <c r="AP39" s="2013">
        <v>5.2</v>
      </c>
      <c r="AQ39" s="2014">
        <v>19861</v>
      </c>
      <c r="AR39" s="1948">
        <f t="shared" si="163"/>
        <v>51.637020169160706</v>
      </c>
      <c r="AS39" s="2066">
        <f t="shared" si="164"/>
        <v>197097.69590110605</v>
      </c>
      <c r="AT39" s="2013">
        <v>2</v>
      </c>
      <c r="AU39" s="2014">
        <v>7321</v>
      </c>
      <c r="AV39" s="1948">
        <f t="shared" si="165"/>
        <v>53.637020169160706</v>
      </c>
      <c r="AW39" s="2066">
        <f t="shared" si="166"/>
        <v>204418.69590110605</v>
      </c>
      <c r="AX39" s="2013">
        <v>4</v>
      </c>
      <c r="AY39" s="2014">
        <v>15565</v>
      </c>
      <c r="AZ39" s="3438">
        <f t="shared" si="167"/>
        <v>11.2</v>
      </c>
      <c r="BA39" s="5859">
        <f t="shared" si="168"/>
        <v>42747</v>
      </c>
      <c r="BB39" s="5813">
        <f t="shared" si="169"/>
        <v>32.700000000000003</v>
      </c>
      <c r="BC39" s="5814">
        <f t="shared" si="170"/>
        <v>125277</v>
      </c>
      <c r="BD39" s="1948">
        <f t="shared" si="171"/>
        <v>57.637020169160706</v>
      </c>
      <c r="BE39" s="2066">
        <f t="shared" si="172"/>
        <v>219983.69590110605</v>
      </c>
      <c r="BF39" s="648"/>
      <c r="BG39" s="648"/>
      <c r="BH39" s="648"/>
      <c r="BI39" s="648"/>
    </row>
    <row r="40" spans="2:61" s="1721" customFormat="1" ht="21.95" hidden="1" customHeight="1" thickBot="1" x14ac:dyDescent="0.3">
      <c r="B40" s="6262"/>
      <c r="C40" s="2172" t="s">
        <v>1302</v>
      </c>
      <c r="D40" s="1916">
        <v>0</v>
      </c>
      <c r="E40" s="1932">
        <v>0</v>
      </c>
      <c r="F40" s="1916">
        <v>0</v>
      </c>
      <c r="G40" s="1932">
        <v>0</v>
      </c>
      <c r="H40" s="1948" t="s">
        <v>34</v>
      </c>
      <c r="I40" s="1949" t="s">
        <v>34</v>
      </c>
      <c r="J40" s="1916">
        <v>0</v>
      </c>
      <c r="K40" s="3427">
        <v>0</v>
      </c>
      <c r="L40" s="3438">
        <f t="shared" si="2"/>
        <v>0</v>
      </c>
      <c r="M40" s="3439">
        <f t="shared" si="3"/>
        <v>0</v>
      </c>
      <c r="N40" s="1916"/>
      <c r="O40" s="1932"/>
      <c r="P40" s="2066">
        <f t="shared" ref="P40:P42" si="176">L40+N40</f>
        <v>0</v>
      </c>
      <c r="Q40" s="2066">
        <f t="shared" si="5"/>
        <v>0</v>
      </c>
      <c r="R40" s="2013">
        <v>0</v>
      </c>
      <c r="S40" s="2014">
        <v>0</v>
      </c>
      <c r="T40" s="1948">
        <f t="shared" si="6"/>
        <v>0</v>
      </c>
      <c r="U40" s="2066">
        <f t="shared" si="6"/>
        <v>0</v>
      </c>
      <c r="V40" s="2013">
        <v>0</v>
      </c>
      <c r="W40" s="3662">
        <v>0</v>
      </c>
      <c r="X40" s="3438">
        <f t="shared" si="7"/>
        <v>0</v>
      </c>
      <c r="Y40" s="5859">
        <f t="shared" si="8"/>
        <v>0</v>
      </c>
      <c r="Z40" s="5844">
        <f t="shared" si="9"/>
        <v>0</v>
      </c>
      <c r="AA40" s="5842">
        <f t="shared" si="10"/>
        <v>0</v>
      </c>
      <c r="AB40" s="2013">
        <v>0</v>
      </c>
      <c r="AC40" s="2014">
        <v>0</v>
      </c>
      <c r="AD40" s="1948">
        <f t="shared" si="157"/>
        <v>0</v>
      </c>
      <c r="AE40" s="2066">
        <f t="shared" si="158"/>
        <v>0</v>
      </c>
      <c r="AF40" s="2013">
        <v>0</v>
      </c>
      <c r="AG40" s="2014">
        <v>0</v>
      </c>
      <c r="AH40" s="1948">
        <f t="shared" si="159"/>
        <v>0</v>
      </c>
      <c r="AI40" s="2066">
        <f t="shared" si="160"/>
        <v>0</v>
      </c>
      <c r="AJ40" s="2013">
        <v>0</v>
      </c>
      <c r="AK40" s="2014">
        <v>0</v>
      </c>
      <c r="AL40" s="3438">
        <f t="shared" si="161"/>
        <v>0</v>
      </c>
      <c r="AM40" s="3439">
        <f t="shared" si="162"/>
        <v>0</v>
      </c>
      <c r="AN40" s="1948">
        <f t="shared" si="173"/>
        <v>0</v>
      </c>
      <c r="AO40" s="2066">
        <f t="shared" si="174"/>
        <v>0</v>
      </c>
      <c r="AP40" s="2013">
        <v>0</v>
      </c>
      <c r="AQ40" s="2014">
        <v>0</v>
      </c>
      <c r="AR40" s="1948">
        <f t="shared" si="163"/>
        <v>0</v>
      </c>
      <c r="AS40" s="2066">
        <f t="shared" si="164"/>
        <v>0</v>
      </c>
      <c r="AT40" s="2013">
        <v>0</v>
      </c>
      <c r="AU40" s="2014"/>
      <c r="AV40" s="1948">
        <f t="shared" si="165"/>
        <v>0</v>
      </c>
      <c r="AW40" s="2066">
        <f t="shared" si="166"/>
        <v>0</v>
      </c>
      <c r="AX40" s="2013">
        <v>0</v>
      </c>
      <c r="AY40" s="2014">
        <v>0</v>
      </c>
      <c r="AZ40" s="3438">
        <f t="shared" si="167"/>
        <v>0</v>
      </c>
      <c r="BA40" s="5859">
        <f t="shared" si="168"/>
        <v>0</v>
      </c>
      <c r="BB40" s="5813">
        <f t="shared" si="169"/>
        <v>0</v>
      </c>
      <c r="BC40" s="5814">
        <f t="shared" si="170"/>
        <v>0</v>
      </c>
      <c r="BD40" s="1948">
        <f t="shared" si="171"/>
        <v>0</v>
      </c>
      <c r="BE40" s="2066">
        <f t="shared" si="172"/>
        <v>0</v>
      </c>
      <c r="BF40" s="648"/>
      <c r="BG40" s="648"/>
      <c r="BH40" s="648"/>
      <c r="BI40" s="648"/>
    </row>
    <row r="41" spans="2:61" s="1721" customFormat="1" ht="21.95" customHeight="1" thickBot="1" x14ac:dyDescent="0.3">
      <c r="B41" s="6262"/>
      <c r="C41" s="2172" t="s">
        <v>1303</v>
      </c>
      <c r="D41" s="1916">
        <v>2</v>
      </c>
      <c r="E41" s="1932">
        <v>7638</v>
      </c>
      <c r="F41" s="1916">
        <v>3</v>
      </c>
      <c r="G41" s="1932">
        <v>11346</v>
      </c>
      <c r="H41" s="1948">
        <f t="shared" si="0"/>
        <v>5</v>
      </c>
      <c r="I41" s="1949">
        <f t="shared" si="1"/>
        <v>18984</v>
      </c>
      <c r="J41" s="1916">
        <v>0</v>
      </c>
      <c r="K41" s="3427">
        <v>0</v>
      </c>
      <c r="L41" s="3438">
        <f t="shared" si="2"/>
        <v>5</v>
      </c>
      <c r="M41" s="3439">
        <f t="shared" si="3"/>
        <v>18984</v>
      </c>
      <c r="N41" s="1916">
        <v>1</v>
      </c>
      <c r="O41" s="1932">
        <v>3247.2</v>
      </c>
      <c r="P41" s="2066">
        <f t="shared" si="176"/>
        <v>6</v>
      </c>
      <c r="Q41" s="2066">
        <f t="shared" si="5"/>
        <v>22231.200000000001</v>
      </c>
      <c r="R41" s="2013">
        <v>0</v>
      </c>
      <c r="S41" s="2014">
        <v>0</v>
      </c>
      <c r="T41" s="1948">
        <f t="shared" si="6"/>
        <v>6</v>
      </c>
      <c r="U41" s="2066">
        <f t="shared" si="6"/>
        <v>22231.200000000001</v>
      </c>
      <c r="V41" s="2013">
        <v>1</v>
      </c>
      <c r="W41" s="3662">
        <v>3927</v>
      </c>
      <c r="X41" s="3438">
        <f t="shared" si="7"/>
        <v>2</v>
      </c>
      <c r="Y41" s="5859">
        <f t="shared" si="8"/>
        <v>7174.2</v>
      </c>
      <c r="Z41" s="5844">
        <f t="shared" si="9"/>
        <v>7</v>
      </c>
      <c r="AA41" s="5842">
        <f t="shared" si="10"/>
        <v>26158.2</v>
      </c>
      <c r="AB41" s="2013">
        <v>1</v>
      </c>
      <c r="AC41" s="2014">
        <v>3778</v>
      </c>
      <c r="AD41" s="1948">
        <f t="shared" si="157"/>
        <v>8</v>
      </c>
      <c r="AE41" s="2066">
        <f t="shared" si="158"/>
        <v>29936.2</v>
      </c>
      <c r="AF41" s="2013">
        <v>0</v>
      </c>
      <c r="AG41" s="2014">
        <v>0</v>
      </c>
      <c r="AH41" s="1948">
        <f t="shared" si="159"/>
        <v>8</v>
      </c>
      <c r="AI41" s="2066">
        <f t="shared" si="160"/>
        <v>29936.2</v>
      </c>
      <c r="AJ41" s="2013">
        <v>1</v>
      </c>
      <c r="AK41" s="2014">
        <v>3563</v>
      </c>
      <c r="AL41" s="3438">
        <f t="shared" si="161"/>
        <v>2</v>
      </c>
      <c r="AM41" s="3439">
        <f t="shared" si="162"/>
        <v>7341</v>
      </c>
      <c r="AN41" s="1948">
        <f t="shared" si="173"/>
        <v>9</v>
      </c>
      <c r="AO41" s="2066">
        <f t="shared" si="174"/>
        <v>33499.199999999997</v>
      </c>
      <c r="AP41" s="2013">
        <v>0.5</v>
      </c>
      <c r="AQ41" s="2014">
        <v>1791</v>
      </c>
      <c r="AR41" s="1948">
        <f t="shared" si="163"/>
        <v>9.5</v>
      </c>
      <c r="AS41" s="2066">
        <f t="shared" si="164"/>
        <v>35290.199999999997</v>
      </c>
      <c r="AT41" s="2013">
        <v>2.5</v>
      </c>
      <c r="AU41" s="2014">
        <v>9665</v>
      </c>
      <c r="AV41" s="1948">
        <f t="shared" si="165"/>
        <v>12</v>
      </c>
      <c r="AW41" s="2066">
        <f t="shared" si="166"/>
        <v>44955.199999999997</v>
      </c>
      <c r="AX41" s="2013">
        <v>3</v>
      </c>
      <c r="AY41" s="2014">
        <v>11201</v>
      </c>
      <c r="AZ41" s="3438">
        <f t="shared" si="167"/>
        <v>6</v>
      </c>
      <c r="BA41" s="5859">
        <f t="shared" si="168"/>
        <v>22657</v>
      </c>
      <c r="BB41" s="5813">
        <f t="shared" si="169"/>
        <v>8</v>
      </c>
      <c r="BC41" s="5814">
        <f t="shared" si="170"/>
        <v>29998</v>
      </c>
      <c r="BD41" s="1948">
        <f t="shared" si="171"/>
        <v>15</v>
      </c>
      <c r="BE41" s="2066">
        <f t="shared" si="172"/>
        <v>56156.2</v>
      </c>
      <c r="BF41" s="648"/>
      <c r="BG41" s="648"/>
      <c r="BH41" s="648"/>
      <c r="BI41" s="648"/>
    </row>
    <row r="42" spans="2:61" s="1721" customFormat="1" ht="21.95" customHeight="1" x14ac:dyDescent="0.25">
      <c r="B42" s="6262"/>
      <c r="C42" s="2172" t="s">
        <v>1466</v>
      </c>
      <c r="D42" s="1916">
        <v>1.3</v>
      </c>
      <c r="E42" s="1932">
        <v>5136</v>
      </c>
      <c r="F42" s="1916">
        <v>1</v>
      </c>
      <c r="G42" s="1932">
        <v>3973</v>
      </c>
      <c r="H42" s="1948">
        <f t="shared" si="0"/>
        <v>2.2999999999999998</v>
      </c>
      <c r="I42" s="1949">
        <f t="shared" si="1"/>
        <v>9109</v>
      </c>
      <c r="J42" s="1916">
        <v>0.5</v>
      </c>
      <c r="K42" s="3427">
        <v>1808</v>
      </c>
      <c r="L42" s="3438">
        <f t="shared" si="2"/>
        <v>2.8</v>
      </c>
      <c r="M42" s="3439">
        <f t="shared" si="3"/>
        <v>10917</v>
      </c>
      <c r="N42" s="1916">
        <v>1</v>
      </c>
      <c r="O42" s="1932">
        <v>3509.7</v>
      </c>
      <c r="P42" s="2066">
        <f t="shared" si="176"/>
        <v>3.8</v>
      </c>
      <c r="Q42" s="2066">
        <f t="shared" si="5"/>
        <v>14426.7</v>
      </c>
      <c r="R42" s="2013">
        <v>1</v>
      </c>
      <c r="S42" s="2014">
        <v>3551</v>
      </c>
      <c r="T42" s="1948">
        <f t="shared" ref="T42" si="177">P42+R42</f>
        <v>4.8</v>
      </c>
      <c r="U42" s="2066">
        <f t="shared" ref="U42" si="178">Q42+S42</f>
        <v>17977.7</v>
      </c>
      <c r="V42" s="2013">
        <v>0</v>
      </c>
      <c r="W42" s="2279">
        <v>0</v>
      </c>
      <c r="X42" s="3438">
        <f t="shared" si="7"/>
        <v>2</v>
      </c>
      <c r="Y42" s="5859">
        <f t="shared" si="8"/>
        <v>7060.7</v>
      </c>
      <c r="Z42" s="5844">
        <f t="shared" si="9"/>
        <v>4.8</v>
      </c>
      <c r="AA42" s="5842">
        <f t="shared" si="10"/>
        <v>17977.7</v>
      </c>
      <c r="AB42" s="2013">
        <v>0</v>
      </c>
      <c r="AC42" s="2014">
        <v>0</v>
      </c>
      <c r="AD42" s="1948">
        <f t="shared" si="157"/>
        <v>4.8</v>
      </c>
      <c r="AE42" s="2066">
        <f t="shared" si="158"/>
        <v>17977.7</v>
      </c>
      <c r="AF42" s="2013">
        <v>0</v>
      </c>
      <c r="AG42" s="2014">
        <v>0</v>
      </c>
      <c r="AH42" s="1948">
        <f t="shared" si="159"/>
        <v>4.8</v>
      </c>
      <c r="AI42" s="2066">
        <f t="shared" si="160"/>
        <v>17977.7</v>
      </c>
      <c r="AJ42" s="2013">
        <v>0</v>
      </c>
      <c r="AK42" s="2014">
        <v>0</v>
      </c>
      <c r="AL42" s="3438">
        <f t="shared" si="161"/>
        <v>0</v>
      </c>
      <c r="AM42" s="3439">
        <f t="shared" si="162"/>
        <v>0</v>
      </c>
      <c r="AN42" s="1948">
        <f t="shared" si="173"/>
        <v>4.8</v>
      </c>
      <c r="AO42" s="2066">
        <f t="shared" si="174"/>
        <v>17977.7</v>
      </c>
      <c r="AP42" s="2013">
        <v>0</v>
      </c>
      <c r="AQ42" s="2014">
        <v>0</v>
      </c>
      <c r="AR42" s="1948">
        <f t="shared" si="163"/>
        <v>4.8</v>
      </c>
      <c r="AS42" s="2066">
        <f t="shared" si="164"/>
        <v>17977.7</v>
      </c>
      <c r="AT42" s="2013"/>
      <c r="AU42" s="2014"/>
      <c r="AV42" s="1948">
        <f t="shared" si="165"/>
        <v>4.8</v>
      </c>
      <c r="AW42" s="2066">
        <f t="shared" si="166"/>
        <v>17977.7</v>
      </c>
      <c r="AX42" s="2013">
        <v>0</v>
      </c>
      <c r="AY42" s="2014">
        <v>0</v>
      </c>
      <c r="AZ42" s="3438">
        <f t="shared" si="167"/>
        <v>0</v>
      </c>
      <c r="BA42" s="5859">
        <f t="shared" si="168"/>
        <v>0</v>
      </c>
      <c r="BB42" s="5813">
        <f t="shared" si="169"/>
        <v>0</v>
      </c>
      <c r="BC42" s="5814">
        <f t="shared" si="170"/>
        <v>0</v>
      </c>
      <c r="BD42" s="1948">
        <f t="shared" si="171"/>
        <v>4.8</v>
      </c>
      <c r="BE42" s="2066">
        <f t="shared" si="172"/>
        <v>17977.7</v>
      </c>
      <c r="BF42" s="648"/>
      <c r="BG42" s="648"/>
      <c r="BH42" s="648"/>
      <c r="BI42" s="648"/>
    </row>
    <row r="43" spans="2:61" s="1721" customFormat="1" ht="21.95" customHeight="1" thickBot="1" x14ac:dyDescent="0.3">
      <c r="B43" s="6262"/>
      <c r="C43" s="2173" t="s">
        <v>2</v>
      </c>
      <c r="D43" s="4038">
        <f>SUM(D34:D42)</f>
        <v>26.400000000000002</v>
      </c>
      <c r="E43" s="4038">
        <f t="shared" ref="E43:AA43" si="179">SUM(E34:E42)</f>
        <v>101082</v>
      </c>
      <c r="F43" s="4038">
        <f t="shared" si="179"/>
        <v>33.5</v>
      </c>
      <c r="G43" s="4038">
        <f t="shared" si="179"/>
        <v>127295</v>
      </c>
      <c r="H43" s="4038">
        <f t="shared" si="179"/>
        <v>59.9</v>
      </c>
      <c r="I43" s="4038">
        <f t="shared" si="179"/>
        <v>228377</v>
      </c>
      <c r="J43" s="4038">
        <f t="shared" si="179"/>
        <v>16.5</v>
      </c>
      <c r="K43" s="4038">
        <f t="shared" si="179"/>
        <v>62449</v>
      </c>
      <c r="L43" s="3640">
        <f t="shared" si="179"/>
        <v>76.399999999999991</v>
      </c>
      <c r="M43" s="3640">
        <f t="shared" si="179"/>
        <v>290826</v>
      </c>
      <c r="N43" s="4038">
        <f t="shared" si="179"/>
        <v>27</v>
      </c>
      <c r="O43" s="4038">
        <f t="shared" si="179"/>
        <v>101218.86476147996</v>
      </c>
      <c r="P43" s="4038">
        <f t="shared" si="179"/>
        <v>103.39999999999999</v>
      </c>
      <c r="Q43" s="4038">
        <f t="shared" si="179"/>
        <v>392044.86476147996</v>
      </c>
      <c r="R43" s="4038">
        <f t="shared" si="179"/>
        <v>23.000000000000004</v>
      </c>
      <c r="S43" s="4038">
        <f t="shared" si="179"/>
        <v>85544</v>
      </c>
      <c r="T43" s="4038">
        <f t="shared" si="179"/>
        <v>126.4</v>
      </c>
      <c r="U43" s="4038">
        <f t="shared" si="179"/>
        <v>477588.86476147996</v>
      </c>
      <c r="V43" s="4038">
        <f t="shared" si="179"/>
        <v>24</v>
      </c>
      <c r="W43" s="4038">
        <f t="shared" si="179"/>
        <v>92618</v>
      </c>
      <c r="X43" s="3640">
        <f t="shared" si="179"/>
        <v>74</v>
      </c>
      <c r="Y43" s="5863">
        <f t="shared" si="179"/>
        <v>279380.86476148001</v>
      </c>
      <c r="Z43" s="5843">
        <f t="shared" si="179"/>
        <v>150.40000000000003</v>
      </c>
      <c r="AA43" s="5843">
        <f t="shared" si="179"/>
        <v>570206.8647614799</v>
      </c>
      <c r="AB43" s="5870">
        <f t="shared" ref="AB43:AE43" si="180">SUM(AB34:AB42)</f>
        <v>26.1</v>
      </c>
      <c r="AC43" s="4038">
        <f t="shared" si="180"/>
        <v>99304</v>
      </c>
      <c r="AD43" s="4038">
        <f t="shared" si="180"/>
        <v>176.5</v>
      </c>
      <c r="AE43" s="4038">
        <f t="shared" si="180"/>
        <v>669510.8647614799</v>
      </c>
      <c r="AF43" s="4038">
        <f t="shared" ref="AF43:AI43" si="181">SUM(AF34:AF42)</f>
        <v>26.5</v>
      </c>
      <c r="AG43" s="4038">
        <f t="shared" si="181"/>
        <v>99979</v>
      </c>
      <c r="AH43" s="4038">
        <f t="shared" si="181"/>
        <v>203</v>
      </c>
      <c r="AI43" s="4038">
        <f t="shared" si="181"/>
        <v>769489.8647614799</v>
      </c>
      <c r="AJ43" s="4038">
        <f t="shared" ref="AJ43:AS43" si="182">SUM(AJ34:AJ42)</f>
        <v>29.1</v>
      </c>
      <c r="AK43" s="4038">
        <f t="shared" si="182"/>
        <v>111070</v>
      </c>
      <c r="AL43" s="4038">
        <f t="shared" si="182"/>
        <v>81.7</v>
      </c>
      <c r="AM43" s="4038">
        <f t="shared" si="182"/>
        <v>310353</v>
      </c>
      <c r="AN43" s="4038">
        <f t="shared" si="182"/>
        <v>232.10000000000002</v>
      </c>
      <c r="AO43" s="4038">
        <f t="shared" si="182"/>
        <v>880559.8647614799</v>
      </c>
      <c r="AP43" s="4038">
        <f t="shared" si="182"/>
        <v>24.2</v>
      </c>
      <c r="AQ43" s="4038">
        <f t="shared" si="182"/>
        <v>93441</v>
      </c>
      <c r="AR43" s="4038">
        <f t="shared" si="182"/>
        <v>256.29999999999995</v>
      </c>
      <c r="AS43" s="4038">
        <f t="shared" si="182"/>
        <v>974000.8647614799</v>
      </c>
      <c r="AT43" s="4038">
        <f t="shared" ref="AT43:AW43" si="183">SUM(AT34:AT42)</f>
        <v>22.4</v>
      </c>
      <c r="AU43" s="4038">
        <f t="shared" si="183"/>
        <v>85863</v>
      </c>
      <c r="AV43" s="4038">
        <f t="shared" si="183"/>
        <v>278.7</v>
      </c>
      <c r="AW43" s="4038">
        <f t="shared" si="183"/>
        <v>1059863.8647614799</v>
      </c>
      <c r="AX43" s="4038">
        <f t="shared" ref="AX43:BE43" si="184">SUM(AX34:AX42)</f>
        <v>27.3</v>
      </c>
      <c r="AY43" s="4038">
        <f t="shared" si="184"/>
        <v>103360</v>
      </c>
      <c r="AZ43" s="4038">
        <f t="shared" si="184"/>
        <v>73.900000000000006</v>
      </c>
      <c r="BA43" s="5885">
        <f t="shared" si="184"/>
        <v>282664</v>
      </c>
      <c r="BB43" s="5806">
        <f t="shared" si="184"/>
        <v>155.60000000000002</v>
      </c>
      <c r="BC43" s="5806">
        <f t="shared" si="184"/>
        <v>593017</v>
      </c>
      <c r="BD43" s="5870">
        <f t="shared" si="184"/>
        <v>306.00000000000006</v>
      </c>
      <c r="BE43" s="4038">
        <f t="shared" si="184"/>
        <v>1163223.8647614799</v>
      </c>
      <c r="BF43" s="648"/>
      <c r="BG43" s="648"/>
      <c r="BH43" s="648"/>
      <c r="BI43" s="648"/>
    </row>
    <row r="44" spans="2:61" s="1721" customFormat="1" ht="21.95" customHeight="1" thickBot="1" x14ac:dyDescent="0.3">
      <c r="B44" s="6262"/>
      <c r="C44" s="2172" t="s">
        <v>1304</v>
      </c>
      <c r="D44" s="1916">
        <v>31</v>
      </c>
      <c r="E44" s="1932">
        <v>117716</v>
      </c>
      <c r="F44" s="1916">
        <v>33</v>
      </c>
      <c r="G44" s="1932">
        <v>125006</v>
      </c>
      <c r="H44" s="1948">
        <f t="shared" si="0"/>
        <v>64</v>
      </c>
      <c r="I44" s="1949">
        <f t="shared" si="1"/>
        <v>242722</v>
      </c>
      <c r="J44" s="1916">
        <v>19</v>
      </c>
      <c r="K44" s="3427">
        <v>71192</v>
      </c>
      <c r="L44" s="3438">
        <f t="shared" si="2"/>
        <v>83</v>
      </c>
      <c r="M44" s="3439">
        <f t="shared" si="3"/>
        <v>313914</v>
      </c>
      <c r="N44" s="1916">
        <v>30</v>
      </c>
      <c r="O44" s="1932">
        <v>110842.51614417401</v>
      </c>
      <c r="P44" s="2066">
        <f t="shared" ref="P44:P46" si="185">L44+N44</f>
        <v>113</v>
      </c>
      <c r="Q44" s="2066">
        <f t="shared" si="5"/>
        <v>424756.51614417403</v>
      </c>
      <c r="R44" s="2013">
        <v>31</v>
      </c>
      <c r="S44" s="2014">
        <v>115008</v>
      </c>
      <c r="T44" s="1948">
        <f t="shared" ref="T44:T46" si="186">P44+R44</f>
        <v>144</v>
      </c>
      <c r="U44" s="2066">
        <f t="shared" ref="U44:U46" si="187">Q44+S44</f>
        <v>539764.51614417403</v>
      </c>
      <c r="V44" s="2013">
        <v>15</v>
      </c>
      <c r="W44" s="3662">
        <v>58273</v>
      </c>
      <c r="X44" s="3438">
        <f t="shared" si="7"/>
        <v>76</v>
      </c>
      <c r="Y44" s="5859">
        <f t="shared" si="8"/>
        <v>284123.51614417403</v>
      </c>
      <c r="Z44" s="5844">
        <f t="shared" si="9"/>
        <v>159</v>
      </c>
      <c r="AA44" s="5842">
        <f t="shared" si="10"/>
        <v>598037.51614417403</v>
      </c>
      <c r="AB44" s="2013">
        <v>25</v>
      </c>
      <c r="AC44" s="2014">
        <v>95616</v>
      </c>
      <c r="AD44" s="1948">
        <f t="shared" ref="AD44:AD57" si="188">Z44+AB44</f>
        <v>184</v>
      </c>
      <c r="AE44" s="2066">
        <f t="shared" ref="AE44:AE57" si="189">AA44+AC44</f>
        <v>693653.51614417403</v>
      </c>
      <c r="AF44" s="2013">
        <v>30</v>
      </c>
      <c r="AG44" s="2014">
        <v>112727</v>
      </c>
      <c r="AH44" s="1948">
        <f t="shared" ref="AH44:AH57" si="190">AD44+AF44</f>
        <v>214</v>
      </c>
      <c r="AI44" s="2066">
        <f t="shared" ref="AI44:AI57" si="191">AE44+AG44</f>
        <v>806380.51614417403</v>
      </c>
      <c r="AJ44" s="2013">
        <v>30</v>
      </c>
      <c r="AK44" s="2014">
        <v>113412</v>
      </c>
      <c r="AL44" s="3438">
        <f t="shared" ref="AL44:AL57" si="192">+AB44+AF44+AJ44</f>
        <v>85</v>
      </c>
      <c r="AM44" s="3439">
        <f t="shared" ref="AM44:AM57" si="193">+AC44+AG44+AK44</f>
        <v>321755</v>
      </c>
      <c r="AN44" s="1948">
        <f t="shared" si="173"/>
        <v>244</v>
      </c>
      <c r="AO44" s="2066">
        <f t="shared" si="173"/>
        <v>919792.51614417403</v>
      </c>
      <c r="AP44" s="2013">
        <v>20</v>
      </c>
      <c r="AQ44" s="2014">
        <v>77010</v>
      </c>
      <c r="AR44" s="1948">
        <f t="shared" ref="AR44:AR57" si="194">AN44+AP44</f>
        <v>264</v>
      </c>
      <c r="AS44" s="2066">
        <f t="shared" ref="AS44:AS57" si="195">AO44+AQ44</f>
        <v>996802.51614417403</v>
      </c>
      <c r="AT44" s="2013">
        <v>24</v>
      </c>
      <c r="AU44" s="2014">
        <v>92762</v>
      </c>
      <c r="AV44" s="1948">
        <f t="shared" ref="AV44:AV57" si="196">AR44+AT44</f>
        <v>288</v>
      </c>
      <c r="AW44" s="2066">
        <f t="shared" ref="AW44:AW57" si="197">AS44+AU44</f>
        <v>1089564.5161441742</v>
      </c>
      <c r="AX44" s="2013">
        <v>25</v>
      </c>
      <c r="AY44" s="2014">
        <v>94882</v>
      </c>
      <c r="AZ44" s="3438">
        <f t="shared" ref="AZ44:AZ57" si="198">+AP44+AT44+AX44</f>
        <v>69</v>
      </c>
      <c r="BA44" s="5859">
        <f t="shared" ref="BA44:BA57" si="199">+AQ44+AU44+AY44</f>
        <v>264654</v>
      </c>
      <c r="BB44" s="5813">
        <f t="shared" ref="BB44:BB57" si="200">AL44+AZ44</f>
        <v>154</v>
      </c>
      <c r="BC44" s="5814">
        <f t="shared" ref="BC44:BC57" si="201">AM44+BA44</f>
        <v>586409</v>
      </c>
      <c r="BD44" s="1948">
        <f t="shared" ref="BD44:BD57" si="202">AV44+AX44</f>
        <v>313</v>
      </c>
      <c r="BE44" s="2066">
        <f t="shared" ref="BE44:BE57" si="203">AW44+AY44</f>
        <v>1184446.5161441742</v>
      </c>
      <c r="BF44" s="648"/>
      <c r="BG44" s="648"/>
      <c r="BH44" s="648"/>
      <c r="BI44" s="648"/>
    </row>
    <row r="45" spans="2:61" s="1721" customFormat="1" ht="21.95" customHeight="1" thickBot="1" x14ac:dyDescent="0.3">
      <c r="B45" s="6262"/>
      <c r="C45" s="2172" t="s">
        <v>1305</v>
      </c>
      <c r="D45" s="1916">
        <v>4</v>
      </c>
      <c r="E45" s="1932">
        <v>15682</v>
      </c>
      <c r="F45" s="1916">
        <v>4</v>
      </c>
      <c r="G45" s="1932">
        <v>15829</v>
      </c>
      <c r="H45" s="1948">
        <f t="shared" si="0"/>
        <v>8</v>
      </c>
      <c r="I45" s="1949">
        <f t="shared" si="1"/>
        <v>31511</v>
      </c>
      <c r="J45" s="1916">
        <v>1</v>
      </c>
      <c r="K45" s="3427">
        <v>4016</v>
      </c>
      <c r="L45" s="3438">
        <f t="shared" si="2"/>
        <v>9</v>
      </c>
      <c r="M45" s="3439">
        <f t="shared" si="3"/>
        <v>35527</v>
      </c>
      <c r="N45" s="1916">
        <v>5</v>
      </c>
      <c r="O45" s="1932">
        <v>19666</v>
      </c>
      <c r="P45" s="2066">
        <f t="shared" si="185"/>
        <v>14</v>
      </c>
      <c r="Q45" s="2066">
        <f t="shared" si="5"/>
        <v>55193</v>
      </c>
      <c r="R45" s="2013">
        <v>3</v>
      </c>
      <c r="S45" s="2014">
        <v>11789</v>
      </c>
      <c r="T45" s="1948">
        <f t="shared" si="186"/>
        <v>17</v>
      </c>
      <c r="U45" s="2066">
        <f t="shared" si="187"/>
        <v>66982</v>
      </c>
      <c r="V45" s="2013">
        <v>5</v>
      </c>
      <c r="W45" s="3662">
        <v>18120</v>
      </c>
      <c r="X45" s="3438">
        <f t="shared" si="7"/>
        <v>13</v>
      </c>
      <c r="Y45" s="5859">
        <f t="shared" si="8"/>
        <v>49575</v>
      </c>
      <c r="Z45" s="5844">
        <f t="shared" si="9"/>
        <v>22</v>
      </c>
      <c r="AA45" s="5842">
        <f t="shared" si="10"/>
        <v>85102</v>
      </c>
      <c r="AB45" s="2013">
        <v>7</v>
      </c>
      <c r="AC45" s="2014">
        <v>27697</v>
      </c>
      <c r="AD45" s="1948">
        <f t="shared" si="188"/>
        <v>29</v>
      </c>
      <c r="AE45" s="2066">
        <f t="shared" si="189"/>
        <v>112799</v>
      </c>
      <c r="AF45" s="2013">
        <v>5</v>
      </c>
      <c r="AG45" s="2014">
        <v>19157</v>
      </c>
      <c r="AH45" s="1948">
        <f t="shared" si="190"/>
        <v>34</v>
      </c>
      <c r="AI45" s="2066">
        <f t="shared" si="191"/>
        <v>131956</v>
      </c>
      <c r="AJ45" s="2013">
        <v>7</v>
      </c>
      <c r="AK45" s="2014">
        <v>27692</v>
      </c>
      <c r="AL45" s="3438">
        <f t="shared" si="192"/>
        <v>19</v>
      </c>
      <c r="AM45" s="3439">
        <f t="shared" si="193"/>
        <v>74546</v>
      </c>
      <c r="AN45" s="1948">
        <f t="shared" ref="AN45:AO59" si="204">AH45+AJ45</f>
        <v>41</v>
      </c>
      <c r="AO45" s="2066">
        <f t="shared" ref="AO45:AO57" si="205">AI45+AK45</f>
        <v>159648</v>
      </c>
      <c r="AP45" s="2013">
        <v>9</v>
      </c>
      <c r="AQ45" s="2014">
        <v>35530</v>
      </c>
      <c r="AR45" s="1948">
        <f t="shared" si="194"/>
        <v>50</v>
      </c>
      <c r="AS45" s="2066">
        <f t="shared" si="195"/>
        <v>195178</v>
      </c>
      <c r="AT45" s="2013">
        <v>5</v>
      </c>
      <c r="AU45" s="2014">
        <v>19805</v>
      </c>
      <c r="AV45" s="1948">
        <f t="shared" si="196"/>
        <v>55</v>
      </c>
      <c r="AW45" s="2066">
        <f t="shared" si="197"/>
        <v>214983</v>
      </c>
      <c r="AX45" s="2013">
        <v>7</v>
      </c>
      <c r="AY45" s="2014">
        <v>27831</v>
      </c>
      <c r="AZ45" s="3438">
        <f t="shared" si="198"/>
        <v>21</v>
      </c>
      <c r="BA45" s="5859">
        <f t="shared" si="199"/>
        <v>83166</v>
      </c>
      <c r="BB45" s="5813">
        <f t="shared" si="200"/>
        <v>40</v>
      </c>
      <c r="BC45" s="5814">
        <f t="shared" si="201"/>
        <v>157712</v>
      </c>
      <c r="BD45" s="1948">
        <f t="shared" si="202"/>
        <v>62</v>
      </c>
      <c r="BE45" s="2066">
        <f t="shared" si="203"/>
        <v>242814</v>
      </c>
      <c r="BF45" s="648"/>
      <c r="BG45" s="648"/>
      <c r="BH45" s="648"/>
      <c r="BI45" s="648"/>
    </row>
    <row r="46" spans="2:61" s="1721" customFormat="1" ht="21.95" customHeight="1" thickBot="1" x14ac:dyDescent="0.3">
      <c r="B46" s="6263"/>
      <c r="C46" s="2174" t="s">
        <v>1306</v>
      </c>
      <c r="D46" s="1919">
        <v>1</v>
      </c>
      <c r="E46" s="1940">
        <v>3613</v>
      </c>
      <c r="F46" s="1919">
        <v>1</v>
      </c>
      <c r="G46" s="1940">
        <v>3701</v>
      </c>
      <c r="H46" s="1948">
        <f t="shared" si="0"/>
        <v>2</v>
      </c>
      <c r="I46" s="1949">
        <f t="shared" si="1"/>
        <v>7314</v>
      </c>
      <c r="J46" s="1919">
        <v>1</v>
      </c>
      <c r="K46" s="3428">
        <v>3802</v>
      </c>
      <c r="L46" s="3438">
        <f t="shared" si="2"/>
        <v>3</v>
      </c>
      <c r="M46" s="3439">
        <f t="shared" si="3"/>
        <v>11116</v>
      </c>
      <c r="N46" s="1919">
        <v>1</v>
      </c>
      <c r="O46" s="1940">
        <v>4026.0140350877191</v>
      </c>
      <c r="P46" s="2066">
        <f t="shared" si="185"/>
        <v>4</v>
      </c>
      <c r="Q46" s="2066">
        <f t="shared" si="5"/>
        <v>15142.014035087719</v>
      </c>
      <c r="R46" s="2015">
        <v>0</v>
      </c>
      <c r="S46" s="2016">
        <v>0</v>
      </c>
      <c r="T46" s="1948">
        <f t="shared" si="186"/>
        <v>4</v>
      </c>
      <c r="U46" s="2066">
        <f t="shared" si="187"/>
        <v>15142.014035087719</v>
      </c>
      <c r="V46" s="2013">
        <v>0</v>
      </c>
      <c r="W46" s="3662">
        <v>0</v>
      </c>
      <c r="X46" s="3438">
        <f t="shared" si="7"/>
        <v>1</v>
      </c>
      <c r="Y46" s="5859">
        <f t="shared" si="8"/>
        <v>4026.0140350877191</v>
      </c>
      <c r="Z46" s="5844">
        <f t="shared" si="9"/>
        <v>4</v>
      </c>
      <c r="AA46" s="5842">
        <f t="shared" si="10"/>
        <v>15142.014035087719</v>
      </c>
      <c r="AB46" s="2015">
        <v>3</v>
      </c>
      <c r="AC46" s="2016">
        <v>11430</v>
      </c>
      <c r="AD46" s="1948">
        <f t="shared" si="188"/>
        <v>7</v>
      </c>
      <c r="AE46" s="2066">
        <f t="shared" si="189"/>
        <v>26572.014035087719</v>
      </c>
      <c r="AF46" s="2015">
        <v>0</v>
      </c>
      <c r="AG46" s="2016">
        <v>0</v>
      </c>
      <c r="AH46" s="1948">
        <f t="shared" si="190"/>
        <v>7</v>
      </c>
      <c r="AI46" s="2066">
        <f t="shared" si="191"/>
        <v>26572.014035087719</v>
      </c>
      <c r="AJ46" s="2015">
        <v>0</v>
      </c>
      <c r="AK46" s="2016">
        <v>0</v>
      </c>
      <c r="AL46" s="3438">
        <f t="shared" si="192"/>
        <v>3</v>
      </c>
      <c r="AM46" s="3439">
        <f t="shared" si="193"/>
        <v>11430</v>
      </c>
      <c r="AN46" s="1948">
        <f t="shared" si="204"/>
        <v>7</v>
      </c>
      <c r="AO46" s="2066">
        <f t="shared" si="205"/>
        <v>26572.014035087719</v>
      </c>
      <c r="AP46" s="2015">
        <v>0</v>
      </c>
      <c r="AQ46" s="2016">
        <v>0</v>
      </c>
      <c r="AR46" s="1948">
        <f t="shared" si="194"/>
        <v>7</v>
      </c>
      <c r="AS46" s="2066">
        <f t="shared" si="195"/>
        <v>26572.014035087719</v>
      </c>
      <c r="AT46" s="2015">
        <v>0</v>
      </c>
      <c r="AU46" s="2016"/>
      <c r="AV46" s="1948">
        <f t="shared" si="196"/>
        <v>7</v>
      </c>
      <c r="AW46" s="2066">
        <f t="shared" si="197"/>
        <v>26572.014035087719</v>
      </c>
      <c r="AX46" s="2015">
        <v>0</v>
      </c>
      <c r="AY46" s="2016">
        <v>0</v>
      </c>
      <c r="AZ46" s="3438">
        <f t="shared" si="198"/>
        <v>0</v>
      </c>
      <c r="BA46" s="5859">
        <f t="shared" si="199"/>
        <v>0</v>
      </c>
      <c r="BB46" s="5813">
        <f t="shared" si="200"/>
        <v>3</v>
      </c>
      <c r="BC46" s="5814">
        <f t="shared" si="201"/>
        <v>11430</v>
      </c>
      <c r="BD46" s="1948">
        <f t="shared" si="202"/>
        <v>7</v>
      </c>
      <c r="BE46" s="2066">
        <f t="shared" si="203"/>
        <v>26572.014035087719</v>
      </c>
      <c r="BF46" s="648"/>
      <c r="BG46" s="648"/>
      <c r="BH46" s="648"/>
      <c r="BI46" s="648"/>
    </row>
    <row r="47" spans="2:61" s="1721" customFormat="1" ht="21.95" customHeight="1" thickBot="1" x14ac:dyDescent="0.3">
      <c r="B47" s="1942" t="s">
        <v>1307</v>
      </c>
      <c r="C47" s="2175" t="s">
        <v>1070</v>
      </c>
      <c r="D47" s="3642">
        <v>3</v>
      </c>
      <c r="E47" s="3643">
        <v>11415</v>
      </c>
      <c r="F47" s="3642">
        <v>1</v>
      </c>
      <c r="G47" s="3643">
        <v>3976</v>
      </c>
      <c r="H47" s="3638">
        <f t="shared" si="0"/>
        <v>4</v>
      </c>
      <c r="I47" s="3639">
        <f t="shared" si="1"/>
        <v>15391</v>
      </c>
      <c r="J47" s="3642">
        <v>3</v>
      </c>
      <c r="K47" s="3644">
        <v>10884</v>
      </c>
      <c r="L47" s="3640">
        <f t="shared" si="2"/>
        <v>7</v>
      </c>
      <c r="M47" s="3440">
        <f t="shared" si="3"/>
        <v>26275</v>
      </c>
      <c r="N47" s="3642">
        <v>2</v>
      </c>
      <c r="O47" s="3643">
        <v>7826.1000000000013</v>
      </c>
      <c r="P47" s="2777">
        <f t="shared" si="4"/>
        <v>9</v>
      </c>
      <c r="Q47" s="2777">
        <f t="shared" si="5"/>
        <v>34101.1</v>
      </c>
      <c r="R47" s="3645">
        <v>2</v>
      </c>
      <c r="S47" s="3646">
        <v>6922</v>
      </c>
      <c r="T47" s="3638">
        <f t="shared" si="6"/>
        <v>11</v>
      </c>
      <c r="U47" s="2777">
        <f t="shared" si="6"/>
        <v>41023.1</v>
      </c>
      <c r="V47" s="3645">
        <v>2</v>
      </c>
      <c r="W47" s="3664">
        <v>7719</v>
      </c>
      <c r="X47" s="3640">
        <f t="shared" si="7"/>
        <v>6</v>
      </c>
      <c r="Y47" s="5864">
        <f t="shared" si="8"/>
        <v>22467.100000000002</v>
      </c>
      <c r="Z47" s="5877">
        <f t="shared" si="9"/>
        <v>13</v>
      </c>
      <c r="AA47" s="5843">
        <f t="shared" si="10"/>
        <v>48742.100000000006</v>
      </c>
      <c r="AB47" s="3645">
        <v>3</v>
      </c>
      <c r="AC47" s="3646">
        <v>10583</v>
      </c>
      <c r="AD47" s="3638">
        <f t="shared" si="188"/>
        <v>16</v>
      </c>
      <c r="AE47" s="2777">
        <f t="shared" si="189"/>
        <v>59325.100000000006</v>
      </c>
      <c r="AF47" s="3645">
        <v>2</v>
      </c>
      <c r="AG47" s="3646">
        <v>7419</v>
      </c>
      <c r="AH47" s="3638">
        <f t="shared" si="190"/>
        <v>18</v>
      </c>
      <c r="AI47" s="2777">
        <f t="shared" si="191"/>
        <v>66744.100000000006</v>
      </c>
      <c r="AJ47" s="3645">
        <v>1</v>
      </c>
      <c r="AK47" s="3646">
        <v>4021</v>
      </c>
      <c r="AL47" s="3640">
        <f t="shared" si="192"/>
        <v>6</v>
      </c>
      <c r="AM47" s="3440">
        <f t="shared" si="193"/>
        <v>22023</v>
      </c>
      <c r="AN47" s="3638">
        <f t="shared" si="204"/>
        <v>19</v>
      </c>
      <c r="AO47" s="2777">
        <f t="shared" si="205"/>
        <v>70765.100000000006</v>
      </c>
      <c r="AP47" s="3645">
        <v>1</v>
      </c>
      <c r="AQ47" s="3646">
        <v>4134</v>
      </c>
      <c r="AR47" s="3638">
        <f t="shared" si="194"/>
        <v>20</v>
      </c>
      <c r="AS47" s="2777">
        <f t="shared" si="195"/>
        <v>74899.100000000006</v>
      </c>
      <c r="AT47" s="3645">
        <v>0</v>
      </c>
      <c r="AU47" s="3646"/>
      <c r="AV47" s="3638">
        <f t="shared" si="196"/>
        <v>20</v>
      </c>
      <c r="AW47" s="2777">
        <f t="shared" si="197"/>
        <v>74899.100000000006</v>
      </c>
      <c r="AX47" s="3645">
        <v>0</v>
      </c>
      <c r="AY47" s="3646">
        <v>0</v>
      </c>
      <c r="AZ47" s="3640">
        <f t="shared" si="198"/>
        <v>1</v>
      </c>
      <c r="BA47" s="5864">
        <f t="shared" si="199"/>
        <v>4134</v>
      </c>
      <c r="BB47" s="5813">
        <f t="shared" si="200"/>
        <v>7</v>
      </c>
      <c r="BC47" s="5814">
        <f t="shared" si="201"/>
        <v>26157</v>
      </c>
      <c r="BD47" s="3638">
        <f t="shared" si="202"/>
        <v>20</v>
      </c>
      <c r="BE47" s="2777">
        <f t="shared" si="203"/>
        <v>74899.100000000006</v>
      </c>
      <c r="BF47" s="648"/>
      <c r="BG47" s="648"/>
      <c r="BH47" s="648"/>
      <c r="BI47" s="648"/>
    </row>
    <row r="48" spans="2:61" s="1721" customFormat="1" ht="21.95" customHeight="1" thickBot="1" x14ac:dyDescent="0.3">
      <c r="B48" s="1943"/>
      <c r="C48" s="2176" t="s">
        <v>1308</v>
      </c>
      <c r="D48" s="3647">
        <v>9.5</v>
      </c>
      <c r="E48" s="3648">
        <v>35959</v>
      </c>
      <c r="F48" s="3647">
        <v>4.5</v>
      </c>
      <c r="G48" s="3648">
        <v>17306</v>
      </c>
      <c r="H48" s="3638">
        <f t="shared" si="0"/>
        <v>14</v>
      </c>
      <c r="I48" s="3639">
        <f t="shared" si="1"/>
        <v>53265</v>
      </c>
      <c r="J48" s="3647">
        <v>4.4000000000000004</v>
      </c>
      <c r="K48" s="3649">
        <v>16561</v>
      </c>
      <c r="L48" s="3640">
        <f t="shared" si="2"/>
        <v>18.399999999999999</v>
      </c>
      <c r="M48" s="3440">
        <f t="shared" si="3"/>
        <v>69826</v>
      </c>
      <c r="N48" s="3647">
        <v>9</v>
      </c>
      <c r="O48" s="3648">
        <v>33315.665417781747</v>
      </c>
      <c r="P48" s="2777">
        <f t="shared" si="4"/>
        <v>27.4</v>
      </c>
      <c r="Q48" s="2777">
        <f t="shared" si="5"/>
        <v>103141.66541778174</v>
      </c>
      <c r="R48" s="3650">
        <v>11</v>
      </c>
      <c r="S48" s="3651">
        <v>41229</v>
      </c>
      <c r="T48" s="3638">
        <f t="shared" si="6"/>
        <v>38.4</v>
      </c>
      <c r="U48" s="2777">
        <f t="shared" si="6"/>
        <v>144370.66541778174</v>
      </c>
      <c r="V48" s="3650">
        <v>10</v>
      </c>
      <c r="W48" s="3665">
        <v>38153</v>
      </c>
      <c r="X48" s="3640">
        <f t="shared" si="7"/>
        <v>30</v>
      </c>
      <c r="Y48" s="5864">
        <f t="shared" si="8"/>
        <v>112697.66541778174</v>
      </c>
      <c r="Z48" s="5877">
        <f t="shared" si="9"/>
        <v>48.4</v>
      </c>
      <c r="AA48" s="5843">
        <f t="shared" si="10"/>
        <v>182523.66541778174</v>
      </c>
      <c r="AB48" s="3650">
        <v>9</v>
      </c>
      <c r="AC48" s="3651">
        <v>35440</v>
      </c>
      <c r="AD48" s="3638">
        <f t="shared" si="188"/>
        <v>57.4</v>
      </c>
      <c r="AE48" s="2777">
        <f t="shared" si="189"/>
        <v>217963.66541778174</v>
      </c>
      <c r="AF48" s="3650">
        <v>8.6</v>
      </c>
      <c r="AG48" s="3651">
        <v>31906</v>
      </c>
      <c r="AH48" s="3638">
        <f t="shared" si="190"/>
        <v>66</v>
      </c>
      <c r="AI48" s="2777">
        <f t="shared" si="191"/>
        <v>249869.66541778174</v>
      </c>
      <c r="AJ48" s="3650">
        <v>7.9</v>
      </c>
      <c r="AK48" s="3651">
        <v>30034</v>
      </c>
      <c r="AL48" s="3640">
        <f t="shared" si="192"/>
        <v>25.5</v>
      </c>
      <c r="AM48" s="3440">
        <f t="shared" si="193"/>
        <v>97380</v>
      </c>
      <c r="AN48" s="3638">
        <f t="shared" si="204"/>
        <v>73.900000000000006</v>
      </c>
      <c r="AO48" s="2777">
        <f t="shared" si="205"/>
        <v>279903.66541778174</v>
      </c>
      <c r="AP48" s="3650">
        <v>6.8</v>
      </c>
      <c r="AQ48" s="3651">
        <v>26122</v>
      </c>
      <c r="AR48" s="3638">
        <f t="shared" si="194"/>
        <v>80.7</v>
      </c>
      <c r="AS48" s="2777">
        <f t="shared" si="195"/>
        <v>306025.66541778174</v>
      </c>
      <c r="AT48" s="3650">
        <v>11.6</v>
      </c>
      <c r="AU48" s="3651">
        <v>44330</v>
      </c>
      <c r="AV48" s="3638">
        <f t="shared" si="196"/>
        <v>92.3</v>
      </c>
      <c r="AW48" s="2777">
        <f t="shared" si="197"/>
        <v>350355.66541778174</v>
      </c>
      <c r="AX48" s="3650">
        <v>8.6999999999999993</v>
      </c>
      <c r="AY48" s="3651">
        <v>33495</v>
      </c>
      <c r="AZ48" s="3640">
        <f t="shared" si="198"/>
        <v>27.099999999999998</v>
      </c>
      <c r="BA48" s="5864">
        <f t="shared" si="199"/>
        <v>103947</v>
      </c>
      <c r="BB48" s="5813">
        <f t="shared" si="200"/>
        <v>52.599999999999994</v>
      </c>
      <c r="BC48" s="5814">
        <f t="shared" si="201"/>
        <v>201327</v>
      </c>
      <c r="BD48" s="3638">
        <f t="shared" si="202"/>
        <v>101</v>
      </c>
      <c r="BE48" s="2777">
        <f t="shared" si="203"/>
        <v>383850.66541778174</v>
      </c>
      <c r="BF48" s="648"/>
      <c r="BG48" s="648"/>
      <c r="BH48" s="648"/>
      <c r="BI48" s="648"/>
    </row>
    <row r="49" spans="2:61" s="1721" customFormat="1" ht="21.95" customHeight="1" thickBot="1" x14ac:dyDescent="0.3">
      <c r="B49" s="6261" t="s">
        <v>1309</v>
      </c>
      <c r="C49" s="2177" t="s">
        <v>1297</v>
      </c>
      <c r="D49" s="1931">
        <v>7.5</v>
      </c>
      <c r="E49" s="1941">
        <v>28129</v>
      </c>
      <c r="F49" s="1931">
        <v>6</v>
      </c>
      <c r="G49" s="1941">
        <v>22524</v>
      </c>
      <c r="H49" s="1948">
        <f t="shared" si="0"/>
        <v>13.5</v>
      </c>
      <c r="I49" s="1949">
        <f t="shared" si="1"/>
        <v>50653</v>
      </c>
      <c r="J49" s="1931">
        <v>5.5</v>
      </c>
      <c r="K49" s="3426">
        <v>20851</v>
      </c>
      <c r="L49" s="3438">
        <f t="shared" si="2"/>
        <v>19</v>
      </c>
      <c r="M49" s="3439">
        <f t="shared" si="3"/>
        <v>71504</v>
      </c>
      <c r="N49" s="1931">
        <v>11.536340852130326</v>
      </c>
      <c r="O49" s="1941">
        <v>42832.052067669174</v>
      </c>
      <c r="P49" s="2066">
        <f t="shared" si="4"/>
        <v>30.536340852130326</v>
      </c>
      <c r="Q49" s="2066">
        <f t="shared" si="5"/>
        <v>114336.05206766917</v>
      </c>
      <c r="R49" s="2011">
        <v>4.5</v>
      </c>
      <c r="S49" s="2012">
        <v>17280</v>
      </c>
      <c r="T49" s="1948">
        <f t="shared" si="6"/>
        <v>35.036340852130323</v>
      </c>
      <c r="U49" s="2066">
        <f t="shared" si="6"/>
        <v>131616.05206766917</v>
      </c>
      <c r="V49" s="2011">
        <v>5.4</v>
      </c>
      <c r="W49" s="3661">
        <v>20769</v>
      </c>
      <c r="X49" s="3438">
        <f t="shared" si="7"/>
        <v>21.436340852130328</v>
      </c>
      <c r="Y49" s="5859">
        <f t="shared" si="8"/>
        <v>80881.052067669167</v>
      </c>
      <c r="Z49" s="5844">
        <f t="shared" si="9"/>
        <v>40.436340852130328</v>
      </c>
      <c r="AA49" s="5842">
        <f t="shared" si="10"/>
        <v>152385.05206766917</v>
      </c>
      <c r="AB49" s="2011">
        <v>5.2</v>
      </c>
      <c r="AC49" s="2012">
        <v>20176</v>
      </c>
      <c r="AD49" s="1948">
        <f t="shared" si="188"/>
        <v>45.636340852130331</v>
      </c>
      <c r="AE49" s="2066">
        <f t="shared" si="189"/>
        <v>172561.05206766917</v>
      </c>
      <c r="AF49" s="2011">
        <v>5.5</v>
      </c>
      <c r="AG49" s="2012">
        <v>20935</v>
      </c>
      <c r="AH49" s="1948">
        <f t="shared" si="190"/>
        <v>51.136340852130331</v>
      </c>
      <c r="AI49" s="2066">
        <f t="shared" si="191"/>
        <v>193496.05206766917</v>
      </c>
      <c r="AJ49" s="2011">
        <v>7.9</v>
      </c>
      <c r="AK49" s="2012">
        <v>30332</v>
      </c>
      <c r="AL49" s="3438">
        <f t="shared" si="192"/>
        <v>18.600000000000001</v>
      </c>
      <c r="AM49" s="3439">
        <f t="shared" si="193"/>
        <v>71443</v>
      </c>
      <c r="AN49" s="1948">
        <f t="shared" si="204"/>
        <v>59.03634085213033</v>
      </c>
      <c r="AO49" s="2066">
        <f t="shared" si="205"/>
        <v>223828.05206766917</v>
      </c>
      <c r="AP49" s="2011">
        <v>8.5</v>
      </c>
      <c r="AQ49" s="2012">
        <v>33233</v>
      </c>
      <c r="AR49" s="1948">
        <f t="shared" si="194"/>
        <v>67.536340852130337</v>
      </c>
      <c r="AS49" s="2066">
        <f t="shared" si="195"/>
        <v>257061.05206766917</v>
      </c>
      <c r="AT49" s="2011">
        <v>5.4</v>
      </c>
      <c r="AU49" s="2012">
        <v>21056</v>
      </c>
      <c r="AV49" s="1948">
        <f t="shared" si="196"/>
        <v>72.936340852130343</v>
      </c>
      <c r="AW49" s="2066">
        <f t="shared" si="197"/>
        <v>278117.05206766917</v>
      </c>
      <c r="AX49" s="2011">
        <v>6.5</v>
      </c>
      <c r="AY49" s="2012">
        <v>24741</v>
      </c>
      <c r="AZ49" s="3438">
        <f t="shared" si="198"/>
        <v>20.399999999999999</v>
      </c>
      <c r="BA49" s="5859">
        <f t="shared" si="199"/>
        <v>79030</v>
      </c>
      <c r="BB49" s="5813">
        <f t="shared" si="200"/>
        <v>39</v>
      </c>
      <c r="BC49" s="5814">
        <f t="shared" si="201"/>
        <v>150473</v>
      </c>
      <c r="BD49" s="1948">
        <f t="shared" si="202"/>
        <v>79.436340852130343</v>
      </c>
      <c r="BE49" s="2066">
        <f t="shared" si="203"/>
        <v>302858.05206766917</v>
      </c>
      <c r="BF49" s="648"/>
      <c r="BG49" s="648"/>
      <c r="BH49" s="648"/>
      <c r="BI49" s="648"/>
    </row>
    <row r="50" spans="2:61" s="1721" customFormat="1" ht="21.95" customHeight="1" thickBot="1" x14ac:dyDescent="0.3">
      <c r="B50" s="6262"/>
      <c r="C50" s="2172" t="s">
        <v>1298</v>
      </c>
      <c r="D50" s="1916">
        <v>1.5</v>
      </c>
      <c r="E50" s="1932">
        <v>5800</v>
      </c>
      <c r="F50" s="1916">
        <v>3</v>
      </c>
      <c r="G50" s="1932">
        <v>11459</v>
      </c>
      <c r="H50" s="1948">
        <f t="shared" si="0"/>
        <v>4.5</v>
      </c>
      <c r="I50" s="1949">
        <f t="shared" si="1"/>
        <v>17259</v>
      </c>
      <c r="J50" s="1916">
        <v>1</v>
      </c>
      <c r="K50" s="3427">
        <v>4029</v>
      </c>
      <c r="L50" s="3438">
        <f t="shared" si="2"/>
        <v>5.5</v>
      </c>
      <c r="M50" s="3439">
        <f t="shared" si="3"/>
        <v>21288</v>
      </c>
      <c r="N50" s="1916">
        <v>2.0087719298245617</v>
      </c>
      <c r="O50" s="1932">
        <v>7565.4149122807012</v>
      </c>
      <c r="P50" s="2066">
        <f t="shared" si="4"/>
        <v>7.5087719298245617</v>
      </c>
      <c r="Q50" s="2066">
        <f t="shared" si="5"/>
        <v>28853.414912280699</v>
      </c>
      <c r="R50" s="2013">
        <v>0.6</v>
      </c>
      <c r="S50" s="2014">
        <v>2357</v>
      </c>
      <c r="T50" s="1948">
        <f t="shared" si="6"/>
        <v>8.1087719298245613</v>
      </c>
      <c r="U50" s="2066">
        <f t="shared" si="6"/>
        <v>31210.414912280699</v>
      </c>
      <c r="V50" s="2013">
        <v>1.5</v>
      </c>
      <c r="W50" s="3662">
        <v>5762</v>
      </c>
      <c r="X50" s="3438">
        <f t="shared" si="7"/>
        <v>4.1087719298245613</v>
      </c>
      <c r="Y50" s="5859">
        <f t="shared" si="8"/>
        <v>15684.414912280701</v>
      </c>
      <c r="Z50" s="5844">
        <f t="shared" si="9"/>
        <v>9.6087719298245613</v>
      </c>
      <c r="AA50" s="5842">
        <f t="shared" si="10"/>
        <v>36972.414912280699</v>
      </c>
      <c r="AB50" s="2013">
        <v>0.5</v>
      </c>
      <c r="AC50" s="2014">
        <v>2014</v>
      </c>
      <c r="AD50" s="1948">
        <f t="shared" si="188"/>
        <v>10.108771929824561</v>
      </c>
      <c r="AE50" s="2066">
        <f t="shared" si="189"/>
        <v>38986.414912280699</v>
      </c>
      <c r="AF50" s="2013">
        <v>2</v>
      </c>
      <c r="AG50" s="2014">
        <v>7515</v>
      </c>
      <c r="AH50" s="1948">
        <f t="shared" si="190"/>
        <v>12.108771929824561</v>
      </c>
      <c r="AI50" s="2066">
        <f t="shared" si="191"/>
        <v>46501.414912280699</v>
      </c>
      <c r="AJ50" s="2013">
        <v>1.5</v>
      </c>
      <c r="AK50" s="2014">
        <v>5964</v>
      </c>
      <c r="AL50" s="3438">
        <f t="shared" si="192"/>
        <v>4</v>
      </c>
      <c r="AM50" s="3439">
        <f t="shared" si="193"/>
        <v>15493</v>
      </c>
      <c r="AN50" s="1948">
        <f t="shared" si="204"/>
        <v>13.608771929824561</v>
      </c>
      <c r="AO50" s="2066">
        <f t="shared" si="205"/>
        <v>52465.414912280699</v>
      </c>
      <c r="AP50" s="2013">
        <v>1.5</v>
      </c>
      <c r="AQ50" s="2014">
        <v>5711</v>
      </c>
      <c r="AR50" s="1948">
        <f t="shared" si="194"/>
        <v>15.108771929824561</v>
      </c>
      <c r="AS50" s="2066">
        <f t="shared" si="195"/>
        <v>58176.414912280699</v>
      </c>
      <c r="AT50" s="2013">
        <v>1.6</v>
      </c>
      <c r="AU50" s="2014">
        <v>6065</v>
      </c>
      <c r="AV50" s="1948">
        <f t="shared" si="196"/>
        <v>16.708771929824561</v>
      </c>
      <c r="AW50" s="2066">
        <f t="shared" si="197"/>
        <v>64241.414912280699</v>
      </c>
      <c r="AX50" s="2013">
        <v>2</v>
      </c>
      <c r="AY50" s="2014">
        <v>7612</v>
      </c>
      <c r="AZ50" s="3438">
        <f t="shared" si="198"/>
        <v>5.0999999999999996</v>
      </c>
      <c r="BA50" s="5859">
        <f t="shared" si="199"/>
        <v>19388</v>
      </c>
      <c r="BB50" s="5813">
        <f t="shared" si="200"/>
        <v>9.1</v>
      </c>
      <c r="BC50" s="5814">
        <f t="shared" si="201"/>
        <v>34881</v>
      </c>
      <c r="BD50" s="1948">
        <f t="shared" si="202"/>
        <v>18.708771929824561</v>
      </c>
      <c r="BE50" s="2066">
        <f t="shared" si="203"/>
        <v>71853.414912280699</v>
      </c>
      <c r="BF50" s="648"/>
      <c r="BG50" s="648"/>
      <c r="BH50" s="648"/>
      <c r="BI50" s="648"/>
    </row>
    <row r="51" spans="2:61" s="1721" customFormat="1" ht="21.95" customHeight="1" thickBot="1" x14ac:dyDescent="0.3">
      <c r="B51" s="6262"/>
      <c r="C51" s="2172" t="s">
        <v>1299</v>
      </c>
      <c r="D51" s="1916">
        <v>0</v>
      </c>
      <c r="E51" s="1932">
        <v>0</v>
      </c>
      <c r="F51" s="1916">
        <v>0</v>
      </c>
      <c r="G51" s="1932">
        <v>0</v>
      </c>
      <c r="H51" s="1948" t="s">
        <v>34</v>
      </c>
      <c r="I51" s="1949" t="s">
        <v>34</v>
      </c>
      <c r="J51" s="1916">
        <v>0</v>
      </c>
      <c r="K51" s="3427">
        <v>0</v>
      </c>
      <c r="L51" s="3438">
        <f t="shared" si="2"/>
        <v>0</v>
      </c>
      <c r="M51" s="3439">
        <f t="shared" si="3"/>
        <v>0</v>
      </c>
      <c r="N51" s="1916">
        <v>1</v>
      </c>
      <c r="O51" s="1932">
        <v>3540.3593220338985</v>
      </c>
      <c r="P51" s="2066">
        <f t="shared" si="4"/>
        <v>1</v>
      </c>
      <c r="Q51" s="2066">
        <f t="shared" si="5"/>
        <v>3540.3593220338985</v>
      </c>
      <c r="R51" s="2013">
        <v>2</v>
      </c>
      <c r="S51" s="2014">
        <v>6164</v>
      </c>
      <c r="T51" s="1948">
        <f t="shared" si="6"/>
        <v>3</v>
      </c>
      <c r="U51" s="2066">
        <f t="shared" si="6"/>
        <v>9704.3593220338989</v>
      </c>
      <c r="V51" s="2013">
        <v>2</v>
      </c>
      <c r="W51" s="3662">
        <v>7608</v>
      </c>
      <c r="X51" s="3438">
        <f t="shared" si="7"/>
        <v>5</v>
      </c>
      <c r="Y51" s="5859">
        <f t="shared" si="8"/>
        <v>17312.359322033899</v>
      </c>
      <c r="Z51" s="5844">
        <f t="shared" si="9"/>
        <v>5</v>
      </c>
      <c r="AA51" s="5842">
        <f t="shared" si="10"/>
        <v>17312.359322033899</v>
      </c>
      <c r="AB51" s="2013">
        <v>2.5</v>
      </c>
      <c r="AC51" s="2014">
        <v>9573</v>
      </c>
      <c r="AD51" s="1948">
        <f t="shared" si="188"/>
        <v>7.5</v>
      </c>
      <c r="AE51" s="2066">
        <f t="shared" si="189"/>
        <v>26885.359322033899</v>
      </c>
      <c r="AF51" s="2013">
        <v>0</v>
      </c>
      <c r="AG51" s="2014">
        <v>0</v>
      </c>
      <c r="AH51" s="1948">
        <f t="shared" si="190"/>
        <v>7.5</v>
      </c>
      <c r="AI51" s="2066">
        <f t="shared" si="191"/>
        <v>26885.359322033899</v>
      </c>
      <c r="AJ51" s="2013">
        <v>0</v>
      </c>
      <c r="AK51" s="2014">
        <v>0</v>
      </c>
      <c r="AL51" s="3438">
        <f t="shared" si="192"/>
        <v>2.5</v>
      </c>
      <c r="AM51" s="3439">
        <f t="shared" si="193"/>
        <v>9573</v>
      </c>
      <c r="AN51" s="1948">
        <f t="shared" si="204"/>
        <v>7.5</v>
      </c>
      <c r="AO51" s="2066">
        <f t="shared" si="205"/>
        <v>26885.359322033899</v>
      </c>
      <c r="AP51" s="2013">
        <v>0</v>
      </c>
      <c r="AQ51" s="2014">
        <v>0</v>
      </c>
      <c r="AR51" s="1948">
        <f t="shared" si="194"/>
        <v>7.5</v>
      </c>
      <c r="AS51" s="2066">
        <f t="shared" si="195"/>
        <v>26885.359322033899</v>
      </c>
      <c r="AT51" s="2013">
        <v>0</v>
      </c>
      <c r="AU51" s="2014"/>
      <c r="AV51" s="1948">
        <f t="shared" si="196"/>
        <v>7.5</v>
      </c>
      <c r="AW51" s="2066">
        <f t="shared" si="197"/>
        <v>26885.359322033899</v>
      </c>
      <c r="AX51" s="2013">
        <v>0</v>
      </c>
      <c r="AY51" s="2014">
        <v>0</v>
      </c>
      <c r="AZ51" s="3438">
        <f t="shared" si="198"/>
        <v>0</v>
      </c>
      <c r="BA51" s="5859">
        <f t="shared" si="199"/>
        <v>0</v>
      </c>
      <c r="BB51" s="5813">
        <f t="shared" si="200"/>
        <v>2.5</v>
      </c>
      <c r="BC51" s="5814">
        <f t="shared" si="201"/>
        <v>9573</v>
      </c>
      <c r="BD51" s="1948">
        <f t="shared" si="202"/>
        <v>7.5</v>
      </c>
      <c r="BE51" s="2066">
        <f t="shared" si="203"/>
        <v>26885.359322033899</v>
      </c>
      <c r="BF51" s="648"/>
      <c r="BG51" s="648"/>
      <c r="BH51" s="648"/>
      <c r="BI51" s="648"/>
    </row>
    <row r="52" spans="2:61" s="1721" customFormat="1" ht="21.95" customHeight="1" thickBot="1" x14ac:dyDescent="0.3">
      <c r="B52" s="6262"/>
      <c r="C52" s="2172" t="s">
        <v>1355</v>
      </c>
      <c r="D52" s="1916">
        <v>2</v>
      </c>
      <c r="E52" s="1932">
        <v>7234</v>
      </c>
      <c r="F52" s="1916">
        <v>1</v>
      </c>
      <c r="G52" s="1932">
        <v>3815</v>
      </c>
      <c r="H52" s="1948">
        <f t="shared" si="0"/>
        <v>3</v>
      </c>
      <c r="I52" s="1949">
        <f t="shared" si="1"/>
        <v>11049</v>
      </c>
      <c r="J52" s="1916">
        <v>1</v>
      </c>
      <c r="K52" s="3427">
        <v>3668</v>
      </c>
      <c r="L52" s="3438">
        <f t="shared" si="2"/>
        <v>4</v>
      </c>
      <c r="M52" s="3439">
        <f t="shared" si="3"/>
        <v>14717</v>
      </c>
      <c r="N52" s="1916">
        <v>0.9642857142857143</v>
      </c>
      <c r="O52" s="1932">
        <v>3656.5785714285716</v>
      </c>
      <c r="P52" s="2066">
        <f t="shared" ref="P52" si="206">L52+N52</f>
        <v>4.9642857142857144</v>
      </c>
      <c r="Q52" s="2066">
        <f t="shared" si="5"/>
        <v>18373.57857142857</v>
      </c>
      <c r="R52" s="2013">
        <v>0</v>
      </c>
      <c r="S52" s="2014">
        <v>0</v>
      </c>
      <c r="T52" s="1948">
        <f t="shared" si="6"/>
        <v>4.9642857142857144</v>
      </c>
      <c r="U52" s="2066">
        <f t="shared" si="6"/>
        <v>18373.57857142857</v>
      </c>
      <c r="V52" s="2013">
        <v>0</v>
      </c>
      <c r="W52" s="3662">
        <v>0</v>
      </c>
      <c r="X52" s="3438">
        <f t="shared" si="7"/>
        <v>0.9642857142857143</v>
      </c>
      <c r="Y52" s="5859">
        <f t="shared" si="8"/>
        <v>3656.5785714285716</v>
      </c>
      <c r="Z52" s="5844">
        <f t="shared" si="9"/>
        <v>4.9642857142857144</v>
      </c>
      <c r="AA52" s="5842">
        <f t="shared" si="10"/>
        <v>18373.57857142857</v>
      </c>
      <c r="AB52" s="2013">
        <v>0</v>
      </c>
      <c r="AC52" s="2014">
        <v>0</v>
      </c>
      <c r="AD52" s="1948">
        <f t="shared" si="188"/>
        <v>4.9642857142857144</v>
      </c>
      <c r="AE52" s="2066">
        <f t="shared" si="189"/>
        <v>18373.57857142857</v>
      </c>
      <c r="AF52" s="2013">
        <v>1</v>
      </c>
      <c r="AG52" s="2014">
        <v>3637</v>
      </c>
      <c r="AH52" s="1948">
        <f t="shared" si="190"/>
        <v>5.9642857142857144</v>
      </c>
      <c r="AI52" s="2066">
        <f t="shared" si="191"/>
        <v>22010.57857142857</v>
      </c>
      <c r="AJ52" s="2013">
        <v>0.5</v>
      </c>
      <c r="AK52" s="2014">
        <v>1688</v>
      </c>
      <c r="AL52" s="3438">
        <f t="shared" si="192"/>
        <v>1.5</v>
      </c>
      <c r="AM52" s="3439">
        <f t="shared" si="193"/>
        <v>5325</v>
      </c>
      <c r="AN52" s="1948">
        <f t="shared" si="204"/>
        <v>6.4642857142857144</v>
      </c>
      <c r="AO52" s="2066">
        <f t="shared" si="205"/>
        <v>23698.57857142857</v>
      </c>
      <c r="AP52" s="2013">
        <v>1</v>
      </c>
      <c r="AQ52" s="2014">
        <v>3563</v>
      </c>
      <c r="AR52" s="1948">
        <f t="shared" si="194"/>
        <v>7.4642857142857144</v>
      </c>
      <c r="AS52" s="2066">
        <f t="shared" si="195"/>
        <v>27261.57857142857</v>
      </c>
      <c r="AT52" s="2013">
        <v>0.4</v>
      </c>
      <c r="AU52" s="2014">
        <v>1604</v>
      </c>
      <c r="AV52" s="1948">
        <f t="shared" si="196"/>
        <v>7.8642857142857148</v>
      </c>
      <c r="AW52" s="2066">
        <f t="shared" si="197"/>
        <v>28865.57857142857</v>
      </c>
      <c r="AX52" s="2013">
        <v>0.5</v>
      </c>
      <c r="AY52" s="2014">
        <v>1939</v>
      </c>
      <c r="AZ52" s="3438">
        <f t="shared" si="198"/>
        <v>1.9</v>
      </c>
      <c r="BA52" s="5859">
        <f t="shared" si="199"/>
        <v>7106</v>
      </c>
      <c r="BB52" s="5813">
        <f t="shared" si="200"/>
        <v>3.4</v>
      </c>
      <c r="BC52" s="5814">
        <f t="shared" si="201"/>
        <v>12431</v>
      </c>
      <c r="BD52" s="1948">
        <f t="shared" si="202"/>
        <v>8.3642857142857139</v>
      </c>
      <c r="BE52" s="2066">
        <f t="shared" si="203"/>
        <v>30804.57857142857</v>
      </c>
      <c r="BF52" s="648"/>
      <c r="BG52" s="648"/>
      <c r="BH52" s="648"/>
      <c r="BI52" s="648"/>
    </row>
    <row r="53" spans="2:61" s="1721" customFormat="1" ht="21.95" customHeight="1" thickBot="1" x14ac:dyDescent="0.3">
      <c r="B53" s="6262"/>
      <c r="C53" s="2172" t="s">
        <v>1300</v>
      </c>
      <c r="D53" s="1916">
        <v>2</v>
      </c>
      <c r="E53" s="1932">
        <v>7741</v>
      </c>
      <c r="F53" s="1916">
        <v>1</v>
      </c>
      <c r="G53" s="1932">
        <v>3676</v>
      </c>
      <c r="H53" s="1948">
        <f t="shared" si="0"/>
        <v>3</v>
      </c>
      <c r="I53" s="1949">
        <f t="shared" si="1"/>
        <v>11417</v>
      </c>
      <c r="J53" s="1916">
        <v>2</v>
      </c>
      <c r="K53" s="3427">
        <v>7183</v>
      </c>
      <c r="L53" s="3438">
        <f t="shared" si="2"/>
        <v>5</v>
      </c>
      <c r="M53" s="3439">
        <f t="shared" si="3"/>
        <v>18600</v>
      </c>
      <c r="N53" s="1916">
        <v>2.0263157894736841</v>
      </c>
      <c r="O53" s="1932">
        <v>7420.9263157894748</v>
      </c>
      <c r="P53" s="2066">
        <f t="shared" si="4"/>
        <v>7.0263157894736841</v>
      </c>
      <c r="Q53" s="2066">
        <f t="shared" si="5"/>
        <v>26020.926315789475</v>
      </c>
      <c r="R53" s="2013">
        <v>1.7</v>
      </c>
      <c r="S53" s="2014">
        <v>6788</v>
      </c>
      <c r="T53" s="1948">
        <f t="shared" si="6"/>
        <v>8.7263157894736842</v>
      </c>
      <c r="U53" s="2066">
        <f t="shared" si="6"/>
        <v>32808.926315789475</v>
      </c>
      <c r="V53" s="2013">
        <v>1.1000000000000001</v>
      </c>
      <c r="W53" s="3662">
        <v>4217</v>
      </c>
      <c r="X53" s="3438">
        <f t="shared" si="7"/>
        <v>4.8263157894736839</v>
      </c>
      <c r="Y53" s="5859">
        <f t="shared" si="8"/>
        <v>18425.926315789475</v>
      </c>
      <c r="Z53" s="5844">
        <f t="shared" si="9"/>
        <v>9.8263157894736839</v>
      </c>
      <c r="AA53" s="5842">
        <f t="shared" si="10"/>
        <v>37025.926315789475</v>
      </c>
      <c r="AB53" s="2013">
        <v>2</v>
      </c>
      <c r="AC53" s="2014">
        <v>7513</v>
      </c>
      <c r="AD53" s="1948">
        <f t="shared" si="188"/>
        <v>11.826315789473684</v>
      </c>
      <c r="AE53" s="2066">
        <f t="shared" si="189"/>
        <v>44538.926315789475</v>
      </c>
      <c r="AF53" s="2013">
        <v>1.5</v>
      </c>
      <c r="AG53" s="2014">
        <v>5938</v>
      </c>
      <c r="AH53" s="1948">
        <f t="shared" si="190"/>
        <v>13.326315789473684</v>
      </c>
      <c r="AI53" s="2066">
        <f t="shared" si="191"/>
        <v>50476.926315789475</v>
      </c>
      <c r="AJ53" s="2013">
        <v>1.5</v>
      </c>
      <c r="AK53" s="2014">
        <v>5786</v>
      </c>
      <c r="AL53" s="3438">
        <f t="shared" si="192"/>
        <v>5</v>
      </c>
      <c r="AM53" s="3439">
        <f t="shared" si="193"/>
        <v>19237</v>
      </c>
      <c r="AN53" s="1948">
        <f t="shared" si="204"/>
        <v>14.826315789473684</v>
      </c>
      <c r="AO53" s="2066">
        <f t="shared" si="205"/>
        <v>56262.926315789475</v>
      </c>
      <c r="AP53" s="2013">
        <v>0</v>
      </c>
      <c r="AQ53" s="2014">
        <v>0</v>
      </c>
      <c r="AR53" s="1948">
        <f t="shared" si="194"/>
        <v>14.826315789473684</v>
      </c>
      <c r="AS53" s="2066">
        <f t="shared" si="195"/>
        <v>56262.926315789475</v>
      </c>
      <c r="AT53" s="2013">
        <v>1</v>
      </c>
      <c r="AU53" s="2014">
        <v>3876</v>
      </c>
      <c r="AV53" s="1948">
        <f t="shared" si="196"/>
        <v>15.826315789473684</v>
      </c>
      <c r="AW53" s="2066">
        <f t="shared" si="197"/>
        <v>60138.926315789475</v>
      </c>
      <c r="AX53" s="2013">
        <v>1.5</v>
      </c>
      <c r="AY53" s="2014">
        <v>5859</v>
      </c>
      <c r="AZ53" s="3438">
        <f t="shared" si="198"/>
        <v>2.5</v>
      </c>
      <c r="BA53" s="5859">
        <f t="shared" si="199"/>
        <v>9735</v>
      </c>
      <c r="BB53" s="5813">
        <f t="shared" si="200"/>
        <v>7.5</v>
      </c>
      <c r="BC53" s="5814">
        <f t="shared" si="201"/>
        <v>28972</v>
      </c>
      <c r="BD53" s="1948">
        <f t="shared" si="202"/>
        <v>17.326315789473682</v>
      </c>
      <c r="BE53" s="2066">
        <f t="shared" si="203"/>
        <v>65997.926315789475</v>
      </c>
      <c r="BF53" s="648"/>
      <c r="BG53" s="648"/>
      <c r="BH53" s="648"/>
      <c r="BI53" s="648"/>
    </row>
    <row r="54" spans="2:61" s="1721" customFormat="1" ht="21.95" customHeight="1" thickBot="1" x14ac:dyDescent="0.3">
      <c r="B54" s="6262"/>
      <c r="C54" s="1913" t="s">
        <v>1301</v>
      </c>
      <c r="D54" s="1916">
        <v>0.5</v>
      </c>
      <c r="E54" s="1932">
        <v>2071</v>
      </c>
      <c r="F54" s="1916">
        <v>2</v>
      </c>
      <c r="G54" s="1932">
        <v>7487</v>
      </c>
      <c r="H54" s="1948">
        <f t="shared" si="0"/>
        <v>2.5</v>
      </c>
      <c r="I54" s="1949">
        <f t="shared" si="1"/>
        <v>9558</v>
      </c>
      <c r="J54" s="1916">
        <v>1.5</v>
      </c>
      <c r="K54" s="3427">
        <v>5864</v>
      </c>
      <c r="L54" s="3438">
        <f t="shared" si="2"/>
        <v>4</v>
      </c>
      <c r="M54" s="3439">
        <f t="shared" si="3"/>
        <v>15422</v>
      </c>
      <c r="N54" s="1916">
        <v>1.4642857142857144</v>
      </c>
      <c r="O54" s="1932">
        <v>5515.7281328320805</v>
      </c>
      <c r="P54" s="2066">
        <f t="shared" si="4"/>
        <v>5.4642857142857144</v>
      </c>
      <c r="Q54" s="2066">
        <f t="shared" si="5"/>
        <v>20937.728132832082</v>
      </c>
      <c r="R54" s="2013">
        <v>1.1000000000000001</v>
      </c>
      <c r="S54" s="2014">
        <v>4375</v>
      </c>
      <c r="T54" s="1948">
        <f t="shared" si="6"/>
        <v>6.5642857142857149</v>
      </c>
      <c r="U54" s="2066">
        <f t="shared" si="6"/>
        <v>25312.728132832082</v>
      </c>
      <c r="V54" s="2013">
        <v>2.5</v>
      </c>
      <c r="W54" s="3662">
        <v>9745</v>
      </c>
      <c r="X54" s="3438">
        <f t="shared" si="7"/>
        <v>5.0642857142857149</v>
      </c>
      <c r="Y54" s="5859">
        <f t="shared" si="8"/>
        <v>19635.728132832082</v>
      </c>
      <c r="Z54" s="5844">
        <f t="shared" si="9"/>
        <v>9.0642857142857149</v>
      </c>
      <c r="AA54" s="5842">
        <f t="shared" si="10"/>
        <v>35057.728132832082</v>
      </c>
      <c r="AB54" s="2013">
        <v>4.8</v>
      </c>
      <c r="AC54" s="2014">
        <v>18087</v>
      </c>
      <c r="AD54" s="1948">
        <f t="shared" si="188"/>
        <v>13.864285714285714</v>
      </c>
      <c r="AE54" s="2066">
        <f t="shared" si="189"/>
        <v>53144.728132832082</v>
      </c>
      <c r="AF54" s="2013">
        <v>3</v>
      </c>
      <c r="AG54" s="2014">
        <v>11758</v>
      </c>
      <c r="AH54" s="1948">
        <f t="shared" si="190"/>
        <v>16.864285714285714</v>
      </c>
      <c r="AI54" s="2066">
        <f t="shared" si="191"/>
        <v>64902.728132832082</v>
      </c>
      <c r="AJ54" s="2013">
        <v>4.5</v>
      </c>
      <c r="AK54" s="2014">
        <v>16504</v>
      </c>
      <c r="AL54" s="3438">
        <f t="shared" si="192"/>
        <v>12.3</v>
      </c>
      <c r="AM54" s="3439">
        <f t="shared" si="193"/>
        <v>46349</v>
      </c>
      <c r="AN54" s="1948">
        <f t="shared" si="204"/>
        <v>21.364285714285714</v>
      </c>
      <c r="AO54" s="2066">
        <f t="shared" si="205"/>
        <v>81406.728132832082</v>
      </c>
      <c r="AP54" s="2013">
        <v>2</v>
      </c>
      <c r="AQ54" s="2014">
        <v>7888</v>
      </c>
      <c r="AR54" s="1948">
        <f t="shared" si="194"/>
        <v>23.364285714285714</v>
      </c>
      <c r="AS54" s="2066">
        <f t="shared" si="195"/>
        <v>89294.728132832082</v>
      </c>
      <c r="AT54" s="2013">
        <v>2.5</v>
      </c>
      <c r="AU54" s="2014">
        <v>9243</v>
      </c>
      <c r="AV54" s="1948">
        <f t="shared" si="196"/>
        <v>25.864285714285714</v>
      </c>
      <c r="AW54" s="2066">
        <f t="shared" si="197"/>
        <v>98537.728132832082</v>
      </c>
      <c r="AX54" s="2013">
        <v>3.5</v>
      </c>
      <c r="AY54" s="2014">
        <v>13760</v>
      </c>
      <c r="AZ54" s="3438">
        <f t="shared" si="198"/>
        <v>8</v>
      </c>
      <c r="BA54" s="5859">
        <f t="shared" si="199"/>
        <v>30891</v>
      </c>
      <c r="BB54" s="5813">
        <f t="shared" si="200"/>
        <v>20.3</v>
      </c>
      <c r="BC54" s="5814">
        <f t="shared" si="201"/>
        <v>77240</v>
      </c>
      <c r="BD54" s="1948">
        <f t="shared" si="202"/>
        <v>29.364285714285714</v>
      </c>
      <c r="BE54" s="2066">
        <f t="shared" si="203"/>
        <v>112297.72813283208</v>
      </c>
      <c r="BF54" s="648"/>
      <c r="BG54" s="648"/>
      <c r="BH54" s="648"/>
      <c r="BI54" s="648"/>
    </row>
    <row r="55" spans="2:61" s="1721" customFormat="1" ht="21.95" customHeight="1" thickBot="1" x14ac:dyDescent="0.3">
      <c r="B55" s="6262"/>
      <c r="C55" s="1913" t="s">
        <v>1302</v>
      </c>
      <c r="D55" s="1916">
        <v>0</v>
      </c>
      <c r="E55" s="1932">
        <v>0</v>
      </c>
      <c r="F55" s="1916">
        <v>0</v>
      </c>
      <c r="G55" s="1932">
        <v>0</v>
      </c>
      <c r="H55" s="1948" t="s">
        <v>34</v>
      </c>
      <c r="I55" s="1949" t="s">
        <v>34</v>
      </c>
      <c r="J55" s="1916">
        <v>0</v>
      </c>
      <c r="K55" s="3427">
        <v>0</v>
      </c>
      <c r="L55" s="3438">
        <f t="shared" si="2"/>
        <v>0</v>
      </c>
      <c r="M55" s="3439">
        <f t="shared" si="3"/>
        <v>0</v>
      </c>
      <c r="N55" s="1916">
        <v>0</v>
      </c>
      <c r="O55" s="1932">
        <v>0</v>
      </c>
      <c r="P55" s="2066">
        <f t="shared" si="4"/>
        <v>0</v>
      </c>
      <c r="Q55" s="2066">
        <f t="shared" si="5"/>
        <v>0</v>
      </c>
      <c r="R55" s="2013">
        <v>0</v>
      </c>
      <c r="S55" s="2014">
        <v>0</v>
      </c>
      <c r="T55" s="1948">
        <f t="shared" si="6"/>
        <v>0</v>
      </c>
      <c r="U55" s="2066">
        <f t="shared" si="6"/>
        <v>0</v>
      </c>
      <c r="V55" s="2013">
        <v>0</v>
      </c>
      <c r="W55" s="3662">
        <v>0</v>
      </c>
      <c r="X55" s="3438">
        <f t="shared" si="7"/>
        <v>0</v>
      </c>
      <c r="Y55" s="5859">
        <f t="shared" si="8"/>
        <v>0</v>
      </c>
      <c r="Z55" s="5844">
        <f t="shared" si="9"/>
        <v>0</v>
      </c>
      <c r="AA55" s="5842">
        <f t="shared" si="10"/>
        <v>0</v>
      </c>
      <c r="AB55" s="2013">
        <v>0</v>
      </c>
      <c r="AC55" s="2014">
        <v>0</v>
      </c>
      <c r="AD55" s="1948">
        <f t="shared" si="188"/>
        <v>0</v>
      </c>
      <c r="AE55" s="2066">
        <f t="shared" si="189"/>
        <v>0</v>
      </c>
      <c r="AF55" s="2013">
        <v>0</v>
      </c>
      <c r="AG55" s="2014">
        <v>0</v>
      </c>
      <c r="AH55" s="1948">
        <f t="shared" si="190"/>
        <v>0</v>
      </c>
      <c r="AI55" s="2066">
        <f t="shared" si="191"/>
        <v>0</v>
      </c>
      <c r="AJ55" s="2013">
        <v>0</v>
      </c>
      <c r="AK55" s="2014">
        <v>0</v>
      </c>
      <c r="AL55" s="3438">
        <f t="shared" si="192"/>
        <v>0</v>
      </c>
      <c r="AM55" s="3439">
        <f t="shared" si="193"/>
        <v>0</v>
      </c>
      <c r="AN55" s="1948">
        <f t="shared" si="204"/>
        <v>0</v>
      </c>
      <c r="AO55" s="2066">
        <f t="shared" si="205"/>
        <v>0</v>
      </c>
      <c r="AP55" s="2013">
        <v>0</v>
      </c>
      <c r="AQ55" s="2014">
        <v>0</v>
      </c>
      <c r="AR55" s="1948">
        <f t="shared" si="194"/>
        <v>0</v>
      </c>
      <c r="AS55" s="2066">
        <f t="shared" si="195"/>
        <v>0</v>
      </c>
      <c r="AT55" s="2013">
        <v>0</v>
      </c>
      <c r="AU55" s="2014"/>
      <c r="AV55" s="1948">
        <f t="shared" si="196"/>
        <v>0</v>
      </c>
      <c r="AW55" s="2066">
        <f t="shared" si="197"/>
        <v>0</v>
      </c>
      <c r="AX55" s="2013">
        <v>0</v>
      </c>
      <c r="AY55" s="2014">
        <v>0</v>
      </c>
      <c r="AZ55" s="3438">
        <f t="shared" si="198"/>
        <v>0</v>
      </c>
      <c r="BA55" s="5859">
        <f t="shared" si="199"/>
        <v>0</v>
      </c>
      <c r="BB55" s="5813">
        <f t="shared" si="200"/>
        <v>0</v>
      </c>
      <c r="BC55" s="5814">
        <f t="shared" si="201"/>
        <v>0</v>
      </c>
      <c r="BD55" s="1948">
        <f t="shared" si="202"/>
        <v>0</v>
      </c>
      <c r="BE55" s="2066">
        <f t="shared" si="203"/>
        <v>0</v>
      </c>
      <c r="BF55" s="648"/>
      <c r="BG55" s="648"/>
      <c r="BH55" s="648"/>
      <c r="BI55" s="648"/>
    </row>
    <row r="56" spans="2:61" s="1721" customFormat="1" ht="21.95" customHeight="1" thickBot="1" x14ac:dyDescent="0.3">
      <c r="B56" s="6262"/>
      <c r="C56" s="1913" t="s">
        <v>1303</v>
      </c>
      <c r="D56" s="1916">
        <v>3</v>
      </c>
      <c r="E56" s="1932">
        <v>11444</v>
      </c>
      <c r="F56" s="1916">
        <v>3</v>
      </c>
      <c r="G56" s="1932">
        <v>11467</v>
      </c>
      <c r="H56" s="1948">
        <f t="shared" si="0"/>
        <v>6</v>
      </c>
      <c r="I56" s="1949">
        <f t="shared" si="1"/>
        <v>22911</v>
      </c>
      <c r="J56" s="1916">
        <v>0</v>
      </c>
      <c r="K56" s="3427">
        <v>0</v>
      </c>
      <c r="L56" s="3438">
        <f t="shared" si="2"/>
        <v>6</v>
      </c>
      <c r="M56" s="3439">
        <f t="shared" si="3"/>
        <v>22911</v>
      </c>
      <c r="N56" s="1916">
        <v>1</v>
      </c>
      <c r="O56" s="1932">
        <v>3798.4</v>
      </c>
      <c r="P56" s="2066">
        <f t="shared" si="4"/>
        <v>7</v>
      </c>
      <c r="Q56" s="2066">
        <f t="shared" si="5"/>
        <v>26709.4</v>
      </c>
      <c r="R56" s="2013">
        <v>1</v>
      </c>
      <c r="S56" s="2014">
        <v>3719</v>
      </c>
      <c r="T56" s="1948">
        <f t="shared" si="6"/>
        <v>8</v>
      </c>
      <c r="U56" s="2066">
        <f t="shared" si="6"/>
        <v>30428.400000000001</v>
      </c>
      <c r="V56" s="2013">
        <v>0.6</v>
      </c>
      <c r="W56" s="3662">
        <v>2208</v>
      </c>
      <c r="X56" s="3438">
        <f t="shared" si="7"/>
        <v>2.6</v>
      </c>
      <c r="Y56" s="5859">
        <f t="shared" si="8"/>
        <v>9725.4</v>
      </c>
      <c r="Z56" s="5844">
        <f t="shared" si="9"/>
        <v>8.6</v>
      </c>
      <c r="AA56" s="5842">
        <f t="shared" si="10"/>
        <v>32636.400000000001</v>
      </c>
      <c r="AB56" s="2013">
        <v>0</v>
      </c>
      <c r="AC56" s="2014">
        <v>0</v>
      </c>
      <c r="AD56" s="1948">
        <f t="shared" si="188"/>
        <v>8.6</v>
      </c>
      <c r="AE56" s="2066">
        <f t="shared" si="189"/>
        <v>32636.400000000001</v>
      </c>
      <c r="AF56" s="2013">
        <v>0</v>
      </c>
      <c r="AG56" s="2014">
        <v>0</v>
      </c>
      <c r="AH56" s="1948">
        <f t="shared" si="190"/>
        <v>8.6</v>
      </c>
      <c r="AI56" s="2066">
        <f t="shared" si="191"/>
        <v>32636.400000000001</v>
      </c>
      <c r="AJ56" s="2013">
        <v>0</v>
      </c>
      <c r="AK56" s="2014">
        <v>0</v>
      </c>
      <c r="AL56" s="3438">
        <f t="shared" si="192"/>
        <v>0</v>
      </c>
      <c r="AM56" s="3439">
        <f t="shared" si="193"/>
        <v>0</v>
      </c>
      <c r="AN56" s="1948">
        <f t="shared" si="204"/>
        <v>8.6</v>
      </c>
      <c r="AO56" s="2066">
        <f t="shared" si="205"/>
        <v>32636.400000000001</v>
      </c>
      <c r="AP56" s="2013">
        <v>0</v>
      </c>
      <c r="AQ56" s="2014">
        <v>0</v>
      </c>
      <c r="AR56" s="1948">
        <f t="shared" si="194"/>
        <v>8.6</v>
      </c>
      <c r="AS56" s="2066">
        <f t="shared" si="195"/>
        <v>32636.400000000001</v>
      </c>
      <c r="AT56" s="2013">
        <v>1</v>
      </c>
      <c r="AU56" s="2014">
        <v>3584</v>
      </c>
      <c r="AV56" s="1948">
        <f t="shared" si="196"/>
        <v>9.6</v>
      </c>
      <c r="AW56" s="2066">
        <f t="shared" si="197"/>
        <v>36220.400000000001</v>
      </c>
      <c r="AX56" s="2013">
        <v>0</v>
      </c>
      <c r="AY56" s="2014">
        <v>0</v>
      </c>
      <c r="AZ56" s="3438">
        <f t="shared" si="198"/>
        <v>1</v>
      </c>
      <c r="BA56" s="5859">
        <f t="shared" si="199"/>
        <v>3584</v>
      </c>
      <c r="BB56" s="5813">
        <f t="shared" si="200"/>
        <v>1</v>
      </c>
      <c r="BC56" s="5814">
        <f t="shared" si="201"/>
        <v>3584</v>
      </c>
      <c r="BD56" s="1948">
        <f t="shared" si="202"/>
        <v>9.6</v>
      </c>
      <c r="BE56" s="2066">
        <f t="shared" si="203"/>
        <v>36220.400000000001</v>
      </c>
      <c r="BF56" s="648"/>
      <c r="BG56" s="648"/>
      <c r="BH56" s="648"/>
      <c r="BI56" s="648"/>
    </row>
    <row r="57" spans="2:61" s="1721" customFormat="1" ht="21.95" customHeight="1" x14ac:dyDescent="0.25">
      <c r="B57" s="6262"/>
      <c r="C57" s="1913" t="s">
        <v>1466</v>
      </c>
      <c r="D57" s="1916">
        <v>1.5</v>
      </c>
      <c r="E57" s="1932">
        <v>5601</v>
      </c>
      <c r="F57" s="1916">
        <v>0</v>
      </c>
      <c r="G57" s="1932">
        <v>0</v>
      </c>
      <c r="H57" s="1948">
        <f t="shared" si="0"/>
        <v>1.5</v>
      </c>
      <c r="I57" s="1949">
        <f t="shared" si="1"/>
        <v>5601</v>
      </c>
      <c r="J57" s="1916">
        <v>1</v>
      </c>
      <c r="K57" s="3427">
        <v>3763</v>
      </c>
      <c r="L57" s="3438">
        <f t="shared" si="2"/>
        <v>2.5</v>
      </c>
      <c r="M57" s="3439">
        <f t="shared" si="3"/>
        <v>9364</v>
      </c>
      <c r="N57" s="1916">
        <v>0</v>
      </c>
      <c r="O57" s="1932">
        <v>0</v>
      </c>
      <c r="P57" s="2066">
        <f t="shared" ref="P57" si="207">L57+N57</f>
        <v>2.5</v>
      </c>
      <c r="Q57" s="2066">
        <f t="shared" si="5"/>
        <v>9364</v>
      </c>
      <c r="R57" s="2013">
        <v>0</v>
      </c>
      <c r="S57" s="2014">
        <v>0</v>
      </c>
      <c r="T57" s="1948">
        <f t="shared" ref="T57" si="208">P57+R57</f>
        <v>2.5</v>
      </c>
      <c r="U57" s="2066">
        <f t="shared" ref="U57" si="209">Q57+S57</f>
        <v>9364</v>
      </c>
      <c r="V57" s="2013">
        <v>0</v>
      </c>
      <c r="W57" s="2279">
        <v>0</v>
      </c>
      <c r="X57" s="3438">
        <f t="shared" si="7"/>
        <v>0</v>
      </c>
      <c r="Y57" s="5859">
        <f t="shared" si="8"/>
        <v>0</v>
      </c>
      <c r="Z57" s="5844">
        <f t="shared" si="9"/>
        <v>2.5</v>
      </c>
      <c r="AA57" s="5842">
        <f t="shared" si="10"/>
        <v>9364</v>
      </c>
      <c r="AB57" s="2013">
        <v>1</v>
      </c>
      <c r="AC57" s="2014">
        <v>3906</v>
      </c>
      <c r="AD57" s="1948">
        <f t="shared" si="188"/>
        <v>3.5</v>
      </c>
      <c r="AE57" s="2066">
        <f t="shared" si="189"/>
        <v>13270</v>
      </c>
      <c r="AF57" s="2013">
        <v>0</v>
      </c>
      <c r="AG57" s="2014">
        <v>0</v>
      </c>
      <c r="AH57" s="1948">
        <f t="shared" si="190"/>
        <v>3.5</v>
      </c>
      <c r="AI57" s="2066">
        <f t="shared" si="191"/>
        <v>13270</v>
      </c>
      <c r="AJ57" s="2013">
        <v>0</v>
      </c>
      <c r="AK57" s="2014">
        <v>0</v>
      </c>
      <c r="AL57" s="3438">
        <f t="shared" si="192"/>
        <v>1</v>
      </c>
      <c r="AM57" s="3439">
        <f t="shared" si="193"/>
        <v>3906</v>
      </c>
      <c r="AN57" s="1948">
        <f t="shared" si="204"/>
        <v>3.5</v>
      </c>
      <c r="AO57" s="2066">
        <f t="shared" si="205"/>
        <v>13270</v>
      </c>
      <c r="AP57" s="2013">
        <v>0</v>
      </c>
      <c r="AQ57" s="2014">
        <v>0</v>
      </c>
      <c r="AR57" s="1948">
        <f t="shared" si="194"/>
        <v>3.5</v>
      </c>
      <c r="AS57" s="2066">
        <f t="shared" si="195"/>
        <v>13270</v>
      </c>
      <c r="AT57" s="2013"/>
      <c r="AU57" s="2014"/>
      <c r="AV57" s="1948">
        <f t="shared" si="196"/>
        <v>3.5</v>
      </c>
      <c r="AW57" s="2066">
        <f t="shared" si="197"/>
        <v>13270</v>
      </c>
      <c r="AX57" s="2013">
        <v>0</v>
      </c>
      <c r="AY57" s="2014">
        <v>0</v>
      </c>
      <c r="AZ57" s="3438">
        <f t="shared" si="198"/>
        <v>0</v>
      </c>
      <c r="BA57" s="5859">
        <f t="shared" si="199"/>
        <v>0</v>
      </c>
      <c r="BB57" s="5813">
        <f t="shared" si="200"/>
        <v>1</v>
      </c>
      <c r="BC57" s="5814">
        <f t="shared" si="201"/>
        <v>3906</v>
      </c>
      <c r="BD57" s="1948">
        <f t="shared" si="202"/>
        <v>3.5</v>
      </c>
      <c r="BE57" s="2066">
        <f t="shared" si="203"/>
        <v>13270</v>
      </c>
      <c r="BF57" s="648"/>
      <c r="BG57" s="648"/>
      <c r="BH57" s="648"/>
      <c r="BI57" s="648"/>
    </row>
    <row r="58" spans="2:61" s="1721" customFormat="1" ht="21.95" customHeight="1" thickBot="1" x14ac:dyDescent="0.3">
      <c r="B58" s="6262"/>
      <c r="C58" s="1939" t="s">
        <v>2</v>
      </c>
      <c r="D58" s="4038">
        <f>SUM(D49:D57)</f>
        <v>18</v>
      </c>
      <c r="E58" s="4038">
        <f t="shared" ref="E58:AA58" si="210">SUM(E49:E57)</f>
        <v>68020</v>
      </c>
      <c r="F58" s="4038">
        <f t="shared" si="210"/>
        <v>16</v>
      </c>
      <c r="G58" s="4038">
        <f t="shared" si="210"/>
        <v>60428</v>
      </c>
      <c r="H58" s="4038">
        <f t="shared" si="210"/>
        <v>34</v>
      </c>
      <c r="I58" s="4038">
        <f t="shared" si="210"/>
        <v>128448</v>
      </c>
      <c r="J58" s="4038">
        <f t="shared" si="210"/>
        <v>12</v>
      </c>
      <c r="K58" s="4038">
        <f t="shared" si="210"/>
        <v>45358</v>
      </c>
      <c r="L58" s="3640">
        <f t="shared" si="210"/>
        <v>46</v>
      </c>
      <c r="M58" s="3640">
        <f t="shared" si="210"/>
        <v>173806</v>
      </c>
      <c r="N58" s="4038">
        <f t="shared" si="210"/>
        <v>20</v>
      </c>
      <c r="O58" s="4038">
        <f t="shared" si="210"/>
        <v>74329.459322033887</v>
      </c>
      <c r="P58" s="4038">
        <f t="shared" si="210"/>
        <v>66</v>
      </c>
      <c r="Q58" s="4038">
        <f t="shared" si="210"/>
        <v>248135.45932203389</v>
      </c>
      <c r="R58" s="4038">
        <f t="shared" si="210"/>
        <v>10.899999999999999</v>
      </c>
      <c r="S58" s="4038">
        <f t="shared" si="210"/>
        <v>40683</v>
      </c>
      <c r="T58" s="4038">
        <f t="shared" si="210"/>
        <v>76.900000000000006</v>
      </c>
      <c r="U58" s="4038">
        <f t="shared" si="210"/>
        <v>288818.45932203392</v>
      </c>
      <c r="V58" s="4038">
        <f t="shared" si="210"/>
        <v>13.1</v>
      </c>
      <c r="W58" s="4038">
        <f t="shared" si="210"/>
        <v>50309</v>
      </c>
      <c r="X58" s="3640">
        <f t="shared" si="210"/>
        <v>44.000000000000007</v>
      </c>
      <c r="Y58" s="5863">
        <f t="shared" si="210"/>
        <v>165321.45932203389</v>
      </c>
      <c r="Z58" s="5843">
        <f t="shared" si="210"/>
        <v>90</v>
      </c>
      <c r="AA58" s="5843">
        <f t="shared" si="210"/>
        <v>339127.45932203392</v>
      </c>
      <c r="AB58" s="5870">
        <f t="shared" ref="AB58:AE58" si="211">SUM(AB49:AB57)</f>
        <v>16</v>
      </c>
      <c r="AC58" s="4038">
        <f t="shared" si="211"/>
        <v>61269</v>
      </c>
      <c r="AD58" s="4038">
        <f t="shared" si="211"/>
        <v>106</v>
      </c>
      <c r="AE58" s="4038">
        <f t="shared" si="211"/>
        <v>400396.45932203392</v>
      </c>
      <c r="AF58" s="4038">
        <f t="shared" ref="AF58:AI58" si="212">SUM(AF49:AF57)</f>
        <v>13</v>
      </c>
      <c r="AG58" s="4038">
        <f t="shared" si="212"/>
        <v>49783</v>
      </c>
      <c r="AH58" s="4038">
        <f t="shared" si="212"/>
        <v>119</v>
      </c>
      <c r="AI58" s="4038">
        <f t="shared" si="212"/>
        <v>450179.45932203386</v>
      </c>
      <c r="AJ58" s="4038">
        <f t="shared" ref="AJ58:AS58" si="213">SUM(AJ49:AJ57)</f>
        <v>15.9</v>
      </c>
      <c r="AK58" s="4038">
        <f t="shared" si="213"/>
        <v>60274</v>
      </c>
      <c r="AL58" s="4038">
        <f t="shared" si="213"/>
        <v>44.900000000000006</v>
      </c>
      <c r="AM58" s="4038">
        <f t="shared" si="213"/>
        <v>171326</v>
      </c>
      <c r="AN58" s="4038">
        <f t="shared" si="213"/>
        <v>134.9</v>
      </c>
      <c r="AO58" s="4038">
        <f t="shared" si="213"/>
        <v>510453.45932203386</v>
      </c>
      <c r="AP58" s="4038">
        <f t="shared" si="213"/>
        <v>13</v>
      </c>
      <c r="AQ58" s="4038">
        <f t="shared" si="213"/>
        <v>50395</v>
      </c>
      <c r="AR58" s="4038">
        <f t="shared" si="213"/>
        <v>147.9</v>
      </c>
      <c r="AS58" s="4038">
        <f t="shared" si="213"/>
        <v>560848.4593220338</v>
      </c>
      <c r="AT58" s="4038">
        <f t="shared" ref="AT58:AW58" si="214">SUM(AT49:AT57)</f>
        <v>11.9</v>
      </c>
      <c r="AU58" s="4038">
        <f t="shared" si="214"/>
        <v>45428</v>
      </c>
      <c r="AV58" s="4038">
        <f t="shared" si="214"/>
        <v>159.80000000000001</v>
      </c>
      <c r="AW58" s="4038">
        <f t="shared" si="214"/>
        <v>606276.4593220338</v>
      </c>
      <c r="AX58" s="4038">
        <f t="shared" ref="AX58:BE58" si="215">SUM(AX49:AX57)</f>
        <v>14</v>
      </c>
      <c r="AY58" s="4038">
        <f t="shared" si="215"/>
        <v>53911</v>
      </c>
      <c r="AZ58" s="4038">
        <f t="shared" si="215"/>
        <v>38.9</v>
      </c>
      <c r="BA58" s="5885">
        <f t="shared" si="215"/>
        <v>149734</v>
      </c>
      <c r="BB58" s="5806">
        <f t="shared" si="215"/>
        <v>83.8</v>
      </c>
      <c r="BC58" s="5806">
        <f t="shared" si="215"/>
        <v>321060</v>
      </c>
      <c r="BD58" s="5870">
        <f t="shared" si="215"/>
        <v>173.79999999999998</v>
      </c>
      <c r="BE58" s="4038">
        <f t="shared" si="215"/>
        <v>660187.4593220338</v>
      </c>
      <c r="BF58" s="648"/>
      <c r="BG58" s="648"/>
      <c r="BH58" s="648"/>
      <c r="BI58" s="648"/>
    </row>
    <row r="59" spans="2:61" s="1721" customFormat="1" ht="21.95" customHeight="1" thickBot="1" x14ac:dyDescent="0.3">
      <c r="B59" s="6262"/>
      <c r="C59" s="1913" t="s">
        <v>1304</v>
      </c>
      <c r="D59" s="1916">
        <v>16</v>
      </c>
      <c r="E59" s="1932">
        <v>59995</v>
      </c>
      <c r="F59" s="1916">
        <v>12</v>
      </c>
      <c r="G59" s="1932">
        <v>44943</v>
      </c>
      <c r="H59" s="1948">
        <f t="shared" si="0"/>
        <v>28</v>
      </c>
      <c r="I59" s="1949">
        <f t="shared" si="1"/>
        <v>104938</v>
      </c>
      <c r="J59" s="1916">
        <v>10</v>
      </c>
      <c r="K59" s="3427">
        <v>37276</v>
      </c>
      <c r="L59" s="3438">
        <f t="shared" si="2"/>
        <v>38</v>
      </c>
      <c r="M59" s="3439">
        <f t="shared" si="3"/>
        <v>142214</v>
      </c>
      <c r="N59" s="1916">
        <v>17</v>
      </c>
      <c r="O59" s="1932">
        <v>62759.459322033901</v>
      </c>
      <c r="P59" s="2066">
        <f t="shared" si="4"/>
        <v>55</v>
      </c>
      <c r="Q59" s="2066">
        <f t="shared" si="5"/>
        <v>204973.45932203392</v>
      </c>
      <c r="R59" s="2013">
        <v>9</v>
      </c>
      <c r="S59" s="2014">
        <v>32758</v>
      </c>
      <c r="T59" s="1948">
        <f t="shared" si="6"/>
        <v>64</v>
      </c>
      <c r="U59" s="2066">
        <f t="shared" si="6"/>
        <v>237731.45932203392</v>
      </c>
      <c r="V59" s="2013">
        <v>6</v>
      </c>
      <c r="W59" s="3662">
        <v>21317</v>
      </c>
      <c r="X59" s="3438">
        <f t="shared" si="7"/>
        <v>32</v>
      </c>
      <c r="Y59" s="5859">
        <f t="shared" si="8"/>
        <v>116834.4593220339</v>
      </c>
      <c r="Z59" s="5844">
        <f t="shared" si="9"/>
        <v>70</v>
      </c>
      <c r="AA59" s="5842">
        <f t="shared" si="10"/>
        <v>259048.45932203392</v>
      </c>
      <c r="AB59" s="2013">
        <v>14</v>
      </c>
      <c r="AC59" s="2014">
        <v>53679</v>
      </c>
      <c r="AD59" s="1948">
        <f t="shared" ref="AD59:AD65" si="216">Z59+AB59</f>
        <v>84</v>
      </c>
      <c r="AE59" s="2066">
        <f t="shared" ref="AE59:AE64" si="217">AA59+AC59</f>
        <v>312727.45932203392</v>
      </c>
      <c r="AF59" s="2013">
        <v>11</v>
      </c>
      <c r="AG59" s="2014">
        <v>41689</v>
      </c>
      <c r="AH59" s="1948">
        <f t="shared" ref="AH59:AH65" si="218">AD59+AF59</f>
        <v>95</v>
      </c>
      <c r="AI59" s="2066">
        <f t="shared" ref="AI59:AI64" si="219">AE59+AG59</f>
        <v>354416.45932203392</v>
      </c>
      <c r="AJ59" s="2013">
        <v>14</v>
      </c>
      <c r="AK59" s="2014">
        <v>52259</v>
      </c>
      <c r="AL59" s="3438">
        <f t="shared" ref="AL59:AL63" si="220">+AB59+AF59+AJ59</f>
        <v>39</v>
      </c>
      <c r="AM59" s="3439">
        <f t="shared" ref="AM59:AM75" si="221">+AC59+AG59+AK59</f>
        <v>147627</v>
      </c>
      <c r="AN59" s="1948">
        <f t="shared" si="204"/>
        <v>109</v>
      </c>
      <c r="AO59" s="2066">
        <f t="shared" si="204"/>
        <v>406675.45932203392</v>
      </c>
      <c r="AP59" s="2013">
        <v>6</v>
      </c>
      <c r="AQ59" s="2014">
        <v>22790</v>
      </c>
      <c r="AR59" s="1948">
        <f t="shared" ref="AR59:AR68" si="222">AN59+AP59</f>
        <v>115</v>
      </c>
      <c r="AS59" s="2066">
        <f t="shared" ref="AS59:AS64" si="223">AO59+AQ59</f>
        <v>429465.45932203392</v>
      </c>
      <c r="AT59" s="2013">
        <v>9</v>
      </c>
      <c r="AU59" s="2014">
        <v>33428</v>
      </c>
      <c r="AV59" s="1948">
        <f t="shared" ref="AV59:AV75" si="224">AR59+AT59</f>
        <v>124</v>
      </c>
      <c r="AW59" s="2066">
        <f t="shared" ref="AW59:AW64" si="225">AS59+AU59</f>
        <v>462893.45932203392</v>
      </c>
      <c r="AX59" s="2013">
        <v>11</v>
      </c>
      <c r="AY59" s="2014">
        <v>41982</v>
      </c>
      <c r="AZ59" s="3438">
        <f t="shared" ref="AZ59:AZ63" si="226">+AP59+AT59+AX59</f>
        <v>26</v>
      </c>
      <c r="BA59" s="5859">
        <f t="shared" ref="BA59:BA75" si="227">+AQ59+AU59+AY59</f>
        <v>98200</v>
      </c>
      <c r="BB59" s="5813">
        <f t="shared" ref="BB59:BB63" si="228">AL59+AZ59</f>
        <v>65</v>
      </c>
      <c r="BC59" s="5814">
        <f t="shared" ref="BC59:BC68" si="229">AM59+BA59</f>
        <v>245827</v>
      </c>
      <c r="BD59" s="1948">
        <f t="shared" ref="BD59:BD63" si="230">AV59+AX59</f>
        <v>135</v>
      </c>
      <c r="BE59" s="2066">
        <f t="shared" ref="BE59:BE64" si="231">AW59+AY59</f>
        <v>504875.45932203392</v>
      </c>
      <c r="BF59" s="648"/>
      <c r="BG59" s="648"/>
      <c r="BH59" s="648"/>
      <c r="BI59" s="648"/>
    </row>
    <row r="60" spans="2:61" s="1721" customFormat="1" ht="21.95" customHeight="1" thickBot="1" x14ac:dyDescent="0.3">
      <c r="B60" s="6262"/>
      <c r="C60" s="1913" t="s">
        <v>1305</v>
      </c>
      <c r="D60" s="1916">
        <v>2.5</v>
      </c>
      <c r="E60" s="1932">
        <v>8025</v>
      </c>
      <c r="F60" s="1916">
        <v>3</v>
      </c>
      <c r="G60" s="1932">
        <v>11810</v>
      </c>
      <c r="H60" s="1948">
        <f t="shared" si="0"/>
        <v>5.5</v>
      </c>
      <c r="I60" s="1949">
        <f t="shared" si="1"/>
        <v>19835</v>
      </c>
      <c r="J60" s="1916">
        <v>2</v>
      </c>
      <c r="K60" s="3427">
        <v>8082</v>
      </c>
      <c r="L60" s="3438">
        <f t="shared" si="2"/>
        <v>7.5</v>
      </c>
      <c r="M60" s="3439">
        <f t="shared" si="3"/>
        <v>27917</v>
      </c>
      <c r="N60" s="1916">
        <v>0.98275862068965525</v>
      </c>
      <c r="O60" s="1932">
        <v>3982.2</v>
      </c>
      <c r="P60" s="2066">
        <f t="shared" si="4"/>
        <v>8.4827586206896548</v>
      </c>
      <c r="Q60" s="2066">
        <f t="shared" si="5"/>
        <v>31899.200000000001</v>
      </c>
      <c r="R60" s="2013">
        <v>2</v>
      </c>
      <c r="S60" s="2014">
        <v>7926</v>
      </c>
      <c r="T60" s="1948">
        <f t="shared" si="6"/>
        <v>10.482758620689655</v>
      </c>
      <c r="U60" s="2066">
        <f t="shared" si="6"/>
        <v>39825.199999999997</v>
      </c>
      <c r="V60" s="2013">
        <v>3</v>
      </c>
      <c r="W60" s="3662">
        <v>8223</v>
      </c>
      <c r="X60" s="3438">
        <f t="shared" si="7"/>
        <v>5.9827586206896548</v>
      </c>
      <c r="Y60" s="5859">
        <f t="shared" si="8"/>
        <v>20131.2</v>
      </c>
      <c r="Z60" s="5844">
        <f t="shared" si="9"/>
        <v>13.482758620689655</v>
      </c>
      <c r="AA60" s="5842">
        <f t="shared" si="10"/>
        <v>48048.2</v>
      </c>
      <c r="AB60" s="2013">
        <v>1</v>
      </c>
      <c r="AC60" s="2014">
        <v>3702</v>
      </c>
      <c r="AD60" s="1948">
        <f t="shared" si="216"/>
        <v>14.482758620689655</v>
      </c>
      <c r="AE60" s="2066">
        <f t="shared" si="217"/>
        <v>51750.2</v>
      </c>
      <c r="AF60" s="2013">
        <v>2</v>
      </c>
      <c r="AG60" s="2014">
        <v>8094</v>
      </c>
      <c r="AH60" s="1948">
        <f t="shared" si="218"/>
        <v>16.482758620689655</v>
      </c>
      <c r="AI60" s="2066">
        <f t="shared" si="219"/>
        <v>59844.2</v>
      </c>
      <c r="AJ60" s="2013">
        <v>2</v>
      </c>
      <c r="AK60" s="2014">
        <v>80143</v>
      </c>
      <c r="AL60" s="3438">
        <f t="shared" si="220"/>
        <v>5</v>
      </c>
      <c r="AM60" s="3439">
        <f t="shared" si="221"/>
        <v>91939</v>
      </c>
      <c r="AN60" s="1948">
        <f t="shared" ref="AN60:AN75" si="232">AH60+AJ60</f>
        <v>18.482758620689655</v>
      </c>
      <c r="AO60" s="2066">
        <f t="shared" ref="AO60:AO75" si="233">AI60+AK60</f>
        <v>139987.20000000001</v>
      </c>
      <c r="AP60" s="2013">
        <v>7</v>
      </c>
      <c r="AQ60" s="2014">
        <v>27605</v>
      </c>
      <c r="AR60" s="1948">
        <f t="shared" si="222"/>
        <v>25.482758620689655</v>
      </c>
      <c r="AS60" s="2066">
        <f t="shared" si="223"/>
        <v>167592.20000000001</v>
      </c>
      <c r="AT60" s="2013">
        <v>3</v>
      </c>
      <c r="AU60" s="2014">
        <v>12000</v>
      </c>
      <c r="AV60" s="1948">
        <f t="shared" si="224"/>
        <v>28.482758620689655</v>
      </c>
      <c r="AW60" s="2066">
        <f t="shared" si="225"/>
        <v>179592.2</v>
      </c>
      <c r="AX60" s="2013">
        <v>3</v>
      </c>
      <c r="AY60" s="2014">
        <v>11928</v>
      </c>
      <c r="AZ60" s="3438">
        <f t="shared" si="226"/>
        <v>13</v>
      </c>
      <c r="BA60" s="5859">
        <f t="shared" si="227"/>
        <v>51533</v>
      </c>
      <c r="BB60" s="5813">
        <f t="shared" si="228"/>
        <v>18</v>
      </c>
      <c r="BC60" s="5814">
        <f t="shared" si="229"/>
        <v>143472</v>
      </c>
      <c r="BD60" s="1948">
        <f t="shared" si="230"/>
        <v>31.482758620689655</v>
      </c>
      <c r="BE60" s="2066">
        <f t="shared" si="231"/>
        <v>191520.2</v>
      </c>
      <c r="BF60" s="648"/>
      <c r="BG60" s="648"/>
      <c r="BH60" s="648"/>
      <c r="BI60" s="648"/>
    </row>
    <row r="61" spans="2:61" s="1721" customFormat="1" ht="21.95" customHeight="1" thickBot="1" x14ac:dyDescent="0.3">
      <c r="B61" s="6263"/>
      <c r="C61" s="1921" t="s">
        <v>1306</v>
      </c>
      <c r="D61" s="1919">
        <v>0</v>
      </c>
      <c r="E61" s="1940">
        <v>0</v>
      </c>
      <c r="F61" s="1919">
        <v>1</v>
      </c>
      <c r="G61" s="1940">
        <v>3676</v>
      </c>
      <c r="H61" s="1948" t="s">
        <v>34</v>
      </c>
      <c r="I61" s="1949" t="s">
        <v>34</v>
      </c>
      <c r="J61" s="1919">
        <v>0</v>
      </c>
      <c r="K61" s="3428">
        <v>0</v>
      </c>
      <c r="L61" s="3438">
        <f t="shared" si="2"/>
        <v>1</v>
      </c>
      <c r="M61" s="3439">
        <f t="shared" si="3"/>
        <v>3676</v>
      </c>
      <c r="N61" s="1919">
        <v>2</v>
      </c>
      <c r="O61" s="1940">
        <v>7587.8000000000011</v>
      </c>
      <c r="P61" s="2066">
        <f t="shared" si="4"/>
        <v>3</v>
      </c>
      <c r="Q61" s="2066">
        <f t="shared" si="5"/>
        <v>11263.800000000001</v>
      </c>
      <c r="R61" s="2015">
        <v>0</v>
      </c>
      <c r="S61" s="2016">
        <v>0</v>
      </c>
      <c r="T61" s="1948">
        <f t="shared" si="6"/>
        <v>3</v>
      </c>
      <c r="U61" s="2066">
        <f t="shared" si="6"/>
        <v>11263.800000000001</v>
      </c>
      <c r="V61" s="2015">
        <v>0</v>
      </c>
      <c r="W61" s="3666">
        <v>0</v>
      </c>
      <c r="X61" s="3438">
        <f t="shared" si="7"/>
        <v>2</v>
      </c>
      <c r="Y61" s="5859">
        <f t="shared" si="8"/>
        <v>7587.8000000000011</v>
      </c>
      <c r="Z61" s="5844">
        <f t="shared" si="9"/>
        <v>3</v>
      </c>
      <c r="AA61" s="5842">
        <f t="shared" si="10"/>
        <v>11263.800000000001</v>
      </c>
      <c r="AB61" s="2015">
        <v>1</v>
      </c>
      <c r="AC61" s="2016">
        <v>3890</v>
      </c>
      <c r="AD61" s="1948">
        <f t="shared" si="216"/>
        <v>4</v>
      </c>
      <c r="AE61" s="2066">
        <f t="shared" si="217"/>
        <v>15153.800000000001</v>
      </c>
      <c r="AF61" s="2015">
        <v>0</v>
      </c>
      <c r="AG61" s="2016">
        <v>0</v>
      </c>
      <c r="AH61" s="1948">
        <f t="shared" si="218"/>
        <v>4</v>
      </c>
      <c r="AI61" s="2066">
        <f t="shared" si="219"/>
        <v>15153.800000000001</v>
      </c>
      <c r="AJ61" s="2015">
        <v>0</v>
      </c>
      <c r="AK61" s="2016">
        <v>0</v>
      </c>
      <c r="AL61" s="3438">
        <f t="shared" si="220"/>
        <v>1</v>
      </c>
      <c r="AM61" s="3439">
        <f t="shared" si="221"/>
        <v>3890</v>
      </c>
      <c r="AN61" s="1948">
        <f t="shared" si="232"/>
        <v>4</v>
      </c>
      <c r="AO61" s="2066">
        <f t="shared" si="233"/>
        <v>15153.800000000001</v>
      </c>
      <c r="AP61" s="2015">
        <v>0</v>
      </c>
      <c r="AQ61" s="2016">
        <v>0</v>
      </c>
      <c r="AR61" s="1948">
        <f t="shared" si="222"/>
        <v>4</v>
      </c>
      <c r="AS61" s="2066">
        <f t="shared" si="223"/>
        <v>15153.800000000001</v>
      </c>
      <c r="AT61" s="2015">
        <v>0</v>
      </c>
      <c r="AU61" s="2016"/>
      <c r="AV61" s="1948">
        <f t="shared" si="224"/>
        <v>4</v>
      </c>
      <c r="AW61" s="2066">
        <f t="shared" si="225"/>
        <v>15153.800000000001</v>
      </c>
      <c r="AX61" s="2015">
        <v>0</v>
      </c>
      <c r="AY61" s="2016">
        <v>0</v>
      </c>
      <c r="AZ61" s="3438">
        <f t="shared" si="226"/>
        <v>0</v>
      </c>
      <c r="BA61" s="5859">
        <f t="shared" si="227"/>
        <v>0</v>
      </c>
      <c r="BB61" s="5813">
        <f t="shared" si="228"/>
        <v>1</v>
      </c>
      <c r="BC61" s="5814">
        <f t="shared" si="229"/>
        <v>3890</v>
      </c>
      <c r="BD61" s="1948">
        <f t="shared" si="230"/>
        <v>4</v>
      </c>
      <c r="BE61" s="2066">
        <f t="shared" si="231"/>
        <v>15153.800000000001</v>
      </c>
      <c r="BF61" s="648"/>
      <c r="BG61" s="648"/>
      <c r="BH61" s="648"/>
      <c r="BI61" s="648"/>
    </row>
    <row r="62" spans="2:61" s="1721" customFormat="1" ht="21.95" customHeight="1" thickBot="1" x14ac:dyDescent="0.3">
      <c r="B62" s="1942" t="s">
        <v>1307</v>
      </c>
      <c r="C62" s="2390" t="s">
        <v>1070</v>
      </c>
      <c r="D62" s="3653">
        <v>1</v>
      </c>
      <c r="E62" s="3652">
        <v>3920</v>
      </c>
      <c r="F62" s="3653">
        <v>2</v>
      </c>
      <c r="G62" s="3652">
        <v>7887</v>
      </c>
      <c r="H62" s="3654">
        <f t="shared" si="0"/>
        <v>3</v>
      </c>
      <c r="I62" s="3655">
        <f t="shared" si="1"/>
        <v>11807</v>
      </c>
      <c r="J62" s="3653">
        <v>1</v>
      </c>
      <c r="K62" s="3656">
        <v>3967</v>
      </c>
      <c r="L62" s="3640">
        <f t="shared" si="2"/>
        <v>4</v>
      </c>
      <c r="M62" s="3440">
        <f t="shared" si="3"/>
        <v>15774</v>
      </c>
      <c r="N62" s="3653">
        <v>2</v>
      </c>
      <c r="O62" s="3652">
        <v>7398.0999999999995</v>
      </c>
      <c r="P62" s="3657">
        <f t="shared" si="4"/>
        <v>6</v>
      </c>
      <c r="Q62" s="2777">
        <f t="shared" si="5"/>
        <v>23172.1</v>
      </c>
      <c r="R62" s="3658">
        <v>2</v>
      </c>
      <c r="S62" s="3659">
        <v>7760</v>
      </c>
      <c r="T62" s="3654">
        <f t="shared" si="6"/>
        <v>8</v>
      </c>
      <c r="U62" s="3657">
        <f t="shared" si="6"/>
        <v>30932.1</v>
      </c>
      <c r="V62" s="3658">
        <v>2</v>
      </c>
      <c r="W62" s="3667">
        <v>7624</v>
      </c>
      <c r="X62" s="3640">
        <f t="shared" si="7"/>
        <v>6</v>
      </c>
      <c r="Y62" s="5864">
        <f t="shared" si="8"/>
        <v>22782.1</v>
      </c>
      <c r="Z62" s="5877">
        <f t="shared" si="9"/>
        <v>10</v>
      </c>
      <c r="AA62" s="5843">
        <f t="shared" si="10"/>
        <v>38556.1</v>
      </c>
      <c r="AB62" s="3658">
        <v>1</v>
      </c>
      <c r="AC62" s="3659">
        <v>3745</v>
      </c>
      <c r="AD62" s="3654">
        <f t="shared" si="216"/>
        <v>11</v>
      </c>
      <c r="AE62" s="3657">
        <f t="shared" si="217"/>
        <v>42301.1</v>
      </c>
      <c r="AF62" s="3658">
        <v>2</v>
      </c>
      <c r="AG62" s="3659">
        <v>7725</v>
      </c>
      <c r="AH62" s="3654">
        <f t="shared" si="218"/>
        <v>13</v>
      </c>
      <c r="AI62" s="3657">
        <f t="shared" si="219"/>
        <v>50026.1</v>
      </c>
      <c r="AJ62" s="3658">
        <v>2</v>
      </c>
      <c r="AK62" s="3659">
        <v>6577</v>
      </c>
      <c r="AL62" s="3640">
        <f t="shared" si="220"/>
        <v>5</v>
      </c>
      <c r="AM62" s="3440">
        <f t="shared" si="221"/>
        <v>18047</v>
      </c>
      <c r="AN62" s="3654">
        <f t="shared" si="232"/>
        <v>15</v>
      </c>
      <c r="AO62" s="3657">
        <f t="shared" si="233"/>
        <v>56603.1</v>
      </c>
      <c r="AP62" s="3658">
        <v>2</v>
      </c>
      <c r="AQ62" s="3659">
        <v>7418</v>
      </c>
      <c r="AR62" s="3654">
        <f t="shared" si="222"/>
        <v>17</v>
      </c>
      <c r="AS62" s="3657">
        <f t="shared" si="223"/>
        <v>64021.1</v>
      </c>
      <c r="AT62" s="3658">
        <v>1</v>
      </c>
      <c r="AU62" s="3659">
        <v>3958</v>
      </c>
      <c r="AV62" s="3654">
        <f t="shared" si="224"/>
        <v>18</v>
      </c>
      <c r="AW62" s="3657">
        <f t="shared" si="225"/>
        <v>67979.100000000006</v>
      </c>
      <c r="AX62" s="3658">
        <v>0</v>
      </c>
      <c r="AY62" s="3659">
        <v>0</v>
      </c>
      <c r="AZ62" s="3640">
        <f t="shared" si="226"/>
        <v>3</v>
      </c>
      <c r="BA62" s="5864">
        <f t="shared" si="227"/>
        <v>11376</v>
      </c>
      <c r="BB62" s="5813">
        <f t="shared" si="228"/>
        <v>8</v>
      </c>
      <c r="BC62" s="5814">
        <f t="shared" si="229"/>
        <v>29423</v>
      </c>
      <c r="BD62" s="3654">
        <f t="shared" si="230"/>
        <v>18</v>
      </c>
      <c r="BE62" s="3657">
        <f t="shared" si="231"/>
        <v>67979.100000000006</v>
      </c>
      <c r="BF62" s="648"/>
      <c r="BG62" s="648"/>
      <c r="BH62" s="648"/>
      <c r="BI62" s="648"/>
    </row>
    <row r="63" spans="2:61" s="1719" customFormat="1" ht="21.95" customHeight="1" thickBot="1" x14ac:dyDescent="0.3">
      <c r="B63" s="6259"/>
      <c r="C63" s="4571" t="s">
        <v>1310</v>
      </c>
      <c r="D63" s="4572">
        <v>0</v>
      </c>
      <c r="E63" s="4573">
        <v>0</v>
      </c>
      <c r="F63" s="4572">
        <v>1</v>
      </c>
      <c r="G63" s="4573">
        <v>3977.4</v>
      </c>
      <c r="H63" s="4574" t="s">
        <v>34</v>
      </c>
      <c r="I63" s="4575" t="s">
        <v>34</v>
      </c>
      <c r="J63" s="4572">
        <v>0</v>
      </c>
      <c r="K63" s="4576">
        <v>0</v>
      </c>
      <c r="L63" s="4577">
        <f t="shared" si="2"/>
        <v>1</v>
      </c>
      <c r="M63" s="4578">
        <f t="shared" si="3"/>
        <v>3977.4</v>
      </c>
      <c r="N63" s="4579">
        <v>0</v>
      </c>
      <c r="O63" s="4573">
        <v>0</v>
      </c>
      <c r="P63" s="4575">
        <f t="shared" si="4"/>
        <v>1</v>
      </c>
      <c r="Q63" s="3657">
        <f t="shared" si="5"/>
        <v>3977.4</v>
      </c>
      <c r="R63" s="4580">
        <v>1</v>
      </c>
      <c r="S63" s="4581">
        <v>3685</v>
      </c>
      <c r="T63" s="4574">
        <f t="shared" si="6"/>
        <v>2</v>
      </c>
      <c r="U63" s="4575">
        <f t="shared" si="6"/>
        <v>7662.4</v>
      </c>
      <c r="V63" s="4580">
        <v>0</v>
      </c>
      <c r="W63" s="4582">
        <v>0</v>
      </c>
      <c r="X63" s="4577">
        <f t="shared" si="7"/>
        <v>1</v>
      </c>
      <c r="Y63" s="5865">
        <f t="shared" si="8"/>
        <v>3685</v>
      </c>
      <c r="Z63" s="5877">
        <f t="shared" si="9"/>
        <v>2</v>
      </c>
      <c r="AA63" s="5843">
        <f t="shared" si="10"/>
        <v>7662.4</v>
      </c>
      <c r="AB63" s="5871">
        <v>0</v>
      </c>
      <c r="AC63" s="4581">
        <v>0</v>
      </c>
      <c r="AD63" s="4574">
        <f t="shared" si="216"/>
        <v>2</v>
      </c>
      <c r="AE63" s="4575">
        <f t="shared" si="217"/>
        <v>7662.4</v>
      </c>
      <c r="AF63" s="4580">
        <v>1</v>
      </c>
      <c r="AG63" s="4581">
        <v>3537</v>
      </c>
      <c r="AH63" s="4574">
        <f t="shared" si="218"/>
        <v>3</v>
      </c>
      <c r="AI63" s="4575">
        <f t="shared" si="219"/>
        <v>11199.4</v>
      </c>
      <c r="AJ63" s="4580">
        <v>0</v>
      </c>
      <c r="AK63" s="4581">
        <v>0</v>
      </c>
      <c r="AL63" s="4577">
        <f t="shared" si="220"/>
        <v>1</v>
      </c>
      <c r="AM63" s="4578">
        <f t="shared" si="221"/>
        <v>3537</v>
      </c>
      <c r="AN63" s="4574">
        <f t="shared" si="232"/>
        <v>3</v>
      </c>
      <c r="AO63" s="4575">
        <f t="shared" si="233"/>
        <v>11199.4</v>
      </c>
      <c r="AP63" s="4580">
        <v>0</v>
      </c>
      <c r="AQ63" s="4581">
        <v>0</v>
      </c>
      <c r="AR63" s="4574">
        <f t="shared" si="222"/>
        <v>3</v>
      </c>
      <c r="AS63" s="4575">
        <f t="shared" si="223"/>
        <v>11199.4</v>
      </c>
      <c r="AT63" s="4580"/>
      <c r="AU63" s="4581"/>
      <c r="AV63" s="4574">
        <f t="shared" si="224"/>
        <v>3</v>
      </c>
      <c r="AW63" s="4575">
        <f t="shared" si="225"/>
        <v>11199.4</v>
      </c>
      <c r="AX63" s="4580">
        <v>1</v>
      </c>
      <c r="AY63" s="4581">
        <v>4067</v>
      </c>
      <c r="AZ63" s="4577">
        <f t="shared" si="226"/>
        <v>1</v>
      </c>
      <c r="BA63" s="5865">
        <f t="shared" si="227"/>
        <v>4067</v>
      </c>
      <c r="BB63" s="5813">
        <f t="shared" si="228"/>
        <v>2</v>
      </c>
      <c r="BC63" s="5814">
        <f t="shared" si="229"/>
        <v>7604</v>
      </c>
      <c r="BD63" s="5888">
        <f t="shared" si="230"/>
        <v>4</v>
      </c>
      <c r="BE63" s="4575">
        <f t="shared" si="231"/>
        <v>15266.4</v>
      </c>
      <c r="BF63" s="648"/>
      <c r="BG63" s="648"/>
      <c r="BH63" s="648"/>
      <c r="BI63" s="648"/>
    </row>
    <row r="64" spans="2:61" s="1719" customFormat="1" ht="21.95" customHeight="1" thickBot="1" x14ac:dyDescent="0.3">
      <c r="B64" s="6259"/>
      <c r="C64" s="4596" t="s">
        <v>1457</v>
      </c>
      <c r="D64" s="4597"/>
      <c r="E64" s="4598">
        <f>SUM(E65:E68)</f>
        <v>6802</v>
      </c>
      <c r="F64" s="4597"/>
      <c r="G64" s="4598">
        <f>SUM(G65:G68)</f>
        <v>2544.91</v>
      </c>
      <c r="H64" s="3291">
        <f>SUM(D64,F64)</f>
        <v>0</v>
      </c>
      <c r="I64" s="4599">
        <f t="shared" si="1"/>
        <v>9346.91</v>
      </c>
      <c r="J64" s="4597"/>
      <c r="K64" s="4600">
        <f>SUM(K65:K68)</f>
        <v>0</v>
      </c>
      <c r="L64" s="4601"/>
      <c r="M64" s="4602">
        <f t="shared" si="3"/>
        <v>9346.91</v>
      </c>
      <c r="N64" s="1931"/>
      <c r="O64" s="4598">
        <f>SUM(O65:O68)</f>
        <v>0</v>
      </c>
      <c r="P64" s="2066">
        <f t="shared" ref="P64:P70" si="234">L64+N64</f>
        <v>0</v>
      </c>
      <c r="Q64" s="2777">
        <f t="shared" si="5"/>
        <v>9346.91</v>
      </c>
      <c r="R64" s="4603"/>
      <c r="S64" s="4598">
        <f>SUM(S65:S68)</f>
        <v>0</v>
      </c>
      <c r="T64" s="3291">
        <f t="shared" si="6"/>
        <v>0</v>
      </c>
      <c r="U64" s="4599">
        <f t="shared" si="6"/>
        <v>9346.91</v>
      </c>
      <c r="V64" s="4603"/>
      <c r="W64" s="4598">
        <f>SUM(W65:W68)</f>
        <v>0</v>
      </c>
      <c r="X64" s="4601"/>
      <c r="Y64" s="5866">
        <f t="shared" si="8"/>
        <v>0</v>
      </c>
      <c r="Z64" s="5844"/>
      <c r="AA64" s="5842">
        <f t="shared" si="10"/>
        <v>9346.91</v>
      </c>
      <c r="AB64" s="2011"/>
      <c r="AC64" s="4598">
        <f>SUM(AC65:AC68)</f>
        <v>0</v>
      </c>
      <c r="AD64" s="3291">
        <f t="shared" si="216"/>
        <v>0</v>
      </c>
      <c r="AE64" s="4599">
        <f t="shared" si="217"/>
        <v>9346.91</v>
      </c>
      <c r="AF64" s="4603"/>
      <c r="AG64" s="4598">
        <f>SUM(AG65:AG68)</f>
        <v>0</v>
      </c>
      <c r="AH64" s="3291">
        <f t="shared" si="218"/>
        <v>0</v>
      </c>
      <c r="AI64" s="4599">
        <f t="shared" si="219"/>
        <v>9346.91</v>
      </c>
      <c r="AJ64" s="4598"/>
      <c r="AK64" s="4598">
        <f>SUM(AK65:AK68)</f>
        <v>12298.400000000001</v>
      </c>
      <c r="AL64" s="4601"/>
      <c r="AM64" s="4602">
        <f t="shared" si="221"/>
        <v>12298.400000000001</v>
      </c>
      <c r="AN64" s="3291">
        <f t="shared" si="232"/>
        <v>0</v>
      </c>
      <c r="AO64" s="4599">
        <f t="shared" si="233"/>
        <v>21645.31</v>
      </c>
      <c r="AP64" s="4598"/>
      <c r="AQ64" s="4598">
        <f>SUM(AQ65:AQ68)</f>
        <v>5171.83</v>
      </c>
      <c r="AR64" s="3291">
        <f t="shared" si="222"/>
        <v>0</v>
      </c>
      <c r="AS64" s="3639">
        <f t="shared" si="223"/>
        <v>26817.14</v>
      </c>
      <c r="AT64" s="4598"/>
      <c r="AU64" s="4598">
        <f>SUM(AU65:AU68)</f>
        <v>7836</v>
      </c>
      <c r="AV64" s="3291">
        <f t="shared" si="224"/>
        <v>0</v>
      </c>
      <c r="AW64" s="3639">
        <f t="shared" si="225"/>
        <v>34653.14</v>
      </c>
      <c r="AX64" s="4598"/>
      <c r="AY64" s="4598">
        <f>SUM(AY65:AY68)</f>
        <v>12410</v>
      </c>
      <c r="AZ64" s="4601"/>
      <c r="BA64" s="5866">
        <f t="shared" si="227"/>
        <v>25417.83</v>
      </c>
      <c r="BB64" s="5813"/>
      <c r="BC64" s="5814">
        <f t="shared" si="229"/>
        <v>37716.230000000003</v>
      </c>
      <c r="BD64" s="1948"/>
      <c r="BE64" s="3639">
        <f t="shared" si="231"/>
        <v>47063.14</v>
      </c>
      <c r="BF64" s="648"/>
      <c r="BG64" s="648"/>
      <c r="BH64" s="648"/>
      <c r="BI64" s="648"/>
    </row>
    <row r="65" spans="2:61" s="1719" customFormat="1" ht="21.95" customHeight="1" thickBot="1" x14ac:dyDescent="0.3">
      <c r="B65" s="6259"/>
      <c r="C65" s="4604" t="s">
        <v>1755</v>
      </c>
      <c r="D65" s="4605"/>
      <c r="E65" s="4606">
        <v>6802</v>
      </c>
      <c r="F65" s="4605"/>
      <c r="G65" s="4606">
        <v>2544.91</v>
      </c>
      <c r="H65" s="4607">
        <f t="shared" ref="H65:H68" si="235">SUM(D65,F65)</f>
        <v>0</v>
      </c>
      <c r="I65" s="4608">
        <f>SUM(E65,G65)</f>
        <v>9346.91</v>
      </c>
      <c r="J65" s="4605"/>
      <c r="K65" s="3427"/>
      <c r="L65" s="3438"/>
      <c r="M65" s="3439">
        <f t="shared" si="3"/>
        <v>9346.91</v>
      </c>
      <c r="N65" s="1916"/>
      <c r="O65" s="4606"/>
      <c r="P65" s="2066"/>
      <c r="Q65" s="2066">
        <f>SUM(M65,O65)</f>
        <v>9346.91</v>
      </c>
      <c r="R65" s="4609"/>
      <c r="S65" s="4610"/>
      <c r="T65" s="4607"/>
      <c r="U65" s="4608">
        <f>SUM(Q65,S65)</f>
        <v>9346.91</v>
      </c>
      <c r="V65" s="4609"/>
      <c r="W65" s="3662">
        <v>0</v>
      </c>
      <c r="X65" s="3438"/>
      <c r="Y65" s="5859">
        <f t="shared" si="8"/>
        <v>0</v>
      </c>
      <c r="Z65" s="5844"/>
      <c r="AA65" s="5842">
        <f t="shared" si="10"/>
        <v>9346.91</v>
      </c>
      <c r="AB65" s="2013"/>
      <c r="AC65" s="4610">
        <v>0</v>
      </c>
      <c r="AD65" s="4607">
        <f t="shared" si="216"/>
        <v>0</v>
      </c>
      <c r="AE65" s="4608">
        <f>SUM(AA65,AC65)</f>
        <v>9346.91</v>
      </c>
      <c r="AF65" s="4609"/>
      <c r="AG65" s="4610">
        <v>0</v>
      </c>
      <c r="AH65" s="4607">
        <f t="shared" si="218"/>
        <v>0</v>
      </c>
      <c r="AI65" s="4608">
        <f>SUM(AE65,AG65)</f>
        <v>9346.91</v>
      </c>
      <c r="AJ65" s="4609"/>
      <c r="AK65" s="4610">
        <v>0</v>
      </c>
      <c r="AL65" s="3438"/>
      <c r="AM65" s="3439">
        <f t="shared" si="221"/>
        <v>0</v>
      </c>
      <c r="AN65" s="4607">
        <f t="shared" si="232"/>
        <v>0</v>
      </c>
      <c r="AO65" s="4608">
        <f t="shared" si="233"/>
        <v>9346.91</v>
      </c>
      <c r="AP65" s="4609"/>
      <c r="AQ65" s="4610"/>
      <c r="AR65" s="4607">
        <f t="shared" si="222"/>
        <v>0</v>
      </c>
      <c r="AS65" s="4611">
        <f>SUM(AO65,AQ65)</f>
        <v>9346.91</v>
      </c>
      <c r="AT65" s="4609"/>
      <c r="AU65" s="4610"/>
      <c r="AV65" s="4607">
        <f t="shared" si="224"/>
        <v>0</v>
      </c>
      <c r="AW65" s="4611">
        <f>SUM(AS65,AU65)</f>
        <v>9346.91</v>
      </c>
      <c r="AX65" s="4609"/>
      <c r="AY65" s="4610">
        <v>0</v>
      </c>
      <c r="AZ65" s="3438"/>
      <c r="BA65" s="5859">
        <f t="shared" si="227"/>
        <v>0</v>
      </c>
      <c r="BB65" s="5813"/>
      <c r="BC65" s="5814">
        <f t="shared" si="229"/>
        <v>0</v>
      </c>
      <c r="BD65" s="5887"/>
      <c r="BE65" s="4611">
        <f>SUM(AW65,AY65)</f>
        <v>9346.91</v>
      </c>
      <c r="BF65" s="648"/>
      <c r="BG65" s="648"/>
      <c r="BH65" s="648"/>
      <c r="BI65" s="648"/>
    </row>
    <row r="66" spans="2:61" s="1719" customFormat="1" ht="21.95" customHeight="1" thickBot="1" x14ac:dyDescent="0.3">
      <c r="B66" s="6259"/>
      <c r="C66" s="4604" t="s">
        <v>1908</v>
      </c>
      <c r="D66" s="4605"/>
      <c r="E66" s="4606"/>
      <c r="F66" s="4605"/>
      <c r="G66" s="4606"/>
      <c r="H66" s="4607">
        <f t="shared" si="235"/>
        <v>0</v>
      </c>
      <c r="I66" s="4608">
        <f t="shared" ref="I66:I68" si="236">SUM(E66,G66)</f>
        <v>0</v>
      </c>
      <c r="J66" s="4605"/>
      <c r="K66" s="3427"/>
      <c r="L66" s="3438"/>
      <c r="M66" s="3439">
        <f t="shared" si="3"/>
        <v>0</v>
      </c>
      <c r="N66" s="1916"/>
      <c r="O66" s="4606"/>
      <c r="P66" s="2066"/>
      <c r="Q66" s="2066">
        <f t="shared" ref="Q66:Q68" si="237">SUM(M66,O66)</f>
        <v>0</v>
      </c>
      <c r="R66" s="4609"/>
      <c r="S66" s="4610"/>
      <c r="T66" s="4607"/>
      <c r="U66" s="4608">
        <f t="shared" ref="U66:U68" si="238">SUM(Q66,S66)</f>
        <v>0</v>
      </c>
      <c r="V66" s="4609"/>
      <c r="W66" s="3662"/>
      <c r="X66" s="3438"/>
      <c r="Y66" s="5859">
        <f t="shared" si="8"/>
        <v>0</v>
      </c>
      <c r="Z66" s="5844"/>
      <c r="AA66" s="5842">
        <f t="shared" si="10"/>
        <v>0</v>
      </c>
      <c r="AB66" s="2013"/>
      <c r="AC66" s="4610"/>
      <c r="AD66" s="4607"/>
      <c r="AE66" s="4608">
        <f t="shared" ref="AE66:AE68" si="239">SUM(AA66,AC66)</f>
        <v>0</v>
      </c>
      <c r="AF66" s="4609"/>
      <c r="AG66" s="4610">
        <v>0</v>
      </c>
      <c r="AH66" s="4607"/>
      <c r="AI66" s="4608">
        <f t="shared" ref="AI66:AI68" si="240">SUM(AE66,AG66)</f>
        <v>0</v>
      </c>
      <c r="AJ66" s="4609"/>
      <c r="AK66" s="4610">
        <v>9696.61</v>
      </c>
      <c r="AL66" s="3438"/>
      <c r="AM66" s="3439">
        <f t="shared" si="221"/>
        <v>9696.61</v>
      </c>
      <c r="AN66" s="4607">
        <f t="shared" si="232"/>
        <v>0</v>
      </c>
      <c r="AO66" s="4608">
        <f t="shared" si="233"/>
        <v>9696.61</v>
      </c>
      <c r="AP66" s="4609"/>
      <c r="AQ66" s="4610">
        <v>2611.83</v>
      </c>
      <c r="AR66" s="4607">
        <f t="shared" si="222"/>
        <v>0</v>
      </c>
      <c r="AS66" s="4611">
        <f t="shared" ref="AS66:AS68" si="241">SUM(AO66,AQ66)</f>
        <v>12308.44</v>
      </c>
      <c r="AT66" s="4609"/>
      <c r="AU66" s="4610"/>
      <c r="AV66" s="4607">
        <f t="shared" si="224"/>
        <v>0</v>
      </c>
      <c r="AW66" s="4611">
        <f t="shared" ref="AW66:AW68" si="242">SUM(AS66,AU66)</f>
        <v>12308.44</v>
      </c>
      <c r="AX66" s="4609"/>
      <c r="AY66" s="4610">
        <v>0</v>
      </c>
      <c r="AZ66" s="3438"/>
      <c r="BA66" s="5859">
        <f t="shared" si="227"/>
        <v>2611.83</v>
      </c>
      <c r="BB66" s="5813"/>
      <c r="BC66" s="5814">
        <f t="shared" si="229"/>
        <v>12308.44</v>
      </c>
      <c r="BD66" s="5887"/>
      <c r="BE66" s="4611">
        <f t="shared" ref="BE66:BE68" si="243">SUM(AW66,AY66)</f>
        <v>12308.44</v>
      </c>
      <c r="BF66" s="648"/>
      <c r="BG66" s="648"/>
      <c r="BH66" s="648"/>
      <c r="BI66" s="648"/>
    </row>
    <row r="67" spans="2:61" s="1719" customFormat="1" ht="21.95" hidden="1" customHeight="1" thickBot="1" x14ac:dyDescent="0.3">
      <c r="B67" s="6259"/>
      <c r="C67" s="4604" t="s">
        <v>1756</v>
      </c>
      <c r="D67" s="4605"/>
      <c r="E67" s="4606"/>
      <c r="F67" s="4605"/>
      <c r="G67" s="4606"/>
      <c r="H67" s="4607">
        <f t="shared" si="235"/>
        <v>0</v>
      </c>
      <c r="I67" s="4608">
        <f t="shared" si="236"/>
        <v>0</v>
      </c>
      <c r="J67" s="4605"/>
      <c r="K67" s="3427"/>
      <c r="L67" s="3438"/>
      <c r="M67" s="3439">
        <f t="shared" si="3"/>
        <v>0</v>
      </c>
      <c r="N67" s="1916"/>
      <c r="O67" s="4606"/>
      <c r="P67" s="2066"/>
      <c r="Q67" s="2066">
        <f t="shared" si="237"/>
        <v>0</v>
      </c>
      <c r="R67" s="4609"/>
      <c r="S67" s="4610"/>
      <c r="T67" s="4607"/>
      <c r="U67" s="4608">
        <f t="shared" si="238"/>
        <v>0</v>
      </c>
      <c r="V67" s="4609"/>
      <c r="W67" s="3662"/>
      <c r="X67" s="3438"/>
      <c r="Y67" s="5859">
        <f t="shared" si="8"/>
        <v>0</v>
      </c>
      <c r="Z67" s="5844"/>
      <c r="AA67" s="5842">
        <f t="shared" si="10"/>
        <v>0</v>
      </c>
      <c r="AB67" s="2013"/>
      <c r="AC67" s="4610"/>
      <c r="AD67" s="4607"/>
      <c r="AE67" s="4608">
        <f t="shared" si="239"/>
        <v>0</v>
      </c>
      <c r="AF67" s="4609"/>
      <c r="AG67" s="4610"/>
      <c r="AH67" s="4607"/>
      <c r="AI67" s="4608">
        <f t="shared" si="240"/>
        <v>0</v>
      </c>
      <c r="AJ67" s="4609"/>
      <c r="AK67" s="4610"/>
      <c r="AL67" s="3438"/>
      <c r="AM67" s="3439">
        <f t="shared" si="221"/>
        <v>0</v>
      </c>
      <c r="AN67" s="4607">
        <f t="shared" si="232"/>
        <v>0</v>
      </c>
      <c r="AO67" s="4608">
        <f t="shared" si="233"/>
        <v>0</v>
      </c>
      <c r="AP67" s="4609"/>
      <c r="AQ67" s="4610"/>
      <c r="AR67" s="4607">
        <f t="shared" si="222"/>
        <v>0</v>
      </c>
      <c r="AS67" s="4611">
        <f t="shared" si="241"/>
        <v>0</v>
      </c>
      <c r="AT67" s="4609"/>
      <c r="AU67" s="4610"/>
      <c r="AV67" s="4607">
        <f t="shared" si="224"/>
        <v>0</v>
      </c>
      <c r="AW67" s="4611">
        <f t="shared" si="242"/>
        <v>0</v>
      </c>
      <c r="AX67" s="4609"/>
      <c r="AY67" s="4610">
        <v>0</v>
      </c>
      <c r="AZ67" s="3438"/>
      <c r="BA67" s="5859">
        <f t="shared" si="227"/>
        <v>0</v>
      </c>
      <c r="BB67" s="5813"/>
      <c r="BC67" s="5814">
        <f t="shared" si="229"/>
        <v>0</v>
      </c>
      <c r="BD67" s="5887"/>
      <c r="BE67" s="4611">
        <f t="shared" si="243"/>
        <v>0</v>
      </c>
      <c r="BF67" s="648"/>
      <c r="BG67" s="648"/>
      <c r="BH67" s="648"/>
      <c r="BI67" s="648"/>
    </row>
    <row r="68" spans="2:61" s="1719" customFormat="1" ht="21.95" customHeight="1" thickBot="1" x14ac:dyDescent="0.3">
      <c r="B68" s="6259"/>
      <c r="C68" s="4612" t="s">
        <v>1934</v>
      </c>
      <c r="D68" s="4613"/>
      <c r="E68" s="3444"/>
      <c r="F68" s="4613"/>
      <c r="G68" s="3444"/>
      <c r="H68" s="3445">
        <f t="shared" si="235"/>
        <v>0</v>
      </c>
      <c r="I68" s="3446">
        <f t="shared" si="236"/>
        <v>0</v>
      </c>
      <c r="J68" s="4613"/>
      <c r="K68" s="3428"/>
      <c r="L68" s="3441"/>
      <c r="M68" s="3442">
        <f t="shared" si="3"/>
        <v>0</v>
      </c>
      <c r="N68" s="1919"/>
      <c r="O68" s="3444"/>
      <c r="P68" s="4614"/>
      <c r="Q68" s="4614">
        <f t="shared" si="237"/>
        <v>0</v>
      </c>
      <c r="R68" s="4615"/>
      <c r="S68" s="3447"/>
      <c r="T68" s="3445"/>
      <c r="U68" s="3446">
        <f t="shared" si="238"/>
        <v>0</v>
      </c>
      <c r="V68" s="4615"/>
      <c r="W68" s="3666"/>
      <c r="X68" s="3441"/>
      <c r="Y68" s="5867">
        <f t="shared" si="8"/>
        <v>0</v>
      </c>
      <c r="Z68" s="5844"/>
      <c r="AA68" s="5842">
        <f t="shared" si="10"/>
        <v>0</v>
      </c>
      <c r="AB68" s="2015"/>
      <c r="AC68" s="3447"/>
      <c r="AD68" s="3445"/>
      <c r="AE68" s="3446">
        <f t="shared" si="239"/>
        <v>0</v>
      </c>
      <c r="AF68" s="4615"/>
      <c r="AG68" s="3447"/>
      <c r="AH68" s="3445"/>
      <c r="AI68" s="3446">
        <f t="shared" si="240"/>
        <v>0</v>
      </c>
      <c r="AJ68" s="4615"/>
      <c r="AK68" s="3447">
        <v>2601.79</v>
      </c>
      <c r="AL68" s="3441"/>
      <c r="AM68" s="3442">
        <f t="shared" si="221"/>
        <v>2601.79</v>
      </c>
      <c r="AN68" s="3445">
        <f t="shared" si="232"/>
        <v>0</v>
      </c>
      <c r="AO68" s="3446">
        <f t="shared" si="233"/>
        <v>2601.79</v>
      </c>
      <c r="AP68" s="4615"/>
      <c r="AQ68" s="3447">
        <v>2560</v>
      </c>
      <c r="AR68" s="3445">
        <f t="shared" si="222"/>
        <v>0</v>
      </c>
      <c r="AS68" s="4616">
        <f t="shared" si="241"/>
        <v>5161.79</v>
      </c>
      <c r="AT68" s="4615"/>
      <c r="AU68" s="3447">
        <v>7836</v>
      </c>
      <c r="AV68" s="3445">
        <f t="shared" si="224"/>
        <v>0</v>
      </c>
      <c r="AW68" s="4616">
        <f t="shared" si="242"/>
        <v>12997.79</v>
      </c>
      <c r="AX68" s="4615"/>
      <c r="AY68" s="3447">
        <v>12410</v>
      </c>
      <c r="AZ68" s="3441"/>
      <c r="BA68" s="5867">
        <f t="shared" si="227"/>
        <v>22806</v>
      </c>
      <c r="BB68" s="5813"/>
      <c r="BC68" s="5814">
        <f t="shared" si="229"/>
        <v>25407.79</v>
      </c>
      <c r="BD68" s="5889"/>
      <c r="BE68" s="4616">
        <f t="shared" si="243"/>
        <v>25407.79</v>
      </c>
      <c r="BF68" s="648"/>
      <c r="BG68" s="648"/>
      <c r="BH68" s="648"/>
      <c r="BI68" s="648"/>
    </row>
    <row r="69" spans="2:61" s="1719" customFormat="1" ht="21.95" customHeight="1" thickBot="1" x14ac:dyDescent="0.3">
      <c r="B69" s="6259"/>
      <c r="C69" s="4583" t="s">
        <v>1616</v>
      </c>
      <c r="D69" s="4584"/>
      <c r="E69" s="4585">
        <v>9315.9699999999993</v>
      </c>
      <c r="F69" s="4584"/>
      <c r="G69" s="4585">
        <v>14612</v>
      </c>
      <c r="H69" s="4586"/>
      <c r="I69" s="4587">
        <f t="shared" si="1"/>
        <v>23927.97</v>
      </c>
      <c r="J69" s="4584"/>
      <c r="K69" s="4588">
        <v>4094.02</v>
      </c>
      <c r="L69" s="4589"/>
      <c r="M69" s="4590">
        <f t="shared" si="3"/>
        <v>28021.99</v>
      </c>
      <c r="N69" s="4591"/>
      <c r="O69" s="4585">
        <v>2000.75</v>
      </c>
      <c r="P69" s="4592">
        <f t="shared" ref="P69:Q72" si="244">L69+N69</f>
        <v>0</v>
      </c>
      <c r="Q69" s="4592">
        <f t="shared" si="244"/>
        <v>30022.74</v>
      </c>
      <c r="R69" s="4593"/>
      <c r="S69" s="4594">
        <v>17653.8</v>
      </c>
      <c r="T69" s="4586">
        <f t="shared" ref="T69" si="245">P69+R69</f>
        <v>0</v>
      </c>
      <c r="U69" s="4587">
        <f t="shared" ref="U69" si="246">Q69+S69</f>
        <v>47676.54</v>
      </c>
      <c r="V69" s="4593"/>
      <c r="W69" s="4595">
        <v>12167</v>
      </c>
      <c r="X69" s="4589"/>
      <c r="Y69" s="5868">
        <f t="shared" ref="Y69:Y75" si="247">+O69+S69+W69</f>
        <v>31821.55</v>
      </c>
      <c r="Z69" s="5877"/>
      <c r="AA69" s="5843">
        <f t="shared" ref="AA69" si="248">M69+Y69</f>
        <v>59843.54</v>
      </c>
      <c r="AB69" s="5872"/>
      <c r="AC69" s="4594">
        <v>0</v>
      </c>
      <c r="AD69" s="4586">
        <f t="shared" ref="AD69:AD70" si="249">Z69+AB69</f>
        <v>0</v>
      </c>
      <c r="AE69" s="4587">
        <f t="shared" ref="AE69:AE70" si="250">AA69+AC69</f>
        <v>59843.54</v>
      </c>
      <c r="AF69" s="4593"/>
      <c r="AG69" s="4594">
        <v>0</v>
      </c>
      <c r="AH69" s="4586">
        <f t="shared" ref="AH69:AH75" si="251">AD69+AF69</f>
        <v>0</v>
      </c>
      <c r="AI69" s="4587">
        <f t="shared" ref="AI69:AI75" si="252">AE69+AG69</f>
        <v>59843.54</v>
      </c>
      <c r="AJ69" s="4593"/>
      <c r="AK69" s="4594">
        <v>0</v>
      </c>
      <c r="AL69" s="4589"/>
      <c r="AM69" s="4590">
        <f t="shared" si="221"/>
        <v>0</v>
      </c>
      <c r="AN69" s="4586">
        <f t="shared" si="232"/>
        <v>0</v>
      </c>
      <c r="AO69" s="4587">
        <f t="shared" si="233"/>
        <v>59843.54</v>
      </c>
      <c r="AP69" s="4593"/>
      <c r="AQ69" s="4594">
        <v>0</v>
      </c>
      <c r="AR69" s="4586">
        <f t="shared" ref="AR69:AR75" si="253">AN69+AP69</f>
        <v>0</v>
      </c>
      <c r="AS69" s="4587">
        <f t="shared" ref="AS69:AS75" si="254">AO69+AQ69</f>
        <v>59843.54</v>
      </c>
      <c r="AT69" s="4593"/>
      <c r="AU69" s="4594">
        <v>0</v>
      </c>
      <c r="AV69" s="4586"/>
      <c r="AW69" s="4587">
        <f t="shared" ref="AW69:AW75" si="255">AS69+AU69</f>
        <v>59843.54</v>
      </c>
      <c r="AX69" s="4593"/>
      <c r="AY69" s="4594">
        <v>0</v>
      </c>
      <c r="AZ69" s="4589"/>
      <c r="BA69" s="5868">
        <f t="shared" si="227"/>
        <v>0</v>
      </c>
      <c r="BB69" s="5813"/>
      <c r="BC69" s="5814">
        <f t="shared" ref="BC69:BC75" si="256">AM69+BA69</f>
        <v>0</v>
      </c>
      <c r="BD69" s="5890"/>
      <c r="BE69" s="4587">
        <f t="shared" ref="BE69:BE75" si="257">AW69+AY69</f>
        <v>59843.54</v>
      </c>
      <c r="BF69" s="648"/>
      <c r="BG69" s="648"/>
      <c r="BH69" s="648"/>
      <c r="BI69" s="648"/>
    </row>
    <row r="70" spans="2:61" s="1719" customFormat="1" ht="21.95" customHeight="1" thickBot="1" x14ac:dyDescent="0.3">
      <c r="B70" s="6259"/>
      <c r="C70" s="2270" t="s">
        <v>1456</v>
      </c>
      <c r="D70" s="2276"/>
      <c r="E70" s="1610">
        <v>5419.4</v>
      </c>
      <c r="F70" s="2276"/>
      <c r="G70" s="1610">
        <v>2045</v>
      </c>
      <c r="H70" s="2392"/>
      <c r="I70" s="1611">
        <f t="shared" ref="I70" si="258">+G70+E70</f>
        <v>7464.4</v>
      </c>
      <c r="J70" s="2276"/>
      <c r="K70" s="3432">
        <v>0</v>
      </c>
      <c r="L70" s="3640"/>
      <c r="M70" s="3440">
        <f t="shared" ref="M70:M75" si="259">+E70+G70+K70</f>
        <v>7464.4</v>
      </c>
      <c r="N70" s="3434"/>
      <c r="O70" s="1610">
        <v>0</v>
      </c>
      <c r="P70" s="2777">
        <f t="shared" si="234"/>
        <v>0</v>
      </c>
      <c r="Q70" s="2777">
        <f t="shared" si="244"/>
        <v>7464.4</v>
      </c>
      <c r="R70" s="3660"/>
      <c r="S70" s="2078">
        <v>0</v>
      </c>
      <c r="T70" s="2392">
        <f t="shared" ref="T70" si="260">P70+R70</f>
        <v>0</v>
      </c>
      <c r="U70" s="1611">
        <f t="shared" ref="U70" si="261">Q70+S70</f>
        <v>7464.4</v>
      </c>
      <c r="V70" s="3660"/>
      <c r="W70" s="3668">
        <v>2050</v>
      </c>
      <c r="X70" s="3640"/>
      <c r="Y70" s="5864">
        <f t="shared" si="247"/>
        <v>2050</v>
      </c>
      <c r="Z70" s="5877"/>
      <c r="AA70" s="5843">
        <f t="shared" ref="AA70:AA75" si="262">M70+Y70</f>
        <v>9514.4</v>
      </c>
      <c r="AB70" s="5873"/>
      <c r="AC70" s="2078">
        <v>8382</v>
      </c>
      <c r="AD70" s="2392">
        <f t="shared" si="249"/>
        <v>0</v>
      </c>
      <c r="AE70" s="1611">
        <f t="shared" si="250"/>
        <v>17896.400000000001</v>
      </c>
      <c r="AF70" s="3660"/>
      <c r="AG70" s="2078">
        <v>2244</v>
      </c>
      <c r="AH70" s="2392">
        <f t="shared" si="251"/>
        <v>0</v>
      </c>
      <c r="AI70" s="1611">
        <f t="shared" si="252"/>
        <v>20140.400000000001</v>
      </c>
      <c r="AJ70" s="3660"/>
      <c r="AK70" s="2078">
        <v>3617</v>
      </c>
      <c r="AL70" s="3640"/>
      <c r="AM70" s="3440">
        <f t="shared" si="221"/>
        <v>14243</v>
      </c>
      <c r="AN70" s="2392">
        <f t="shared" si="232"/>
        <v>0</v>
      </c>
      <c r="AO70" s="1611">
        <f t="shared" si="233"/>
        <v>23757.4</v>
      </c>
      <c r="AP70" s="3660"/>
      <c r="AQ70" s="2078">
        <v>4491</v>
      </c>
      <c r="AR70" s="2392">
        <f t="shared" si="253"/>
        <v>0</v>
      </c>
      <c r="AS70" s="1611">
        <f t="shared" si="254"/>
        <v>28248.400000000001</v>
      </c>
      <c r="AT70" s="3660"/>
      <c r="AU70" s="2078">
        <v>4512</v>
      </c>
      <c r="AV70" s="2392"/>
      <c r="AW70" s="1611">
        <f t="shared" si="255"/>
        <v>32760.400000000001</v>
      </c>
      <c r="AX70" s="3660"/>
      <c r="AY70" s="2078">
        <v>4376</v>
      </c>
      <c r="AZ70" s="3640"/>
      <c r="BA70" s="5864">
        <f t="shared" si="227"/>
        <v>13379</v>
      </c>
      <c r="BB70" s="5813"/>
      <c r="BC70" s="5814">
        <f t="shared" si="256"/>
        <v>27622</v>
      </c>
      <c r="BD70" s="5891"/>
      <c r="BE70" s="1611">
        <f t="shared" si="257"/>
        <v>37136.400000000001</v>
      </c>
      <c r="BF70" s="648"/>
      <c r="BG70" s="648"/>
      <c r="BH70" s="648"/>
      <c r="BI70" s="648"/>
    </row>
    <row r="71" spans="2:61" s="1719" customFormat="1" ht="21.95" customHeight="1" thickBot="1" x14ac:dyDescent="0.3">
      <c r="B71" s="6259"/>
      <c r="C71" s="3422" t="s">
        <v>1458</v>
      </c>
      <c r="D71" s="1610"/>
      <c r="E71" s="1610">
        <f>E64+E69+E70</f>
        <v>21537.37</v>
      </c>
      <c r="F71" s="1610"/>
      <c r="G71" s="1610">
        <f>G64+G69+G70</f>
        <v>19201.91</v>
      </c>
      <c r="H71" s="2391"/>
      <c r="I71" s="2274">
        <f>SUM(I64,I69,I70)</f>
        <v>40739.280000000006</v>
      </c>
      <c r="J71" s="1610"/>
      <c r="K71" s="1610">
        <f>K64+K69+K70</f>
        <v>4094.02</v>
      </c>
      <c r="L71" s="3438"/>
      <c r="M71" s="3440">
        <f t="shared" si="259"/>
        <v>44833.299999999996</v>
      </c>
      <c r="N71" s="1610"/>
      <c r="O71" s="1610">
        <f>O64+O69+O70</f>
        <v>2000.75</v>
      </c>
      <c r="P71" s="2066">
        <f t="shared" ref="P71" si="263">L71+N71</f>
        <v>0</v>
      </c>
      <c r="Q71" s="2066">
        <f>SUM(Q64,Q69,Q70)</f>
        <v>46834.05</v>
      </c>
      <c r="R71" s="1610"/>
      <c r="S71" s="1610">
        <f>S64+S69+S70</f>
        <v>17653.8</v>
      </c>
      <c r="T71" s="2276">
        <f t="shared" ref="T71" si="264">T64+T70</f>
        <v>0</v>
      </c>
      <c r="U71" s="1610">
        <f>SUM(U64,U69,U70)</f>
        <v>64487.85</v>
      </c>
      <c r="V71" s="1610"/>
      <c r="W71" s="3669">
        <f>W64+W69+W70</f>
        <v>14217</v>
      </c>
      <c r="X71" s="3438"/>
      <c r="Y71" s="5864">
        <f t="shared" si="247"/>
        <v>33871.550000000003</v>
      </c>
      <c r="Z71" s="5844"/>
      <c r="AA71" s="5842">
        <f t="shared" si="262"/>
        <v>78704.850000000006</v>
      </c>
      <c r="AB71" s="3433"/>
      <c r="AC71" s="1610">
        <f>AC64+AC69+AC70</f>
        <v>8382</v>
      </c>
      <c r="AD71" s="2392">
        <f t="shared" ref="AD71" si="265">Z71+AB71</f>
        <v>0</v>
      </c>
      <c r="AE71" s="1611">
        <f t="shared" ref="AE71" si="266">AA71+AC71</f>
        <v>87086.85</v>
      </c>
      <c r="AF71" s="1610"/>
      <c r="AG71" s="1610">
        <f>AG64+AG69+AG70</f>
        <v>2244</v>
      </c>
      <c r="AH71" s="2392">
        <f t="shared" si="251"/>
        <v>0</v>
      </c>
      <c r="AI71" s="1611">
        <f t="shared" si="252"/>
        <v>89330.85</v>
      </c>
      <c r="AJ71" s="1610"/>
      <c r="AK71" s="1610">
        <f>AK64+AK69+AK70</f>
        <v>15915.400000000001</v>
      </c>
      <c r="AL71" s="3438"/>
      <c r="AM71" s="3440">
        <f t="shared" si="221"/>
        <v>26541.4</v>
      </c>
      <c r="AN71" s="2392">
        <f t="shared" si="232"/>
        <v>0</v>
      </c>
      <c r="AO71" s="1611">
        <f t="shared" si="233"/>
        <v>105246.25</v>
      </c>
      <c r="AP71" s="1610"/>
      <c r="AQ71" s="1610">
        <f>AQ64+AQ69+AQ70</f>
        <v>9662.83</v>
      </c>
      <c r="AR71" s="2392">
        <f t="shared" si="253"/>
        <v>0</v>
      </c>
      <c r="AS71" s="1611">
        <f t="shared" si="254"/>
        <v>114909.08</v>
      </c>
      <c r="AT71" s="1610"/>
      <c r="AU71" s="1610">
        <f>AU64+AU69+AU70</f>
        <v>12348</v>
      </c>
      <c r="AV71" s="2392">
        <f t="shared" si="224"/>
        <v>0</v>
      </c>
      <c r="AW71" s="1611">
        <f t="shared" si="255"/>
        <v>127257.08</v>
      </c>
      <c r="AX71" s="1610"/>
      <c r="AY71" s="1610">
        <f>AY64+AY69+AY70</f>
        <v>16786</v>
      </c>
      <c r="AZ71" s="3438"/>
      <c r="BA71" s="5864">
        <f t="shared" si="227"/>
        <v>38796.83</v>
      </c>
      <c r="BB71" s="5813"/>
      <c r="BC71" s="5814">
        <f t="shared" si="256"/>
        <v>65338.23</v>
      </c>
      <c r="BD71" s="5891"/>
      <c r="BE71" s="1611">
        <f t="shared" si="257"/>
        <v>144043.08000000002</v>
      </c>
      <c r="BF71" s="648"/>
      <c r="BG71" s="648"/>
      <c r="BH71" s="648"/>
      <c r="BI71" s="648"/>
    </row>
    <row r="72" spans="2:61" ht="15.75" x14ac:dyDescent="0.25">
      <c r="B72" s="6259"/>
      <c r="C72" s="3422" t="s">
        <v>1402</v>
      </c>
      <c r="D72" s="2276"/>
      <c r="E72" s="1610">
        <v>12248.44</v>
      </c>
      <c r="F72" s="2276"/>
      <c r="G72" s="1610">
        <v>0</v>
      </c>
      <c r="H72" s="2392">
        <f t="shared" ref="H72:H73" si="267">+D72+F72</f>
        <v>0</v>
      </c>
      <c r="I72" s="1611">
        <f t="shared" ref="I72:I75" si="268">+G72+E72</f>
        <v>12248.44</v>
      </c>
      <c r="J72" s="2276"/>
      <c r="K72" s="3432">
        <v>57334</v>
      </c>
      <c r="L72" s="3438"/>
      <c r="M72" s="3440">
        <f t="shared" si="259"/>
        <v>69582.44</v>
      </c>
      <c r="N72" s="3434"/>
      <c r="O72" s="1610">
        <v>61301.74</v>
      </c>
      <c r="P72" s="2242">
        <f t="shared" ref="P72:P75" si="269">L72+N72</f>
        <v>0</v>
      </c>
      <c r="Q72" s="2066">
        <f t="shared" si="244"/>
        <v>130884.18</v>
      </c>
      <c r="R72" s="2271"/>
      <c r="S72" s="2019">
        <v>52837.67</v>
      </c>
      <c r="T72" s="2242">
        <f t="shared" ref="T72:T75" si="270">P72+R72</f>
        <v>0</v>
      </c>
      <c r="U72" s="2242">
        <f t="shared" ref="U72:U75" si="271">Q72+S72</f>
        <v>183721.84999999998</v>
      </c>
      <c r="V72" s="2271"/>
      <c r="W72" s="3662">
        <v>32695.3</v>
      </c>
      <c r="X72" s="3438"/>
      <c r="Y72" s="5864">
        <f t="shared" si="247"/>
        <v>146834.71</v>
      </c>
      <c r="Z72" s="5844"/>
      <c r="AA72" s="5842">
        <f t="shared" si="262"/>
        <v>216417.15</v>
      </c>
      <c r="AB72" s="2013"/>
      <c r="AC72" s="2019">
        <v>4087.34</v>
      </c>
      <c r="AD72" s="2242">
        <f t="shared" ref="AD72:AD75" si="272">Z72+AB72</f>
        <v>0</v>
      </c>
      <c r="AE72" s="2242">
        <f t="shared" ref="AD72:AE75" si="273">AA72+AC72</f>
        <v>220504.49</v>
      </c>
      <c r="AF72" s="2271"/>
      <c r="AG72" s="2019">
        <v>0</v>
      </c>
      <c r="AH72" s="2242">
        <f t="shared" si="251"/>
        <v>0</v>
      </c>
      <c r="AI72" s="2242">
        <f t="shared" si="252"/>
        <v>220504.49</v>
      </c>
      <c r="AJ72" s="2271"/>
      <c r="AK72" s="2019">
        <v>12246.69</v>
      </c>
      <c r="AL72" s="3438"/>
      <c r="AM72" s="3440">
        <f t="shared" si="221"/>
        <v>16334.03</v>
      </c>
      <c r="AN72" s="2242">
        <f t="shared" si="232"/>
        <v>0</v>
      </c>
      <c r="AO72" s="2242">
        <f t="shared" si="233"/>
        <v>232751.18</v>
      </c>
      <c r="AP72" s="2271"/>
      <c r="AQ72" s="2019">
        <v>4116.3999999999996</v>
      </c>
      <c r="AR72" s="2242">
        <f t="shared" si="253"/>
        <v>0</v>
      </c>
      <c r="AS72" s="2242">
        <f t="shared" si="254"/>
        <v>236867.58</v>
      </c>
      <c r="AT72" s="2271"/>
      <c r="AU72" s="2019">
        <v>16261.48</v>
      </c>
      <c r="AV72" s="2242">
        <f t="shared" si="224"/>
        <v>0</v>
      </c>
      <c r="AW72" s="2242">
        <f t="shared" si="255"/>
        <v>253129.06</v>
      </c>
      <c r="AX72" s="2271"/>
      <c r="AY72" s="2019">
        <v>69308.44</v>
      </c>
      <c r="AZ72" s="3438"/>
      <c r="BA72" s="5864">
        <f t="shared" si="227"/>
        <v>89686.32</v>
      </c>
      <c r="BB72" s="5813"/>
      <c r="BC72" s="5814">
        <f t="shared" si="256"/>
        <v>106020.35</v>
      </c>
      <c r="BD72" s="5892"/>
      <c r="BE72" s="2242">
        <f t="shared" si="257"/>
        <v>322437.5</v>
      </c>
      <c r="BF72" s="648"/>
      <c r="BG72" s="648"/>
      <c r="BH72" s="648"/>
      <c r="BI72" s="648"/>
    </row>
    <row r="73" spans="2:61" ht="18.75" x14ac:dyDescent="0.25">
      <c r="B73" s="6259"/>
      <c r="C73" s="2272" t="s">
        <v>28</v>
      </c>
      <c r="D73" s="1610"/>
      <c r="E73" s="1610">
        <f>E74+E75</f>
        <v>11646</v>
      </c>
      <c r="F73" s="1610"/>
      <c r="G73" s="1610">
        <f>G74+G75</f>
        <v>18661</v>
      </c>
      <c r="H73" s="2392">
        <f t="shared" si="267"/>
        <v>0</v>
      </c>
      <c r="I73" s="1611">
        <f t="shared" si="268"/>
        <v>30307</v>
      </c>
      <c r="J73" s="1610"/>
      <c r="K73" s="3432">
        <f>K74+K75</f>
        <v>504</v>
      </c>
      <c r="L73" s="3438"/>
      <c r="M73" s="3440">
        <f t="shared" si="259"/>
        <v>30811</v>
      </c>
      <c r="N73" s="3433"/>
      <c r="O73" s="1610">
        <f>O74+O75</f>
        <v>7712</v>
      </c>
      <c r="P73" s="2242">
        <f t="shared" si="269"/>
        <v>0</v>
      </c>
      <c r="Q73" s="2274">
        <f t="shared" ref="Q73:Q75" si="274">M73+O73</f>
        <v>38523</v>
      </c>
      <c r="R73" s="2273"/>
      <c r="S73" s="1610">
        <f>S74+S75</f>
        <v>10483.799999999999</v>
      </c>
      <c r="T73" s="2242">
        <f t="shared" si="270"/>
        <v>0</v>
      </c>
      <c r="U73" s="2274">
        <f t="shared" si="271"/>
        <v>49006.8</v>
      </c>
      <c r="V73" s="2273"/>
      <c r="W73" s="3670">
        <f t="shared" ref="W73" si="275">+W74+W75</f>
        <v>663.25</v>
      </c>
      <c r="X73" s="3438"/>
      <c r="Y73" s="5864">
        <f t="shared" si="247"/>
        <v>18859.05</v>
      </c>
      <c r="Z73" s="5844"/>
      <c r="AA73" s="5842">
        <f t="shared" si="262"/>
        <v>49670.05</v>
      </c>
      <c r="AB73" s="3433"/>
      <c r="AC73" s="1610">
        <f>AC74+AC75</f>
        <v>14958.46</v>
      </c>
      <c r="AD73" s="2274">
        <f t="shared" si="273"/>
        <v>0</v>
      </c>
      <c r="AE73" s="2274">
        <f t="shared" si="273"/>
        <v>64628.51</v>
      </c>
      <c r="AF73" s="1610"/>
      <c r="AG73" s="1610">
        <f>AG74+AG75</f>
        <v>8745</v>
      </c>
      <c r="AH73" s="2274">
        <f t="shared" si="251"/>
        <v>0</v>
      </c>
      <c r="AI73" s="2274">
        <f t="shared" si="252"/>
        <v>73373.510000000009</v>
      </c>
      <c r="AJ73" s="1610"/>
      <c r="AK73" s="1610">
        <f>AK74+AK75</f>
        <v>6494.93</v>
      </c>
      <c r="AL73" s="3438"/>
      <c r="AM73" s="3440">
        <f t="shared" si="221"/>
        <v>30198.39</v>
      </c>
      <c r="AN73" s="2274">
        <f t="shared" si="232"/>
        <v>0</v>
      </c>
      <c r="AO73" s="2274">
        <f t="shared" si="233"/>
        <v>79868.44</v>
      </c>
      <c r="AP73" s="1610"/>
      <c r="AQ73" s="1610">
        <f>AQ74+AQ75</f>
        <v>4545.3000000000011</v>
      </c>
      <c r="AR73" s="2274">
        <f t="shared" si="253"/>
        <v>0</v>
      </c>
      <c r="AS73" s="2274">
        <f t="shared" si="254"/>
        <v>84413.74</v>
      </c>
      <c r="AT73" s="1610"/>
      <c r="AU73" s="1610">
        <f>AU74+AU75</f>
        <v>12313.08</v>
      </c>
      <c r="AV73" s="2274">
        <f t="shared" si="224"/>
        <v>0</v>
      </c>
      <c r="AW73" s="2274">
        <f t="shared" si="255"/>
        <v>96726.82</v>
      </c>
      <c r="AX73" s="1610"/>
      <c r="AY73" s="1610">
        <f>AY74+AY75</f>
        <v>15845</v>
      </c>
      <c r="AZ73" s="3438"/>
      <c r="BA73" s="5864">
        <f t="shared" si="227"/>
        <v>32703.38</v>
      </c>
      <c r="BB73" s="5813"/>
      <c r="BC73" s="5814">
        <f t="shared" si="256"/>
        <v>62901.770000000004</v>
      </c>
      <c r="BD73" s="5893"/>
      <c r="BE73" s="2274">
        <f t="shared" si="257"/>
        <v>112571.82</v>
      </c>
      <c r="BF73" s="648"/>
      <c r="BG73" s="648"/>
      <c r="BH73" s="648"/>
      <c r="BI73" s="648"/>
    </row>
    <row r="74" spans="2:61" ht="15.75" x14ac:dyDescent="0.25">
      <c r="B74" s="6259"/>
      <c r="C74" s="2275" t="s">
        <v>1438</v>
      </c>
      <c r="D74" s="1917"/>
      <c r="E74" s="2019">
        <v>3360</v>
      </c>
      <c r="F74" s="1917"/>
      <c r="G74" s="1917">
        <v>3748</v>
      </c>
      <c r="H74" s="2241">
        <f>F74+D74</f>
        <v>0</v>
      </c>
      <c r="I74" s="2242">
        <f t="shared" si="268"/>
        <v>7108</v>
      </c>
      <c r="J74" s="1917"/>
      <c r="K74" s="3427">
        <v>0</v>
      </c>
      <c r="L74" s="3438"/>
      <c r="M74" s="3439">
        <f t="shared" si="259"/>
        <v>7108</v>
      </c>
      <c r="N74" s="3435"/>
      <c r="O74" s="1917">
        <v>2000</v>
      </c>
      <c r="P74" s="2242">
        <f t="shared" si="269"/>
        <v>0</v>
      </c>
      <c r="Q74" s="2242">
        <f t="shared" si="274"/>
        <v>9108</v>
      </c>
      <c r="R74" s="2019"/>
      <c r="S74" s="2078">
        <v>3560.8</v>
      </c>
      <c r="T74" s="2242">
        <f t="shared" si="270"/>
        <v>0</v>
      </c>
      <c r="U74" s="2242">
        <f t="shared" si="271"/>
        <v>12668.8</v>
      </c>
      <c r="V74" s="2019"/>
      <c r="W74" s="3662">
        <v>0</v>
      </c>
      <c r="X74" s="3438"/>
      <c r="Y74" s="5859">
        <f t="shared" si="247"/>
        <v>5560.8</v>
      </c>
      <c r="Z74" s="5844"/>
      <c r="AA74" s="5842">
        <f t="shared" si="262"/>
        <v>12668.8</v>
      </c>
      <c r="AB74" s="5874"/>
      <c r="AC74" s="2078">
        <f>7454-1.04</f>
        <v>7452.96</v>
      </c>
      <c r="AD74" s="2242">
        <f t="shared" si="272"/>
        <v>0</v>
      </c>
      <c r="AE74" s="2242">
        <f t="shared" si="273"/>
        <v>20121.759999999998</v>
      </c>
      <c r="AF74" s="2019"/>
      <c r="AG74" s="2078">
        <v>0</v>
      </c>
      <c r="AH74" s="2242">
        <f t="shared" si="251"/>
        <v>0</v>
      </c>
      <c r="AI74" s="2242">
        <f t="shared" si="252"/>
        <v>20121.759999999998</v>
      </c>
      <c r="AJ74" s="2019"/>
      <c r="AK74" s="2078">
        <v>0</v>
      </c>
      <c r="AL74" s="3438"/>
      <c r="AM74" s="3439">
        <f t="shared" si="221"/>
        <v>7452.96</v>
      </c>
      <c r="AN74" s="2242">
        <f t="shared" si="232"/>
        <v>0</v>
      </c>
      <c r="AO74" s="2242">
        <f t="shared" si="233"/>
        <v>20121.759999999998</v>
      </c>
      <c r="AP74" s="2019"/>
      <c r="AQ74" s="2078">
        <v>0</v>
      </c>
      <c r="AR74" s="2242">
        <f t="shared" si="253"/>
        <v>0</v>
      </c>
      <c r="AS74" s="2242">
        <f t="shared" si="254"/>
        <v>20121.759999999998</v>
      </c>
      <c r="AT74" s="2019"/>
      <c r="AU74" s="2078">
        <v>0</v>
      </c>
      <c r="AV74" s="2242">
        <f t="shared" si="224"/>
        <v>0</v>
      </c>
      <c r="AW74" s="2242">
        <f t="shared" si="255"/>
        <v>20121.759999999998</v>
      </c>
      <c r="AX74" s="2019"/>
      <c r="AY74" s="2078">
        <v>685</v>
      </c>
      <c r="AZ74" s="3438"/>
      <c r="BA74" s="5859">
        <f t="shared" si="227"/>
        <v>685</v>
      </c>
      <c r="BB74" s="5813"/>
      <c r="BC74" s="5814">
        <f t="shared" si="256"/>
        <v>8137.96</v>
      </c>
      <c r="BD74" s="5892"/>
      <c r="BE74" s="2242">
        <f t="shared" si="257"/>
        <v>20806.759999999998</v>
      </c>
      <c r="BF74" s="648"/>
      <c r="BG74" s="648"/>
      <c r="BH74" s="648"/>
      <c r="BI74" s="648"/>
    </row>
    <row r="75" spans="2:61" ht="16.5" thickBot="1" x14ac:dyDescent="0.3">
      <c r="B75" s="6260"/>
      <c r="C75" s="3443" t="s">
        <v>1437</v>
      </c>
      <c r="D75" s="3444"/>
      <c r="E75" s="3444">
        <v>8286</v>
      </c>
      <c r="F75" s="3444"/>
      <c r="G75" s="3444">
        <v>14913</v>
      </c>
      <c r="H75" s="3445" t="s">
        <v>34</v>
      </c>
      <c r="I75" s="3446">
        <f t="shared" si="268"/>
        <v>23199</v>
      </c>
      <c r="J75" s="3444"/>
      <c r="K75" s="3428">
        <v>504</v>
      </c>
      <c r="L75" s="3441"/>
      <c r="M75" s="3442">
        <f t="shared" si="259"/>
        <v>23703</v>
      </c>
      <c r="N75" s="2196"/>
      <c r="O75" s="3444">
        <v>5712</v>
      </c>
      <c r="P75" s="3446">
        <f t="shared" si="269"/>
        <v>0</v>
      </c>
      <c r="Q75" s="3446">
        <f t="shared" si="274"/>
        <v>29415</v>
      </c>
      <c r="R75" s="3447"/>
      <c r="S75" s="3448">
        <v>6923</v>
      </c>
      <c r="T75" s="3446">
        <f t="shared" si="270"/>
        <v>0</v>
      </c>
      <c r="U75" s="3446">
        <f t="shared" si="271"/>
        <v>36338</v>
      </c>
      <c r="V75" s="3447"/>
      <c r="W75" s="3428">
        <v>663.25</v>
      </c>
      <c r="X75" s="3441"/>
      <c r="Y75" s="5867">
        <f t="shared" si="247"/>
        <v>13298.25</v>
      </c>
      <c r="Z75" s="5844"/>
      <c r="AA75" s="5842">
        <f t="shared" si="262"/>
        <v>37001.25</v>
      </c>
      <c r="AB75" s="5875"/>
      <c r="AC75" s="3448">
        <v>7505.5</v>
      </c>
      <c r="AD75" s="3446">
        <f t="shared" si="272"/>
        <v>0</v>
      </c>
      <c r="AE75" s="3446">
        <f t="shared" si="273"/>
        <v>44506.75</v>
      </c>
      <c r="AF75" s="3447"/>
      <c r="AG75" s="3448">
        <v>8745</v>
      </c>
      <c r="AH75" s="3446">
        <f t="shared" si="251"/>
        <v>0</v>
      </c>
      <c r="AI75" s="3446">
        <f t="shared" si="252"/>
        <v>53251.75</v>
      </c>
      <c r="AJ75" s="3447"/>
      <c r="AK75" s="3448">
        <v>6494.93</v>
      </c>
      <c r="AL75" s="3441"/>
      <c r="AM75" s="3442">
        <f t="shared" si="221"/>
        <v>22745.43</v>
      </c>
      <c r="AN75" s="3446">
        <f t="shared" si="232"/>
        <v>0</v>
      </c>
      <c r="AO75" s="3446">
        <f t="shared" si="233"/>
        <v>59746.68</v>
      </c>
      <c r="AP75" s="3447"/>
      <c r="AQ75" s="3448">
        <v>4545.3000000000011</v>
      </c>
      <c r="AR75" s="3446">
        <f t="shared" si="253"/>
        <v>0</v>
      </c>
      <c r="AS75" s="3446">
        <f t="shared" si="254"/>
        <v>64291.98</v>
      </c>
      <c r="AT75" s="3447"/>
      <c r="AU75" s="3448">
        <f>7668.04+3272.52+1372.52</f>
        <v>12313.08</v>
      </c>
      <c r="AV75" s="3446">
        <f t="shared" si="224"/>
        <v>0</v>
      </c>
      <c r="AW75" s="3446">
        <f t="shared" si="255"/>
        <v>76605.06</v>
      </c>
      <c r="AX75" s="3447"/>
      <c r="AY75" s="3448">
        <v>15160</v>
      </c>
      <c r="AZ75" s="3441"/>
      <c r="BA75" s="5867">
        <f t="shared" si="227"/>
        <v>32018.38</v>
      </c>
      <c r="BB75" s="5813"/>
      <c r="BC75" s="5814">
        <f t="shared" si="256"/>
        <v>54763.81</v>
      </c>
      <c r="BD75" s="5894"/>
      <c r="BE75" s="3446">
        <f t="shared" si="257"/>
        <v>91765.06</v>
      </c>
      <c r="BF75" s="648"/>
      <c r="BG75" s="648"/>
      <c r="BH75" s="648"/>
      <c r="BI75" s="648"/>
    </row>
    <row r="77" spans="2:61" ht="21" x14ac:dyDescent="0.25">
      <c r="B77" s="5854" t="s">
        <v>2000</v>
      </c>
      <c r="J77"/>
      <c r="K77"/>
      <c r="AC77" s="1518"/>
    </row>
    <row r="78" spans="2:61" ht="18.75" x14ac:dyDescent="0.3">
      <c r="J78"/>
      <c r="K78"/>
      <c r="BE78" s="5744"/>
    </row>
    <row r="79" spans="2:61" ht="21.75" hidden="1" thickBot="1" x14ac:dyDescent="0.4">
      <c r="B79" s="5896" t="s">
        <v>2012</v>
      </c>
      <c r="J79"/>
      <c r="K79"/>
      <c r="AZ79"/>
      <c r="BA79"/>
      <c r="BB79"/>
      <c r="BC79"/>
    </row>
    <row r="80" spans="2:61" ht="15.75" hidden="1" x14ac:dyDescent="0.25">
      <c r="B80" s="1934"/>
      <c r="C80" s="1937"/>
      <c r="D80" s="6251">
        <v>45017</v>
      </c>
      <c r="E80" s="6252"/>
      <c r="F80" s="6251">
        <v>45047</v>
      </c>
      <c r="G80" s="6252"/>
      <c r="H80" s="5798" t="s">
        <v>680</v>
      </c>
      <c r="I80" s="5799"/>
      <c r="J80" s="6251">
        <v>45078</v>
      </c>
      <c r="K80" s="6252"/>
      <c r="L80" s="6253" t="s">
        <v>658</v>
      </c>
      <c r="M80" s="6254"/>
      <c r="N80" s="6251">
        <v>45108</v>
      </c>
      <c r="O80" s="6252"/>
      <c r="P80" s="5798" t="s">
        <v>672</v>
      </c>
      <c r="Q80" s="5799"/>
      <c r="R80" s="6251">
        <v>45139</v>
      </c>
      <c r="S80" s="6252"/>
      <c r="T80" s="5798" t="s">
        <v>866</v>
      </c>
      <c r="U80" s="5799"/>
      <c r="V80" s="6251">
        <v>45170</v>
      </c>
      <c r="W80" s="6252"/>
      <c r="X80" s="6253" t="s">
        <v>682</v>
      </c>
      <c r="Y80" s="6254"/>
      <c r="Z80" s="6247" t="s">
        <v>679</v>
      </c>
      <c r="AA80" s="6248"/>
      <c r="AB80" s="6251">
        <v>45200</v>
      </c>
      <c r="AC80" s="6252"/>
      <c r="AD80" s="5798" t="s">
        <v>1148</v>
      </c>
      <c r="AE80" s="5799"/>
      <c r="AF80" s="6251">
        <v>45231</v>
      </c>
      <c r="AG80" s="6252"/>
      <c r="AH80" s="5798" t="s">
        <v>1864</v>
      </c>
      <c r="AI80" s="5799"/>
      <c r="AJ80" s="6251">
        <v>45261</v>
      </c>
      <c r="AK80" s="6252"/>
      <c r="AL80" s="6253" t="s">
        <v>684</v>
      </c>
      <c r="AM80" s="6254"/>
      <c r="AN80" s="5798" t="s">
        <v>951</v>
      </c>
      <c r="AO80" s="5799"/>
      <c r="AP80" s="6251">
        <v>45292</v>
      </c>
      <c r="AQ80" s="6252"/>
      <c r="AR80" s="5798" t="s">
        <v>1919</v>
      </c>
      <c r="AS80" s="5799"/>
      <c r="AT80" s="6251">
        <v>45323</v>
      </c>
      <c r="AU80" s="6252"/>
      <c r="AV80" s="5798" t="s">
        <v>1941</v>
      </c>
      <c r="AW80" s="5799"/>
      <c r="AX80" s="6251">
        <v>45352</v>
      </c>
      <c r="AY80" s="6252"/>
      <c r="AZ80" s="6253" t="s">
        <v>685</v>
      </c>
      <c r="BA80" s="6254"/>
      <c r="BB80" s="6247" t="s">
        <v>693</v>
      </c>
      <c r="BC80" s="6248"/>
      <c r="BD80" s="6249" t="s">
        <v>1513</v>
      </c>
      <c r="BE80" s="6250"/>
    </row>
    <row r="81" spans="2:61" ht="16.5" hidden="1" thickBot="1" x14ac:dyDescent="0.3">
      <c r="B81" s="1935"/>
      <c r="C81" s="1938"/>
      <c r="D81" s="1936" t="s">
        <v>1283</v>
      </c>
      <c r="E81" s="1933" t="s">
        <v>1284</v>
      </c>
      <c r="F81" s="1936" t="s">
        <v>1283</v>
      </c>
      <c r="G81" s="1933" t="s">
        <v>1284</v>
      </c>
      <c r="H81" s="1947" t="s">
        <v>1283</v>
      </c>
      <c r="I81" s="1944" t="s">
        <v>1284</v>
      </c>
      <c r="J81" s="2009" t="s">
        <v>1283</v>
      </c>
      <c r="K81" s="3425" t="s">
        <v>1284</v>
      </c>
      <c r="L81" s="3436" t="s">
        <v>1283</v>
      </c>
      <c r="M81" s="3437" t="s">
        <v>1284</v>
      </c>
      <c r="N81" s="2009" t="s">
        <v>1283</v>
      </c>
      <c r="O81" s="2010" t="s">
        <v>1284</v>
      </c>
      <c r="P81" s="1947" t="s">
        <v>1283</v>
      </c>
      <c r="Q81" s="1944" t="s">
        <v>1284</v>
      </c>
      <c r="R81" s="2009" t="s">
        <v>1283</v>
      </c>
      <c r="S81" s="2010" t="s">
        <v>1284</v>
      </c>
      <c r="T81" s="1947" t="s">
        <v>1283</v>
      </c>
      <c r="U81" s="1944" t="s">
        <v>1284</v>
      </c>
      <c r="V81" s="2009" t="s">
        <v>1283</v>
      </c>
      <c r="W81" s="2010" t="s">
        <v>1284</v>
      </c>
      <c r="X81" s="3436" t="s">
        <v>1283</v>
      </c>
      <c r="Y81" s="3437" t="s">
        <v>1284</v>
      </c>
      <c r="Z81" s="5839" t="s">
        <v>1283</v>
      </c>
      <c r="AA81" s="5840" t="s">
        <v>1284</v>
      </c>
      <c r="AB81" s="2009" t="s">
        <v>1283</v>
      </c>
      <c r="AC81" s="2010" t="s">
        <v>1284</v>
      </c>
      <c r="AD81" s="1947" t="s">
        <v>1283</v>
      </c>
      <c r="AE81" s="1944" t="s">
        <v>1284</v>
      </c>
      <c r="AF81" s="2009" t="s">
        <v>1283</v>
      </c>
      <c r="AG81" s="2010" t="s">
        <v>1284</v>
      </c>
      <c r="AH81" s="1947" t="s">
        <v>1283</v>
      </c>
      <c r="AI81" s="1944" t="s">
        <v>1284</v>
      </c>
      <c r="AJ81" s="2009" t="s">
        <v>1283</v>
      </c>
      <c r="AK81" s="2010" t="s">
        <v>1284</v>
      </c>
      <c r="AL81" s="3436" t="s">
        <v>1283</v>
      </c>
      <c r="AM81" s="3437" t="s">
        <v>1284</v>
      </c>
      <c r="AN81" s="1947" t="s">
        <v>1283</v>
      </c>
      <c r="AO81" s="1944" t="s">
        <v>1284</v>
      </c>
      <c r="AP81" s="2009" t="s">
        <v>1283</v>
      </c>
      <c r="AQ81" s="2010" t="s">
        <v>1284</v>
      </c>
      <c r="AR81" s="1947" t="s">
        <v>1283</v>
      </c>
      <c r="AS81" s="1944" t="s">
        <v>1284</v>
      </c>
      <c r="AT81" s="2009" t="s">
        <v>1283</v>
      </c>
      <c r="AU81" s="2010" t="s">
        <v>1284</v>
      </c>
      <c r="AV81" s="1947" t="s">
        <v>1283</v>
      </c>
      <c r="AW81" s="1944" t="s">
        <v>1284</v>
      </c>
      <c r="AX81" s="2009" t="s">
        <v>1283</v>
      </c>
      <c r="AY81" s="2010" t="s">
        <v>1284</v>
      </c>
      <c r="AZ81" s="3436" t="s">
        <v>1283</v>
      </c>
      <c r="BA81" s="3437" t="s">
        <v>1284</v>
      </c>
      <c r="BB81" s="5839" t="s">
        <v>1283</v>
      </c>
      <c r="BC81" s="5840" t="s">
        <v>1284</v>
      </c>
      <c r="BD81" s="1947" t="s">
        <v>1283</v>
      </c>
      <c r="BE81" s="1944" t="s">
        <v>1999</v>
      </c>
    </row>
    <row r="82" spans="2:61" ht="18.75" hidden="1" x14ac:dyDescent="0.25">
      <c r="B82" s="5800" t="s">
        <v>1285</v>
      </c>
      <c r="C82" s="1945"/>
      <c r="D82" s="5802"/>
      <c r="E82" s="5801">
        <v>66097.7</v>
      </c>
      <c r="F82" s="5801"/>
      <c r="G82" s="5801">
        <v>126416.6</v>
      </c>
      <c r="H82" s="5801" t="e">
        <f>SUM(#REF!)</f>
        <v>#REF!</v>
      </c>
      <c r="I82" s="5801" t="e">
        <f>SUM(#REF!)</f>
        <v>#REF!</v>
      </c>
      <c r="J82" s="5801"/>
      <c r="K82" s="5801">
        <v>95496.5</v>
      </c>
      <c r="L82" s="5837"/>
      <c r="M82" s="5811">
        <f t="shared" ref="M82:M97" si="276">+E82+G82+K82</f>
        <v>288010.8</v>
      </c>
      <c r="N82" s="5801"/>
      <c r="O82" s="5801">
        <v>65643.360000000001</v>
      </c>
      <c r="P82" s="5801" t="e">
        <f>SUM(#REF!)</f>
        <v>#REF!</v>
      </c>
      <c r="Q82" s="5801" t="e">
        <f>SUM(#REF!)</f>
        <v>#REF!</v>
      </c>
      <c r="R82" s="5801"/>
      <c r="S82" s="5801">
        <v>54897.61</v>
      </c>
      <c r="T82" s="5801" t="e">
        <f>SUM(#REF!)</f>
        <v>#REF!</v>
      </c>
      <c r="U82" s="5801" t="e">
        <f>SUM(#REF!)</f>
        <v>#REF!</v>
      </c>
      <c r="V82" s="5801"/>
      <c r="W82" s="5801">
        <v>64392.4</v>
      </c>
      <c r="X82" s="5837"/>
      <c r="Y82" s="5811">
        <f t="shared" ref="Y82:Y97" si="277">+O82+S82+W82</f>
        <v>184933.37</v>
      </c>
      <c r="Z82" s="5841"/>
      <c r="AA82" s="5842">
        <f t="shared" ref="AA82:AA96" si="278">M82+Y82</f>
        <v>472944.17</v>
      </c>
      <c r="AB82" s="5801"/>
      <c r="AC82" s="5801">
        <v>81008.73</v>
      </c>
      <c r="AD82" s="5801" t="e">
        <f>SUM(#REF!)</f>
        <v>#REF!</v>
      </c>
      <c r="AE82" s="5801" t="e">
        <f>SUM(#REF!)</f>
        <v>#REF!</v>
      </c>
      <c r="AF82" s="5801"/>
      <c r="AG82" s="5801">
        <v>79577.759999999995</v>
      </c>
      <c r="AH82" s="5801" t="e">
        <f>SUM(#REF!)</f>
        <v>#REF!</v>
      </c>
      <c r="AI82" s="5801" t="e">
        <f>SUM(#REF!)</f>
        <v>#REF!</v>
      </c>
      <c r="AJ82" s="5801"/>
      <c r="AK82" s="5801">
        <v>77423.59</v>
      </c>
      <c r="AL82" s="5837"/>
      <c r="AM82" s="5811">
        <f t="shared" ref="AM82:AM96" si="279">+AC82+AG82+AK82</f>
        <v>238010.08</v>
      </c>
      <c r="AN82" s="5801" t="e">
        <f>SUM(#REF!)</f>
        <v>#REF!</v>
      </c>
      <c r="AO82" s="5801" t="e">
        <f>SUM(#REF!)</f>
        <v>#REF!</v>
      </c>
      <c r="AP82" s="5801"/>
      <c r="AQ82" s="5801">
        <v>81882.37</v>
      </c>
      <c r="AR82" s="5801" t="e">
        <f>SUM(#REF!)</f>
        <v>#REF!</v>
      </c>
      <c r="AS82" s="5801" t="e">
        <f>SUM(#REF!)</f>
        <v>#REF!</v>
      </c>
      <c r="AT82" s="5801"/>
      <c r="AU82" s="5801">
        <v>98056.57</v>
      </c>
      <c r="AV82" s="5801" t="e">
        <f>SUM(#REF!)</f>
        <v>#REF!</v>
      </c>
      <c r="AW82" s="5801" t="e">
        <f>SUM(#REF!)</f>
        <v>#REF!</v>
      </c>
      <c r="AX82" s="5801"/>
      <c r="AY82" s="5801">
        <v>75409.3</v>
      </c>
      <c r="AZ82" s="5837"/>
      <c r="BA82" s="5811">
        <f t="shared" ref="BA82:BA97" si="280">+AQ82+AU82+AY82</f>
        <v>255348.24</v>
      </c>
      <c r="BB82" s="5841"/>
      <c r="BC82" s="5842">
        <f t="shared" ref="BC82:BC97" si="281">AM82+BA82</f>
        <v>493358.31999999995</v>
      </c>
      <c r="BD82" s="5838"/>
      <c r="BE82" s="5845">
        <f t="shared" ref="BE82:BE96" si="282">BC82+AA82</f>
        <v>966302.49</v>
      </c>
      <c r="BF82" s="26"/>
      <c r="BG82" s="26"/>
    </row>
    <row r="83" spans="2:61" ht="18.75" hidden="1" x14ac:dyDescent="0.25">
      <c r="B83" s="5846" t="s">
        <v>1287</v>
      </c>
      <c r="C83" s="5803"/>
      <c r="D83" s="5804"/>
      <c r="E83" s="5804">
        <v>264821.62</v>
      </c>
      <c r="F83" s="5804"/>
      <c r="G83" s="5804">
        <v>268973.06</v>
      </c>
      <c r="H83" s="5804" t="e">
        <f>SUM(#REF!)</f>
        <v>#REF!</v>
      </c>
      <c r="I83" s="5804" t="e">
        <f>SUM(#REF!)</f>
        <v>#REF!</v>
      </c>
      <c r="J83" s="5804"/>
      <c r="K83" s="5804">
        <v>205195.15</v>
      </c>
      <c r="L83" s="5811"/>
      <c r="M83" s="5811">
        <f t="shared" si="276"/>
        <v>738989.83</v>
      </c>
      <c r="N83" s="5804"/>
      <c r="O83" s="5804">
        <v>285638.09999999998</v>
      </c>
      <c r="P83" s="5804" t="e">
        <f>SUM(#REF!)</f>
        <v>#REF!</v>
      </c>
      <c r="Q83" s="5804" t="e">
        <f>SUM(#REF!)</f>
        <v>#REF!</v>
      </c>
      <c r="R83" s="5804"/>
      <c r="S83" s="5804">
        <v>276633.96000000002</v>
      </c>
      <c r="T83" s="5804" t="e">
        <f>SUM(#REF!)</f>
        <v>#REF!</v>
      </c>
      <c r="U83" s="5804" t="e">
        <f>SUM(#REF!)</f>
        <v>#REF!</v>
      </c>
      <c r="V83" s="5804"/>
      <c r="W83" s="5804">
        <v>233318.1</v>
      </c>
      <c r="X83" s="5811"/>
      <c r="Y83" s="5811">
        <f t="shared" si="277"/>
        <v>795590.16</v>
      </c>
      <c r="Z83" s="5843"/>
      <c r="AA83" s="5842">
        <f t="shared" si="278"/>
        <v>1534579.99</v>
      </c>
      <c r="AB83" s="5804"/>
      <c r="AC83" s="5804">
        <v>326932.89</v>
      </c>
      <c r="AD83" s="5804" t="e">
        <f>SUM(#REF!)</f>
        <v>#REF!</v>
      </c>
      <c r="AE83" s="5804" t="e">
        <f>SUM(#REF!)</f>
        <v>#REF!</v>
      </c>
      <c r="AF83" s="5804"/>
      <c r="AG83" s="5804">
        <v>331716.28999999998</v>
      </c>
      <c r="AH83" s="5804" t="e">
        <f>SUM(#REF!)</f>
        <v>#REF!</v>
      </c>
      <c r="AI83" s="5804" t="e">
        <f>SUM(#REF!)</f>
        <v>#REF!</v>
      </c>
      <c r="AJ83" s="5804"/>
      <c r="AK83" s="5804">
        <v>330202.40999999997</v>
      </c>
      <c r="AL83" s="5811"/>
      <c r="AM83" s="5811">
        <f t="shared" si="279"/>
        <v>988851.58999999985</v>
      </c>
      <c r="AN83" s="5804" t="e">
        <f>SUM(#REF!)</f>
        <v>#REF!</v>
      </c>
      <c r="AO83" s="5804" t="e">
        <f>SUM(#REF!)</f>
        <v>#REF!</v>
      </c>
      <c r="AP83" s="5804"/>
      <c r="AQ83" s="5804">
        <v>308975</v>
      </c>
      <c r="AR83" s="5804" t="e">
        <f>SUM(#REF!)</f>
        <v>#REF!</v>
      </c>
      <c r="AS83" s="5804" t="e">
        <f>SUM(#REF!)</f>
        <v>#REF!</v>
      </c>
      <c r="AT83" s="5804"/>
      <c r="AU83" s="5804">
        <v>229354.92</v>
      </c>
      <c r="AV83" s="5804" t="e">
        <f>SUM(#REF!)</f>
        <v>#REF!</v>
      </c>
      <c r="AW83" s="5804" t="e">
        <f>SUM(#REF!)</f>
        <v>#REF!</v>
      </c>
      <c r="AX83" s="5804"/>
      <c r="AY83" s="5804">
        <v>256970.9</v>
      </c>
      <c r="AZ83" s="5811"/>
      <c r="BA83" s="5811">
        <f t="shared" si="280"/>
        <v>795300.82000000007</v>
      </c>
      <c r="BB83" s="5843"/>
      <c r="BC83" s="5842">
        <f t="shared" si="281"/>
        <v>1784152.41</v>
      </c>
      <c r="BD83" s="5810"/>
      <c r="BE83" s="5845">
        <f t="shared" si="282"/>
        <v>3318732.4</v>
      </c>
    </row>
    <row r="84" spans="2:61" ht="18.75" hidden="1" x14ac:dyDescent="0.25">
      <c r="B84" s="5847" t="s">
        <v>1288</v>
      </c>
      <c r="C84" s="5803"/>
      <c r="D84" s="5804"/>
      <c r="E84" s="5804">
        <v>66775</v>
      </c>
      <c r="F84" s="5804"/>
      <c r="G84" s="5804">
        <v>50844</v>
      </c>
      <c r="H84" s="5804" t="e">
        <f>SUM(#REF!)</f>
        <v>#REF!</v>
      </c>
      <c r="I84" s="5804" t="e">
        <f>SUM(#REF!)</f>
        <v>#REF!</v>
      </c>
      <c r="J84" s="5804"/>
      <c r="K84" s="5804">
        <v>67947</v>
      </c>
      <c r="L84" s="5811"/>
      <c r="M84" s="5811">
        <f t="shared" si="276"/>
        <v>185566</v>
      </c>
      <c r="N84" s="5804"/>
      <c r="O84" s="5804">
        <v>66163.03</v>
      </c>
      <c r="P84" s="5804" t="e">
        <f>SUM(#REF!)</f>
        <v>#REF!</v>
      </c>
      <c r="Q84" s="5804" t="e">
        <f>SUM(#REF!)</f>
        <v>#REF!</v>
      </c>
      <c r="R84" s="5804"/>
      <c r="S84" s="5804">
        <v>73337.399999999994</v>
      </c>
      <c r="T84" s="5804" t="e">
        <f>SUM(#REF!)</f>
        <v>#REF!</v>
      </c>
      <c r="U84" s="5804" t="e">
        <f>SUM(#REF!)</f>
        <v>#REF!</v>
      </c>
      <c r="V84" s="5804"/>
      <c r="W84" s="5804">
        <v>66150.78</v>
      </c>
      <c r="X84" s="5811"/>
      <c r="Y84" s="5811">
        <f t="shared" si="277"/>
        <v>205651.21</v>
      </c>
      <c r="Z84" s="5843"/>
      <c r="AA84" s="5842">
        <f t="shared" si="278"/>
        <v>391217.20999999996</v>
      </c>
      <c r="AB84" s="5804"/>
      <c r="AC84" s="5804">
        <v>62177.68</v>
      </c>
      <c r="AD84" s="5804" t="e">
        <f>SUM(#REF!)</f>
        <v>#REF!</v>
      </c>
      <c r="AE84" s="5804" t="e">
        <f>SUM(#REF!)</f>
        <v>#REF!</v>
      </c>
      <c r="AF84" s="5804"/>
      <c r="AG84" s="5804">
        <v>58887.8</v>
      </c>
      <c r="AH84" s="5804" t="e">
        <f>SUM(#REF!)</f>
        <v>#REF!</v>
      </c>
      <c r="AI84" s="5804" t="e">
        <f>SUM(#REF!)</f>
        <v>#REF!</v>
      </c>
      <c r="AJ84" s="5804"/>
      <c r="AK84" s="5804">
        <v>59221.23</v>
      </c>
      <c r="AL84" s="5811"/>
      <c r="AM84" s="5811">
        <f t="shared" si="279"/>
        <v>180286.71000000002</v>
      </c>
      <c r="AN84" s="5804" t="e">
        <f>SUM(#REF!)</f>
        <v>#REF!</v>
      </c>
      <c r="AO84" s="5804" t="e">
        <f>SUM(#REF!)</f>
        <v>#REF!</v>
      </c>
      <c r="AP84" s="5804"/>
      <c r="AQ84" s="5804">
        <v>75412.81</v>
      </c>
      <c r="AR84" s="5804" t="e">
        <f>SUM(#REF!)</f>
        <v>#REF!</v>
      </c>
      <c r="AS84" s="5804" t="e">
        <f>SUM(#REF!)</f>
        <v>#REF!</v>
      </c>
      <c r="AT84" s="5804"/>
      <c r="AU84" s="5804">
        <v>68176</v>
      </c>
      <c r="AV84" s="5804" t="e">
        <f>SUM(#REF!)</f>
        <v>#REF!</v>
      </c>
      <c r="AW84" s="5804" t="e">
        <f>SUM(#REF!)</f>
        <v>#REF!</v>
      </c>
      <c r="AX84" s="5804"/>
      <c r="AY84" s="5804">
        <v>64574</v>
      </c>
      <c r="AZ84" s="5811"/>
      <c r="BA84" s="5811">
        <f t="shared" si="280"/>
        <v>208162.81</v>
      </c>
      <c r="BB84" s="5843"/>
      <c r="BC84" s="5842">
        <f t="shared" si="281"/>
        <v>388449.52</v>
      </c>
      <c r="BD84" s="5810"/>
      <c r="BE84" s="5845">
        <f t="shared" si="282"/>
        <v>779666.73</v>
      </c>
    </row>
    <row r="85" spans="2:61" ht="18.75" hidden="1" x14ac:dyDescent="0.25">
      <c r="B85" s="5847" t="s">
        <v>1289</v>
      </c>
      <c r="C85" s="5805"/>
      <c r="D85" s="5804"/>
      <c r="E85" s="5804">
        <v>8132</v>
      </c>
      <c r="F85" s="5804"/>
      <c r="G85" s="5804">
        <v>16350.65</v>
      </c>
      <c r="H85" s="5804" t="e">
        <f>SUM(#REF!)</f>
        <v>#REF!</v>
      </c>
      <c r="I85" s="5804" t="e">
        <f>SUM(#REF!)</f>
        <v>#REF!</v>
      </c>
      <c r="J85" s="5804"/>
      <c r="K85" s="5804">
        <v>8175</v>
      </c>
      <c r="L85" s="5811"/>
      <c r="M85" s="5811">
        <f t="shared" si="276"/>
        <v>32657.65</v>
      </c>
      <c r="N85" s="5804"/>
      <c r="O85" s="5804">
        <v>0</v>
      </c>
      <c r="P85" s="5804" t="e">
        <f>SUM(#REF!)</f>
        <v>#REF!</v>
      </c>
      <c r="Q85" s="5804" t="e">
        <f>SUM(#REF!)</f>
        <v>#REF!</v>
      </c>
      <c r="R85" s="5804"/>
      <c r="S85" s="5804">
        <v>12202</v>
      </c>
      <c r="T85" s="5804" t="e">
        <f>SUM(#REF!)</f>
        <v>#REF!</v>
      </c>
      <c r="U85" s="5804" t="e">
        <f>SUM(#REF!)</f>
        <v>#REF!</v>
      </c>
      <c r="V85" s="5804"/>
      <c r="W85" s="5804">
        <v>12261.18</v>
      </c>
      <c r="X85" s="5811"/>
      <c r="Y85" s="5811">
        <f t="shared" si="277"/>
        <v>24463.18</v>
      </c>
      <c r="Z85" s="5843"/>
      <c r="AA85" s="5842">
        <f t="shared" si="278"/>
        <v>57120.83</v>
      </c>
      <c r="AB85" s="5804"/>
      <c r="AC85" s="5804">
        <v>12240</v>
      </c>
      <c r="AD85" s="5804" t="e">
        <f>SUM(#REF!)</f>
        <v>#REF!</v>
      </c>
      <c r="AE85" s="5804" t="e">
        <f>SUM(#REF!)</f>
        <v>#REF!</v>
      </c>
      <c r="AF85" s="5804"/>
      <c r="AG85" s="5804">
        <v>11910</v>
      </c>
      <c r="AH85" s="5804" t="e">
        <f>SUM(#REF!)</f>
        <v>#REF!</v>
      </c>
      <c r="AI85" s="5804" t="e">
        <f>SUM(#REF!)</f>
        <v>#REF!</v>
      </c>
      <c r="AJ85" s="5804"/>
      <c r="AK85" s="5804">
        <v>8200.9</v>
      </c>
      <c r="AL85" s="5811"/>
      <c r="AM85" s="5811">
        <f t="shared" si="279"/>
        <v>32350.9</v>
      </c>
      <c r="AN85" s="5804" t="e">
        <f>SUM(#REF!)</f>
        <v>#REF!</v>
      </c>
      <c r="AO85" s="5804" t="e">
        <f>SUM(#REF!)</f>
        <v>#REF!</v>
      </c>
      <c r="AP85" s="5804"/>
      <c r="AQ85" s="5804">
        <v>4135.2700000000004</v>
      </c>
      <c r="AR85" s="5804" t="e">
        <f>SUM(#REF!)</f>
        <v>#REF!</v>
      </c>
      <c r="AS85" s="5804" t="e">
        <f>SUM(#REF!)</f>
        <v>#REF!</v>
      </c>
      <c r="AT85" s="5804"/>
      <c r="AU85" s="5804">
        <v>0</v>
      </c>
      <c r="AV85" s="5804" t="e">
        <f>SUM(#REF!)</f>
        <v>#REF!</v>
      </c>
      <c r="AW85" s="5804" t="e">
        <f>SUM(#REF!)</f>
        <v>#REF!</v>
      </c>
      <c r="AX85" s="5804"/>
      <c r="AY85" s="5804">
        <v>4037.1</v>
      </c>
      <c r="AZ85" s="5811"/>
      <c r="BA85" s="5811">
        <f t="shared" si="280"/>
        <v>8172.3700000000008</v>
      </c>
      <c r="BB85" s="5843"/>
      <c r="BC85" s="5842">
        <f t="shared" si="281"/>
        <v>40523.270000000004</v>
      </c>
      <c r="BD85" s="5810"/>
      <c r="BE85" s="5845">
        <f t="shared" si="282"/>
        <v>97644.1</v>
      </c>
    </row>
    <row r="86" spans="2:61" s="5794" customFormat="1" ht="18.75" hidden="1" x14ac:dyDescent="0.25">
      <c r="B86" s="5847" t="s">
        <v>2013</v>
      </c>
      <c r="C86" s="5805"/>
      <c r="D86" s="5804"/>
      <c r="E86" s="5804">
        <f>E84+E85</f>
        <v>74907</v>
      </c>
      <c r="F86" s="5804"/>
      <c r="G86" s="5804">
        <f>G84+G85</f>
        <v>67194.649999999994</v>
      </c>
      <c r="H86" s="5804"/>
      <c r="I86" s="5804"/>
      <c r="J86" s="5804"/>
      <c r="K86" s="5804">
        <f>K84+K85</f>
        <v>76122</v>
      </c>
      <c r="L86" s="5811"/>
      <c r="M86" s="5811">
        <f t="shared" si="276"/>
        <v>218223.65</v>
      </c>
      <c r="N86" s="5804"/>
      <c r="O86" s="5804">
        <f>O84+O85</f>
        <v>66163.03</v>
      </c>
      <c r="P86" s="5804"/>
      <c r="Q86" s="5804"/>
      <c r="R86" s="5804"/>
      <c r="S86" s="5804">
        <f>S84+S85</f>
        <v>85539.4</v>
      </c>
      <c r="T86" s="5804"/>
      <c r="U86" s="5804"/>
      <c r="V86" s="5804"/>
      <c r="W86" s="5804">
        <f>W84+W85</f>
        <v>78411.959999999992</v>
      </c>
      <c r="X86" s="5811"/>
      <c r="Y86" s="5811">
        <f t="shared" si="277"/>
        <v>230114.38999999998</v>
      </c>
      <c r="Z86" s="5843"/>
      <c r="AA86" s="5842">
        <f t="shared" si="278"/>
        <v>448338.04</v>
      </c>
      <c r="AB86" s="5804"/>
      <c r="AC86" s="5804">
        <f>AC84+AC85</f>
        <v>74417.679999999993</v>
      </c>
      <c r="AD86" s="5804"/>
      <c r="AE86" s="5804"/>
      <c r="AF86" s="5804"/>
      <c r="AG86" s="5804">
        <f>AG84+AG85</f>
        <v>70797.8</v>
      </c>
      <c r="AH86" s="5804"/>
      <c r="AI86" s="5804"/>
      <c r="AJ86" s="5804"/>
      <c r="AK86" s="5804">
        <f>AK84+AK85</f>
        <v>67422.13</v>
      </c>
      <c r="AL86" s="5811"/>
      <c r="AM86" s="5811">
        <f t="shared" si="279"/>
        <v>212637.61</v>
      </c>
      <c r="AN86" s="5804"/>
      <c r="AO86" s="5804"/>
      <c r="AP86" s="5804"/>
      <c r="AQ86" s="5804">
        <f>AQ84+AQ85</f>
        <v>79548.08</v>
      </c>
      <c r="AR86" s="5804"/>
      <c r="AS86" s="5804"/>
      <c r="AT86" s="5804"/>
      <c r="AU86" s="5804">
        <f>AU84+AU85</f>
        <v>68176</v>
      </c>
      <c r="AV86" s="5804"/>
      <c r="AW86" s="5804"/>
      <c r="AX86" s="5804"/>
      <c r="AY86" s="5804">
        <f>AY84+AY85</f>
        <v>68611.100000000006</v>
      </c>
      <c r="AZ86" s="5811"/>
      <c r="BA86" s="5811">
        <f t="shared" si="280"/>
        <v>216335.18000000002</v>
      </c>
      <c r="BB86" s="5843"/>
      <c r="BC86" s="5842">
        <f t="shared" si="281"/>
        <v>428972.79000000004</v>
      </c>
      <c r="BD86" s="5810"/>
      <c r="BE86" s="5845">
        <f t="shared" si="282"/>
        <v>877310.83000000007</v>
      </c>
    </row>
    <row r="87" spans="2:61" ht="18.75" hidden="1" x14ac:dyDescent="0.25">
      <c r="B87" s="5848" t="s">
        <v>1290</v>
      </c>
      <c r="C87" s="5805"/>
      <c r="D87" s="5804"/>
      <c r="E87" s="5804">
        <v>27467.55</v>
      </c>
      <c r="F87" s="5804"/>
      <c r="G87" s="5804">
        <v>11861.2</v>
      </c>
      <c r="H87" s="5804" t="e">
        <f>SUM(#REF!)</f>
        <v>#REF!</v>
      </c>
      <c r="I87" s="5804" t="e">
        <f>SUM(#REF!)</f>
        <v>#REF!</v>
      </c>
      <c r="J87" s="5804"/>
      <c r="K87" s="5804">
        <v>29667</v>
      </c>
      <c r="L87" s="5811"/>
      <c r="M87" s="5811">
        <f t="shared" si="276"/>
        <v>68995.75</v>
      </c>
      <c r="N87" s="5804"/>
      <c r="O87" s="5804">
        <v>34790.67</v>
      </c>
      <c r="P87" s="5804" t="e">
        <f>SUM(#REF!)</f>
        <v>#REF!</v>
      </c>
      <c r="Q87" s="5804" t="e">
        <f>SUM(#REF!)</f>
        <v>#REF!</v>
      </c>
      <c r="R87" s="5804"/>
      <c r="S87" s="5804">
        <f>31936.51-899</f>
        <v>31037.51</v>
      </c>
      <c r="T87" s="5804" t="e">
        <f>SUM(#REF!)</f>
        <v>#REF!</v>
      </c>
      <c r="U87" s="5804" t="e">
        <f>SUM(#REF!)</f>
        <v>#REF!</v>
      </c>
      <c r="V87" s="5804"/>
      <c r="W87" s="5804">
        <v>23228.5</v>
      </c>
      <c r="X87" s="5811"/>
      <c r="Y87" s="5811">
        <f t="shared" si="277"/>
        <v>89056.68</v>
      </c>
      <c r="Z87" s="5843"/>
      <c r="AA87" s="5842">
        <f t="shared" si="278"/>
        <v>158052.43</v>
      </c>
      <c r="AB87" s="5804"/>
      <c r="AC87" s="5804">
        <v>27386.44</v>
      </c>
      <c r="AD87" s="5804" t="e">
        <f>SUM(#REF!)</f>
        <v>#REF!</v>
      </c>
      <c r="AE87" s="5804" t="e">
        <f>SUM(#REF!)</f>
        <v>#REF!</v>
      </c>
      <c r="AF87" s="5804"/>
      <c r="AG87" s="5804">
        <v>30694</v>
      </c>
      <c r="AH87" s="5804" t="e">
        <f>SUM(#REF!)</f>
        <v>#REF!</v>
      </c>
      <c r="AI87" s="5804" t="e">
        <f>SUM(#REF!)</f>
        <v>#REF!</v>
      </c>
      <c r="AJ87" s="5804"/>
      <c r="AK87" s="5804">
        <v>23697</v>
      </c>
      <c r="AL87" s="5811"/>
      <c r="AM87" s="5811">
        <f t="shared" si="279"/>
        <v>81777.440000000002</v>
      </c>
      <c r="AN87" s="5804" t="e">
        <f>SUM(#REF!)</f>
        <v>#REF!</v>
      </c>
      <c r="AO87" s="5804" t="e">
        <f>SUM(#REF!)</f>
        <v>#REF!</v>
      </c>
      <c r="AP87" s="5804"/>
      <c r="AQ87" s="5804">
        <v>27592.23</v>
      </c>
      <c r="AR87" s="5804" t="e">
        <f>SUM(#REF!)</f>
        <v>#REF!</v>
      </c>
      <c r="AS87" s="5804" t="e">
        <f>SUM(#REF!)</f>
        <v>#REF!</v>
      </c>
      <c r="AT87" s="5804"/>
      <c r="AU87" s="5804">
        <v>19966.7</v>
      </c>
      <c r="AV87" s="5804" t="e">
        <f>SUM(#REF!)</f>
        <v>#REF!</v>
      </c>
      <c r="AW87" s="5804" t="e">
        <f>SUM(#REF!)</f>
        <v>#REF!</v>
      </c>
      <c r="AX87" s="5804"/>
      <c r="AY87" s="5804">
        <v>34469</v>
      </c>
      <c r="AZ87" s="5811"/>
      <c r="BA87" s="5811">
        <f t="shared" si="280"/>
        <v>82027.929999999993</v>
      </c>
      <c r="BB87" s="5843"/>
      <c r="BC87" s="5842">
        <f t="shared" si="281"/>
        <v>163805.37</v>
      </c>
      <c r="BD87" s="5810"/>
      <c r="BE87" s="5845">
        <f t="shared" si="282"/>
        <v>321857.8</v>
      </c>
      <c r="BG87" s="26"/>
    </row>
    <row r="88" spans="2:61" ht="18.75" hidden="1" x14ac:dyDescent="0.25">
      <c r="B88" s="5848" t="s">
        <v>1295</v>
      </c>
      <c r="C88" s="5803"/>
      <c r="D88" s="5804"/>
      <c r="E88" s="5804">
        <v>11923.84</v>
      </c>
      <c r="F88" s="5804"/>
      <c r="G88" s="5804">
        <v>3953.76</v>
      </c>
      <c r="H88" s="5804" t="e">
        <f>SUM(#REF!)</f>
        <v>#REF!</v>
      </c>
      <c r="I88" s="5804" t="e">
        <f>SUM(#REF!)</f>
        <v>#REF!</v>
      </c>
      <c r="J88" s="5804"/>
      <c r="K88" s="5804">
        <v>15023.06</v>
      </c>
      <c r="L88" s="5811"/>
      <c r="M88" s="5811">
        <f t="shared" si="276"/>
        <v>30900.66</v>
      </c>
      <c r="N88" s="5804"/>
      <c r="O88" s="5804">
        <v>23181.84</v>
      </c>
      <c r="P88" s="5804"/>
      <c r="Q88" s="5804"/>
      <c r="R88" s="5804"/>
      <c r="S88" s="5804">
        <f>19519.28+899</f>
        <v>20418.28</v>
      </c>
      <c r="T88" s="5804"/>
      <c r="U88" s="5804"/>
      <c r="V88" s="5804"/>
      <c r="W88" s="5804">
        <v>20367.7</v>
      </c>
      <c r="X88" s="5811"/>
      <c r="Y88" s="5811">
        <f t="shared" si="277"/>
        <v>63967.819999999992</v>
      </c>
      <c r="Z88" s="5843"/>
      <c r="AA88" s="5842">
        <f t="shared" si="278"/>
        <v>94868.479999999996</v>
      </c>
      <c r="AB88" s="5804"/>
      <c r="AC88" s="5804">
        <v>15372.5</v>
      </c>
      <c r="AD88" s="5804" t="e">
        <f>SUM(#REF!)</f>
        <v>#REF!</v>
      </c>
      <c r="AE88" s="5804" t="e">
        <f>SUM(#REF!)</f>
        <v>#REF!</v>
      </c>
      <c r="AF88" s="5804"/>
      <c r="AG88" s="5804">
        <v>15899.92</v>
      </c>
      <c r="AH88" s="5804" t="e">
        <f>SUM(#REF!)</f>
        <v>#REF!</v>
      </c>
      <c r="AI88" s="5804" t="e">
        <f>SUM(#REF!)</f>
        <v>#REF!</v>
      </c>
      <c r="AJ88" s="5804"/>
      <c r="AK88" s="5804">
        <v>19646.55</v>
      </c>
      <c r="AL88" s="5811"/>
      <c r="AM88" s="5811">
        <f t="shared" si="279"/>
        <v>50918.97</v>
      </c>
      <c r="AN88" s="5804" t="e">
        <f>SUM(#REF!)</f>
        <v>#REF!</v>
      </c>
      <c r="AO88" s="5804" t="e">
        <f>SUM(#REF!)</f>
        <v>#REF!</v>
      </c>
      <c r="AP88" s="5804"/>
      <c r="AQ88" s="5804">
        <v>7915.81</v>
      </c>
      <c r="AR88" s="5804" t="e">
        <f>SUM(#REF!)</f>
        <v>#REF!</v>
      </c>
      <c r="AS88" s="5804" t="e">
        <f>SUM(#REF!)</f>
        <v>#REF!</v>
      </c>
      <c r="AT88" s="5804"/>
      <c r="AU88" s="5804">
        <v>15828.08</v>
      </c>
      <c r="AV88" s="5804" t="e">
        <f>SUM(#REF!)</f>
        <v>#REF!</v>
      </c>
      <c r="AW88" s="5804" t="e">
        <f>SUM(#REF!)</f>
        <v>#REF!</v>
      </c>
      <c r="AX88" s="5804"/>
      <c r="AY88" s="5804">
        <v>27145.07</v>
      </c>
      <c r="AZ88" s="5811"/>
      <c r="BA88" s="5811">
        <f t="shared" si="280"/>
        <v>50888.959999999999</v>
      </c>
      <c r="BB88" s="5843"/>
      <c r="BC88" s="5842">
        <f t="shared" si="281"/>
        <v>101807.93</v>
      </c>
      <c r="BD88" s="5810"/>
      <c r="BE88" s="5845">
        <f t="shared" si="282"/>
        <v>196676.40999999997</v>
      </c>
      <c r="BG88" s="26"/>
    </row>
    <row r="89" spans="2:61" s="5794" customFormat="1" ht="18.75" hidden="1" x14ac:dyDescent="0.25">
      <c r="B89" s="5848" t="s">
        <v>2014</v>
      </c>
      <c r="C89" s="5805"/>
      <c r="D89" s="5804"/>
      <c r="E89" s="5804">
        <f>E87+E88</f>
        <v>39391.39</v>
      </c>
      <c r="F89" s="5804"/>
      <c r="G89" s="5804">
        <f>G87+G88</f>
        <v>15814.960000000001</v>
      </c>
      <c r="H89" s="5804"/>
      <c r="I89" s="5804"/>
      <c r="J89" s="5804"/>
      <c r="K89" s="5804">
        <f>K87+K88</f>
        <v>44690.06</v>
      </c>
      <c r="L89" s="5811"/>
      <c r="M89" s="5811">
        <f t="shared" si="276"/>
        <v>99896.41</v>
      </c>
      <c r="N89" s="5804"/>
      <c r="O89" s="5804">
        <f>O87+O88</f>
        <v>57972.509999999995</v>
      </c>
      <c r="P89" s="5804"/>
      <c r="Q89" s="5804"/>
      <c r="R89" s="5804"/>
      <c r="S89" s="5804">
        <f>S87+S88</f>
        <v>51455.789999999994</v>
      </c>
      <c r="T89" s="5804"/>
      <c r="U89" s="5804"/>
      <c r="V89" s="5804"/>
      <c r="W89" s="5804">
        <f>W87+W88</f>
        <v>43596.2</v>
      </c>
      <c r="X89" s="5811"/>
      <c r="Y89" s="5811">
        <f t="shared" si="277"/>
        <v>153024.5</v>
      </c>
      <c r="Z89" s="5843"/>
      <c r="AA89" s="5842">
        <f t="shared" si="278"/>
        <v>252920.91</v>
      </c>
      <c r="AB89" s="5804"/>
      <c r="AC89" s="5804">
        <f>AC87+AC88</f>
        <v>42758.94</v>
      </c>
      <c r="AD89" s="5804"/>
      <c r="AE89" s="5804"/>
      <c r="AF89" s="5804"/>
      <c r="AG89" s="5804">
        <f>AG87+AG88</f>
        <v>46593.919999999998</v>
      </c>
      <c r="AH89" s="5804"/>
      <c r="AI89" s="5804"/>
      <c r="AJ89" s="5804"/>
      <c r="AK89" s="5804">
        <f>AK87+AK88</f>
        <v>43343.55</v>
      </c>
      <c r="AL89" s="5811"/>
      <c r="AM89" s="5811">
        <f t="shared" si="279"/>
        <v>132696.41</v>
      </c>
      <c r="AN89" s="5804"/>
      <c r="AO89" s="5804"/>
      <c r="AP89" s="5804"/>
      <c r="AQ89" s="5804">
        <f>AQ87+AQ88</f>
        <v>35508.04</v>
      </c>
      <c r="AR89" s="5804"/>
      <c r="AS89" s="5804"/>
      <c r="AT89" s="5804"/>
      <c r="AU89" s="5804">
        <f>AU87+AU88</f>
        <v>35794.78</v>
      </c>
      <c r="AV89" s="5804"/>
      <c r="AW89" s="5804"/>
      <c r="AX89" s="5804"/>
      <c r="AY89" s="5804">
        <f>AY87+AY88</f>
        <v>61614.07</v>
      </c>
      <c r="AZ89" s="5811"/>
      <c r="BA89" s="5811">
        <f t="shared" si="280"/>
        <v>132916.89000000001</v>
      </c>
      <c r="BB89" s="5843"/>
      <c r="BC89" s="5842">
        <f t="shared" si="281"/>
        <v>265613.30000000005</v>
      </c>
      <c r="BD89" s="5810"/>
      <c r="BE89" s="5845">
        <f t="shared" si="282"/>
        <v>518534.21000000008</v>
      </c>
    </row>
    <row r="90" spans="2:61" ht="18.75" hidden="1" x14ac:dyDescent="0.25">
      <c r="B90" s="5849" t="s">
        <v>2008</v>
      </c>
      <c r="C90" s="5805"/>
      <c r="D90" s="5806"/>
      <c r="E90" s="5806">
        <v>124236.12</v>
      </c>
      <c r="F90" s="5806"/>
      <c r="G90" s="5806">
        <v>133220</v>
      </c>
      <c r="H90" s="5806" t="e">
        <f>SUM(#REF!)</f>
        <v>#REF!</v>
      </c>
      <c r="I90" s="5806" t="e">
        <f>SUM(#REF!)</f>
        <v>#REF!</v>
      </c>
      <c r="J90" s="5806"/>
      <c r="K90" s="5806">
        <v>81492.429999999993</v>
      </c>
      <c r="L90" s="5811"/>
      <c r="M90" s="5811">
        <f t="shared" si="276"/>
        <v>338948.55</v>
      </c>
      <c r="N90" s="5806"/>
      <c r="O90" s="5806">
        <v>145932</v>
      </c>
      <c r="P90" s="5806"/>
      <c r="Q90" s="5806"/>
      <c r="R90" s="5806"/>
      <c r="S90" s="5806">
        <f>100240.73+236</f>
        <v>100476.73</v>
      </c>
      <c r="T90" s="5806"/>
      <c r="U90" s="5806"/>
      <c r="V90" s="5806"/>
      <c r="W90" s="5806">
        <f>86758+25972</f>
        <v>112730</v>
      </c>
      <c r="X90" s="5811"/>
      <c r="Y90" s="5811">
        <f t="shared" si="277"/>
        <v>359138.73</v>
      </c>
      <c r="Z90" s="5843"/>
      <c r="AA90" s="5842">
        <f t="shared" si="278"/>
        <v>698087.28</v>
      </c>
      <c r="AB90" s="5806"/>
      <c r="AC90" s="5806">
        <v>110761</v>
      </c>
      <c r="AD90" s="5806" t="e">
        <f>SUM(#REF!)</f>
        <v>#REF!</v>
      </c>
      <c r="AE90" s="5806" t="e">
        <f>SUM(#REF!)</f>
        <v>#REF!</v>
      </c>
      <c r="AF90" s="5806"/>
      <c r="AG90" s="5806">
        <v>107591</v>
      </c>
      <c r="AH90" s="5806" t="e">
        <f>SUM(#REF!)</f>
        <v>#REF!</v>
      </c>
      <c r="AI90" s="5806" t="e">
        <f>SUM(#REF!)</f>
        <v>#REF!</v>
      </c>
      <c r="AJ90" s="5806"/>
      <c r="AK90" s="5806">
        <v>123699</v>
      </c>
      <c r="AL90" s="5811"/>
      <c r="AM90" s="5811">
        <f t="shared" si="279"/>
        <v>342051</v>
      </c>
      <c r="AN90" s="5806" t="e">
        <f>SUM(#REF!)</f>
        <v>#REF!</v>
      </c>
      <c r="AO90" s="5806" t="e">
        <f>SUM(#REF!)</f>
        <v>#REF!</v>
      </c>
      <c r="AP90" s="5806"/>
      <c r="AQ90" s="5806">
        <v>111584.28</v>
      </c>
      <c r="AR90" s="5806" t="e">
        <f>SUM(#REF!)</f>
        <v>#REF!</v>
      </c>
      <c r="AS90" s="5806" t="e">
        <f>SUM(#REF!)</f>
        <v>#REF!</v>
      </c>
      <c r="AT90" s="5806"/>
      <c r="AU90" s="5806">
        <v>105589</v>
      </c>
      <c r="AV90" s="5806" t="e">
        <f>SUM(#REF!)</f>
        <v>#REF!</v>
      </c>
      <c r="AW90" s="5806" t="e">
        <f>SUM(#REF!)</f>
        <v>#REF!</v>
      </c>
      <c r="AX90" s="5806"/>
      <c r="AY90" s="5806">
        <v>116917</v>
      </c>
      <c r="AZ90" s="5811"/>
      <c r="BA90" s="5811">
        <f t="shared" si="280"/>
        <v>334090.28000000003</v>
      </c>
      <c r="BB90" s="5843"/>
      <c r="BC90" s="5842">
        <f t="shared" si="281"/>
        <v>676141.28</v>
      </c>
      <c r="BD90" s="5810"/>
      <c r="BE90" s="5845">
        <f t="shared" si="282"/>
        <v>1374228.56</v>
      </c>
      <c r="BG90" s="26"/>
      <c r="BI90" s="5797"/>
    </row>
    <row r="91" spans="2:61" s="5794" customFormat="1" ht="18.75" hidden="1" x14ac:dyDescent="0.25">
      <c r="B91" s="5849" t="s">
        <v>2009</v>
      </c>
      <c r="C91" s="5805"/>
      <c r="D91" s="5806"/>
      <c r="E91" s="5806">
        <v>41529.919999999998</v>
      </c>
      <c r="F91" s="5806"/>
      <c r="G91" s="5806">
        <v>61055</v>
      </c>
      <c r="H91" s="5806"/>
      <c r="I91" s="5806"/>
      <c r="J91" s="5806"/>
      <c r="K91" s="5806">
        <v>22672.37</v>
      </c>
      <c r="L91" s="5811"/>
      <c r="M91" s="5811">
        <f t="shared" si="276"/>
        <v>125257.29</v>
      </c>
      <c r="N91" s="5806"/>
      <c r="O91" s="5806">
        <v>32106</v>
      </c>
      <c r="P91" s="5806"/>
      <c r="Q91" s="5806"/>
      <c r="R91" s="5806"/>
      <c r="S91" s="5806">
        <v>22893.42</v>
      </c>
      <c r="T91" s="5806"/>
      <c r="U91" s="5806"/>
      <c r="V91" s="5806"/>
      <c r="W91" s="5806">
        <v>33816</v>
      </c>
      <c r="X91" s="5811"/>
      <c r="Y91" s="5811">
        <f t="shared" si="277"/>
        <v>88815.42</v>
      </c>
      <c r="Z91" s="5843"/>
      <c r="AA91" s="5842">
        <f t="shared" si="278"/>
        <v>214072.71</v>
      </c>
      <c r="AB91" s="5806"/>
      <c r="AC91" s="5806">
        <v>50360</v>
      </c>
      <c r="AD91" s="5806"/>
      <c r="AE91" s="5806"/>
      <c r="AF91" s="5806"/>
      <c r="AG91" s="5806">
        <v>42172.91</v>
      </c>
      <c r="AH91" s="5806"/>
      <c r="AI91" s="5806"/>
      <c r="AJ91" s="5806"/>
      <c r="AK91" s="5806">
        <v>47629</v>
      </c>
      <c r="AL91" s="5811"/>
      <c r="AM91" s="5811">
        <f t="shared" si="279"/>
        <v>140161.91</v>
      </c>
      <c r="AN91" s="5806"/>
      <c r="AO91" s="5806"/>
      <c r="AP91" s="5806"/>
      <c r="AQ91" s="5806">
        <f>28014.34+1791.45</f>
        <v>29805.79</v>
      </c>
      <c r="AR91" s="5806"/>
      <c r="AS91" s="5806"/>
      <c r="AT91" s="5806"/>
      <c r="AU91" s="5806">
        <v>29944</v>
      </c>
      <c r="AV91" s="5806"/>
      <c r="AW91" s="5806"/>
      <c r="AX91" s="5806"/>
      <c r="AY91" s="5806">
        <v>40555</v>
      </c>
      <c r="AZ91" s="5811"/>
      <c r="BA91" s="5811">
        <f t="shared" si="280"/>
        <v>100304.79000000001</v>
      </c>
      <c r="BB91" s="5843"/>
      <c r="BC91" s="5842">
        <f t="shared" si="281"/>
        <v>240466.7</v>
      </c>
      <c r="BD91" s="5810"/>
      <c r="BE91" s="5845">
        <f t="shared" si="282"/>
        <v>454539.41000000003</v>
      </c>
      <c r="BH91"/>
      <c r="BI91" s="5797"/>
    </row>
    <row r="92" spans="2:61" ht="18.75" hidden="1" x14ac:dyDescent="0.25">
      <c r="B92" s="5850" t="s">
        <v>2010</v>
      </c>
      <c r="C92" s="5807"/>
      <c r="D92" s="5808"/>
      <c r="E92" s="5804">
        <v>11707.85</v>
      </c>
      <c r="F92" s="5808"/>
      <c r="G92" s="5804">
        <v>15490.49</v>
      </c>
      <c r="H92" s="5809">
        <f t="shared" ref="H92:H93" si="283">+D92+F92</f>
        <v>0</v>
      </c>
      <c r="I92" s="5810">
        <f t="shared" ref="I92:I93" si="284">+G92+E92</f>
        <v>27198.34</v>
      </c>
      <c r="J92" s="5808"/>
      <c r="K92" s="5804">
        <v>14850.61</v>
      </c>
      <c r="L92" s="5811"/>
      <c r="M92" s="5811">
        <f t="shared" si="276"/>
        <v>42048.95</v>
      </c>
      <c r="N92" s="5808"/>
      <c r="O92" s="5804">
        <v>15224.15</v>
      </c>
      <c r="P92" s="5810"/>
      <c r="Q92" s="5810"/>
      <c r="R92" s="5812"/>
      <c r="S92" s="5806">
        <v>14682.02</v>
      </c>
      <c r="T92" s="5809"/>
      <c r="U92" s="5810"/>
      <c r="V92" s="5812"/>
      <c r="W92" s="5806">
        <v>15343</v>
      </c>
      <c r="X92" s="5811"/>
      <c r="Y92" s="5811">
        <f t="shared" si="277"/>
        <v>45249.17</v>
      </c>
      <c r="Z92" s="5877"/>
      <c r="AA92" s="5842">
        <f t="shared" si="278"/>
        <v>87298.12</v>
      </c>
      <c r="AB92" s="5812"/>
      <c r="AC92" s="5806">
        <v>14328.4</v>
      </c>
      <c r="AD92" s="5809"/>
      <c r="AE92" s="5810"/>
      <c r="AF92" s="5812"/>
      <c r="AG92" s="5806">
        <v>15143.1</v>
      </c>
      <c r="AH92" s="5809"/>
      <c r="AI92" s="5810"/>
      <c r="AJ92" s="5812"/>
      <c r="AK92" s="5806">
        <v>10597</v>
      </c>
      <c r="AL92" s="5811"/>
      <c r="AM92" s="5811">
        <f t="shared" si="279"/>
        <v>40068.5</v>
      </c>
      <c r="AN92" s="5809">
        <f t="shared" ref="AN92:AN93" si="285">AH92+AJ92</f>
        <v>0</v>
      </c>
      <c r="AO92" s="5810">
        <f t="shared" ref="AO92:AO93" si="286">AI92+AK92</f>
        <v>10597</v>
      </c>
      <c r="AP92" s="5812"/>
      <c r="AQ92" s="5806">
        <v>11552</v>
      </c>
      <c r="AR92" s="5809"/>
      <c r="AS92" s="5810"/>
      <c r="AT92" s="5812"/>
      <c r="AU92" s="5806">
        <v>3957.6</v>
      </c>
      <c r="AV92" s="5809"/>
      <c r="AW92" s="5810"/>
      <c r="AX92" s="5812"/>
      <c r="AY92" s="5806">
        <v>0</v>
      </c>
      <c r="AZ92" s="5811"/>
      <c r="BA92" s="5811">
        <f t="shared" si="280"/>
        <v>15509.6</v>
      </c>
      <c r="BB92" s="5844"/>
      <c r="BC92" s="5842">
        <f t="shared" si="281"/>
        <v>55578.1</v>
      </c>
      <c r="BD92" s="5809"/>
      <c r="BE92" s="5845">
        <f t="shared" si="282"/>
        <v>142876.22</v>
      </c>
      <c r="BI92" s="5797"/>
    </row>
    <row r="93" spans="2:61" ht="18.75" hidden="1" x14ac:dyDescent="0.25">
      <c r="B93" s="5849" t="s">
        <v>1308</v>
      </c>
      <c r="C93" s="5815"/>
      <c r="D93" s="5808"/>
      <c r="E93" s="5804">
        <v>35649.54</v>
      </c>
      <c r="F93" s="5808"/>
      <c r="G93" s="5804">
        <v>17673.88</v>
      </c>
      <c r="H93" s="5809">
        <f t="shared" si="283"/>
        <v>0</v>
      </c>
      <c r="I93" s="5810">
        <f t="shared" si="284"/>
        <v>53323.42</v>
      </c>
      <c r="J93" s="5808"/>
      <c r="K93" s="5804">
        <v>16652.82</v>
      </c>
      <c r="L93" s="5811"/>
      <c r="M93" s="5811">
        <f t="shared" si="276"/>
        <v>69976.239999999991</v>
      </c>
      <c r="N93" s="5808"/>
      <c r="O93" s="5804">
        <v>33324.07</v>
      </c>
      <c r="P93" s="5810"/>
      <c r="Q93" s="5810"/>
      <c r="R93" s="5812"/>
      <c r="S93" s="5806">
        <v>41226.300000000003</v>
      </c>
      <c r="T93" s="5809"/>
      <c r="U93" s="5810"/>
      <c r="V93" s="5812"/>
      <c r="W93" s="5806">
        <v>38282.35</v>
      </c>
      <c r="X93" s="5811"/>
      <c r="Y93" s="5811">
        <f t="shared" si="277"/>
        <v>112832.72</v>
      </c>
      <c r="Z93" s="5877"/>
      <c r="AA93" s="5842">
        <f t="shared" si="278"/>
        <v>182808.95999999999</v>
      </c>
      <c r="AB93" s="5812"/>
      <c r="AC93" s="5806">
        <v>35505.839999999997</v>
      </c>
      <c r="AD93" s="5809"/>
      <c r="AE93" s="5810"/>
      <c r="AF93" s="5812"/>
      <c r="AG93" s="5806">
        <v>31639.37</v>
      </c>
      <c r="AH93" s="5809"/>
      <c r="AI93" s="5810"/>
      <c r="AJ93" s="5812"/>
      <c r="AK93" s="5806">
        <v>30159.21</v>
      </c>
      <c r="AL93" s="5811"/>
      <c r="AM93" s="5811">
        <f t="shared" si="279"/>
        <v>97304.419999999984</v>
      </c>
      <c r="AN93" s="5809">
        <f t="shared" si="285"/>
        <v>0</v>
      </c>
      <c r="AO93" s="5810">
        <f t="shared" si="286"/>
        <v>30159.21</v>
      </c>
      <c r="AP93" s="5812"/>
      <c r="AQ93" s="5806">
        <v>26236.2</v>
      </c>
      <c r="AR93" s="5809"/>
      <c r="AS93" s="5810"/>
      <c r="AT93" s="5812"/>
      <c r="AU93" s="5806">
        <v>44338.21</v>
      </c>
      <c r="AV93" s="5809"/>
      <c r="AW93" s="5810"/>
      <c r="AX93" s="5812"/>
      <c r="AY93" s="5806">
        <v>33629.32</v>
      </c>
      <c r="AZ93" s="5811"/>
      <c r="BA93" s="5811">
        <f t="shared" si="280"/>
        <v>104203.73000000001</v>
      </c>
      <c r="BB93" s="5844"/>
      <c r="BC93" s="5842">
        <f t="shared" si="281"/>
        <v>201508.15</v>
      </c>
      <c r="BD93" s="5809"/>
      <c r="BE93" s="5845">
        <f t="shared" si="282"/>
        <v>384317.11</v>
      </c>
      <c r="BI93" s="5797"/>
    </row>
    <row r="94" spans="2:61" s="183" customFormat="1" ht="18.75" hidden="1" x14ac:dyDescent="0.25">
      <c r="B94" s="5878" t="s">
        <v>1310</v>
      </c>
      <c r="C94" s="5815"/>
      <c r="D94" s="5812"/>
      <c r="E94" s="5806">
        <v>0</v>
      </c>
      <c r="F94" s="5812"/>
      <c r="G94" s="5806">
        <v>3977.4</v>
      </c>
      <c r="H94" s="5812" t="s">
        <v>34</v>
      </c>
      <c r="I94" s="5806" t="s">
        <v>34</v>
      </c>
      <c r="J94" s="5812"/>
      <c r="K94" s="5806">
        <v>0</v>
      </c>
      <c r="L94" s="5811"/>
      <c r="M94" s="5811">
        <f t="shared" si="276"/>
        <v>3977.4</v>
      </c>
      <c r="N94" s="5812"/>
      <c r="O94" s="5806">
        <v>0</v>
      </c>
      <c r="P94" s="5806"/>
      <c r="Q94" s="5806"/>
      <c r="R94" s="5812"/>
      <c r="S94" s="5806">
        <v>3684.69</v>
      </c>
      <c r="T94" s="5812"/>
      <c r="U94" s="5806"/>
      <c r="V94" s="5812"/>
      <c r="W94" s="5806">
        <v>0</v>
      </c>
      <c r="X94" s="5811"/>
      <c r="Y94" s="5811">
        <f t="shared" si="277"/>
        <v>3684.69</v>
      </c>
      <c r="Z94" s="5877"/>
      <c r="AA94" s="5842">
        <f t="shared" si="278"/>
        <v>7662.09</v>
      </c>
      <c r="AB94" s="5812"/>
      <c r="AC94" s="5806">
        <v>0</v>
      </c>
      <c r="AD94" s="5812"/>
      <c r="AE94" s="5806"/>
      <c r="AF94" s="5812"/>
      <c r="AG94" s="5806">
        <v>3537</v>
      </c>
      <c r="AH94" s="5812"/>
      <c r="AI94" s="5806"/>
      <c r="AJ94" s="5812"/>
      <c r="AK94" s="5806"/>
      <c r="AL94" s="5811"/>
      <c r="AM94" s="5811">
        <f t="shared" si="279"/>
        <v>3537</v>
      </c>
      <c r="AN94" s="5812">
        <f t="shared" ref="AN94:AN97" si="287">AH94+AJ94</f>
        <v>0</v>
      </c>
      <c r="AO94" s="5806">
        <f t="shared" ref="AO94:AO97" si="288">AI94+AK94</f>
        <v>0</v>
      </c>
      <c r="AP94" s="5812"/>
      <c r="AQ94" s="5806">
        <v>0</v>
      </c>
      <c r="AR94" s="5812"/>
      <c r="AS94" s="5806"/>
      <c r="AT94" s="5812"/>
      <c r="AU94" s="5806">
        <v>0</v>
      </c>
      <c r="AV94" s="5812"/>
      <c r="AW94" s="5806"/>
      <c r="AX94" s="5812"/>
      <c r="AY94" s="5806">
        <v>4067.2</v>
      </c>
      <c r="AZ94" s="5811"/>
      <c r="BA94" s="5811">
        <f t="shared" si="280"/>
        <v>4067.2</v>
      </c>
      <c r="BB94" s="5844"/>
      <c r="BC94" s="5842">
        <f t="shared" si="281"/>
        <v>7604.2</v>
      </c>
      <c r="BD94" s="5809"/>
      <c r="BE94" s="5845">
        <f t="shared" si="282"/>
        <v>15266.29</v>
      </c>
    </row>
    <row r="95" spans="2:61" s="183" customFormat="1" ht="18.75" hidden="1" x14ac:dyDescent="0.25">
      <c r="B95" s="5878" t="s">
        <v>1458</v>
      </c>
      <c r="C95" s="5807"/>
      <c r="D95" s="5806"/>
      <c r="E95" s="5806">
        <v>21537.37</v>
      </c>
      <c r="F95" s="5806"/>
      <c r="G95" s="5806">
        <v>19201.850000000002</v>
      </c>
      <c r="H95" s="5879"/>
      <c r="I95" s="5880" t="e">
        <f>SUM(#REF!,#REF!,#REF!)</f>
        <v>#REF!</v>
      </c>
      <c r="J95" s="5806"/>
      <c r="K95" s="5806">
        <v>4094.02</v>
      </c>
      <c r="L95" s="5816"/>
      <c r="M95" s="5811">
        <f t="shared" si="276"/>
        <v>44833.24</v>
      </c>
      <c r="N95" s="5806"/>
      <c r="O95" s="5806">
        <f>2094.75-94</f>
        <v>2000.75</v>
      </c>
      <c r="P95" s="5818"/>
      <c r="Q95" s="5818"/>
      <c r="R95" s="5806"/>
      <c r="S95" s="5806">
        <v>17653.8</v>
      </c>
      <c r="T95" s="5812"/>
      <c r="U95" s="5806"/>
      <c r="V95" s="5806"/>
      <c r="W95" s="5806">
        <v>14217.49</v>
      </c>
      <c r="X95" s="5816"/>
      <c r="Y95" s="5811">
        <f t="shared" si="277"/>
        <v>33872.04</v>
      </c>
      <c r="Z95" s="5844"/>
      <c r="AA95" s="5842">
        <f t="shared" si="278"/>
        <v>78705.279999999999</v>
      </c>
      <c r="AB95" s="5806"/>
      <c r="AC95" s="5806">
        <v>8382.0300000000007</v>
      </c>
      <c r="AD95" s="5812"/>
      <c r="AE95" s="5806"/>
      <c r="AF95" s="5806"/>
      <c r="AG95" s="5806">
        <v>2243.7800000000002</v>
      </c>
      <c r="AH95" s="5812"/>
      <c r="AI95" s="5806"/>
      <c r="AJ95" s="5806"/>
      <c r="AK95" s="5806">
        <v>15915.439999999999</v>
      </c>
      <c r="AL95" s="5816"/>
      <c r="AM95" s="5811">
        <f t="shared" si="279"/>
        <v>26541.25</v>
      </c>
      <c r="AN95" s="5812">
        <f t="shared" si="287"/>
        <v>0</v>
      </c>
      <c r="AO95" s="5806">
        <f t="shared" si="288"/>
        <v>15915.439999999999</v>
      </c>
      <c r="AP95" s="5806"/>
      <c r="AQ95" s="5806">
        <v>9662.51</v>
      </c>
      <c r="AR95" s="5812"/>
      <c r="AS95" s="5806"/>
      <c r="AT95" s="5806"/>
      <c r="AU95" s="5806">
        <v>12348.32</v>
      </c>
      <c r="AV95" s="5812"/>
      <c r="AW95" s="5806"/>
      <c r="AX95" s="5806"/>
      <c r="AY95" s="5806">
        <v>16785.87</v>
      </c>
      <c r="AZ95" s="5811"/>
      <c r="BA95" s="5811">
        <f t="shared" si="280"/>
        <v>38796.699999999997</v>
      </c>
      <c r="BB95" s="5844"/>
      <c r="BC95" s="5842">
        <f t="shared" si="281"/>
        <v>65337.95</v>
      </c>
      <c r="BD95" s="5809"/>
      <c r="BE95" s="5845">
        <f t="shared" si="282"/>
        <v>144043.22999999998</v>
      </c>
    </row>
    <row r="96" spans="2:61" s="183" customFormat="1" ht="18.75" hidden="1" x14ac:dyDescent="0.25">
      <c r="B96" s="5878" t="s">
        <v>1402</v>
      </c>
      <c r="C96" s="5807"/>
      <c r="D96" s="5812"/>
      <c r="E96" s="5806">
        <v>12248.44</v>
      </c>
      <c r="F96" s="5812"/>
      <c r="G96" s="5806">
        <v>0</v>
      </c>
      <c r="H96" s="5812">
        <f t="shared" ref="H96:H97" si="289">+D96+F96</f>
        <v>0</v>
      </c>
      <c r="I96" s="5806">
        <f t="shared" ref="I96:I97" si="290">+G96+E96</f>
        <v>12248.44</v>
      </c>
      <c r="J96" s="5812"/>
      <c r="K96" s="5806">
        <v>57333.85</v>
      </c>
      <c r="L96" s="5816"/>
      <c r="M96" s="5811">
        <f t="shared" si="276"/>
        <v>69582.289999999994</v>
      </c>
      <c r="N96" s="5812"/>
      <c r="O96" s="5806">
        <v>61301.74</v>
      </c>
      <c r="P96" s="5818"/>
      <c r="Q96" s="5818"/>
      <c r="R96" s="5817"/>
      <c r="S96" s="5818">
        <v>52837.67</v>
      </c>
      <c r="T96" s="5818"/>
      <c r="U96" s="5818"/>
      <c r="V96" s="5817"/>
      <c r="W96" s="5818">
        <v>32695.3</v>
      </c>
      <c r="X96" s="5816"/>
      <c r="Y96" s="5811">
        <f t="shared" si="277"/>
        <v>146834.71</v>
      </c>
      <c r="Z96" s="5844"/>
      <c r="AA96" s="5842">
        <f t="shared" si="278"/>
        <v>216417</v>
      </c>
      <c r="AB96" s="5817"/>
      <c r="AC96" s="5818">
        <v>4087.34</v>
      </c>
      <c r="AD96" s="5818"/>
      <c r="AE96" s="5818"/>
      <c r="AF96" s="5817"/>
      <c r="AG96" s="5818">
        <v>0</v>
      </c>
      <c r="AH96" s="5818"/>
      <c r="AI96" s="5818"/>
      <c r="AJ96" s="5817"/>
      <c r="AK96" s="5818">
        <v>12246.69</v>
      </c>
      <c r="AL96" s="5816"/>
      <c r="AM96" s="5811">
        <f t="shared" si="279"/>
        <v>16334.03</v>
      </c>
      <c r="AN96" s="5818">
        <f t="shared" si="287"/>
        <v>0</v>
      </c>
      <c r="AO96" s="5818">
        <f t="shared" si="288"/>
        <v>12246.69</v>
      </c>
      <c r="AP96" s="5817"/>
      <c r="AQ96" s="5818">
        <v>4116.3999999999996</v>
      </c>
      <c r="AR96" s="5818"/>
      <c r="AS96" s="5818"/>
      <c r="AT96" s="5817"/>
      <c r="AU96" s="5818">
        <v>16261.48</v>
      </c>
      <c r="AV96" s="5818"/>
      <c r="AW96" s="5818"/>
      <c r="AX96" s="5817"/>
      <c r="AY96" s="5818">
        <v>69308.44</v>
      </c>
      <c r="AZ96" s="5811"/>
      <c r="BA96" s="5811">
        <f t="shared" si="280"/>
        <v>89686.32</v>
      </c>
      <c r="BB96" s="5844"/>
      <c r="BC96" s="5842">
        <f t="shared" si="281"/>
        <v>106020.35</v>
      </c>
      <c r="BD96" s="5809"/>
      <c r="BE96" s="5845">
        <f t="shared" si="282"/>
        <v>322437.34999999998</v>
      </c>
    </row>
    <row r="97" spans="2:57" s="183" customFormat="1" ht="18.75" hidden="1" x14ac:dyDescent="0.25">
      <c r="B97" s="5878" t="s">
        <v>28</v>
      </c>
      <c r="C97" s="5881"/>
      <c r="D97" s="5806"/>
      <c r="E97" s="5806">
        <v>11645.689999999999</v>
      </c>
      <c r="F97" s="5806"/>
      <c r="G97" s="5806">
        <v>18661.02</v>
      </c>
      <c r="H97" s="5812">
        <f t="shared" si="289"/>
        <v>0</v>
      </c>
      <c r="I97" s="5806">
        <f t="shared" si="290"/>
        <v>30306.71</v>
      </c>
      <c r="J97" s="5806"/>
      <c r="K97" s="5806">
        <v>504.41</v>
      </c>
      <c r="L97" s="5816"/>
      <c r="M97" s="5811">
        <f t="shared" si="276"/>
        <v>30811.119999999999</v>
      </c>
      <c r="N97" s="5806"/>
      <c r="O97" s="5806">
        <v>7711.95</v>
      </c>
      <c r="P97" s="5818"/>
      <c r="Q97" s="5880"/>
      <c r="R97" s="5880"/>
      <c r="S97" s="5806">
        <v>10483.51</v>
      </c>
      <c r="T97" s="5818"/>
      <c r="U97" s="5880"/>
      <c r="V97" s="5880"/>
      <c r="W97" s="5880">
        <v>663.25</v>
      </c>
      <c r="X97" s="5816"/>
      <c r="Y97" s="5811">
        <f t="shared" si="277"/>
        <v>18858.71</v>
      </c>
      <c r="Z97" s="5844"/>
      <c r="AA97" s="5842">
        <f t="shared" ref="AA97" si="291">M97+Y97</f>
        <v>49669.83</v>
      </c>
      <c r="AB97" s="5806"/>
      <c r="AC97" s="5806">
        <v>14958.46</v>
      </c>
      <c r="AD97" s="5880"/>
      <c r="AE97" s="5880"/>
      <c r="AF97" s="5806"/>
      <c r="AG97" s="5806">
        <v>8744.51</v>
      </c>
      <c r="AH97" s="5880"/>
      <c r="AI97" s="5880"/>
      <c r="AJ97" s="5806"/>
      <c r="AK97" s="5806">
        <v>6494.93</v>
      </c>
      <c r="AL97" s="5816"/>
      <c r="AM97" s="5811">
        <f t="shared" ref="AM97" si="292">+AC97+AG97+AK97</f>
        <v>30197.9</v>
      </c>
      <c r="AN97" s="5880">
        <f t="shared" si="287"/>
        <v>0</v>
      </c>
      <c r="AO97" s="5880">
        <f t="shared" si="288"/>
        <v>6494.93</v>
      </c>
      <c r="AP97" s="5806"/>
      <c r="AQ97" s="5806">
        <v>4545.3</v>
      </c>
      <c r="AR97" s="5880"/>
      <c r="AS97" s="5880"/>
      <c r="AT97" s="5806"/>
      <c r="AU97" s="5806">
        <v>12313.08</v>
      </c>
      <c r="AV97" s="5880"/>
      <c r="AW97" s="5880"/>
      <c r="AX97" s="5806"/>
      <c r="AY97" s="5806">
        <v>15845.24</v>
      </c>
      <c r="AZ97" s="5811"/>
      <c r="BA97" s="5811">
        <f t="shared" si="280"/>
        <v>32703.620000000003</v>
      </c>
      <c r="BB97" s="5844"/>
      <c r="BC97" s="5842">
        <f t="shared" si="281"/>
        <v>62901.520000000004</v>
      </c>
      <c r="BD97" s="5809"/>
      <c r="BE97" s="5845">
        <f>BC97+AA97</f>
        <v>112571.35</v>
      </c>
    </row>
    <row r="98" spans="2:57" s="5819" customFormat="1" hidden="1" x14ac:dyDescent="0.25"/>
    <row r="99" spans="2:57" hidden="1" x14ac:dyDescent="0.25">
      <c r="B99" s="34" t="s">
        <v>2015</v>
      </c>
      <c r="E99" s="670"/>
      <c r="G99" s="670"/>
      <c r="K99" s="670"/>
      <c r="O99" s="670"/>
      <c r="S99" s="670"/>
      <c r="W99" s="670"/>
      <c r="AC99" s="670"/>
      <c r="AG99" s="670"/>
      <c r="AK99" s="670"/>
      <c r="AQ99" s="670"/>
      <c r="AU99" s="670"/>
      <c r="AY99" s="670"/>
    </row>
    <row r="100" spans="2:57" ht="15.75" hidden="1" x14ac:dyDescent="0.25">
      <c r="B100" s="5701" t="s">
        <v>1285</v>
      </c>
      <c r="C100" s="5701"/>
      <c r="D100" s="5701"/>
      <c r="E100" s="5801">
        <f>+E82-E7</f>
        <v>0</v>
      </c>
      <c r="F100" s="5801"/>
      <c r="G100" s="5801">
        <f>+G82-G7</f>
        <v>0</v>
      </c>
      <c r="H100" s="5801" t="e">
        <f>+H82-H7</f>
        <v>#REF!</v>
      </c>
      <c r="I100" s="5801" t="e">
        <f>+I82-I7</f>
        <v>#REF!</v>
      </c>
      <c r="J100" s="5801"/>
      <c r="K100" s="5801">
        <f>+K82-K7</f>
        <v>0.30000000000291038</v>
      </c>
      <c r="L100" s="5801"/>
      <c r="M100" s="5801"/>
      <c r="N100" s="5801"/>
      <c r="O100" s="5801">
        <f>+O82-O7</f>
        <v>5.9999999997671694E-2</v>
      </c>
      <c r="P100" s="5801" t="e">
        <f>+P82-P7</f>
        <v>#REF!</v>
      </c>
      <c r="Q100" s="5801" t="e">
        <f>+Q82-Q7</f>
        <v>#REF!</v>
      </c>
      <c r="R100" s="5801"/>
      <c r="S100" s="5801">
        <f>+S82-S7</f>
        <v>0</v>
      </c>
      <c r="T100" s="5801" t="e">
        <f>+T82-T7</f>
        <v>#REF!</v>
      </c>
      <c r="U100" s="5801" t="e">
        <f>+U82-U7</f>
        <v>#REF!</v>
      </c>
      <c r="V100" s="5801"/>
      <c r="W100" s="5801">
        <f>+W82-W7</f>
        <v>0.20000000000436557</v>
      </c>
      <c r="X100" s="5801"/>
      <c r="Y100" s="5801"/>
      <c r="Z100" s="5801"/>
      <c r="AA100" s="5801"/>
      <c r="AB100" s="5801"/>
      <c r="AC100" s="5801">
        <f>+AC82-AC7</f>
        <v>-208.27000000000407</v>
      </c>
      <c r="AD100" s="5801" t="e">
        <f>+AD82-AD7</f>
        <v>#REF!</v>
      </c>
      <c r="AE100" s="5801" t="e">
        <f>+AE82-AE7</f>
        <v>#REF!</v>
      </c>
      <c r="AF100" s="5801"/>
      <c r="AG100" s="5801">
        <f>+AG82-AG7</f>
        <v>345.75999999999476</v>
      </c>
      <c r="AH100" s="5801" t="e">
        <f>+AH82-AH7</f>
        <v>#REF!</v>
      </c>
      <c r="AI100" s="5801" t="e">
        <f>+AI82-AI7</f>
        <v>#REF!</v>
      </c>
      <c r="AJ100" s="5801"/>
      <c r="AK100" s="5801">
        <f>+AK82-AK7</f>
        <v>0.58999999999650754</v>
      </c>
      <c r="AL100" s="5801"/>
      <c r="AM100" s="5801"/>
      <c r="AN100" s="5801" t="e">
        <f>+AN82-AN7</f>
        <v>#REF!</v>
      </c>
      <c r="AO100" s="5801" t="e">
        <f>+AO82-AO7</f>
        <v>#REF!</v>
      </c>
      <c r="AP100" s="5801"/>
      <c r="AQ100" s="5801">
        <f>+AQ82-AQ7</f>
        <v>-1269.6300000000047</v>
      </c>
      <c r="AR100" s="5801" t="e">
        <f>+AR82-AR7</f>
        <v>#REF!</v>
      </c>
      <c r="AS100" s="5801" t="e">
        <f>+AS82-AS7</f>
        <v>#REF!</v>
      </c>
      <c r="AT100" s="5801"/>
      <c r="AU100" s="5801">
        <f>+AU82-AU7</f>
        <v>3662.570000000007</v>
      </c>
      <c r="AV100" s="5801" t="e">
        <f>+AV82-AV7</f>
        <v>#REF!</v>
      </c>
      <c r="AW100" s="5801" t="e">
        <f>+AW82-AW7</f>
        <v>#REF!</v>
      </c>
      <c r="AX100" s="5801"/>
      <c r="AY100" s="5801">
        <f>+AY82-AY7</f>
        <v>132.30000000000291</v>
      </c>
      <c r="AZ100" s="5801"/>
      <c r="BA100" s="5801"/>
      <c r="BB100" s="5801"/>
      <c r="BC100" s="5801"/>
      <c r="BD100" s="5801"/>
      <c r="BE100" s="5801">
        <f>+BE82-BE7</f>
        <v>2663.8799999998882</v>
      </c>
    </row>
    <row r="101" spans="2:57" ht="15.75" hidden="1" x14ac:dyDescent="0.25">
      <c r="B101" s="5701" t="s">
        <v>1287</v>
      </c>
      <c r="C101" s="5701"/>
      <c r="D101" s="5701"/>
      <c r="E101" s="5804">
        <f>+E83-E13</f>
        <v>0.40000000002328306</v>
      </c>
      <c r="F101" s="5804"/>
      <c r="G101" s="5804">
        <f>+G83-G13</f>
        <v>-0.5</v>
      </c>
      <c r="H101" s="5804" t="e">
        <f>+H83-H13</f>
        <v>#REF!</v>
      </c>
      <c r="I101" s="5804" t="e">
        <f>+I83-I13</f>
        <v>#REF!</v>
      </c>
      <c r="J101" s="5804"/>
      <c r="K101" s="5804">
        <f>+K83-K13</f>
        <v>4.9999999988358468E-2</v>
      </c>
      <c r="L101" s="5804"/>
      <c r="M101" s="5804"/>
      <c r="N101" s="5804"/>
      <c r="O101" s="5804">
        <f>+O83-O13</f>
        <v>0.58999999996740371</v>
      </c>
      <c r="P101" s="5804" t="e">
        <f>+P83-P13</f>
        <v>#REF!</v>
      </c>
      <c r="Q101" s="5804" t="e">
        <f>+Q83-Q13</f>
        <v>#REF!</v>
      </c>
      <c r="R101" s="5804"/>
      <c r="S101" s="5804">
        <f>+S83-S13</f>
        <v>-9.0000000025611371E-2</v>
      </c>
      <c r="T101" s="5804" t="e">
        <f>+T83-T13</f>
        <v>#REF!</v>
      </c>
      <c r="U101" s="5804" t="e">
        <f>+U83-U13</f>
        <v>#REF!</v>
      </c>
      <c r="V101" s="5804"/>
      <c r="W101" s="5804">
        <f>+W83-W13</f>
        <v>-0.1999999999825377</v>
      </c>
      <c r="X101" s="5804"/>
      <c r="Y101" s="5804"/>
      <c r="Z101" s="5804"/>
      <c r="AA101" s="5804"/>
      <c r="AB101" s="5804"/>
      <c r="AC101" s="5804">
        <f>+AC83-AC13</f>
        <v>1062.890000000014</v>
      </c>
      <c r="AD101" s="5804" t="e">
        <f>+AD83-AD13</f>
        <v>#REF!</v>
      </c>
      <c r="AE101" s="5804" t="e">
        <f>+AE83-AE13</f>
        <v>#REF!</v>
      </c>
      <c r="AF101" s="5804"/>
      <c r="AG101" s="5804">
        <f>+AG83-AG13</f>
        <v>249.28999999997905</v>
      </c>
      <c r="AH101" s="5804" t="e">
        <f>+AH83-AH13</f>
        <v>#REF!</v>
      </c>
      <c r="AI101" s="5804" t="e">
        <f>+AI83-AI13</f>
        <v>#REF!</v>
      </c>
      <c r="AJ101" s="5804"/>
      <c r="AK101" s="5804">
        <f>+AK83-AK13</f>
        <v>-0.59000000002561137</v>
      </c>
      <c r="AL101" s="5804"/>
      <c r="AM101" s="5804"/>
      <c r="AN101" s="5804" t="e">
        <f>+AN83-AN13</f>
        <v>#REF!</v>
      </c>
      <c r="AO101" s="5804" t="e">
        <f>+AO83-AO13</f>
        <v>#REF!</v>
      </c>
      <c r="AP101" s="5804"/>
      <c r="AQ101" s="5804">
        <f>+AQ83-AQ13</f>
        <v>1222</v>
      </c>
      <c r="AR101" s="5804" t="e">
        <f>+AR83-AR13</f>
        <v>#REF!</v>
      </c>
      <c r="AS101" s="5804" t="e">
        <f>+AS83-AS13</f>
        <v>#REF!</v>
      </c>
      <c r="AT101" s="5804"/>
      <c r="AU101" s="5804">
        <f>+AU83-AU13</f>
        <v>-3653.0799999999872</v>
      </c>
      <c r="AV101" s="5804" t="e">
        <f>+AV83-AV13</f>
        <v>#REF!</v>
      </c>
      <c r="AW101" s="5804" t="e">
        <f>+AW83-AW13</f>
        <v>#REF!</v>
      </c>
      <c r="AX101" s="5804"/>
      <c r="AY101" s="5804">
        <f>+AY83-AY13</f>
        <v>-422.10000000000582</v>
      </c>
      <c r="AZ101" s="5804"/>
      <c r="BA101" s="5804"/>
      <c r="BB101" s="5804"/>
      <c r="BC101" s="5804"/>
      <c r="BD101" s="5804"/>
      <c r="BE101" s="5804">
        <f>+BE83-BE13</f>
        <v>-1541.339999999851</v>
      </c>
    </row>
    <row r="102" spans="2:57" ht="15.75" hidden="1" x14ac:dyDescent="0.25">
      <c r="B102" s="5701" t="s">
        <v>1288</v>
      </c>
      <c r="C102" s="5701"/>
      <c r="D102" s="5701"/>
      <c r="E102" s="5804">
        <f>E84-E18</f>
        <v>-8079</v>
      </c>
      <c r="F102" s="5804"/>
      <c r="G102" s="5804">
        <f>G84-G18</f>
        <v>8267</v>
      </c>
      <c r="H102" s="5804" t="e">
        <f>H84-H18</f>
        <v>#REF!</v>
      </c>
      <c r="I102" s="5804" t="e">
        <f>I84-I18</f>
        <v>#REF!</v>
      </c>
      <c r="J102" s="5804"/>
      <c r="K102" s="5804">
        <f>K84-K18</f>
        <v>4235</v>
      </c>
      <c r="L102" s="5804"/>
      <c r="M102" s="5804"/>
      <c r="N102" s="5804"/>
      <c r="O102" s="5804">
        <f>O84-O18</f>
        <v>-3.391428571427241</v>
      </c>
      <c r="P102" s="5804" t="e">
        <f>P84-P18</f>
        <v>#REF!</v>
      </c>
      <c r="Q102" s="5804" t="e">
        <f>Q84-Q18</f>
        <v>#REF!</v>
      </c>
      <c r="R102" s="5804"/>
      <c r="S102" s="5804">
        <f>S84-S18</f>
        <v>-69.600000000005821</v>
      </c>
      <c r="T102" s="5804" t="e">
        <f>T84-T18</f>
        <v>#REF!</v>
      </c>
      <c r="U102" s="5804" t="e">
        <f>U84-U18</f>
        <v>#REF!</v>
      </c>
      <c r="V102" s="5804"/>
      <c r="W102" s="5804">
        <f>W84-W18</f>
        <v>63.779999999998836</v>
      </c>
      <c r="X102" s="5804"/>
      <c r="Y102" s="5804"/>
      <c r="Z102" s="5804"/>
      <c r="AA102" s="5804"/>
      <c r="AB102" s="5804"/>
      <c r="AC102" s="5804">
        <f>AC84-AC18</f>
        <v>-0.31999999999970896</v>
      </c>
      <c r="AD102" s="5804" t="e">
        <f>AD84-AD18</f>
        <v>#REF!</v>
      </c>
      <c r="AE102" s="5804" t="e">
        <f>AE84-AE18</f>
        <v>#REF!</v>
      </c>
      <c r="AF102" s="5804"/>
      <c r="AG102" s="5804">
        <f>AG84-AG18</f>
        <v>-211.19999999999709</v>
      </c>
      <c r="AH102" s="5804" t="e">
        <f>AH84-AH18</f>
        <v>#REF!</v>
      </c>
      <c r="AI102" s="5804" t="e">
        <f>AI84-AI18</f>
        <v>#REF!</v>
      </c>
      <c r="AJ102" s="5804"/>
      <c r="AK102" s="5804">
        <f>AK84-AK18</f>
        <v>0.23000000000320142</v>
      </c>
      <c r="AL102" s="5804"/>
      <c r="AM102" s="5804"/>
      <c r="AN102" s="5804" t="e">
        <f>AN84-AN18</f>
        <v>#REF!</v>
      </c>
      <c r="AO102" s="5804" t="e">
        <f>AO84-AO18</f>
        <v>#REF!</v>
      </c>
      <c r="AP102" s="5804"/>
      <c r="AQ102" s="5804">
        <f>AQ84-AQ18</f>
        <v>276.80999999999767</v>
      </c>
      <c r="AR102" s="5804" t="e">
        <f>AR84-AR18</f>
        <v>#REF!</v>
      </c>
      <c r="AS102" s="5804" t="e">
        <f>AS84-AS18</f>
        <v>#REF!</v>
      </c>
      <c r="AT102" s="5804"/>
      <c r="AU102" s="5804">
        <f>AU84-AU18</f>
        <v>404</v>
      </c>
      <c r="AV102" s="5804" t="e">
        <f>AV84-AV18</f>
        <v>#REF!</v>
      </c>
      <c r="AW102" s="5804" t="e">
        <f>AW84-AW18</f>
        <v>#REF!</v>
      </c>
      <c r="AX102" s="5804"/>
      <c r="AY102" s="5804">
        <f>AY84-AY18</f>
        <v>68</v>
      </c>
      <c r="AZ102" s="5804"/>
      <c r="BA102" s="5804"/>
      <c r="BB102" s="5804"/>
      <c r="BC102" s="5804"/>
      <c r="BD102" s="5804"/>
      <c r="BE102" s="5804">
        <f>BE84-BE18</f>
        <v>4951.3085714285262</v>
      </c>
    </row>
    <row r="103" spans="2:57" ht="15.75" hidden="1" x14ac:dyDescent="0.25">
      <c r="B103" s="5701" t="s">
        <v>1289</v>
      </c>
      <c r="C103" s="5701"/>
      <c r="D103" s="5701"/>
      <c r="E103" s="5804">
        <f>E85-E23</f>
        <v>-1</v>
      </c>
      <c r="F103" s="5804"/>
      <c r="G103" s="5804">
        <f>G85-G23</f>
        <v>-0.3500000000003638</v>
      </c>
      <c r="H103" s="5804" t="e">
        <f>H85-H23</f>
        <v>#REF!</v>
      </c>
      <c r="I103" s="5804" t="e">
        <f>I85-I23</f>
        <v>#REF!</v>
      </c>
      <c r="J103" s="5804"/>
      <c r="K103" s="5804">
        <f>K85-K23</f>
        <v>69</v>
      </c>
      <c r="L103" s="5804"/>
      <c r="M103" s="5804"/>
      <c r="N103" s="5804"/>
      <c r="O103" s="5804">
        <f>O85-O23</f>
        <v>0</v>
      </c>
      <c r="P103" s="5804" t="e">
        <f>P85-P23</f>
        <v>#REF!</v>
      </c>
      <c r="Q103" s="5804" t="e">
        <f>Q85-Q23</f>
        <v>#REF!</v>
      </c>
      <c r="R103" s="5804"/>
      <c r="S103" s="5804">
        <f>S85-S23</f>
        <v>0</v>
      </c>
      <c r="T103" s="5804" t="e">
        <f>T85-T23</f>
        <v>#REF!</v>
      </c>
      <c r="U103" s="5804" t="e">
        <f>U85-U23</f>
        <v>#REF!</v>
      </c>
      <c r="V103" s="5804"/>
      <c r="W103" s="5804">
        <f>W85-W23</f>
        <v>0.18000000000029104</v>
      </c>
      <c r="X103" s="5804"/>
      <c r="Y103" s="5804"/>
      <c r="Z103" s="5804"/>
      <c r="AA103" s="5804"/>
      <c r="AB103" s="5804"/>
      <c r="AC103" s="5804">
        <f>AC85-AC23</f>
        <v>0</v>
      </c>
      <c r="AD103" s="5804" t="e">
        <f>AD85-AD23</f>
        <v>#REF!</v>
      </c>
      <c r="AE103" s="5804" t="e">
        <f>AE85-AE23</f>
        <v>#REF!</v>
      </c>
      <c r="AF103" s="5804"/>
      <c r="AG103" s="5804">
        <f>AG85-AG23</f>
        <v>0</v>
      </c>
      <c r="AH103" s="5804" t="e">
        <f>AH85-AH23</f>
        <v>#REF!</v>
      </c>
      <c r="AI103" s="5804" t="e">
        <f>AI85-AI23</f>
        <v>#REF!</v>
      </c>
      <c r="AJ103" s="5804"/>
      <c r="AK103" s="5804">
        <f>AK85-AK23</f>
        <v>-0.1000000000003638</v>
      </c>
      <c r="AL103" s="5804"/>
      <c r="AM103" s="5804"/>
      <c r="AN103" s="5804" t="e">
        <f>AN85-AN23</f>
        <v>#REF!</v>
      </c>
      <c r="AO103" s="5804" t="e">
        <f>AO85-AO23</f>
        <v>#REF!</v>
      </c>
      <c r="AP103" s="5804"/>
      <c r="AQ103" s="5804">
        <f>AQ85-AQ23</f>
        <v>0.27000000000043656</v>
      </c>
      <c r="AR103" s="5804" t="e">
        <f>AR85-AR23</f>
        <v>#REF!</v>
      </c>
      <c r="AS103" s="5804" t="e">
        <f>AS85-AS23</f>
        <v>#REF!</v>
      </c>
      <c r="AT103" s="5804"/>
      <c r="AU103" s="5804">
        <f>AU85-AU23</f>
        <v>0</v>
      </c>
      <c r="AV103" s="5804" t="e">
        <f>AV85-AV23</f>
        <v>#REF!</v>
      </c>
      <c r="AW103" s="5804" t="e">
        <f>AW85-AW23</f>
        <v>#REF!</v>
      </c>
      <c r="AX103" s="5804"/>
      <c r="AY103" s="5804">
        <f>AY85-AY23</f>
        <v>9.9999999999909051E-2</v>
      </c>
      <c r="AZ103" s="5804"/>
      <c r="BA103" s="5804"/>
      <c r="BB103" s="5804"/>
      <c r="BC103" s="5804"/>
      <c r="BD103" s="5804"/>
      <c r="BE103" s="5804">
        <f>BE85-BE23</f>
        <v>68.100000000005821</v>
      </c>
    </row>
    <row r="104" spans="2:57" ht="15.75" hidden="1" x14ac:dyDescent="0.25">
      <c r="B104" s="5701" t="s">
        <v>2013</v>
      </c>
      <c r="C104" s="5701"/>
      <c r="D104" s="5701"/>
      <c r="E104" s="5804">
        <f>+(E84+E85)-(E18+E23)</f>
        <v>-8080</v>
      </c>
      <c r="F104" s="5804"/>
      <c r="G104" s="5804">
        <f>+(G84+G85)-(G18+G23)</f>
        <v>8266.6499999999942</v>
      </c>
      <c r="H104" s="5804" t="e">
        <f>+(H84+H85)-(H18+H23)</f>
        <v>#REF!</v>
      </c>
      <c r="I104" s="5804" t="e">
        <f>+(I84+I85)-(I18+I23)</f>
        <v>#REF!</v>
      </c>
      <c r="J104" s="5804"/>
      <c r="K104" s="5804">
        <f>+(K84+K85)-(K18+K23)</f>
        <v>4304</v>
      </c>
      <c r="L104" s="5804"/>
      <c r="M104" s="5804"/>
      <c r="N104" s="5804"/>
      <c r="O104" s="5804">
        <f>+(O84+O85)-(O18+O23)</f>
        <v>-3.391428571427241</v>
      </c>
      <c r="P104" s="5804" t="e">
        <f>+(P84+P85)-(P18+P23)</f>
        <v>#REF!</v>
      </c>
      <c r="Q104" s="5804" t="e">
        <f>+(Q84+Q85)-(Q18+Q23)</f>
        <v>#REF!</v>
      </c>
      <c r="R104" s="5804"/>
      <c r="S104" s="5804">
        <f>+(S84+S85)-(S18+S23)</f>
        <v>-69.600000000005821</v>
      </c>
      <c r="T104" s="5804" t="e">
        <f>+(T84+T85)-(T18+T23)</f>
        <v>#REF!</v>
      </c>
      <c r="U104" s="5804" t="e">
        <f>+(U84+U85)-(U18+U23)</f>
        <v>#REF!</v>
      </c>
      <c r="V104" s="5804"/>
      <c r="W104" s="5804">
        <f>+(W84+W85)-(W18+W23)</f>
        <v>63.959999999991851</v>
      </c>
      <c r="X104" s="5804"/>
      <c r="Y104" s="5804"/>
      <c r="Z104" s="5804"/>
      <c r="AA104" s="5804"/>
      <c r="AB104" s="5804"/>
      <c r="AC104" s="5804">
        <f>+(AC84+AC85)-(AC18+AC23)</f>
        <v>-0.32000000000698492</v>
      </c>
      <c r="AD104" s="5804" t="e">
        <f>+(AD84+AD85)-(AD18+AD23)</f>
        <v>#REF!</v>
      </c>
      <c r="AE104" s="5804" t="e">
        <f>+(AE84+AE85)-(AE18+AE23)</f>
        <v>#REF!</v>
      </c>
      <c r="AF104" s="5804"/>
      <c r="AG104" s="5804">
        <f>+(AG84+AG85)-(AG18+AG23)</f>
        <v>-211.19999999999709</v>
      </c>
      <c r="AH104" s="5804" t="e">
        <f>+(AH84+AH85)-(AH18+AH23)</f>
        <v>#REF!</v>
      </c>
      <c r="AI104" s="5804" t="e">
        <f>+(AI84+AI85)-(AI18+AI23)</f>
        <v>#REF!</v>
      </c>
      <c r="AJ104" s="5804"/>
      <c r="AK104" s="5804">
        <f>+(AK84+AK85)-(AK18+AK23)</f>
        <v>0.13000000000465661</v>
      </c>
      <c r="AL104" s="5804"/>
      <c r="AM104" s="5804"/>
      <c r="AN104" s="5804" t="e">
        <f>+(AN84+AN85)-(AN18+AN23)</f>
        <v>#REF!</v>
      </c>
      <c r="AO104" s="5804" t="e">
        <f>+(AO84+AO85)-(AO18+AO23)</f>
        <v>#REF!</v>
      </c>
      <c r="AP104" s="5804"/>
      <c r="AQ104" s="5804">
        <f>+(AQ84+AQ85)-(AQ18+AQ23)</f>
        <v>277.08000000000175</v>
      </c>
      <c r="AR104" s="5804" t="e">
        <f>+(AR84+AR85)-(AR18+AR23)</f>
        <v>#REF!</v>
      </c>
      <c r="AS104" s="5804" t="e">
        <f>+(AS84+AS85)-(AS18+AS23)</f>
        <v>#REF!</v>
      </c>
      <c r="AT104" s="5804"/>
      <c r="AU104" s="5804">
        <f>+(AU84+AU85)-(AU18+AU23)</f>
        <v>404</v>
      </c>
      <c r="AV104" s="5804" t="e">
        <f>+(AV84+AV85)-(AV18+AV23)</f>
        <v>#REF!</v>
      </c>
      <c r="AW104" s="5804" t="e">
        <f>+(AW84+AW85)-(AW18+AW23)</f>
        <v>#REF!</v>
      </c>
      <c r="AX104" s="5804"/>
      <c r="AY104" s="5804">
        <f>+(AY84+AY85)-(AY18+AY23)</f>
        <v>68.100000000005821</v>
      </c>
      <c r="AZ104" s="5804"/>
      <c r="BA104" s="5804"/>
      <c r="BB104" s="5804"/>
      <c r="BC104" s="5804"/>
      <c r="BD104" s="5804"/>
      <c r="BE104" s="5804">
        <f>+(BE84+BE85)-(BE18+BE23)</f>
        <v>5019.4085714285029</v>
      </c>
    </row>
    <row r="105" spans="2:57" ht="15.75" hidden="1" x14ac:dyDescent="0.25">
      <c r="B105" s="5701" t="s">
        <v>1290</v>
      </c>
      <c r="C105" s="5701"/>
      <c r="D105" s="5701"/>
      <c r="E105" s="5804">
        <f>E87-E29</f>
        <v>0.5499999999992724</v>
      </c>
      <c r="F105" s="5804"/>
      <c r="G105" s="5804">
        <f>G87-G29</f>
        <v>0.2000000000007276</v>
      </c>
      <c r="H105" s="5804" t="e">
        <f>H87-H29</f>
        <v>#REF!</v>
      </c>
      <c r="I105" s="5804" t="e">
        <f>I87-I29</f>
        <v>#REF!</v>
      </c>
      <c r="J105" s="5804"/>
      <c r="K105" s="5804">
        <f>K87-K29</f>
        <v>0</v>
      </c>
      <c r="L105" s="5804"/>
      <c r="M105" s="5804"/>
      <c r="N105" s="5804"/>
      <c r="O105" s="5804">
        <f>O87-O29</f>
        <v>-0.42649122807051754</v>
      </c>
      <c r="P105" s="5804" t="e">
        <f>P87-P29</f>
        <v>#REF!</v>
      </c>
      <c r="Q105" s="5804" t="e">
        <f>Q87-Q29</f>
        <v>#REF!</v>
      </c>
      <c r="R105" s="5804"/>
      <c r="S105" s="5804">
        <f>S87-S29</f>
        <v>-22.490000000001601</v>
      </c>
      <c r="T105" s="5804" t="e">
        <f>T87-T29</f>
        <v>#REF!</v>
      </c>
      <c r="U105" s="5804" t="e">
        <f>U87-U29</f>
        <v>#REF!</v>
      </c>
      <c r="V105" s="5804"/>
      <c r="W105" s="5804">
        <f>W87-W29</f>
        <v>329.5</v>
      </c>
      <c r="X105" s="5804"/>
      <c r="Y105" s="5804"/>
      <c r="Z105" s="5804"/>
      <c r="AA105" s="5804"/>
      <c r="AB105" s="5804"/>
      <c r="AC105" s="5804">
        <f>AC87-AC29</f>
        <v>1.4399999999986903</v>
      </c>
      <c r="AD105" s="5804" t="e">
        <f>AD87-AD29</f>
        <v>#REF!</v>
      </c>
      <c r="AE105" s="5804" t="e">
        <f>AE87-AE29</f>
        <v>#REF!</v>
      </c>
      <c r="AF105" s="5804"/>
      <c r="AG105" s="5804">
        <f>AG87-AG29</f>
        <v>0</v>
      </c>
      <c r="AH105" s="5804" t="e">
        <f>AH87-AH29</f>
        <v>#REF!</v>
      </c>
      <c r="AI105" s="5804" t="e">
        <f>AI87-AI29</f>
        <v>#REF!</v>
      </c>
      <c r="AJ105" s="5804"/>
      <c r="AK105" s="5804">
        <f>AK87-AK29</f>
        <v>-3984</v>
      </c>
      <c r="AL105" s="5804"/>
      <c r="AM105" s="5804"/>
      <c r="AN105" s="5804" t="e">
        <f>AN87-AN29</f>
        <v>#REF!</v>
      </c>
      <c r="AO105" s="5804" t="e">
        <f>AO87-AO29</f>
        <v>#REF!</v>
      </c>
      <c r="AP105" s="5804"/>
      <c r="AQ105" s="5804">
        <f>AQ87-AQ29</f>
        <v>4046.2299999999996</v>
      </c>
      <c r="AR105" s="5804" t="e">
        <f>AR87-AR29</f>
        <v>#REF!</v>
      </c>
      <c r="AS105" s="5804" t="e">
        <f>AS87-AS29</f>
        <v>#REF!</v>
      </c>
      <c r="AT105" s="5804"/>
      <c r="AU105" s="5804">
        <f>AU87-AU29</f>
        <v>212.70000000000073</v>
      </c>
      <c r="AV105" s="5804" t="e">
        <f>AV87-AV29</f>
        <v>#REF!</v>
      </c>
      <c r="AW105" s="5804" t="e">
        <f>AW87-AW29</f>
        <v>#REF!</v>
      </c>
      <c r="AX105" s="5804"/>
      <c r="AY105" s="5804">
        <f>AY87-AY29</f>
        <v>0</v>
      </c>
      <c r="AZ105" s="5804"/>
      <c r="BA105" s="5804"/>
      <c r="BB105" s="5804"/>
      <c r="BC105" s="5804"/>
      <c r="BD105" s="5804"/>
      <c r="BE105" s="5804">
        <f>BE87-BE29</f>
        <v>583.70350877189776</v>
      </c>
    </row>
    <row r="106" spans="2:57" ht="15.75" hidden="1" x14ac:dyDescent="0.25">
      <c r="B106" s="5701" t="s">
        <v>1295</v>
      </c>
      <c r="C106" s="5701"/>
      <c r="D106" s="5701"/>
      <c r="E106" s="5804">
        <f>E88-E33</f>
        <v>-0.15999999999985448</v>
      </c>
      <c r="F106" s="5804"/>
      <c r="G106" s="5804">
        <f>G88-G33</f>
        <v>68.760000000000218</v>
      </c>
      <c r="H106" s="5804" t="e">
        <f>H88-H33</f>
        <v>#REF!</v>
      </c>
      <c r="I106" s="5804" t="e">
        <f>I88-I33</f>
        <v>#REF!</v>
      </c>
      <c r="J106" s="5804"/>
      <c r="K106" s="5804">
        <f>K88-K33</f>
        <v>5.9999999999490683E-2</v>
      </c>
      <c r="L106" s="5804"/>
      <c r="M106" s="5804"/>
      <c r="N106" s="5804"/>
      <c r="O106" s="5804">
        <f>O88-O33</f>
        <v>-6.0000000001309672E-2</v>
      </c>
      <c r="P106" s="5804">
        <f>P88-P33</f>
        <v>-14</v>
      </c>
      <c r="Q106" s="5804">
        <f>Q88-Q33</f>
        <v>-54013.899999999994</v>
      </c>
      <c r="R106" s="5804"/>
      <c r="S106" s="5804">
        <f>S88-S33</f>
        <v>-43.720000000001164</v>
      </c>
      <c r="T106" s="5804">
        <f>T88-T33</f>
        <v>-19</v>
      </c>
      <c r="U106" s="5804">
        <f>U88-U33</f>
        <v>-73599.899999999994</v>
      </c>
      <c r="V106" s="5804"/>
      <c r="W106" s="5804">
        <f>W88-W33</f>
        <v>20.700000000000728</v>
      </c>
      <c r="X106" s="5804"/>
      <c r="Y106" s="5804"/>
      <c r="Z106" s="5804"/>
      <c r="AA106" s="5804"/>
      <c r="AB106" s="5804"/>
      <c r="AC106" s="5804">
        <f>AC88-AC33</f>
        <v>71.5</v>
      </c>
      <c r="AD106" s="5804" t="e">
        <f>AD88-AD33</f>
        <v>#REF!</v>
      </c>
      <c r="AE106" s="5804" t="e">
        <f>AE88-AE33</f>
        <v>#REF!</v>
      </c>
      <c r="AF106" s="5804"/>
      <c r="AG106" s="5804">
        <f>AG88-AG33</f>
        <v>57.920000000000073</v>
      </c>
      <c r="AH106" s="5804" t="e">
        <f>AH88-AH33</f>
        <v>#REF!</v>
      </c>
      <c r="AI106" s="5804" t="e">
        <f>AI88-AI33</f>
        <v>#REF!</v>
      </c>
      <c r="AJ106" s="5804"/>
      <c r="AK106" s="5804">
        <f>AK88-AK33</f>
        <v>276.54999999999927</v>
      </c>
      <c r="AL106" s="5804"/>
      <c r="AM106" s="5804"/>
      <c r="AN106" s="5804" t="e">
        <f>AN88-AN33</f>
        <v>#REF!</v>
      </c>
      <c r="AO106" s="5804" t="e">
        <f>AO88-AO33</f>
        <v>#REF!</v>
      </c>
      <c r="AP106" s="5804"/>
      <c r="AQ106" s="5804">
        <f>AQ88-AQ33</f>
        <v>-0.18999999999959982</v>
      </c>
      <c r="AR106" s="5804" t="e">
        <f>AR88-AR33</f>
        <v>#REF!</v>
      </c>
      <c r="AS106" s="5804" t="e">
        <f>AS88-AS33</f>
        <v>#REF!</v>
      </c>
      <c r="AT106" s="5804"/>
      <c r="AU106" s="5804">
        <f>AU88-AU33</f>
        <v>64.079999999999927</v>
      </c>
      <c r="AV106" s="5804" t="e">
        <f>AV88-AV33</f>
        <v>#REF!</v>
      </c>
      <c r="AW106" s="5804" t="e">
        <f>AW88-AW33</f>
        <v>#REF!</v>
      </c>
      <c r="AX106" s="5804"/>
      <c r="AY106" s="5804">
        <f>AY88-AY33</f>
        <v>6.9999999999708962E-2</v>
      </c>
      <c r="AZ106" s="5804"/>
      <c r="BA106" s="5804"/>
      <c r="BB106" s="5804"/>
      <c r="BC106" s="5804"/>
      <c r="BD106" s="5804"/>
      <c r="BE106" s="5804">
        <f>BE88-BE33</f>
        <v>515.50999999998021</v>
      </c>
    </row>
    <row r="107" spans="2:57" ht="15.75" hidden="1" x14ac:dyDescent="0.25">
      <c r="B107" s="5701" t="s">
        <v>2014</v>
      </c>
      <c r="C107" s="5701"/>
      <c r="D107" s="5701"/>
      <c r="E107" s="5804">
        <f>SUM(E105:E106)</f>
        <v>0.38999999999941792</v>
      </c>
      <c r="F107" s="5804"/>
      <c r="G107" s="5804">
        <f t="shared" ref="G107:BE107" si="293">SUM(G105:G106)</f>
        <v>68.960000000000946</v>
      </c>
      <c r="H107" s="5804" t="e">
        <f t="shared" si="293"/>
        <v>#REF!</v>
      </c>
      <c r="I107" s="5804" t="e">
        <f t="shared" si="293"/>
        <v>#REF!</v>
      </c>
      <c r="J107" s="5804"/>
      <c r="K107" s="5804">
        <f t="shared" si="293"/>
        <v>5.9999999999490683E-2</v>
      </c>
      <c r="L107" s="5804"/>
      <c r="M107" s="5804"/>
      <c r="N107" s="5804"/>
      <c r="O107" s="5804">
        <f t="shared" si="293"/>
        <v>-0.48649122807182721</v>
      </c>
      <c r="P107" s="5804" t="e">
        <f t="shared" si="293"/>
        <v>#REF!</v>
      </c>
      <c r="Q107" s="5804" t="e">
        <f t="shared" si="293"/>
        <v>#REF!</v>
      </c>
      <c r="R107" s="5804"/>
      <c r="S107" s="5804">
        <f t="shared" si="293"/>
        <v>-66.210000000002765</v>
      </c>
      <c r="T107" s="5804" t="e">
        <f t="shared" si="293"/>
        <v>#REF!</v>
      </c>
      <c r="U107" s="5804" t="e">
        <f t="shared" si="293"/>
        <v>#REF!</v>
      </c>
      <c r="V107" s="5804"/>
      <c r="W107" s="5804">
        <f t="shared" si="293"/>
        <v>350.20000000000073</v>
      </c>
      <c r="X107" s="5804"/>
      <c r="Y107" s="5804"/>
      <c r="Z107" s="5804"/>
      <c r="AA107" s="5804"/>
      <c r="AB107" s="5804"/>
      <c r="AC107" s="5804">
        <f t="shared" si="293"/>
        <v>72.93999999999869</v>
      </c>
      <c r="AD107" s="5804" t="e">
        <f t="shared" si="293"/>
        <v>#REF!</v>
      </c>
      <c r="AE107" s="5804" t="e">
        <f t="shared" si="293"/>
        <v>#REF!</v>
      </c>
      <c r="AF107" s="5804"/>
      <c r="AG107" s="5804">
        <f t="shared" si="293"/>
        <v>57.920000000000073</v>
      </c>
      <c r="AH107" s="5804" t="e">
        <f t="shared" si="293"/>
        <v>#REF!</v>
      </c>
      <c r="AI107" s="5804" t="e">
        <f t="shared" si="293"/>
        <v>#REF!</v>
      </c>
      <c r="AJ107" s="5804"/>
      <c r="AK107" s="5804">
        <f t="shared" si="293"/>
        <v>-3707.4500000000007</v>
      </c>
      <c r="AL107" s="5804"/>
      <c r="AM107" s="5804"/>
      <c r="AN107" s="5804" t="e">
        <f t="shared" si="293"/>
        <v>#REF!</v>
      </c>
      <c r="AO107" s="5804" t="e">
        <f t="shared" si="293"/>
        <v>#REF!</v>
      </c>
      <c r="AP107" s="5804"/>
      <c r="AQ107" s="5804">
        <f t="shared" si="293"/>
        <v>4046.04</v>
      </c>
      <c r="AR107" s="5804" t="e">
        <f t="shared" si="293"/>
        <v>#REF!</v>
      </c>
      <c r="AS107" s="5804" t="e">
        <f t="shared" si="293"/>
        <v>#REF!</v>
      </c>
      <c r="AT107" s="5804"/>
      <c r="AU107" s="5804">
        <f t="shared" si="293"/>
        <v>276.78000000000065</v>
      </c>
      <c r="AV107" s="5804" t="e">
        <f t="shared" si="293"/>
        <v>#REF!</v>
      </c>
      <c r="AW107" s="5804" t="e">
        <f t="shared" si="293"/>
        <v>#REF!</v>
      </c>
      <c r="AX107" s="5804"/>
      <c r="AY107" s="5804">
        <f t="shared" si="293"/>
        <v>6.9999999999708962E-2</v>
      </c>
      <c r="AZ107" s="5804"/>
      <c r="BA107" s="5804"/>
      <c r="BB107" s="5804"/>
      <c r="BC107" s="5804"/>
      <c r="BD107" s="5804"/>
      <c r="BE107" s="5804">
        <f t="shared" si="293"/>
        <v>1099.213508771878</v>
      </c>
    </row>
    <row r="108" spans="2:57" ht="15.75" hidden="1" x14ac:dyDescent="0.25">
      <c r="B108" s="5701" t="s">
        <v>2008</v>
      </c>
      <c r="C108" s="5701"/>
      <c r="D108" s="5701"/>
      <c r="E108" s="5806">
        <f>+E90-SUM(E34:E38)-SUM(E49:E53)</f>
        <v>-3394.8800000000047</v>
      </c>
      <c r="F108" s="5806"/>
      <c r="G108" s="5806">
        <f>+G90-SUM(G34:G38)-SUM(G49:G53)</f>
        <v>8338</v>
      </c>
      <c r="H108" s="5806" t="e">
        <f>+H90-SUM(H34:H38)-SUM(H49:H53)</f>
        <v>#REF!</v>
      </c>
      <c r="I108" s="5806" t="e">
        <f>+I90-SUM(I34:I38)-SUM(I49:I53)</f>
        <v>#REF!</v>
      </c>
      <c r="J108" s="5806"/>
      <c r="K108" s="5806">
        <f>+K90-SUM(K34:K38)-SUM(K49:K53)</f>
        <v>-3498.570000000007</v>
      </c>
      <c r="L108" s="5806"/>
      <c r="M108" s="5806"/>
      <c r="N108" s="5806"/>
      <c r="O108" s="5806">
        <f>+O90-SUM(O34:O38)-SUM(O49:O53)</f>
        <v>2447.3999504242747</v>
      </c>
      <c r="P108" s="5806">
        <f>+P90-SUM(P34:P38)-SUM(P49:P53)</f>
        <v>-127.29869411655358</v>
      </c>
      <c r="Q108" s="5806">
        <f>+Q90-SUM(Q34:Q38)-SUM(Q49:Q53)</f>
        <v>-480988.60004957567</v>
      </c>
      <c r="R108" s="5806"/>
      <c r="S108" s="5806">
        <f>+S90-SUM(S34:S38)-SUM(S49:S53)</f>
        <v>-2858.2700000000041</v>
      </c>
      <c r="T108" s="5806">
        <f>+T90-SUM(T34:T38)-SUM(T49:T53)</f>
        <v>-154.99869411655359</v>
      </c>
      <c r="U108" s="5806">
        <f>+U90-SUM(U34:U38)-SUM(U49:U53)</f>
        <v>-584323.60004957567</v>
      </c>
      <c r="V108" s="5806"/>
      <c r="W108" s="5806">
        <f>+W90-SUM(W34:W38)-SUM(W49:W53)</f>
        <v>3620</v>
      </c>
      <c r="X108" s="5806"/>
      <c r="Y108" s="5806"/>
      <c r="Z108" s="5806"/>
      <c r="AA108" s="5806"/>
      <c r="AB108" s="5806"/>
      <c r="AC108" s="5806">
        <f>+AC90-SUM(AC34:AC38)-SUM(AC49:AC53)</f>
        <v>500</v>
      </c>
      <c r="AD108" s="5806" t="e">
        <f>+AD90-SUM(AD34:AD38)-SUM(AD49:AD53)</f>
        <v>#REF!</v>
      </c>
      <c r="AE108" s="5806" t="e">
        <f>+AE90-SUM(AE34:AE38)-SUM(AE49:AE53)</f>
        <v>#REF!</v>
      </c>
      <c r="AF108" s="5806"/>
      <c r="AG108" s="5806">
        <f>+AG90-SUM(AG34:AG38)-SUM(AG49:AG53)</f>
        <v>2</v>
      </c>
      <c r="AH108" s="5806" t="e">
        <f>+AH90-SUM(AH34:AH38)-SUM(AH49:AH53)</f>
        <v>#REF!</v>
      </c>
      <c r="AI108" s="5806" t="e">
        <f>+AI90-SUM(AI34:AI38)-SUM(AI49:AI53)</f>
        <v>#REF!</v>
      </c>
      <c r="AJ108" s="5806"/>
      <c r="AK108" s="5806">
        <f>+AK90-SUM(AK34:AK38)-SUM(AK49:AK53)</f>
        <v>-4</v>
      </c>
      <c r="AL108" s="5806"/>
      <c r="AM108" s="5806"/>
      <c r="AN108" s="5806" t="e">
        <f>+AN90-SUM(AN34:AN38)-SUM(AN49:AN53)</f>
        <v>#REF!</v>
      </c>
      <c r="AO108" s="5806" t="e">
        <f>+AO90-SUM(AO34:AO38)-SUM(AO49:AO53)</f>
        <v>#REF!</v>
      </c>
      <c r="AP108" s="5806"/>
      <c r="AQ108" s="5806">
        <f>+AQ90-SUM(AQ34:AQ38)-SUM(AQ49:AQ53)</f>
        <v>-2711.7200000000012</v>
      </c>
      <c r="AR108" s="5806" t="e">
        <f>+AR90-SUM(AR34:AR38)-SUM(AR49:AR53)</f>
        <v>#REF!</v>
      </c>
      <c r="AS108" s="5806" t="e">
        <f>+AS90-SUM(AS34:AS38)-SUM(AS49:AS53)</f>
        <v>#REF!</v>
      </c>
      <c r="AT108" s="5806"/>
      <c r="AU108" s="5806">
        <f>+AU90-SUM(AU34:AU38)-SUM(AU49:AU53)</f>
        <v>4111</v>
      </c>
      <c r="AV108" s="5806" t="e">
        <f>+AV90-SUM(AV34:AV38)-SUM(AV49:AV53)</f>
        <v>#REF!</v>
      </c>
      <c r="AW108" s="5806" t="e">
        <f>+AW90-SUM(AW34:AW38)-SUM(AW49:AW53)</f>
        <v>#REF!</v>
      </c>
      <c r="AX108" s="5806"/>
      <c r="AY108" s="5806">
        <f>+AY90-SUM(AY34:AY38)-SUM(AY49:AY53)</f>
        <v>172</v>
      </c>
      <c r="AZ108" s="5806"/>
      <c r="BA108" s="5806"/>
      <c r="BB108" s="5806"/>
      <c r="BC108" s="5806"/>
      <c r="BD108" s="5806"/>
      <c r="BE108" s="5806">
        <f>+BE90-SUM(BE34:BE38)-SUM(BE49:BE53)</f>
        <v>6722.9599504244397</v>
      </c>
    </row>
    <row r="109" spans="2:57" ht="15.75" hidden="1" x14ac:dyDescent="0.25">
      <c r="B109" s="5701" t="s">
        <v>2009</v>
      </c>
      <c r="C109" s="5701"/>
      <c r="D109" s="5701"/>
      <c r="E109" s="5806">
        <f>E91-SUM(E39:E42)-SUM(E54:E57)</f>
        <v>58.919999999998254</v>
      </c>
      <c r="F109" s="5806"/>
      <c r="G109" s="5806">
        <f>G91-SUM(G39:G42)-SUM(G54:G57)</f>
        <v>-1786</v>
      </c>
      <c r="H109" s="5806">
        <f>H91-SUM(H39:H42)-SUM(H54:H57)</f>
        <v>-27.3</v>
      </c>
      <c r="I109" s="5806">
        <f>I91-SUM(I39:I42)-SUM(I54:I57)</f>
        <v>-104312</v>
      </c>
      <c r="J109" s="5806"/>
      <c r="K109" s="5806">
        <f>K91-SUM(K39:K42)-SUM(K54:K57)</f>
        <v>-143.63000000000102</v>
      </c>
      <c r="L109" s="5806"/>
      <c r="M109" s="5806"/>
      <c r="N109" s="5806"/>
      <c r="O109" s="5806">
        <f>O91-SUM(O39:O42)-SUM(O54:O57)</f>
        <v>42.27596606186853</v>
      </c>
      <c r="P109" s="5806">
        <f>P91-SUM(P39:P42)-SUM(P54:P57)</f>
        <v>-42.101305883446415</v>
      </c>
      <c r="Q109" s="5806">
        <f>Q91-SUM(Q39:Q42)-SUM(Q54:Q57)</f>
        <v>-159191.72403393814</v>
      </c>
      <c r="R109" s="5806"/>
      <c r="S109" s="5806">
        <f>S91-SUM(S39:S42)-SUM(S54:S57)</f>
        <v>1.4199999999982538</v>
      </c>
      <c r="T109" s="5806">
        <f>T91-SUM(T39:T42)-SUM(T54:T57)</f>
        <v>-48.301305883446418</v>
      </c>
      <c r="U109" s="5806">
        <f>U91-SUM(U39:U42)-SUM(U54:U57)</f>
        <v>-182083.72403393814</v>
      </c>
      <c r="V109" s="5806"/>
      <c r="W109" s="5806">
        <f>W91-SUM(W39:W42)-SUM(W54:W57)</f>
        <v>-1</v>
      </c>
      <c r="X109" s="5806"/>
      <c r="Y109" s="5806"/>
      <c r="Z109" s="5806"/>
      <c r="AA109" s="5806"/>
      <c r="AB109" s="5806"/>
      <c r="AC109" s="5806">
        <f>AC91-SUM(AC39:AC42)-SUM(AC54:AC57)</f>
        <v>48</v>
      </c>
      <c r="AD109" s="5806">
        <f>AD91-SUM(AD39:AD42)-SUM(AD54:AD57)</f>
        <v>-70.101305883446415</v>
      </c>
      <c r="AE109" s="5806">
        <f>AE91-SUM(AE39:AE42)-SUM(AE54:AE57)</f>
        <v>-266212.72403393814</v>
      </c>
      <c r="AF109" s="5806"/>
      <c r="AG109" s="5806">
        <f>AG91-SUM(AG39:AG42)-SUM(AG54:AG57)</f>
        <v>-8.999999999650754E-2</v>
      </c>
      <c r="AH109" s="5806">
        <f>AH91-SUM(AH39:AH42)-SUM(AH54:AH57)</f>
        <v>-81.101305883446415</v>
      </c>
      <c r="AI109" s="5806">
        <f>AI91-SUM(AI39:AI42)-SUM(AI54:AI57)</f>
        <v>-308385.72403393814</v>
      </c>
      <c r="AJ109" s="5806"/>
      <c r="AK109" s="5806">
        <f>AK91-SUM(AK39:AK42)-SUM(AK54:AK57)</f>
        <v>-12</v>
      </c>
      <c r="AL109" s="5806"/>
      <c r="AM109" s="5806"/>
      <c r="AN109" s="5806">
        <f>AN91-SUM(AN39:AN42)-SUM(AN54:AN57)</f>
        <v>-93.701305883446423</v>
      </c>
      <c r="AO109" s="5806">
        <f>AO91-SUM(AO39:AO42)-SUM(AO54:AO57)</f>
        <v>-356026.72403393814</v>
      </c>
      <c r="AP109" s="5806"/>
      <c r="AQ109" s="5806">
        <f>AQ91-SUM(AQ39:AQ42)-SUM(AQ54:AQ57)</f>
        <v>265.79000000000087</v>
      </c>
      <c r="AR109" s="5806">
        <f>AR91-SUM(AR39:AR42)-SUM(AR54:AR57)</f>
        <v>-101.40130588344641</v>
      </c>
      <c r="AS109" s="5806">
        <f>AS91-SUM(AS39:AS42)-SUM(AS54:AS57)</f>
        <v>-385566.72403393814</v>
      </c>
      <c r="AT109" s="5806"/>
      <c r="AU109" s="5806">
        <f>AU91-SUM(AU39:AU42)-SUM(AU54:AU57)</f>
        <v>131</v>
      </c>
      <c r="AV109" s="5806">
        <f>AV91-SUM(AV39:AV42)-SUM(AV54:AV57)</f>
        <v>-109.40130588344641</v>
      </c>
      <c r="AW109" s="5806">
        <f>AW91-SUM(AW39:AW42)-SUM(AW54:AW57)</f>
        <v>-415379.72403393814</v>
      </c>
      <c r="AX109" s="5806"/>
      <c r="AY109" s="5806">
        <f>AY91-SUM(AY39:AY42)-SUM(AY54:AY57)</f>
        <v>29</v>
      </c>
      <c r="AZ109" s="5806"/>
      <c r="BA109" s="5806"/>
      <c r="BB109" s="5806"/>
      <c r="BC109" s="5806"/>
      <c r="BD109" s="5806"/>
      <c r="BE109" s="5806">
        <f>BE91-SUM(BE39:BE42)-SUM(BE54:BE57)</f>
        <v>-1366.3140339381353</v>
      </c>
    </row>
    <row r="110" spans="2:57" ht="15.75" hidden="1" x14ac:dyDescent="0.25">
      <c r="B110" s="5701" t="s">
        <v>2010</v>
      </c>
      <c r="C110" s="5701"/>
      <c r="D110" s="5701"/>
      <c r="E110" s="5804">
        <f>E92-E62-E47</f>
        <v>-3627.1499999999996</v>
      </c>
      <c r="F110" s="5804"/>
      <c r="G110" s="5804">
        <f>G92-G62-G47</f>
        <v>3627.49</v>
      </c>
      <c r="H110" s="5804">
        <f>H92-H62-H47</f>
        <v>-7</v>
      </c>
      <c r="I110" s="5804">
        <f>I92-I62-I47</f>
        <v>0.34000000000014552</v>
      </c>
      <c r="J110" s="5804"/>
      <c r="K110" s="5804">
        <f>K92-K62-K47</f>
        <v>-0.38999999999941792</v>
      </c>
      <c r="L110" s="5804"/>
      <c r="M110" s="5804"/>
      <c r="N110" s="5804"/>
      <c r="O110" s="5804">
        <f>O92-O62-O47</f>
        <v>-5.0000000001091394E-2</v>
      </c>
      <c r="P110" s="5804">
        <f>P92-P62-P47</f>
        <v>-15</v>
      </c>
      <c r="Q110" s="5804">
        <f>Q92-Q62-Q47</f>
        <v>-57273.2</v>
      </c>
      <c r="R110" s="5804"/>
      <c r="S110" s="5804">
        <f>S92-S62-S47</f>
        <v>2.0000000000436557E-2</v>
      </c>
      <c r="T110" s="5804">
        <f>T92-T62-T47</f>
        <v>-19</v>
      </c>
      <c r="U110" s="5804">
        <f>U92-U62-U47</f>
        <v>-71955.199999999997</v>
      </c>
      <c r="V110" s="5804"/>
      <c r="W110" s="5804">
        <f>W92-W62-W47</f>
        <v>0</v>
      </c>
      <c r="X110" s="5804"/>
      <c r="Y110" s="5804"/>
      <c r="Z110" s="5804"/>
      <c r="AA110" s="5804"/>
      <c r="AB110" s="5804"/>
      <c r="AC110" s="5804">
        <f>AC92-AC62-AC47</f>
        <v>0.3999999999996362</v>
      </c>
      <c r="AD110" s="5804">
        <f>AD92-AD62-AD47</f>
        <v>-27</v>
      </c>
      <c r="AE110" s="5804">
        <f>AE92-AE62-AE47</f>
        <v>-101626.20000000001</v>
      </c>
      <c r="AF110" s="5804"/>
      <c r="AG110" s="5804">
        <f>AG92-AG62-AG47</f>
        <v>-0.8999999999996362</v>
      </c>
      <c r="AH110" s="5804">
        <f>AH92-AH62-AH47</f>
        <v>-31</v>
      </c>
      <c r="AI110" s="5804">
        <f>AI92-AI62-AI47</f>
        <v>-116770.20000000001</v>
      </c>
      <c r="AJ110" s="5804"/>
      <c r="AK110" s="5804">
        <f>AK92-AK62-AK47</f>
        <v>-1</v>
      </c>
      <c r="AL110" s="5804"/>
      <c r="AM110" s="5804"/>
      <c r="AN110" s="5804">
        <f>AN92-AN62-AN47</f>
        <v>-34</v>
      </c>
      <c r="AO110" s="5804">
        <f>AO92-AO62-AO47</f>
        <v>-116771.20000000001</v>
      </c>
      <c r="AP110" s="5804"/>
      <c r="AQ110" s="5804">
        <f>AQ92-AQ62-AQ47</f>
        <v>0</v>
      </c>
      <c r="AR110" s="5804">
        <f>AR92-AR62-AR47</f>
        <v>-37</v>
      </c>
      <c r="AS110" s="5804">
        <f>AS92-AS62-AS47</f>
        <v>-138920.20000000001</v>
      </c>
      <c r="AT110" s="5804"/>
      <c r="AU110" s="5804">
        <f>AU92-AU62-AU47</f>
        <v>-0.40000000000009095</v>
      </c>
      <c r="AV110" s="5804">
        <f>AV92-AV62-AV47</f>
        <v>-38</v>
      </c>
      <c r="AW110" s="5804">
        <f>AW92-AW62-AW47</f>
        <v>-142878.20000000001</v>
      </c>
      <c r="AX110" s="5804"/>
      <c r="AY110" s="5804">
        <f>AY92-AY62-AY47</f>
        <v>0</v>
      </c>
      <c r="AZ110" s="5804"/>
      <c r="BA110" s="5804"/>
      <c r="BB110" s="5804"/>
      <c r="BC110" s="5804"/>
      <c r="BD110" s="5804"/>
      <c r="BE110" s="5804">
        <f>BE92-BE62-BE47</f>
        <v>-1.9800000000104774</v>
      </c>
    </row>
    <row r="111" spans="2:57" ht="15.75" hidden="1" x14ac:dyDescent="0.25">
      <c r="B111" s="5701" t="s">
        <v>1308</v>
      </c>
      <c r="C111" s="5701"/>
      <c r="D111" s="5701"/>
      <c r="E111" s="5804">
        <f>+E93-E48</f>
        <v>-309.45999999999913</v>
      </c>
      <c r="F111" s="5804"/>
      <c r="G111" s="5804">
        <f>+G93-G48</f>
        <v>367.88000000000102</v>
      </c>
      <c r="H111" s="5804">
        <f>+H93-H48</f>
        <v>-14</v>
      </c>
      <c r="I111" s="5804">
        <f>+I93-I48</f>
        <v>58.419999999998254</v>
      </c>
      <c r="J111" s="5804"/>
      <c r="K111" s="5804">
        <f>+K93-K48</f>
        <v>91.819999999999709</v>
      </c>
      <c r="L111" s="5804"/>
      <c r="M111" s="5804"/>
      <c r="N111" s="5804"/>
      <c r="O111" s="5804">
        <f>+O93-O48</f>
        <v>8.4045822182524716</v>
      </c>
      <c r="P111" s="5804">
        <f>+P93-P48</f>
        <v>-27.4</v>
      </c>
      <c r="Q111" s="5804">
        <f>+Q93-Q48</f>
        <v>-103141.66541778174</v>
      </c>
      <c r="R111" s="5804"/>
      <c r="S111" s="5804">
        <f>+S93-S48</f>
        <v>-2.6999999999970896</v>
      </c>
      <c r="T111" s="5804">
        <f>+T93-T48</f>
        <v>-38.4</v>
      </c>
      <c r="U111" s="5804">
        <f>+U93-U48</f>
        <v>-144370.66541778174</v>
      </c>
      <c r="V111" s="5804"/>
      <c r="W111" s="5804">
        <f>+W93-W48</f>
        <v>129.34999999999854</v>
      </c>
      <c r="X111" s="5804"/>
      <c r="Y111" s="5804"/>
      <c r="Z111" s="5804"/>
      <c r="AA111" s="5804"/>
      <c r="AB111" s="5804"/>
      <c r="AC111" s="5804">
        <f>+AC93-AC48</f>
        <v>65.839999999996508</v>
      </c>
      <c r="AD111" s="5804">
        <f>+AD93-AD48</f>
        <v>-57.4</v>
      </c>
      <c r="AE111" s="5804">
        <f>+AE93-AE48</f>
        <v>-217963.66541778174</v>
      </c>
      <c r="AF111" s="5804"/>
      <c r="AG111" s="5804">
        <f>+AG93-AG48</f>
        <v>-266.63000000000102</v>
      </c>
      <c r="AH111" s="5804">
        <f>+AH93-AH48</f>
        <v>-66</v>
      </c>
      <c r="AI111" s="5804">
        <f>+AI93-AI48</f>
        <v>-249869.66541778174</v>
      </c>
      <c r="AJ111" s="5804"/>
      <c r="AK111" s="5804">
        <f>+AK93-AK48</f>
        <v>125.20999999999913</v>
      </c>
      <c r="AL111" s="5804"/>
      <c r="AM111" s="5804"/>
      <c r="AN111" s="5804">
        <f>+AN93-AN48</f>
        <v>-73.900000000000006</v>
      </c>
      <c r="AO111" s="5804">
        <f>+AO93-AO48</f>
        <v>-249744.45541778175</v>
      </c>
      <c r="AP111" s="5804"/>
      <c r="AQ111" s="5804">
        <f>+AQ93-AQ48</f>
        <v>114.20000000000073</v>
      </c>
      <c r="AR111" s="5804">
        <f>+AR93-AR48</f>
        <v>-80.7</v>
      </c>
      <c r="AS111" s="5804">
        <f>+AS93-AS48</f>
        <v>-306025.66541778174</v>
      </c>
      <c r="AT111" s="5804"/>
      <c r="AU111" s="5804">
        <f>+AU93-AU48</f>
        <v>8.2099999999991269</v>
      </c>
      <c r="AV111" s="5804">
        <f>+AV93-AV48</f>
        <v>-92.3</v>
      </c>
      <c r="AW111" s="5804">
        <f>+AW93-AW48</f>
        <v>-350355.66541778174</v>
      </c>
      <c r="AX111" s="5804"/>
      <c r="AY111" s="5804">
        <f>+AY93-AY48</f>
        <v>134.31999999999971</v>
      </c>
      <c r="AZ111" s="5804"/>
      <c r="BA111" s="5804"/>
      <c r="BB111" s="5804"/>
      <c r="BC111" s="5804"/>
      <c r="BD111" s="5804"/>
      <c r="BE111" s="5804">
        <f>+BE93-BE48</f>
        <v>466.44458221824607</v>
      </c>
    </row>
    <row r="112" spans="2:57" ht="15.75" hidden="1" x14ac:dyDescent="0.25">
      <c r="B112" s="5701" t="s">
        <v>1310</v>
      </c>
      <c r="C112" s="5701"/>
      <c r="D112" s="5701"/>
      <c r="E112" s="5804">
        <f>+E94-E63</f>
        <v>0</v>
      </c>
      <c r="F112" s="5804"/>
      <c r="G112" s="5804">
        <f>+G94-G63</f>
        <v>0</v>
      </c>
      <c r="H112" s="5804" t="e">
        <f>+H94-H63</f>
        <v>#VALUE!</v>
      </c>
      <c r="I112" s="5804" t="e">
        <f>+I94-I63</f>
        <v>#VALUE!</v>
      </c>
      <c r="J112" s="5804"/>
      <c r="K112" s="5804">
        <f>+K94-K63</f>
        <v>0</v>
      </c>
      <c r="L112" s="5804"/>
      <c r="M112" s="5804"/>
      <c r="N112" s="5804"/>
      <c r="O112" s="5804">
        <f>+O94-O63</f>
        <v>0</v>
      </c>
      <c r="P112" s="5804">
        <f>+P94-P63</f>
        <v>-1</v>
      </c>
      <c r="Q112" s="5804">
        <f>+Q94-Q63</f>
        <v>-3977.4</v>
      </c>
      <c r="R112" s="5804"/>
      <c r="S112" s="5804">
        <f>+S94-S63</f>
        <v>-0.30999999999994543</v>
      </c>
      <c r="T112" s="5804">
        <f>+T94-T63</f>
        <v>-2</v>
      </c>
      <c r="U112" s="5804">
        <f>+U94-U63</f>
        <v>-7662.4</v>
      </c>
      <c r="V112" s="5804"/>
      <c r="W112" s="5804">
        <f>+W94-W63</f>
        <v>0</v>
      </c>
      <c r="X112" s="5804"/>
      <c r="Y112" s="5804"/>
      <c r="Z112" s="5804"/>
      <c r="AA112" s="5804"/>
      <c r="AB112" s="5804"/>
      <c r="AC112" s="5804">
        <f>+AC94-AC63</f>
        <v>0</v>
      </c>
      <c r="AD112" s="5804">
        <f>+AD94-AD63</f>
        <v>-2</v>
      </c>
      <c r="AE112" s="5804">
        <f>+AE94-AE63</f>
        <v>-7662.4</v>
      </c>
      <c r="AF112" s="5804"/>
      <c r="AG112" s="5804">
        <f>+AG94-AG63</f>
        <v>0</v>
      </c>
      <c r="AH112" s="5804">
        <f>+AH94-AH63</f>
        <v>-3</v>
      </c>
      <c r="AI112" s="5804">
        <f>+AI94-AI63</f>
        <v>-11199.4</v>
      </c>
      <c r="AJ112" s="5804"/>
      <c r="AK112" s="5804">
        <f>+AK94-AK63</f>
        <v>0</v>
      </c>
      <c r="AL112" s="5804"/>
      <c r="AM112" s="5804"/>
      <c r="AN112" s="5804">
        <f>+AN94-AN63</f>
        <v>-3</v>
      </c>
      <c r="AO112" s="5804">
        <f>+AO94-AO63</f>
        <v>-11199.4</v>
      </c>
      <c r="AP112" s="5804"/>
      <c r="AQ112" s="5804">
        <f>+AQ94-AQ63</f>
        <v>0</v>
      </c>
      <c r="AR112" s="5804">
        <f>+AR94-AR63</f>
        <v>-3</v>
      </c>
      <c r="AS112" s="5804">
        <f>+AS94-AS63</f>
        <v>-11199.4</v>
      </c>
      <c r="AT112" s="5804"/>
      <c r="AU112" s="5804">
        <f>+AU94-AU63</f>
        <v>0</v>
      </c>
      <c r="AV112" s="5804">
        <f>+AV94-AV63</f>
        <v>-3</v>
      </c>
      <c r="AW112" s="5804">
        <f>+AW94-AW63</f>
        <v>-11199.4</v>
      </c>
      <c r="AX112" s="5804"/>
      <c r="AY112" s="5804">
        <f>+AY94-AY63</f>
        <v>0.1999999999998181</v>
      </c>
      <c r="AZ112" s="5804"/>
      <c r="BA112" s="5804"/>
      <c r="BB112" s="5804"/>
      <c r="BC112" s="5804"/>
      <c r="BD112" s="5804"/>
      <c r="BE112" s="5804">
        <f>+BE94-BE63</f>
        <v>-0.10999999999876309</v>
      </c>
    </row>
    <row r="113" spans="2:57" s="125" customFormat="1" ht="15.75" hidden="1" x14ac:dyDescent="0.25">
      <c r="B113" s="5853" t="s">
        <v>1458</v>
      </c>
      <c r="C113" s="5853"/>
      <c r="D113" s="5853"/>
      <c r="E113" s="5836">
        <f>+E95-E71</f>
        <v>0</v>
      </c>
      <c r="F113" s="5836"/>
      <c r="G113" s="5836">
        <f t="shared" ref="G113:I115" si="294">+G95-G71</f>
        <v>-5.9999999997671694E-2</v>
      </c>
      <c r="H113" s="5836">
        <f t="shared" si="294"/>
        <v>0</v>
      </c>
      <c r="I113" s="5836" t="e">
        <f t="shared" si="294"/>
        <v>#REF!</v>
      </c>
      <c r="J113" s="5836"/>
      <c r="K113" s="5836">
        <f t="shared" ref="K113:L115" si="295">+K95-K71</f>
        <v>0</v>
      </c>
      <c r="L113" s="5836">
        <f t="shared" si="295"/>
        <v>0</v>
      </c>
      <c r="M113" s="5836"/>
      <c r="N113" s="5836">
        <f t="shared" ref="N113:W113" si="296">+N95-N71</f>
        <v>0</v>
      </c>
      <c r="O113" s="5836">
        <f t="shared" si="296"/>
        <v>0</v>
      </c>
      <c r="P113" s="5836">
        <f t="shared" si="296"/>
        <v>0</v>
      </c>
      <c r="Q113" s="5836">
        <f t="shared" si="296"/>
        <v>-46834.05</v>
      </c>
      <c r="R113" s="5836">
        <f t="shared" si="296"/>
        <v>0</v>
      </c>
      <c r="S113" s="5836">
        <f t="shared" si="296"/>
        <v>0</v>
      </c>
      <c r="T113" s="5836">
        <f t="shared" si="296"/>
        <v>0</v>
      </c>
      <c r="U113" s="5836">
        <f t="shared" si="296"/>
        <v>-64487.85</v>
      </c>
      <c r="V113" s="5836">
        <f t="shared" si="296"/>
        <v>0</v>
      </c>
      <c r="W113" s="5836">
        <f t="shared" si="296"/>
        <v>0.48999999999978172</v>
      </c>
      <c r="X113" s="5836"/>
      <c r="Y113" s="5836">
        <f t="shared" ref="Y113:AA115" si="297">+Y95-Y71</f>
        <v>0.48999999999796273</v>
      </c>
      <c r="Z113" s="5836">
        <f t="shared" si="297"/>
        <v>0</v>
      </c>
      <c r="AA113" s="5836">
        <f t="shared" si="297"/>
        <v>0.42999999999301508</v>
      </c>
      <c r="AB113" s="5836"/>
      <c r="AC113" s="5836">
        <f t="shared" ref="AC113:BE113" si="298">+AC95-AC71</f>
        <v>3.0000000000654836E-2</v>
      </c>
      <c r="AD113" s="5836">
        <f t="shared" si="298"/>
        <v>0</v>
      </c>
      <c r="AE113" s="5836">
        <f t="shared" si="298"/>
        <v>-87086.85</v>
      </c>
      <c r="AF113" s="5836">
        <f t="shared" si="298"/>
        <v>0</v>
      </c>
      <c r="AG113" s="5836">
        <f t="shared" si="298"/>
        <v>-0.21999999999979991</v>
      </c>
      <c r="AH113" s="5836">
        <f t="shared" si="298"/>
        <v>0</v>
      </c>
      <c r="AI113" s="5836">
        <f t="shared" si="298"/>
        <v>-89330.85</v>
      </c>
      <c r="AJ113" s="5836">
        <f t="shared" si="298"/>
        <v>0</v>
      </c>
      <c r="AK113" s="5836">
        <f t="shared" si="298"/>
        <v>3.9999999997235136E-2</v>
      </c>
      <c r="AL113" s="5836">
        <f t="shared" si="298"/>
        <v>0</v>
      </c>
      <c r="AM113" s="5836">
        <f t="shared" si="298"/>
        <v>-0.15000000000145519</v>
      </c>
      <c r="AN113" s="5836">
        <f t="shared" si="298"/>
        <v>0</v>
      </c>
      <c r="AO113" s="5836">
        <f t="shared" si="298"/>
        <v>-89330.81</v>
      </c>
      <c r="AP113" s="5836">
        <f t="shared" si="298"/>
        <v>0</v>
      </c>
      <c r="AQ113" s="5836">
        <f t="shared" si="298"/>
        <v>-0.31999999999970896</v>
      </c>
      <c r="AR113" s="5836">
        <f t="shared" si="298"/>
        <v>0</v>
      </c>
      <c r="AS113" s="5836">
        <f t="shared" si="298"/>
        <v>-114909.08</v>
      </c>
      <c r="AT113" s="5836">
        <f t="shared" si="298"/>
        <v>0</v>
      </c>
      <c r="AU113" s="5836">
        <f t="shared" si="298"/>
        <v>0.31999999999970896</v>
      </c>
      <c r="AV113" s="5836">
        <f t="shared" si="298"/>
        <v>0</v>
      </c>
      <c r="AW113" s="5836">
        <f t="shared" si="298"/>
        <v>-127257.08</v>
      </c>
      <c r="AX113" s="5836">
        <f t="shared" si="298"/>
        <v>0</v>
      </c>
      <c r="AY113" s="5836">
        <f t="shared" si="298"/>
        <v>-0.13000000000101863</v>
      </c>
      <c r="AZ113" s="5836">
        <f t="shared" si="298"/>
        <v>0</v>
      </c>
      <c r="BA113" s="5836">
        <f t="shared" si="298"/>
        <v>-0.13000000000465661</v>
      </c>
      <c r="BB113" s="5836">
        <f t="shared" si="298"/>
        <v>0</v>
      </c>
      <c r="BC113" s="5836">
        <f t="shared" si="298"/>
        <v>-0.2800000000061118</v>
      </c>
      <c r="BD113" s="5836">
        <f t="shared" si="298"/>
        <v>0</v>
      </c>
      <c r="BE113" s="5836">
        <f t="shared" si="298"/>
        <v>0.1499999999650754</v>
      </c>
    </row>
    <row r="114" spans="2:57" s="125" customFormat="1" ht="15.75" hidden="1" x14ac:dyDescent="0.25">
      <c r="B114" s="5853" t="s">
        <v>1402</v>
      </c>
      <c r="C114" s="5853"/>
      <c r="D114" s="5853"/>
      <c r="E114" s="5836">
        <f>+E96-E72</f>
        <v>0</v>
      </c>
      <c r="F114" s="5836"/>
      <c r="G114" s="5836">
        <f t="shared" si="294"/>
        <v>0</v>
      </c>
      <c r="H114" s="5836">
        <f t="shared" si="294"/>
        <v>0</v>
      </c>
      <c r="I114" s="5836">
        <f t="shared" si="294"/>
        <v>0</v>
      </c>
      <c r="J114" s="5836"/>
      <c r="K114" s="5836">
        <f t="shared" si="295"/>
        <v>-0.15000000000145519</v>
      </c>
      <c r="L114" s="5836">
        <f t="shared" si="295"/>
        <v>0</v>
      </c>
      <c r="M114" s="5836"/>
      <c r="N114" s="5836">
        <f t="shared" ref="N114:W114" si="299">+N96-N72</f>
        <v>0</v>
      </c>
      <c r="O114" s="5836">
        <f t="shared" si="299"/>
        <v>0</v>
      </c>
      <c r="P114" s="5836">
        <f t="shared" si="299"/>
        <v>0</v>
      </c>
      <c r="Q114" s="5836">
        <f t="shared" si="299"/>
        <v>-130884.18</v>
      </c>
      <c r="R114" s="5836">
        <f t="shared" si="299"/>
        <v>0</v>
      </c>
      <c r="S114" s="5836">
        <f t="shared" si="299"/>
        <v>0</v>
      </c>
      <c r="T114" s="5836">
        <f t="shared" si="299"/>
        <v>0</v>
      </c>
      <c r="U114" s="5836">
        <f t="shared" si="299"/>
        <v>-183721.84999999998</v>
      </c>
      <c r="V114" s="5836">
        <f t="shared" si="299"/>
        <v>0</v>
      </c>
      <c r="W114" s="5836">
        <f t="shared" si="299"/>
        <v>0</v>
      </c>
      <c r="X114" s="5836"/>
      <c r="Y114" s="5836">
        <f t="shared" si="297"/>
        <v>0</v>
      </c>
      <c r="Z114" s="5836">
        <f t="shared" si="297"/>
        <v>0</v>
      </c>
      <c r="AA114" s="5836">
        <f t="shared" si="297"/>
        <v>-0.14999999999417923</v>
      </c>
      <c r="AB114" s="5836"/>
      <c r="AC114" s="5836">
        <f t="shared" ref="AC114:BE114" si="300">+AC96-AC72</f>
        <v>0</v>
      </c>
      <c r="AD114" s="5836">
        <f t="shared" si="300"/>
        <v>0</v>
      </c>
      <c r="AE114" s="5836">
        <f t="shared" si="300"/>
        <v>-220504.49</v>
      </c>
      <c r="AF114" s="5836">
        <f t="shared" si="300"/>
        <v>0</v>
      </c>
      <c r="AG114" s="5836">
        <f t="shared" si="300"/>
        <v>0</v>
      </c>
      <c r="AH114" s="5836">
        <f t="shared" si="300"/>
        <v>0</v>
      </c>
      <c r="AI114" s="5836">
        <f t="shared" si="300"/>
        <v>-220504.49</v>
      </c>
      <c r="AJ114" s="5836">
        <f t="shared" si="300"/>
        <v>0</v>
      </c>
      <c r="AK114" s="5836">
        <f t="shared" si="300"/>
        <v>0</v>
      </c>
      <c r="AL114" s="5836">
        <f t="shared" si="300"/>
        <v>0</v>
      </c>
      <c r="AM114" s="5836">
        <f t="shared" si="300"/>
        <v>0</v>
      </c>
      <c r="AN114" s="5836">
        <f t="shared" si="300"/>
        <v>0</v>
      </c>
      <c r="AO114" s="5836">
        <f t="shared" si="300"/>
        <v>-220504.49</v>
      </c>
      <c r="AP114" s="5836">
        <f t="shared" si="300"/>
        <v>0</v>
      </c>
      <c r="AQ114" s="5836">
        <f t="shared" si="300"/>
        <v>0</v>
      </c>
      <c r="AR114" s="5836">
        <f t="shared" si="300"/>
        <v>0</v>
      </c>
      <c r="AS114" s="5836">
        <f t="shared" si="300"/>
        <v>-236867.58</v>
      </c>
      <c r="AT114" s="5836">
        <f t="shared" si="300"/>
        <v>0</v>
      </c>
      <c r="AU114" s="5836">
        <f t="shared" si="300"/>
        <v>0</v>
      </c>
      <c r="AV114" s="5836">
        <f t="shared" si="300"/>
        <v>0</v>
      </c>
      <c r="AW114" s="5836">
        <f t="shared" si="300"/>
        <v>-253129.06</v>
      </c>
      <c r="AX114" s="5836">
        <f t="shared" si="300"/>
        <v>0</v>
      </c>
      <c r="AY114" s="5836">
        <f t="shared" si="300"/>
        <v>0</v>
      </c>
      <c r="AZ114" s="5836">
        <f t="shared" si="300"/>
        <v>0</v>
      </c>
      <c r="BA114" s="5836">
        <f t="shared" si="300"/>
        <v>0</v>
      </c>
      <c r="BB114" s="5836">
        <f t="shared" si="300"/>
        <v>0</v>
      </c>
      <c r="BC114" s="5836">
        <f t="shared" si="300"/>
        <v>0</v>
      </c>
      <c r="BD114" s="5836">
        <f t="shared" si="300"/>
        <v>0</v>
      </c>
      <c r="BE114" s="5836">
        <f t="shared" si="300"/>
        <v>-0.15000000002328306</v>
      </c>
    </row>
    <row r="115" spans="2:57" s="125" customFormat="1" ht="15.75" hidden="1" x14ac:dyDescent="0.25">
      <c r="B115" s="5853" t="s">
        <v>28</v>
      </c>
      <c r="C115" s="5853"/>
      <c r="D115" s="5853"/>
      <c r="E115" s="5836">
        <f>+E97-E73</f>
        <v>-0.31000000000130967</v>
      </c>
      <c r="F115" s="5836"/>
      <c r="G115" s="5836">
        <f t="shared" si="294"/>
        <v>2.0000000000436557E-2</v>
      </c>
      <c r="H115" s="5836">
        <f t="shared" si="294"/>
        <v>0</v>
      </c>
      <c r="I115" s="5836">
        <f t="shared" si="294"/>
        <v>-0.29000000000087311</v>
      </c>
      <c r="J115" s="5836"/>
      <c r="K115" s="5836">
        <f t="shared" si="295"/>
        <v>0.41000000000002501</v>
      </c>
      <c r="L115" s="5836">
        <f t="shared" si="295"/>
        <v>0</v>
      </c>
      <c r="M115" s="5836"/>
      <c r="N115" s="5836">
        <f t="shared" ref="N115:W115" si="301">+N97-N73</f>
        <v>0</v>
      </c>
      <c r="O115" s="5836">
        <f t="shared" si="301"/>
        <v>-5.0000000000181899E-2</v>
      </c>
      <c r="P115" s="5836">
        <f t="shared" si="301"/>
        <v>0</v>
      </c>
      <c r="Q115" s="5836">
        <f t="shared" si="301"/>
        <v>-38523</v>
      </c>
      <c r="R115" s="5836">
        <f t="shared" si="301"/>
        <v>0</v>
      </c>
      <c r="S115" s="5836">
        <f t="shared" si="301"/>
        <v>-0.28999999999905413</v>
      </c>
      <c r="T115" s="5836">
        <f t="shared" si="301"/>
        <v>0</v>
      </c>
      <c r="U115" s="5836">
        <f t="shared" si="301"/>
        <v>-49006.8</v>
      </c>
      <c r="V115" s="5836">
        <f t="shared" si="301"/>
        <v>0</v>
      </c>
      <c r="W115" s="5836">
        <f t="shared" si="301"/>
        <v>0</v>
      </c>
      <c r="X115" s="5836"/>
      <c r="Y115" s="5836">
        <f t="shared" si="297"/>
        <v>-0.34000000000014552</v>
      </c>
      <c r="Z115" s="5836">
        <f t="shared" si="297"/>
        <v>0</v>
      </c>
      <c r="AA115" s="5836">
        <f t="shared" si="297"/>
        <v>-0.22000000000116415</v>
      </c>
      <c r="AB115" s="5836"/>
      <c r="AC115" s="5836">
        <f t="shared" ref="AC115:BE115" si="302">+AC97-AC73</f>
        <v>0</v>
      </c>
      <c r="AD115" s="5836">
        <f t="shared" si="302"/>
        <v>0</v>
      </c>
      <c r="AE115" s="5836">
        <f t="shared" si="302"/>
        <v>-64628.51</v>
      </c>
      <c r="AF115" s="5836">
        <f t="shared" si="302"/>
        <v>0</v>
      </c>
      <c r="AG115" s="5836">
        <f t="shared" si="302"/>
        <v>-0.48999999999978172</v>
      </c>
      <c r="AH115" s="5836">
        <f t="shared" si="302"/>
        <v>0</v>
      </c>
      <c r="AI115" s="5836">
        <f t="shared" si="302"/>
        <v>-73373.510000000009</v>
      </c>
      <c r="AJ115" s="5836">
        <f t="shared" si="302"/>
        <v>0</v>
      </c>
      <c r="AK115" s="5836">
        <f t="shared" si="302"/>
        <v>0</v>
      </c>
      <c r="AL115" s="5836">
        <f t="shared" si="302"/>
        <v>0</v>
      </c>
      <c r="AM115" s="5836">
        <f t="shared" si="302"/>
        <v>-0.48999999999796273</v>
      </c>
      <c r="AN115" s="5836">
        <f t="shared" si="302"/>
        <v>0</v>
      </c>
      <c r="AO115" s="5836">
        <f t="shared" si="302"/>
        <v>-73373.510000000009</v>
      </c>
      <c r="AP115" s="5836">
        <f t="shared" si="302"/>
        <v>0</v>
      </c>
      <c r="AQ115" s="5836">
        <f t="shared" si="302"/>
        <v>0</v>
      </c>
      <c r="AR115" s="5836">
        <f t="shared" si="302"/>
        <v>0</v>
      </c>
      <c r="AS115" s="5836">
        <f t="shared" si="302"/>
        <v>-84413.74</v>
      </c>
      <c r="AT115" s="5836">
        <f t="shared" si="302"/>
        <v>0</v>
      </c>
      <c r="AU115" s="5836">
        <f t="shared" si="302"/>
        <v>0</v>
      </c>
      <c r="AV115" s="5836">
        <f t="shared" si="302"/>
        <v>0</v>
      </c>
      <c r="AW115" s="5836">
        <f t="shared" si="302"/>
        <v>-96726.82</v>
      </c>
      <c r="AX115" s="5836">
        <f t="shared" si="302"/>
        <v>0</v>
      </c>
      <c r="AY115" s="5836">
        <f t="shared" si="302"/>
        <v>0.23999999999978172</v>
      </c>
      <c r="AZ115" s="5836">
        <f t="shared" si="302"/>
        <v>0</v>
      </c>
      <c r="BA115" s="5836">
        <f t="shared" si="302"/>
        <v>0.24000000000160071</v>
      </c>
      <c r="BB115" s="5836">
        <f t="shared" si="302"/>
        <v>0</v>
      </c>
      <c r="BC115" s="5836">
        <f t="shared" si="302"/>
        <v>-0.25</v>
      </c>
      <c r="BD115" s="5836">
        <f t="shared" si="302"/>
        <v>0</v>
      </c>
      <c r="BE115" s="5836">
        <f t="shared" si="302"/>
        <v>-0.47000000000116415</v>
      </c>
    </row>
    <row r="116" spans="2:57" hidden="1" x14ac:dyDescent="0.25"/>
    <row r="118" spans="2:57" hidden="1" x14ac:dyDescent="0.25">
      <c r="B118" s="5701" t="s">
        <v>2016</v>
      </c>
      <c r="C118" s="5701"/>
      <c r="D118" s="5701"/>
      <c r="E118" s="5701"/>
    </row>
    <row r="119" spans="2:57" hidden="1" x14ac:dyDescent="0.25">
      <c r="B119" s="5701" t="s">
        <v>2017</v>
      </c>
      <c r="C119" s="5852" t="s">
        <v>2018</v>
      </c>
      <c r="D119" s="5852" t="s">
        <v>2019</v>
      </c>
      <c r="E119" s="5852" t="s">
        <v>2020</v>
      </c>
    </row>
    <row r="120" spans="2:57" hidden="1" x14ac:dyDescent="0.25">
      <c r="B120" s="5701" t="s">
        <v>2021</v>
      </c>
      <c r="C120" s="5851">
        <v>966302.49</v>
      </c>
      <c r="D120" s="5851">
        <v>963638.6100000001</v>
      </c>
      <c r="E120" s="5851">
        <v>2663.8799999998882</v>
      </c>
      <c r="F120" s="26">
        <f>+BE100-E120</f>
        <v>0</v>
      </c>
    </row>
    <row r="121" spans="2:57" hidden="1" x14ac:dyDescent="0.25">
      <c r="B121" s="5701" t="s">
        <v>2022</v>
      </c>
      <c r="C121" s="5851">
        <v>3318732.4</v>
      </c>
      <c r="D121" s="5851">
        <v>3320273.7399999998</v>
      </c>
      <c r="E121" s="5851">
        <v>-1541.339999999851</v>
      </c>
      <c r="F121" s="26">
        <f t="shared" ref="F121:F123" si="303">+BE101-E121</f>
        <v>0</v>
      </c>
    </row>
    <row r="122" spans="2:57" hidden="1" x14ac:dyDescent="0.25">
      <c r="B122" s="5701" t="s">
        <v>2023</v>
      </c>
      <c r="C122" s="5851">
        <v>779666.77</v>
      </c>
      <c r="D122" s="5851">
        <v>774715.42142857146</v>
      </c>
      <c r="E122" s="5851">
        <v>4951.3485714285634</v>
      </c>
      <c r="F122" s="26">
        <f t="shared" si="303"/>
        <v>-4.0000000037252903E-2</v>
      </c>
    </row>
    <row r="123" spans="2:57" hidden="1" x14ac:dyDescent="0.25">
      <c r="B123" s="5701" t="s">
        <v>2024</v>
      </c>
      <c r="C123" s="5851">
        <v>97643.03</v>
      </c>
      <c r="D123" s="5851">
        <v>97576</v>
      </c>
      <c r="E123" s="5851">
        <v>67.029999999998836</v>
      </c>
      <c r="F123" s="26">
        <f t="shared" si="303"/>
        <v>1.0700000000069849</v>
      </c>
    </row>
    <row r="124" spans="2:57" hidden="1" x14ac:dyDescent="0.25">
      <c r="B124" s="5701" t="s">
        <v>2025</v>
      </c>
      <c r="C124" s="5851">
        <v>321858.49</v>
      </c>
      <c r="D124" s="5851">
        <v>321274.09649122809</v>
      </c>
      <c r="E124" s="5851">
        <v>584.39350877190009</v>
      </c>
      <c r="F124" s="26">
        <f>+BE105-E124</f>
        <v>-0.69000000000232831</v>
      </c>
    </row>
    <row r="125" spans="2:57" hidden="1" x14ac:dyDescent="0.25">
      <c r="B125" s="5701" t="s">
        <v>2026</v>
      </c>
      <c r="C125" s="5851">
        <v>196675.18</v>
      </c>
      <c r="D125" s="5851">
        <v>196160.9</v>
      </c>
      <c r="E125" s="5851">
        <v>514.27999999999884</v>
      </c>
      <c r="F125" s="26">
        <f>+BE106-E125</f>
        <v>1.2299999999813735</v>
      </c>
    </row>
    <row r="126" spans="2:57" hidden="1" x14ac:dyDescent="0.25">
      <c r="B126" s="5701" t="s">
        <v>2027</v>
      </c>
      <c r="C126" s="5851">
        <v>15266.29</v>
      </c>
      <c r="D126" s="5851">
        <v>15266.4</v>
      </c>
      <c r="E126" s="5851">
        <v>-0.10999999999876309</v>
      </c>
      <c r="F126" s="26">
        <f>+BE112-E126</f>
        <v>0</v>
      </c>
    </row>
    <row r="127" spans="2:57" hidden="1" x14ac:dyDescent="0.25">
      <c r="B127" s="5701" t="s">
        <v>2028</v>
      </c>
      <c r="C127" s="5851">
        <v>384317.11</v>
      </c>
      <c r="D127" s="5851">
        <v>383850.66541778174</v>
      </c>
      <c r="E127" s="5851">
        <v>466.44458221824607</v>
      </c>
      <c r="F127" s="26">
        <f>+BE111-E127</f>
        <v>0</v>
      </c>
    </row>
    <row r="128" spans="2:57" hidden="1" x14ac:dyDescent="0.25">
      <c r="B128" s="5701" t="s">
        <v>2029</v>
      </c>
      <c r="C128" s="5851">
        <v>1374227.67</v>
      </c>
      <c r="D128" s="5851">
        <v>1367434.6000495758</v>
      </c>
      <c r="E128" s="5851">
        <v>6793.0699504241347</v>
      </c>
      <c r="F128" s="26">
        <f>+BE108-E128</f>
        <v>-70.109999999694992</v>
      </c>
    </row>
    <row r="129" spans="2:6" hidden="1" x14ac:dyDescent="0.25">
      <c r="B129" s="5701" t="s">
        <v>2030</v>
      </c>
      <c r="C129" s="5851">
        <v>454540.01</v>
      </c>
      <c r="D129" s="5851">
        <v>455905.7240339382</v>
      </c>
      <c r="E129" s="5851">
        <v>-1365.7140339381876</v>
      </c>
      <c r="F129" s="26">
        <f t="shared" ref="F129:F130" si="304">+BE109-E129</f>
        <v>-0.59999999994761311</v>
      </c>
    </row>
    <row r="130" spans="2:6" hidden="1" x14ac:dyDescent="0.25">
      <c r="B130" s="5701" t="s">
        <v>2031</v>
      </c>
      <c r="C130" s="5851">
        <v>142876.23000000001</v>
      </c>
      <c r="D130" s="5851">
        <v>142878.20000000001</v>
      </c>
      <c r="E130" s="5851">
        <v>-1.9700000000011642</v>
      </c>
      <c r="F130" s="26">
        <f t="shared" si="304"/>
        <v>-1.0000000009313226E-2</v>
      </c>
    </row>
    <row r="131" spans="2:6" hidden="1" x14ac:dyDescent="0.25">
      <c r="B131" s="5701" t="s">
        <v>2032</v>
      </c>
      <c r="C131" s="5851">
        <v>47105.81</v>
      </c>
      <c r="D131" s="5851">
        <v>47634</v>
      </c>
      <c r="E131" s="5851">
        <v>-528.19000000000233</v>
      </c>
    </row>
    <row r="132" spans="2:6" hidden="1" x14ac:dyDescent="0.25">
      <c r="B132" s="5701" t="s">
        <v>2033</v>
      </c>
      <c r="C132" s="5851">
        <v>59842.12</v>
      </c>
      <c r="D132" s="5851">
        <v>59842.119999999995</v>
      </c>
      <c r="E132" s="5851">
        <v>0</v>
      </c>
    </row>
    <row r="133" spans="2:6" hidden="1" x14ac:dyDescent="0.25">
      <c r="B133" s="5701" t="s">
        <v>2034</v>
      </c>
      <c r="C133" s="5851">
        <v>37095.01</v>
      </c>
      <c r="D133" s="5851">
        <v>37082.619999999995</v>
      </c>
      <c r="E133" s="5851">
        <v>12.390000000006694</v>
      </c>
    </row>
    <row r="134" spans="2:6" hidden="1" x14ac:dyDescent="0.25">
      <c r="B134" s="5701" t="s">
        <v>2035</v>
      </c>
      <c r="C134" s="5851">
        <v>144042.94</v>
      </c>
      <c r="D134" s="5851">
        <v>144558.74</v>
      </c>
      <c r="E134" s="5851">
        <v>-515.79999999998836</v>
      </c>
      <c r="F134" s="26">
        <f>+BE113-E134</f>
        <v>515.94999999995343</v>
      </c>
    </row>
    <row r="135" spans="2:6" hidden="1" x14ac:dyDescent="0.25">
      <c r="B135" s="5701" t="s">
        <v>1390</v>
      </c>
      <c r="C135" s="5851">
        <v>322437.34999999998</v>
      </c>
      <c r="D135" s="5851">
        <v>318282.68</v>
      </c>
      <c r="E135" s="5851">
        <v>4154.6699999999837</v>
      </c>
      <c r="F135" s="26">
        <f>+BE114-E135</f>
        <v>-4154.820000000007</v>
      </c>
    </row>
    <row r="136" spans="2:6" hidden="1" x14ac:dyDescent="0.25">
      <c r="B136" s="5701" t="s">
        <v>2011</v>
      </c>
      <c r="C136" s="5851">
        <v>112571.35</v>
      </c>
      <c r="D136" s="5851">
        <v>112570.93000000001</v>
      </c>
      <c r="E136" s="5851">
        <v>0.41999999999825377</v>
      </c>
    </row>
    <row r="137" spans="2:6" hidden="1" x14ac:dyDescent="0.25"/>
    <row r="138" spans="2:6" hidden="1" x14ac:dyDescent="0.25"/>
    <row r="139" spans="2:6" hidden="1" x14ac:dyDescent="0.25"/>
  </sheetData>
  <mergeCells count="55">
    <mergeCell ref="AX2:AY2"/>
    <mergeCell ref="BD2:BE2"/>
    <mergeCell ref="AZ2:BA2"/>
    <mergeCell ref="BB2:BC2"/>
    <mergeCell ref="AP2:AQ2"/>
    <mergeCell ref="AR2:AS2"/>
    <mergeCell ref="AJ2:AK2"/>
    <mergeCell ref="AL2:AM2"/>
    <mergeCell ref="AN2:AO2"/>
    <mergeCell ref="AF2:AG2"/>
    <mergeCell ref="AH2:AI2"/>
    <mergeCell ref="B30:B33"/>
    <mergeCell ref="X2:Y2"/>
    <mergeCell ref="N2:O2"/>
    <mergeCell ref="P2:Q2"/>
    <mergeCell ref="R2:S2"/>
    <mergeCell ref="T2:U2"/>
    <mergeCell ref="V2:W2"/>
    <mergeCell ref="B19:B23"/>
    <mergeCell ref="B24:B29"/>
    <mergeCell ref="AB2:AC2"/>
    <mergeCell ref="AD2:AE2"/>
    <mergeCell ref="AT2:AU2"/>
    <mergeCell ref="AV2:AW2"/>
    <mergeCell ref="B63:B75"/>
    <mergeCell ref="B34:B46"/>
    <mergeCell ref="Z2:AA2"/>
    <mergeCell ref="D2:E2"/>
    <mergeCell ref="F2:G2"/>
    <mergeCell ref="H2:I2"/>
    <mergeCell ref="J2:K2"/>
    <mergeCell ref="L2:M2"/>
    <mergeCell ref="B49:B61"/>
    <mergeCell ref="B4:B9"/>
    <mergeCell ref="B10:B15"/>
    <mergeCell ref="B16:B18"/>
    <mergeCell ref="N80:O80"/>
    <mergeCell ref="R80:S80"/>
    <mergeCell ref="V80:W80"/>
    <mergeCell ref="D80:E80"/>
    <mergeCell ref="F80:G80"/>
    <mergeCell ref="J80:K80"/>
    <mergeCell ref="L80:M80"/>
    <mergeCell ref="AJ80:AK80"/>
    <mergeCell ref="AL80:AM80"/>
    <mergeCell ref="AP80:AQ80"/>
    <mergeCell ref="X80:Y80"/>
    <mergeCell ref="Z80:AA80"/>
    <mergeCell ref="AB80:AC80"/>
    <mergeCell ref="AF80:AG80"/>
    <mergeCell ref="BB80:BC80"/>
    <mergeCell ref="BD80:BE80"/>
    <mergeCell ref="AT80:AU80"/>
    <mergeCell ref="AX80:AY80"/>
    <mergeCell ref="AZ80:BA80"/>
  </mergeCells>
  <pageMargins left="0.7" right="0.7" top="0.75" bottom="0.75" header="0.3" footer="0.3"/>
  <pageSetup orientation="portrait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>
    <tabColor theme="6" tint="-0.249977111117893"/>
    <pageSetUpPr fitToPage="1"/>
  </sheetPr>
  <dimension ref="A1:BN237"/>
  <sheetViews>
    <sheetView zoomScale="98" zoomScaleNormal="98" workbookViewId="0">
      <pane xSplit="4" ySplit="4" topLeftCell="AA161" activePane="bottomRight" state="frozen"/>
      <selection pane="topRight" activeCell="E1" sqref="E1"/>
      <selection pane="bottomLeft" activeCell="A5" sqref="A5"/>
      <selection pane="bottomRight" activeCell="AB177" sqref="AB177"/>
    </sheetView>
  </sheetViews>
  <sheetFormatPr defaultRowHeight="15" x14ac:dyDescent="0.25"/>
  <cols>
    <col min="1" max="1" width="9.28515625" style="181" customWidth="1"/>
    <col min="2" max="2" width="65" customWidth="1"/>
    <col min="3" max="3" width="14" customWidth="1"/>
    <col min="4" max="4" width="14.42578125" style="122" customWidth="1"/>
    <col min="5" max="5" width="10.5703125" style="116" customWidth="1"/>
    <col min="6" max="6" width="13.7109375" style="122" customWidth="1"/>
    <col min="7" max="7" width="10.5703125" style="116" customWidth="1"/>
    <col min="8" max="8" width="8.7109375" style="122" bestFit="1" customWidth="1"/>
    <col min="9" max="9" width="8.7109375" style="116" hidden="1" customWidth="1"/>
    <col min="10" max="10" width="8.7109375" style="122" hidden="1" customWidth="1"/>
    <col min="11" max="11" width="8.7109375" style="116" bestFit="1" customWidth="1"/>
    <col min="12" max="12" width="10.7109375" style="122" customWidth="1"/>
    <col min="13" max="13" width="12.28515625" style="116" customWidth="1"/>
    <col min="14" max="14" width="10.7109375" style="122" customWidth="1"/>
    <col min="15" max="15" width="10" style="239" bestFit="1" customWidth="1"/>
    <col min="16" max="16" width="10.7109375" style="122" customWidth="1"/>
    <col min="17" max="17" width="12.28515625" style="116" hidden="1" customWidth="1"/>
    <col min="18" max="18" width="10.7109375" style="122" hidden="1" customWidth="1"/>
    <col min="19" max="19" width="10.42578125" style="116" bestFit="1" customWidth="1"/>
    <col min="20" max="20" width="10.42578125" style="2637" bestFit="1" customWidth="1"/>
    <col min="21" max="21" width="12.28515625" style="116" hidden="1" customWidth="1"/>
    <col min="22" max="22" width="10.7109375" hidden="1" customWidth="1"/>
    <col min="23" max="23" width="9.140625" customWidth="1"/>
    <col min="24" max="24" width="10.7109375" customWidth="1"/>
    <col min="25" max="25" width="9.28515625" customWidth="1"/>
    <col min="26" max="26" width="10.7109375" customWidth="1"/>
    <col min="27" max="27" width="12.28515625" style="3388" customWidth="1"/>
    <col min="28" max="28" width="10.7109375" customWidth="1"/>
    <col min="29" max="29" width="10.85546875" bestFit="1" customWidth="1"/>
    <col min="31" max="32" width="9.140625" hidden="1" customWidth="1"/>
    <col min="34" max="34" width="10.42578125" bestFit="1" customWidth="1"/>
    <col min="35" max="36" width="9.140625" hidden="1" customWidth="1"/>
    <col min="41" max="42" width="9.140625" hidden="1" customWidth="1"/>
    <col min="43" max="43" width="8" bestFit="1" customWidth="1"/>
    <col min="45" max="46" width="9.140625" hidden="1" customWidth="1"/>
    <col min="47" max="48" width="10.7109375" bestFit="1" customWidth="1"/>
    <col min="49" max="50" width="9.140625" hidden="1" customWidth="1"/>
    <col min="51" max="52" width="8.140625" bestFit="1" customWidth="1"/>
    <col min="53" max="56" width="9.140625" style="5075" bestFit="1" customWidth="1"/>
    <col min="57" max="58" width="9.140625" bestFit="1" customWidth="1"/>
    <col min="59" max="60" width="10.7109375" bestFit="1" customWidth="1"/>
    <col min="63" max="64" width="10.7109375" bestFit="1" customWidth="1"/>
  </cols>
  <sheetData>
    <row r="1" spans="1:66" s="122" customFormat="1" ht="22.5" x14ac:dyDescent="0.3">
      <c r="B1" s="465" t="s">
        <v>4</v>
      </c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633"/>
      <c r="P1" s="59"/>
      <c r="Q1" s="59"/>
      <c r="R1" s="59"/>
      <c r="T1" s="2652"/>
    </row>
    <row r="2" spans="1:66" s="122" customFormat="1" ht="15.75" thickBot="1" x14ac:dyDescent="0.3">
      <c r="B2" s="59"/>
      <c r="C2" s="59"/>
      <c r="D2" s="59">
        <v>366</v>
      </c>
      <c r="E2" s="33">
        <v>30</v>
      </c>
      <c r="F2" s="33">
        <v>30</v>
      </c>
      <c r="G2" s="33">
        <v>31</v>
      </c>
      <c r="H2" s="33">
        <v>31</v>
      </c>
      <c r="I2" s="33">
        <f>+E2+G2</f>
        <v>61</v>
      </c>
      <c r="J2" s="33">
        <f>+F2+H2</f>
        <v>61</v>
      </c>
      <c r="K2" s="33">
        <v>30</v>
      </c>
      <c r="L2" s="33">
        <v>30</v>
      </c>
      <c r="M2" s="33">
        <f>+I2+K2</f>
        <v>91</v>
      </c>
      <c r="N2" s="33">
        <f>+J2+L2</f>
        <v>91</v>
      </c>
      <c r="O2" s="2079">
        <v>31</v>
      </c>
      <c r="P2" s="33">
        <v>31</v>
      </c>
      <c r="Q2" s="33">
        <f>+M2+O2</f>
        <v>122</v>
      </c>
      <c r="R2" s="33">
        <f>+N2+P2</f>
        <v>122</v>
      </c>
      <c r="S2" s="33">
        <v>31</v>
      </c>
      <c r="T2" s="2715">
        <v>31</v>
      </c>
      <c r="U2" s="33">
        <f>+Q2+S2</f>
        <v>153</v>
      </c>
      <c r="V2" s="33">
        <f>+R2+T2</f>
        <v>153</v>
      </c>
      <c r="W2" s="33">
        <v>30</v>
      </c>
      <c r="X2" s="33">
        <v>30</v>
      </c>
      <c r="Y2" s="33">
        <f>+O2+S2+W2</f>
        <v>92</v>
      </c>
      <c r="Z2" s="33">
        <f>+P2+T2+X2</f>
        <v>92</v>
      </c>
      <c r="AA2" s="126">
        <f>+U2+W2</f>
        <v>183</v>
      </c>
      <c r="AB2" s="33">
        <f>+V2+X2</f>
        <v>183</v>
      </c>
      <c r="AC2" s="33">
        <v>31</v>
      </c>
      <c r="AD2" s="2715">
        <v>31</v>
      </c>
      <c r="AE2" s="33">
        <f>+AA2+AC2</f>
        <v>214</v>
      </c>
      <c r="AF2" s="33">
        <f>+AB2+AD2</f>
        <v>214</v>
      </c>
      <c r="AG2" s="33">
        <v>30</v>
      </c>
      <c r="AH2" s="2715">
        <v>30</v>
      </c>
      <c r="AI2" s="33">
        <f>+AE2+AG2</f>
        <v>244</v>
      </c>
      <c r="AJ2" s="33">
        <f>+AF2+AH2</f>
        <v>244</v>
      </c>
      <c r="AK2" s="33">
        <v>31</v>
      </c>
      <c r="AL2" s="33">
        <v>31</v>
      </c>
      <c r="AM2" s="33">
        <f>+AC2+AG2+AK2</f>
        <v>92</v>
      </c>
      <c r="AN2" s="33">
        <f>+AD2+AH2+AL2</f>
        <v>92</v>
      </c>
      <c r="AO2" s="33">
        <f>AI2+AK2</f>
        <v>275</v>
      </c>
      <c r="AP2" s="33">
        <f>AJ2+AL2</f>
        <v>275</v>
      </c>
      <c r="AQ2" s="33">
        <v>31</v>
      </c>
      <c r="AR2" s="2715">
        <v>31</v>
      </c>
      <c r="AS2" s="33">
        <f>+AO2+AQ2</f>
        <v>306</v>
      </c>
      <c r="AT2" s="33">
        <f>+AP2+AR2</f>
        <v>306</v>
      </c>
      <c r="AU2" s="33">
        <v>29</v>
      </c>
      <c r="AV2" s="2715">
        <v>29</v>
      </c>
      <c r="AW2" s="33">
        <f>+AS2+AU2</f>
        <v>335</v>
      </c>
      <c r="AX2" s="33">
        <f>+AT2+AV2</f>
        <v>335</v>
      </c>
      <c r="AY2" s="33">
        <v>31</v>
      </c>
      <c r="AZ2" s="2715">
        <v>31</v>
      </c>
      <c r="BA2" s="33">
        <f>+AQ2+AU2+AY2</f>
        <v>91</v>
      </c>
      <c r="BB2" s="33">
        <f>+AR2+AV2+AZ2</f>
        <v>91</v>
      </c>
      <c r="BC2" s="126">
        <f>+AM2+BA2</f>
        <v>183</v>
      </c>
      <c r="BD2" s="126">
        <f>+AN2+BB2</f>
        <v>183</v>
      </c>
      <c r="BE2" s="33">
        <f>+AW2+AY2</f>
        <v>366</v>
      </c>
      <c r="BF2" s="33">
        <f>+AX2+AZ2</f>
        <v>366</v>
      </c>
    </row>
    <row r="3" spans="1:66" s="122" customFormat="1" ht="15.75" thickBot="1" x14ac:dyDescent="0.3">
      <c r="B3" s="6312" t="s">
        <v>175</v>
      </c>
      <c r="C3" s="6033" t="s">
        <v>176</v>
      </c>
      <c r="D3" s="6319" t="s">
        <v>1469</v>
      </c>
      <c r="E3" s="6316" t="s">
        <v>1470</v>
      </c>
      <c r="F3" s="6317"/>
      <c r="G3" s="6045" t="s">
        <v>1526</v>
      </c>
      <c r="H3" s="6045"/>
      <c r="I3" s="6046" t="s">
        <v>15</v>
      </c>
      <c r="J3" s="6047"/>
      <c r="K3" s="6076" t="s">
        <v>1620</v>
      </c>
      <c r="L3" s="6077"/>
      <c r="M3" s="6314" t="s">
        <v>658</v>
      </c>
      <c r="N3" s="6315"/>
      <c r="O3" s="6045" t="s">
        <v>1688</v>
      </c>
      <c r="P3" s="6045"/>
      <c r="Q3" s="6046" t="s">
        <v>18</v>
      </c>
      <c r="R3" s="6047"/>
      <c r="S3" s="6045" t="s">
        <v>1731</v>
      </c>
      <c r="T3" s="6045"/>
      <c r="U3" s="6046" t="s">
        <v>19</v>
      </c>
      <c r="V3" s="6047"/>
      <c r="W3" s="6045" t="s">
        <v>1766</v>
      </c>
      <c r="X3" s="6045"/>
      <c r="Y3" s="6100" t="s">
        <v>682</v>
      </c>
      <c r="Z3" s="6079"/>
      <c r="AA3" s="6074" t="s">
        <v>679</v>
      </c>
      <c r="AB3" s="6075"/>
      <c r="AC3" s="6045" t="s">
        <v>1831</v>
      </c>
      <c r="AD3" s="6045"/>
      <c r="AE3" s="6046" t="s">
        <v>26</v>
      </c>
      <c r="AF3" s="6047"/>
      <c r="AG3" s="6045" t="s">
        <v>1863</v>
      </c>
      <c r="AH3" s="6045"/>
      <c r="AI3" s="6046" t="s">
        <v>29</v>
      </c>
      <c r="AJ3" s="6047"/>
      <c r="AK3" s="6045" t="s">
        <v>1888</v>
      </c>
      <c r="AL3" s="6045"/>
      <c r="AM3" s="6100" t="s">
        <v>684</v>
      </c>
      <c r="AN3" s="6079"/>
      <c r="AO3" s="6046" t="s">
        <v>1890</v>
      </c>
      <c r="AP3" s="6047"/>
      <c r="AQ3" s="6045" t="s">
        <v>1918</v>
      </c>
      <c r="AR3" s="6045"/>
      <c r="AS3" s="6046" t="s">
        <v>30</v>
      </c>
      <c r="AT3" s="6047"/>
      <c r="AU3" s="6045" t="s">
        <v>1940</v>
      </c>
      <c r="AV3" s="6045"/>
      <c r="AW3" s="6046" t="s">
        <v>32</v>
      </c>
      <c r="AX3" s="6047"/>
      <c r="AY3" s="6045" t="s">
        <v>1965</v>
      </c>
      <c r="AZ3" s="6045"/>
      <c r="BA3" s="6100" t="s">
        <v>685</v>
      </c>
      <c r="BB3" s="6079"/>
      <c r="BC3" s="6074" t="s">
        <v>693</v>
      </c>
      <c r="BD3" s="6075"/>
      <c r="BE3" s="6046" t="s">
        <v>1513</v>
      </c>
      <c r="BF3" s="6047"/>
    </row>
    <row r="4" spans="1:66" s="122" customFormat="1" ht="15.75" thickBot="1" x14ac:dyDescent="0.3">
      <c r="B4" s="6313"/>
      <c r="C4" s="6318"/>
      <c r="D4" s="6320"/>
      <c r="E4" s="215" t="s">
        <v>177</v>
      </c>
      <c r="F4" s="214" t="s">
        <v>178</v>
      </c>
      <c r="G4" s="667" t="s">
        <v>177</v>
      </c>
      <c r="H4" s="196" t="s">
        <v>178</v>
      </c>
      <c r="I4" s="668" t="s">
        <v>177</v>
      </c>
      <c r="J4" s="199" t="s">
        <v>178</v>
      </c>
      <c r="K4" s="667" t="s">
        <v>177</v>
      </c>
      <c r="L4" s="196" t="s">
        <v>178</v>
      </c>
      <c r="M4" s="850" t="s">
        <v>177</v>
      </c>
      <c r="N4" s="833" t="s">
        <v>178</v>
      </c>
      <c r="O4" s="271" t="s">
        <v>177</v>
      </c>
      <c r="P4" s="196" t="s">
        <v>178</v>
      </c>
      <c r="Q4" s="668" t="s">
        <v>177</v>
      </c>
      <c r="R4" s="199" t="s">
        <v>178</v>
      </c>
      <c r="S4" s="271" t="s">
        <v>177</v>
      </c>
      <c r="T4" s="2716" t="s">
        <v>178</v>
      </c>
      <c r="U4" s="668" t="s">
        <v>177</v>
      </c>
      <c r="V4" s="199" t="s">
        <v>178</v>
      </c>
      <c r="W4" s="667" t="s">
        <v>177</v>
      </c>
      <c r="X4" s="196" t="s">
        <v>178</v>
      </c>
      <c r="Y4" s="849" t="s">
        <v>177</v>
      </c>
      <c r="Z4" s="206" t="s">
        <v>178</v>
      </c>
      <c r="AA4" s="3779" t="s">
        <v>177</v>
      </c>
      <c r="AB4" s="561" t="s">
        <v>178</v>
      </c>
      <c r="AC4" s="271" t="s">
        <v>177</v>
      </c>
      <c r="AD4" s="2716" t="s">
        <v>178</v>
      </c>
      <c r="AE4" s="4057" t="s">
        <v>177</v>
      </c>
      <c r="AF4" s="199" t="s">
        <v>178</v>
      </c>
      <c r="AG4" s="271" t="s">
        <v>177</v>
      </c>
      <c r="AH4" s="2716" t="s">
        <v>178</v>
      </c>
      <c r="AI4" s="4169" t="s">
        <v>177</v>
      </c>
      <c r="AJ4" s="199" t="s">
        <v>178</v>
      </c>
      <c r="AK4" s="4298" t="s">
        <v>177</v>
      </c>
      <c r="AL4" s="4304" t="s">
        <v>178</v>
      </c>
      <c r="AM4" s="4295" t="s">
        <v>177</v>
      </c>
      <c r="AN4" s="206" t="s">
        <v>178</v>
      </c>
      <c r="AO4" s="4294" t="s">
        <v>177</v>
      </c>
      <c r="AP4" s="199" t="s">
        <v>178</v>
      </c>
      <c r="AQ4" s="271" t="s">
        <v>177</v>
      </c>
      <c r="AR4" s="2716" t="s">
        <v>178</v>
      </c>
      <c r="AS4" s="4409" t="s">
        <v>177</v>
      </c>
      <c r="AT4" s="199" t="s">
        <v>178</v>
      </c>
      <c r="AU4" s="271" t="s">
        <v>177</v>
      </c>
      <c r="AV4" s="2716" t="s">
        <v>178</v>
      </c>
      <c r="AW4" s="4651" t="s">
        <v>177</v>
      </c>
      <c r="AX4" s="199" t="s">
        <v>178</v>
      </c>
      <c r="AY4" s="271" t="s">
        <v>177</v>
      </c>
      <c r="AZ4" s="2716" t="s">
        <v>178</v>
      </c>
      <c r="BA4" s="5068" t="s">
        <v>177</v>
      </c>
      <c r="BB4" s="206" t="s">
        <v>178</v>
      </c>
      <c r="BC4" s="3779" t="s">
        <v>177</v>
      </c>
      <c r="BD4" s="561" t="s">
        <v>178</v>
      </c>
      <c r="BE4" s="5067" t="s">
        <v>177</v>
      </c>
      <c r="BF4" s="199" t="s">
        <v>178</v>
      </c>
    </row>
    <row r="5" spans="1:66" x14ac:dyDescent="0.25">
      <c r="B5" s="2785" t="s">
        <v>21</v>
      </c>
      <c r="C5" s="1846" t="s">
        <v>173</v>
      </c>
      <c r="D5" s="175">
        <v>99</v>
      </c>
      <c r="E5" s="1796">
        <v>99</v>
      </c>
      <c r="F5" s="826">
        <f>+'Maj Production Summ'!F6</f>
        <v>99.13333333333334</v>
      </c>
      <c r="G5" s="1796">
        <v>99</v>
      </c>
      <c r="H5" s="826">
        <f>+'Maj Production Summ'!H6</f>
        <v>99.096774193548384</v>
      </c>
      <c r="I5" s="421">
        <f>+'Maj Production Summ'!I6</f>
        <v>99</v>
      </c>
      <c r="J5" s="421">
        <f>+'Maj Production Summ'!J6</f>
        <v>99.114754098360649</v>
      </c>
      <c r="K5" s="1796">
        <v>99</v>
      </c>
      <c r="L5" s="826">
        <f>+'Maj Production Summ'!L6</f>
        <v>99.13333333333334</v>
      </c>
      <c r="M5" s="284">
        <f>+'Maj Production Summ'!M6</f>
        <v>99</v>
      </c>
      <c r="N5" s="153">
        <f>+'Maj Production Summ'!N6</f>
        <v>99.120879120879124</v>
      </c>
      <c r="O5" s="1796">
        <v>99</v>
      </c>
      <c r="P5" s="826">
        <f>+'Maj Production Summ'!P6</f>
        <v>99.064516129032256</v>
      </c>
      <c r="Q5" s="421">
        <f>+'Maj Production Summ'!Q6</f>
        <v>99</v>
      </c>
      <c r="R5" s="421">
        <f>+'Maj Production Summ'!R6</f>
        <v>99.106557377049185</v>
      </c>
      <c r="S5" s="1796">
        <v>99</v>
      </c>
      <c r="T5" s="2717">
        <f>+'Maj Production Summ'!T6</f>
        <v>99.451612903225808</v>
      </c>
      <c r="U5" s="421">
        <f>+'Maj Production Summ'!U6</f>
        <v>99</v>
      </c>
      <c r="V5" s="421">
        <f>+'Maj Production Summ'!V6</f>
        <v>99.17647058823529</v>
      </c>
      <c r="W5" s="1796">
        <f>+'Maj Production Summ'!W6</f>
        <v>99</v>
      </c>
      <c r="X5" s="826">
        <f>+'Maj Production Summ'!X6</f>
        <v>99.1</v>
      </c>
      <c r="Y5" s="540">
        <f>+'Maj Production Summ'!Y6</f>
        <v>99</v>
      </c>
      <c r="Z5" s="540">
        <f>+'Maj Production Summ'!Z6</f>
        <v>99.209136547684864</v>
      </c>
      <c r="AA5" s="566">
        <f>+'Maj Production Summ'!AA6</f>
        <v>99</v>
      </c>
      <c r="AB5" s="566">
        <f>+'Maj Production Summ'!AB6</f>
        <v>99.165248974792391</v>
      </c>
      <c r="AC5" s="1796">
        <v>99</v>
      </c>
      <c r="AD5" s="2717">
        <f>+'Maj Production Summ'!AD6</f>
        <v>97.677419354838705</v>
      </c>
      <c r="AE5" s="421">
        <f>+'Maj Production Summ'!AE6</f>
        <v>99</v>
      </c>
      <c r="AF5" s="421">
        <f>+'Maj Production Summ'!AF6</f>
        <v>98.949722254144888</v>
      </c>
      <c r="AG5" s="2717">
        <f>+'Maj Production Summ'!AG6</f>
        <v>99</v>
      </c>
      <c r="AH5" s="2717">
        <f>+'Maj Production Summ'!AH6</f>
        <v>99</v>
      </c>
      <c r="AI5" s="421">
        <f>+'Maj Production Summ'!AI6</f>
        <v>99</v>
      </c>
      <c r="AJ5" s="421">
        <f>+'Maj Production Summ'!AJ6</f>
        <v>98.955903944209041</v>
      </c>
      <c r="AK5" s="1796">
        <f>+'Maj Production Summ'!AK6</f>
        <v>99</v>
      </c>
      <c r="AL5" s="826">
        <f>+'Maj Production Summ'!AL6</f>
        <v>99</v>
      </c>
      <c r="AM5" s="540">
        <f>+'Maj Production Summ'!AM6</f>
        <v>99</v>
      </c>
      <c r="AN5" s="540">
        <f>+'Maj Production Summ'!AN6</f>
        <v>98.551999522323882</v>
      </c>
      <c r="AO5" s="421">
        <f>+'Maj Production Summ'!AO6</f>
        <v>99</v>
      </c>
      <c r="AP5" s="421">
        <f>+'Maj Production Summ'!AP6</f>
        <v>98.960874772316387</v>
      </c>
      <c r="AQ5" s="1796">
        <f>+'Maj Production Summ'!AQ6</f>
        <v>99</v>
      </c>
      <c r="AR5" s="826">
        <f>+'Maj Production Summ'!AR6</f>
        <v>99</v>
      </c>
      <c r="AS5" s="421">
        <f>+'Maj Production Summ'!AS6</f>
        <v>99</v>
      </c>
      <c r="AT5" s="421">
        <f>+'Maj Production Summ'!AT6</f>
        <v>98.964838439173221</v>
      </c>
      <c r="AU5" s="1796">
        <f>+'Maj Production Summ'!AU6</f>
        <v>99</v>
      </c>
      <c r="AV5" s="826">
        <f>+'Maj Production Summ'!AV6</f>
        <v>99</v>
      </c>
      <c r="AW5" s="421">
        <f>+'Maj Production Summ'!AW6</f>
        <v>99</v>
      </c>
      <c r="AX5" s="421">
        <f>+'Maj Production Summ'!AX6</f>
        <v>98.967882275782117</v>
      </c>
      <c r="AY5" s="1796">
        <f>+'Maj Production Summ'!AY6</f>
        <v>99</v>
      </c>
      <c r="AZ5" s="826">
        <f>+'Maj Production Summ'!AZ6</f>
        <v>99.064516129032256</v>
      </c>
      <c r="BA5" s="540">
        <f>+'Maj Production Summ'!BA6</f>
        <v>99</v>
      </c>
      <c r="BB5" s="540">
        <f>+'Maj Production Summ'!BB6</f>
        <v>99.021640623935497</v>
      </c>
      <c r="BC5" s="566">
        <f>+'Maj Production Summ'!BC6</f>
        <v>99</v>
      </c>
      <c r="BD5" s="566">
        <f>+'Maj Production Summ'!BD6</f>
        <v>98.785536900720913</v>
      </c>
      <c r="BE5" s="421">
        <f>+'Maj Production Summ'!BE6</f>
        <v>99</v>
      </c>
      <c r="BF5" s="421">
        <f>+'Maj Production Summ'!BF6</f>
        <v>98.976067110347017</v>
      </c>
      <c r="BG5" s="648"/>
      <c r="BH5" s="648"/>
      <c r="BI5" s="648"/>
      <c r="BJ5" s="648"/>
      <c r="BK5" s="648"/>
      <c r="BL5" s="648"/>
      <c r="BM5" s="648"/>
      <c r="BN5" s="648"/>
    </row>
    <row r="6" spans="1:66" ht="15.75" thickBot="1" x14ac:dyDescent="0.3">
      <c r="B6" s="2786" t="s">
        <v>123</v>
      </c>
      <c r="C6" s="1842" t="s">
        <v>173</v>
      </c>
      <c r="D6" s="1875">
        <v>97.999999999999986</v>
      </c>
      <c r="E6" s="1843">
        <v>98.333333333333329</v>
      </c>
      <c r="F6" s="1844">
        <f>+'Maj Production Summ'!F7</f>
        <v>97.8</v>
      </c>
      <c r="G6" s="1843">
        <v>98.333333333333329</v>
      </c>
      <c r="H6" s="1844">
        <f>+'Maj Production Summ'!H7</f>
        <v>91.741935483870961</v>
      </c>
      <c r="I6" s="1845">
        <f>+'Maj Production Summ'!I7</f>
        <v>98.333333333333329</v>
      </c>
      <c r="J6" s="1845">
        <f>+'Maj Production Summ'!J7</f>
        <v>94.721311475409834</v>
      </c>
      <c r="K6" s="1843">
        <v>98.333333333333329</v>
      </c>
      <c r="L6" s="1844">
        <f>+'Maj Production Summ'!L7</f>
        <v>93.766666666666666</v>
      </c>
      <c r="M6" s="2104">
        <f>+'Maj Production Summ'!M7</f>
        <v>98.333333333333314</v>
      </c>
      <c r="N6" s="2105">
        <f>+'Maj Production Summ'!N7</f>
        <v>94.406593406593402</v>
      </c>
      <c r="O6" s="1843">
        <v>98.333333333333329</v>
      </c>
      <c r="P6" s="1844">
        <f>+'Maj Production Summ'!P7</f>
        <v>95.645161290322577</v>
      </c>
      <c r="Q6" s="1845">
        <f>+'Maj Production Summ'!Q7</f>
        <v>98.333333333333314</v>
      </c>
      <c r="R6" s="1845">
        <f>+'Maj Production Summ'!R7</f>
        <v>94.721311475409834</v>
      </c>
      <c r="S6" s="1843">
        <v>96.3333333333333</v>
      </c>
      <c r="T6" s="2718">
        <f>+'Maj Production Summ'!T7</f>
        <v>95.161290322580641</v>
      </c>
      <c r="U6" s="1845">
        <f>+'Maj Production Summ'!U7</f>
        <v>97.928104575163374</v>
      </c>
      <c r="V6" s="1845">
        <f>+'Maj Production Summ'!V7</f>
        <v>94.810457516339866</v>
      </c>
      <c r="W6" s="1843">
        <f>+'Maj Production Summ'!W7</f>
        <v>96.3333333333333</v>
      </c>
      <c r="X6" s="1844">
        <f>+'Maj Production Summ'!X7</f>
        <v>96.033333333333331</v>
      </c>
      <c r="Y6" s="540">
        <f>+'Maj Production Summ'!Y7</f>
        <v>97.007490636704091</v>
      </c>
      <c r="Z6" s="540">
        <f>+'Maj Production Summ'!Z7</f>
        <v>95.601215716156929</v>
      </c>
      <c r="AA6" s="566">
        <f>+'Maj Production Summ'!AA7</f>
        <v>97.666789463989673</v>
      </c>
      <c r="AB6" s="566">
        <f>+'Maj Production Summ'!AB7</f>
        <v>95.007168556756483</v>
      </c>
      <c r="AC6" s="4064">
        <v>98.333333333333329</v>
      </c>
      <c r="AD6" s="2718">
        <f>+'Maj Production Summ'!AD7</f>
        <v>97.806451612903231</v>
      </c>
      <c r="AE6" s="4067">
        <f>+'Maj Production Summ'!AE7</f>
        <v>97.763344884315146</v>
      </c>
      <c r="AF6" s="4067">
        <f>+'Maj Production Summ'!AF7</f>
        <v>95.412672177039425</v>
      </c>
      <c r="AG6" s="2718">
        <f>+'Maj Production Summ'!AG7</f>
        <v>98.333333333333329</v>
      </c>
      <c r="AH6" s="2718">
        <f>+'Maj Production Summ'!AH7</f>
        <v>97.333333333333329</v>
      </c>
      <c r="AI6" s="4175">
        <f>+'Maj Production Summ'!AI7</f>
        <v>97.83342543132558</v>
      </c>
      <c r="AJ6" s="4175">
        <f>+'Maj Production Summ'!AJ7</f>
        <v>95.648819040518191</v>
      </c>
      <c r="AK6" s="4300">
        <f>+'Maj Production Summ'!AK7</f>
        <v>98.333333333333329</v>
      </c>
      <c r="AL6" s="1844">
        <f>+'Maj Production Summ'!AL7</f>
        <v>98.838709677419359</v>
      </c>
      <c r="AM6" s="540">
        <f>+'Maj Production Summ'!AM7</f>
        <v>98.333333333333329</v>
      </c>
      <c r="AN6" s="540">
        <f>+'Maj Production Summ'!AN7</f>
        <v>98.004209520681883</v>
      </c>
      <c r="AO6" s="4303">
        <f>+'Maj Production Summ'!AO7</f>
        <v>97.889778685733717</v>
      </c>
      <c r="AP6" s="4303">
        <f>+'Maj Production Summ'!AP7</f>
        <v>96.008406712314311</v>
      </c>
      <c r="AQ6" s="4415">
        <f>+'Maj Production Summ'!AQ7</f>
        <v>98.333333333333329</v>
      </c>
      <c r="AR6" s="1844">
        <f>+'Maj Production Summ'!AR7</f>
        <v>98.612903225806448</v>
      </c>
      <c r="AS6" s="4416">
        <f>+'Maj Production Summ'!AS7</f>
        <v>97.934713960490527</v>
      </c>
      <c r="AT6" s="4416">
        <f>+'Maj Production Summ'!AT7</f>
        <v>96.272260934269397</v>
      </c>
      <c r="AU6" s="4661">
        <f>+'Maj Production Summ'!AU7</f>
        <v>98.333333333333329</v>
      </c>
      <c r="AV6" s="1844">
        <f>+'Maj Production Summ'!AV7</f>
        <v>98.758620689655174</v>
      </c>
      <c r="AW6" s="4662">
        <f>+'Maj Production Summ'!AW7</f>
        <v>97.969221309184377</v>
      </c>
      <c r="AX6" s="4662">
        <f>+'Maj Production Summ'!AX7</f>
        <v>96.487498047422193</v>
      </c>
      <c r="AY6" s="5079">
        <f>+'Maj Production Summ'!AY7</f>
        <v>98.333333333333329</v>
      </c>
      <c r="AZ6" s="1844">
        <f>+'Maj Production Summ'!AZ7</f>
        <v>98.645161290322577</v>
      </c>
      <c r="BA6" s="540">
        <f>+'Maj Production Summ'!BA7</f>
        <v>98.333333333333314</v>
      </c>
      <c r="BB6" s="540">
        <f>+'Maj Production Summ'!BB7</f>
        <v>98.671322615466352</v>
      </c>
      <c r="BC6" s="566">
        <f>+'Maj Production Summ'!BC7</f>
        <v>98.333333333333329</v>
      </c>
      <c r="BD6" s="566">
        <f>+'Maj Production Summ'!BD7</f>
        <v>98.335943354700376</v>
      </c>
      <c r="BE6" s="421">
        <f>+'Maj Production Summ'!BE7</f>
        <v>98.000061398661487</v>
      </c>
      <c r="BF6" s="421">
        <f>+'Maj Production Summ'!BF7</f>
        <v>96.670250945044899</v>
      </c>
      <c r="BG6" s="648"/>
      <c r="BH6" s="648"/>
      <c r="BI6" s="648"/>
      <c r="BJ6" s="648"/>
      <c r="BK6" s="648"/>
      <c r="BL6" s="648"/>
      <c r="BM6" s="648"/>
      <c r="BN6" s="648"/>
    </row>
    <row r="7" spans="1:66" ht="15.75" thickBot="1" x14ac:dyDescent="0.3">
      <c r="A7" s="181" t="s">
        <v>478</v>
      </c>
      <c r="B7" s="1826" t="s">
        <v>213</v>
      </c>
      <c r="C7" s="1848" t="s">
        <v>174</v>
      </c>
      <c r="D7" s="1876">
        <f>D5+(D6*1.8343023255814)</f>
        <v>278.7616279069772</v>
      </c>
      <c r="E7" s="769">
        <f>E5+(E6*1.8343023255814)</f>
        <v>279.37306201550433</v>
      </c>
      <c r="F7" s="1797">
        <f>F5+(F6*1.8343023255814)</f>
        <v>278.52810077519428</v>
      </c>
      <c r="G7" s="769">
        <f>G5+(G6*1.8343023255814)</f>
        <v>279.37306201550433</v>
      </c>
      <c r="H7" s="1797">
        <f>H5+(H6*1.8343023255814)</f>
        <v>267.37921980495162</v>
      </c>
      <c r="I7" s="910">
        <f t="shared" ref="I7:N7" si="0">I5+(I6*1.8343023255814)</f>
        <v>279.37306201550433</v>
      </c>
      <c r="J7" s="90">
        <f t="shared" si="0"/>
        <v>272.86227601982506</v>
      </c>
      <c r="K7" s="769">
        <f>K5+(K6*1.8343023255814)</f>
        <v>279.37306201550433</v>
      </c>
      <c r="L7" s="1797">
        <f>L5+(L6*1.8343023255814)</f>
        <v>271.12974806201595</v>
      </c>
      <c r="M7" s="2106">
        <f t="shared" si="0"/>
        <v>279.37306201550427</v>
      </c>
      <c r="N7" s="2107">
        <f t="shared" si="0"/>
        <v>272.29111295681105</v>
      </c>
      <c r="O7" s="769">
        <f>O5+(O6*1.8343023255814)</f>
        <v>279.37306201550433</v>
      </c>
      <c r="P7" s="1797">
        <f>P5+(P6*1.8343023255814)</f>
        <v>274.50665791447904</v>
      </c>
      <c r="Q7" s="910">
        <f t="shared" ref="Q7:X7" si="1">Q5+(Q6*1.8343023255814)</f>
        <v>279.37306201550427</v>
      </c>
      <c r="R7" s="90">
        <f t="shared" si="1"/>
        <v>272.85407929851357</v>
      </c>
      <c r="S7" s="769">
        <f t="shared" ref="S7:V7" si="2">+S5+(S6*(31.55/17.2))</f>
        <v>275.70445736434101</v>
      </c>
      <c r="T7" s="2719">
        <f t="shared" si="2"/>
        <v>274.00618904726184</v>
      </c>
      <c r="U7" s="910">
        <f t="shared" si="2"/>
        <v>278.62974996200023</v>
      </c>
      <c r="V7" s="90">
        <f t="shared" si="2"/>
        <v>273.0875132998936</v>
      </c>
      <c r="W7" s="769">
        <f t="shared" si="1"/>
        <v>275.70445736434147</v>
      </c>
      <c r="X7" s="1797">
        <f t="shared" si="1"/>
        <v>275.25416666666706</v>
      </c>
      <c r="Y7" s="909">
        <f t="shared" ref="Y7:AB7" si="3">Y5+(Y6*1.8343023255814)</f>
        <v>276.94106567372216</v>
      </c>
      <c r="Z7" s="99">
        <f t="shared" si="3"/>
        <v>274.57066886424059</v>
      </c>
      <c r="AA7" s="3346">
        <f t="shared" si="3"/>
        <v>278.15041904586519</v>
      </c>
      <c r="AB7" s="1798">
        <f t="shared" si="3"/>
        <v>273.43711920535486</v>
      </c>
      <c r="AC7" s="769">
        <f t="shared" ref="AC7:AF7" si="4">+AC5+(AC6*(31.55/17.2))</f>
        <v>279.37306201550388</v>
      </c>
      <c r="AD7" s="2719">
        <f t="shared" si="4"/>
        <v>277.08402100525132</v>
      </c>
      <c r="AE7" s="910">
        <f t="shared" si="4"/>
        <v>278.32753087791531</v>
      </c>
      <c r="AF7" s="90">
        <f t="shared" si="4"/>
        <v>273.96540871842365</v>
      </c>
      <c r="AG7" s="769">
        <f t="shared" ref="AG7:AJ7" si="5">+AG5+(AG6*(31.55/17.2))</f>
        <v>279.37306201550388</v>
      </c>
      <c r="AH7" s="2719">
        <f t="shared" si="5"/>
        <v>277.53875968992247</v>
      </c>
      <c r="AI7" s="910">
        <f t="shared" si="5"/>
        <v>278.45607978827456</v>
      </c>
      <c r="AJ7" s="90">
        <f t="shared" si="5"/>
        <v>274.40475514934565</v>
      </c>
      <c r="AK7" s="769">
        <f t="shared" ref="AK7:AN7" si="6">AK5+(AK6*1.8343023255814)</f>
        <v>279.37306201550433</v>
      </c>
      <c r="AL7" s="1797">
        <f t="shared" si="6"/>
        <v>280.30007501875514</v>
      </c>
      <c r="AM7" s="909">
        <f t="shared" si="6"/>
        <v>279.37306201550433</v>
      </c>
      <c r="AN7" s="99">
        <f t="shared" si="6"/>
        <v>278.32134896287744</v>
      </c>
      <c r="AO7" s="910">
        <f t="shared" ref="AO7:AT7" si="7">+AO5+(AO6*(31.55/17.2))</f>
        <v>278.55944869388946</v>
      </c>
      <c r="AP7" s="90">
        <f t="shared" si="7"/>
        <v>275.069318480079</v>
      </c>
      <c r="AQ7" s="769">
        <f t="shared" ref="AQ7:AR7" si="8">AQ5+(AQ6*1.8343023255814)</f>
        <v>279.37306201550433</v>
      </c>
      <c r="AR7" s="1797">
        <f t="shared" si="8"/>
        <v>279.88587771943031</v>
      </c>
      <c r="AS7" s="910">
        <f t="shared" si="7"/>
        <v>278.64187357287653</v>
      </c>
      <c r="AT7" s="90">
        <f t="shared" si="7"/>
        <v>275.55727055988251</v>
      </c>
      <c r="AU7" s="769">
        <f t="shared" ref="AU7:AV7" si="9">AU5+(AU6*1.8343023255814)</f>
        <v>279.37306201550433</v>
      </c>
      <c r="AV7" s="1797">
        <f t="shared" si="9"/>
        <v>280.15316760224584</v>
      </c>
      <c r="AW7" s="910">
        <f t="shared" ref="AW7:AX7" si="10">+AW5+(AW6*(31.55/17.2))</f>
        <v>278.70517048283534</v>
      </c>
      <c r="AX7" s="90">
        <f t="shared" si="10"/>
        <v>275.95512433369902</v>
      </c>
      <c r="AY7" s="769">
        <f t="shared" ref="AY7:BD7" si="11">AY5+(AY6*1.8343023255814)</f>
        <v>279.37306201550433</v>
      </c>
      <c r="AZ7" s="1797">
        <f t="shared" si="11"/>
        <v>280.00956489122325</v>
      </c>
      <c r="BA7" s="909">
        <f t="shared" si="11"/>
        <v>279.37306201550427</v>
      </c>
      <c r="BB7" s="99">
        <f t="shared" si="11"/>
        <v>280.01467716567799</v>
      </c>
      <c r="BC7" s="3346">
        <f t="shared" si="11"/>
        <v>279.37306201550433</v>
      </c>
      <c r="BD7" s="1798">
        <f t="shared" si="11"/>
        <v>279.16338648448863</v>
      </c>
      <c r="BE7" s="910">
        <f t="shared" ref="BE7:BF7" si="12">+BE5+(BE6*(31.55/17.2))</f>
        <v>278.76174053068428</v>
      </c>
      <c r="BF7" s="90">
        <f t="shared" si="12"/>
        <v>276.29853323338</v>
      </c>
      <c r="BG7" s="648"/>
      <c r="BH7" s="648"/>
      <c r="BI7" s="648"/>
      <c r="BJ7" s="648"/>
      <c r="BK7" s="648"/>
      <c r="BL7" s="648"/>
      <c r="BM7" s="648"/>
      <c r="BN7" s="648"/>
    </row>
    <row r="8" spans="1:66" x14ac:dyDescent="0.25">
      <c r="A8" s="181" t="s">
        <v>478</v>
      </c>
      <c r="B8" s="2785" t="s">
        <v>136</v>
      </c>
      <c r="C8" s="1846" t="s">
        <v>179</v>
      </c>
      <c r="D8" s="175">
        <v>77.5</v>
      </c>
      <c r="E8" s="1799">
        <v>77.5</v>
      </c>
      <c r="F8" s="492">
        <v>77.760000000000005</v>
      </c>
      <c r="G8" s="1799">
        <v>77.5</v>
      </c>
      <c r="H8" s="492">
        <v>77.67</v>
      </c>
      <c r="I8" s="1800">
        <f>+$D$8</f>
        <v>77.5</v>
      </c>
      <c r="J8" s="157">
        <f>+((F8*F$2)+(H8*H$2))/J$2</f>
        <v>77.714262295081966</v>
      </c>
      <c r="K8" s="1799">
        <v>77.5</v>
      </c>
      <c r="L8" s="492">
        <v>77.73</v>
      </c>
      <c r="M8" s="2108">
        <f>+$D$8</f>
        <v>77.5</v>
      </c>
      <c r="N8" s="153">
        <f>+((F8*F$2)+(H8*H$2)+(L8*L$2))/N$2</f>
        <v>77.719450549450542</v>
      </c>
      <c r="O8" s="1799">
        <v>77.5</v>
      </c>
      <c r="P8" s="492">
        <v>77.7</v>
      </c>
      <c r="Q8" s="1800">
        <f>+$D$8</f>
        <v>77.5</v>
      </c>
      <c r="R8" s="157">
        <f>+((N8*N$2)+(P8*P$2))/R$2</f>
        <v>77.714508196721312</v>
      </c>
      <c r="S8" s="1799">
        <f>+$D$8</f>
        <v>77.5</v>
      </c>
      <c r="T8" s="2717">
        <v>77.77</v>
      </c>
      <c r="U8" s="1800">
        <f>+$D$8</f>
        <v>77.5</v>
      </c>
      <c r="V8" s="157">
        <f>+((R8*R$2)+(T8*T$2))/V$2</f>
        <v>77.725751633986931</v>
      </c>
      <c r="W8" s="1799">
        <f>+$D$8</f>
        <v>77.5</v>
      </c>
      <c r="X8" s="492">
        <v>77.73</v>
      </c>
      <c r="Y8" s="1071">
        <f>+$D$8</f>
        <v>77.5</v>
      </c>
      <c r="Z8" s="144">
        <f>+((P8*P$2)+(T8*T$2)+(X8*X$2))/Z$2</f>
        <v>77.733369565217387</v>
      </c>
      <c r="AA8" s="1072">
        <f>+$D$8</f>
        <v>77.5</v>
      </c>
      <c r="AB8" s="568">
        <f>+((N8*N$2)+(Z8*Z$2))/AB$2</f>
        <v>77.726448087431692</v>
      </c>
      <c r="AC8" s="1799">
        <f>+$D$8</f>
        <v>77.5</v>
      </c>
      <c r="AD8" s="2717">
        <v>77.739999999999995</v>
      </c>
      <c r="AE8" s="1800">
        <f>+$D$8</f>
        <v>77.5</v>
      </c>
      <c r="AF8" s="157">
        <f>+((AB8*AB$2)+(AD8*AD$2))/AF$2</f>
        <v>77.728411214953255</v>
      </c>
      <c r="AG8" s="1799">
        <f>+$D$8</f>
        <v>77.5</v>
      </c>
      <c r="AH8" s="2717">
        <v>77.599999999999994</v>
      </c>
      <c r="AI8" s="1800">
        <f>+$D$8</f>
        <v>77.5</v>
      </c>
      <c r="AJ8" s="157">
        <f>+((AF8*AF$2)+(AH8*AH$2))/AJ$2</f>
        <v>77.712622950819664</v>
      </c>
      <c r="AK8" s="1799">
        <f>+$D$8</f>
        <v>77.5</v>
      </c>
      <c r="AL8" s="492">
        <v>77.77</v>
      </c>
      <c r="AM8" s="1071">
        <f>+$D$8</f>
        <v>77.5</v>
      </c>
      <c r="AN8" s="144">
        <f>+((AD8*AD$2)+(AH8*AH$2)+(AL8*AL$2))/AN$2</f>
        <v>77.704456521739132</v>
      </c>
      <c r="AO8" s="1800">
        <f>+$D$8</f>
        <v>77.5</v>
      </c>
      <c r="AP8" s="157">
        <f>+((AL8*AL$2)+(AJ8*AJ$2))/AP$2</f>
        <v>77.719090909090895</v>
      </c>
      <c r="AQ8" s="1799">
        <f>+$D$8</f>
        <v>77.5</v>
      </c>
      <c r="AR8" s="492">
        <v>77.760000000000005</v>
      </c>
      <c r="AS8" s="1800">
        <f>+$D$8</f>
        <v>77.5</v>
      </c>
      <c r="AT8" s="157">
        <f>+((AP8*AP$2)+(AR8*AR$2))/AT$2</f>
        <v>77.723235294117643</v>
      </c>
      <c r="AU8" s="1799">
        <f>+$D$8</f>
        <v>77.5</v>
      </c>
      <c r="AV8" s="492">
        <v>77.72</v>
      </c>
      <c r="AW8" s="1800">
        <f>+$D$8</f>
        <v>77.5</v>
      </c>
      <c r="AX8" s="157">
        <f>+((AT8*AT$2)+(AV8*AV$2))/AX$2</f>
        <v>77.722955223880589</v>
      </c>
      <c r="AY8" s="1799">
        <f>+$D$8</f>
        <v>77.5</v>
      </c>
      <c r="AZ8" s="492">
        <v>77.8</v>
      </c>
      <c r="BA8" s="1071">
        <f>+$D$8</f>
        <v>77.5</v>
      </c>
      <c r="BB8" s="144">
        <f>+((AR8*AR$2)+(AV8*AV$2)+(AZ8*AZ$2))/BB$2</f>
        <v>77.760879120879125</v>
      </c>
      <c r="BC8" s="1072">
        <f>+$D$8</f>
        <v>77.5</v>
      </c>
      <c r="BD8" s="568">
        <f>+((AN8*AN$2)+(BB8*BB$2))/BD$2</f>
        <v>77.732513661202191</v>
      </c>
      <c r="BE8" s="1800">
        <f>+$D$8</f>
        <v>77.5</v>
      </c>
      <c r="BF8" s="157">
        <f>+((AX8*AX$2)+(AZ8*AZ$2))/BF$2</f>
        <v>77.729480874316934</v>
      </c>
      <c r="BG8" s="648"/>
      <c r="BH8" s="648"/>
      <c r="BI8" s="648"/>
      <c r="BJ8" s="648"/>
      <c r="BK8" s="648"/>
      <c r="BL8" s="648"/>
      <c r="BM8" s="648"/>
      <c r="BN8" s="648"/>
    </row>
    <row r="9" spans="1:66" ht="15.95" customHeight="1" thickBot="1" x14ac:dyDescent="0.3">
      <c r="A9" s="181" t="s">
        <v>478</v>
      </c>
      <c r="B9" s="2786" t="s">
        <v>137</v>
      </c>
      <c r="C9" s="1842" t="s">
        <v>179</v>
      </c>
      <c r="D9" s="1875">
        <v>73.5</v>
      </c>
      <c r="E9" s="1849">
        <v>73.5</v>
      </c>
      <c r="F9" s="1850">
        <v>74</v>
      </c>
      <c r="G9" s="1849">
        <v>73.5</v>
      </c>
      <c r="H9" s="1850">
        <v>74</v>
      </c>
      <c r="I9" s="1851">
        <f>+$D$9</f>
        <v>73.5</v>
      </c>
      <c r="J9" s="137">
        <f>+((F9*F$2)+(H9*H$2))/J$2</f>
        <v>74</v>
      </c>
      <c r="K9" s="1849">
        <v>73.5</v>
      </c>
      <c r="L9" s="1850">
        <v>74</v>
      </c>
      <c r="M9" s="2109">
        <f>+$D$9</f>
        <v>73.5</v>
      </c>
      <c r="N9" s="2105">
        <f>+((F9*F$2)+(H9*H$2)+(L9*L$2))/N$2</f>
        <v>74</v>
      </c>
      <c r="O9" s="1849">
        <v>73.5</v>
      </c>
      <c r="P9" s="1850">
        <v>74</v>
      </c>
      <c r="Q9" s="1851">
        <f>+$D$9</f>
        <v>73.5</v>
      </c>
      <c r="R9" s="137">
        <f>+((N9*N$2)+(P9*P$2))/R$2</f>
        <v>74</v>
      </c>
      <c r="S9" s="1849">
        <f>+$D$9</f>
        <v>73.5</v>
      </c>
      <c r="T9" s="2718">
        <v>74</v>
      </c>
      <c r="U9" s="1851">
        <f>+$D$9</f>
        <v>73.5</v>
      </c>
      <c r="V9" s="137">
        <f>+((R9*R$2)+(T9*T$2))/V$2</f>
        <v>74</v>
      </c>
      <c r="W9" s="1849">
        <f>+$D$9</f>
        <v>73.5</v>
      </c>
      <c r="X9" s="1850">
        <v>74</v>
      </c>
      <c r="Y9" s="2108">
        <f>+$D$9</f>
        <v>73.5</v>
      </c>
      <c r="Z9" s="144">
        <f>+((P9*P$2)+(T9*T$2)+(X9*X$2))/Z$2</f>
        <v>74</v>
      </c>
      <c r="AA9" s="2184">
        <f>+$D$9</f>
        <v>73.5</v>
      </c>
      <c r="AB9" s="568">
        <f>+((N9*N$2)+(Z9*Z$2))/AB$2</f>
        <v>74</v>
      </c>
      <c r="AC9" s="1849">
        <f>+$D$9</f>
        <v>73.5</v>
      </c>
      <c r="AD9" s="2718">
        <v>74</v>
      </c>
      <c r="AE9" s="1851">
        <f>+$D$9</f>
        <v>73.5</v>
      </c>
      <c r="AF9" s="137">
        <f>+((AB9*AB$2)+(AD9*AD$2))/AF$2</f>
        <v>74</v>
      </c>
      <c r="AG9" s="1849">
        <f>+$D$9</f>
        <v>73.5</v>
      </c>
      <c r="AH9" s="2718">
        <v>74</v>
      </c>
      <c r="AI9" s="1851">
        <f>+$D$9</f>
        <v>73.5</v>
      </c>
      <c r="AJ9" s="137">
        <f>+((AF9*AF$2)+(AH9*AH$2))/AJ$2</f>
        <v>74</v>
      </c>
      <c r="AK9" s="1849">
        <f>+$D$9</f>
        <v>73.5</v>
      </c>
      <c r="AL9" s="1850">
        <v>74</v>
      </c>
      <c r="AM9" s="2108">
        <f>+$D$9</f>
        <v>73.5</v>
      </c>
      <c r="AN9" s="144">
        <f>+((AD9*AD$2)+(AH9*AH$2)+(AL9*AL$2))/AN$2</f>
        <v>74</v>
      </c>
      <c r="AO9" s="1851">
        <f>+$D$9</f>
        <v>73.5</v>
      </c>
      <c r="AP9" s="137">
        <f>+((AL9*AL$2)+(AJ9*AJ$2))/AP$2</f>
        <v>74</v>
      </c>
      <c r="AQ9" s="1849">
        <f>+$D$9</f>
        <v>73.5</v>
      </c>
      <c r="AR9" s="1850">
        <v>74</v>
      </c>
      <c r="AS9" s="1851">
        <f>+$D$9</f>
        <v>73.5</v>
      </c>
      <c r="AT9" s="137">
        <f>+((AP9*AP$2)+(AR9*AR$2))/AT$2</f>
        <v>74</v>
      </c>
      <c r="AU9" s="1849">
        <f>+$D$9</f>
        <v>73.5</v>
      </c>
      <c r="AV9" s="1850">
        <v>74</v>
      </c>
      <c r="AW9" s="1851">
        <f>+$D$9</f>
        <v>73.5</v>
      </c>
      <c r="AX9" s="137">
        <f>+((AT9*AT$2)+(AV9*AV$2))/AX$2</f>
        <v>74</v>
      </c>
      <c r="AY9" s="1849">
        <f>+$D$9</f>
        <v>73.5</v>
      </c>
      <c r="AZ9" s="1850">
        <v>74</v>
      </c>
      <c r="BA9" s="2108">
        <f>+$D$9</f>
        <v>73.5</v>
      </c>
      <c r="BB9" s="144">
        <f>+((AR9*AR$2)+(AV9*AV$2)+(AZ9*AZ$2))/BB$2</f>
        <v>74</v>
      </c>
      <c r="BC9" s="2184">
        <f>+$D$9</f>
        <v>73.5</v>
      </c>
      <c r="BD9" s="568">
        <f>+((AN9*AN$2)+(BB9*BB$2))/BD$2</f>
        <v>74</v>
      </c>
      <c r="BE9" s="1851">
        <f>+$D$9</f>
        <v>73.5</v>
      </c>
      <c r="BF9" s="137">
        <f>+((AX9*AX$2)+(AZ9*AZ$2))/BF$2</f>
        <v>74</v>
      </c>
      <c r="BG9" s="648"/>
      <c r="BH9" s="648"/>
      <c r="BI9" s="648"/>
      <c r="BJ9" s="648"/>
      <c r="BK9" s="648"/>
      <c r="BL9" s="648"/>
      <c r="BM9" s="648"/>
      <c r="BN9" s="648"/>
    </row>
    <row r="10" spans="1:66" s="183" customFormat="1" ht="15.75" x14ac:dyDescent="0.25">
      <c r="A10" s="182" t="s">
        <v>478</v>
      </c>
      <c r="B10" s="913" t="s">
        <v>152</v>
      </c>
      <c r="C10" s="1852"/>
      <c r="D10" s="282"/>
      <c r="E10" s="948"/>
      <c r="F10" s="734"/>
      <c r="G10" s="948"/>
      <c r="H10" s="734"/>
      <c r="I10" s="282"/>
      <c r="J10" s="734"/>
      <c r="K10" s="948"/>
      <c r="L10" s="734"/>
      <c r="M10" s="948"/>
      <c r="N10" s="734"/>
      <c r="O10" s="948"/>
      <c r="P10" s="734"/>
      <c r="Q10" s="282"/>
      <c r="R10" s="734"/>
      <c r="S10" s="948"/>
      <c r="T10" s="2720"/>
      <c r="U10" s="282"/>
      <c r="V10" s="734"/>
      <c r="W10" s="948"/>
      <c r="X10" s="734"/>
      <c r="Y10" s="282"/>
      <c r="Z10" s="282"/>
      <c r="AA10" s="3798"/>
      <c r="AB10" s="282"/>
      <c r="AC10" s="948"/>
      <c r="AD10" s="2720"/>
      <c r="AE10" s="282"/>
      <c r="AF10" s="734"/>
      <c r="AG10" s="948"/>
      <c r="AH10" s="2720"/>
      <c r="AI10" s="282"/>
      <c r="AJ10" s="734"/>
      <c r="AK10" s="948"/>
      <c r="AL10" s="734"/>
      <c r="AM10" s="282"/>
      <c r="AN10" s="282"/>
      <c r="AO10" s="282"/>
      <c r="AP10" s="734"/>
      <c r="AQ10" s="948"/>
      <c r="AR10" s="734"/>
      <c r="AS10" s="282"/>
      <c r="AT10" s="734"/>
      <c r="AU10" s="948"/>
      <c r="AV10" s="734"/>
      <c r="AW10" s="282"/>
      <c r="AX10" s="734"/>
      <c r="AY10" s="948"/>
      <c r="AZ10" s="734"/>
      <c r="BA10" s="282"/>
      <c r="BB10" s="282"/>
      <c r="BC10" s="3798"/>
      <c r="BD10" s="282"/>
      <c r="BE10" s="282"/>
      <c r="BF10" s="734"/>
      <c r="BG10" s="648"/>
      <c r="BH10" s="648"/>
      <c r="BI10" s="648"/>
      <c r="BJ10" s="648"/>
      <c r="BK10" s="648"/>
      <c r="BL10" s="648"/>
      <c r="BM10" s="648"/>
      <c r="BN10" s="648"/>
    </row>
    <row r="11" spans="1:66" x14ac:dyDescent="0.25">
      <c r="A11" s="122"/>
      <c r="B11" s="1827" t="s">
        <v>150</v>
      </c>
      <c r="C11" s="1828" t="s">
        <v>180</v>
      </c>
      <c r="D11" s="1877">
        <f t="shared" ref="D11:F12" si="13">+D5/D8</f>
        <v>1.2774193548387096</v>
      </c>
      <c r="E11" s="914">
        <f t="shared" si="13"/>
        <v>1.2774193548387096</v>
      </c>
      <c r="F11" s="671">
        <f t="shared" si="13"/>
        <v>1.2748628257887518</v>
      </c>
      <c r="G11" s="914">
        <f t="shared" ref="G11:H11" si="14">+G5/G8</f>
        <v>1.2774193548387096</v>
      </c>
      <c r="H11" s="671">
        <f t="shared" si="14"/>
        <v>1.2758693729052193</v>
      </c>
      <c r="I11" s="915">
        <f t="shared" ref="I11:N11" si="15">+I5/I8</f>
        <v>1.2774193548387096</v>
      </c>
      <c r="J11" s="127">
        <f t="shared" si="15"/>
        <v>1.2753740583938218</v>
      </c>
      <c r="K11" s="914">
        <f t="shared" si="15"/>
        <v>1.2774193548387096</v>
      </c>
      <c r="L11" s="671">
        <f t="shared" si="15"/>
        <v>1.2753548608430894</v>
      </c>
      <c r="M11" s="584">
        <f t="shared" si="15"/>
        <v>1.2774193548387096</v>
      </c>
      <c r="N11" s="119">
        <f t="shared" si="15"/>
        <v>1.2753677286718785</v>
      </c>
      <c r="O11" s="914">
        <f t="shared" ref="O11:P11" si="16">+O5/O8</f>
        <v>1.2774193548387096</v>
      </c>
      <c r="P11" s="671">
        <f t="shared" si="16"/>
        <v>1.2749615975422426</v>
      </c>
      <c r="Q11" s="915">
        <f t="shared" ref="Q11:X11" si="17">+Q5/Q8</f>
        <v>1.2774193548387096</v>
      </c>
      <c r="R11" s="127">
        <f t="shared" si="17"/>
        <v>1.2752645506830909</v>
      </c>
      <c r="S11" s="914">
        <f t="shared" si="17"/>
        <v>1.2774193548387096</v>
      </c>
      <c r="T11" s="2721">
        <f t="shared" si="17"/>
        <v>1.278791473617408</v>
      </c>
      <c r="U11" s="915">
        <f t="shared" si="17"/>
        <v>1.2774193548387096</v>
      </c>
      <c r="V11" s="127">
        <f t="shared" si="17"/>
        <v>1.2759795627999906</v>
      </c>
      <c r="W11" s="914">
        <f t="shared" si="17"/>
        <v>1.2774193548387096</v>
      </c>
      <c r="X11" s="671">
        <f t="shared" si="17"/>
        <v>1.274926025987392</v>
      </c>
      <c r="Y11" s="584">
        <f t="shared" ref="Y11:AF11" si="18">+Y5/Y8</f>
        <v>1.2774193548387096</v>
      </c>
      <c r="Z11" s="119">
        <f t="shared" si="18"/>
        <v>1.2762747466446769</v>
      </c>
      <c r="AA11" s="916">
        <f t="shared" si="18"/>
        <v>1.2774193548387096</v>
      </c>
      <c r="AB11" s="569">
        <f t="shared" si="18"/>
        <v>1.2758237564547521</v>
      </c>
      <c r="AC11" s="914">
        <f t="shared" si="18"/>
        <v>1.2774193548387096</v>
      </c>
      <c r="AD11" s="2721">
        <f t="shared" si="18"/>
        <v>1.2564628165016556</v>
      </c>
      <c r="AE11" s="915">
        <f t="shared" si="18"/>
        <v>1.2774193548387096</v>
      </c>
      <c r="AF11" s="127">
        <f t="shared" si="18"/>
        <v>1.2730187161616537</v>
      </c>
      <c r="AG11" s="914">
        <f t="shared" ref="AG11:AN11" si="19">+AG5/AG8</f>
        <v>1.2774193548387096</v>
      </c>
      <c r="AH11" s="2721">
        <f t="shared" si="19"/>
        <v>1.2757731958762888</v>
      </c>
      <c r="AI11" s="915">
        <f t="shared" si="19"/>
        <v>1.2774193548387096</v>
      </c>
      <c r="AJ11" s="127">
        <f t="shared" si="19"/>
        <v>1.2733568908983186</v>
      </c>
      <c r="AK11" s="914">
        <f t="shared" si="19"/>
        <v>1.2774193548387096</v>
      </c>
      <c r="AL11" s="671">
        <f t="shared" si="19"/>
        <v>1.272984441301273</v>
      </c>
      <c r="AM11" s="584">
        <f t="shared" si="19"/>
        <v>1.2774193548387096</v>
      </c>
      <c r="AN11" s="119">
        <f t="shared" si="19"/>
        <v>1.2682927586624624</v>
      </c>
      <c r="AO11" s="915">
        <f t="shared" ref="AO11:AT11" si="20">+AO5/AO8</f>
        <v>1.2774193548387096</v>
      </c>
      <c r="AP11" s="127">
        <f t="shared" si="20"/>
        <v>1.2733148781690242</v>
      </c>
      <c r="AQ11" s="914">
        <f t="shared" si="20"/>
        <v>1.2774193548387096</v>
      </c>
      <c r="AR11" s="671">
        <f t="shared" si="20"/>
        <v>1.2731481481481481</v>
      </c>
      <c r="AS11" s="915">
        <f t="shared" si="20"/>
        <v>1.2774193548387096</v>
      </c>
      <c r="AT11" s="127">
        <f t="shared" si="20"/>
        <v>1.2732979792294263</v>
      </c>
      <c r="AU11" s="914">
        <f t="shared" ref="AU11:AX11" si="21">+AU5/AU8</f>
        <v>1.2774193548387096</v>
      </c>
      <c r="AV11" s="671">
        <f t="shared" si="21"/>
        <v>1.2738033968090581</v>
      </c>
      <c r="AW11" s="915">
        <f t="shared" si="21"/>
        <v>1.2774193548387096</v>
      </c>
      <c r="AX11" s="127">
        <f t="shared" si="21"/>
        <v>1.2733417301324379</v>
      </c>
      <c r="AY11" s="914">
        <f t="shared" ref="AY11:BF11" si="22">+AY5/AY8</f>
        <v>1.2774193548387096</v>
      </c>
      <c r="AZ11" s="671">
        <f t="shared" si="22"/>
        <v>1.2733228294220085</v>
      </c>
      <c r="BA11" s="584">
        <f t="shared" si="22"/>
        <v>1.2774193548387096</v>
      </c>
      <c r="BB11" s="119">
        <f t="shared" si="22"/>
        <v>1.2734120517079874</v>
      </c>
      <c r="BC11" s="916">
        <f t="shared" si="22"/>
        <v>1.2774193548387096</v>
      </c>
      <c r="BD11" s="569">
        <f t="shared" si="22"/>
        <v>1.2708393469852075</v>
      </c>
      <c r="BE11" s="915">
        <f t="shared" si="22"/>
        <v>1.2774193548387096</v>
      </c>
      <c r="BF11" s="127">
        <f t="shared" si="22"/>
        <v>1.2733401278002141</v>
      </c>
      <c r="BG11" s="648"/>
      <c r="BH11" s="648"/>
      <c r="BI11" s="648"/>
      <c r="BJ11" s="648"/>
      <c r="BK11" s="648"/>
      <c r="BL11" s="648"/>
      <c r="BM11" s="648"/>
      <c r="BN11" s="648"/>
    </row>
    <row r="12" spans="1:66" ht="15.75" thickBot="1" x14ac:dyDescent="0.3">
      <c r="A12" s="122"/>
      <c r="B12" s="1853" t="s">
        <v>151</v>
      </c>
      <c r="C12" s="1854" t="s">
        <v>180</v>
      </c>
      <c r="D12" s="1878">
        <f t="shared" si="13"/>
        <v>1.333333333333333</v>
      </c>
      <c r="E12" s="917">
        <f t="shared" si="13"/>
        <v>1.3378684807256236</v>
      </c>
      <c r="F12" s="165">
        <f t="shared" si="13"/>
        <v>1.3216216216216217</v>
      </c>
      <c r="G12" s="917">
        <f t="shared" ref="G12:H12" si="23">+G6/G9</f>
        <v>1.3378684807256236</v>
      </c>
      <c r="H12" s="165">
        <f t="shared" si="23"/>
        <v>1.2397558849171753</v>
      </c>
      <c r="I12" s="918">
        <f t="shared" ref="I12:N12" si="24">+I6/I9</f>
        <v>1.3378684807256236</v>
      </c>
      <c r="J12" s="200">
        <f t="shared" si="24"/>
        <v>1.2800177226406735</v>
      </c>
      <c r="K12" s="917">
        <f t="shared" si="24"/>
        <v>1.3378684807256236</v>
      </c>
      <c r="L12" s="165">
        <f t="shared" si="24"/>
        <v>1.2671171171171172</v>
      </c>
      <c r="M12" s="919">
        <f t="shared" si="24"/>
        <v>1.3378684807256234</v>
      </c>
      <c r="N12" s="207">
        <f t="shared" si="24"/>
        <v>1.2757647757647756</v>
      </c>
      <c r="O12" s="917">
        <f t="shared" ref="O12:P12" si="25">+O6/O9</f>
        <v>1.3378684807256236</v>
      </c>
      <c r="P12" s="165">
        <f t="shared" si="25"/>
        <v>1.2925021795989537</v>
      </c>
      <c r="Q12" s="918">
        <f t="shared" ref="Q12:X12" si="26">+Q6/Q9</f>
        <v>1.3378684807256234</v>
      </c>
      <c r="R12" s="200">
        <f t="shared" si="26"/>
        <v>1.2800177226406735</v>
      </c>
      <c r="S12" s="917">
        <f t="shared" si="26"/>
        <v>1.3106575963718816</v>
      </c>
      <c r="T12" s="2722">
        <f t="shared" si="26"/>
        <v>1.2859633827375763</v>
      </c>
      <c r="U12" s="918">
        <f t="shared" si="26"/>
        <v>1.332355164287937</v>
      </c>
      <c r="V12" s="200">
        <f t="shared" si="26"/>
        <v>1.2812223988694575</v>
      </c>
      <c r="W12" s="917">
        <f t="shared" si="26"/>
        <v>1.3106575963718816</v>
      </c>
      <c r="X12" s="165">
        <f t="shared" si="26"/>
        <v>1.2977477477477477</v>
      </c>
      <c r="Y12" s="919">
        <f t="shared" ref="Y12:AF12" si="27">+Y6/Y9</f>
        <v>1.319829804581008</v>
      </c>
      <c r="Z12" s="207">
        <f t="shared" si="27"/>
        <v>1.291908320488607</v>
      </c>
      <c r="AA12" s="920">
        <f t="shared" si="27"/>
        <v>1.3287998566529207</v>
      </c>
      <c r="AB12" s="570">
        <f t="shared" si="27"/>
        <v>1.283880656172385</v>
      </c>
      <c r="AC12" s="917">
        <f t="shared" si="27"/>
        <v>1.3378684807256236</v>
      </c>
      <c r="AD12" s="2722">
        <f t="shared" si="27"/>
        <v>1.3217088055797734</v>
      </c>
      <c r="AE12" s="918">
        <f t="shared" si="27"/>
        <v>1.3301135358410223</v>
      </c>
      <c r="AF12" s="200">
        <f t="shared" si="27"/>
        <v>1.2893604348248571</v>
      </c>
      <c r="AG12" s="917">
        <f t="shared" ref="AG12:AN12" si="28">+AG6/AG9</f>
        <v>1.3378684807256236</v>
      </c>
      <c r="AH12" s="2722">
        <f t="shared" si="28"/>
        <v>1.3153153153153152</v>
      </c>
      <c r="AI12" s="918">
        <f t="shared" si="28"/>
        <v>1.3310670126710964</v>
      </c>
      <c r="AJ12" s="200">
        <f t="shared" si="28"/>
        <v>1.2925516086556512</v>
      </c>
      <c r="AK12" s="917">
        <f t="shared" si="28"/>
        <v>1.3378684807256236</v>
      </c>
      <c r="AL12" s="165">
        <f t="shared" si="28"/>
        <v>1.3356582388840454</v>
      </c>
      <c r="AM12" s="919">
        <f t="shared" si="28"/>
        <v>1.3378684807256236</v>
      </c>
      <c r="AN12" s="207">
        <f t="shared" si="28"/>
        <v>1.3243812097389445</v>
      </c>
      <c r="AO12" s="918">
        <f t="shared" ref="AO12:AT12" si="29">+AO6/AO9</f>
        <v>1.3318337236154247</v>
      </c>
      <c r="AP12" s="200">
        <f t="shared" si="29"/>
        <v>1.2974109015177611</v>
      </c>
      <c r="AQ12" s="917">
        <f t="shared" si="29"/>
        <v>1.3378684807256236</v>
      </c>
      <c r="AR12" s="165">
        <f t="shared" si="29"/>
        <v>1.3326068003487357</v>
      </c>
      <c r="AS12" s="918">
        <f t="shared" si="29"/>
        <v>1.3324450878978302</v>
      </c>
      <c r="AT12" s="200">
        <f t="shared" si="29"/>
        <v>1.3009764991117485</v>
      </c>
      <c r="AU12" s="917">
        <f t="shared" ref="AU12:AX12" si="30">+AU6/AU9</f>
        <v>1.3378684807256236</v>
      </c>
      <c r="AV12" s="165">
        <f t="shared" si="30"/>
        <v>1.3345759552656105</v>
      </c>
      <c r="AW12" s="918">
        <f t="shared" si="30"/>
        <v>1.3329145756351617</v>
      </c>
      <c r="AX12" s="200">
        <f t="shared" si="30"/>
        <v>1.3038851087489485</v>
      </c>
      <c r="AY12" s="917">
        <f t="shared" ref="AY12:BF12" si="31">+AY6/AY9</f>
        <v>1.3378684807256236</v>
      </c>
      <c r="AZ12" s="165">
        <f t="shared" si="31"/>
        <v>1.3330427201394943</v>
      </c>
      <c r="BA12" s="919">
        <f t="shared" si="31"/>
        <v>1.3378684807256234</v>
      </c>
      <c r="BB12" s="207">
        <f t="shared" si="31"/>
        <v>1.3333962515603561</v>
      </c>
      <c r="BC12" s="920">
        <f t="shared" si="31"/>
        <v>1.3378684807256236</v>
      </c>
      <c r="BD12" s="570">
        <f t="shared" si="31"/>
        <v>1.3288640993878429</v>
      </c>
      <c r="BE12" s="918">
        <f t="shared" si="31"/>
        <v>1.3333341686892719</v>
      </c>
      <c r="BF12" s="200">
        <f t="shared" si="31"/>
        <v>1.3063547425006068</v>
      </c>
      <c r="BG12" s="648"/>
      <c r="BH12" s="648"/>
      <c r="BI12" s="648"/>
      <c r="BJ12" s="648"/>
      <c r="BK12" s="648"/>
      <c r="BL12" s="648"/>
      <c r="BM12" s="648"/>
      <c r="BN12" s="648"/>
    </row>
    <row r="13" spans="1:66" ht="15.75" thickBot="1" x14ac:dyDescent="0.3">
      <c r="A13" s="181" t="s">
        <v>478</v>
      </c>
      <c r="B13" s="2785" t="s">
        <v>170</v>
      </c>
      <c r="C13" s="1846" t="s">
        <v>52</v>
      </c>
      <c r="D13" s="1662">
        <f>(D5)*17.2*D2</f>
        <v>623224.79999999993</v>
      </c>
      <c r="E13" s="1398">
        <f>(E5)*17.2*E2</f>
        <v>51084</v>
      </c>
      <c r="F13" s="29">
        <f>F5*17.2*F2</f>
        <v>51152.800000000003</v>
      </c>
      <c r="G13" s="1398">
        <f>(G5)*17.2*G2</f>
        <v>52786.799999999996</v>
      </c>
      <c r="H13" s="29">
        <f>H5*17.2*H2</f>
        <v>52838.399999999994</v>
      </c>
      <c r="I13" s="923">
        <f>+E13+G13</f>
        <v>103870.79999999999</v>
      </c>
      <c r="J13" s="89">
        <f>+F13+H13</f>
        <v>103991.2</v>
      </c>
      <c r="K13" s="1398">
        <f>(K5)*17.2*K2</f>
        <v>51084</v>
      </c>
      <c r="L13" s="29">
        <f>L5*17.2*L2</f>
        <v>51152.800000000003</v>
      </c>
      <c r="M13" s="1399">
        <f>+E13+G13+K13</f>
        <v>154954.79999999999</v>
      </c>
      <c r="N13" s="113">
        <f>+F13+H13+L13</f>
        <v>155144</v>
      </c>
      <c r="O13" s="1398">
        <f>(O5)*17.2*O2</f>
        <v>52786.799999999996</v>
      </c>
      <c r="P13" s="29">
        <f>P5*17.2*P2</f>
        <v>52821.2</v>
      </c>
      <c r="Q13" s="923">
        <f>+M13+O13</f>
        <v>207741.59999999998</v>
      </c>
      <c r="R13" s="89">
        <f>+N13+P13</f>
        <v>207965.2</v>
      </c>
      <c r="S13" s="1398">
        <f>(S5)*17.2*S2</f>
        <v>52786.799999999996</v>
      </c>
      <c r="T13" s="2723">
        <f>T5*17.2*T2</f>
        <v>53027.6</v>
      </c>
      <c r="U13" s="923">
        <f>+Q13+S13</f>
        <v>260528.39999999997</v>
      </c>
      <c r="V13" s="89">
        <f>+R13+T13</f>
        <v>260992.80000000002</v>
      </c>
      <c r="W13" s="1398">
        <f>(W5)*17.2*W2</f>
        <v>51084</v>
      </c>
      <c r="X13" s="29">
        <f>X5*17.2*X2</f>
        <v>51135.599999999991</v>
      </c>
      <c r="Y13" s="582">
        <f>+O13+S13+W13</f>
        <v>156657.59999999998</v>
      </c>
      <c r="Z13" s="582">
        <f>+P13+T13+X13</f>
        <v>156984.39999999997</v>
      </c>
      <c r="AA13" s="922">
        <f>+M13+Y13</f>
        <v>311612.39999999997</v>
      </c>
      <c r="AB13" s="922">
        <f>+N13+Z13</f>
        <v>312128.39999999997</v>
      </c>
      <c r="AC13" s="1398">
        <f>(AC5)*17.2*AC2</f>
        <v>52786.799999999996</v>
      </c>
      <c r="AD13" s="2723">
        <f>AD5*17.2*AD2</f>
        <v>52081.599999999999</v>
      </c>
      <c r="AE13" s="923">
        <f>+AA13+AC13</f>
        <v>364399.19999999995</v>
      </c>
      <c r="AF13" s="89">
        <f>+AB13+AD13</f>
        <v>364209.99999999994</v>
      </c>
      <c r="AG13" s="1398">
        <f>(AG5)*17.2*AG2</f>
        <v>51084</v>
      </c>
      <c r="AH13" s="2723">
        <f>AH5*17.2*AH2</f>
        <v>51084</v>
      </c>
      <c r="AI13" s="923">
        <f>+AE13+AG13</f>
        <v>415483.19999999995</v>
      </c>
      <c r="AJ13" s="89">
        <f>+AF13+AH13</f>
        <v>415293.99999999994</v>
      </c>
      <c r="AK13" s="1398">
        <f>(AK5)*17.2*AK2</f>
        <v>52786.799999999996</v>
      </c>
      <c r="AL13" s="29">
        <f>AL5*17.2*AL2</f>
        <v>52786.799999999996</v>
      </c>
      <c r="AM13" s="3623">
        <f>+AC13+AG13+AK13</f>
        <v>156657.59999999998</v>
      </c>
      <c r="AN13" s="3623">
        <f>+AD13+AH13+AL13</f>
        <v>155952.4</v>
      </c>
      <c r="AO13" s="923">
        <f>AI13+AK13</f>
        <v>468269.99999999994</v>
      </c>
      <c r="AP13" s="923">
        <f>AJ13+AL13</f>
        <v>468080.79999999993</v>
      </c>
      <c r="AQ13" s="1398">
        <f>(AQ5)*17.2*AQ2</f>
        <v>52786.799999999996</v>
      </c>
      <c r="AR13" s="29">
        <f>AR5*17.2*AR2</f>
        <v>52786.799999999996</v>
      </c>
      <c r="AS13" s="923">
        <f>+AO13+AQ13</f>
        <v>521056.79999999993</v>
      </c>
      <c r="AT13" s="89">
        <f>+AP13+AR13</f>
        <v>520867.59999999992</v>
      </c>
      <c r="AU13" s="1398">
        <f>(AU5)*17.2*AU2</f>
        <v>49381.2</v>
      </c>
      <c r="AV13" s="29">
        <f>AV5*17.2*AV2</f>
        <v>49381.2</v>
      </c>
      <c r="AW13" s="923">
        <f>+AS13+AU13</f>
        <v>570437.99999999988</v>
      </c>
      <c r="AX13" s="89">
        <f>+AT13+AV13</f>
        <v>570248.79999999993</v>
      </c>
      <c r="AY13" s="1398">
        <f>(AY5)*17.2*AY2</f>
        <v>52786.799999999996</v>
      </c>
      <c r="AZ13" s="29">
        <f>AZ5*17.2*AZ2</f>
        <v>52821.2</v>
      </c>
      <c r="BA13" s="3623">
        <f>+AQ13+AU13+AY13</f>
        <v>154954.79999999999</v>
      </c>
      <c r="BB13" s="3623">
        <f>+AR13+AV13+AZ13</f>
        <v>154989.20000000001</v>
      </c>
      <c r="BC13" s="922">
        <f>+AM13+BA13</f>
        <v>311612.39999999997</v>
      </c>
      <c r="BD13" s="922">
        <f>+AN13+BB13</f>
        <v>310941.59999999998</v>
      </c>
      <c r="BE13" s="923">
        <f>+AW13+AY13</f>
        <v>623224.79999999993</v>
      </c>
      <c r="BF13" s="89">
        <f>+AX13+AZ13</f>
        <v>623069.99999999988</v>
      </c>
      <c r="BG13" s="648"/>
      <c r="BH13" s="648"/>
      <c r="BI13" s="648"/>
      <c r="BJ13" s="648"/>
      <c r="BK13" s="648"/>
      <c r="BL13" s="648"/>
      <c r="BM13" s="648"/>
      <c r="BN13" s="648"/>
    </row>
    <row r="14" spans="1:66" ht="15.75" thickBot="1" x14ac:dyDescent="0.3">
      <c r="A14" s="181" t="s">
        <v>478</v>
      </c>
      <c r="B14" s="2786" t="s">
        <v>171</v>
      </c>
      <c r="C14" s="1842" t="s">
        <v>52</v>
      </c>
      <c r="D14" s="1879">
        <f>+D6*31.55*D2</f>
        <v>1131635.3999999999</v>
      </c>
      <c r="E14" s="873">
        <f>+E6*31.55*E2</f>
        <v>93072.5</v>
      </c>
      <c r="F14" s="156">
        <f>+F6*31.55*F2</f>
        <v>92567.700000000012</v>
      </c>
      <c r="G14" s="873">
        <f>+G6*31.55*G2</f>
        <v>96174.916666666657</v>
      </c>
      <c r="H14" s="156">
        <f>+H6*31.55*H2</f>
        <v>89728.2</v>
      </c>
      <c r="I14" s="1855">
        <f>+E14+G14</f>
        <v>189247.41666666666</v>
      </c>
      <c r="J14" s="650">
        <f>+F14+H14</f>
        <v>182295.90000000002</v>
      </c>
      <c r="K14" s="873">
        <f>+K6*31.55*K2</f>
        <v>93072.5</v>
      </c>
      <c r="L14" s="156">
        <f>+L6*31.55*L2</f>
        <v>88750.150000000009</v>
      </c>
      <c r="M14" s="2098">
        <f>+E14+G14+K14</f>
        <v>282319.91666666663</v>
      </c>
      <c r="N14" s="209">
        <f>+F14+H14+L14</f>
        <v>271046.05000000005</v>
      </c>
      <c r="O14" s="873">
        <f>+O6*31.55*O2</f>
        <v>96174.916666666657</v>
      </c>
      <c r="P14" s="156">
        <f>+P6*31.55*P2</f>
        <v>93545.75</v>
      </c>
      <c r="Q14" s="1855">
        <f>+M14+O14</f>
        <v>378494.83333333326</v>
      </c>
      <c r="R14" s="650">
        <f>+N14+P14</f>
        <v>364591.80000000005</v>
      </c>
      <c r="S14" s="873">
        <f>+S6*31.55*S2</f>
        <v>94218.816666666637</v>
      </c>
      <c r="T14" s="2699">
        <f>+T6*31.55*T2</f>
        <v>93072.5</v>
      </c>
      <c r="U14" s="1855">
        <f>+Q14+S14</f>
        <v>472713.64999999991</v>
      </c>
      <c r="V14" s="650">
        <f>+R14+T14</f>
        <v>457664.30000000005</v>
      </c>
      <c r="W14" s="873">
        <f>+W6*31.55*W2</f>
        <v>91179.499999999971</v>
      </c>
      <c r="X14" s="156">
        <f>+X6*31.55*X2</f>
        <v>90895.549999999988</v>
      </c>
      <c r="Y14" s="583">
        <f>+O14+S14+W14</f>
        <v>281573.23333333328</v>
      </c>
      <c r="Z14" s="583">
        <f>+P14+T14+X14</f>
        <v>277513.8</v>
      </c>
      <c r="AA14" s="922">
        <f>+M14+Y14</f>
        <v>563893.14999999991</v>
      </c>
      <c r="AB14" s="922">
        <f>+N14+Z14</f>
        <v>548559.85000000009</v>
      </c>
      <c r="AC14" s="873">
        <f>+AC6*31.55*AC2</f>
        <v>96174.916666666657</v>
      </c>
      <c r="AD14" s="2699">
        <f>+AD6*31.55*AD2</f>
        <v>95659.6</v>
      </c>
      <c r="AE14" s="1855">
        <f>+AA14+AC14</f>
        <v>660068.06666666653</v>
      </c>
      <c r="AF14" s="650">
        <f>+AB14+AD14</f>
        <v>644219.45000000007</v>
      </c>
      <c r="AG14" s="873">
        <f>+AG6*31.55*AG2</f>
        <v>93072.5</v>
      </c>
      <c r="AH14" s="2699">
        <f>+AH6*31.55*AH2</f>
        <v>92126</v>
      </c>
      <c r="AI14" s="1855">
        <f>+AE14+AG14</f>
        <v>753140.56666666653</v>
      </c>
      <c r="AJ14" s="650">
        <f>+AF14+AH14</f>
        <v>736345.45000000007</v>
      </c>
      <c r="AK14" s="873">
        <f>+AK6*31.55*AK2</f>
        <v>96174.916666666657</v>
      </c>
      <c r="AL14" s="156">
        <f>+AL6*31.55*AL2</f>
        <v>96669.2</v>
      </c>
      <c r="AM14" s="583">
        <f>+AC14+AG14+AK14</f>
        <v>285422.33333333331</v>
      </c>
      <c r="AN14" s="583">
        <f>+AD14+AH14+AL14</f>
        <v>284454.8</v>
      </c>
      <c r="AO14" s="923">
        <f>AI14+AK14</f>
        <v>849315.48333333316</v>
      </c>
      <c r="AP14" s="923">
        <f>AJ14+AL14</f>
        <v>833014.65</v>
      </c>
      <c r="AQ14" s="873">
        <f>+AQ6*31.55*AQ2</f>
        <v>96174.916666666657</v>
      </c>
      <c r="AR14" s="156">
        <f>+AR6*31.55*AR2</f>
        <v>96448.35</v>
      </c>
      <c r="AS14" s="1855">
        <f>+AO14+AQ14</f>
        <v>945490.39999999979</v>
      </c>
      <c r="AT14" s="650">
        <f>+AP14+AR14</f>
        <v>929463</v>
      </c>
      <c r="AU14" s="873">
        <f>+AU6*31.55*AU2</f>
        <v>89970.083333333328</v>
      </c>
      <c r="AV14" s="156">
        <f>+AV6*31.55*AV2</f>
        <v>90359.2</v>
      </c>
      <c r="AW14" s="1855">
        <f>+AS14+AU14</f>
        <v>1035460.4833333332</v>
      </c>
      <c r="AX14" s="650">
        <f>+AT14+AV14</f>
        <v>1019822.2</v>
      </c>
      <c r="AY14" s="873">
        <f>+AY6*31.55*AY2</f>
        <v>96174.916666666657</v>
      </c>
      <c r="AZ14" s="156">
        <f>+AZ6*31.55*AZ2</f>
        <v>96479.9</v>
      </c>
      <c r="BA14" s="583">
        <f>+AQ14+AU14+AY14</f>
        <v>282319.91666666663</v>
      </c>
      <c r="BB14" s="583">
        <f>+AR14+AV14+AZ14</f>
        <v>283287.44999999995</v>
      </c>
      <c r="BC14" s="922">
        <f t="shared" ref="BC14:BD14" si="32">+AM14+BA14</f>
        <v>567742.25</v>
      </c>
      <c r="BD14" s="922">
        <f t="shared" si="32"/>
        <v>567742.25</v>
      </c>
      <c r="BE14" s="1855">
        <f>+AW14+AY14</f>
        <v>1131635.3999999999</v>
      </c>
      <c r="BF14" s="650">
        <f>+AX14+AZ14</f>
        <v>1116302.0999999999</v>
      </c>
      <c r="BG14" s="648"/>
      <c r="BH14" s="648"/>
      <c r="BI14" s="648"/>
      <c r="BJ14" s="648"/>
      <c r="BK14" s="648"/>
      <c r="BL14" s="648"/>
      <c r="BM14" s="648"/>
      <c r="BN14" s="648"/>
    </row>
    <row r="15" spans="1:66" ht="15.75" thickBot="1" x14ac:dyDescent="0.3">
      <c r="A15" s="181" t="s">
        <v>478</v>
      </c>
      <c r="B15" s="1826" t="s">
        <v>172</v>
      </c>
      <c r="C15" s="1848" t="s">
        <v>52</v>
      </c>
      <c r="D15" s="1880">
        <f t="shared" ref="D15:J15" si="33">SUM(D13:D14)</f>
        <v>1754860.1999999997</v>
      </c>
      <c r="E15" s="234">
        <f t="shared" si="33"/>
        <v>144156.5</v>
      </c>
      <c r="F15" s="174">
        <f t="shared" si="33"/>
        <v>143720.5</v>
      </c>
      <c r="G15" s="234">
        <f t="shared" ref="G15:H15" si="34">SUM(G13:G14)</f>
        <v>148961.71666666665</v>
      </c>
      <c r="H15" s="174">
        <f t="shared" si="34"/>
        <v>142566.59999999998</v>
      </c>
      <c r="I15" s="2101">
        <f t="shared" si="33"/>
        <v>293118.21666666667</v>
      </c>
      <c r="J15" s="2102">
        <f t="shared" si="33"/>
        <v>286287.10000000003</v>
      </c>
      <c r="K15" s="234">
        <f t="shared" ref="K15:L15" si="35">SUM(K13:K14)</f>
        <v>144156.5</v>
      </c>
      <c r="L15" s="174">
        <f t="shared" si="35"/>
        <v>139902.95000000001</v>
      </c>
      <c r="M15" s="2110">
        <f t="shared" ref="M15:R15" si="36">SUM(M13:M14)</f>
        <v>437274.71666666662</v>
      </c>
      <c r="N15" s="2111">
        <f t="shared" si="36"/>
        <v>426190.05000000005</v>
      </c>
      <c r="O15" s="234">
        <f t="shared" si="36"/>
        <v>148961.71666666665</v>
      </c>
      <c r="P15" s="174">
        <f t="shared" si="36"/>
        <v>146366.95000000001</v>
      </c>
      <c r="Q15" s="2101">
        <f t="shared" si="36"/>
        <v>586236.43333333323</v>
      </c>
      <c r="R15" s="2102">
        <f t="shared" si="36"/>
        <v>572557</v>
      </c>
      <c r="S15" s="2103">
        <f t="shared" ref="S15:Z15" si="37">SUM(S13:S14)</f>
        <v>147005.61666666664</v>
      </c>
      <c r="T15" s="2724">
        <f t="shared" si="37"/>
        <v>146100.1</v>
      </c>
      <c r="U15" s="2101">
        <f t="shared" si="37"/>
        <v>733242.04999999981</v>
      </c>
      <c r="V15" s="2102">
        <f t="shared" si="37"/>
        <v>718657.10000000009</v>
      </c>
      <c r="W15" s="2103">
        <f t="shared" si="37"/>
        <v>142263.49999999997</v>
      </c>
      <c r="X15" s="2100">
        <f t="shared" si="37"/>
        <v>142031.14999999997</v>
      </c>
      <c r="Y15" s="925">
        <f t="shared" si="37"/>
        <v>438230.83333333326</v>
      </c>
      <c r="Z15" s="581">
        <f t="shared" si="37"/>
        <v>434498.19999999995</v>
      </c>
      <c r="AA15" s="3799">
        <f t="shared" ref="AA15:AF15" si="38">SUM(AA13:AA14)</f>
        <v>875505.54999999981</v>
      </c>
      <c r="AB15" s="567">
        <f t="shared" si="38"/>
        <v>860688.25</v>
      </c>
      <c r="AC15" s="4058">
        <f t="shared" si="38"/>
        <v>148961.71666666665</v>
      </c>
      <c r="AD15" s="2724">
        <f t="shared" si="38"/>
        <v>147741.20000000001</v>
      </c>
      <c r="AE15" s="2101">
        <f t="shared" si="38"/>
        <v>1024467.2666666665</v>
      </c>
      <c r="AF15" s="2102">
        <f t="shared" si="38"/>
        <v>1008429.45</v>
      </c>
      <c r="AG15" s="4170">
        <f t="shared" ref="AG15:AN15" si="39">SUM(AG13:AG14)</f>
        <v>144156.5</v>
      </c>
      <c r="AH15" s="2724">
        <f t="shared" si="39"/>
        <v>143210</v>
      </c>
      <c r="AI15" s="2101">
        <f t="shared" si="39"/>
        <v>1168623.7666666666</v>
      </c>
      <c r="AJ15" s="2102">
        <f t="shared" si="39"/>
        <v>1151639.45</v>
      </c>
      <c r="AK15" s="4297">
        <f t="shared" si="39"/>
        <v>148961.71666666665</v>
      </c>
      <c r="AL15" s="4296">
        <f t="shared" si="39"/>
        <v>149456</v>
      </c>
      <c r="AM15" s="925">
        <f t="shared" si="39"/>
        <v>442079.93333333329</v>
      </c>
      <c r="AN15" s="581">
        <f t="shared" si="39"/>
        <v>440407.19999999995</v>
      </c>
      <c r="AO15" s="2101">
        <f t="shared" ref="AO15:AT15" si="40">SUM(AO13:AO14)</f>
        <v>1317585.4833333332</v>
      </c>
      <c r="AP15" s="2102">
        <f t="shared" si="40"/>
        <v>1301095.45</v>
      </c>
      <c r="AQ15" s="4411">
        <f t="shared" si="40"/>
        <v>148961.71666666665</v>
      </c>
      <c r="AR15" s="4410">
        <f t="shared" si="40"/>
        <v>149235.15</v>
      </c>
      <c r="AS15" s="2101">
        <f t="shared" si="40"/>
        <v>1466547.1999999997</v>
      </c>
      <c r="AT15" s="2102">
        <f t="shared" si="40"/>
        <v>1450330.5999999999</v>
      </c>
      <c r="AU15" s="4654">
        <f t="shared" ref="AU15:AX15" si="41">SUM(AU13:AU14)</f>
        <v>139351.28333333333</v>
      </c>
      <c r="AV15" s="4653">
        <f t="shared" si="41"/>
        <v>139740.4</v>
      </c>
      <c r="AW15" s="2101">
        <f t="shared" si="41"/>
        <v>1605898.4833333329</v>
      </c>
      <c r="AX15" s="2102">
        <f t="shared" si="41"/>
        <v>1590071</v>
      </c>
      <c r="AY15" s="5070">
        <f t="shared" ref="AY15:BF15" si="42">SUM(AY13:AY14)</f>
        <v>148961.71666666665</v>
      </c>
      <c r="AZ15" s="5069">
        <f t="shared" si="42"/>
        <v>149301.09999999998</v>
      </c>
      <c r="BA15" s="925">
        <f t="shared" si="42"/>
        <v>437274.71666666662</v>
      </c>
      <c r="BB15" s="581">
        <f t="shared" si="42"/>
        <v>438276.64999999997</v>
      </c>
      <c r="BC15" s="3799">
        <f t="shared" si="42"/>
        <v>879354.64999999991</v>
      </c>
      <c r="BD15" s="567">
        <f t="shared" si="42"/>
        <v>878683.85</v>
      </c>
      <c r="BE15" s="2101">
        <f t="shared" si="42"/>
        <v>1754860.1999999997</v>
      </c>
      <c r="BF15" s="2102">
        <f t="shared" si="42"/>
        <v>1739372.0999999996</v>
      </c>
      <c r="BG15" s="648"/>
      <c r="BH15" s="648"/>
      <c r="BI15" s="648"/>
      <c r="BJ15" s="648"/>
      <c r="BK15" s="648"/>
      <c r="BL15" s="648"/>
      <c r="BM15" s="648"/>
      <c r="BN15" s="648"/>
    </row>
    <row r="16" spans="1:66" s="183" customFormat="1" ht="16.5" thickBot="1" x14ac:dyDescent="0.3">
      <c r="A16" s="182" t="s">
        <v>478</v>
      </c>
      <c r="B16" s="1856" t="s">
        <v>511</v>
      </c>
      <c r="C16" s="2804"/>
      <c r="D16" s="1857"/>
      <c r="E16" s="1857"/>
      <c r="F16" s="1857"/>
      <c r="G16" s="1857"/>
      <c r="H16" s="1857"/>
      <c r="I16" s="2805"/>
      <c r="J16" s="2805"/>
      <c r="K16" s="1857"/>
      <c r="L16" s="1857"/>
      <c r="M16" s="2805"/>
      <c r="N16" s="2805"/>
      <c r="O16" s="1857"/>
      <c r="P16" s="1857"/>
      <c r="Q16" s="2805"/>
      <c r="R16" s="2805"/>
      <c r="S16" s="2805"/>
      <c r="T16" s="2806"/>
      <c r="U16" s="2805"/>
      <c r="V16" s="2805"/>
      <c r="W16" s="1063"/>
      <c r="X16" s="1063"/>
      <c r="Y16" s="585"/>
      <c r="Z16" s="585"/>
      <c r="AA16" s="3800"/>
      <c r="AB16" s="585"/>
      <c r="AC16" s="2805"/>
      <c r="AD16" s="2806"/>
      <c r="AE16" s="2805"/>
      <c r="AF16" s="2805"/>
      <c r="AG16" s="2805"/>
      <c r="AH16" s="2806"/>
      <c r="AI16" s="2805"/>
      <c r="AJ16" s="2805"/>
      <c r="AK16" s="1063"/>
      <c r="AL16" s="1063"/>
      <c r="AM16" s="585"/>
      <c r="AN16" s="585"/>
      <c r="AO16" s="2805"/>
      <c r="AP16" s="2805"/>
      <c r="AQ16" s="1063"/>
      <c r="AR16" s="1063"/>
      <c r="AS16" s="2805"/>
      <c r="AT16" s="2805"/>
      <c r="AU16" s="1063"/>
      <c r="AV16" s="1063"/>
      <c r="AW16" s="2805"/>
      <c r="AX16" s="2805"/>
      <c r="AY16" s="1063"/>
      <c r="AZ16" s="1063"/>
      <c r="BA16" s="585"/>
      <c r="BB16" s="585"/>
      <c r="BC16" s="3800"/>
      <c r="BD16" s="585"/>
      <c r="BE16" s="2805"/>
      <c r="BF16" s="2805"/>
      <c r="BG16" s="648"/>
      <c r="BH16" s="648"/>
      <c r="BI16" s="648"/>
      <c r="BJ16" s="648"/>
      <c r="BK16" s="648"/>
      <c r="BL16" s="648"/>
      <c r="BM16" s="648"/>
      <c r="BN16" s="648"/>
    </row>
    <row r="17" spans="1:66" ht="15.75" thickBot="1" x14ac:dyDescent="0.3">
      <c r="A17" s="181" t="s">
        <v>478</v>
      </c>
      <c r="B17" s="2787" t="s">
        <v>153</v>
      </c>
      <c r="C17" s="1684" t="s">
        <v>52</v>
      </c>
      <c r="D17" s="1881">
        <f>+D13*D33/100</f>
        <v>433141.23600000015</v>
      </c>
      <c r="E17" s="1401">
        <f>+E13*E33/100</f>
        <v>35503.379999999997</v>
      </c>
      <c r="F17" s="1401">
        <v>35508.018647487042</v>
      </c>
      <c r="G17" s="1401">
        <f>+G13*G33/100</f>
        <v>36686.825999999994</v>
      </c>
      <c r="H17" s="1401">
        <v>36403.896582888534</v>
      </c>
      <c r="I17" s="805">
        <f>+E17+G17</f>
        <v>72190.205999999991</v>
      </c>
      <c r="J17" s="57">
        <f>+F17+H17</f>
        <v>71911.915230375569</v>
      </c>
      <c r="K17" s="1401">
        <f>+K13*K33/100</f>
        <v>35503.379999999997</v>
      </c>
      <c r="L17" s="1401">
        <v>35495.568085214996</v>
      </c>
      <c r="M17" s="859">
        <f>+E17+G17+K17</f>
        <v>107693.58599999998</v>
      </c>
      <c r="N17" s="102">
        <f>+F17+H17+L17</f>
        <v>107407.48331559057</v>
      </c>
      <c r="O17" s="1401">
        <f>+O13*O33/100</f>
        <v>36686.825999999994</v>
      </c>
      <c r="P17" s="1881">
        <v>36666.024248594927</v>
      </c>
      <c r="Q17" s="805">
        <f>+M17+O17</f>
        <v>144380.41199999998</v>
      </c>
      <c r="R17" s="57">
        <f>+N17+P17</f>
        <v>144073.50756418548</v>
      </c>
      <c r="S17" s="1401">
        <f>+S13*S33/100</f>
        <v>36686.826000000008</v>
      </c>
      <c r="T17" s="1881">
        <v>36801.598945401238</v>
      </c>
      <c r="U17" s="805">
        <f>+Q17+S17</f>
        <v>181067.23799999998</v>
      </c>
      <c r="V17" s="57">
        <f>+R17+T17</f>
        <v>180875.10650958671</v>
      </c>
      <c r="W17" s="1398">
        <f>+W13*W33/100</f>
        <v>35503.380000000012</v>
      </c>
      <c r="X17" s="1398">
        <v>35479.970823292359</v>
      </c>
      <c r="Y17" s="924">
        <f>+O17+S17+W17</f>
        <v>108877.03200000001</v>
      </c>
      <c r="Z17" s="113">
        <f>+P17+T17+X17</f>
        <v>108947.59401728853</v>
      </c>
      <c r="AA17" s="922">
        <f>+M17+Y17</f>
        <v>216570.61799999999</v>
      </c>
      <c r="AB17" s="922">
        <f>+N17+Z17</f>
        <v>216355.0773328791</v>
      </c>
      <c r="AC17" s="1401">
        <f>+AC13*AC33/100</f>
        <v>36686.826000000008</v>
      </c>
      <c r="AD17" s="1401">
        <v>36145.99044094584</v>
      </c>
      <c r="AE17" s="805">
        <f>+AA17+AC17</f>
        <v>253257.44399999999</v>
      </c>
      <c r="AF17" s="57">
        <f>+AB17+AD17</f>
        <v>252501.06777382494</v>
      </c>
      <c r="AG17" s="1401">
        <f>+AG13*AG33/100</f>
        <v>35503.380000000012</v>
      </c>
      <c r="AH17" s="1401">
        <v>35697.79110229975</v>
      </c>
      <c r="AI17" s="805">
        <f>+AE17+AG17</f>
        <v>288760.82400000002</v>
      </c>
      <c r="AJ17" s="57">
        <f>+AF17+AH17</f>
        <v>288198.85887612466</v>
      </c>
      <c r="AK17" s="1398">
        <f>+AK13*AK33/100</f>
        <v>36686.826000000008</v>
      </c>
      <c r="AL17" s="1398">
        <v>36631.214479613562</v>
      </c>
      <c r="AM17" s="924">
        <f>+AC17+AG17+AK17</f>
        <v>108877.03200000004</v>
      </c>
      <c r="AN17" s="113">
        <f>+AD17+AH17+AL17</f>
        <v>108474.99602285915</v>
      </c>
      <c r="AO17" s="923">
        <f>AI17+AK17</f>
        <v>325447.65000000002</v>
      </c>
      <c r="AP17" s="923">
        <f>AJ17+AL17</f>
        <v>324830.07335573825</v>
      </c>
      <c r="AQ17" s="1398">
        <f>+AQ13*AQ33/100</f>
        <v>36686.826000000008</v>
      </c>
      <c r="AR17" s="1398">
        <v>36627.849906032898</v>
      </c>
      <c r="AS17" s="805">
        <f>+AO17+AQ17</f>
        <v>362134.47600000002</v>
      </c>
      <c r="AT17" s="57">
        <f>+AP17+AR17</f>
        <v>361457.92326177115</v>
      </c>
      <c r="AU17" s="1398">
        <f>+AU13*AU33/100</f>
        <v>34319.934000000016</v>
      </c>
      <c r="AV17" s="1398">
        <v>34268.544699683451</v>
      </c>
      <c r="AW17" s="805">
        <f>+AS17+AU17</f>
        <v>396454.41000000003</v>
      </c>
      <c r="AX17" s="57">
        <f>+AT17+AV17</f>
        <v>395726.46796145459</v>
      </c>
      <c r="AY17" s="1398">
        <f>+AY13*AY33/100</f>
        <v>36686.826000000008</v>
      </c>
      <c r="AZ17" s="1398">
        <v>36656.378813245406</v>
      </c>
      <c r="BA17" s="924">
        <f>+AQ17+AU17+AY17</f>
        <v>107693.58600000004</v>
      </c>
      <c r="BB17" s="113">
        <f>+AR17+AV17+AZ17</f>
        <v>107552.77341896175</v>
      </c>
      <c r="BC17" s="922">
        <f t="shared" ref="BC17:BC18" si="43">+AM17+BA17</f>
        <v>216570.61800000007</v>
      </c>
      <c r="BD17" s="922">
        <f t="shared" ref="BD17:BD18" si="44">+AN17+BB17</f>
        <v>216027.76944182091</v>
      </c>
      <c r="BE17" s="805">
        <f>+AW17+AY17</f>
        <v>433141.23600000003</v>
      </c>
      <c r="BF17" s="57">
        <f>+AX17+AZ17</f>
        <v>432382.84677469998</v>
      </c>
      <c r="BG17" s="648"/>
      <c r="BH17" s="648"/>
      <c r="BI17" s="648"/>
      <c r="BJ17" s="648"/>
      <c r="BK17" s="648"/>
      <c r="BL17" s="648"/>
      <c r="BM17" s="648"/>
      <c r="BN17" s="648"/>
    </row>
    <row r="18" spans="1:66" ht="15.75" thickBot="1" x14ac:dyDescent="0.3">
      <c r="A18" s="181" t="s">
        <v>478</v>
      </c>
      <c r="B18" s="2788" t="s">
        <v>154</v>
      </c>
      <c r="C18" s="1828" t="s">
        <v>52</v>
      </c>
      <c r="D18" s="2790">
        <f>+D14*D33/100</f>
        <v>786486.60300000024</v>
      </c>
      <c r="E18" s="1632">
        <f>+E14*E33/100</f>
        <v>64685.387499999997</v>
      </c>
      <c r="F18" s="1632">
        <v>64256.416418162582</v>
      </c>
      <c r="G18" s="1632">
        <f>+G14*G33/100</f>
        <v>66841.567083333328</v>
      </c>
      <c r="H18" s="1632">
        <v>61819.739306427509</v>
      </c>
      <c r="I18" s="927">
        <f>+E18+G18</f>
        <v>131526.95458333334</v>
      </c>
      <c r="J18" s="58">
        <f>+F18+H18</f>
        <v>126076.15572459009</v>
      </c>
      <c r="K18" s="1632">
        <f>+K14*K33/100</f>
        <v>64685.387499999997</v>
      </c>
      <c r="L18" s="1632">
        <v>61584.839772173647</v>
      </c>
      <c r="M18" s="2789">
        <f>+E18+G18+K18</f>
        <v>196212.34208333335</v>
      </c>
      <c r="N18" s="2112">
        <f>+F18+H18+L18</f>
        <v>187660.99549676373</v>
      </c>
      <c r="O18" s="1632">
        <f>+O14*O33/100</f>
        <v>66841.567083333328</v>
      </c>
      <c r="P18" s="5729">
        <v>64935.115784060174</v>
      </c>
      <c r="Q18" s="927">
        <f>+M18+O18</f>
        <v>263053.90916666668</v>
      </c>
      <c r="R18" s="58">
        <f>+N18+P18</f>
        <v>252596.11128082391</v>
      </c>
      <c r="S18" s="1632">
        <f>+S14*S33/100</f>
        <v>65482.077583333339</v>
      </c>
      <c r="T18" s="5729">
        <v>64593.095253148495</v>
      </c>
      <c r="U18" s="927">
        <f>+Q18+S18</f>
        <v>328535.98675000004</v>
      </c>
      <c r="V18" s="58">
        <f>+R18+T18</f>
        <v>317189.20653397241</v>
      </c>
      <c r="W18" s="1632">
        <f>+W14*W33/100</f>
        <v>63369.75250000001</v>
      </c>
      <c r="X18" s="1632">
        <v>63067.050390864912</v>
      </c>
      <c r="Y18" s="924">
        <f>+O18+S18+W18</f>
        <v>195693.39716666666</v>
      </c>
      <c r="Z18" s="113">
        <f>+P18+T18+X18</f>
        <v>192595.26142807357</v>
      </c>
      <c r="AA18" s="922">
        <f>+M18+Y18</f>
        <v>391905.73924999998</v>
      </c>
      <c r="AB18" s="922">
        <f>+N18+Z18</f>
        <v>380256.2569248373</v>
      </c>
      <c r="AC18" s="1632">
        <f>+AC14*AC33/100</f>
        <v>66841.567083333357</v>
      </c>
      <c r="AD18" s="1632">
        <v>66390.260421813131</v>
      </c>
      <c r="AE18" s="927">
        <f>+AA18+AC18</f>
        <v>458747.30633333337</v>
      </c>
      <c r="AF18" s="58">
        <f>+AB18+AD18</f>
        <v>446646.51734665042</v>
      </c>
      <c r="AG18" s="1632">
        <f>+AG14*AG33/100</f>
        <v>64685.387500000026</v>
      </c>
      <c r="AH18" s="1632">
        <v>64378.175222975238</v>
      </c>
      <c r="AI18" s="927">
        <f>+AE18+AG18</f>
        <v>523432.69383333338</v>
      </c>
      <c r="AJ18" s="58">
        <f>+AF18+AH18</f>
        <v>511024.69256962568</v>
      </c>
      <c r="AK18" s="1632">
        <f>+AK14*AK33/100</f>
        <v>66841.567083333357</v>
      </c>
      <c r="AL18" s="1632">
        <v>67083.251850323562</v>
      </c>
      <c r="AM18" s="924">
        <f>+AC18+AG18+AK18</f>
        <v>198368.52166666675</v>
      </c>
      <c r="AN18" s="113">
        <f>+AD18+AH18+AL18</f>
        <v>197851.68749511195</v>
      </c>
      <c r="AO18" s="923">
        <f>AI18+AK18</f>
        <v>590274.26091666671</v>
      </c>
      <c r="AP18" s="923">
        <f>AJ18+AL18</f>
        <v>578107.9444199492</v>
      </c>
      <c r="AQ18" s="1632">
        <f>+AQ14*AQ33/100</f>
        <v>66841.567083333357</v>
      </c>
      <c r="AR18" s="1632">
        <v>66923.846254831296</v>
      </c>
      <c r="AS18" s="927">
        <f>+AO18+AQ18</f>
        <v>657115.8280000001</v>
      </c>
      <c r="AT18" s="58">
        <f>+AP18+AR18</f>
        <v>645031.7906747805</v>
      </c>
      <c r="AU18" s="1632">
        <f>+AU14*AU33/100</f>
        <v>62529.207916666688</v>
      </c>
      <c r="AV18" s="1632">
        <v>62705.610317846404</v>
      </c>
      <c r="AW18" s="927">
        <f>+AS18+AU18</f>
        <v>719645.03591666673</v>
      </c>
      <c r="AX18" s="58">
        <f>+AT18+AV18</f>
        <v>707737.40099262691</v>
      </c>
      <c r="AY18" s="1632">
        <f>+AY14*AY33/100</f>
        <v>66841.567083333357</v>
      </c>
      <c r="AZ18" s="1632">
        <v>66954.248715743583</v>
      </c>
      <c r="BA18" s="924">
        <f>+AQ18+AU18+AY18</f>
        <v>196212.34208333341</v>
      </c>
      <c r="BB18" s="113">
        <f>+AR18+AV18+AZ18</f>
        <v>196583.7052884213</v>
      </c>
      <c r="BC18" s="922">
        <f t="shared" si="43"/>
        <v>394580.86375000014</v>
      </c>
      <c r="BD18" s="922">
        <f t="shared" si="44"/>
        <v>394435.39278353326</v>
      </c>
      <c r="BE18" s="927">
        <f>+AW18+AY18</f>
        <v>786486.60300000012</v>
      </c>
      <c r="BF18" s="58">
        <f>+AX18+AZ18</f>
        <v>774691.64970837045</v>
      </c>
      <c r="BG18" s="648"/>
      <c r="BH18" s="648"/>
      <c r="BI18" s="648"/>
      <c r="BJ18" s="648"/>
      <c r="BK18" s="648"/>
      <c r="BL18" s="648"/>
      <c r="BM18" s="648"/>
      <c r="BN18" s="648"/>
    </row>
    <row r="19" spans="1:66" ht="15.75" thickBot="1" x14ac:dyDescent="0.3">
      <c r="A19" s="181" t="s">
        <v>478</v>
      </c>
      <c r="B19" s="1826" t="s">
        <v>80</v>
      </c>
      <c r="C19" s="1829" t="s">
        <v>52</v>
      </c>
      <c r="D19" s="1880">
        <f t="shared" ref="D19:J19" si="45">SUM(D17:D18)</f>
        <v>1219627.8390000004</v>
      </c>
      <c r="E19" s="234">
        <f t="shared" si="45"/>
        <v>100188.76749999999</v>
      </c>
      <c r="F19" s="234">
        <f t="shared" si="45"/>
        <v>99764.435065649624</v>
      </c>
      <c r="G19" s="234">
        <f t="shared" ref="G19:H19" si="46">SUM(G17:G18)</f>
        <v>103528.39308333333</v>
      </c>
      <c r="H19" s="234">
        <f t="shared" si="46"/>
        <v>98223.635889316036</v>
      </c>
      <c r="I19" s="908">
        <f t="shared" si="45"/>
        <v>203717.16058333335</v>
      </c>
      <c r="J19" s="1405">
        <f t="shared" si="45"/>
        <v>197988.07095496566</v>
      </c>
      <c r="K19" s="234">
        <f t="shared" ref="K19:L19" si="47">SUM(K17:K18)</f>
        <v>100188.76749999999</v>
      </c>
      <c r="L19" s="234">
        <f t="shared" si="47"/>
        <v>97080.407857388636</v>
      </c>
      <c r="M19" s="929">
        <f t="shared" ref="M19:R19" si="48">SUM(M17:M18)</f>
        <v>303905.9280833333</v>
      </c>
      <c r="N19" s="208">
        <f t="shared" si="48"/>
        <v>295068.47881235427</v>
      </c>
      <c r="O19" s="234">
        <f t="shared" si="48"/>
        <v>103528.39308333333</v>
      </c>
      <c r="P19" s="1880">
        <f t="shared" si="48"/>
        <v>101601.14003265509</v>
      </c>
      <c r="Q19" s="908">
        <f t="shared" si="48"/>
        <v>407434.32116666669</v>
      </c>
      <c r="R19" s="1405">
        <f t="shared" si="48"/>
        <v>396669.61884500936</v>
      </c>
      <c r="S19" s="234">
        <f t="shared" ref="S19:Z19" si="49">SUM(S17:S18)</f>
        <v>102168.90358333335</v>
      </c>
      <c r="T19" s="1880">
        <f t="shared" si="49"/>
        <v>101394.69419854973</v>
      </c>
      <c r="U19" s="908">
        <f t="shared" si="49"/>
        <v>509603.22475000005</v>
      </c>
      <c r="V19" s="1405">
        <f t="shared" si="49"/>
        <v>498064.31304355909</v>
      </c>
      <c r="W19" s="234">
        <f t="shared" si="49"/>
        <v>98873.132500000022</v>
      </c>
      <c r="X19" s="234">
        <f t="shared" si="49"/>
        <v>98547.02121415727</v>
      </c>
      <c r="Y19" s="911">
        <f t="shared" si="49"/>
        <v>304570.4291666667</v>
      </c>
      <c r="Z19" s="208">
        <f t="shared" si="49"/>
        <v>301542.8554453621</v>
      </c>
      <c r="AA19" s="3799">
        <f t="shared" ref="AA19:AF19" si="50">SUM(AA17:AA18)</f>
        <v>608476.35725</v>
      </c>
      <c r="AB19" s="567">
        <f t="shared" si="50"/>
        <v>596611.33425771643</v>
      </c>
      <c r="AC19" s="234">
        <f t="shared" si="50"/>
        <v>103528.39308333336</v>
      </c>
      <c r="AD19" s="234">
        <f t="shared" si="50"/>
        <v>102536.25086275897</v>
      </c>
      <c r="AE19" s="908">
        <f t="shared" si="50"/>
        <v>712004.75033333339</v>
      </c>
      <c r="AF19" s="1405">
        <f t="shared" si="50"/>
        <v>699147.58512047539</v>
      </c>
      <c r="AG19" s="234">
        <f t="shared" ref="AG19:AN19" si="51">SUM(AG17:AG18)</f>
        <v>100188.76750000005</v>
      </c>
      <c r="AH19" s="234">
        <f t="shared" si="51"/>
        <v>100075.96632527499</v>
      </c>
      <c r="AI19" s="908">
        <f t="shared" si="51"/>
        <v>812193.51783333346</v>
      </c>
      <c r="AJ19" s="1405">
        <f t="shared" si="51"/>
        <v>799223.55144575029</v>
      </c>
      <c r="AK19" s="234">
        <f t="shared" si="51"/>
        <v>103528.39308333336</v>
      </c>
      <c r="AL19" s="234">
        <f t="shared" si="51"/>
        <v>103714.46632993713</v>
      </c>
      <c r="AM19" s="911">
        <f t="shared" si="51"/>
        <v>307245.55366666679</v>
      </c>
      <c r="AN19" s="208">
        <f t="shared" si="51"/>
        <v>306326.68351797108</v>
      </c>
      <c r="AO19" s="908">
        <f t="shared" ref="AO19:AT19" si="52">SUM(AO17:AO18)</f>
        <v>915721.91091666673</v>
      </c>
      <c r="AP19" s="1405">
        <f t="shared" si="52"/>
        <v>902938.01777568739</v>
      </c>
      <c r="AQ19" s="234">
        <f t="shared" si="52"/>
        <v>103528.39308333336</v>
      </c>
      <c r="AR19" s="234">
        <f t="shared" si="52"/>
        <v>103551.6961608642</v>
      </c>
      <c r="AS19" s="908">
        <f t="shared" si="52"/>
        <v>1019250.3040000001</v>
      </c>
      <c r="AT19" s="1405">
        <f t="shared" si="52"/>
        <v>1006489.7139365517</v>
      </c>
      <c r="AU19" s="234">
        <f t="shared" ref="AU19:AX19" si="53">SUM(AU17:AU18)</f>
        <v>96849.141916666704</v>
      </c>
      <c r="AV19" s="234">
        <f t="shared" si="53"/>
        <v>96974.155017529847</v>
      </c>
      <c r="AW19" s="908">
        <f t="shared" si="53"/>
        <v>1116099.4459166666</v>
      </c>
      <c r="AX19" s="1405">
        <f t="shared" si="53"/>
        <v>1103463.8689540816</v>
      </c>
      <c r="AY19" s="234">
        <f t="shared" ref="AY19:BF19" si="54">SUM(AY17:AY18)</f>
        <v>103528.39308333336</v>
      </c>
      <c r="AZ19" s="234">
        <f t="shared" si="54"/>
        <v>103610.62752898899</v>
      </c>
      <c r="BA19" s="911">
        <f t="shared" si="54"/>
        <v>303905.92808333342</v>
      </c>
      <c r="BB19" s="208">
        <f t="shared" si="54"/>
        <v>304136.47870738304</v>
      </c>
      <c r="BC19" s="3799">
        <f t="shared" si="54"/>
        <v>611151.48175000027</v>
      </c>
      <c r="BD19" s="567">
        <f t="shared" si="54"/>
        <v>610463.16222535423</v>
      </c>
      <c r="BE19" s="908">
        <f t="shared" si="54"/>
        <v>1219627.8390000002</v>
      </c>
      <c r="BF19" s="1405">
        <f t="shared" si="54"/>
        <v>1207074.4964830703</v>
      </c>
      <c r="BG19" s="648"/>
      <c r="BH19" s="648"/>
      <c r="BI19" s="648"/>
      <c r="BJ19" s="648"/>
      <c r="BK19" s="648"/>
      <c r="BL19" s="648"/>
      <c r="BM19" s="648"/>
      <c r="BN19" s="648"/>
    </row>
    <row r="20" spans="1:66" ht="15.75" thickBot="1" x14ac:dyDescent="0.3">
      <c r="A20" s="181" t="s">
        <v>478</v>
      </c>
      <c r="B20" s="2785" t="s">
        <v>156</v>
      </c>
      <c r="C20" s="1828" t="s">
        <v>52</v>
      </c>
      <c r="D20" s="1662">
        <f>+D13*D34/100</f>
        <v>9348.3720000000012</v>
      </c>
      <c r="E20" s="1398">
        <f>+E13*E34/100</f>
        <v>766.26</v>
      </c>
      <c r="F20" s="1398">
        <v>852.96918049667931</v>
      </c>
      <c r="G20" s="1398">
        <f>+G13*G34/100</f>
        <v>791.80200000000002</v>
      </c>
      <c r="H20" s="1398">
        <v>1125.4164341326418</v>
      </c>
      <c r="I20" s="923">
        <f>+E20+G20</f>
        <v>1558.0619999999999</v>
      </c>
      <c r="J20" s="89">
        <f>+F20+H20</f>
        <v>1978.385614629321</v>
      </c>
      <c r="K20" s="1398">
        <f>+K13*K34/100</f>
        <v>766.26</v>
      </c>
      <c r="L20" s="1398">
        <v>1004.6143157674957</v>
      </c>
      <c r="M20" s="1399">
        <f>+E20+G20+K20</f>
        <v>2324.3220000000001</v>
      </c>
      <c r="N20" s="113">
        <f>+F20+H20+L20</f>
        <v>2982.9999303968166</v>
      </c>
      <c r="O20" s="1398">
        <f>+O13*O34/100</f>
        <v>791.80200000000002</v>
      </c>
      <c r="P20" s="1662">
        <v>894.72116097168612</v>
      </c>
      <c r="Q20" s="923">
        <f>+M20+O20</f>
        <v>3116.1240000000003</v>
      </c>
      <c r="R20" s="89">
        <f>+N20+P20</f>
        <v>3877.7210913685026</v>
      </c>
      <c r="S20" s="1398">
        <f>+S13*S34/100</f>
        <v>791.80200000000013</v>
      </c>
      <c r="T20" s="1662">
        <v>785.24033021039315</v>
      </c>
      <c r="U20" s="923">
        <f>+Q20+S20</f>
        <v>3907.9260000000004</v>
      </c>
      <c r="V20" s="89">
        <f>+R20+T20</f>
        <v>4662.9614215788961</v>
      </c>
      <c r="W20" s="1398">
        <f>+W13*W34/100</f>
        <v>766.2600000000001</v>
      </c>
      <c r="X20" s="1398">
        <v>860.67886978528782</v>
      </c>
      <c r="Y20" s="924">
        <f>+O20+S20+W20</f>
        <v>2349.8640000000005</v>
      </c>
      <c r="Z20" s="113">
        <f>+P20+T20+X20</f>
        <v>2540.6403609673671</v>
      </c>
      <c r="AA20" s="922">
        <f>+M20+Y20</f>
        <v>4674.1860000000006</v>
      </c>
      <c r="AB20" s="922">
        <f>+N20+Z20</f>
        <v>5523.6402913641832</v>
      </c>
      <c r="AC20" s="1398">
        <f>+AC13*AC34/100</f>
        <v>791.80200000000013</v>
      </c>
      <c r="AD20" s="1398">
        <v>823.63686883785635</v>
      </c>
      <c r="AE20" s="923">
        <f>+AA20+AC20</f>
        <v>5465.9880000000012</v>
      </c>
      <c r="AF20" s="89">
        <f>+AB20+AD20</f>
        <v>6347.2771602020393</v>
      </c>
      <c r="AG20" s="1398">
        <f>+AG13*AG34/100</f>
        <v>766.2600000000001</v>
      </c>
      <c r="AH20" s="1398">
        <v>819.54884286634103</v>
      </c>
      <c r="AI20" s="923">
        <f>+AE20+AG20</f>
        <v>6232.2480000000014</v>
      </c>
      <c r="AJ20" s="89">
        <f>+AF20+AH20</f>
        <v>7166.8260030683805</v>
      </c>
      <c r="AK20" s="1398">
        <f>+AK13*AK34/100</f>
        <v>791.80200000000013</v>
      </c>
      <c r="AL20" s="1398">
        <v>824.843284381545</v>
      </c>
      <c r="AM20" s="924">
        <f>+AC20+AG20+AK20</f>
        <v>2349.8640000000005</v>
      </c>
      <c r="AN20" s="113">
        <f>+AD20+AH20+AL20</f>
        <v>2468.0289960857422</v>
      </c>
      <c r="AO20" s="923">
        <f>AI20+AK20</f>
        <v>7024.0500000000011</v>
      </c>
      <c r="AP20" s="923">
        <f>AJ20+AL20</f>
        <v>7991.6692874499258</v>
      </c>
      <c r="AQ20" s="1398">
        <f>+AQ13*AQ34/100</f>
        <v>791.80200000000013</v>
      </c>
      <c r="AR20" s="1398">
        <v>899.63868351936958</v>
      </c>
      <c r="AS20" s="923">
        <f>+AO20+AQ20</f>
        <v>7815.8520000000008</v>
      </c>
      <c r="AT20" s="89">
        <f>+AP20+AR20</f>
        <v>8891.3079709692956</v>
      </c>
      <c r="AU20" s="1398">
        <f>+AU13*AU34/100</f>
        <v>740.71800000000007</v>
      </c>
      <c r="AV20" s="1398">
        <v>424.62268393496896</v>
      </c>
      <c r="AW20" s="923">
        <f>+AS20+AU20</f>
        <v>8556.5700000000015</v>
      </c>
      <c r="AX20" s="89">
        <f>+AT20+AV20</f>
        <v>9315.9306549042649</v>
      </c>
      <c r="AY20" s="1398">
        <f>+AY13*AY34/100</f>
        <v>791.80200000000013</v>
      </c>
      <c r="AZ20" s="1398">
        <v>738.14482379429501</v>
      </c>
      <c r="BA20" s="924">
        <f>+AQ20+AU20+AY20</f>
        <v>2324.3220000000001</v>
      </c>
      <c r="BB20" s="113">
        <f>+AR20+AV20+AZ20</f>
        <v>2062.4061912486336</v>
      </c>
      <c r="BC20" s="922">
        <f t="shared" ref="BC20:BC21" si="55">+AM20+BA20</f>
        <v>4674.1860000000006</v>
      </c>
      <c r="BD20" s="922">
        <f t="shared" ref="BD20:BD21" si="56">+AN20+BB20</f>
        <v>4530.4351873343758</v>
      </c>
      <c r="BE20" s="923">
        <f>+AW20+AY20</f>
        <v>9348.3720000000012</v>
      </c>
      <c r="BF20" s="89">
        <f>+AX20+AZ20</f>
        <v>10054.07547869856</v>
      </c>
      <c r="BG20" s="648"/>
      <c r="BH20" s="648"/>
      <c r="BI20" s="648"/>
      <c r="BJ20" s="648"/>
      <c r="BK20" s="648"/>
      <c r="BL20" s="648"/>
      <c r="BM20" s="648"/>
      <c r="BN20" s="648"/>
    </row>
    <row r="21" spans="1:66" ht="15.75" thickBot="1" x14ac:dyDescent="0.3">
      <c r="A21" s="181" t="s">
        <v>478</v>
      </c>
      <c r="B21" s="2786" t="s">
        <v>157</v>
      </c>
      <c r="C21" s="1828" t="s">
        <v>52</v>
      </c>
      <c r="D21" s="1879">
        <f>+D14*D34/100</f>
        <v>16974.531000000003</v>
      </c>
      <c r="E21" s="873">
        <f>+E14*E34/100</f>
        <v>1396.0875000000001</v>
      </c>
      <c r="F21" s="873">
        <v>1543.5595941857036</v>
      </c>
      <c r="G21" s="873">
        <f>+G14*G34/100</f>
        <v>1442.62375</v>
      </c>
      <c r="H21" s="873">
        <v>1911.1402102474813</v>
      </c>
      <c r="I21" s="928">
        <f>+E21+G21</f>
        <v>2838.7112500000003</v>
      </c>
      <c r="J21" s="89">
        <f>+F21+H21</f>
        <v>3454.6998044331849</v>
      </c>
      <c r="K21" s="873">
        <f>+K14*K34/100</f>
        <v>1396.0875000000001</v>
      </c>
      <c r="L21" s="873">
        <v>1743.0066627147021</v>
      </c>
      <c r="M21" s="2793">
        <f>+E21+G21+K21</f>
        <v>4234.7987499999999</v>
      </c>
      <c r="N21" s="113">
        <f>+F21+H21+L21</f>
        <v>5197.7064671478875</v>
      </c>
      <c r="O21" s="873">
        <f>+O14*O34/100</f>
        <v>1442.62375</v>
      </c>
      <c r="P21" s="1879">
        <v>1584.5410941812588</v>
      </c>
      <c r="Q21" s="928">
        <f>+M21+O21</f>
        <v>5677.4224999999997</v>
      </c>
      <c r="R21" s="89">
        <f>+N21+P21</f>
        <v>6782.2475613291463</v>
      </c>
      <c r="S21" s="873">
        <f>+S14*S34/100</f>
        <v>1413.2822499999997</v>
      </c>
      <c r="T21" s="1879">
        <v>1378.2309709190463</v>
      </c>
      <c r="U21" s="928">
        <f>+Q21+S21</f>
        <v>7090.704749999999</v>
      </c>
      <c r="V21" s="89">
        <f>+R21+T21</f>
        <v>8160.478532248193</v>
      </c>
      <c r="W21" s="873">
        <f>+W14*W34/100</f>
        <v>1367.6924999999997</v>
      </c>
      <c r="X21" s="873">
        <v>1529.8907071103522</v>
      </c>
      <c r="Y21" s="924">
        <f>+O21+S21+W21</f>
        <v>4223.5985000000001</v>
      </c>
      <c r="Z21" s="113">
        <f>+P21+T21+X21</f>
        <v>4492.6627722106568</v>
      </c>
      <c r="AA21" s="922">
        <f>+M21+Y21</f>
        <v>8458.39725</v>
      </c>
      <c r="AB21" s="922">
        <f>+N21+Z21</f>
        <v>9690.3692393585443</v>
      </c>
      <c r="AC21" s="873">
        <f>+AC14*AC34/100</f>
        <v>1442.62375</v>
      </c>
      <c r="AD21" s="873">
        <v>1512.7947954418032</v>
      </c>
      <c r="AE21" s="928">
        <f>+AA21+AC21</f>
        <v>9901.0210000000006</v>
      </c>
      <c r="AF21" s="89">
        <f>+AB21+AD21</f>
        <v>11203.164034800348</v>
      </c>
      <c r="AG21" s="873">
        <f>+AG14*AG34/100</f>
        <v>1396.0875000000003</v>
      </c>
      <c r="AH21" s="873">
        <v>1477.9922617239163</v>
      </c>
      <c r="AI21" s="928">
        <f>+AE21+AG21</f>
        <v>11297.1085</v>
      </c>
      <c r="AJ21" s="89">
        <f>+AF21+AH21</f>
        <v>12681.156296524263</v>
      </c>
      <c r="AK21" s="873">
        <f>+AK14*AK34/100</f>
        <v>1442.62375</v>
      </c>
      <c r="AL21" s="873">
        <v>1510.5469630009104</v>
      </c>
      <c r="AM21" s="924">
        <f>+AC21+AG21+AK21</f>
        <v>4281.335</v>
      </c>
      <c r="AN21" s="113">
        <f>+AD21+AH21+AL21</f>
        <v>4501.3340201666297</v>
      </c>
      <c r="AO21" s="923">
        <f>AI21+AK21</f>
        <v>12739.732250000001</v>
      </c>
      <c r="AP21" s="923">
        <f>AJ21+AL21</f>
        <v>14191.703259525173</v>
      </c>
      <c r="AQ21" s="873">
        <f>+AQ14*AQ34/100</f>
        <v>1442.62375</v>
      </c>
      <c r="AR21" s="873">
        <v>1643.7568979672076</v>
      </c>
      <c r="AS21" s="928">
        <f>+AO21+AQ21</f>
        <v>14182.356000000002</v>
      </c>
      <c r="AT21" s="89">
        <f>+AP21+AR21</f>
        <v>15835.46015749238</v>
      </c>
      <c r="AU21" s="873">
        <f>+AU14*AU34/100</f>
        <v>1349.55125</v>
      </c>
      <c r="AV21" s="873">
        <v>776.98731546047179</v>
      </c>
      <c r="AW21" s="928">
        <f>+AS21+AU21</f>
        <v>15531.907250000002</v>
      </c>
      <c r="AX21" s="89">
        <f>+AT21+AV21</f>
        <v>16612.447472952852</v>
      </c>
      <c r="AY21" s="873">
        <f>+AY14*AY34/100</f>
        <v>1442.62375</v>
      </c>
      <c r="AZ21" s="873">
        <v>1348.249164827592</v>
      </c>
      <c r="BA21" s="924">
        <f>+AQ21+AU21+AY21</f>
        <v>4234.7987499999999</v>
      </c>
      <c r="BB21" s="113">
        <f>+AR21+AV21+AZ21</f>
        <v>3768.9933782552716</v>
      </c>
      <c r="BC21" s="922">
        <f t="shared" si="55"/>
        <v>8516.1337500000009</v>
      </c>
      <c r="BD21" s="922">
        <f t="shared" si="56"/>
        <v>8270.3273984219013</v>
      </c>
      <c r="BE21" s="928">
        <f>+AW21+AY21</f>
        <v>16974.531000000003</v>
      </c>
      <c r="BF21" s="89">
        <f>+AX21+AZ21</f>
        <v>17960.696637780446</v>
      </c>
      <c r="BG21" s="648"/>
      <c r="BH21" s="648"/>
      <c r="BI21" s="648"/>
      <c r="BJ21" s="648"/>
      <c r="BK21" s="648"/>
      <c r="BL21" s="648"/>
      <c r="BM21" s="648"/>
      <c r="BN21" s="648"/>
    </row>
    <row r="22" spans="1:66" ht="15.75" thickBot="1" x14ac:dyDescent="0.3">
      <c r="A22" s="181" t="s">
        <v>478</v>
      </c>
      <c r="B22" s="1826" t="s">
        <v>146</v>
      </c>
      <c r="C22" s="1829" t="s">
        <v>52</v>
      </c>
      <c r="D22" s="1880">
        <f t="shared" ref="D22:J22" si="57">SUM(D20:D21)</f>
        <v>26322.903000000006</v>
      </c>
      <c r="E22" s="234">
        <f t="shared" si="57"/>
        <v>2162.3474999999999</v>
      </c>
      <c r="F22" s="234">
        <f t="shared" si="57"/>
        <v>2396.5287746823828</v>
      </c>
      <c r="G22" s="234">
        <f t="shared" ref="G22:H22" si="58">SUM(G20:G21)</f>
        <v>2234.4257499999999</v>
      </c>
      <c r="H22" s="234">
        <f t="shared" si="58"/>
        <v>3036.5566443801231</v>
      </c>
      <c r="I22" s="908">
        <f t="shared" si="57"/>
        <v>4396.7732500000002</v>
      </c>
      <c r="J22" s="1405">
        <f t="shared" si="57"/>
        <v>5433.0854190625059</v>
      </c>
      <c r="K22" s="234">
        <f t="shared" ref="K22:L22" si="59">SUM(K20:K21)</f>
        <v>2162.3474999999999</v>
      </c>
      <c r="L22" s="234">
        <f t="shared" si="59"/>
        <v>2747.6209784821976</v>
      </c>
      <c r="M22" s="929">
        <f t="shared" ref="M22:R22" si="60">SUM(M20:M21)</f>
        <v>6559.12075</v>
      </c>
      <c r="N22" s="208">
        <f t="shared" si="60"/>
        <v>8180.7063975447036</v>
      </c>
      <c r="O22" s="234">
        <f t="shared" si="60"/>
        <v>2234.4257499999999</v>
      </c>
      <c r="P22" s="1880">
        <f t="shared" si="60"/>
        <v>2479.2622551529448</v>
      </c>
      <c r="Q22" s="908">
        <f>SUM(Q20:Q21)</f>
        <v>8793.5465000000004</v>
      </c>
      <c r="R22" s="1405">
        <f t="shared" si="60"/>
        <v>10659.968652697649</v>
      </c>
      <c r="S22" s="234">
        <f t="shared" ref="S22:Z22" si="61">SUM(S20:S21)</f>
        <v>2205.0842499999999</v>
      </c>
      <c r="T22" s="1880">
        <f t="shared" si="61"/>
        <v>2163.4713011294393</v>
      </c>
      <c r="U22" s="908">
        <f t="shared" si="61"/>
        <v>10998.63075</v>
      </c>
      <c r="V22" s="1405">
        <f t="shared" si="61"/>
        <v>12823.439953827088</v>
      </c>
      <c r="W22" s="234">
        <f t="shared" si="61"/>
        <v>2133.9524999999999</v>
      </c>
      <c r="X22" s="234">
        <f t="shared" si="61"/>
        <v>2390.5695768956402</v>
      </c>
      <c r="Y22" s="911">
        <f t="shared" si="61"/>
        <v>6573.4625000000005</v>
      </c>
      <c r="Z22" s="208">
        <f t="shared" si="61"/>
        <v>7033.3031331780239</v>
      </c>
      <c r="AA22" s="3799">
        <f t="shared" ref="AA22:AF22" si="62">SUM(AA20:AA21)</f>
        <v>13132.58325</v>
      </c>
      <c r="AB22" s="567">
        <f t="shared" si="62"/>
        <v>15214.009530722728</v>
      </c>
      <c r="AC22" s="234">
        <f t="shared" si="62"/>
        <v>2234.4257500000003</v>
      </c>
      <c r="AD22" s="234">
        <f t="shared" si="62"/>
        <v>2336.4316642796593</v>
      </c>
      <c r="AE22" s="908">
        <f t="shared" si="62"/>
        <v>15367.009000000002</v>
      </c>
      <c r="AF22" s="1405">
        <f t="shared" si="62"/>
        <v>17550.441195002386</v>
      </c>
      <c r="AG22" s="234">
        <f t="shared" ref="AG22:AN22" si="63">SUM(AG20:AG21)</f>
        <v>2162.3475000000003</v>
      </c>
      <c r="AH22" s="234">
        <f t="shared" si="63"/>
        <v>2297.5411045902574</v>
      </c>
      <c r="AI22" s="908">
        <f t="shared" si="63"/>
        <v>17529.356500000002</v>
      </c>
      <c r="AJ22" s="1405">
        <f t="shared" si="63"/>
        <v>19847.982299592644</v>
      </c>
      <c r="AK22" s="234">
        <f t="shared" si="63"/>
        <v>2234.4257500000003</v>
      </c>
      <c r="AL22" s="234">
        <f t="shared" si="63"/>
        <v>2335.3902473824555</v>
      </c>
      <c r="AM22" s="911">
        <f t="shared" si="63"/>
        <v>6631.1990000000005</v>
      </c>
      <c r="AN22" s="208">
        <f t="shared" si="63"/>
        <v>6969.3630162523714</v>
      </c>
      <c r="AO22" s="908">
        <f t="shared" ref="AO22:AT22" si="64">SUM(AO20:AO21)</f>
        <v>19763.782250000004</v>
      </c>
      <c r="AP22" s="1405">
        <f t="shared" si="64"/>
        <v>22183.372546975101</v>
      </c>
      <c r="AQ22" s="234">
        <f t="shared" si="64"/>
        <v>2234.4257500000003</v>
      </c>
      <c r="AR22" s="234">
        <f t="shared" si="64"/>
        <v>2543.3955814865772</v>
      </c>
      <c r="AS22" s="908">
        <f t="shared" si="64"/>
        <v>21998.208000000002</v>
      </c>
      <c r="AT22" s="1405">
        <f t="shared" si="64"/>
        <v>24726.768128461677</v>
      </c>
      <c r="AU22" s="234">
        <f t="shared" ref="AU22:AX22" si="65">SUM(AU20:AU21)</f>
        <v>2090.2692500000003</v>
      </c>
      <c r="AV22" s="234">
        <f t="shared" si="65"/>
        <v>1201.6099993954408</v>
      </c>
      <c r="AW22" s="908">
        <f t="shared" si="65"/>
        <v>24088.477250000004</v>
      </c>
      <c r="AX22" s="1405">
        <f t="shared" si="65"/>
        <v>25928.378127857119</v>
      </c>
      <c r="AY22" s="234">
        <f t="shared" ref="AY22:BF22" si="66">SUM(AY20:AY21)</f>
        <v>2234.4257500000003</v>
      </c>
      <c r="AZ22" s="234">
        <f t="shared" si="66"/>
        <v>2086.3939886218868</v>
      </c>
      <c r="BA22" s="911">
        <f t="shared" si="66"/>
        <v>6559.12075</v>
      </c>
      <c r="BB22" s="208">
        <f t="shared" si="66"/>
        <v>5831.3995695039048</v>
      </c>
      <c r="BC22" s="3799">
        <f t="shared" si="66"/>
        <v>13190.319750000002</v>
      </c>
      <c r="BD22" s="567">
        <f t="shared" si="66"/>
        <v>12800.762585756278</v>
      </c>
      <c r="BE22" s="908">
        <f t="shared" si="66"/>
        <v>26322.903000000006</v>
      </c>
      <c r="BF22" s="1405">
        <f t="shared" si="66"/>
        <v>28014.772116479005</v>
      </c>
      <c r="BG22" s="648"/>
      <c r="BH22" s="648"/>
      <c r="BI22" s="648"/>
      <c r="BJ22" s="648"/>
      <c r="BK22" s="648"/>
      <c r="BL22" s="648"/>
      <c r="BM22" s="648"/>
      <c r="BN22" s="648"/>
    </row>
    <row r="23" spans="1:66" ht="15.75" thickBot="1" x14ac:dyDescent="0.3">
      <c r="A23" s="181" t="s">
        <v>478</v>
      </c>
      <c r="B23" s="2785" t="s">
        <v>158</v>
      </c>
      <c r="C23" s="1828" t="s">
        <v>52</v>
      </c>
      <c r="D23" s="1662">
        <f>+D13*D35/100</f>
        <v>24928.991999999998</v>
      </c>
      <c r="E23" s="1398">
        <f>+E13*E35/100</f>
        <v>2043.36</v>
      </c>
      <c r="F23" s="1398">
        <v>1878.0366364880663</v>
      </c>
      <c r="G23" s="1398">
        <f>+G13*G35/100</f>
        <v>2111.4719999999998</v>
      </c>
      <c r="H23" s="1398">
        <v>1876.708833517213</v>
      </c>
      <c r="I23" s="864">
        <f>+E23+G23</f>
        <v>4154.8319999999994</v>
      </c>
      <c r="J23" s="89">
        <f>+F23+H23</f>
        <v>3754.7454700052795</v>
      </c>
      <c r="K23" s="1398">
        <f>+K13*K35/100</f>
        <v>2043.36</v>
      </c>
      <c r="L23" s="1398">
        <v>1650.7637346159013</v>
      </c>
      <c r="M23" s="1399">
        <f>+E23+G23+K23</f>
        <v>6198.1919999999991</v>
      </c>
      <c r="N23" s="113">
        <f>+F23+H23+L23</f>
        <v>5405.5092046211812</v>
      </c>
      <c r="O23" s="1398">
        <f>+O13*O35/100</f>
        <v>2111.4719999999998</v>
      </c>
      <c r="P23" s="1662">
        <v>1824.1572973446648</v>
      </c>
      <c r="Q23" s="864">
        <f>+M23+O23</f>
        <v>8309.6639999999989</v>
      </c>
      <c r="R23" s="89">
        <f>+N23+P23</f>
        <v>7229.6665019658458</v>
      </c>
      <c r="S23" s="1398">
        <f>+S13*S35/100</f>
        <v>2111.4719999999998</v>
      </c>
      <c r="T23" s="1662">
        <v>1954.3014338947735</v>
      </c>
      <c r="U23" s="864">
        <f>+Q23+S23</f>
        <v>10421.135999999999</v>
      </c>
      <c r="V23" s="89">
        <f>+R23+T23</f>
        <v>9183.967935860619</v>
      </c>
      <c r="W23" s="1398">
        <f>+W13*W35/100</f>
        <v>2043.36</v>
      </c>
      <c r="X23" s="1398">
        <v>1801.8468468810343</v>
      </c>
      <c r="Y23" s="924">
        <f>+O23+S23+W23</f>
        <v>6266.3039999999992</v>
      </c>
      <c r="Z23" s="113">
        <f>+P23+T23+X23</f>
        <v>5580.305578120473</v>
      </c>
      <c r="AA23" s="922">
        <f>+M23+Y23</f>
        <v>12464.495999999999</v>
      </c>
      <c r="AB23" s="922">
        <f>+N23+Z23</f>
        <v>10985.814782741654</v>
      </c>
      <c r="AC23" s="1398">
        <f>+AC13*AC35/100</f>
        <v>2111.4719999999998</v>
      </c>
      <c r="AD23" s="1398">
        <v>1868.4666804344145</v>
      </c>
      <c r="AE23" s="864">
        <f>+AA23+AC23</f>
        <v>14575.967999999999</v>
      </c>
      <c r="AF23" s="89">
        <f>+AB23+AD23</f>
        <v>12854.281463176068</v>
      </c>
      <c r="AG23" s="1398">
        <f>+AG13*AG35/100</f>
        <v>2043.36</v>
      </c>
      <c r="AH23" s="1398">
        <v>1575.7969864553465</v>
      </c>
      <c r="AI23" s="864">
        <f>+AE23+AG23</f>
        <v>16619.327999999998</v>
      </c>
      <c r="AJ23" s="89">
        <f>+AF23+AH23</f>
        <v>14430.078449631415</v>
      </c>
      <c r="AK23" s="1398">
        <f>+AK13*AK35/100</f>
        <v>2111.4719999999998</v>
      </c>
      <c r="AL23" s="1398">
        <v>1883.3004442602669</v>
      </c>
      <c r="AM23" s="924">
        <f>+AC23+AG23+AK23</f>
        <v>6266.3039999999992</v>
      </c>
      <c r="AN23" s="113">
        <f>+AD23+AH23+AL23</f>
        <v>5327.5641111500281</v>
      </c>
      <c r="AO23" s="923">
        <f>AI23+AK23</f>
        <v>18730.799999999996</v>
      </c>
      <c r="AP23" s="923">
        <f>AJ23+AL23</f>
        <v>16313.378893891682</v>
      </c>
      <c r="AQ23" s="1398">
        <f>+AQ13*AQ35/100</f>
        <v>2111.4719999999998</v>
      </c>
      <c r="AR23" s="1398">
        <v>1735.7634878668978</v>
      </c>
      <c r="AS23" s="864">
        <f>+AO23+AQ23</f>
        <v>20842.271999999997</v>
      </c>
      <c r="AT23" s="89">
        <f>+AP23+AR23</f>
        <v>18049.142381758582</v>
      </c>
      <c r="AU23" s="1398">
        <f>+AU13*AU35/100</f>
        <v>1975.2479999999998</v>
      </c>
      <c r="AV23" s="1398">
        <v>1972.0148771914985</v>
      </c>
      <c r="AW23" s="864">
        <f>+AS23+AU23</f>
        <v>22817.519999999997</v>
      </c>
      <c r="AX23" s="89">
        <f>+AT23+AV23</f>
        <v>20021.157258950079</v>
      </c>
      <c r="AY23" s="1398">
        <f>+AY13*AY35/100</f>
        <v>2111.4719999999998</v>
      </c>
      <c r="AZ23" s="1398">
        <v>1898.1615988193548</v>
      </c>
      <c r="BA23" s="924">
        <f>+AQ23+AU23+AY23</f>
        <v>6198.1919999999991</v>
      </c>
      <c r="BB23" s="113">
        <f>+AR23+AV23+AZ23</f>
        <v>5605.9399638777504</v>
      </c>
      <c r="BC23" s="922">
        <f t="shared" ref="BC23:BC24" si="67">+AM23+BA23</f>
        <v>12464.495999999999</v>
      </c>
      <c r="BD23" s="922">
        <f t="shared" ref="BD23:BD24" si="68">+AN23+BB23</f>
        <v>10933.504075027779</v>
      </c>
      <c r="BE23" s="864">
        <f>+AW23+AY23</f>
        <v>24928.991999999998</v>
      </c>
      <c r="BF23" s="89">
        <f>+AX23+AZ23</f>
        <v>21919.318857769435</v>
      </c>
      <c r="BG23" s="648"/>
      <c r="BH23" s="648"/>
      <c r="BI23" s="648"/>
      <c r="BJ23" s="648"/>
      <c r="BK23" s="648"/>
      <c r="BL23" s="648"/>
      <c r="BM23" s="648"/>
      <c r="BN23" s="648"/>
    </row>
    <row r="24" spans="1:66" ht="15.75" thickBot="1" x14ac:dyDescent="0.3">
      <c r="A24" s="181" t="s">
        <v>478</v>
      </c>
      <c r="B24" s="2786" t="s">
        <v>159</v>
      </c>
      <c r="C24" s="1828" t="s">
        <v>52</v>
      </c>
      <c r="D24" s="1879">
        <f>+D14*D35/100</f>
        <v>45265.415999999997</v>
      </c>
      <c r="E24" s="873">
        <f>+E14*E35/100</f>
        <v>3722.9</v>
      </c>
      <c r="F24" s="873">
        <v>3398.5535875931796</v>
      </c>
      <c r="G24" s="873">
        <f>+G14*G35/100</f>
        <v>3846.9966666666664</v>
      </c>
      <c r="H24" s="873">
        <v>3186.9569395666636</v>
      </c>
      <c r="I24" s="2792">
        <f>+E24+G24</f>
        <v>7569.8966666666665</v>
      </c>
      <c r="J24" s="201">
        <f>+F24+H24</f>
        <v>6585.5105271598432</v>
      </c>
      <c r="K24" s="873">
        <f>+K14*K35/100</f>
        <v>3722.9</v>
      </c>
      <c r="L24" s="873">
        <v>2864.0764349502169</v>
      </c>
      <c r="M24" s="2793">
        <f>+E24+G24+K24</f>
        <v>11292.796666666667</v>
      </c>
      <c r="N24" s="113">
        <f>+F24+H24+L24</f>
        <v>9449.586962110061</v>
      </c>
      <c r="O24" s="873">
        <f>+O14*O35/100</f>
        <v>3846.9966666666664</v>
      </c>
      <c r="P24" s="1879">
        <v>3230.5620186228198</v>
      </c>
      <c r="Q24" s="2792">
        <f>+M24+O24</f>
        <v>15139.793333333333</v>
      </c>
      <c r="R24" s="201">
        <f>+N24+P24</f>
        <v>12680.14898073288</v>
      </c>
      <c r="S24" s="873">
        <f>+S14*S35/100</f>
        <v>3768.7526666666654</v>
      </c>
      <c r="T24" s="1879">
        <v>3430.1329912379838</v>
      </c>
      <c r="U24" s="2792">
        <f>+Q24+S24</f>
        <v>18908.545999999998</v>
      </c>
      <c r="V24" s="201">
        <f>+R24+T24</f>
        <v>16110.281971970864</v>
      </c>
      <c r="W24" s="873">
        <f>+W14*W35/100</f>
        <v>3647.1799999999989</v>
      </c>
      <c r="X24" s="873">
        <v>3202.8539835851616</v>
      </c>
      <c r="Y24" s="924">
        <f>+O24+S24+W24</f>
        <v>11262.92933333333</v>
      </c>
      <c r="Z24" s="113">
        <f>+P24+T24+X24</f>
        <v>9863.5489934459656</v>
      </c>
      <c r="AA24" s="922">
        <f>+M24+Y24</f>
        <v>22555.725999999995</v>
      </c>
      <c r="AB24" s="922">
        <f>+N24+Z24</f>
        <v>19313.135955556027</v>
      </c>
      <c r="AC24" s="873">
        <f>+AC14*AC35/100</f>
        <v>3846.9966666666664</v>
      </c>
      <c r="AD24" s="873">
        <v>3431.8602973734282</v>
      </c>
      <c r="AE24" s="4070">
        <f>+AA24+AC24</f>
        <v>26402.722666666661</v>
      </c>
      <c r="AF24" s="201">
        <f>+AB24+AD24</f>
        <v>22744.996252929453</v>
      </c>
      <c r="AG24" s="873">
        <f>+AG14*AG35/100</f>
        <v>3722.9</v>
      </c>
      <c r="AH24" s="873">
        <v>2841.8266614631834</v>
      </c>
      <c r="AI24" s="4176">
        <f>+AE24+AG24</f>
        <v>30125.622666666663</v>
      </c>
      <c r="AJ24" s="201">
        <f>+AF24+AH24</f>
        <v>25586.822914392636</v>
      </c>
      <c r="AK24" s="873">
        <f>+AK14*AK35/100</f>
        <v>3846.9966666666664</v>
      </c>
      <c r="AL24" s="873">
        <v>3448.9142608812163</v>
      </c>
      <c r="AM24" s="924">
        <f>+AC24+AG24+AK24</f>
        <v>11416.893333333333</v>
      </c>
      <c r="AN24" s="113">
        <f>+AD24+AH24+AL24</f>
        <v>9722.6012197178279</v>
      </c>
      <c r="AO24" s="923">
        <f>AI24+AK24</f>
        <v>33972.619333333329</v>
      </c>
      <c r="AP24" s="923">
        <f>AJ24+AL24</f>
        <v>29035.737175273855</v>
      </c>
      <c r="AQ24" s="873">
        <f>+AQ14*AQ35/100</f>
        <v>3846.9966666666664</v>
      </c>
      <c r="AR24" s="873">
        <v>3171.4656769307353</v>
      </c>
      <c r="AS24" s="4419">
        <f>+AO24+AQ24</f>
        <v>37819.615999999995</v>
      </c>
      <c r="AT24" s="201">
        <f>+AP24+AR24</f>
        <v>32207.202852204591</v>
      </c>
      <c r="AU24" s="873">
        <f>+AU14*AU35/100</f>
        <v>3598.8033333333333</v>
      </c>
      <c r="AV24" s="873">
        <v>3608.4519349696252</v>
      </c>
      <c r="AW24" s="4666">
        <f>+AS24+AU24</f>
        <v>41418.419333333324</v>
      </c>
      <c r="AX24" s="201">
        <f>+AT24+AV24</f>
        <v>35815.654787174215</v>
      </c>
      <c r="AY24" s="873">
        <f>+AY14*AY35/100</f>
        <v>3846.9966666666664</v>
      </c>
      <c r="AZ24" s="873">
        <v>3467.063248050621</v>
      </c>
      <c r="BA24" s="924">
        <f>+AQ24+AU24+AY24</f>
        <v>11292.796666666665</v>
      </c>
      <c r="BB24" s="113">
        <f>+AR24+AV24+AZ24</f>
        <v>10246.980859950982</v>
      </c>
      <c r="BC24" s="922">
        <f t="shared" si="67"/>
        <v>22709.69</v>
      </c>
      <c r="BD24" s="922">
        <f t="shared" si="68"/>
        <v>19969.582079668809</v>
      </c>
      <c r="BE24" s="5081">
        <f>+AW24+AY24</f>
        <v>45265.41599999999</v>
      </c>
      <c r="BF24" s="201">
        <f>+AX24+AZ24</f>
        <v>39282.71803522484</v>
      </c>
      <c r="BG24" s="648"/>
      <c r="BH24" s="648"/>
      <c r="BI24" s="648"/>
      <c r="BJ24" s="648"/>
      <c r="BK24" s="648"/>
      <c r="BL24" s="648"/>
      <c r="BM24" s="648"/>
      <c r="BN24" s="648"/>
    </row>
    <row r="25" spans="1:66" ht="15.75" thickBot="1" x14ac:dyDescent="0.3">
      <c r="A25" s="181" t="s">
        <v>478</v>
      </c>
      <c r="B25" s="1826" t="s">
        <v>147</v>
      </c>
      <c r="C25" s="1829" t="s">
        <v>52</v>
      </c>
      <c r="D25" s="1880">
        <f t="shared" ref="D25:J25" si="69">SUM(D23:D24)</f>
        <v>70194.407999999996</v>
      </c>
      <c r="E25" s="234">
        <f t="shared" si="69"/>
        <v>5766.26</v>
      </c>
      <c r="F25" s="234">
        <f t="shared" si="69"/>
        <v>5276.5902240812457</v>
      </c>
      <c r="G25" s="234">
        <f t="shared" ref="G25:H25" si="70">SUM(G23:G24)</f>
        <v>5958.4686666666657</v>
      </c>
      <c r="H25" s="234">
        <f t="shared" si="70"/>
        <v>5063.665773083876</v>
      </c>
      <c r="I25" s="1404">
        <f t="shared" si="69"/>
        <v>11724.728666666666</v>
      </c>
      <c r="J25" s="1405">
        <f t="shared" si="69"/>
        <v>10340.255997165123</v>
      </c>
      <c r="K25" s="234">
        <f t="shared" ref="K25:L25" si="71">SUM(K23:K24)</f>
        <v>5766.26</v>
      </c>
      <c r="L25" s="234">
        <f t="shared" si="71"/>
        <v>4514.8401695661178</v>
      </c>
      <c r="M25" s="929">
        <f t="shared" ref="M25:R25" si="72">SUM(M23:M24)</f>
        <v>17490.988666666664</v>
      </c>
      <c r="N25" s="208">
        <f t="shared" si="72"/>
        <v>14855.096166731242</v>
      </c>
      <c r="O25" s="234">
        <f t="shared" si="72"/>
        <v>5958.4686666666657</v>
      </c>
      <c r="P25" s="1880">
        <f t="shared" si="72"/>
        <v>5054.7193159674844</v>
      </c>
      <c r="Q25" s="1404">
        <f t="shared" si="72"/>
        <v>23449.457333333332</v>
      </c>
      <c r="R25" s="1405">
        <f t="shared" si="72"/>
        <v>19909.815482698727</v>
      </c>
      <c r="S25" s="234">
        <f t="shared" ref="S25:Z25" si="73">SUM(S23:S24)</f>
        <v>5880.2246666666651</v>
      </c>
      <c r="T25" s="1880">
        <f t="shared" si="73"/>
        <v>5384.4344251327575</v>
      </c>
      <c r="U25" s="1404">
        <f t="shared" si="73"/>
        <v>29329.681999999997</v>
      </c>
      <c r="V25" s="1405">
        <f t="shared" si="73"/>
        <v>25294.249907831483</v>
      </c>
      <c r="W25" s="234">
        <f t="shared" si="73"/>
        <v>5690.5399999999991</v>
      </c>
      <c r="X25" s="234">
        <f t="shared" si="73"/>
        <v>5004.7008304661958</v>
      </c>
      <c r="Y25" s="929">
        <f t="shared" si="73"/>
        <v>17529.23333333333</v>
      </c>
      <c r="Z25" s="208">
        <f t="shared" si="73"/>
        <v>15443.854571566439</v>
      </c>
      <c r="AA25" s="3801">
        <f t="shared" ref="AA25:AF25" si="74">SUM(AA23:AA24)</f>
        <v>35020.221999999994</v>
      </c>
      <c r="AB25" s="567">
        <f t="shared" si="74"/>
        <v>30298.950738297681</v>
      </c>
      <c r="AC25" s="234">
        <f t="shared" si="74"/>
        <v>5958.4686666666657</v>
      </c>
      <c r="AD25" s="234">
        <f t="shared" si="74"/>
        <v>5300.3269778078429</v>
      </c>
      <c r="AE25" s="1404">
        <f t="shared" si="74"/>
        <v>40978.690666666662</v>
      </c>
      <c r="AF25" s="1405">
        <f t="shared" si="74"/>
        <v>35599.27771610552</v>
      </c>
      <c r="AG25" s="234">
        <f t="shared" ref="AG25:AN25" si="75">SUM(AG23:AG24)</f>
        <v>5766.26</v>
      </c>
      <c r="AH25" s="234">
        <f t="shared" si="75"/>
        <v>4417.62364791853</v>
      </c>
      <c r="AI25" s="1404">
        <f t="shared" si="75"/>
        <v>46744.950666666657</v>
      </c>
      <c r="AJ25" s="1405">
        <f t="shared" si="75"/>
        <v>40016.901364024052</v>
      </c>
      <c r="AK25" s="234">
        <f t="shared" si="75"/>
        <v>5958.4686666666657</v>
      </c>
      <c r="AL25" s="234">
        <f t="shared" si="75"/>
        <v>5332.2147051414831</v>
      </c>
      <c r="AM25" s="929">
        <f t="shared" si="75"/>
        <v>17683.197333333334</v>
      </c>
      <c r="AN25" s="208">
        <f t="shared" si="75"/>
        <v>15050.165330867856</v>
      </c>
      <c r="AO25" s="1404">
        <f t="shared" ref="AO25:AT25" si="76">SUM(AO23:AO24)</f>
        <v>52703.419333333324</v>
      </c>
      <c r="AP25" s="1405">
        <f t="shared" si="76"/>
        <v>45349.116069165539</v>
      </c>
      <c r="AQ25" s="234">
        <f t="shared" si="76"/>
        <v>5958.4686666666657</v>
      </c>
      <c r="AR25" s="234">
        <f t="shared" si="76"/>
        <v>4907.2291647976326</v>
      </c>
      <c r="AS25" s="1404">
        <f t="shared" si="76"/>
        <v>58661.887999999992</v>
      </c>
      <c r="AT25" s="1405">
        <f t="shared" si="76"/>
        <v>50256.345233963177</v>
      </c>
      <c r="AU25" s="234">
        <f t="shared" ref="AU25:AX25" si="77">SUM(AU23:AU24)</f>
        <v>5574.0513333333329</v>
      </c>
      <c r="AV25" s="234">
        <f t="shared" si="77"/>
        <v>5580.4668121611239</v>
      </c>
      <c r="AW25" s="1404">
        <f t="shared" si="77"/>
        <v>64235.939333333321</v>
      </c>
      <c r="AX25" s="1405">
        <f t="shared" si="77"/>
        <v>55836.812046124294</v>
      </c>
      <c r="AY25" s="234">
        <f t="shared" ref="AY25:BF25" si="78">SUM(AY23:AY24)</f>
        <v>5958.4686666666657</v>
      </c>
      <c r="AZ25" s="234">
        <f t="shared" si="78"/>
        <v>5365.2248468699763</v>
      </c>
      <c r="BA25" s="929">
        <f t="shared" si="78"/>
        <v>17490.988666666664</v>
      </c>
      <c r="BB25" s="208">
        <f t="shared" si="78"/>
        <v>15852.920823828732</v>
      </c>
      <c r="BC25" s="3801">
        <f t="shared" si="78"/>
        <v>35174.186000000002</v>
      </c>
      <c r="BD25" s="567">
        <f t="shared" si="78"/>
        <v>30903.08615469659</v>
      </c>
      <c r="BE25" s="1404">
        <f t="shared" si="78"/>
        <v>70194.407999999996</v>
      </c>
      <c r="BF25" s="1405">
        <f t="shared" si="78"/>
        <v>61202.036892994278</v>
      </c>
      <c r="BG25" s="648"/>
      <c r="BH25" s="648"/>
      <c r="BI25" s="648"/>
      <c r="BJ25" s="648"/>
      <c r="BK25" s="648"/>
      <c r="BL25" s="648"/>
      <c r="BM25" s="648"/>
      <c r="BN25" s="648"/>
    </row>
    <row r="26" spans="1:66" ht="15.75" thickBot="1" x14ac:dyDescent="0.3">
      <c r="A26" s="181" t="s">
        <v>478</v>
      </c>
      <c r="B26" s="2785" t="s">
        <v>160</v>
      </c>
      <c r="C26" s="1828" t="s">
        <v>52</v>
      </c>
      <c r="D26" s="1662">
        <f>+D13*D36/100</f>
        <v>6232.2479999999996</v>
      </c>
      <c r="E26" s="1398">
        <f>+E13*E36/100</f>
        <v>510.84</v>
      </c>
      <c r="F26" s="1398">
        <v>323.88593137374278</v>
      </c>
      <c r="G26" s="1398">
        <f>+G13*G36/100</f>
        <v>527.86799999999994</v>
      </c>
      <c r="H26" s="1398">
        <v>427.32782573197375</v>
      </c>
      <c r="I26" s="864">
        <f>+E26+G26</f>
        <v>1038.7079999999999</v>
      </c>
      <c r="J26" s="89">
        <f>+F26+H26</f>
        <v>751.21375710571647</v>
      </c>
      <c r="K26" s="1398">
        <f>+K13*K36/100</f>
        <v>510.84</v>
      </c>
      <c r="L26" s="1398">
        <v>411.51724391801605</v>
      </c>
      <c r="M26" s="1399">
        <f>+E26+G26+K26</f>
        <v>1549.5479999999998</v>
      </c>
      <c r="N26" s="113">
        <f>+F26+H26+L26</f>
        <v>1162.7310010237325</v>
      </c>
      <c r="O26" s="1398">
        <f>+O13*O36/100</f>
        <v>527.86799999999994</v>
      </c>
      <c r="P26" s="1662">
        <v>435.39998525987539</v>
      </c>
      <c r="Q26" s="864">
        <f>+M26+O26</f>
        <v>2077.4159999999997</v>
      </c>
      <c r="R26" s="89">
        <f>+N26+P26</f>
        <v>1598.1309862836079</v>
      </c>
      <c r="S26" s="1398">
        <f>+S13*S36/100</f>
        <v>527.86799999999994</v>
      </c>
      <c r="T26" s="1662">
        <v>434.76069067714405</v>
      </c>
      <c r="U26" s="864">
        <f>+Q26+S26</f>
        <v>2605.2839999999997</v>
      </c>
      <c r="V26" s="89">
        <f>+R26+T26</f>
        <v>2032.891676960752</v>
      </c>
      <c r="W26" s="1398">
        <f>+W13*W36/100</f>
        <v>510.84</v>
      </c>
      <c r="X26" s="1398">
        <v>407.19492590181807</v>
      </c>
      <c r="Y26" s="924">
        <f>+O26+S26+W26</f>
        <v>1566.5759999999998</v>
      </c>
      <c r="Z26" s="113">
        <f>+P26+T26+X26</f>
        <v>1277.3556018388376</v>
      </c>
      <c r="AA26" s="922">
        <f>+M26+Y26</f>
        <v>3116.1239999999998</v>
      </c>
      <c r="AB26" s="922">
        <f>+N26+Z26</f>
        <v>2440.0866028625701</v>
      </c>
      <c r="AC26" s="1398">
        <f>+AC13*AC36/100</f>
        <v>527.86799999999994</v>
      </c>
      <c r="AD26" s="1398">
        <v>425.13807658256457</v>
      </c>
      <c r="AE26" s="864">
        <f>+AA26+AC26</f>
        <v>3643.9919999999997</v>
      </c>
      <c r="AF26" s="89">
        <f>+AB26+AD26</f>
        <v>2865.2246794451348</v>
      </c>
      <c r="AG26" s="1398">
        <f>+AG13*AG36/100</f>
        <v>510.84</v>
      </c>
      <c r="AH26" s="1398">
        <v>409.1428531527128</v>
      </c>
      <c r="AI26" s="864">
        <f>+AE26+AG26</f>
        <v>4154.8319999999994</v>
      </c>
      <c r="AJ26" s="89">
        <f>+AF26+AH26</f>
        <v>3274.3675325978475</v>
      </c>
      <c r="AK26" s="1398">
        <f>+AK13*AK36/100</f>
        <v>527.86799999999994</v>
      </c>
      <c r="AL26" s="1398">
        <v>454.91247189808365</v>
      </c>
      <c r="AM26" s="924">
        <f>+AC26+AG26+AK26</f>
        <v>1566.5759999999998</v>
      </c>
      <c r="AN26" s="113">
        <f>+AD26+AH26+AL26</f>
        <v>1289.193401633361</v>
      </c>
      <c r="AO26" s="923">
        <f>AI26+AK26</f>
        <v>4682.6999999999989</v>
      </c>
      <c r="AP26" s="923">
        <f>AJ26+AL26</f>
        <v>3729.2800044959313</v>
      </c>
      <c r="AQ26" s="1398">
        <f>+AQ13*AQ36/100</f>
        <v>527.86799999999994</v>
      </c>
      <c r="AR26" s="1398">
        <v>525.26765979730646</v>
      </c>
      <c r="AS26" s="864">
        <f>+AO26+AQ26</f>
        <v>5210.5679999999993</v>
      </c>
      <c r="AT26" s="89">
        <f>+AP26+AR26</f>
        <v>4254.5476642932381</v>
      </c>
      <c r="AU26" s="1398">
        <f>+AU13*AU36/100</f>
        <v>493.81199999999995</v>
      </c>
      <c r="AV26" s="1398">
        <v>493.81199999999995</v>
      </c>
      <c r="AW26" s="864">
        <f>+AS26+AU26</f>
        <v>5704.3799999999992</v>
      </c>
      <c r="AX26" s="89">
        <f>+AT26+AV26</f>
        <v>4748.359664293238</v>
      </c>
      <c r="AY26" s="1398">
        <f>+AY13*AY36/100</f>
        <v>527.86799999999994</v>
      </c>
      <c r="AZ26" s="1398">
        <v>528.20810831266488</v>
      </c>
      <c r="BA26" s="924">
        <f>+AQ26+AU26+AY26</f>
        <v>1549.5479999999998</v>
      </c>
      <c r="BB26" s="113">
        <f>+AR26+AV26+AZ26</f>
        <v>1547.2877681099712</v>
      </c>
      <c r="BC26" s="922">
        <f t="shared" ref="BC26:BC27" si="79">+AM26+BA26</f>
        <v>3116.1239999999998</v>
      </c>
      <c r="BD26" s="922">
        <f t="shared" ref="BD26:BD27" si="80">+AN26+BB26</f>
        <v>2836.4811697433324</v>
      </c>
      <c r="BE26" s="864">
        <f>+AW26+AY26</f>
        <v>6232.2479999999996</v>
      </c>
      <c r="BF26" s="89">
        <f>+AX26+AZ26</f>
        <v>5276.567772605903</v>
      </c>
      <c r="BG26" s="648"/>
      <c r="BH26" s="648"/>
      <c r="BI26" s="648"/>
      <c r="BJ26" s="648"/>
      <c r="BK26" s="648"/>
      <c r="BL26" s="648"/>
      <c r="BM26" s="648"/>
      <c r="BN26" s="648"/>
    </row>
    <row r="27" spans="1:66" ht="15.75" thickBot="1" x14ac:dyDescent="0.3">
      <c r="A27" s="181" t="s">
        <v>478</v>
      </c>
      <c r="B27" s="2786" t="s">
        <v>161</v>
      </c>
      <c r="C27" s="1828" t="s">
        <v>52</v>
      </c>
      <c r="D27" s="1879">
        <f>+D14*D36/100</f>
        <v>11316.353999999999</v>
      </c>
      <c r="E27" s="873">
        <f>+E14*E36/100</f>
        <v>930.72500000000002</v>
      </c>
      <c r="F27" s="873">
        <v>586.11406862625722</v>
      </c>
      <c r="G27" s="873">
        <f>+G14*G36/100</f>
        <v>961.74916666666661</v>
      </c>
      <c r="H27" s="873">
        <v>725.67217426802654</v>
      </c>
      <c r="I27" s="864">
        <f>+E27+G27</f>
        <v>1892.4741666666666</v>
      </c>
      <c r="J27" s="201">
        <f>+F27+H27</f>
        <v>1311.7862428942838</v>
      </c>
      <c r="K27" s="873">
        <f>+K14*K36/100</f>
        <v>930.72500000000002</v>
      </c>
      <c r="L27" s="873">
        <v>713.98275608198401</v>
      </c>
      <c r="M27" s="2793">
        <f>+E27+G27+K27</f>
        <v>2823.1991666666668</v>
      </c>
      <c r="N27" s="113">
        <f>+F27+H27+L27</f>
        <v>2025.7689989762678</v>
      </c>
      <c r="O27" s="873">
        <f>+O14*O36/100</f>
        <v>961.74916666666661</v>
      </c>
      <c r="P27" s="1879">
        <v>771.08846771985486</v>
      </c>
      <c r="Q27" s="864">
        <f>+M27+O27</f>
        <v>3784.9483333333333</v>
      </c>
      <c r="R27" s="201">
        <f>+N27+P27</f>
        <v>2796.8574666961226</v>
      </c>
      <c r="S27" s="873">
        <f>+S14*S36/100</f>
        <v>942.18816666666635</v>
      </c>
      <c r="T27" s="1879">
        <v>763.07930932285251</v>
      </c>
      <c r="U27" s="864">
        <f>+Q27+S27</f>
        <v>4727.1364999999996</v>
      </c>
      <c r="V27" s="201">
        <f>+R27+T27</f>
        <v>3559.9367760189753</v>
      </c>
      <c r="W27" s="873">
        <f>+W14*W36/100</f>
        <v>911.79499999999973</v>
      </c>
      <c r="X27" s="873">
        <v>723.8050740981821</v>
      </c>
      <c r="Y27" s="924">
        <f>+O27+S27+W27</f>
        <v>2815.7323333333325</v>
      </c>
      <c r="Z27" s="113">
        <f>+P27+T27+X27</f>
        <v>2257.9728511408894</v>
      </c>
      <c r="AA27" s="922">
        <f>+M27+Y27</f>
        <v>5638.9314999999988</v>
      </c>
      <c r="AB27" s="922">
        <f>+N27+Z27</f>
        <v>4283.7418501171569</v>
      </c>
      <c r="AC27" s="873">
        <f>+AC14*AC36/100</f>
        <v>961.74916666666661</v>
      </c>
      <c r="AD27" s="873">
        <v>780.86192341743526</v>
      </c>
      <c r="AE27" s="864">
        <f>+AA27+AC27</f>
        <v>6600.6806666666653</v>
      </c>
      <c r="AF27" s="201">
        <f>+AB27+AD27</f>
        <v>5064.6037735345926</v>
      </c>
      <c r="AG27" s="873">
        <f>+AG14*AG36/100</f>
        <v>930.72500000000002</v>
      </c>
      <c r="AH27" s="873">
        <v>737.85714684728714</v>
      </c>
      <c r="AI27" s="864">
        <f>+AE27+AG27</f>
        <v>7531.4056666666656</v>
      </c>
      <c r="AJ27" s="201">
        <f>+AF27+AH27</f>
        <v>5802.46092038188</v>
      </c>
      <c r="AK27" s="873">
        <f>+AK14*AK36/100</f>
        <v>961.74916666666661</v>
      </c>
      <c r="AL27" s="873">
        <v>833.08752810191629</v>
      </c>
      <c r="AM27" s="924">
        <f>+AC27+AG27+AK27</f>
        <v>2854.2233333333334</v>
      </c>
      <c r="AN27" s="113">
        <f>+AD27+AH27+AL27</f>
        <v>2351.8065983666388</v>
      </c>
      <c r="AO27" s="923">
        <f>AI27+AK27</f>
        <v>8493.1548333333321</v>
      </c>
      <c r="AP27" s="923">
        <f>AJ27+AL27</f>
        <v>6635.5484484837962</v>
      </c>
      <c r="AQ27" s="873">
        <f>+AQ14*AQ36/100</f>
        <v>961.74916666666661</v>
      </c>
      <c r="AR27" s="873">
        <v>959.73234020269354</v>
      </c>
      <c r="AS27" s="864">
        <f>+AO27+AQ27</f>
        <v>9454.9039999999986</v>
      </c>
      <c r="AT27" s="201">
        <f>+AP27+AR27</f>
        <v>7595.2807886864894</v>
      </c>
      <c r="AU27" s="873">
        <f>+AU14*AU36/100</f>
        <v>899.70083333333332</v>
      </c>
      <c r="AV27" s="873">
        <v>903.59199999999998</v>
      </c>
      <c r="AW27" s="864">
        <f>+AS27+AU27</f>
        <v>10354.604833333331</v>
      </c>
      <c r="AX27" s="201">
        <f>+AT27+AV27</f>
        <v>8498.872788686489</v>
      </c>
      <c r="AY27" s="873">
        <f>+AY14*AY36/100</f>
        <v>961.74916666666661</v>
      </c>
      <c r="AZ27" s="873">
        <v>964.79189168733535</v>
      </c>
      <c r="BA27" s="924">
        <f>+AQ27+AU27+AY27</f>
        <v>2823.1991666666663</v>
      </c>
      <c r="BB27" s="113">
        <f>+AR27+AV27+AZ27</f>
        <v>2828.1162318900288</v>
      </c>
      <c r="BC27" s="922">
        <f t="shared" si="79"/>
        <v>5677.4224999999997</v>
      </c>
      <c r="BD27" s="922">
        <f t="shared" si="80"/>
        <v>5179.922830256668</v>
      </c>
      <c r="BE27" s="864">
        <f>+AW27+AY27</f>
        <v>11316.353999999998</v>
      </c>
      <c r="BF27" s="201">
        <f>+AX27+AZ27</f>
        <v>9463.664680373824</v>
      </c>
      <c r="BG27" s="648"/>
      <c r="BH27" s="648"/>
      <c r="BI27" s="648"/>
      <c r="BJ27" s="648"/>
      <c r="BK27" s="648"/>
      <c r="BL27" s="648"/>
      <c r="BM27" s="648"/>
      <c r="BN27" s="648"/>
    </row>
    <row r="28" spans="1:66" ht="15.75" thickBot="1" x14ac:dyDescent="0.3">
      <c r="A28" s="181" t="s">
        <v>478</v>
      </c>
      <c r="B28" s="1826" t="s">
        <v>148</v>
      </c>
      <c r="C28" s="1829" t="s">
        <v>52</v>
      </c>
      <c r="D28" s="1880">
        <f t="shared" ref="D28:J28" si="81">SUM(D26:D27)</f>
        <v>17548.601999999999</v>
      </c>
      <c r="E28" s="234">
        <f t="shared" si="81"/>
        <v>1441.5650000000001</v>
      </c>
      <c r="F28" s="234">
        <f t="shared" si="81"/>
        <v>910</v>
      </c>
      <c r="G28" s="234">
        <f t="shared" ref="G28:H28" si="82">SUM(G26:G27)</f>
        <v>1489.6171666666664</v>
      </c>
      <c r="H28" s="234">
        <f t="shared" si="82"/>
        <v>1153.0000000000002</v>
      </c>
      <c r="I28" s="1404">
        <f t="shared" si="81"/>
        <v>2931.1821666666665</v>
      </c>
      <c r="J28" s="1405">
        <f t="shared" si="81"/>
        <v>2063</v>
      </c>
      <c r="K28" s="234">
        <f t="shared" ref="K28:L28" si="83">SUM(K26:K27)</f>
        <v>1441.5650000000001</v>
      </c>
      <c r="L28" s="234">
        <f t="shared" si="83"/>
        <v>1125.5</v>
      </c>
      <c r="M28" s="929">
        <f t="shared" ref="M28:R28" si="84">SUM(M26:M27)</f>
        <v>4372.7471666666661</v>
      </c>
      <c r="N28" s="208">
        <f t="shared" si="84"/>
        <v>3188.5</v>
      </c>
      <c r="O28" s="234">
        <f t="shared" si="84"/>
        <v>1489.6171666666664</v>
      </c>
      <c r="P28" s="1880">
        <f t="shared" si="84"/>
        <v>1206.4884529797303</v>
      </c>
      <c r="Q28" s="1404">
        <f t="shared" si="84"/>
        <v>5862.364333333333</v>
      </c>
      <c r="R28" s="1405">
        <f t="shared" si="84"/>
        <v>4394.9884529797309</v>
      </c>
      <c r="S28" s="234">
        <f t="shared" ref="S28:Z28" si="85">SUM(S26:S27)</f>
        <v>1470.0561666666663</v>
      </c>
      <c r="T28" s="1880">
        <f t="shared" si="85"/>
        <v>1197.8399999999965</v>
      </c>
      <c r="U28" s="1404">
        <f t="shared" si="85"/>
        <v>7332.4204999999993</v>
      </c>
      <c r="V28" s="1405">
        <f t="shared" si="85"/>
        <v>5592.8284529797274</v>
      </c>
      <c r="W28" s="234">
        <f t="shared" si="85"/>
        <v>1422.6349999999998</v>
      </c>
      <c r="X28" s="234">
        <f t="shared" si="85"/>
        <v>1131.0000000000002</v>
      </c>
      <c r="Y28" s="929">
        <f t="shared" si="85"/>
        <v>4382.3083333333325</v>
      </c>
      <c r="Z28" s="208">
        <f t="shared" si="85"/>
        <v>3535.328452979727</v>
      </c>
      <c r="AA28" s="3801">
        <f t="shared" ref="AA28:AF28" si="86">SUM(AA26:AA27)</f>
        <v>8755.0554999999986</v>
      </c>
      <c r="AB28" s="567">
        <f t="shared" si="86"/>
        <v>6723.8284529797274</v>
      </c>
      <c r="AC28" s="234">
        <f t="shared" si="86"/>
        <v>1489.6171666666664</v>
      </c>
      <c r="AD28" s="234">
        <f t="shared" si="86"/>
        <v>1205.9999999999998</v>
      </c>
      <c r="AE28" s="1404">
        <f t="shared" si="86"/>
        <v>10244.672666666665</v>
      </c>
      <c r="AF28" s="1405">
        <f t="shared" si="86"/>
        <v>7929.8284529797274</v>
      </c>
      <c r="AG28" s="234">
        <f t="shared" ref="AG28:AN28" si="87">SUM(AG26:AG27)</f>
        <v>1441.5650000000001</v>
      </c>
      <c r="AH28" s="234">
        <f t="shared" si="87"/>
        <v>1147</v>
      </c>
      <c r="AI28" s="1404">
        <f t="shared" si="87"/>
        <v>11686.237666666664</v>
      </c>
      <c r="AJ28" s="1405">
        <f t="shared" si="87"/>
        <v>9076.8284529797274</v>
      </c>
      <c r="AK28" s="234">
        <f t="shared" si="87"/>
        <v>1489.6171666666664</v>
      </c>
      <c r="AL28" s="234">
        <f t="shared" si="87"/>
        <v>1288</v>
      </c>
      <c r="AM28" s="929">
        <f t="shared" si="87"/>
        <v>4420.7993333333334</v>
      </c>
      <c r="AN28" s="208">
        <f t="shared" si="87"/>
        <v>3641</v>
      </c>
      <c r="AO28" s="1404">
        <f t="shared" ref="AO28:AT28" si="88">SUM(AO26:AO27)</f>
        <v>13175.854833333331</v>
      </c>
      <c r="AP28" s="1405">
        <f t="shared" si="88"/>
        <v>10364.828452979727</v>
      </c>
      <c r="AQ28" s="234">
        <f t="shared" si="88"/>
        <v>1489.6171666666664</v>
      </c>
      <c r="AR28" s="234">
        <f t="shared" si="88"/>
        <v>1485</v>
      </c>
      <c r="AS28" s="1404">
        <f t="shared" si="88"/>
        <v>14665.471999999998</v>
      </c>
      <c r="AT28" s="1405">
        <f t="shared" si="88"/>
        <v>11849.828452979727</v>
      </c>
      <c r="AU28" s="234">
        <f t="shared" ref="AU28:AX28" si="89">SUM(AU26:AU27)</f>
        <v>1393.5128333333332</v>
      </c>
      <c r="AV28" s="234">
        <f t="shared" si="89"/>
        <v>1397.404</v>
      </c>
      <c r="AW28" s="1404">
        <f t="shared" si="89"/>
        <v>16058.98483333333</v>
      </c>
      <c r="AX28" s="1405">
        <f t="shared" si="89"/>
        <v>13247.232452979726</v>
      </c>
      <c r="AY28" s="234">
        <f t="shared" ref="AY28:BF28" si="90">SUM(AY26:AY27)</f>
        <v>1489.6171666666664</v>
      </c>
      <c r="AZ28" s="234">
        <f t="shared" si="90"/>
        <v>1493.0000000000002</v>
      </c>
      <c r="BA28" s="929">
        <f t="shared" si="90"/>
        <v>4372.7471666666661</v>
      </c>
      <c r="BB28" s="208">
        <f t="shared" si="90"/>
        <v>4375.4040000000005</v>
      </c>
      <c r="BC28" s="3801">
        <f t="shared" si="90"/>
        <v>8793.5465000000004</v>
      </c>
      <c r="BD28" s="567">
        <f t="shared" si="90"/>
        <v>8016.4040000000005</v>
      </c>
      <c r="BE28" s="1404">
        <f t="shared" si="90"/>
        <v>17548.601999999999</v>
      </c>
      <c r="BF28" s="1405">
        <f t="shared" si="90"/>
        <v>14740.232452979726</v>
      </c>
      <c r="BG28" s="648"/>
      <c r="BH28" s="648"/>
      <c r="BI28" s="648"/>
      <c r="BJ28" s="648"/>
      <c r="BK28" s="648"/>
      <c r="BL28" s="648"/>
      <c r="BM28" s="648"/>
      <c r="BN28" s="648"/>
    </row>
    <row r="29" spans="1:66" s="216" customFormat="1" ht="15.75" thickBot="1" x14ac:dyDescent="0.3">
      <c r="A29" s="216" t="s">
        <v>478</v>
      </c>
      <c r="B29" s="2785" t="s">
        <v>162</v>
      </c>
      <c r="C29" s="1828" t="s">
        <v>52</v>
      </c>
      <c r="D29" s="1881">
        <f t="shared" ref="D29:F30" si="91">+D17+D20+D23+D26</f>
        <v>473650.84800000011</v>
      </c>
      <c r="E29" s="1401">
        <f t="shared" si="91"/>
        <v>38823.839999999997</v>
      </c>
      <c r="F29" s="1401">
        <f t="shared" si="91"/>
        <v>38562.910395845531</v>
      </c>
      <c r="G29" s="1401">
        <f t="shared" ref="G29:H29" si="92">+G17+G20+G23+G26</f>
        <v>40117.968000000001</v>
      </c>
      <c r="H29" s="1401">
        <f t="shared" si="92"/>
        <v>39833.349676270365</v>
      </c>
      <c r="I29" s="923">
        <f>+E29+G29</f>
        <v>78941.80799999999</v>
      </c>
      <c r="J29" s="89">
        <f>+F29+H29</f>
        <v>78396.260072115896</v>
      </c>
      <c r="K29" s="1401">
        <f t="shared" ref="K29:L29" si="93">+K17+K20+K23+K26</f>
        <v>38823.839999999997</v>
      </c>
      <c r="L29" s="1401">
        <f t="shared" si="93"/>
        <v>38562.463379516412</v>
      </c>
      <c r="M29" s="859">
        <f>+E29+G29+K29</f>
        <v>117765.64799999999</v>
      </c>
      <c r="N29" s="102">
        <f>+F29+H29+L29</f>
        <v>116958.72345163231</v>
      </c>
      <c r="O29" s="1401">
        <f t="shared" ref="O29:P29" si="94">+O17+O20+O23+O26</f>
        <v>40117.968000000001</v>
      </c>
      <c r="P29" s="1881">
        <f t="shared" si="94"/>
        <v>39820.302692171157</v>
      </c>
      <c r="Q29" s="923">
        <f>+M29+O29</f>
        <v>157883.61599999998</v>
      </c>
      <c r="R29" s="89">
        <f>+N29+P29</f>
        <v>156779.02614380346</v>
      </c>
      <c r="S29" s="1401">
        <f>+S17+S20+S23+S26</f>
        <v>40117.968000000015</v>
      </c>
      <c r="T29" s="1881">
        <f>+T17+T20+T23+T26</f>
        <v>39975.901400183553</v>
      </c>
      <c r="U29" s="923">
        <f>+Q29+S29</f>
        <v>198001.584</v>
      </c>
      <c r="V29" s="89">
        <f>+R29+T29</f>
        <v>196754.92754398703</v>
      </c>
      <c r="W29" s="1401">
        <f>+W17+W20+W23+W26</f>
        <v>38823.840000000011</v>
      </c>
      <c r="X29" s="1401">
        <f>+X17+X20+X23+X26</f>
        <v>38549.691465860495</v>
      </c>
      <c r="Y29" s="924">
        <f>+O29+S29+W29</f>
        <v>119059.77600000003</v>
      </c>
      <c r="Z29" s="113">
        <f>+P29+T29+X29</f>
        <v>118345.89555821521</v>
      </c>
      <c r="AA29" s="922">
        <f>+M29+Y29</f>
        <v>236825.424</v>
      </c>
      <c r="AB29" s="922">
        <f>+N29+Z29</f>
        <v>235304.61900984752</v>
      </c>
      <c r="AC29" s="1401">
        <f>+AC17+AC20+AC23+AC26</f>
        <v>40117.968000000015</v>
      </c>
      <c r="AD29" s="1401">
        <f>+AD17+AD20+AD23+AD26</f>
        <v>39263.23206680068</v>
      </c>
      <c r="AE29" s="923">
        <f>+AA29+AC29</f>
        <v>276943.39199999999</v>
      </c>
      <c r="AF29" s="89">
        <f>+AB29+AD29</f>
        <v>274567.85107664822</v>
      </c>
      <c r="AG29" s="1401">
        <f>+AG17+AG20+AG23+AG26</f>
        <v>38823.840000000011</v>
      </c>
      <c r="AH29" s="1401">
        <f>+AH17+AH20+AH23+AH26</f>
        <v>38502.279784774146</v>
      </c>
      <c r="AI29" s="923">
        <f>+AE29+AG29</f>
        <v>315767.23200000002</v>
      </c>
      <c r="AJ29" s="89">
        <f>+AF29+AH29</f>
        <v>313070.1308614224</v>
      </c>
      <c r="AK29" s="1401">
        <f>+AK17+AK20+AK23+AK26</f>
        <v>40117.968000000015</v>
      </c>
      <c r="AL29" s="1401">
        <f>+AL17+AL20+AL23+AL26</f>
        <v>39794.270680153459</v>
      </c>
      <c r="AM29" s="924">
        <f>+AC29+AG29+AK29</f>
        <v>119059.77600000004</v>
      </c>
      <c r="AN29" s="113">
        <f>+AD29+AH29+AL29</f>
        <v>117559.78253172827</v>
      </c>
      <c r="AO29" s="923">
        <f>AI29+AK29</f>
        <v>355885.2</v>
      </c>
      <c r="AP29" s="923">
        <f>AJ29+AL29</f>
        <v>352864.40154157585</v>
      </c>
      <c r="AQ29" s="1401">
        <f>+AQ17+AQ20+AQ23+AQ26</f>
        <v>40117.968000000015</v>
      </c>
      <c r="AR29" s="1401">
        <f>+AR17+AR20+AR23+AR26</f>
        <v>39788.519737216469</v>
      </c>
      <c r="AS29" s="923">
        <f>+AO29+AQ29</f>
        <v>396003.16800000001</v>
      </c>
      <c r="AT29" s="89">
        <f>+AP29+AR29</f>
        <v>392652.92127879232</v>
      </c>
      <c r="AU29" s="1401">
        <f>+AU17+AU20+AU23+AU26</f>
        <v>37529.712000000014</v>
      </c>
      <c r="AV29" s="1401">
        <f>+AV17+AV20+AV23+AV26</f>
        <v>37158.994260809915</v>
      </c>
      <c r="AW29" s="923">
        <f>+AS29+AU29</f>
        <v>433532.88</v>
      </c>
      <c r="AX29" s="89">
        <f>+AT29+AV29</f>
        <v>429811.91553960223</v>
      </c>
      <c r="AY29" s="1401">
        <f>+AY17+AY20+AY23+AY26</f>
        <v>40117.968000000015</v>
      </c>
      <c r="AZ29" s="1401">
        <f>+AZ17+AZ20+AZ23+AZ26</f>
        <v>39820.893344171716</v>
      </c>
      <c r="BA29" s="924">
        <f>+AQ29+AU29+AY29</f>
        <v>117765.64800000004</v>
      </c>
      <c r="BB29" s="113">
        <f>+AR29+AV29+AZ29</f>
        <v>116768.4073421981</v>
      </c>
      <c r="BC29" s="922">
        <f t="shared" ref="BC29:BC30" si="95">+AM29+BA29</f>
        <v>236825.42400000009</v>
      </c>
      <c r="BD29" s="922">
        <f t="shared" ref="BD29:BD30" si="96">+AN29+BB29</f>
        <v>234328.18987392637</v>
      </c>
      <c r="BE29" s="923">
        <f>+AW29+AY29</f>
        <v>473650.848</v>
      </c>
      <c r="BF29" s="89">
        <f>+AX29+AZ29</f>
        <v>469632.80888377392</v>
      </c>
      <c r="BG29" s="648"/>
      <c r="BH29" s="648"/>
      <c r="BI29" s="648"/>
      <c r="BJ29" s="648"/>
      <c r="BK29" s="648"/>
      <c r="BL29" s="648"/>
      <c r="BM29" s="648"/>
      <c r="BN29" s="648"/>
    </row>
    <row r="30" spans="1:66" s="216" customFormat="1" ht="15.75" thickBot="1" x14ac:dyDescent="0.3">
      <c r="A30" s="216" t="s">
        <v>478</v>
      </c>
      <c r="B30" s="2786" t="s">
        <v>163</v>
      </c>
      <c r="C30" s="1828" t="s">
        <v>52</v>
      </c>
      <c r="D30" s="1662">
        <f t="shared" si="91"/>
        <v>860042.90400000021</v>
      </c>
      <c r="E30" s="1398">
        <f t="shared" si="91"/>
        <v>70735.099999999991</v>
      </c>
      <c r="F30" s="1398">
        <f t="shared" si="91"/>
        <v>69784.643668567718</v>
      </c>
      <c r="G30" s="1398">
        <f t="shared" ref="G30:H30" si="97">+G18+G21+G24+G27</f>
        <v>73092.936666666661</v>
      </c>
      <c r="H30" s="1398">
        <f t="shared" si="97"/>
        <v>67643.508630509677</v>
      </c>
      <c r="I30" s="928">
        <f>+E30+G30</f>
        <v>143828.03666666665</v>
      </c>
      <c r="J30" s="201">
        <f>+F30+H30</f>
        <v>137428.1522990774</v>
      </c>
      <c r="K30" s="1398">
        <f t="shared" ref="K30:L30" si="98">+K18+K21+K24+K27</f>
        <v>70735.099999999991</v>
      </c>
      <c r="L30" s="1398">
        <f t="shared" si="98"/>
        <v>66905.905625920554</v>
      </c>
      <c r="M30" s="1399">
        <f>+E30+G30+K30</f>
        <v>214563.13666666666</v>
      </c>
      <c r="N30" s="113">
        <f>+F30+H30+L30</f>
        <v>204334.05792499793</v>
      </c>
      <c r="O30" s="1398">
        <f t="shared" ref="O30:P30" si="99">+O18+O21+O24+O27</f>
        <v>73092.936666666661</v>
      </c>
      <c r="P30" s="1662">
        <f t="shared" si="99"/>
        <v>70521.307364584092</v>
      </c>
      <c r="Q30" s="928">
        <f>+M30+O30</f>
        <v>287656.0733333333</v>
      </c>
      <c r="R30" s="201">
        <f>+N30+P30</f>
        <v>274855.36528958206</v>
      </c>
      <c r="S30" s="1398">
        <f>+S18+S21+S24+S27</f>
        <v>71606.300666666662</v>
      </c>
      <c r="T30" s="1662">
        <f>+T18+T21+T24+T27</f>
        <v>70164.538524628384</v>
      </c>
      <c r="U30" s="928">
        <f>+Q30+S30</f>
        <v>359262.37399999995</v>
      </c>
      <c r="V30" s="201">
        <f>+R30+T30</f>
        <v>345019.90381421044</v>
      </c>
      <c r="W30" s="1398">
        <f>+W18+W21+W24+W27</f>
        <v>69296.42</v>
      </c>
      <c r="X30" s="1398">
        <f>+X18+X21+X24+X27</f>
        <v>68523.600155658612</v>
      </c>
      <c r="Y30" s="924">
        <f>+O30+S30+W30</f>
        <v>213995.65733333334</v>
      </c>
      <c r="Z30" s="113">
        <f>+P30+T30+X30</f>
        <v>209209.44604487109</v>
      </c>
      <c r="AA30" s="922">
        <f>+M30+Y30</f>
        <v>428558.79399999999</v>
      </c>
      <c r="AB30" s="922">
        <f>+N30+Z30</f>
        <v>413543.50396986899</v>
      </c>
      <c r="AC30" s="1398">
        <f>+AC18+AC21+AC24+AC27</f>
        <v>73092.93666666669</v>
      </c>
      <c r="AD30" s="1398">
        <f>+AD18+AD21+AD24+AD27</f>
        <v>72115.777438045799</v>
      </c>
      <c r="AE30" s="928">
        <f>+AA30+AC30</f>
        <v>501651.7306666667</v>
      </c>
      <c r="AF30" s="201">
        <f>+AB30+AD30</f>
        <v>485659.28140791482</v>
      </c>
      <c r="AG30" s="1398">
        <f>+AG18+AG21+AG24+AG27</f>
        <v>70735.10000000002</v>
      </c>
      <c r="AH30" s="1398">
        <f>+AH18+AH21+AH24+AH27</f>
        <v>69435.851293009619</v>
      </c>
      <c r="AI30" s="928">
        <f>+AE30+AG30</f>
        <v>572386.83066666673</v>
      </c>
      <c r="AJ30" s="201">
        <f>+AF30+AH30</f>
        <v>555095.13270092441</v>
      </c>
      <c r="AK30" s="1398">
        <f>+AK18+AK21+AK24+AK27</f>
        <v>73092.93666666669</v>
      </c>
      <c r="AL30" s="1398">
        <f>+AL18+AL21+AL24+AL27</f>
        <v>72875.800602307601</v>
      </c>
      <c r="AM30" s="924">
        <f>+AC30+AG30+AK30</f>
        <v>216920.97333333339</v>
      </c>
      <c r="AN30" s="113">
        <f>+AD30+AH30+AL30</f>
        <v>214427.42933336302</v>
      </c>
      <c r="AO30" s="923">
        <f>AI30+AK30</f>
        <v>645479.76733333338</v>
      </c>
      <c r="AP30" s="923">
        <f>AJ30+AL30</f>
        <v>627970.93330323207</v>
      </c>
      <c r="AQ30" s="1398">
        <f>+AQ18+AQ21+AQ24+AQ27</f>
        <v>73092.93666666669</v>
      </c>
      <c r="AR30" s="1398">
        <f>+AR18+AR21+AR24+AR27</f>
        <v>72698.801169931932</v>
      </c>
      <c r="AS30" s="928">
        <f>+AO30+AQ30</f>
        <v>718572.70400000003</v>
      </c>
      <c r="AT30" s="201">
        <f>+AP30+AR30</f>
        <v>700669.73447316396</v>
      </c>
      <c r="AU30" s="1398">
        <f>+AU18+AU21+AU24+AU27</f>
        <v>68377.263333333351</v>
      </c>
      <c r="AV30" s="1398">
        <f>+AV18+AV21+AV24+AV27</f>
        <v>67994.641568276507</v>
      </c>
      <c r="AW30" s="928">
        <f>+AS30+AU30</f>
        <v>786949.96733333333</v>
      </c>
      <c r="AX30" s="201">
        <f>+AT30+AV30</f>
        <v>768664.37604144053</v>
      </c>
      <c r="AY30" s="1398">
        <f>+AY18+AY21+AY24+AY27</f>
        <v>73092.93666666669</v>
      </c>
      <c r="AZ30" s="1398">
        <f>+AZ18+AZ21+AZ24+AZ27</f>
        <v>72734.353020309121</v>
      </c>
      <c r="BA30" s="924">
        <f>+AQ30+AU30+AY30</f>
        <v>214563.13666666672</v>
      </c>
      <c r="BB30" s="113">
        <f>+AR30+AV30+AZ30</f>
        <v>213427.79575851758</v>
      </c>
      <c r="BC30" s="922">
        <f t="shared" si="95"/>
        <v>431484.1100000001</v>
      </c>
      <c r="BD30" s="922">
        <f t="shared" si="96"/>
        <v>427855.22509188059</v>
      </c>
      <c r="BE30" s="928">
        <f>+AW30+AY30</f>
        <v>860042.90399999998</v>
      </c>
      <c r="BF30" s="201">
        <f>+AX30+AZ30</f>
        <v>841398.72906174965</v>
      </c>
      <c r="BG30" s="648"/>
      <c r="BH30" s="648"/>
      <c r="BI30" s="648"/>
      <c r="BJ30" s="648"/>
      <c r="BK30" s="648"/>
      <c r="BL30" s="648"/>
      <c r="BM30" s="648"/>
      <c r="BN30" s="648"/>
    </row>
    <row r="31" spans="1:66" s="216" customFormat="1" ht="15.75" thickBot="1" x14ac:dyDescent="0.3">
      <c r="A31" s="216" t="s">
        <v>478</v>
      </c>
      <c r="B31" s="1826" t="s">
        <v>149</v>
      </c>
      <c r="C31" s="2791" t="s">
        <v>52</v>
      </c>
      <c r="D31" s="1880">
        <f t="shared" ref="D31:J31" si="100">SUM(D29:D30)</f>
        <v>1333693.7520000003</v>
      </c>
      <c r="E31" s="234">
        <f t="shared" si="100"/>
        <v>109558.93999999999</v>
      </c>
      <c r="F31" s="234">
        <f t="shared" si="100"/>
        <v>108347.55406441324</v>
      </c>
      <c r="G31" s="234">
        <f t="shared" ref="G31:H31" si="101">SUM(G29:G30)</f>
        <v>113210.90466666667</v>
      </c>
      <c r="H31" s="234">
        <f t="shared" si="101"/>
        <v>107476.85830678005</v>
      </c>
      <c r="I31" s="908">
        <f t="shared" si="100"/>
        <v>222769.84466666664</v>
      </c>
      <c r="J31" s="1405">
        <f t="shared" si="100"/>
        <v>215824.41237119329</v>
      </c>
      <c r="K31" s="234">
        <f t="shared" ref="K31:L31" si="102">SUM(K29:K30)</f>
        <v>109558.93999999999</v>
      </c>
      <c r="L31" s="234">
        <f t="shared" si="102"/>
        <v>105468.36900543697</v>
      </c>
      <c r="M31" s="929">
        <f t="shared" ref="M31:R31" si="103">SUM(M29:M30)</f>
        <v>332328.78466666664</v>
      </c>
      <c r="N31" s="208">
        <f t="shared" si="103"/>
        <v>321292.78137663024</v>
      </c>
      <c r="O31" s="234">
        <f t="shared" si="103"/>
        <v>113210.90466666667</v>
      </c>
      <c r="P31" s="1880">
        <f t="shared" si="103"/>
        <v>110341.61005675525</v>
      </c>
      <c r="Q31" s="908">
        <f t="shared" si="103"/>
        <v>445539.68933333328</v>
      </c>
      <c r="R31" s="1405">
        <f t="shared" si="103"/>
        <v>431634.39143338555</v>
      </c>
      <c r="S31" s="234">
        <f t="shared" ref="S31:Z31" si="104">SUM(S29:S30)</f>
        <v>111724.26866666667</v>
      </c>
      <c r="T31" s="1880">
        <f t="shared" si="104"/>
        <v>110140.43992481194</v>
      </c>
      <c r="U31" s="908">
        <f t="shared" si="104"/>
        <v>557263.95799999998</v>
      </c>
      <c r="V31" s="1405">
        <f t="shared" si="104"/>
        <v>541774.83135819749</v>
      </c>
      <c r="W31" s="234">
        <f t="shared" si="104"/>
        <v>108120.26000000001</v>
      </c>
      <c r="X31" s="234">
        <f t="shared" si="104"/>
        <v>107073.29162151911</v>
      </c>
      <c r="Y31" s="911">
        <f t="shared" si="104"/>
        <v>333055.43333333335</v>
      </c>
      <c r="Z31" s="208">
        <f t="shared" si="104"/>
        <v>327555.34160308633</v>
      </c>
      <c r="AA31" s="3799">
        <f t="shared" ref="AA31:AF31" si="105">SUM(AA29:AA30)</f>
        <v>665384.21799999999</v>
      </c>
      <c r="AB31" s="567">
        <f t="shared" si="105"/>
        <v>648848.12297971651</v>
      </c>
      <c r="AC31" s="234">
        <f t="shared" si="105"/>
        <v>113210.9046666667</v>
      </c>
      <c r="AD31" s="234">
        <f t="shared" si="105"/>
        <v>111379.00950484647</v>
      </c>
      <c r="AE31" s="908">
        <f t="shared" si="105"/>
        <v>778595.12266666675</v>
      </c>
      <c r="AF31" s="1405">
        <f t="shared" si="105"/>
        <v>760227.13248456304</v>
      </c>
      <c r="AG31" s="234">
        <f t="shared" ref="AG31:AN31" si="106">SUM(AG29:AG30)</f>
        <v>109558.94000000003</v>
      </c>
      <c r="AH31" s="234">
        <f t="shared" si="106"/>
        <v>107938.13107778376</v>
      </c>
      <c r="AI31" s="908">
        <f t="shared" si="106"/>
        <v>888154.06266666669</v>
      </c>
      <c r="AJ31" s="1405">
        <f t="shared" si="106"/>
        <v>868165.26356234681</v>
      </c>
      <c r="AK31" s="234">
        <f t="shared" si="106"/>
        <v>113210.9046666667</v>
      </c>
      <c r="AL31" s="234">
        <f t="shared" si="106"/>
        <v>112670.07128246105</v>
      </c>
      <c r="AM31" s="911">
        <f t="shared" si="106"/>
        <v>335980.74933333346</v>
      </c>
      <c r="AN31" s="208">
        <f t="shared" si="106"/>
        <v>331987.21186509129</v>
      </c>
      <c r="AO31" s="908">
        <f t="shared" ref="AO31:AT31" si="107">SUM(AO29:AO30)</f>
        <v>1001364.9673333333</v>
      </c>
      <c r="AP31" s="1405">
        <f t="shared" si="107"/>
        <v>980835.33484480786</v>
      </c>
      <c r="AQ31" s="234">
        <f t="shared" si="107"/>
        <v>113210.9046666667</v>
      </c>
      <c r="AR31" s="234">
        <f t="shared" si="107"/>
        <v>112487.3209071484</v>
      </c>
      <c r="AS31" s="908">
        <f t="shared" si="107"/>
        <v>1114575.872</v>
      </c>
      <c r="AT31" s="1405">
        <f t="shared" si="107"/>
        <v>1093322.6557519562</v>
      </c>
      <c r="AU31" s="234">
        <f t="shared" ref="AU31:AX31" si="108">SUM(AU29:AU30)</f>
        <v>105906.97533333336</v>
      </c>
      <c r="AV31" s="234">
        <f t="shared" si="108"/>
        <v>105153.63582908642</v>
      </c>
      <c r="AW31" s="908">
        <f t="shared" si="108"/>
        <v>1220482.8473333335</v>
      </c>
      <c r="AX31" s="1405">
        <f t="shared" si="108"/>
        <v>1198476.2915810428</v>
      </c>
      <c r="AY31" s="234">
        <f t="shared" ref="AY31:BF31" si="109">SUM(AY29:AY30)</f>
        <v>113210.9046666667</v>
      </c>
      <c r="AZ31" s="234">
        <f t="shared" si="109"/>
        <v>112555.24636448084</v>
      </c>
      <c r="BA31" s="911">
        <f t="shared" si="109"/>
        <v>332328.78466666676</v>
      </c>
      <c r="BB31" s="208">
        <f t="shared" si="109"/>
        <v>330196.20310071565</v>
      </c>
      <c r="BC31" s="3799">
        <f t="shared" si="109"/>
        <v>668309.53400000022</v>
      </c>
      <c r="BD31" s="567">
        <f t="shared" si="109"/>
        <v>662183.41496580699</v>
      </c>
      <c r="BE31" s="908">
        <f t="shared" si="109"/>
        <v>1333693.7519999999</v>
      </c>
      <c r="BF31" s="1405">
        <f t="shared" si="109"/>
        <v>1311031.5379455236</v>
      </c>
      <c r="BG31" s="648"/>
      <c r="BH31" s="648"/>
      <c r="BI31" s="648"/>
      <c r="BJ31" s="648"/>
      <c r="BK31" s="648"/>
      <c r="BL31" s="648"/>
      <c r="BM31" s="648"/>
      <c r="BN31" s="648"/>
    </row>
    <row r="32" spans="1:66" s="183" customFormat="1" ht="16.5" thickBot="1" x14ac:dyDescent="0.3">
      <c r="A32" s="182" t="s">
        <v>478</v>
      </c>
      <c r="B32" s="1856" t="s">
        <v>434</v>
      </c>
      <c r="C32" s="2804"/>
      <c r="D32" s="2807"/>
      <c r="E32" s="2808"/>
      <c r="F32" s="2809"/>
      <c r="G32" s="2808"/>
      <c r="H32" s="2809"/>
      <c r="I32" s="2807"/>
      <c r="J32" s="2807"/>
      <c r="K32" s="2808"/>
      <c r="L32" s="2809"/>
      <c r="M32" s="2808"/>
      <c r="N32" s="2809"/>
      <c r="O32" s="2808"/>
      <c r="P32" s="2809"/>
      <c r="Q32" s="2807"/>
      <c r="R32" s="2807"/>
      <c r="S32" s="2808"/>
      <c r="T32" s="2810"/>
      <c r="U32" s="2807"/>
      <c r="V32" s="2807"/>
      <c r="W32" s="1666"/>
      <c r="X32" s="1667"/>
      <c r="Y32" s="585"/>
      <c r="Z32" s="585"/>
      <c r="AA32" s="3800"/>
      <c r="AB32" s="585"/>
      <c r="AC32" s="2808"/>
      <c r="AD32" s="2810"/>
      <c r="AE32" s="2807"/>
      <c r="AF32" s="2807"/>
      <c r="AG32" s="2808"/>
      <c r="AH32" s="2810"/>
      <c r="AI32" s="2807"/>
      <c r="AJ32" s="2807"/>
      <c r="AK32" s="1666"/>
      <c r="AL32" s="1667"/>
      <c r="AM32" s="585"/>
      <c r="AN32" s="585"/>
      <c r="AO32" s="2807"/>
      <c r="AP32" s="2807"/>
      <c r="AQ32" s="1666"/>
      <c r="AR32" s="1667"/>
      <c r="AS32" s="2807"/>
      <c r="AT32" s="2807"/>
      <c r="AU32" s="1666"/>
      <c r="AV32" s="1667"/>
      <c r="AW32" s="2807"/>
      <c r="AX32" s="2807"/>
      <c r="AY32" s="1666"/>
      <c r="AZ32" s="1667"/>
      <c r="BA32" s="585"/>
      <c r="BB32" s="585"/>
      <c r="BC32" s="3800"/>
      <c r="BD32" s="585"/>
      <c r="BE32" s="2807"/>
      <c r="BF32" s="2807"/>
      <c r="BG32" s="648"/>
      <c r="BH32" s="648"/>
      <c r="BI32" s="648"/>
      <c r="BJ32" s="648"/>
      <c r="BK32" s="648"/>
      <c r="BL32" s="648"/>
      <c r="BM32" s="648"/>
      <c r="BN32" s="648"/>
    </row>
    <row r="33" spans="1:66" x14ac:dyDescent="0.25">
      <c r="A33" s="181" t="s">
        <v>478</v>
      </c>
      <c r="B33" s="2801" t="s">
        <v>27</v>
      </c>
      <c r="C33" s="988" t="s">
        <v>51</v>
      </c>
      <c r="D33" s="1900">
        <v>69.500000000000028</v>
      </c>
      <c r="E33" s="1900">
        <v>69.5</v>
      </c>
      <c r="F33" s="1900">
        <f>+F19/F15*100</f>
        <v>69.415591419212731</v>
      </c>
      <c r="G33" s="1900">
        <v>69.5</v>
      </c>
      <c r="H33" s="1900">
        <f>+H19/H15*100</f>
        <v>68.896667164199783</v>
      </c>
      <c r="I33" s="1901">
        <f>+$D$33</f>
        <v>69.500000000000028</v>
      </c>
      <c r="J33" s="1901">
        <f>+J19/J15*100</f>
        <v>69.15717507179528</v>
      </c>
      <c r="K33" s="1900">
        <v>69.5</v>
      </c>
      <c r="L33" s="1900">
        <f>+L19/L15*100</f>
        <v>69.391251476390337</v>
      </c>
      <c r="M33" s="2048">
        <f>+$D$33</f>
        <v>69.500000000000028</v>
      </c>
      <c r="N33" s="2048">
        <f>+N19/N15*100</f>
        <v>69.234013983281457</v>
      </c>
      <c r="O33" s="1900">
        <v>69.5</v>
      </c>
      <c r="P33" s="1900">
        <f>+P19/P15*100</f>
        <v>69.415356426198045</v>
      </c>
      <c r="Q33" s="1901">
        <f>+$D$33</f>
        <v>69.500000000000028</v>
      </c>
      <c r="R33" s="1901">
        <f>+R19/R15*100</f>
        <v>69.280371883499697</v>
      </c>
      <c r="S33" s="2530">
        <f>+$D$33</f>
        <v>69.500000000000028</v>
      </c>
      <c r="T33" s="2726">
        <f>+T19/T15*100</f>
        <v>69.400838328344548</v>
      </c>
      <c r="U33" s="931">
        <f>+$D$33</f>
        <v>69.500000000000028</v>
      </c>
      <c r="V33" s="202">
        <f>+V19/V15*100</f>
        <v>69.304862227557351</v>
      </c>
      <c r="W33" s="930">
        <f>+$D$33</f>
        <v>69.500000000000028</v>
      </c>
      <c r="X33" s="177">
        <f>+X19/X15*100</f>
        <v>69.384090190185248</v>
      </c>
      <c r="Y33" s="2113">
        <f>+$D$33</f>
        <v>69.500000000000028</v>
      </c>
      <c r="Z33" s="210">
        <f>+Z19/Z15*100</f>
        <v>69.400254234738398</v>
      </c>
      <c r="AA33" s="2185">
        <f>+$D$33</f>
        <v>69.500000000000028</v>
      </c>
      <c r="AB33" s="572">
        <f>+AB19/AB15*100</f>
        <v>69.317936460468289</v>
      </c>
      <c r="AC33" s="2530">
        <f>+$D$33</f>
        <v>69.500000000000028</v>
      </c>
      <c r="AD33" s="2726">
        <f>+AD19/AD15*100</f>
        <v>69.402611365522247</v>
      </c>
      <c r="AE33" s="931">
        <f>+$D$33</f>
        <v>69.500000000000028</v>
      </c>
      <c r="AF33" s="202">
        <f>+AF19/AF15*100</f>
        <v>69.330341861840253</v>
      </c>
      <c r="AG33" s="2530">
        <f>+$D$33</f>
        <v>69.500000000000028</v>
      </c>
      <c r="AH33" s="2726">
        <f>+AH19/AH15*100</f>
        <v>69.880571416294245</v>
      </c>
      <c r="AI33" s="931">
        <f>+$D$33</f>
        <v>69.500000000000028</v>
      </c>
      <c r="AJ33" s="202">
        <f>+AJ19/AJ15*100</f>
        <v>69.398764643374307</v>
      </c>
      <c r="AK33" s="930">
        <f>+$D$33</f>
        <v>69.500000000000028</v>
      </c>
      <c r="AL33" s="177">
        <f>+AL19/AL15*100</f>
        <v>69.394648812986517</v>
      </c>
      <c r="AM33" s="2113">
        <f>+$D$33</f>
        <v>69.500000000000028</v>
      </c>
      <c r="AN33" s="210">
        <f>+AN19/AN15*100</f>
        <v>69.555330502764505</v>
      </c>
      <c r="AO33" s="931">
        <f>+$D$33</f>
        <v>69.500000000000028</v>
      </c>
      <c r="AP33" s="202">
        <f>+AP19/AP15*100</f>
        <v>69.398291860576975</v>
      </c>
      <c r="AQ33" s="930">
        <f>+$D$33</f>
        <v>69.500000000000028</v>
      </c>
      <c r="AR33" s="177">
        <f>+AR19/AR15*100</f>
        <v>69.388274921065317</v>
      </c>
      <c r="AS33" s="931">
        <f>+$D$33</f>
        <v>69.500000000000028</v>
      </c>
      <c r="AT33" s="202">
        <f>+AT19/AT15*100</f>
        <v>69.397261144221318</v>
      </c>
      <c r="AU33" s="930">
        <f>+$D$33</f>
        <v>69.500000000000028</v>
      </c>
      <c r="AV33" s="177">
        <f>+AV19/AV15*100</f>
        <v>69.39593347201658</v>
      </c>
      <c r="AW33" s="931">
        <f>+$D$33</f>
        <v>69.500000000000028</v>
      </c>
      <c r="AX33" s="202">
        <f>+AX19/AX15*100</f>
        <v>69.397144464246026</v>
      </c>
      <c r="AY33" s="930">
        <f>+$D$33</f>
        <v>69.500000000000028</v>
      </c>
      <c r="AZ33" s="177">
        <f>+AZ19/AZ15*100</f>
        <v>69.397095888100623</v>
      </c>
      <c r="BA33" s="2113">
        <f>+$D$33</f>
        <v>69.500000000000028</v>
      </c>
      <c r="BB33" s="210">
        <f>+BB19/BB15*100</f>
        <v>69.393721684096803</v>
      </c>
      <c r="BC33" s="2185">
        <f>+$D$33</f>
        <v>69.500000000000028</v>
      </c>
      <c r="BD33" s="572">
        <f>+BD19/BD15*100</f>
        <v>69.474722020366514</v>
      </c>
      <c r="BE33" s="931">
        <f>+$D$33</f>
        <v>69.500000000000028</v>
      </c>
      <c r="BF33" s="202">
        <f>+BF19/BF15*100</f>
        <v>69.397140294654065</v>
      </c>
      <c r="BG33" s="648"/>
      <c r="BH33" s="648"/>
      <c r="BI33" s="648"/>
      <c r="BJ33" s="648"/>
      <c r="BK33" s="648"/>
      <c r="BL33" s="648"/>
      <c r="BM33" s="648"/>
      <c r="BN33" s="648"/>
    </row>
    <row r="34" spans="1:66" x14ac:dyDescent="0.25">
      <c r="A34" s="181" t="s">
        <v>478</v>
      </c>
      <c r="B34" s="2798" t="s">
        <v>1</v>
      </c>
      <c r="C34" s="193" t="s">
        <v>51</v>
      </c>
      <c r="D34" s="131">
        <v>1.5000000000000002</v>
      </c>
      <c r="E34" s="131">
        <v>1.5</v>
      </c>
      <c r="F34" s="131">
        <f>+F22/F15*100</f>
        <v>1.6674926504447054</v>
      </c>
      <c r="G34" s="131">
        <v>1.5</v>
      </c>
      <c r="H34" s="131">
        <f>+H22/H15*100</f>
        <v>2.1299214853830586</v>
      </c>
      <c r="I34" s="331">
        <f>+$D$34</f>
        <v>1.5000000000000002</v>
      </c>
      <c r="J34" s="331">
        <f>+J22/J15*100</f>
        <v>1.8977751421780813</v>
      </c>
      <c r="K34" s="131">
        <v>1.5</v>
      </c>
      <c r="L34" s="131">
        <f>+L22/L15*100</f>
        <v>1.9639478499075234</v>
      </c>
      <c r="M34" s="427">
        <f>+$D$34</f>
        <v>1.5000000000000002</v>
      </c>
      <c r="N34" s="427">
        <f>+N22/N15*100</f>
        <v>1.9194972753457531</v>
      </c>
      <c r="O34" s="131">
        <v>1.5</v>
      </c>
      <c r="P34" s="131">
        <f>+P22/P15*100</f>
        <v>1.6938675398735468</v>
      </c>
      <c r="Q34" s="331">
        <f>+$D$34</f>
        <v>1.5000000000000002</v>
      </c>
      <c r="R34" s="331">
        <f>+R22/R15*100</f>
        <v>1.8618178893451045</v>
      </c>
      <c r="S34" s="69">
        <f>+$D$34</f>
        <v>1.5000000000000002</v>
      </c>
      <c r="T34" s="2701">
        <f>+T22/T15*100</f>
        <v>1.4808143876215274</v>
      </c>
      <c r="U34" s="70">
        <f>+$D$34</f>
        <v>1.5000000000000002</v>
      </c>
      <c r="V34" s="136">
        <f>+V22/V15*100</f>
        <v>1.7843614087757691</v>
      </c>
      <c r="W34" s="932">
        <f>+$D$34</f>
        <v>1.5000000000000002</v>
      </c>
      <c r="X34" s="130">
        <f>+X22/X15*100</f>
        <v>1.6831304801063998</v>
      </c>
      <c r="Y34" s="106">
        <f>+$D$34</f>
        <v>1.5000000000000002</v>
      </c>
      <c r="Z34" s="144">
        <f>+Z22/Z15*100</f>
        <v>1.6187185892088909</v>
      </c>
      <c r="AA34" s="800">
        <f>+$D$34</f>
        <v>1.5000000000000002</v>
      </c>
      <c r="AB34" s="568">
        <f>+AB22/AB15*100</f>
        <v>1.7676562368224185</v>
      </c>
      <c r="AC34" s="69">
        <f>+$D$34</f>
        <v>1.5000000000000002</v>
      </c>
      <c r="AD34" s="2701">
        <f>+AD22/AD15*100</f>
        <v>1.5814354183394064</v>
      </c>
      <c r="AE34" s="70">
        <f>+$D$34</f>
        <v>1.5000000000000002</v>
      </c>
      <c r="AF34" s="136">
        <f>+AF22/AF15*100</f>
        <v>1.7403737261939729</v>
      </c>
      <c r="AG34" s="69">
        <f>+$D$34</f>
        <v>1.5000000000000002</v>
      </c>
      <c r="AH34" s="2701">
        <f>+AH22/AH15*100</f>
        <v>1.6043161124155139</v>
      </c>
      <c r="AI34" s="70">
        <f>+$D$34</f>
        <v>1.5000000000000002</v>
      </c>
      <c r="AJ34" s="136">
        <f>+AJ22/AJ15*100</f>
        <v>1.7234545325442476</v>
      </c>
      <c r="AK34" s="932">
        <f>+$D$34</f>
        <v>1.5000000000000002</v>
      </c>
      <c r="AL34" s="130">
        <f>+AL22/AL15*100</f>
        <v>1.5625938385762068</v>
      </c>
      <c r="AM34" s="106">
        <f>+$D$34</f>
        <v>1.5000000000000002</v>
      </c>
      <c r="AN34" s="144">
        <f>+AN22/AN15*100</f>
        <v>1.5824816252441767</v>
      </c>
      <c r="AO34" s="70">
        <f>+$D$34</f>
        <v>1.5000000000000002</v>
      </c>
      <c r="AP34" s="136">
        <f>+AP22/AP15*100</f>
        <v>1.704976567781795</v>
      </c>
      <c r="AQ34" s="932">
        <f>+$D$34</f>
        <v>1.5000000000000002</v>
      </c>
      <c r="AR34" s="130">
        <f>+AR22/AR15*100</f>
        <v>1.7042872148328174</v>
      </c>
      <c r="AS34" s="70">
        <f>+$D$34</f>
        <v>1.5000000000000002</v>
      </c>
      <c r="AT34" s="136">
        <f>+AT22/AT15*100</f>
        <v>1.7049056352021863</v>
      </c>
      <c r="AU34" s="932">
        <f>+$D$34</f>
        <v>1.5000000000000002</v>
      </c>
      <c r="AV34" s="130">
        <f>+AV22/AV15*100</f>
        <v>0.8598873335094509</v>
      </c>
      <c r="AW34" s="70">
        <f>+$D$34</f>
        <v>1.5000000000000002</v>
      </c>
      <c r="AX34" s="136">
        <f>+AX22/AX15*100</f>
        <v>1.6306427906588521</v>
      </c>
      <c r="AY34" s="932">
        <f>+$D$34</f>
        <v>1.5000000000000002</v>
      </c>
      <c r="AZ34" s="130">
        <f>+AZ22/AZ15*100</f>
        <v>1.3974404666957492</v>
      </c>
      <c r="BA34" s="106">
        <f>+$D$34</f>
        <v>1.5000000000000002</v>
      </c>
      <c r="BB34" s="144">
        <f>+BB22/BB15*100</f>
        <v>1.3305293744268387</v>
      </c>
      <c r="BC34" s="800">
        <f>+$D$34</f>
        <v>1.5000000000000002</v>
      </c>
      <c r="BD34" s="568">
        <f>+BD22/BD15*100</f>
        <v>1.4568109549021844</v>
      </c>
      <c r="BE34" s="70">
        <f>+$D$34</f>
        <v>1.5000000000000002</v>
      </c>
      <c r="BF34" s="136">
        <f>+BF22/BF15*100</f>
        <v>1.6106255881923719</v>
      </c>
      <c r="BG34" s="648"/>
      <c r="BH34" s="648"/>
      <c r="BI34" s="648"/>
      <c r="BJ34" s="648"/>
      <c r="BK34" s="648"/>
      <c r="BL34" s="648"/>
      <c r="BM34" s="648"/>
      <c r="BN34" s="648"/>
    </row>
    <row r="35" spans="1:66" x14ac:dyDescent="0.25">
      <c r="A35" s="181" t="s">
        <v>478</v>
      </c>
      <c r="B35" s="2798" t="s">
        <v>28</v>
      </c>
      <c r="C35" s="193" t="s">
        <v>51</v>
      </c>
      <c r="D35" s="131">
        <v>4</v>
      </c>
      <c r="E35" s="131">
        <v>4</v>
      </c>
      <c r="F35" s="131">
        <f>+F25/F15*100</f>
        <v>3.6714249004708766</v>
      </c>
      <c r="G35" s="131">
        <v>4</v>
      </c>
      <c r="H35" s="131">
        <f>+H25/H15*100</f>
        <v>3.5517896709915764</v>
      </c>
      <c r="I35" s="331">
        <f>+$D$35</f>
        <v>4</v>
      </c>
      <c r="J35" s="331">
        <f>+J25/J15*100</f>
        <v>3.6118483847735789</v>
      </c>
      <c r="K35" s="131">
        <v>4</v>
      </c>
      <c r="L35" s="131">
        <f>+L25/L15*100</f>
        <v>3.22712292311643</v>
      </c>
      <c r="M35" s="427">
        <f>+$D$35</f>
        <v>4</v>
      </c>
      <c r="N35" s="427">
        <f>+N25/N15*100</f>
        <v>3.4855567760747204</v>
      </c>
      <c r="O35" s="131">
        <v>4</v>
      </c>
      <c r="P35" s="131">
        <f>+P25/P15*100</f>
        <v>3.453456750972459</v>
      </c>
      <c r="Q35" s="331">
        <f>+$D$35</f>
        <v>4</v>
      </c>
      <c r="R35" s="331">
        <f>+R25/R15*100</f>
        <v>3.4773508109583373</v>
      </c>
      <c r="S35" s="69">
        <f>+$D$35</f>
        <v>4</v>
      </c>
      <c r="T35" s="2701">
        <f>+T25/T15*100</f>
        <v>3.6854419847301658</v>
      </c>
      <c r="U35" s="70">
        <f>+$D$35</f>
        <v>4</v>
      </c>
      <c r="V35" s="136">
        <f>+V25/V15*100</f>
        <v>3.5196549102251242</v>
      </c>
      <c r="W35" s="932">
        <f>+$D$35</f>
        <v>4</v>
      </c>
      <c r="X35" s="130">
        <f>+X25/X15*100</f>
        <v>3.523664231730995</v>
      </c>
      <c r="Y35" s="106">
        <f>+$D$35</f>
        <v>4</v>
      </c>
      <c r="Z35" s="144">
        <f>+Z25/Z15*100</f>
        <v>3.5544116342867338</v>
      </c>
      <c r="AA35" s="800">
        <f>+$D$35</f>
        <v>4</v>
      </c>
      <c r="AB35" s="568">
        <f>+AB25/AB15*100</f>
        <v>3.5203165302068058</v>
      </c>
      <c r="AC35" s="69">
        <f>+$D$35</f>
        <v>4</v>
      </c>
      <c r="AD35" s="2701">
        <f>+AD25/AD15*100</f>
        <v>3.5875754209440851</v>
      </c>
      <c r="AE35" s="70">
        <f>+$D$35</f>
        <v>4</v>
      </c>
      <c r="AF35" s="136">
        <f>+AF25/AF15*100</f>
        <v>3.5301703769267667</v>
      </c>
      <c r="AG35" s="69">
        <f>+$D$35</f>
        <v>4</v>
      </c>
      <c r="AH35" s="2701">
        <f>+AH25/AH15*100</f>
        <v>3.0847173018075065</v>
      </c>
      <c r="AI35" s="70">
        <f>+$D$35</f>
        <v>4</v>
      </c>
      <c r="AJ35" s="136">
        <f>+AJ25/AJ15*100</f>
        <v>3.4747768812560262</v>
      </c>
      <c r="AK35" s="932">
        <f>+$D$35</f>
        <v>4</v>
      </c>
      <c r="AL35" s="130">
        <f>+AL25/AL15*100</f>
        <v>3.5677488392178858</v>
      </c>
      <c r="AM35" s="106">
        <f>+$D$35</f>
        <v>4</v>
      </c>
      <c r="AN35" s="144">
        <f>+AN25/AN15*100</f>
        <v>3.417329537497992</v>
      </c>
      <c r="AO35" s="70">
        <f>+$D$35</f>
        <v>4</v>
      </c>
      <c r="AP35" s="136">
        <f>+AP25/AP15*100</f>
        <v>3.4854565104478339</v>
      </c>
      <c r="AQ35" s="932">
        <f>+$D$35</f>
        <v>4</v>
      </c>
      <c r="AR35" s="130">
        <f>+AR25/AR15*100</f>
        <v>3.288252911460626</v>
      </c>
      <c r="AS35" s="70">
        <f>+$D$35</f>
        <v>4</v>
      </c>
      <c r="AT35" s="136">
        <f>+AT25/AT15*100</f>
        <v>3.4651647861503565</v>
      </c>
      <c r="AU35" s="932">
        <f>+$D$35</f>
        <v>4</v>
      </c>
      <c r="AV35" s="130">
        <f>+AV25/AV15*100</f>
        <v>3.9934527253114518</v>
      </c>
      <c r="AW35" s="70">
        <f>+$D$35</f>
        <v>4</v>
      </c>
      <c r="AX35" s="136">
        <f>+AX25/AX15*100</f>
        <v>3.5115923783355769</v>
      </c>
      <c r="AY35" s="932">
        <f>+$D$35</f>
        <v>4</v>
      </c>
      <c r="AZ35" s="130">
        <f>+AZ25/AZ15*100</f>
        <v>3.5935601592151549</v>
      </c>
      <c r="BA35" s="106">
        <f>+$D$35</f>
        <v>4</v>
      </c>
      <c r="BB35" s="144">
        <f>+BB25/BB15*100</f>
        <v>3.6171036772843665</v>
      </c>
      <c r="BC35" s="800">
        <f>+$D$35</f>
        <v>4</v>
      </c>
      <c r="BD35" s="568">
        <f>+BD25/BD15*100</f>
        <v>3.5169744106138503</v>
      </c>
      <c r="BE35" s="70">
        <f>+$D$35</f>
        <v>4</v>
      </c>
      <c r="BF35" s="136">
        <f>+BF25/BF15*100</f>
        <v>3.5186281815716307</v>
      </c>
      <c r="BG35" s="648"/>
      <c r="BH35" s="648"/>
      <c r="BI35" s="648"/>
      <c r="BJ35" s="648"/>
      <c r="BK35" s="648"/>
      <c r="BL35" s="648"/>
      <c r="BM35" s="648"/>
      <c r="BN35" s="648"/>
    </row>
    <row r="36" spans="1:66" ht="15.95" customHeight="1" thickBot="1" x14ac:dyDescent="0.3">
      <c r="A36" s="181" t="s">
        <v>478</v>
      </c>
      <c r="B36" s="2802" t="s">
        <v>181</v>
      </c>
      <c r="C36" s="195" t="s">
        <v>51</v>
      </c>
      <c r="D36" s="194">
        <v>1</v>
      </c>
      <c r="E36" s="194">
        <v>1</v>
      </c>
      <c r="F36" s="194">
        <f>+F28/F15*100</f>
        <v>0.63317341645763825</v>
      </c>
      <c r="G36" s="194">
        <v>1</v>
      </c>
      <c r="H36" s="194">
        <f>+H28/H15*100</f>
        <v>0.80874482522554392</v>
      </c>
      <c r="I36" s="727">
        <f>+$D$36</f>
        <v>1</v>
      </c>
      <c r="J36" s="727">
        <f>+J28/J15*100</f>
        <v>0.72060529447537092</v>
      </c>
      <c r="K36" s="194">
        <v>1</v>
      </c>
      <c r="L36" s="194">
        <f>+L28/L15*100</f>
        <v>0.80448625279166741</v>
      </c>
      <c r="M36" s="1224">
        <f>+$D$36</f>
        <v>1</v>
      </c>
      <c r="N36" s="1224">
        <f>+N28/N15*100</f>
        <v>0.74814041294488209</v>
      </c>
      <c r="O36" s="194">
        <v>1</v>
      </c>
      <c r="P36" s="194">
        <f>+P28/P15*100</f>
        <v>0.82429021919205814</v>
      </c>
      <c r="Q36" s="727">
        <f>+$D$36</f>
        <v>1</v>
      </c>
      <c r="R36" s="727">
        <f>+R28/R15*100</f>
        <v>0.76760714705780053</v>
      </c>
      <c r="S36" s="2531">
        <f>+$D$36</f>
        <v>1</v>
      </c>
      <c r="T36" s="2727">
        <f>+T28/T15*100</f>
        <v>0.81987623553987743</v>
      </c>
      <c r="U36" s="934">
        <f>+$D$36</f>
        <v>1</v>
      </c>
      <c r="V36" s="137">
        <f>+V28/V15*100</f>
        <v>0.77823324266604021</v>
      </c>
      <c r="W36" s="933">
        <f>+$D$36</f>
        <v>1</v>
      </c>
      <c r="X36" s="163">
        <f>+X28/X15*100</f>
        <v>0.79630419101725247</v>
      </c>
      <c r="Y36" s="2114">
        <f>+$D$36</f>
        <v>1</v>
      </c>
      <c r="Z36" s="145">
        <f>+Z28/Z15*100</f>
        <v>0.81365779029227914</v>
      </c>
      <c r="AA36" s="2186">
        <f>+$D$36</f>
        <v>1</v>
      </c>
      <c r="AB36" s="573">
        <f>+AB28/AB15*100</f>
        <v>0.78121531843611514</v>
      </c>
      <c r="AC36" s="2531">
        <f>+$D$36</f>
        <v>1</v>
      </c>
      <c r="AD36" s="2727">
        <f>+AD28/AD15*100</f>
        <v>0.81629227324537745</v>
      </c>
      <c r="AE36" s="934">
        <f>+$D$36</f>
        <v>1</v>
      </c>
      <c r="AF36" s="137">
        <f>+AF28/AF15*100</f>
        <v>0.78635431095152242</v>
      </c>
      <c r="AG36" s="2531">
        <f>+$D$36</f>
        <v>1</v>
      </c>
      <c r="AH36" s="2727">
        <f>+AH28/AH15*100</f>
        <v>0.80092172334334188</v>
      </c>
      <c r="AI36" s="934">
        <f>+$D$36</f>
        <v>1</v>
      </c>
      <c r="AJ36" s="137">
        <f>+AJ28/AJ15*100</f>
        <v>0.78816581465490154</v>
      </c>
      <c r="AK36" s="933">
        <f>+$D$36</f>
        <v>1</v>
      </c>
      <c r="AL36" s="163">
        <f>+AL28/AL15*100</f>
        <v>0.86179209934696499</v>
      </c>
      <c r="AM36" s="2114">
        <f>+$D$36</f>
        <v>1</v>
      </c>
      <c r="AN36" s="145">
        <f>+AN28/AN15*100</f>
        <v>0.82673489443406012</v>
      </c>
      <c r="AO36" s="934">
        <f>+$D$36</f>
        <v>1</v>
      </c>
      <c r="AP36" s="137">
        <f>+AP28/AP15*100</f>
        <v>0.79662321876382924</v>
      </c>
      <c r="AQ36" s="933">
        <f>+$D$36</f>
        <v>1</v>
      </c>
      <c r="AR36" s="163">
        <f>+AR28/AR15*100</f>
        <v>0.99507388172290512</v>
      </c>
      <c r="AS36" s="934">
        <f>+$D$36</f>
        <v>1</v>
      </c>
      <c r="AT36" s="137">
        <f>+AT28/AT15*100</f>
        <v>0.81704326261748372</v>
      </c>
      <c r="AU36" s="933">
        <f>+$D$36</f>
        <v>1</v>
      </c>
      <c r="AV36" s="163">
        <f>+AV28/AV15*100</f>
        <v>1</v>
      </c>
      <c r="AW36" s="934">
        <f>+$D$36</f>
        <v>1</v>
      </c>
      <c r="AX36" s="137">
        <f>+AX28/AX15*100</f>
        <v>0.83312207146597395</v>
      </c>
      <c r="AY36" s="933">
        <f>+$D$36</f>
        <v>1</v>
      </c>
      <c r="AZ36" s="163">
        <f>+AZ28/AZ15*100</f>
        <v>0.99999263233827507</v>
      </c>
      <c r="BA36" s="2114">
        <f>+$D$36</f>
        <v>1</v>
      </c>
      <c r="BB36" s="145">
        <f>+BB28/BB15*100</f>
        <v>0.99832012497129397</v>
      </c>
      <c r="BC36" s="2186">
        <f>+$D$36</f>
        <v>1</v>
      </c>
      <c r="BD36" s="573">
        <f>+BD28/BD15*100</f>
        <v>0.91231948783399175</v>
      </c>
      <c r="BE36" s="934">
        <f>+$D$36</f>
        <v>1</v>
      </c>
      <c r="BF36" s="137">
        <f>+BF28/BF15*100</f>
        <v>0.84744560712338257</v>
      </c>
      <c r="BG36" s="648"/>
      <c r="BH36" s="648"/>
      <c r="BI36" s="648"/>
      <c r="BJ36" s="648"/>
      <c r="BK36" s="648"/>
      <c r="BL36" s="648"/>
      <c r="BM36" s="648"/>
      <c r="BN36" s="648"/>
    </row>
    <row r="37" spans="1:66" ht="16.5" thickBot="1" x14ac:dyDescent="0.3">
      <c r="A37" s="181" t="s">
        <v>478</v>
      </c>
      <c r="B37" s="2803" t="s">
        <v>182</v>
      </c>
      <c r="C37" s="1476" t="s">
        <v>51</v>
      </c>
      <c r="D37" s="140">
        <f t="shared" ref="D37:J37" si="110">SUM(D33:D36)</f>
        <v>76.000000000000028</v>
      </c>
      <c r="E37" s="140">
        <f t="shared" si="110"/>
        <v>76</v>
      </c>
      <c r="F37" s="140">
        <f t="shared" si="110"/>
        <v>75.387682386585951</v>
      </c>
      <c r="G37" s="140">
        <f t="shared" ref="G37:H37" si="111">SUM(G33:G36)</f>
        <v>76</v>
      </c>
      <c r="H37" s="140">
        <f t="shared" si="111"/>
        <v>75.387123145799976</v>
      </c>
      <c r="I37" s="1477">
        <f t="shared" si="110"/>
        <v>76.000000000000028</v>
      </c>
      <c r="J37" s="1477">
        <f t="shared" si="110"/>
        <v>75.387403893222313</v>
      </c>
      <c r="K37" s="140">
        <f t="shared" ref="K37:L37" si="112">SUM(K33:K36)</f>
        <v>76</v>
      </c>
      <c r="L37" s="140">
        <f t="shared" si="112"/>
        <v>75.386808502205952</v>
      </c>
      <c r="M37" s="2099">
        <f t="shared" ref="M37:R37" si="113">SUM(M33:M36)</f>
        <v>76.000000000000028</v>
      </c>
      <c r="N37" s="2099">
        <f t="shared" si="113"/>
        <v>75.387208447646799</v>
      </c>
      <c r="O37" s="140">
        <f t="shared" si="113"/>
        <v>76</v>
      </c>
      <c r="P37" s="140">
        <f t="shared" si="113"/>
        <v>75.386970936236125</v>
      </c>
      <c r="Q37" s="1477">
        <f t="shared" si="113"/>
        <v>76.000000000000028</v>
      </c>
      <c r="R37" s="1477">
        <f t="shared" si="113"/>
        <v>75.387147730860946</v>
      </c>
      <c r="S37" s="2532">
        <f t="shared" ref="S37:Z37" si="114">SUM(S33:S36)</f>
        <v>76.000000000000028</v>
      </c>
      <c r="T37" s="2728">
        <f t="shared" si="114"/>
        <v>75.386970936236111</v>
      </c>
      <c r="U37" s="936">
        <f t="shared" si="114"/>
        <v>76.000000000000028</v>
      </c>
      <c r="V37" s="56">
        <f t="shared" si="114"/>
        <v>75.387111789224278</v>
      </c>
      <c r="W37" s="935">
        <f t="shared" si="114"/>
        <v>76.000000000000028</v>
      </c>
      <c r="X37" s="30">
        <f t="shared" si="114"/>
        <v>75.387189093039893</v>
      </c>
      <c r="Y37" s="937">
        <f t="shared" si="114"/>
        <v>76.000000000000028</v>
      </c>
      <c r="Z37" s="100">
        <f t="shared" si="114"/>
        <v>75.387042248526313</v>
      </c>
      <c r="AA37" s="3802">
        <f t="shared" ref="AA37:AF37" si="115">SUM(AA33:AA36)</f>
        <v>76.000000000000028</v>
      </c>
      <c r="AB37" s="553">
        <f t="shared" si="115"/>
        <v>75.387124545933617</v>
      </c>
      <c r="AC37" s="2532">
        <f t="shared" si="115"/>
        <v>76.000000000000028</v>
      </c>
      <c r="AD37" s="2728">
        <f t="shared" si="115"/>
        <v>75.38791447805113</v>
      </c>
      <c r="AE37" s="936">
        <f t="shared" si="115"/>
        <v>76.000000000000028</v>
      </c>
      <c r="AF37" s="56">
        <f t="shared" si="115"/>
        <v>75.387240275912518</v>
      </c>
      <c r="AG37" s="2532">
        <f t="shared" ref="AG37:AN37" si="116">SUM(AG33:AG36)</f>
        <v>76.000000000000028</v>
      </c>
      <c r="AH37" s="2728">
        <f t="shared" si="116"/>
        <v>75.3705265538606</v>
      </c>
      <c r="AI37" s="936">
        <f t="shared" si="116"/>
        <v>76.000000000000028</v>
      </c>
      <c r="AJ37" s="56">
        <f t="shared" si="116"/>
        <v>75.385161871829482</v>
      </c>
      <c r="AK37" s="935">
        <f t="shared" si="116"/>
        <v>76.000000000000028</v>
      </c>
      <c r="AL37" s="30">
        <f t="shared" si="116"/>
        <v>75.386783590127578</v>
      </c>
      <c r="AM37" s="937">
        <f t="shared" si="116"/>
        <v>76.000000000000028</v>
      </c>
      <c r="AN37" s="100">
        <f t="shared" si="116"/>
        <v>75.381876559940721</v>
      </c>
      <c r="AO37" s="936">
        <f t="shared" ref="AO37:AT37" si="117">SUM(AO33:AO36)</f>
        <v>76.000000000000028</v>
      </c>
      <c r="AP37" s="56">
        <f t="shared" si="117"/>
        <v>75.385348157570434</v>
      </c>
      <c r="AQ37" s="935">
        <f t="shared" si="117"/>
        <v>76.000000000000028</v>
      </c>
      <c r="AR37" s="30">
        <f t="shared" si="117"/>
        <v>75.375888929081668</v>
      </c>
      <c r="AS37" s="936">
        <f t="shared" si="117"/>
        <v>76.000000000000028</v>
      </c>
      <c r="AT37" s="56">
        <f t="shared" si="117"/>
        <v>75.384374828191341</v>
      </c>
      <c r="AU37" s="935">
        <f t="shared" ref="AU37:AX37" si="118">SUM(AU33:AU36)</f>
        <v>76.000000000000028</v>
      </c>
      <c r="AV37" s="30">
        <f t="shared" si="118"/>
        <v>75.249273530837485</v>
      </c>
      <c r="AW37" s="936">
        <f t="shared" si="118"/>
        <v>76.000000000000028</v>
      </c>
      <c r="AX37" s="56">
        <f t="shared" si="118"/>
        <v>75.372501704706437</v>
      </c>
      <c r="AY37" s="935">
        <f t="shared" ref="AY37:BF37" si="119">SUM(AY33:AY36)</f>
        <v>76.000000000000028</v>
      </c>
      <c r="AZ37" s="30">
        <f t="shared" si="119"/>
        <v>75.388089146349813</v>
      </c>
      <c r="BA37" s="937">
        <f t="shared" si="119"/>
        <v>76.000000000000028</v>
      </c>
      <c r="BB37" s="100">
        <f t="shared" si="119"/>
        <v>75.339674860779311</v>
      </c>
      <c r="BC37" s="3802">
        <f t="shared" si="119"/>
        <v>76.000000000000028</v>
      </c>
      <c r="BD37" s="553">
        <f t="shared" si="119"/>
        <v>75.360826873716547</v>
      </c>
      <c r="BE37" s="936">
        <f t="shared" si="119"/>
        <v>76.000000000000028</v>
      </c>
      <c r="BF37" s="56">
        <f t="shared" si="119"/>
        <v>75.373839671541447</v>
      </c>
      <c r="BG37" s="648"/>
      <c r="BH37" s="648"/>
      <c r="BI37" s="648"/>
      <c r="BJ37" s="648"/>
      <c r="BK37" s="648"/>
      <c r="BL37" s="648"/>
      <c r="BM37" s="648"/>
      <c r="BN37" s="648"/>
    </row>
    <row r="38" spans="1:66" s="2447" customFormat="1" ht="16.5" hidden="1" thickBot="1" x14ac:dyDescent="0.3">
      <c r="A38" s="181"/>
      <c r="B38" s="2849" t="s">
        <v>1712</v>
      </c>
      <c r="C38" s="648"/>
      <c r="D38" s="648"/>
      <c r="E38" s="648"/>
      <c r="F38" s="648"/>
      <c r="G38" s="648"/>
      <c r="H38" s="648"/>
      <c r="I38" s="648"/>
      <c r="J38" s="648"/>
      <c r="K38" s="648"/>
      <c r="L38" s="648"/>
      <c r="M38" s="648"/>
      <c r="N38" s="648"/>
      <c r="O38" s="648"/>
      <c r="P38" s="648"/>
      <c r="Q38" s="648"/>
      <c r="R38" s="648"/>
      <c r="S38" s="648"/>
      <c r="T38" s="648"/>
      <c r="U38" s="648"/>
      <c r="V38" s="648"/>
      <c r="W38" s="648"/>
      <c r="X38" s="648"/>
      <c r="Y38" s="648"/>
      <c r="Z38" s="648"/>
      <c r="AA38" s="3803"/>
      <c r="AB38" s="648"/>
      <c r="AC38" s="648"/>
      <c r="AD38" s="648"/>
      <c r="AE38" s="648"/>
      <c r="AF38" s="648"/>
      <c r="AG38" s="648"/>
      <c r="AH38" s="648"/>
      <c r="AI38" s="648"/>
      <c r="AJ38" s="648"/>
      <c r="AK38" s="648"/>
      <c r="AL38" s="648"/>
      <c r="AM38" s="648"/>
      <c r="AN38" s="648"/>
      <c r="AO38" s="648"/>
      <c r="AP38" s="648"/>
      <c r="AQ38" s="648"/>
      <c r="AR38" s="648"/>
      <c r="AS38" s="648"/>
      <c r="AT38" s="648"/>
      <c r="AU38" s="648"/>
      <c r="AV38" s="648"/>
      <c r="AW38" s="648"/>
      <c r="AX38" s="648"/>
      <c r="AY38" s="648"/>
      <c r="AZ38" s="648"/>
      <c r="BA38" s="648"/>
      <c r="BB38" s="648"/>
      <c r="BC38" s="3803"/>
      <c r="BD38" s="648"/>
      <c r="BE38" s="648"/>
      <c r="BF38" s="648"/>
      <c r="BG38" s="648"/>
      <c r="BH38" s="648"/>
      <c r="BI38" s="648"/>
      <c r="BJ38" s="648"/>
      <c r="BK38" s="648"/>
      <c r="BL38" s="648"/>
      <c r="BM38" s="648"/>
      <c r="BN38" s="648"/>
    </row>
    <row r="39" spans="1:66" s="2447" customFormat="1" ht="15.75" hidden="1" x14ac:dyDescent="0.25">
      <c r="A39" s="181"/>
      <c r="B39" s="2847" t="s">
        <v>153</v>
      </c>
      <c r="C39" s="988" t="s">
        <v>52</v>
      </c>
      <c r="D39" s="2795"/>
      <c r="E39" s="2795"/>
      <c r="F39" s="192">
        <v>36975.964435579546</v>
      </c>
      <c r="G39" s="2795"/>
      <c r="H39" s="192">
        <v>37920.725607175555</v>
      </c>
      <c r="I39" s="2796"/>
      <c r="J39" s="2796"/>
      <c r="K39" s="2795"/>
      <c r="L39" s="192">
        <v>36974.550088765624</v>
      </c>
      <c r="M39" s="2797"/>
      <c r="N39" s="745">
        <f>SUM(F39,H39,L39)</f>
        <v>111871.24013152072</v>
      </c>
      <c r="O39" s="2795"/>
      <c r="P39" s="192">
        <v>38193.77525895305</v>
      </c>
      <c r="Q39" s="2796"/>
      <c r="R39" s="449">
        <f>+N39+P39</f>
        <v>150065.01539047377</v>
      </c>
      <c r="S39" s="2795"/>
      <c r="T39" s="192">
        <v>38334.998901459621</v>
      </c>
      <c r="U39" s="2796"/>
      <c r="V39" s="449">
        <f>+R39+T39</f>
        <v>188400.01429193339</v>
      </c>
      <c r="W39" s="2795"/>
      <c r="X39" s="192">
        <v>36958.302940929541</v>
      </c>
      <c r="Y39" s="2797"/>
      <c r="Z39" s="745">
        <f>SUM(P39,T39,X39)</f>
        <v>113487.07710134221</v>
      </c>
      <c r="AA39" s="3804"/>
      <c r="AB39" s="3293">
        <f>SUM(N39,Z39)</f>
        <v>225358.31723286293</v>
      </c>
      <c r="AC39" s="2795"/>
      <c r="AD39" s="192">
        <v>37652.073375985252</v>
      </c>
      <c r="AE39" s="2796"/>
      <c r="AF39" s="449">
        <f>+AB39+AD39</f>
        <v>263010.39060884819</v>
      </c>
      <c r="AG39" s="2795"/>
      <c r="AH39" s="192">
        <v>37185.199064895576</v>
      </c>
      <c r="AI39" s="2796"/>
      <c r="AJ39" s="449">
        <f>+AF39+AH39</f>
        <v>300195.58967374376</v>
      </c>
      <c r="AK39" s="2795"/>
      <c r="AL39" s="192">
        <v>38157.515082930797</v>
      </c>
      <c r="AM39" s="2797"/>
      <c r="AN39" s="745">
        <f>SUM(AD39,AH39,AL39)</f>
        <v>112994.78752381162</v>
      </c>
      <c r="AO39" s="2796"/>
      <c r="AP39" s="923">
        <f>AJ39+AL39</f>
        <v>338353.10475667455</v>
      </c>
      <c r="AQ39" s="2795"/>
      <c r="AR39" s="192">
        <v>38154.010318784269</v>
      </c>
      <c r="AS39" s="2796"/>
      <c r="AT39" s="449">
        <f>+AP39+AR39</f>
        <v>376507.11507545883</v>
      </c>
      <c r="AU39" s="2795"/>
      <c r="AV39" s="192">
        <v>35696.400728836932</v>
      </c>
      <c r="AW39" s="2796"/>
      <c r="AX39" s="449">
        <f>+AT39+AV39</f>
        <v>412203.51580429578</v>
      </c>
      <c r="AY39" s="2795"/>
      <c r="AZ39" s="192">
        <v>38183.727930463967</v>
      </c>
      <c r="BA39" s="2797"/>
      <c r="BB39" s="745">
        <f>SUM(AR39,AV39,AZ39)</f>
        <v>112034.13897808516</v>
      </c>
      <c r="BC39" s="3804"/>
      <c r="BD39" s="3293">
        <f>SUM(AN39,BB39)</f>
        <v>225028.92650189679</v>
      </c>
      <c r="BE39" s="2796"/>
      <c r="BF39" s="449">
        <f>+AX39+AZ39</f>
        <v>450387.24373475974</v>
      </c>
      <c r="BG39" s="648"/>
      <c r="BH39" s="648"/>
      <c r="BI39" s="648"/>
      <c r="BJ39" s="648"/>
      <c r="BK39" s="648"/>
      <c r="BL39" s="648"/>
      <c r="BM39" s="648"/>
      <c r="BN39" s="648"/>
    </row>
    <row r="40" spans="1:66" s="2447" customFormat="1" ht="16.5" hidden="1" thickBot="1" x14ac:dyDescent="0.3">
      <c r="A40" s="181"/>
      <c r="B40" s="3782" t="s">
        <v>154</v>
      </c>
      <c r="C40" s="195" t="s">
        <v>52</v>
      </c>
      <c r="D40" s="3783"/>
      <c r="E40" s="3783"/>
      <c r="F40" s="1512">
        <v>64449.765715308509</v>
      </c>
      <c r="G40" s="3783"/>
      <c r="H40" s="1512">
        <v>62005.756576155974</v>
      </c>
      <c r="I40" s="3784"/>
      <c r="J40" s="3784"/>
      <c r="K40" s="3783"/>
      <c r="L40" s="1512">
        <v>61770.150222842174</v>
      </c>
      <c r="M40" s="3785"/>
      <c r="N40" s="3622">
        <f t="shared" ref="N40:N53" si="120">SUM(F40,H40,L40)</f>
        <v>188225.67251430667</v>
      </c>
      <c r="O40" s="3783"/>
      <c r="P40" s="1512">
        <v>65130.507305978106</v>
      </c>
      <c r="Q40" s="3784"/>
      <c r="R40" s="3617">
        <f>+N40+P40</f>
        <v>253356.17982028477</v>
      </c>
      <c r="S40" s="3783"/>
      <c r="T40" s="1512">
        <v>64787.457626026575</v>
      </c>
      <c r="U40" s="3784"/>
      <c r="V40" s="3617">
        <f>+R40+T40</f>
        <v>318143.63744631136</v>
      </c>
      <c r="W40" s="3783"/>
      <c r="X40" s="1512">
        <v>63288.560352097251</v>
      </c>
      <c r="Y40" s="3785"/>
      <c r="Z40" s="3622">
        <f>SUM(P40,T40,X40)</f>
        <v>193206.52528410195</v>
      </c>
      <c r="AA40" s="3805"/>
      <c r="AB40" s="3786">
        <f>SUM(N40,Z40)</f>
        <v>381432.19779840863</v>
      </c>
      <c r="AC40" s="3783"/>
      <c r="AD40" s="1512">
        <v>66667.684010113284</v>
      </c>
      <c r="AE40" s="3784"/>
      <c r="AF40" s="3617">
        <f>+AB40+AD40</f>
        <v>448099.88180852192</v>
      </c>
      <c r="AG40" s="3783"/>
      <c r="AH40" s="1512">
        <v>64608.985253051651</v>
      </c>
      <c r="AI40" s="3784"/>
      <c r="AJ40" s="3617">
        <f>+AF40+AH40</f>
        <v>512708.86706157355</v>
      </c>
      <c r="AK40" s="3783"/>
      <c r="AL40" s="1512">
        <v>67359.425494852461</v>
      </c>
      <c r="AM40" s="3785"/>
      <c r="AN40" s="3622">
        <f>SUM(AD40,AH40,AL40)</f>
        <v>198636.0947580174</v>
      </c>
      <c r="AO40" s="3784"/>
      <c r="AP40" s="923">
        <f>AJ40+AL40</f>
        <v>580068.29255642602</v>
      </c>
      <c r="AQ40" s="3783"/>
      <c r="AR40" s="1512">
        <v>67157.873684921622</v>
      </c>
      <c r="AS40" s="3784"/>
      <c r="AT40" s="3617">
        <f>+AP40+AR40</f>
        <v>647226.16624134767</v>
      </c>
      <c r="AU40" s="3783"/>
      <c r="AV40" s="1512">
        <v>63082.795083971621</v>
      </c>
      <c r="AW40" s="3784"/>
      <c r="AX40" s="3617">
        <f>+AT40+AV40</f>
        <v>710308.96132531925</v>
      </c>
      <c r="AY40" s="3783"/>
      <c r="AZ40" s="1512">
        <v>67216.207234591988</v>
      </c>
      <c r="BA40" s="3785"/>
      <c r="BB40" s="3622">
        <f>SUM(AR40,AV40,AZ40)</f>
        <v>197456.87600348523</v>
      </c>
      <c r="BC40" s="3805"/>
      <c r="BD40" s="3786">
        <f>SUM(AN40,BB40)</f>
        <v>396092.97076150263</v>
      </c>
      <c r="BE40" s="3784"/>
      <c r="BF40" s="3617">
        <f>+AX40+AZ40</f>
        <v>777525.1685599112</v>
      </c>
      <c r="BG40" s="648"/>
      <c r="BH40" s="648"/>
      <c r="BI40" s="648"/>
      <c r="BJ40" s="648"/>
      <c r="BK40" s="648"/>
      <c r="BL40" s="648"/>
      <c r="BM40" s="648"/>
      <c r="BN40" s="648"/>
    </row>
    <row r="41" spans="1:66" s="2447" customFormat="1" ht="16.5" hidden="1" thickBot="1" x14ac:dyDescent="0.3">
      <c r="A41" s="181"/>
      <c r="B41" s="3791" t="s">
        <v>80</v>
      </c>
      <c r="C41" s="3792" t="s">
        <v>52</v>
      </c>
      <c r="D41" s="140"/>
      <c r="E41" s="140"/>
      <c r="F41" s="3793">
        <f>SUM(F39:F40)</f>
        <v>101425.73015088806</v>
      </c>
      <c r="G41" s="140"/>
      <c r="H41" s="3793">
        <f>SUM(H39:H40)</f>
        <v>99926.482183331536</v>
      </c>
      <c r="I41" s="1477"/>
      <c r="J41" s="1477"/>
      <c r="K41" s="140"/>
      <c r="L41" s="3793">
        <f>SUM(L39:L40)</f>
        <v>98744.700311607798</v>
      </c>
      <c r="M41" s="2099"/>
      <c r="N41" s="3794">
        <f t="shared" si="120"/>
        <v>300096.9126458274</v>
      </c>
      <c r="O41" s="140"/>
      <c r="P41" s="3793">
        <f>SUM(P39:P40)</f>
        <v>103324.28256493116</v>
      </c>
      <c r="Q41" s="1477"/>
      <c r="R41" s="3795">
        <f t="shared" ref="R41" si="121">SUM(R39:R40)</f>
        <v>403421.19521075854</v>
      </c>
      <c r="S41" s="140"/>
      <c r="T41" s="3793">
        <f>SUM(T39:T40)</f>
        <v>103122.4565274862</v>
      </c>
      <c r="U41" s="1477"/>
      <c r="V41" s="3795">
        <f t="shared" ref="V41" si="122">SUM(V39:V40)</f>
        <v>506543.65173824475</v>
      </c>
      <c r="W41" s="140"/>
      <c r="X41" s="3793">
        <f>SUM(X39:X40)</f>
        <v>100246.86329302679</v>
      </c>
      <c r="Y41" s="2099"/>
      <c r="Z41" s="3794">
        <f>SUM(Z39:Z40)</f>
        <v>306693.60238544416</v>
      </c>
      <c r="AA41" s="3806"/>
      <c r="AB41" s="3294">
        <f>SUM(AB39:AB40)</f>
        <v>606790.51503127161</v>
      </c>
      <c r="AC41" s="140"/>
      <c r="AD41" s="3793">
        <f>SUM(AD39:AD40)</f>
        <v>104319.75738609853</v>
      </c>
      <c r="AE41" s="1477"/>
      <c r="AF41" s="3795">
        <f t="shared" ref="AF41" si="123">SUM(AF39:AF40)</f>
        <v>711110.27241737011</v>
      </c>
      <c r="AG41" s="140"/>
      <c r="AH41" s="3793">
        <f>SUM(AH39:AH40)</f>
        <v>101794.18431794722</v>
      </c>
      <c r="AI41" s="1477"/>
      <c r="AJ41" s="3795">
        <f t="shared" ref="AJ41" si="124">SUM(AJ39:AJ40)</f>
        <v>812904.45673531736</v>
      </c>
      <c r="AK41" s="140"/>
      <c r="AL41" s="3793">
        <f>SUM(AL39:AL40)</f>
        <v>105516.94057778326</v>
      </c>
      <c r="AM41" s="2099"/>
      <c r="AN41" s="3794">
        <f>SUM(AN39:AN40)</f>
        <v>311630.88228182902</v>
      </c>
      <c r="AO41" s="1477"/>
      <c r="AP41" s="3795">
        <f t="shared" ref="AP41" si="125">SUM(AP39:AP40)</f>
        <v>918421.39731310052</v>
      </c>
      <c r="AQ41" s="140"/>
      <c r="AR41" s="3793">
        <f>SUM(AR39:AR40)</f>
        <v>105311.8840037059</v>
      </c>
      <c r="AS41" s="1477"/>
      <c r="AT41" s="3795">
        <f t="shared" ref="AT41" si="126">SUM(AT39:AT40)</f>
        <v>1023733.2813168066</v>
      </c>
      <c r="AU41" s="140"/>
      <c r="AV41" s="3793">
        <f>SUM(AV39:AV40)</f>
        <v>98779.195812808553</v>
      </c>
      <c r="AW41" s="1477"/>
      <c r="AX41" s="3795">
        <f t="shared" ref="AX41" si="127">SUM(AX39:AX40)</f>
        <v>1122512.4771296149</v>
      </c>
      <c r="AY41" s="140"/>
      <c r="AZ41" s="3793">
        <f>SUM(AZ39:AZ40)</f>
        <v>105399.93516505595</v>
      </c>
      <c r="BA41" s="2099"/>
      <c r="BB41" s="3794">
        <f>SUM(BB39:BB40)</f>
        <v>309491.01498157042</v>
      </c>
      <c r="BC41" s="3806"/>
      <c r="BD41" s="3294">
        <f>SUM(BD39:BD40)</f>
        <v>621121.89726339944</v>
      </c>
      <c r="BE41" s="1477"/>
      <c r="BF41" s="3795">
        <f t="shared" ref="BF41" si="128">SUM(BF39:BF40)</f>
        <v>1227912.4122946709</v>
      </c>
      <c r="BG41" s="648"/>
      <c r="BH41" s="648"/>
      <c r="BI41" s="648"/>
      <c r="BJ41" s="648"/>
      <c r="BK41" s="648"/>
      <c r="BL41" s="648"/>
      <c r="BM41" s="648"/>
      <c r="BN41" s="648"/>
    </row>
    <row r="42" spans="1:66" s="2447" customFormat="1" ht="15.75" hidden="1" x14ac:dyDescent="0.25">
      <c r="A42" s="181"/>
      <c r="B42" s="3787" t="s">
        <v>156</v>
      </c>
      <c r="C42" s="959" t="s">
        <v>52</v>
      </c>
      <c r="D42" s="3788"/>
      <c r="E42" s="3788"/>
      <c r="F42" s="1633">
        <v>888.23199052033669</v>
      </c>
      <c r="G42" s="3788"/>
      <c r="H42" s="1633">
        <v>1172.3087855548354</v>
      </c>
      <c r="I42" s="3789"/>
      <c r="J42" s="3789"/>
      <c r="K42" s="3788"/>
      <c r="L42" s="1633">
        <v>1046.4732455911414</v>
      </c>
      <c r="M42" s="3790"/>
      <c r="N42" s="3623">
        <f t="shared" si="120"/>
        <v>3107.014021666314</v>
      </c>
      <c r="O42" s="3788"/>
      <c r="P42" s="1633">
        <v>932.00120934550637</v>
      </c>
      <c r="Q42" s="3789"/>
      <c r="R42" s="3618">
        <f>+N42+P42</f>
        <v>4039.0152310118201</v>
      </c>
      <c r="S42" s="3788"/>
      <c r="T42" s="1633">
        <v>817.9586773024929</v>
      </c>
      <c r="U42" s="3789"/>
      <c r="V42" s="3618">
        <f>+R42+T42</f>
        <v>4856.9739083143131</v>
      </c>
      <c r="W42" s="3788"/>
      <c r="X42" s="1633">
        <v>896.54048935967489</v>
      </c>
      <c r="Y42" s="3790"/>
      <c r="Z42" s="3623">
        <f>SUM(P42,T42,X42)</f>
        <v>2646.5003760076743</v>
      </c>
      <c r="AA42" s="3807"/>
      <c r="AB42" s="3295">
        <f>SUM(N42,Z42)</f>
        <v>5753.5143976739882</v>
      </c>
      <c r="AC42" s="3788"/>
      <c r="AD42" s="1633">
        <v>857.9550717061004</v>
      </c>
      <c r="AE42" s="3789"/>
      <c r="AF42" s="3618">
        <f>+AB42+AD42</f>
        <v>6611.4694693800884</v>
      </c>
      <c r="AG42" s="3788"/>
      <c r="AH42" s="1633">
        <v>853.69671131910525</v>
      </c>
      <c r="AI42" s="3789"/>
      <c r="AJ42" s="3618">
        <f>+AF42+AH42</f>
        <v>7465.1661806991933</v>
      </c>
      <c r="AK42" s="3788"/>
      <c r="AL42" s="1633">
        <v>859.21175456410936</v>
      </c>
      <c r="AM42" s="3790"/>
      <c r="AN42" s="3623">
        <f>SUM(AD42,AH42,AL42)</f>
        <v>2570.863537589315</v>
      </c>
      <c r="AO42" s="3789"/>
      <c r="AP42" s="923">
        <f>AJ42+AL42</f>
        <v>8324.3779352633028</v>
      </c>
      <c r="AQ42" s="3788"/>
      <c r="AR42" s="1633">
        <v>937.12362866601006</v>
      </c>
      <c r="AS42" s="3789"/>
      <c r="AT42" s="3618">
        <f>+AP42+AR42</f>
        <v>9261.5015639293124</v>
      </c>
      <c r="AU42" s="3788"/>
      <c r="AV42" s="1633">
        <v>442.31529576559268</v>
      </c>
      <c r="AW42" s="3789"/>
      <c r="AX42" s="3618">
        <f>+AT42+AV42</f>
        <v>9703.8168596949054</v>
      </c>
      <c r="AY42" s="3788"/>
      <c r="AZ42" s="1633">
        <v>768.90085811905738</v>
      </c>
      <c r="BA42" s="3790"/>
      <c r="BB42" s="3623">
        <f>SUM(AR42,AV42,AZ42)</f>
        <v>2148.3397825506599</v>
      </c>
      <c r="BC42" s="3807"/>
      <c r="BD42" s="3295">
        <f>SUM(AN42,BB42)</f>
        <v>4719.2033201399754</v>
      </c>
      <c r="BE42" s="3789"/>
      <c r="BF42" s="3618">
        <f>+AX42+AZ42</f>
        <v>10472.717717813963</v>
      </c>
      <c r="BG42" s="648"/>
      <c r="BH42" s="648"/>
      <c r="BI42" s="648"/>
      <c r="BJ42" s="648"/>
      <c r="BK42" s="648"/>
      <c r="BL42" s="648"/>
      <c r="BM42" s="648"/>
      <c r="BN42" s="648"/>
    </row>
    <row r="43" spans="1:66" s="2447" customFormat="1" ht="16.5" hidden="1" thickBot="1" x14ac:dyDescent="0.3">
      <c r="A43" s="181"/>
      <c r="B43" s="2848" t="s">
        <v>157</v>
      </c>
      <c r="C43" s="193" t="s">
        <v>52</v>
      </c>
      <c r="D43" s="986"/>
      <c r="E43" s="986"/>
      <c r="F43" s="3616">
        <v>1548.2042068061221</v>
      </c>
      <c r="G43" s="986"/>
      <c r="H43" s="3616">
        <v>1916.8908828961698</v>
      </c>
      <c r="I43" s="983"/>
      <c r="J43" s="983"/>
      <c r="K43" s="986"/>
      <c r="L43" s="3616">
        <v>1748.251416965599</v>
      </c>
      <c r="M43" s="984"/>
      <c r="N43" s="3614">
        <f t="shared" si="120"/>
        <v>5213.3465066678909</v>
      </c>
      <c r="O43" s="986"/>
      <c r="P43" s="3616">
        <v>1589.3090212449938</v>
      </c>
      <c r="Q43" s="983"/>
      <c r="R43" s="3615">
        <f>+N43+P43</f>
        <v>6802.6555279128843</v>
      </c>
      <c r="S43" s="986"/>
      <c r="T43" s="3616">
        <v>1382.3781052347506</v>
      </c>
      <c r="U43" s="983"/>
      <c r="V43" s="3615">
        <f>+R43+T43</f>
        <v>8185.0336331476346</v>
      </c>
      <c r="W43" s="986"/>
      <c r="X43" s="3616">
        <v>1535.2641315708502</v>
      </c>
      <c r="Y43" s="984"/>
      <c r="Z43" s="3614">
        <f>SUM(P43,T43,X43)</f>
        <v>4506.9512580505943</v>
      </c>
      <c r="AA43" s="976"/>
      <c r="AB43" s="3781">
        <f>SUM(N43,Z43)</f>
        <v>9720.2977647184853</v>
      </c>
      <c r="AC43" s="986"/>
      <c r="AD43" s="3616">
        <v>1519.1162793137864</v>
      </c>
      <c r="AE43" s="983"/>
      <c r="AF43" s="3615">
        <f>+AB43+AD43</f>
        <v>11239.414044032272</v>
      </c>
      <c r="AG43" s="986"/>
      <c r="AH43" s="3616">
        <v>1483.2911916361059</v>
      </c>
      <c r="AI43" s="983"/>
      <c r="AJ43" s="3615">
        <f>+AF43+AH43</f>
        <v>12722.705235668378</v>
      </c>
      <c r="AK43" s="986"/>
      <c r="AL43" s="3616">
        <v>1516.7657023806712</v>
      </c>
      <c r="AM43" s="984"/>
      <c r="AN43" s="4290">
        <f>SUM(AD43,AH43,AL43)</f>
        <v>4519.1731733305633</v>
      </c>
      <c r="AO43" s="983"/>
      <c r="AP43" s="923">
        <f>AJ43+AL43</f>
        <v>14239.470938049049</v>
      </c>
      <c r="AQ43" s="986"/>
      <c r="AR43" s="3616">
        <v>1649.5049866389154</v>
      </c>
      <c r="AS43" s="983"/>
      <c r="AT43" s="3615">
        <f>+AP43+AR43</f>
        <v>15888.975924687966</v>
      </c>
      <c r="AU43" s="986"/>
      <c r="AV43" s="3616">
        <v>781.6610245174237</v>
      </c>
      <c r="AW43" s="983"/>
      <c r="AX43" s="3615">
        <f>+AT43+AV43</f>
        <v>16670.636949205389</v>
      </c>
      <c r="AY43" s="986"/>
      <c r="AZ43" s="3616">
        <v>1353.5241901027812</v>
      </c>
      <c r="BA43" s="984"/>
      <c r="BB43" s="5062">
        <f>SUM(AR43,AV43,AZ43)</f>
        <v>3784.6902012591204</v>
      </c>
      <c r="BC43" s="976"/>
      <c r="BD43" s="3781">
        <f>SUM(AN43,BB43)</f>
        <v>8303.8633745896841</v>
      </c>
      <c r="BE43" s="983"/>
      <c r="BF43" s="3615">
        <f>+AX43+AZ43</f>
        <v>18024.161139308169</v>
      </c>
      <c r="BG43" s="648"/>
      <c r="BH43" s="648"/>
      <c r="BI43" s="648"/>
      <c r="BJ43" s="648"/>
      <c r="BK43" s="648"/>
      <c r="BL43" s="648"/>
      <c r="BM43" s="648"/>
      <c r="BN43" s="648"/>
    </row>
    <row r="44" spans="1:66" s="2447" customFormat="1" ht="16.5" hidden="1" thickBot="1" x14ac:dyDescent="0.3">
      <c r="A44" s="181"/>
      <c r="B44" s="3791" t="s">
        <v>146</v>
      </c>
      <c r="C44" s="3792" t="s">
        <v>52</v>
      </c>
      <c r="D44" s="140"/>
      <c r="E44" s="140"/>
      <c r="F44" s="3793">
        <f>SUM(F42:F43)</f>
        <v>2436.4361973264586</v>
      </c>
      <c r="G44" s="140"/>
      <c r="H44" s="3793">
        <f>SUM(H42:H43)</f>
        <v>3089.199668451005</v>
      </c>
      <c r="I44" s="1477"/>
      <c r="J44" s="1477"/>
      <c r="K44" s="140"/>
      <c r="L44" s="3793">
        <f>SUM(L42:L43)</f>
        <v>2794.7246625567404</v>
      </c>
      <c r="M44" s="2099"/>
      <c r="N44" s="3794">
        <f t="shared" si="120"/>
        <v>8320.360528334204</v>
      </c>
      <c r="O44" s="140"/>
      <c r="P44" s="3793">
        <f>SUM(P42:P43)</f>
        <v>2521.3102305905004</v>
      </c>
      <c r="Q44" s="1477"/>
      <c r="R44" s="3795">
        <f t="shared" ref="R44" si="129">SUM(R42:R43)</f>
        <v>10841.670758924705</v>
      </c>
      <c r="S44" s="140"/>
      <c r="T44" s="3793">
        <f>SUM(T42:T43)</f>
        <v>2200.3367825372434</v>
      </c>
      <c r="U44" s="1477"/>
      <c r="V44" s="3795">
        <f t="shared" ref="V44" si="130">SUM(V42:V43)</f>
        <v>13042.007541461948</v>
      </c>
      <c r="W44" s="140"/>
      <c r="X44" s="3793">
        <f>SUM(X42:X43)</f>
        <v>2431.8046209305248</v>
      </c>
      <c r="Y44" s="2099"/>
      <c r="Z44" s="3794">
        <f>SUM(Z42:Z43)</f>
        <v>7153.4516340582686</v>
      </c>
      <c r="AA44" s="3806"/>
      <c r="AB44" s="3294">
        <f>SUM(AB42:AB43)</f>
        <v>15473.812162392474</v>
      </c>
      <c r="AC44" s="140"/>
      <c r="AD44" s="3793">
        <f>SUM(AD42:AD43)</f>
        <v>2377.0713510198866</v>
      </c>
      <c r="AE44" s="1477"/>
      <c r="AF44" s="3795">
        <f t="shared" ref="AF44" si="131">SUM(AF42:AF43)</f>
        <v>17850.883513412358</v>
      </c>
      <c r="AG44" s="140"/>
      <c r="AH44" s="3793">
        <f>SUM(AH42:AH43)</f>
        <v>2336.9879029552112</v>
      </c>
      <c r="AI44" s="1477"/>
      <c r="AJ44" s="3795">
        <f t="shared" ref="AJ44" si="132">SUM(AJ42:AJ43)</f>
        <v>20187.871416367572</v>
      </c>
      <c r="AK44" s="140"/>
      <c r="AL44" s="3793">
        <f>SUM(AL42:AL43)</f>
        <v>2375.9774569447804</v>
      </c>
      <c r="AM44" s="2099"/>
      <c r="AN44" s="3794">
        <f>SUM(AN42:AN43)</f>
        <v>7090.0367109198778</v>
      </c>
      <c r="AO44" s="1477"/>
      <c r="AP44" s="3795">
        <f t="shared" ref="AP44" si="133">SUM(AP42:AP43)</f>
        <v>22563.848873312352</v>
      </c>
      <c r="AQ44" s="140"/>
      <c r="AR44" s="3793">
        <f>SUM(AR42:AR43)</f>
        <v>2586.6286153049255</v>
      </c>
      <c r="AS44" s="1477"/>
      <c r="AT44" s="3795">
        <f t="shared" ref="AT44" si="134">SUM(AT42:AT43)</f>
        <v>25150.477488617278</v>
      </c>
      <c r="AU44" s="140"/>
      <c r="AV44" s="3793">
        <f>SUM(AV42:AV43)</f>
        <v>1223.9763202830163</v>
      </c>
      <c r="AW44" s="1477"/>
      <c r="AX44" s="3795">
        <f t="shared" ref="AX44" si="135">SUM(AX42:AX43)</f>
        <v>26374.453808900296</v>
      </c>
      <c r="AY44" s="140"/>
      <c r="AZ44" s="3793">
        <f>SUM(AZ42:AZ43)</f>
        <v>2122.4250482218386</v>
      </c>
      <c r="BA44" s="2099"/>
      <c r="BB44" s="3794">
        <f>SUM(BB42:BB43)</f>
        <v>5933.0299838097799</v>
      </c>
      <c r="BC44" s="3806"/>
      <c r="BD44" s="3294">
        <f>SUM(BD42:BD43)</f>
        <v>13023.06669472966</v>
      </c>
      <c r="BE44" s="1477"/>
      <c r="BF44" s="3795">
        <f t="shared" ref="BF44" si="136">SUM(BF42:BF43)</f>
        <v>28496.87885712213</v>
      </c>
      <c r="BG44" s="648"/>
      <c r="BH44" s="648"/>
      <c r="BI44" s="648"/>
      <c r="BJ44" s="648"/>
      <c r="BK44" s="648"/>
      <c r="BL44" s="648"/>
      <c r="BM44" s="648"/>
      <c r="BN44" s="648"/>
    </row>
    <row r="45" spans="1:66" s="2447" customFormat="1" ht="15.75" hidden="1" x14ac:dyDescent="0.25">
      <c r="A45" s="181"/>
      <c r="B45" s="2848" t="s">
        <v>158</v>
      </c>
      <c r="C45" s="193" t="s">
        <v>52</v>
      </c>
      <c r="D45" s="986"/>
      <c r="E45" s="986"/>
      <c r="F45" s="3616">
        <v>1955.6770139415455</v>
      </c>
      <c r="G45" s="986"/>
      <c r="H45" s="3616">
        <v>1954.9050349137635</v>
      </c>
      <c r="I45" s="983"/>
      <c r="J45" s="983"/>
      <c r="K45" s="986"/>
      <c r="L45" s="3616">
        <v>1719.5455568915638</v>
      </c>
      <c r="M45" s="984"/>
      <c r="N45" s="3614">
        <f t="shared" si="120"/>
        <v>5630.1276057468731</v>
      </c>
      <c r="O45" s="986"/>
      <c r="P45" s="3616">
        <v>1900.1638514006927</v>
      </c>
      <c r="Q45" s="983"/>
      <c r="R45" s="3615">
        <f>+N45+P45</f>
        <v>7530.2914571475658</v>
      </c>
      <c r="S45" s="986"/>
      <c r="T45" s="3616">
        <v>2035.7306603070558</v>
      </c>
      <c r="U45" s="983"/>
      <c r="V45" s="3615">
        <f>+R45+T45</f>
        <v>9566.0221174546223</v>
      </c>
      <c r="W45" s="986"/>
      <c r="X45" s="3616">
        <v>1876.9237988344107</v>
      </c>
      <c r="Y45" s="984"/>
      <c r="Z45" s="3614">
        <f>SUM(P45,T45,X45)</f>
        <v>5812.8183105421595</v>
      </c>
      <c r="AA45" s="976"/>
      <c r="AB45" s="3781">
        <f>SUM(N45,Z45)</f>
        <v>11442.945916289033</v>
      </c>
      <c r="AC45" s="986"/>
      <c r="AD45" s="3616">
        <v>1946.3194587858484</v>
      </c>
      <c r="AE45" s="983"/>
      <c r="AF45" s="3615">
        <f>+AB45+AD45</f>
        <v>13389.265375074881</v>
      </c>
      <c r="AG45" s="986"/>
      <c r="AH45" s="3616">
        <v>1641.4551942243195</v>
      </c>
      <c r="AI45" s="983"/>
      <c r="AJ45" s="3615">
        <f>+AF45+AH45</f>
        <v>15030.720569299201</v>
      </c>
      <c r="AK45" s="986"/>
      <c r="AL45" s="3616">
        <v>1961.7712961044447</v>
      </c>
      <c r="AM45" s="984"/>
      <c r="AN45" s="4290">
        <f>SUM(AD45,AH45,AL45)</f>
        <v>5549.5459491146121</v>
      </c>
      <c r="AO45" s="983"/>
      <c r="AP45" s="923">
        <f>AJ45+AL45</f>
        <v>16992.491865403645</v>
      </c>
      <c r="AQ45" s="986"/>
      <c r="AR45" s="3616">
        <v>1808.0869665280186</v>
      </c>
      <c r="AS45" s="983"/>
      <c r="AT45" s="3615">
        <f>+AP45+AR45</f>
        <v>18800.578831931663</v>
      </c>
      <c r="AU45" s="986"/>
      <c r="AV45" s="3616">
        <v>2054.1821637411444</v>
      </c>
      <c r="AW45" s="983"/>
      <c r="AX45" s="3615">
        <f>+AT45+AV45</f>
        <v>20854.760995672808</v>
      </c>
      <c r="AY45" s="986"/>
      <c r="AZ45" s="3616">
        <v>1977.251665436828</v>
      </c>
      <c r="BA45" s="984"/>
      <c r="BB45" s="5062">
        <f>SUM(AR45,AV45,AZ45)</f>
        <v>5839.5207957059911</v>
      </c>
      <c r="BC45" s="976"/>
      <c r="BD45" s="3781">
        <f>SUM(AN45,BB45)</f>
        <v>11389.066744820604</v>
      </c>
      <c r="BE45" s="983"/>
      <c r="BF45" s="3615">
        <f>+AX45+AZ45</f>
        <v>22832.012661109635</v>
      </c>
      <c r="BG45" s="648"/>
      <c r="BH45" s="648"/>
      <c r="BI45" s="648"/>
      <c r="BJ45" s="648"/>
      <c r="BK45" s="648"/>
      <c r="BL45" s="648"/>
      <c r="BM45" s="648"/>
      <c r="BN45" s="648"/>
    </row>
    <row r="46" spans="1:66" s="2447" customFormat="1" ht="16.5" hidden="1" thickBot="1" x14ac:dyDescent="0.3">
      <c r="A46" s="181"/>
      <c r="B46" s="2848" t="s">
        <v>159</v>
      </c>
      <c r="C46" s="193" t="s">
        <v>52</v>
      </c>
      <c r="D46" s="986"/>
      <c r="E46" s="986"/>
      <c r="F46" s="3616">
        <v>3408.7799273753053</v>
      </c>
      <c r="G46" s="986"/>
      <c r="H46" s="3616">
        <v>3196.5465793045773</v>
      </c>
      <c r="I46" s="983"/>
      <c r="J46" s="983"/>
      <c r="K46" s="986"/>
      <c r="L46" s="3616">
        <v>2872.6945185057343</v>
      </c>
      <c r="M46" s="984"/>
      <c r="N46" s="3614">
        <f t="shared" si="120"/>
        <v>9478.021025185617</v>
      </c>
      <c r="O46" s="986"/>
      <c r="P46" s="3616">
        <v>3240.2828672244932</v>
      </c>
      <c r="Q46" s="983"/>
      <c r="R46" s="3615">
        <f>+N46+P46</f>
        <v>12718.303892410109</v>
      </c>
      <c r="S46" s="986"/>
      <c r="T46" s="3616">
        <v>3440.4543543008863</v>
      </c>
      <c r="U46" s="983"/>
      <c r="V46" s="3615">
        <f>+R46+T46</f>
        <v>16158.758246710995</v>
      </c>
      <c r="W46" s="986"/>
      <c r="X46" s="3616">
        <v>3214.1033452936895</v>
      </c>
      <c r="Y46" s="984"/>
      <c r="Z46" s="3614">
        <f>SUM(P46,T46,X46)</f>
        <v>9894.8405668190699</v>
      </c>
      <c r="AA46" s="976"/>
      <c r="AB46" s="3781">
        <f>SUM(N46,Z46)</f>
        <v>19372.861592004687</v>
      </c>
      <c r="AC46" s="986"/>
      <c r="AD46" s="3616">
        <v>3446.2009399946969</v>
      </c>
      <c r="AE46" s="983"/>
      <c r="AF46" s="3615">
        <f>+AB46+AD46</f>
        <v>22819.062531999385</v>
      </c>
      <c r="AG46" s="986"/>
      <c r="AH46" s="3616">
        <v>2852.0152400448605</v>
      </c>
      <c r="AI46" s="983"/>
      <c r="AJ46" s="3615">
        <f>+AF46+AH46</f>
        <v>25671.077772044246</v>
      </c>
      <c r="AK46" s="986"/>
      <c r="AL46" s="3616">
        <v>3463.1130242807671</v>
      </c>
      <c r="AM46" s="984"/>
      <c r="AN46" s="4290">
        <f>SUM(AD46,AH46,AL46)</f>
        <v>9761.3292043203237</v>
      </c>
      <c r="AO46" s="983"/>
      <c r="AP46" s="923">
        <f>AJ46+AL46</f>
        <v>29134.190796325012</v>
      </c>
      <c r="AQ46" s="986"/>
      <c r="AR46" s="3616">
        <v>3182.5560431234612</v>
      </c>
      <c r="AS46" s="983"/>
      <c r="AT46" s="3615">
        <f>+AP46+AR46</f>
        <v>32316.746839448475</v>
      </c>
      <c r="AU46" s="986"/>
      <c r="AV46" s="3616">
        <v>3630.1573787451757</v>
      </c>
      <c r="AW46" s="983"/>
      <c r="AX46" s="3615">
        <f>+AT46+AV46</f>
        <v>35946.904218193653</v>
      </c>
      <c r="AY46" s="986"/>
      <c r="AZ46" s="3616">
        <v>3480.6281340830074</v>
      </c>
      <c r="BA46" s="984"/>
      <c r="BB46" s="5062">
        <f>SUM(AR46,AV46,AZ46)</f>
        <v>10293.341555951643</v>
      </c>
      <c r="BC46" s="976"/>
      <c r="BD46" s="3781">
        <f>SUM(AN46,BB46)</f>
        <v>20054.670760271969</v>
      </c>
      <c r="BE46" s="983"/>
      <c r="BF46" s="3615">
        <f>+AX46+AZ46</f>
        <v>39427.532352276663</v>
      </c>
      <c r="BG46" s="648"/>
      <c r="BH46" s="648"/>
      <c r="BI46" s="648"/>
      <c r="BJ46" s="648"/>
      <c r="BK46" s="648"/>
      <c r="BL46" s="648"/>
      <c r="BM46" s="648"/>
      <c r="BN46" s="648"/>
    </row>
    <row r="47" spans="1:66" s="2447" customFormat="1" ht="16.5" hidden="1" thickBot="1" x14ac:dyDescent="0.3">
      <c r="A47" s="181"/>
      <c r="B47" s="3791" t="s">
        <v>147</v>
      </c>
      <c r="C47" s="3792" t="s">
        <v>52</v>
      </c>
      <c r="D47" s="140"/>
      <c r="E47" s="140"/>
      <c r="F47" s="3793">
        <f>SUM(F45:F46)</f>
        <v>5364.456941316851</v>
      </c>
      <c r="G47" s="140"/>
      <c r="H47" s="3793">
        <f>SUM(H45:H46)</f>
        <v>5151.4516142183411</v>
      </c>
      <c r="I47" s="1477"/>
      <c r="J47" s="1477"/>
      <c r="K47" s="140"/>
      <c r="L47" s="3793">
        <f>SUM(L45:L46)</f>
        <v>4592.2400753972979</v>
      </c>
      <c r="M47" s="2099"/>
      <c r="N47" s="3794">
        <f t="shared" si="120"/>
        <v>15108.14863093249</v>
      </c>
      <c r="O47" s="140"/>
      <c r="P47" s="3793">
        <f>SUM(P45:P46)</f>
        <v>5140.4467186251859</v>
      </c>
      <c r="Q47" s="1477"/>
      <c r="R47" s="3795">
        <f t="shared" ref="R47" si="137">SUM(R45:R46)</f>
        <v>20248.595349557676</v>
      </c>
      <c r="S47" s="140"/>
      <c r="T47" s="3793">
        <f>SUM(T45:T46)</f>
        <v>5476.1850146079423</v>
      </c>
      <c r="U47" s="1477"/>
      <c r="V47" s="3795">
        <f t="shared" ref="V47" si="138">SUM(V45:V46)</f>
        <v>25724.780364165617</v>
      </c>
      <c r="W47" s="140"/>
      <c r="X47" s="3793">
        <f>SUM(X45:X46)</f>
        <v>5091.0271441281002</v>
      </c>
      <c r="Y47" s="2099"/>
      <c r="Z47" s="3794">
        <f>SUM(Z45:Z46)</f>
        <v>15707.658877361229</v>
      </c>
      <c r="AA47" s="3806"/>
      <c r="AB47" s="3294">
        <f>SUM(AB45:AB46)</f>
        <v>30815.807508293721</v>
      </c>
      <c r="AC47" s="140"/>
      <c r="AD47" s="3793">
        <f>SUM(AD45:AD46)</f>
        <v>5392.5203987805453</v>
      </c>
      <c r="AE47" s="1477"/>
      <c r="AF47" s="3795">
        <f t="shared" ref="AF47" si="139">SUM(AF45:AF46)</f>
        <v>36208.327907074265</v>
      </c>
      <c r="AG47" s="140"/>
      <c r="AH47" s="3793">
        <f>SUM(AH45:AH46)</f>
        <v>4493.4704342691803</v>
      </c>
      <c r="AI47" s="1477"/>
      <c r="AJ47" s="3795">
        <f t="shared" ref="AJ47" si="140">SUM(AJ45:AJ46)</f>
        <v>40701.798341343449</v>
      </c>
      <c r="AK47" s="140"/>
      <c r="AL47" s="3793">
        <f>SUM(AL45:AL46)</f>
        <v>5424.884320385212</v>
      </c>
      <c r="AM47" s="2099"/>
      <c r="AN47" s="3794">
        <f>SUM(AN45:AN46)</f>
        <v>15310.875153434936</v>
      </c>
      <c r="AO47" s="1477"/>
      <c r="AP47" s="3795">
        <f t="shared" ref="AP47" si="141">SUM(AP45:AP46)</f>
        <v>46126.682661728657</v>
      </c>
      <c r="AQ47" s="140"/>
      <c r="AR47" s="3793">
        <f>SUM(AR45:AR46)</f>
        <v>4990.6430096514796</v>
      </c>
      <c r="AS47" s="1477"/>
      <c r="AT47" s="3795">
        <f t="shared" ref="AT47" si="142">SUM(AT45:AT46)</f>
        <v>51117.325671380138</v>
      </c>
      <c r="AU47" s="140"/>
      <c r="AV47" s="3793">
        <f>SUM(AV45:AV46)</f>
        <v>5684.3395424863202</v>
      </c>
      <c r="AW47" s="1477"/>
      <c r="AX47" s="3795">
        <f t="shared" ref="AX47" si="143">SUM(AX45:AX46)</f>
        <v>56801.665213866465</v>
      </c>
      <c r="AY47" s="140"/>
      <c r="AZ47" s="3793">
        <f>SUM(AZ45:AZ46)</f>
        <v>5457.8797995198356</v>
      </c>
      <c r="BA47" s="2099"/>
      <c r="BB47" s="3794">
        <f>SUM(BB45:BB46)</f>
        <v>16132.862351657634</v>
      </c>
      <c r="BC47" s="3806"/>
      <c r="BD47" s="3294">
        <f>SUM(BD45:BD46)</f>
        <v>31443.737505092573</v>
      </c>
      <c r="BE47" s="1477"/>
      <c r="BF47" s="3795">
        <f t="shared" ref="BF47" si="144">SUM(BF45:BF46)</f>
        <v>62259.545013386298</v>
      </c>
      <c r="BG47" s="648"/>
      <c r="BH47" s="648"/>
      <c r="BI47" s="648"/>
      <c r="BJ47" s="648"/>
      <c r="BK47" s="648"/>
      <c r="BL47" s="648"/>
      <c r="BM47" s="648"/>
      <c r="BN47" s="648"/>
    </row>
    <row r="48" spans="1:66" s="2447" customFormat="1" ht="15.75" hidden="1" x14ac:dyDescent="0.25">
      <c r="A48" s="181"/>
      <c r="B48" s="2848" t="s">
        <v>160</v>
      </c>
      <c r="C48" s="193" t="s">
        <v>52</v>
      </c>
      <c r="D48" s="986"/>
      <c r="E48" s="986"/>
      <c r="F48" s="3616">
        <v>337.27577983311755</v>
      </c>
      <c r="G48" s="986"/>
      <c r="H48" s="3616">
        <v>445.13315180413935</v>
      </c>
      <c r="I48" s="983"/>
      <c r="J48" s="983"/>
      <c r="K48" s="986"/>
      <c r="L48" s="3616">
        <v>428.66379574793342</v>
      </c>
      <c r="M48" s="984"/>
      <c r="N48" s="3614">
        <f t="shared" si="120"/>
        <v>1211.0727273851903</v>
      </c>
      <c r="O48" s="986"/>
      <c r="P48" s="3616">
        <v>453.54165131237022</v>
      </c>
      <c r="Q48" s="983"/>
      <c r="R48" s="3615">
        <f>+N48+P48</f>
        <v>1664.6143786975606</v>
      </c>
      <c r="S48" s="986"/>
      <c r="T48" s="3616">
        <v>452.87571945535842</v>
      </c>
      <c r="U48" s="983"/>
      <c r="V48" s="3615">
        <f>+R48+T48</f>
        <v>2117.490098152919</v>
      </c>
      <c r="W48" s="986"/>
      <c r="X48" s="3616">
        <v>424.16138114772718</v>
      </c>
      <c r="Y48" s="984"/>
      <c r="Z48" s="3614">
        <f>SUM(P48,T48,X48)</f>
        <v>1330.578751915456</v>
      </c>
      <c r="AA48" s="976"/>
      <c r="AB48" s="3781">
        <f>SUM(N48,Z48)</f>
        <v>2541.6514793006463</v>
      </c>
      <c r="AC48" s="986"/>
      <c r="AD48" s="3616">
        <v>442.85216310683808</v>
      </c>
      <c r="AE48" s="983"/>
      <c r="AF48" s="3615">
        <f>+AB48+AD48</f>
        <v>2984.5036424074842</v>
      </c>
      <c r="AG48" s="986"/>
      <c r="AH48" s="3616">
        <v>426.19047203407587</v>
      </c>
      <c r="AI48" s="983"/>
      <c r="AJ48" s="3615">
        <f>+AF48+AH48</f>
        <v>3410.69411444156</v>
      </c>
      <c r="AK48" s="986"/>
      <c r="AL48" s="3616">
        <v>473.86715822717048</v>
      </c>
      <c r="AM48" s="984"/>
      <c r="AN48" s="4290">
        <f>SUM(AD48,AH48,AL48)</f>
        <v>1342.9097933680844</v>
      </c>
      <c r="AO48" s="983"/>
      <c r="AP48" s="923">
        <f>AJ48+AL48</f>
        <v>3884.5612726687305</v>
      </c>
      <c r="AQ48" s="986"/>
      <c r="AR48" s="3616">
        <v>547.15381228886088</v>
      </c>
      <c r="AS48" s="983"/>
      <c r="AT48" s="3615">
        <f>+AP48+AR48</f>
        <v>4431.715084957591</v>
      </c>
      <c r="AU48" s="986"/>
      <c r="AV48" s="3616">
        <v>514.38749999999993</v>
      </c>
      <c r="AW48" s="983"/>
      <c r="AX48" s="3615">
        <f>+AT48+AV48</f>
        <v>4946.1025849575908</v>
      </c>
      <c r="AY48" s="986"/>
      <c r="AZ48" s="3616">
        <v>550.21677949235925</v>
      </c>
      <c r="BA48" s="984"/>
      <c r="BB48" s="5062">
        <f>SUM(AR48,AV48,AZ48)</f>
        <v>1611.7580917812202</v>
      </c>
      <c r="BC48" s="976"/>
      <c r="BD48" s="3781">
        <f>SUM(AN48,BB48)</f>
        <v>2954.6678851493043</v>
      </c>
      <c r="BE48" s="983"/>
      <c r="BF48" s="3615">
        <f>+AX48+AZ48</f>
        <v>5496.3193644499497</v>
      </c>
      <c r="BG48" s="648"/>
      <c r="BH48" s="648"/>
      <c r="BI48" s="648"/>
      <c r="BJ48" s="648"/>
      <c r="BK48" s="648"/>
      <c r="BL48" s="648"/>
      <c r="BM48" s="648"/>
      <c r="BN48" s="648"/>
    </row>
    <row r="49" spans="1:66" s="2447" customFormat="1" ht="16.5" hidden="1" thickBot="1" x14ac:dyDescent="0.3">
      <c r="A49" s="181"/>
      <c r="B49" s="2848" t="s">
        <v>161</v>
      </c>
      <c r="C49" s="193" t="s">
        <v>52</v>
      </c>
      <c r="D49" s="986"/>
      <c r="E49" s="986"/>
      <c r="F49" s="3616">
        <v>588.19481601565531</v>
      </c>
      <c r="G49" s="986"/>
      <c r="H49" s="3616">
        <v>727.85574149250408</v>
      </c>
      <c r="I49" s="983"/>
      <c r="J49" s="983"/>
      <c r="K49" s="986"/>
      <c r="L49" s="3616">
        <v>716.13114953057573</v>
      </c>
      <c r="M49" s="984"/>
      <c r="N49" s="3614">
        <f t="shared" si="120"/>
        <v>2032.1817070387351</v>
      </c>
      <c r="O49" s="986"/>
      <c r="P49" s="3616">
        <v>773.40869380125855</v>
      </c>
      <c r="Q49" s="983"/>
      <c r="R49" s="3615">
        <f>+N49+P49</f>
        <v>2805.5904008399939</v>
      </c>
      <c r="S49" s="986"/>
      <c r="T49" s="3616">
        <v>765.37543562974179</v>
      </c>
      <c r="U49" s="983"/>
      <c r="V49" s="3615">
        <f>+R49+T49</f>
        <v>3570.9658364697357</v>
      </c>
      <c r="W49" s="986"/>
      <c r="X49" s="3616">
        <v>726.3472896118235</v>
      </c>
      <c r="Y49" s="984"/>
      <c r="Z49" s="3614">
        <f>SUM(P49,T49,X49)</f>
        <v>2265.1314190428238</v>
      </c>
      <c r="AA49" s="976"/>
      <c r="AB49" s="3781">
        <f>SUM(N49,Z49)</f>
        <v>4297.3131260815589</v>
      </c>
      <c r="AC49" s="986"/>
      <c r="AD49" s="3616">
        <v>784.12489475366829</v>
      </c>
      <c r="AE49" s="983"/>
      <c r="AF49" s="3615">
        <f>+AB49+AD49</f>
        <v>5081.4380208352268</v>
      </c>
      <c r="AG49" s="986"/>
      <c r="AH49" s="3616">
        <v>740.50252829318958</v>
      </c>
      <c r="AI49" s="983"/>
      <c r="AJ49" s="3615">
        <f>+AF49+AH49</f>
        <v>5821.940549128416</v>
      </c>
      <c r="AK49" s="986"/>
      <c r="AL49" s="3616">
        <v>836.5172488220868</v>
      </c>
      <c r="AM49" s="984"/>
      <c r="AN49" s="4290">
        <f>SUM(AD49,AH49,AL49)</f>
        <v>2361.1446718689449</v>
      </c>
      <c r="AO49" s="983"/>
      <c r="AP49" s="923">
        <f>AJ49+AL49</f>
        <v>6658.4577979505029</v>
      </c>
      <c r="AQ49" s="986"/>
      <c r="AR49" s="3616">
        <v>963.08844876072476</v>
      </c>
      <c r="AS49" s="983"/>
      <c r="AT49" s="3615">
        <f>+AP49+AR49</f>
        <v>7621.5462467112275</v>
      </c>
      <c r="AU49" s="986"/>
      <c r="AV49" s="3616">
        <v>909.02725747481031</v>
      </c>
      <c r="AW49" s="983"/>
      <c r="AX49" s="3615">
        <f>+AT49+AV49</f>
        <v>8530.5735041860371</v>
      </c>
      <c r="AY49" s="986"/>
      <c r="AZ49" s="3616">
        <v>968.56664026253588</v>
      </c>
      <c r="BA49" s="984"/>
      <c r="BB49" s="5062">
        <f>SUM(AR49,AV49,AZ49)</f>
        <v>2840.6823464980707</v>
      </c>
      <c r="BC49" s="976"/>
      <c r="BD49" s="3781">
        <f>SUM(AN49,BB49)</f>
        <v>5201.8270183670156</v>
      </c>
      <c r="BE49" s="983"/>
      <c r="BF49" s="3615">
        <f>+AX49+AZ49</f>
        <v>9499.1401444485728</v>
      </c>
      <c r="BG49" s="648"/>
      <c r="BH49" s="648"/>
      <c r="BI49" s="648"/>
      <c r="BJ49" s="648"/>
      <c r="BK49" s="648"/>
      <c r="BL49" s="648"/>
      <c r="BM49" s="648"/>
      <c r="BN49" s="648"/>
    </row>
    <row r="50" spans="1:66" s="2447" customFormat="1" ht="16.5" hidden="1" thickBot="1" x14ac:dyDescent="0.3">
      <c r="A50" s="181"/>
      <c r="B50" s="3791" t="s">
        <v>148</v>
      </c>
      <c r="C50" s="3792" t="s">
        <v>52</v>
      </c>
      <c r="D50" s="140"/>
      <c r="E50" s="140"/>
      <c r="F50" s="3793">
        <f>SUM(F48:F49)</f>
        <v>925.47059584877286</v>
      </c>
      <c r="G50" s="140"/>
      <c r="H50" s="3793">
        <f>SUM(H48:H49)</f>
        <v>1172.9888932966435</v>
      </c>
      <c r="I50" s="1477"/>
      <c r="J50" s="1477"/>
      <c r="K50" s="140"/>
      <c r="L50" s="3793">
        <f>SUM(L48:L49)</f>
        <v>1144.7949452785092</v>
      </c>
      <c r="M50" s="2099"/>
      <c r="N50" s="3794">
        <f t="shared" si="120"/>
        <v>3243.2544344239254</v>
      </c>
      <c r="O50" s="140"/>
      <c r="P50" s="3793">
        <f>SUM(P48:P49)</f>
        <v>1226.9503451136288</v>
      </c>
      <c r="Q50" s="1477"/>
      <c r="R50" s="3795">
        <f t="shared" ref="R50" si="145">SUM(R48:R49)</f>
        <v>4470.2047795375547</v>
      </c>
      <c r="S50" s="140"/>
      <c r="T50" s="3793">
        <f>SUM(T48:T49)</f>
        <v>1218.2511550851002</v>
      </c>
      <c r="U50" s="1477"/>
      <c r="V50" s="3795">
        <f t="shared" ref="V50" si="146">SUM(V48:V49)</f>
        <v>5688.4559346226542</v>
      </c>
      <c r="W50" s="140"/>
      <c r="X50" s="3793">
        <f>SUM(X48:X49)</f>
        <v>1150.5086707595506</v>
      </c>
      <c r="Y50" s="2099"/>
      <c r="Z50" s="3794">
        <f>SUM(Z48:Z49)</f>
        <v>3595.7101709582798</v>
      </c>
      <c r="AA50" s="3806"/>
      <c r="AB50" s="3294">
        <f>SUM(AB48:AB49)</f>
        <v>6838.9646053822053</v>
      </c>
      <c r="AC50" s="140"/>
      <c r="AD50" s="3793">
        <f>SUM(AD48:AD49)</f>
        <v>1226.9770578605064</v>
      </c>
      <c r="AE50" s="1477"/>
      <c r="AF50" s="3795">
        <f t="shared" ref="AF50" si="147">SUM(AF48:AF49)</f>
        <v>8065.941663242711</v>
      </c>
      <c r="AG50" s="140"/>
      <c r="AH50" s="3793">
        <f>SUM(AH48:AH49)</f>
        <v>1166.6930003272655</v>
      </c>
      <c r="AI50" s="1477"/>
      <c r="AJ50" s="3795">
        <f t="shared" ref="AJ50" si="148">SUM(AJ48:AJ49)</f>
        <v>9232.6346635699756</v>
      </c>
      <c r="AK50" s="140"/>
      <c r="AL50" s="3793">
        <f>SUM(AL48:AL49)</f>
        <v>1310.3844070492573</v>
      </c>
      <c r="AM50" s="2099"/>
      <c r="AN50" s="3794">
        <f>SUM(AN48:AN49)</f>
        <v>3704.054465237029</v>
      </c>
      <c r="AO50" s="1477"/>
      <c r="AP50" s="3795">
        <f t="shared" ref="AP50" si="149">SUM(AP48:AP49)</f>
        <v>10543.019070619233</v>
      </c>
      <c r="AQ50" s="140"/>
      <c r="AR50" s="3793">
        <f>SUM(AR48:AR49)</f>
        <v>1510.2422610495855</v>
      </c>
      <c r="AS50" s="1477"/>
      <c r="AT50" s="3795">
        <f t="shared" ref="AT50" si="150">SUM(AT48:AT49)</f>
        <v>12053.261331668818</v>
      </c>
      <c r="AU50" s="140"/>
      <c r="AV50" s="3793">
        <f>SUM(AV48:AV49)</f>
        <v>1423.4147574748104</v>
      </c>
      <c r="AW50" s="1477"/>
      <c r="AX50" s="3795">
        <f t="shared" ref="AX50" si="151">SUM(AX48:AX49)</f>
        <v>13476.676089143628</v>
      </c>
      <c r="AY50" s="140"/>
      <c r="AZ50" s="3793">
        <f>SUM(AZ48:AZ49)</f>
        <v>1518.783419754895</v>
      </c>
      <c r="BA50" s="2099"/>
      <c r="BB50" s="3794">
        <f>SUM(BB48:BB49)</f>
        <v>4452.4404382792909</v>
      </c>
      <c r="BC50" s="3806"/>
      <c r="BD50" s="3294">
        <f>SUM(BD48:BD49)</f>
        <v>8156.4949035163199</v>
      </c>
      <c r="BE50" s="1477"/>
      <c r="BF50" s="3795">
        <f t="shared" ref="BF50" si="152">SUM(BF48:BF49)</f>
        <v>14995.459508898522</v>
      </c>
      <c r="BG50" s="648"/>
      <c r="BH50" s="648"/>
      <c r="BI50" s="648"/>
      <c r="BJ50" s="648"/>
      <c r="BK50" s="648"/>
      <c r="BL50" s="648"/>
      <c r="BM50" s="648"/>
      <c r="BN50" s="648"/>
    </row>
    <row r="51" spans="1:66" s="2447" customFormat="1" ht="15.75" hidden="1" x14ac:dyDescent="0.25">
      <c r="A51" s="181"/>
      <c r="B51" s="2848" t="s">
        <v>162</v>
      </c>
      <c r="C51" s="193" t="s">
        <v>52</v>
      </c>
      <c r="D51" s="986"/>
      <c r="E51" s="986"/>
      <c r="F51" s="2941">
        <f t="shared" ref="F51:H52" si="153">+F39+F42+F45+F48</f>
        <v>40157.14921987454</v>
      </c>
      <c r="G51" s="986"/>
      <c r="H51" s="2941">
        <f t="shared" si="153"/>
        <v>41493.072579448293</v>
      </c>
      <c r="I51" s="983"/>
      <c r="J51" s="983"/>
      <c r="K51" s="986"/>
      <c r="L51" s="2941">
        <f t="shared" ref="L51:L52" si="154">+L39+L42+L45+L48</f>
        <v>40169.232686996264</v>
      </c>
      <c r="M51" s="984"/>
      <c r="N51" s="3614">
        <f t="shared" si="120"/>
        <v>121819.4544863191</v>
      </c>
      <c r="O51" s="986"/>
      <c r="P51" s="2941">
        <f t="shared" ref="P51:P52" si="155">+P39+P42+P45+P48</f>
        <v>41479.481971011621</v>
      </c>
      <c r="Q51" s="983"/>
      <c r="R51" s="3615">
        <f>+N51+P51</f>
        <v>163298.93645733071</v>
      </c>
      <c r="S51" s="986"/>
      <c r="T51" s="2941">
        <f t="shared" ref="T51:T52" si="156">+T39+T42+T45+T48</f>
        <v>41641.56395852453</v>
      </c>
      <c r="U51" s="983"/>
      <c r="V51" s="3615">
        <f>+R51+T51</f>
        <v>204940.50041585523</v>
      </c>
      <c r="W51" s="986"/>
      <c r="X51" s="2941">
        <f t="shared" ref="X51:X52" si="157">+X39+X42+X45+X48</f>
        <v>40155.928610271352</v>
      </c>
      <c r="Y51" s="984"/>
      <c r="Z51" s="3614">
        <f>SUM(P51,T51,X51)</f>
        <v>123276.9745398075</v>
      </c>
      <c r="AA51" s="976"/>
      <c r="AB51" s="3781">
        <f>SUM(N51,Z51)</f>
        <v>245096.4290261266</v>
      </c>
      <c r="AC51" s="986"/>
      <c r="AD51" s="2941">
        <f t="shared" ref="AD51:AD52" si="158">+AD39+AD42+AD45+AD48</f>
        <v>40899.200069584032</v>
      </c>
      <c r="AE51" s="983"/>
      <c r="AF51" s="3615">
        <f>+AB51+AD51</f>
        <v>285995.62909571064</v>
      </c>
      <c r="AG51" s="986"/>
      <c r="AH51" s="2941">
        <f t="shared" ref="AH51:AH52" si="159">+AH39+AH42+AH45+AH48</f>
        <v>40106.541442473077</v>
      </c>
      <c r="AI51" s="983"/>
      <c r="AJ51" s="3615">
        <f>+AF51+AH51</f>
        <v>326102.17053818371</v>
      </c>
      <c r="AK51" s="986"/>
      <c r="AL51" s="2941">
        <f t="shared" ref="AL51:AL52" si="160">+AL39+AL42+AL45+AL48</f>
        <v>41452.365291826522</v>
      </c>
      <c r="AM51" s="984"/>
      <c r="AN51" s="4290">
        <f>SUM(AD51,AH51,AL51)</f>
        <v>122458.10680388362</v>
      </c>
      <c r="AO51" s="983"/>
      <c r="AP51" s="923">
        <f>AJ51+AL51</f>
        <v>367554.53583001025</v>
      </c>
      <c r="AQ51" s="986"/>
      <c r="AR51" s="2941">
        <f t="shared" ref="AR51:AR52" si="161">+AR39+AR42+AR45+AR48</f>
        <v>41446.37472626716</v>
      </c>
      <c r="AS51" s="983"/>
      <c r="AT51" s="3615">
        <f>+AP51+AR51</f>
        <v>409000.91055627743</v>
      </c>
      <c r="AU51" s="986"/>
      <c r="AV51" s="2941">
        <f t="shared" ref="AV51:AV52" si="162">+AV39+AV42+AV45+AV48</f>
        <v>38707.285688343662</v>
      </c>
      <c r="AW51" s="983"/>
      <c r="AX51" s="3615">
        <f>+AT51+AV51</f>
        <v>447708.19624462107</v>
      </c>
      <c r="AY51" s="986"/>
      <c r="AZ51" s="2941">
        <f t="shared" ref="AZ51:AZ52" si="163">+AZ39+AZ42+AZ45+AZ48</f>
        <v>41480.097233512213</v>
      </c>
      <c r="BA51" s="984"/>
      <c r="BB51" s="5062">
        <f>SUM(AR51,AV51,AZ51)</f>
        <v>121633.75764812302</v>
      </c>
      <c r="BC51" s="976"/>
      <c r="BD51" s="3781">
        <f>SUM(AN51,BB51)</f>
        <v>244091.86445200664</v>
      </c>
      <c r="BE51" s="983"/>
      <c r="BF51" s="3615">
        <f>+AX51+AZ51</f>
        <v>489188.29347813327</v>
      </c>
      <c r="BG51" s="648"/>
      <c r="BH51" s="648"/>
      <c r="BI51" s="648"/>
      <c r="BJ51" s="648"/>
      <c r="BK51" s="648"/>
      <c r="BL51" s="648"/>
      <c r="BM51" s="648"/>
      <c r="BN51" s="648"/>
    </row>
    <row r="52" spans="1:66" s="2447" customFormat="1" ht="16.5" hidden="1" thickBot="1" x14ac:dyDescent="0.3">
      <c r="A52" s="181"/>
      <c r="B52" s="2848" t="s">
        <v>163</v>
      </c>
      <c r="C52" s="193" t="s">
        <v>52</v>
      </c>
      <c r="D52" s="986"/>
      <c r="E52" s="986"/>
      <c r="F52" s="2941">
        <f t="shared" si="153"/>
        <v>69994.944665505594</v>
      </c>
      <c r="G52" s="986"/>
      <c r="H52" s="2941">
        <f t="shared" si="153"/>
        <v>67847.049779849229</v>
      </c>
      <c r="I52" s="983"/>
      <c r="J52" s="983"/>
      <c r="K52" s="986"/>
      <c r="L52" s="2941">
        <f t="shared" si="154"/>
        <v>67107.227307844078</v>
      </c>
      <c r="M52" s="984"/>
      <c r="N52" s="3614">
        <f t="shared" si="120"/>
        <v>204949.22175319889</v>
      </c>
      <c r="O52" s="986"/>
      <c r="P52" s="2941">
        <f t="shared" si="155"/>
        <v>70733.50788824886</v>
      </c>
      <c r="Q52" s="983"/>
      <c r="R52" s="3615">
        <f>+N52+P52</f>
        <v>275682.72964144778</v>
      </c>
      <c r="S52" s="986"/>
      <c r="T52" s="2941">
        <f t="shared" si="156"/>
        <v>70375.665521191957</v>
      </c>
      <c r="U52" s="983"/>
      <c r="V52" s="3615">
        <f>+R52+T52</f>
        <v>346058.39516263973</v>
      </c>
      <c r="W52" s="986"/>
      <c r="X52" s="2941">
        <f t="shared" si="157"/>
        <v>68764.275118573612</v>
      </c>
      <c r="Y52" s="984"/>
      <c r="Z52" s="3614">
        <f>SUM(P52,T52,X52)</f>
        <v>209873.44852801441</v>
      </c>
      <c r="AA52" s="976"/>
      <c r="AB52" s="3781">
        <f>SUM(N52,Z52)</f>
        <v>414822.6702812133</v>
      </c>
      <c r="AC52" s="986"/>
      <c r="AD52" s="2941">
        <f t="shared" si="158"/>
        <v>72417.12612417544</v>
      </c>
      <c r="AE52" s="983"/>
      <c r="AF52" s="3615">
        <f>+AB52+AD52</f>
        <v>487239.79640538874</v>
      </c>
      <c r="AG52" s="986"/>
      <c r="AH52" s="2941">
        <f t="shared" si="159"/>
        <v>69684.794213025802</v>
      </c>
      <c r="AI52" s="983"/>
      <c r="AJ52" s="3615">
        <f>+AF52+AH52</f>
        <v>556924.59061841457</v>
      </c>
      <c r="AK52" s="986"/>
      <c r="AL52" s="2941">
        <f t="shared" si="160"/>
        <v>73175.821470335984</v>
      </c>
      <c r="AM52" s="984"/>
      <c r="AN52" s="4290">
        <f>SUM(AD52,AH52,AL52)</f>
        <v>215277.74180753721</v>
      </c>
      <c r="AO52" s="983"/>
      <c r="AP52" s="923">
        <f>AJ52+AL52</f>
        <v>630100.41208875051</v>
      </c>
      <c r="AQ52" s="986"/>
      <c r="AR52" s="2941">
        <f t="shared" si="161"/>
        <v>72953.023163444726</v>
      </c>
      <c r="AS52" s="983"/>
      <c r="AT52" s="3615">
        <f>+AP52+AR52</f>
        <v>703053.43525219522</v>
      </c>
      <c r="AU52" s="986"/>
      <c r="AV52" s="2941">
        <f t="shared" si="162"/>
        <v>68403.640744709031</v>
      </c>
      <c r="AW52" s="983"/>
      <c r="AX52" s="3615">
        <f>+AT52+AV52</f>
        <v>771457.07599690428</v>
      </c>
      <c r="AY52" s="986"/>
      <c r="AZ52" s="2941">
        <f t="shared" si="163"/>
        <v>73018.926199040303</v>
      </c>
      <c r="BA52" s="984"/>
      <c r="BB52" s="5062">
        <f>SUM(AR52,AV52,AZ52)</f>
        <v>214375.59010719409</v>
      </c>
      <c r="BC52" s="976"/>
      <c r="BD52" s="3781">
        <f>SUM(AN52,BB52)</f>
        <v>429653.3319147313</v>
      </c>
      <c r="BE52" s="983"/>
      <c r="BF52" s="3615">
        <f>+AX52+AZ52</f>
        <v>844476.00219594454</v>
      </c>
      <c r="BG52" s="648"/>
      <c r="BH52" s="648"/>
      <c r="BI52" s="648"/>
      <c r="BJ52" s="648"/>
      <c r="BK52" s="648"/>
      <c r="BL52" s="648"/>
      <c r="BM52" s="648"/>
      <c r="BN52" s="648"/>
    </row>
    <row r="53" spans="1:66" s="2447" customFormat="1" ht="16.5" hidden="1" thickBot="1" x14ac:dyDescent="0.3">
      <c r="A53" s="181"/>
      <c r="B53" s="3791" t="s">
        <v>149</v>
      </c>
      <c r="C53" s="3792" t="s">
        <v>52</v>
      </c>
      <c r="D53" s="140"/>
      <c r="E53" s="140"/>
      <c r="F53" s="3793">
        <f t="shared" ref="F53:H53" si="164">SUM(F51:F52)</f>
        <v>110152.09388538013</v>
      </c>
      <c r="G53" s="140"/>
      <c r="H53" s="3793">
        <f t="shared" si="164"/>
        <v>109340.12235929753</v>
      </c>
      <c r="I53" s="1477"/>
      <c r="J53" s="1477"/>
      <c r="K53" s="140"/>
      <c r="L53" s="3793">
        <f t="shared" ref="L53" si="165">SUM(L51:L52)</f>
        <v>107276.45999484035</v>
      </c>
      <c r="M53" s="2099"/>
      <c r="N53" s="3794">
        <f t="shared" si="120"/>
        <v>326768.67623951798</v>
      </c>
      <c r="O53" s="140"/>
      <c r="P53" s="3793">
        <f>SUM(P51:P52)</f>
        <v>112212.98985926047</v>
      </c>
      <c r="Q53" s="1477"/>
      <c r="R53" s="3795">
        <f t="shared" ref="R53" si="166">SUM(R51:R52)</f>
        <v>438981.66609877849</v>
      </c>
      <c r="S53" s="140"/>
      <c r="T53" s="3793">
        <f>SUM(T51:T52)</f>
        <v>112017.22947971648</v>
      </c>
      <c r="U53" s="1477"/>
      <c r="V53" s="3795">
        <f t="shared" ref="V53" si="167">SUM(V51:V52)</f>
        <v>550998.89557849499</v>
      </c>
      <c r="W53" s="140"/>
      <c r="X53" s="3793">
        <f>SUM(X51:X52)</f>
        <v>108920.20372884496</v>
      </c>
      <c r="Y53" s="2099"/>
      <c r="Z53" s="3794">
        <f>SUM(Z51:Z52)</f>
        <v>333150.42306782189</v>
      </c>
      <c r="AA53" s="3806"/>
      <c r="AB53" s="3294">
        <f>SUM(AB51:AB52)</f>
        <v>659919.09930733987</v>
      </c>
      <c r="AC53" s="140"/>
      <c r="AD53" s="3793">
        <f>SUM(AD51:AD52)</f>
        <v>113316.32619375948</v>
      </c>
      <c r="AE53" s="1477"/>
      <c r="AF53" s="3795">
        <f t="shared" ref="AF53" si="168">SUM(AF51:AF52)</f>
        <v>773235.42550109932</v>
      </c>
      <c r="AG53" s="140"/>
      <c r="AH53" s="3793">
        <f>SUM(AH51:AH52)</f>
        <v>109791.33565549887</v>
      </c>
      <c r="AI53" s="1477"/>
      <c r="AJ53" s="3795">
        <f t="shared" ref="AJ53" si="169">SUM(AJ51:AJ52)</f>
        <v>883026.76115659834</v>
      </c>
      <c r="AK53" s="140"/>
      <c r="AL53" s="3793">
        <f>SUM(AL51:AL52)</f>
        <v>114628.18676216251</v>
      </c>
      <c r="AM53" s="2099"/>
      <c r="AN53" s="3794">
        <f>SUM(AN51:AN52)</f>
        <v>337735.84861142084</v>
      </c>
      <c r="AO53" s="1477"/>
      <c r="AP53" s="3795">
        <f t="shared" ref="AP53" si="170">SUM(AP51:AP52)</f>
        <v>997654.94791876082</v>
      </c>
      <c r="AQ53" s="140"/>
      <c r="AR53" s="3793">
        <f>SUM(AR51:AR52)</f>
        <v>114399.39788971189</v>
      </c>
      <c r="AS53" s="1477"/>
      <c r="AT53" s="3795">
        <f t="shared" ref="AT53" si="171">SUM(AT51:AT52)</f>
        <v>1112054.3458084727</v>
      </c>
      <c r="AU53" s="140"/>
      <c r="AV53" s="3793">
        <f>SUM(AV51:AV52)</f>
        <v>107110.92643305269</v>
      </c>
      <c r="AW53" s="1477"/>
      <c r="AX53" s="3795">
        <f t="shared" ref="AX53" si="172">SUM(AX51:AX52)</f>
        <v>1219165.2722415254</v>
      </c>
      <c r="AY53" s="140"/>
      <c r="AZ53" s="3793">
        <f>SUM(AZ51:AZ52)</f>
        <v>114499.02343255252</v>
      </c>
      <c r="BA53" s="2099"/>
      <c r="BB53" s="3794">
        <f>SUM(BB51:BB52)</f>
        <v>336009.34775531711</v>
      </c>
      <c r="BC53" s="3806"/>
      <c r="BD53" s="3294">
        <f>SUM(BD51:BD52)</f>
        <v>673745.19636673795</v>
      </c>
      <c r="BE53" s="1477"/>
      <c r="BF53" s="3795">
        <f t="shared" ref="BF53" si="173">SUM(BF51:BF52)</f>
        <v>1333664.2956740777</v>
      </c>
      <c r="BG53" s="648"/>
      <c r="BH53" s="648"/>
      <c r="BI53" s="648"/>
      <c r="BJ53" s="648"/>
      <c r="BK53" s="648"/>
      <c r="BL53" s="648"/>
      <c r="BM53" s="648"/>
      <c r="BN53" s="648"/>
    </row>
    <row r="54" spans="1:66" s="2447" customFormat="1" ht="15.75" hidden="1" thickBot="1" x14ac:dyDescent="0.3">
      <c r="A54" s="648"/>
      <c r="B54" s="648"/>
      <c r="C54" s="648"/>
      <c r="D54" s="648"/>
      <c r="E54" s="648"/>
      <c r="F54" s="648"/>
      <c r="G54" s="648"/>
      <c r="H54" s="648"/>
      <c r="I54" s="648"/>
      <c r="J54" s="648"/>
      <c r="K54" s="648"/>
      <c r="L54" s="648"/>
      <c r="M54" s="648"/>
      <c r="N54" s="648"/>
      <c r="O54" s="648"/>
      <c r="P54" s="648"/>
      <c r="Q54" s="648"/>
      <c r="R54" s="648"/>
      <c r="S54" s="648"/>
      <c r="T54" s="648"/>
      <c r="U54" s="648"/>
      <c r="V54" s="648"/>
      <c r="W54" s="648"/>
      <c r="X54" s="648"/>
      <c r="Y54" s="648"/>
      <c r="Z54" s="648"/>
      <c r="AA54" s="3803"/>
      <c r="AB54" s="648"/>
      <c r="AC54" s="648"/>
      <c r="AD54" s="648"/>
      <c r="AE54" s="648"/>
      <c r="AF54" s="648"/>
      <c r="AG54" s="648"/>
      <c r="AH54" s="648"/>
      <c r="AI54" s="648"/>
      <c r="AJ54" s="648"/>
      <c r="AK54" s="648"/>
      <c r="AL54" s="648"/>
      <c r="AM54" s="648"/>
      <c r="AN54" s="648"/>
      <c r="AO54" s="648"/>
      <c r="AP54" s="648"/>
      <c r="AQ54" s="648"/>
      <c r="AR54" s="648"/>
      <c r="AS54" s="648"/>
      <c r="AT54" s="648"/>
      <c r="AU54" s="648"/>
      <c r="AV54" s="648"/>
      <c r="AW54" s="648"/>
      <c r="AX54" s="648"/>
      <c r="AY54" s="648"/>
      <c r="AZ54" s="648"/>
      <c r="BA54" s="648"/>
      <c r="BB54" s="648"/>
      <c r="BC54" s="3803"/>
      <c r="BD54" s="648"/>
      <c r="BE54" s="648"/>
      <c r="BF54" s="648"/>
      <c r="BG54" s="648"/>
      <c r="BH54" s="648"/>
      <c r="BI54" s="648"/>
      <c r="BJ54" s="648"/>
      <c r="BK54" s="648"/>
      <c r="BL54" s="648"/>
      <c r="BM54" s="648"/>
      <c r="BN54" s="648"/>
    </row>
    <row r="55" spans="1:66" s="2455" customFormat="1" ht="16.5" thickBot="1" x14ac:dyDescent="0.3">
      <c r="B55" s="2852" t="s">
        <v>1760</v>
      </c>
      <c r="H55" s="3375"/>
      <c r="L55" s="3375"/>
      <c r="P55" s="3375"/>
      <c r="T55" s="3375"/>
      <c r="X55" s="3375"/>
      <c r="AA55" s="3388"/>
      <c r="AC55" s="4062"/>
      <c r="AD55" s="4062"/>
      <c r="AE55" s="4062"/>
      <c r="AF55" s="4062"/>
      <c r="AG55" s="4171"/>
      <c r="AH55" s="4171"/>
      <c r="AI55" s="4171"/>
      <c r="AJ55" s="4171"/>
      <c r="AK55" s="4299"/>
      <c r="AL55" s="4299"/>
      <c r="AM55" s="4299"/>
      <c r="AN55" s="4299"/>
      <c r="AO55" s="4299"/>
      <c r="AP55" s="4299"/>
      <c r="AQ55" s="4412"/>
      <c r="AR55" s="4412"/>
      <c r="AS55" s="4412"/>
      <c r="AT55" s="4412"/>
      <c r="AU55" s="4656"/>
      <c r="AV55" s="4656"/>
      <c r="AW55" s="4656"/>
      <c r="AX55" s="4656"/>
      <c r="AY55" s="5075"/>
      <c r="AZ55" s="5075"/>
      <c r="BA55" s="5075"/>
      <c r="BB55" s="5075"/>
      <c r="BC55" s="3388"/>
      <c r="BD55" s="5075"/>
      <c r="BE55" s="5075"/>
      <c r="BF55" s="5075"/>
      <c r="BG55" s="648"/>
      <c r="BH55" s="648"/>
      <c r="BI55" s="648"/>
      <c r="BJ55" s="648"/>
      <c r="BK55" s="648"/>
      <c r="BL55" s="648"/>
      <c r="BM55" s="648"/>
      <c r="BN55" s="648"/>
    </row>
    <row r="56" spans="1:66" ht="16.5" thickBot="1" x14ac:dyDescent="0.3">
      <c r="A56" s="122"/>
      <c r="B56" s="2843" t="s">
        <v>150</v>
      </c>
      <c r="C56" s="2814" t="s">
        <v>226</v>
      </c>
      <c r="D56" s="2827">
        <v>18.787878787878789</v>
      </c>
      <c r="E56" s="2815">
        <v>18.787878787878789</v>
      </c>
      <c r="F56" s="2815">
        <v>18.829999999999998</v>
      </c>
      <c r="G56" s="2815">
        <v>18.787878787878789</v>
      </c>
      <c r="H56" s="2815">
        <v>18.783000000000001</v>
      </c>
      <c r="I56" s="2816">
        <f>+((E56*E$5*E$2)+(G56*G$2*G$5))/((E$5*E$2)+(G$5*G$2))</f>
        <v>18.787878787878789</v>
      </c>
      <c r="J56" s="2816">
        <f>+((F56*F$5*F$2)+(H56*H$2*H$5))/((F$5*F$2)+(H$5*H$2))</f>
        <v>18.806119086999669</v>
      </c>
      <c r="K56" s="2815">
        <v>18.787878787878789</v>
      </c>
      <c r="L56" s="2815">
        <v>18.8</v>
      </c>
      <c r="M56" s="2817">
        <f t="shared" ref="M56:N58" si="174">+((E56*E$5*E$2)+(G56*G$5*G$2)+(K56*K$5*K$2))/((E$5*E$2)+(G$5*G$2)+(K$5*K$2))</f>
        <v>18.787878787878789</v>
      </c>
      <c r="N56" s="4005">
        <f t="shared" si="174"/>
        <v>18.804101552106431</v>
      </c>
      <c r="O56" s="2815">
        <v>18.787878787878789</v>
      </c>
      <c r="P56" s="2818">
        <v>18.816666999999999</v>
      </c>
      <c r="Q56" s="2816">
        <f>+((M56*M$5*M$2)+(O56*O$2*O$5))/((M$5*M$2)+(O$5*O$2))</f>
        <v>18.787878787878789</v>
      </c>
      <c r="R56" s="2816">
        <f>+((N56*N$5*N$2)+(P56*P$5*P$2))/((N$5*N$2)+(P$5*P$2))</f>
        <v>18.807293057398066</v>
      </c>
      <c r="S56" s="2815">
        <v>18.787878787878789</v>
      </c>
      <c r="T56" s="2815">
        <f>18+0.733333333333333</f>
        <v>18.733333333333334</v>
      </c>
      <c r="U56" s="2816">
        <f t="shared" ref="U56:V58" si="175">+((Q56*Q$5*Q$2)+(S56*S$5*S$2))/((Q$5*Q$2)+(S$5*S$2))</f>
        <v>18.787878787878789</v>
      </c>
      <c r="V56" s="2819">
        <f t="shared" si="175"/>
        <v>18.792266180550069</v>
      </c>
      <c r="W56" s="3386">
        <v>18.787878787878789</v>
      </c>
      <c r="X56" s="3376">
        <f>18+(49/60)</f>
        <v>18.816666666666666</v>
      </c>
      <c r="Y56" s="2817">
        <f>+((O56*O$5*O$2)+(S56*S$5*S$2)+(W56*W$5*W$2))/((O$5*O$2)+(S$5*S$2)+(W$5*W$2))</f>
        <v>18.787878787878789</v>
      </c>
      <c r="Z56" s="3858">
        <f>(P56*P$5*P$2+T56*T$5*T$2+X56*X$5*X$2)/(P$5*P$2+T$5*T$2+X$5*X$2)</f>
        <v>18.788517697344872</v>
      </c>
      <c r="AA56" s="3862">
        <f t="shared" ref="AA56:AB58" si="176">(M56*M$5*M$2+Y56*Y$5*Y$2)/(M$5*M$2+Y$5*Y$2)</f>
        <v>18.787878787878789</v>
      </c>
      <c r="AB56" s="3860">
        <f t="shared" si="176"/>
        <v>18.796263578569405</v>
      </c>
      <c r="AC56" s="2815">
        <v>18.787878787878789</v>
      </c>
      <c r="AD56" s="2815">
        <v>19.100000000000001</v>
      </c>
      <c r="AE56" s="2816">
        <f t="shared" ref="AE56:AE58" si="177">+((AA56*AA$5*AA$2)+(AC56*AC$5*AC$2))/((AA$5*AA$2)+(AC$5*AC$2))</f>
        <v>18.787878787878789</v>
      </c>
      <c r="AF56" s="2819">
        <f t="shared" ref="AF56:AF58" si="178">+((AB56*AB$5*AB$2)+(AD56*AD$5*AD$2))/((AB$5*AB$2)+(AD$5*AD$2))</f>
        <v>18.839697034797787</v>
      </c>
      <c r="AG56" s="2815">
        <v>18.787878787878789</v>
      </c>
      <c r="AH56" s="2815">
        <v>18.8</v>
      </c>
      <c r="AI56" s="2816">
        <f t="shared" ref="AI56:AI58" si="179">+((AE56*AE$5*AE$2)+(AG56*AG$5*AG$2))/((AE$5*AE$2)+(AG$5*AG$2))</f>
        <v>18.787878787878789</v>
      </c>
      <c r="AJ56" s="2819">
        <f t="shared" ref="AJ56:AJ58" si="180">+((AF56*AF$5*AF$2)+(AH56*AH$5*AH$2))/((AF$5*AF$2)+(AH$5*AH$2))</f>
        <v>18.83481407688959</v>
      </c>
      <c r="AK56" s="3386">
        <v>18.787878787878789</v>
      </c>
      <c r="AL56" s="3376">
        <v>18.833333333333332</v>
      </c>
      <c r="AM56" s="2817">
        <f>+((AC56*AC$5*AC$2)+(AG56*AG$5*AG$2)+(AK56*AK$5*AK$2))/((AC$5*AC$2)+(AG$5*AG$2)+(AK$5*AK$2))</f>
        <v>18.787878787878789</v>
      </c>
      <c r="AN56" s="3858">
        <f>(AD56*AD$5*AD$2+AH56*AH$5*AH$2+AL56*AL$5*AL$2)/(AD$5*AD$2+AH$5*AH$2+AL$5*AL$2)</f>
        <v>18.911470166537995</v>
      </c>
      <c r="AO56" s="2816">
        <f t="shared" ref="AO56:AP58" si="181">+((AK56*AK$5*AK$2)+(AI56*AI$5*AI$2))/((AK$5*AK$2)+(AI$5*AI$2))</f>
        <v>18.787878787878789</v>
      </c>
      <c r="AP56" s="2819">
        <f t="shared" si="181"/>
        <v>18.834647090713226</v>
      </c>
      <c r="AQ56" s="3386">
        <v>18.787878787878789</v>
      </c>
      <c r="AR56" s="3376">
        <v>18.833333333333332</v>
      </c>
      <c r="AS56" s="2816">
        <f t="shared" ref="AS56:AS58" si="182">+((AO56*AO$5*AO$2)+(AQ56*AQ$5*AQ$2))/((AO$5*AO$2)+(AQ$5*AQ$2))</f>
        <v>18.787878787878789</v>
      </c>
      <c r="AT56" s="2819">
        <f t="shared" ref="AT56:AT58" si="183">+((AP56*AP$5*AP$2)+(AR56*AR$5*AR$2))/((AP$5*AP$2)+(AR$5*AR$2))</f>
        <v>18.834513950358229</v>
      </c>
      <c r="AU56" s="3386">
        <v>18.787878787878789</v>
      </c>
      <c r="AV56" s="3376">
        <v>18.766666666666666</v>
      </c>
      <c r="AW56" s="2816">
        <f t="shared" ref="AW56:AW58" si="184">+((AS56*AS$5*AS$2)+(AU56*AU$5*AU$2))/((AS$5*AS$2)+(AU$5*AU$2))</f>
        <v>18.787878787878789</v>
      </c>
      <c r="AX56" s="2819">
        <f t="shared" ref="AX56:AX58" si="185">+((AT56*AT$5*AT$2)+(AV56*AV$5*AV$2))/((AT$5*AT$2)+(AV$5*AV$2))</f>
        <v>18.828638697353654</v>
      </c>
      <c r="AY56" s="3386">
        <v>18.787878787878789</v>
      </c>
      <c r="AZ56" s="3386">
        <v>18.7</v>
      </c>
      <c r="BA56" s="2817">
        <f>+((AQ56*AQ$5*AQ$2)+(AU56*AU$5*AU$2)+(AY56*AY$5*AY$2))/((AQ$5*AQ$2)+(AU$5*AU$2)+(AY$5*AY$2))</f>
        <v>18.787878787878789</v>
      </c>
      <c r="BB56" s="3858">
        <f>(AR56*AR$5*AR$2+AV56*AV$5*AV$2+AZ56*AZ$5*AZ$2)/(AR$5*AR$2+AV$5*AV$2+AZ$5*AZ$2)</f>
        <v>18.766651869936744</v>
      </c>
      <c r="BC56" s="3862">
        <f>(AM56*AM$5*AM$2+BA56*BA$5*BA$2)/(AM$5*AM$2+BA$5*BA$2)</f>
        <v>18.787878787878789</v>
      </c>
      <c r="BD56" s="3860">
        <f>(AN56*AN$5*AN$2+BB56*BB$5*BB$2)/(AN$5*AN$2+BB$5*BB$2)</f>
        <v>18.839284579864987</v>
      </c>
      <c r="BE56" s="2816">
        <f t="shared" ref="BE56:BE58" si="186">+((AW56*AW$5*AW$2)+(AY56*AY$5*AY$2))/((AW$5*AW$2)+(AY$5*AY$2))</f>
        <v>18.787878787878789</v>
      </c>
      <c r="BF56" s="2819">
        <f t="shared" ref="BF56:BF58" si="187">+((AX56*AX$5*AX$2)+(AZ56*AZ$5*AZ$2))/((AX$5*AX$2)+(AZ$5*AZ$2))</f>
        <v>18.817733333208654</v>
      </c>
      <c r="BG56" s="648"/>
      <c r="BH56" s="648"/>
      <c r="BI56" s="648"/>
      <c r="BJ56" s="648"/>
      <c r="BK56" s="648"/>
      <c r="BL56" s="648"/>
      <c r="BM56" s="648"/>
      <c r="BN56" s="648"/>
    </row>
    <row r="57" spans="1:66" ht="16.5" thickBot="1" x14ac:dyDescent="0.3">
      <c r="A57" s="122"/>
      <c r="B57" s="2844" t="s">
        <v>151</v>
      </c>
      <c r="C57" s="2323" t="s">
        <v>226</v>
      </c>
      <c r="D57" s="2828">
        <v>18.000000000000004</v>
      </c>
      <c r="E57" s="2324">
        <v>17.938983050847458</v>
      </c>
      <c r="F57" s="2324">
        <v>17.78</v>
      </c>
      <c r="G57" s="2324">
        <v>17.938983050847458</v>
      </c>
      <c r="H57" s="2324">
        <v>19.07</v>
      </c>
      <c r="I57" s="2820">
        <f t="shared" ref="I57:I58" si="188">+((E57*E$5*E$2)+(G57*G$2*G$5))/((E$5*E$2)+(G$5*G$2))</f>
        <v>17.938983050847458</v>
      </c>
      <c r="J57" s="2820">
        <f t="shared" ref="J57:J58" si="189">+((F57*F$5*F$2)+(H57*H$2*H$5))/((F$5*F$2)+(H$5*H$2))</f>
        <v>18.435454846179294</v>
      </c>
      <c r="K57" s="2324">
        <v>17.938983050847458</v>
      </c>
      <c r="L57" s="2324">
        <v>18.899999999999999</v>
      </c>
      <c r="M57" s="2821">
        <f t="shared" si="174"/>
        <v>17.938983050847458</v>
      </c>
      <c r="N57" s="4006">
        <f t="shared" si="174"/>
        <v>18.588620842572062</v>
      </c>
      <c r="O57" s="2324">
        <v>17.938983050847458</v>
      </c>
      <c r="P57" s="2435">
        <v>18.1666667</v>
      </c>
      <c r="Q57" s="2820">
        <f t="shared" ref="Q57:Q58" si="190">+((M57*M$5*M$2)+(O57*O$2*O$5))/((M$5*M$2)+(O$5*O$2))</f>
        <v>17.938983050847458</v>
      </c>
      <c r="R57" s="2820">
        <f>+((N57*N$5*N$2)+(P57*P$5*P$2))/((N$5*N$2)+(P$5*P$2))</f>
        <v>18.481448468753619</v>
      </c>
      <c r="S57" s="2324">
        <v>18.311418685121112</v>
      </c>
      <c r="T57" s="2324">
        <f>18+0.0333333333333333</f>
        <v>18.033333333333335</v>
      </c>
      <c r="U57" s="2820">
        <f t="shared" si="175"/>
        <v>18.014443865634931</v>
      </c>
      <c r="V57" s="2822">
        <f t="shared" si="175"/>
        <v>18.390402010173105</v>
      </c>
      <c r="W57" s="3386">
        <v>18.311418685121112</v>
      </c>
      <c r="X57" s="3376">
        <f>18+(6/60)</f>
        <v>18.100000000000001</v>
      </c>
      <c r="Y57" s="2817">
        <f t="shared" ref="Y57:Y58" si="191">+((O57*O$5*O$2)+(S57*S$5*S$2)+(W57*W$5*W$2))/((O$5*O$2)+(S$5*S$2)+(W$5*W$2))</f>
        <v>18.185924069224551</v>
      </c>
      <c r="Z57" s="3858">
        <f>(P57*P$5*P$2+T57*T$5*T$2+X57*X$5*X$2)/(P$5*P$2+T$5*T$2+X$5*X$2)</f>
        <v>18.099912359194334</v>
      </c>
      <c r="AA57" s="3862">
        <f t="shared" si="176"/>
        <v>18.063128262272006</v>
      </c>
      <c r="AB57" s="3860">
        <f t="shared" si="176"/>
        <v>18.34282259697471</v>
      </c>
      <c r="AC57" s="2324">
        <v>17.938983050847458</v>
      </c>
      <c r="AD57" s="2324">
        <v>17.816666666666666</v>
      </c>
      <c r="AE57" s="2820">
        <f t="shared" si="177"/>
        <v>18.045144610149759</v>
      </c>
      <c r="AF57" s="2822">
        <f t="shared" si="178"/>
        <v>18.267583774904246</v>
      </c>
      <c r="AG57" s="2324">
        <v>17.938983050847458</v>
      </c>
      <c r="AH57" s="2324">
        <v>17.850000000000001</v>
      </c>
      <c r="AI57" s="2820">
        <f t="shared" si="179"/>
        <v>18.032091959415869</v>
      </c>
      <c r="AJ57" s="2822">
        <f t="shared" si="180"/>
        <v>18.216218628706546</v>
      </c>
      <c r="AK57" s="3386">
        <v>17.938983050847458</v>
      </c>
      <c r="AL57" s="3376">
        <v>17.616666666666667</v>
      </c>
      <c r="AM57" s="2817">
        <f t="shared" ref="AM57:AM58" si="192">+((AC57*AC$5*AC$2)+(AG57*AG$5*AG$2)+(AK57*AK$5*AK$2))/((AC$5*AC$2)+(AG$5*AG$2)+(AK$5*AK$2))</f>
        <v>17.938983050847462</v>
      </c>
      <c r="AN57" s="3858">
        <f>(AD57*AD$5*AD$2+AH57*AH$5*AH$2+AL57*AL$5*AL$2)/(AD$5*AD$2+AH$5*AH$2+AL$5*AL$2)</f>
        <v>17.759889342303591</v>
      </c>
      <c r="AO57" s="2820">
        <f t="shared" si="181"/>
        <v>18.021596046086341</v>
      </c>
      <c r="AP57" s="2822">
        <f t="shared" si="181"/>
        <v>18.148606050384462</v>
      </c>
      <c r="AQ57" s="3386">
        <v>17.938983050847458</v>
      </c>
      <c r="AR57" s="3376">
        <v>17.633333333333333</v>
      </c>
      <c r="AS57" s="2820">
        <f t="shared" si="182"/>
        <v>18.013226755719003</v>
      </c>
      <c r="AT57" s="2822">
        <f t="shared" si="183"/>
        <v>18.096386672957792</v>
      </c>
      <c r="AU57" s="3386">
        <v>17.938983050847458</v>
      </c>
      <c r="AV57" s="3376">
        <v>17.616666666666667</v>
      </c>
      <c r="AW57" s="2820">
        <f t="shared" si="184"/>
        <v>18.006799688730126</v>
      </c>
      <c r="AX57" s="2822">
        <f t="shared" si="185"/>
        <v>18.054845195466541</v>
      </c>
      <c r="AY57" s="3386">
        <v>17.938983050847458</v>
      </c>
      <c r="AZ57" s="3376">
        <v>17.649999999999999</v>
      </c>
      <c r="BA57" s="2817">
        <f t="shared" ref="BA57:BA58" si="193">+((AQ57*AQ$5*AQ$2)+(AU57*AU$5*AU$2)+(AY57*AY$5*AY$2))/((AQ$5*AQ$2)+(AU$5*AU$2)+(AY$5*AY$2))</f>
        <v>17.938983050847458</v>
      </c>
      <c r="BB57" s="3858">
        <f>(AR57*AR$5*AR$2+AV57*AV$5*AV$2+AZ57*AZ$5*AZ$2)/(AR$5*AR$2+AV$5*AV$2+AZ$5*AZ$2)</f>
        <v>17.633703251581398</v>
      </c>
      <c r="BC57" s="3862">
        <f>(AM57*AM$5*AM$2+BA57*BA$5*BA$2)/(AM$5*AM$2+BA$5*BA$2)</f>
        <v>17.938983050847458</v>
      </c>
      <c r="BD57" s="3860">
        <f>(AN57*AN$5*AN$2+BB57*BB$5*BB$2)/(AN$5*AN$2+BB$5*BB$2)</f>
        <v>17.696991095310423</v>
      </c>
      <c r="BE57" s="2820">
        <f t="shared" si="186"/>
        <v>18.001055656559735</v>
      </c>
      <c r="BF57" s="2822">
        <f t="shared" si="187"/>
        <v>18.020524385556765</v>
      </c>
      <c r="BG57" s="648"/>
      <c r="BH57" s="648"/>
      <c r="BI57" s="648"/>
      <c r="BJ57" s="648"/>
      <c r="BK57" s="648"/>
      <c r="BL57" s="648"/>
      <c r="BM57" s="648"/>
      <c r="BN57" s="648"/>
    </row>
    <row r="58" spans="1:66" ht="16.5" hidden="1" customHeight="1" thickBot="1" x14ac:dyDescent="0.3">
      <c r="A58" s="3378"/>
      <c r="B58" s="2845" t="s">
        <v>1762</v>
      </c>
      <c r="C58" s="2811" t="s">
        <v>226</v>
      </c>
      <c r="D58" s="2829">
        <v>18.395939086294415</v>
      </c>
      <c r="E58" s="2812">
        <v>18.364864864864867</v>
      </c>
      <c r="F58" s="2812">
        <v>18.63</v>
      </c>
      <c r="G58" s="2812">
        <v>18.364864864864867</v>
      </c>
      <c r="H58" s="2812">
        <v>19.25</v>
      </c>
      <c r="I58" s="2824">
        <f t="shared" si="188"/>
        <v>18.364864864864867</v>
      </c>
      <c r="J58" s="2824">
        <f t="shared" si="189"/>
        <v>18.945024809791597</v>
      </c>
      <c r="K58" s="2812">
        <v>18.364864864864867</v>
      </c>
      <c r="L58" s="2812">
        <v>19.350000000000001</v>
      </c>
      <c r="M58" s="2825">
        <f t="shared" si="174"/>
        <v>18.364864864864867</v>
      </c>
      <c r="N58" s="4007">
        <f t="shared" si="174"/>
        <v>19.078549889135257</v>
      </c>
      <c r="O58" s="2812">
        <v>18.364864864864867</v>
      </c>
      <c r="P58" s="2813">
        <v>18.5</v>
      </c>
      <c r="Q58" s="2824">
        <f t="shared" si="190"/>
        <v>18.364864864864867</v>
      </c>
      <c r="R58" s="2824">
        <f>+((N58*N$5*N$2)+(P58*P$5*P$2))/((N$5*N$2)+(P$5*P$2))</f>
        <v>18.931603672152843</v>
      </c>
      <c r="S58" s="2812">
        <v>18.552901023890787</v>
      </c>
      <c r="T58" s="2812">
        <f>18+0.383333333333333</f>
        <v>18.383333333333333</v>
      </c>
      <c r="U58" s="2824">
        <f t="shared" si="175"/>
        <v>18.402963694471428</v>
      </c>
      <c r="V58" s="2826">
        <f t="shared" si="175"/>
        <v>18.820208031281577</v>
      </c>
      <c r="W58" s="3796">
        <v>18.552901023890787</v>
      </c>
      <c r="X58" s="3796">
        <f>18+(27/60)</f>
        <v>18.45</v>
      </c>
      <c r="Y58" s="3797">
        <f t="shared" si="191"/>
        <v>18.489541013784226</v>
      </c>
      <c r="Z58" s="3859">
        <f>(P58*P$5*P$2+T58*T$5*T$2+X58*X$5*X$2)/(P$5*P$2+T$5*T$2+X$5*X$2)</f>
        <v>18.444304444687923</v>
      </c>
      <c r="AA58" s="3863">
        <f t="shared" si="176"/>
        <v>18.427543584540174</v>
      </c>
      <c r="AB58" s="3861">
        <f t="shared" si="176"/>
        <v>18.759553139895743</v>
      </c>
      <c r="AC58" s="2812">
        <v>18.364864864864867</v>
      </c>
      <c r="AD58" s="2812">
        <v>18.8</v>
      </c>
      <c r="AE58" s="2824">
        <f t="shared" si="177"/>
        <v>18.418463956923659</v>
      </c>
      <c r="AF58" s="2826">
        <f t="shared" si="178"/>
        <v>18.765336927429814</v>
      </c>
      <c r="AG58" s="2812">
        <v>18.364864864864867</v>
      </c>
      <c r="AH58" s="4233">
        <v>18.3</v>
      </c>
      <c r="AI58" s="2824">
        <f t="shared" si="179"/>
        <v>18.411873904621348</v>
      </c>
      <c r="AJ58" s="2826">
        <f t="shared" si="180"/>
        <v>18.708097875663253</v>
      </c>
      <c r="AK58" s="3796">
        <v>18.364864864864867</v>
      </c>
      <c r="AL58" s="3796">
        <v>18.216666666666665</v>
      </c>
      <c r="AM58" s="3797">
        <f t="shared" si="192"/>
        <v>18.36486486486487</v>
      </c>
      <c r="AN58" s="3859">
        <f>(AD58*AD$5*AD$2+AH58*AH$5*AH$2+AL58*AL$5*AL$2)/(AD$5*AD$2+AH$5*AH$2+AL$5*AL$2)</f>
        <v>18.438772471600306</v>
      </c>
      <c r="AO58" s="2824">
        <f t="shared" si="181"/>
        <v>18.406574703776073</v>
      </c>
      <c r="AP58" s="2826">
        <f t="shared" si="181"/>
        <v>18.652678273673882</v>
      </c>
      <c r="AQ58" s="3796">
        <v>18.364864864864867</v>
      </c>
      <c r="AR58" s="3796">
        <v>18.431185112634672</v>
      </c>
      <c r="AS58" s="2824">
        <f t="shared" si="182"/>
        <v>18.40234919721971</v>
      </c>
      <c r="AT58" s="2826">
        <f t="shared" si="183"/>
        <v>18.630231451649369</v>
      </c>
      <c r="AU58" s="3796">
        <v>18.364864864864867</v>
      </c>
      <c r="AV58" s="3796">
        <v>18.431185112634672</v>
      </c>
      <c r="AW58" s="2824">
        <f t="shared" si="184"/>
        <v>18.399104284866603</v>
      </c>
      <c r="AX58" s="2826">
        <f t="shared" si="185"/>
        <v>18.612994982660254</v>
      </c>
      <c r="AY58" s="3796">
        <v>18.364864864864867</v>
      </c>
      <c r="AZ58" s="3796">
        <v>18.431185112634672</v>
      </c>
      <c r="BA58" s="3797">
        <f t="shared" si="193"/>
        <v>18.364864864864867</v>
      </c>
      <c r="BB58" s="3859">
        <f>(AR58*AR$5*AR$2+AV58*AV$5*AV$2+AZ58*AZ$5*AZ$2)/(AR$5*AR$2+AV$5*AV$2+AZ$5*AZ$2)</f>
        <v>18.431185112634672</v>
      </c>
      <c r="BC58" s="3863">
        <f t="shared" ref="BC58" si="194">(AO58*AO$5*AO$2+BA58*BA$5*BA$2)/(AO$5*AO$2+BA$5*BA$2)</f>
        <v>18.396204224702522</v>
      </c>
      <c r="BD58" s="3861">
        <f t="shared" ref="BD58" si="195">(AP58*AP$5*AP$2+BB58*BB$5*BB$2)/(AP$5*AP$2+BB$5*BB$2)</f>
        <v>18.597582165705699</v>
      </c>
      <c r="BE58" s="2824">
        <f t="shared" si="186"/>
        <v>18.396204224702522</v>
      </c>
      <c r="BF58" s="2826">
        <f t="shared" si="187"/>
        <v>18.597582024673489</v>
      </c>
      <c r="BG58" s="648"/>
      <c r="BH58" s="648"/>
      <c r="BI58" s="648"/>
      <c r="BJ58" s="648"/>
      <c r="BK58" s="648"/>
      <c r="BL58" s="648"/>
      <c r="BM58" s="648"/>
      <c r="BN58" s="648"/>
    </row>
    <row r="59" spans="1:66" s="183" customFormat="1" ht="16.5" thickBot="1" x14ac:dyDescent="0.3">
      <c r="A59" s="182" t="s">
        <v>478</v>
      </c>
      <c r="B59" s="2794" t="s">
        <v>183</v>
      </c>
      <c r="C59" s="2320"/>
      <c r="D59" s="330"/>
      <c r="E59" s="2321"/>
      <c r="F59" s="3377"/>
      <c r="G59" s="2321"/>
      <c r="H59" s="2322"/>
      <c r="I59" s="330"/>
      <c r="J59" s="330"/>
      <c r="K59" s="2321"/>
      <c r="L59" s="2322"/>
      <c r="M59" s="2321"/>
      <c r="N59" s="2322"/>
      <c r="O59" s="2321"/>
      <c r="P59" s="330"/>
      <c r="Q59" s="339"/>
      <c r="R59" s="339"/>
      <c r="S59" s="330"/>
      <c r="T59" s="2823"/>
      <c r="U59" s="330"/>
      <c r="V59" s="330"/>
      <c r="W59" s="948"/>
      <c r="X59" s="734"/>
      <c r="Y59" s="282"/>
      <c r="Z59" s="282"/>
      <c r="AA59" s="3798"/>
      <c r="AB59" s="282"/>
      <c r="AC59" s="330"/>
      <c r="AD59" s="2823"/>
      <c r="AE59" s="330"/>
      <c r="AF59" s="330"/>
      <c r="AG59" s="330"/>
      <c r="AH59" s="2823"/>
      <c r="AI59" s="330"/>
      <c r="AJ59" s="330"/>
      <c r="AK59" s="948"/>
      <c r="AL59" s="734"/>
      <c r="AM59" s="282"/>
      <c r="AN59" s="282"/>
      <c r="AO59" s="330"/>
      <c r="AP59" s="330"/>
      <c r="AQ59" s="948"/>
      <c r="AR59" s="948"/>
      <c r="AS59" s="330"/>
      <c r="AT59" s="330"/>
      <c r="AU59" s="948"/>
      <c r="AV59" s="948"/>
      <c r="AW59" s="330"/>
      <c r="AX59" s="330"/>
      <c r="AY59" s="948"/>
      <c r="AZ59" s="948"/>
      <c r="BA59" s="282"/>
      <c r="BB59" s="282"/>
      <c r="BC59" s="5389"/>
      <c r="BD59" s="5390"/>
      <c r="BE59" s="330"/>
      <c r="BF59" s="330"/>
      <c r="BG59" s="648"/>
      <c r="BH59" s="648"/>
      <c r="BI59" s="648"/>
      <c r="BJ59" s="648"/>
      <c r="BK59" s="648"/>
      <c r="BL59" s="648"/>
      <c r="BM59" s="648"/>
      <c r="BN59" s="648"/>
    </row>
    <row r="60" spans="1:66" ht="15.75" thickBot="1" x14ac:dyDescent="0.3">
      <c r="B60" s="2838" t="s">
        <v>184</v>
      </c>
      <c r="C60" s="1828" t="s">
        <v>52</v>
      </c>
      <c r="D60" s="536">
        <v>18073.519199999999</v>
      </c>
      <c r="E60" s="189">
        <v>1481.4359999999999</v>
      </c>
      <c r="F60" s="591">
        <v>1427.2</v>
      </c>
      <c r="G60" s="189">
        <v>1530.8172</v>
      </c>
      <c r="H60" s="591">
        <v>1440.7</v>
      </c>
      <c r="I60" s="88">
        <f>+E60+G60</f>
        <v>3012.2532000000001</v>
      </c>
      <c r="J60" s="53">
        <f>+F60+H60</f>
        <v>2867.9</v>
      </c>
      <c r="K60" s="189">
        <v>1481.4359999999999</v>
      </c>
      <c r="L60" s="591">
        <v>1381.2</v>
      </c>
      <c r="M60" s="101">
        <f>+E60+G60+K60</f>
        <v>4493.6891999999998</v>
      </c>
      <c r="N60" s="155">
        <f>+F60+H60+L60</f>
        <v>4249.1000000000004</v>
      </c>
      <c r="O60" s="189">
        <v>1530.8172</v>
      </c>
      <c r="P60" s="591">
        <v>1471.9</v>
      </c>
      <c r="Q60" s="88">
        <f>+M60+O60</f>
        <v>6024.5064000000002</v>
      </c>
      <c r="R60" s="53">
        <f>+N60+P60</f>
        <v>5721</v>
      </c>
      <c r="S60" s="189">
        <v>1530.8172</v>
      </c>
      <c r="T60" s="2729">
        <v>1430</v>
      </c>
      <c r="U60" s="88">
        <f>+Q60+S60</f>
        <v>7555.3235999999997</v>
      </c>
      <c r="V60" s="53">
        <f>+R60+T60</f>
        <v>7151</v>
      </c>
      <c r="W60" s="189">
        <v>1481.4359999999999</v>
      </c>
      <c r="X60" s="591">
        <v>1348.6</v>
      </c>
      <c r="Y60" s="924">
        <f>+O60+S60+W60</f>
        <v>4543.0703999999996</v>
      </c>
      <c r="Z60" s="113">
        <f>+P60+T60+X60</f>
        <v>4250.5</v>
      </c>
      <c r="AA60" s="922">
        <f>+M60+Y60</f>
        <v>9036.7595999999994</v>
      </c>
      <c r="AB60" s="922">
        <f>+N60+Z60</f>
        <v>8499.6</v>
      </c>
      <c r="AC60" s="4055">
        <v>1530.8172</v>
      </c>
      <c r="AD60" s="2729">
        <v>1295.7</v>
      </c>
      <c r="AE60" s="4054">
        <f>+AA60+AC60</f>
        <v>10567.576799999999</v>
      </c>
      <c r="AF60" s="53">
        <f>+AB60+AD60</f>
        <v>9795.3000000000011</v>
      </c>
      <c r="AG60" s="4168">
        <v>1481.4359999999999</v>
      </c>
      <c r="AH60" s="2729">
        <v>1266</v>
      </c>
      <c r="AI60" s="4167">
        <f>+AE60+AG60</f>
        <v>12049.012799999999</v>
      </c>
      <c r="AJ60" s="53">
        <f>+AF60+AH60</f>
        <v>11061.300000000001</v>
      </c>
      <c r="AK60" s="4292">
        <v>1530.8172</v>
      </c>
      <c r="AL60" s="591">
        <v>1308.2</v>
      </c>
      <c r="AM60" s="924">
        <f>+AC60+AG60+AK60</f>
        <v>4543.0704000000005</v>
      </c>
      <c r="AN60" s="113">
        <f>+AD60+AH60+AL60</f>
        <v>3869.8999999999996</v>
      </c>
      <c r="AO60" s="923">
        <f>AI60+AK60</f>
        <v>13579.829999999998</v>
      </c>
      <c r="AP60" s="923">
        <f>AJ60+AL60</f>
        <v>12369.500000000002</v>
      </c>
      <c r="AQ60" s="4407">
        <v>1530.8172</v>
      </c>
      <c r="AR60" s="591">
        <v>1266</v>
      </c>
      <c r="AS60" s="4406">
        <f>+AO60+AQ60</f>
        <v>15110.647199999998</v>
      </c>
      <c r="AT60" s="53">
        <f>+AP60+AR60</f>
        <v>13635.500000000002</v>
      </c>
      <c r="AU60" s="4649">
        <v>1432.0547999999999</v>
      </c>
      <c r="AV60" s="591">
        <v>1222.9000000000001</v>
      </c>
      <c r="AW60" s="4648">
        <f>+AS60+AU60</f>
        <v>16542.701999999997</v>
      </c>
      <c r="AX60" s="53">
        <f>+AT60+AV60</f>
        <v>14858.400000000001</v>
      </c>
      <c r="AY60" s="5064">
        <v>1530.8172</v>
      </c>
      <c r="AZ60" s="591">
        <v>1309.8</v>
      </c>
      <c r="BA60" s="924">
        <f>+AQ60+AU60+AY60</f>
        <v>4493.6891999999998</v>
      </c>
      <c r="BB60" s="5382">
        <f>+AR60+AV60+AZ60</f>
        <v>3798.7</v>
      </c>
      <c r="BC60" s="5391">
        <f t="shared" ref="BC60:BC61" si="196">+AM60+BA60</f>
        <v>9036.7596000000012</v>
      </c>
      <c r="BD60" s="5391">
        <f t="shared" ref="BD60:BD61" si="197">+AN60+BB60</f>
        <v>7668.5999999999995</v>
      </c>
      <c r="BE60" s="524">
        <f>+AW60+AY60</f>
        <v>18073.519199999999</v>
      </c>
      <c r="BF60" s="53">
        <f>+AX60+AZ60</f>
        <v>16168.2</v>
      </c>
      <c r="BG60" s="648"/>
      <c r="BH60" s="648"/>
      <c r="BI60" s="648"/>
      <c r="BJ60" s="648"/>
      <c r="BK60" s="648"/>
      <c r="BL60" s="648"/>
      <c r="BM60" s="648"/>
      <c r="BN60" s="648"/>
    </row>
    <row r="61" spans="1:66" ht="15.95" customHeight="1" thickBot="1" x14ac:dyDescent="0.3">
      <c r="B61" s="2839" t="s">
        <v>185</v>
      </c>
      <c r="C61" s="1842" t="s">
        <v>52</v>
      </c>
      <c r="D61" s="1429">
        <v>32817.426600000006</v>
      </c>
      <c r="E61" s="1658">
        <v>2699.1025</v>
      </c>
      <c r="F61" s="1664">
        <v>2498.4499999999998</v>
      </c>
      <c r="G61" s="1658">
        <v>2789.0725833333331</v>
      </c>
      <c r="H61" s="1664">
        <v>2417.12</v>
      </c>
      <c r="I61" s="1400">
        <f>+E61+G61</f>
        <v>5488.1750833333335</v>
      </c>
      <c r="J61" s="201">
        <f>+F61+H61</f>
        <v>4915.57</v>
      </c>
      <c r="K61" s="1658">
        <v>2699.1025</v>
      </c>
      <c r="L61" s="1664">
        <v>2392.4564999999998</v>
      </c>
      <c r="M61" s="2098">
        <f>+E61+G61+K61</f>
        <v>8187.2775833333335</v>
      </c>
      <c r="N61" s="2115">
        <f>+F61+H61+L61</f>
        <v>7308.0264999999999</v>
      </c>
      <c r="O61" s="1658">
        <v>2789.0725833333331</v>
      </c>
      <c r="P61" s="1664">
        <v>2521</v>
      </c>
      <c r="Q61" s="1400">
        <f>+M61+O61</f>
        <v>10976.350166666667</v>
      </c>
      <c r="R61" s="201">
        <f>+N61+P61</f>
        <v>9829.0264999999999</v>
      </c>
      <c r="S61" s="1658">
        <v>2732.3456833333325</v>
      </c>
      <c r="T61" s="2730">
        <v>2432</v>
      </c>
      <c r="U61" s="1400">
        <f>+Q61+S61</f>
        <v>13708.69585</v>
      </c>
      <c r="V61" s="201">
        <f>+R61+T61</f>
        <v>12261.0265</v>
      </c>
      <c r="W61" s="1658">
        <v>2644.2054999999991</v>
      </c>
      <c r="X61" s="1664">
        <v>2266.5500000000002</v>
      </c>
      <c r="Y61" s="945">
        <f>+O61+S61+W61</f>
        <v>8165.6237666666648</v>
      </c>
      <c r="Z61" s="649">
        <f>+P61+T61+X61</f>
        <v>7219.55</v>
      </c>
      <c r="AA61" s="922">
        <f>+M61+Y61</f>
        <v>16352.901349999998</v>
      </c>
      <c r="AB61" s="922">
        <f>+N61+Z61</f>
        <v>14527.576499999999</v>
      </c>
      <c r="AC61" s="4066">
        <v>2789.0725833333331</v>
      </c>
      <c r="AD61" s="2730">
        <v>2391.4899999999998</v>
      </c>
      <c r="AE61" s="4070">
        <f>+AA61+AC61</f>
        <v>19141.973933333331</v>
      </c>
      <c r="AF61" s="201">
        <f>+AB61+AD61</f>
        <v>16919.066500000001</v>
      </c>
      <c r="AG61" s="4173">
        <v>2699.1025</v>
      </c>
      <c r="AH61" s="2730">
        <v>2299.5</v>
      </c>
      <c r="AI61" s="4176">
        <f>+AE61+AG61</f>
        <v>21841.076433333332</v>
      </c>
      <c r="AJ61" s="201">
        <f>+AF61+AH61</f>
        <v>19218.566500000001</v>
      </c>
      <c r="AK61" s="4302">
        <v>2789.0725833333331</v>
      </c>
      <c r="AL61" s="1664">
        <v>2412.9</v>
      </c>
      <c r="AM61" s="945">
        <f>+AC61+AG61+AK61</f>
        <v>8277.2476666666662</v>
      </c>
      <c r="AN61" s="649">
        <f>+AD61+AH61+AL61</f>
        <v>7103.8899999999994</v>
      </c>
      <c r="AO61" s="923">
        <f>AI61+AK61</f>
        <v>24630.149016666666</v>
      </c>
      <c r="AP61" s="923">
        <f>AJ61+AL61</f>
        <v>21631.466500000002</v>
      </c>
      <c r="AQ61" s="4414">
        <v>2789.0725833333331</v>
      </c>
      <c r="AR61" s="1664">
        <v>2408.1750000000002</v>
      </c>
      <c r="AS61" s="4419">
        <f>+AO61+AQ61</f>
        <v>27419.221600000001</v>
      </c>
      <c r="AT61" s="201">
        <f>+AP61+AR61</f>
        <v>24039.641500000002</v>
      </c>
      <c r="AU61" s="4658">
        <v>2609.1324166666664</v>
      </c>
      <c r="AV61" s="1664">
        <v>2255.4</v>
      </c>
      <c r="AW61" s="4666">
        <f>+AS61+AU61</f>
        <v>30028.354016666668</v>
      </c>
      <c r="AX61" s="201">
        <f>+AT61+AV61</f>
        <v>26295.041500000003</v>
      </c>
      <c r="AY61" s="5077">
        <v>2789.0725833333331</v>
      </c>
      <c r="AZ61" s="1664">
        <v>2406.4</v>
      </c>
      <c r="BA61" s="945">
        <f>+AQ61+AU61+AY61</f>
        <v>8187.2775833333326</v>
      </c>
      <c r="BB61" s="5383">
        <f>+AR61+AV61+AZ61</f>
        <v>7069.9750000000004</v>
      </c>
      <c r="BC61" s="5391">
        <f t="shared" si="196"/>
        <v>16464.525249999999</v>
      </c>
      <c r="BD61" s="5391">
        <f t="shared" si="197"/>
        <v>14173.865</v>
      </c>
      <c r="BE61" s="5386">
        <f>+AW61+AY61</f>
        <v>32817.426599999999</v>
      </c>
      <c r="BF61" s="201">
        <f>+AX61+AZ61</f>
        <v>28701.441500000004</v>
      </c>
      <c r="BG61" s="648"/>
      <c r="BH61" s="648"/>
      <c r="BI61" s="648"/>
      <c r="BJ61" s="648"/>
      <c r="BK61" s="648"/>
      <c r="BL61" s="648"/>
      <c r="BM61" s="648"/>
      <c r="BN61" s="648"/>
    </row>
    <row r="62" spans="1:66" ht="16.5" thickBot="1" x14ac:dyDescent="0.3">
      <c r="B62" s="2840" t="s">
        <v>37</v>
      </c>
      <c r="C62" s="2584" t="s">
        <v>52</v>
      </c>
      <c r="D62" s="448">
        <f t="shared" ref="D62:J62" si="198">SUM(D60:D61)</f>
        <v>50890.945800000001</v>
      </c>
      <c r="E62" s="547">
        <f t="shared" si="198"/>
        <v>4180.5384999999997</v>
      </c>
      <c r="F62" s="31">
        <f t="shared" si="198"/>
        <v>3925.6499999999996</v>
      </c>
      <c r="G62" s="547">
        <f t="shared" ref="G62:H62" si="199">SUM(G60:G61)</f>
        <v>4319.8897833333331</v>
      </c>
      <c r="H62" s="31">
        <f t="shared" si="199"/>
        <v>3857.8199999999997</v>
      </c>
      <c r="I62" s="1478">
        <f t="shared" si="198"/>
        <v>8500.4282833333345</v>
      </c>
      <c r="J62" s="1478">
        <f t="shared" si="198"/>
        <v>7783.4699999999993</v>
      </c>
      <c r="K62" s="547">
        <f t="shared" ref="K62:L62" si="200">SUM(K60:K61)</f>
        <v>4180.5384999999997</v>
      </c>
      <c r="L62" s="31">
        <f t="shared" si="200"/>
        <v>3773.6565000000001</v>
      </c>
      <c r="M62" s="428">
        <f t="shared" ref="M62:R62" si="201">SUM(M60:M61)</f>
        <v>12680.966783333333</v>
      </c>
      <c r="N62" s="96">
        <f t="shared" si="201"/>
        <v>11557.1265</v>
      </c>
      <c r="O62" s="547">
        <f t="shared" si="201"/>
        <v>4319.8897833333331</v>
      </c>
      <c r="P62" s="31">
        <f t="shared" si="201"/>
        <v>3992.9</v>
      </c>
      <c r="Q62" s="1478">
        <f t="shared" si="201"/>
        <v>17000.856566666669</v>
      </c>
      <c r="R62" s="1478">
        <f t="shared" si="201"/>
        <v>15550.0265</v>
      </c>
      <c r="S62" s="547">
        <f t="shared" ref="S62:Z62" si="202">SUM(S60:S61)</f>
        <v>4263.1628833333325</v>
      </c>
      <c r="T62" s="2731">
        <f t="shared" si="202"/>
        <v>3862</v>
      </c>
      <c r="U62" s="1478">
        <f t="shared" si="202"/>
        <v>21264.01945</v>
      </c>
      <c r="V62" s="1478">
        <f t="shared" si="202"/>
        <v>19412.0265</v>
      </c>
      <c r="W62" s="547">
        <f t="shared" si="202"/>
        <v>4125.6414999999988</v>
      </c>
      <c r="X62" s="31">
        <f t="shared" si="202"/>
        <v>3615.15</v>
      </c>
      <c r="Y62" s="1479">
        <f t="shared" si="202"/>
        <v>12708.694166666664</v>
      </c>
      <c r="Z62" s="1479">
        <f t="shared" si="202"/>
        <v>11470.05</v>
      </c>
      <c r="AA62" s="3808">
        <f t="shared" ref="AA62:AF62" si="203">SUM(AA60:AA61)</f>
        <v>25389.660949999998</v>
      </c>
      <c r="AB62" s="1480">
        <f t="shared" si="203"/>
        <v>23027.176500000001</v>
      </c>
      <c r="AC62" s="547">
        <f t="shared" si="203"/>
        <v>4319.8897833333331</v>
      </c>
      <c r="AD62" s="2731">
        <f t="shared" si="203"/>
        <v>3687.1899999999996</v>
      </c>
      <c r="AE62" s="1478">
        <f t="shared" si="203"/>
        <v>29709.55073333333</v>
      </c>
      <c r="AF62" s="1478">
        <f t="shared" si="203"/>
        <v>26714.366500000004</v>
      </c>
      <c r="AG62" s="547">
        <f t="shared" ref="AG62:AN62" si="204">SUM(AG60:AG61)</f>
        <v>4180.5384999999997</v>
      </c>
      <c r="AH62" s="2731">
        <f t="shared" si="204"/>
        <v>3565.5</v>
      </c>
      <c r="AI62" s="1478">
        <f t="shared" si="204"/>
        <v>33890.089233333332</v>
      </c>
      <c r="AJ62" s="1478">
        <f t="shared" si="204"/>
        <v>30279.866500000004</v>
      </c>
      <c r="AK62" s="547">
        <f t="shared" si="204"/>
        <v>4319.8897833333331</v>
      </c>
      <c r="AL62" s="31">
        <f t="shared" si="204"/>
        <v>3721.1000000000004</v>
      </c>
      <c r="AM62" s="1479">
        <f t="shared" si="204"/>
        <v>12820.318066666667</v>
      </c>
      <c r="AN62" s="1479">
        <f t="shared" si="204"/>
        <v>10973.789999999999</v>
      </c>
      <c r="AO62" s="1478">
        <f t="shared" ref="AO62:AT62" si="205">SUM(AO60:AO61)</f>
        <v>38209.979016666664</v>
      </c>
      <c r="AP62" s="1478">
        <f t="shared" si="205"/>
        <v>34000.966500000002</v>
      </c>
      <c r="AQ62" s="547">
        <f t="shared" si="205"/>
        <v>4319.8897833333331</v>
      </c>
      <c r="AR62" s="31">
        <f t="shared" si="205"/>
        <v>3674.1750000000002</v>
      </c>
      <c r="AS62" s="1478">
        <f t="shared" si="205"/>
        <v>42529.868799999997</v>
      </c>
      <c r="AT62" s="1478">
        <f t="shared" si="205"/>
        <v>37675.141500000005</v>
      </c>
      <c r="AU62" s="547">
        <f t="shared" ref="AU62:AX62" si="206">SUM(AU60:AU61)</f>
        <v>4041.1872166666662</v>
      </c>
      <c r="AV62" s="31">
        <f t="shared" si="206"/>
        <v>3478.3</v>
      </c>
      <c r="AW62" s="1478">
        <f t="shared" si="206"/>
        <v>46571.056016666669</v>
      </c>
      <c r="AX62" s="1478">
        <f t="shared" si="206"/>
        <v>41153.441500000001</v>
      </c>
      <c r="AY62" s="547">
        <f t="shared" ref="AY62:BF62" si="207">SUM(AY60:AY61)</f>
        <v>4319.8897833333331</v>
      </c>
      <c r="AZ62" s="31">
        <f t="shared" si="207"/>
        <v>3716.2</v>
      </c>
      <c r="BA62" s="1479">
        <f t="shared" si="207"/>
        <v>12680.966783333333</v>
      </c>
      <c r="BB62" s="2170">
        <f t="shared" si="207"/>
        <v>10868.674999999999</v>
      </c>
      <c r="BC62" s="5286">
        <f t="shared" si="207"/>
        <v>25501.28485</v>
      </c>
      <c r="BD62" s="5352">
        <f t="shared" si="207"/>
        <v>21842.465</v>
      </c>
      <c r="BE62" s="874">
        <f t="shared" si="207"/>
        <v>50890.945800000001</v>
      </c>
      <c r="BF62" s="1478">
        <f t="shared" si="207"/>
        <v>44869.641500000005</v>
      </c>
      <c r="BG62" s="648"/>
      <c r="BH62" s="648"/>
      <c r="BI62" s="648"/>
      <c r="BJ62" s="648"/>
      <c r="BK62" s="648"/>
      <c r="BL62" s="648"/>
      <c r="BM62" s="648"/>
      <c r="BN62" s="648"/>
    </row>
    <row r="63" spans="1:66" ht="15.75" thickBot="1" x14ac:dyDescent="0.3">
      <c r="B63" s="2841" t="s">
        <v>186</v>
      </c>
      <c r="C63" s="1846" t="s">
        <v>52</v>
      </c>
      <c r="D63" s="1297">
        <v>6027.9119999999994</v>
      </c>
      <c r="E63" s="488">
        <v>493.81200000000001</v>
      </c>
      <c r="F63" s="622">
        <v>510</v>
      </c>
      <c r="G63" s="488">
        <v>510.84</v>
      </c>
      <c r="H63" s="622">
        <v>518</v>
      </c>
      <c r="I63" s="864">
        <f>+E63+G63</f>
        <v>1004.652</v>
      </c>
      <c r="J63" s="89">
        <f>+F63+H63</f>
        <v>1028</v>
      </c>
      <c r="K63" s="488">
        <v>493.81200000000001</v>
      </c>
      <c r="L63" s="622">
        <v>476</v>
      </c>
      <c r="M63" s="1399">
        <f>+E63+G63+K63</f>
        <v>1498.4639999999999</v>
      </c>
      <c r="N63" s="2116">
        <f>+F63+H63+L63</f>
        <v>1504</v>
      </c>
      <c r="O63" s="488">
        <v>510.84</v>
      </c>
      <c r="P63" s="622">
        <v>355</v>
      </c>
      <c r="Q63" s="864">
        <f>+M63+O63</f>
        <v>2009.3039999999999</v>
      </c>
      <c r="R63" s="89">
        <f>+N63+P63</f>
        <v>1859</v>
      </c>
      <c r="S63" s="488">
        <v>510.84</v>
      </c>
      <c r="T63" s="2732">
        <v>380</v>
      </c>
      <c r="U63" s="864">
        <f>+Q63+S63</f>
        <v>2520.1439999999998</v>
      </c>
      <c r="V63" s="89">
        <f>+R63+T63</f>
        <v>2239</v>
      </c>
      <c r="W63" s="488">
        <v>493.81200000000001</v>
      </c>
      <c r="X63" s="622">
        <v>373</v>
      </c>
      <c r="Y63" s="924">
        <f>+O63+S63+W63</f>
        <v>1515.492</v>
      </c>
      <c r="Z63" s="113">
        <f>+P63+T63+X63</f>
        <v>1108</v>
      </c>
      <c r="AA63" s="922">
        <f>+M63+Y63</f>
        <v>3013.9560000000001</v>
      </c>
      <c r="AB63" s="922">
        <f>+N63+Z63</f>
        <v>2612</v>
      </c>
      <c r="AC63" s="4065">
        <v>510.84</v>
      </c>
      <c r="AD63" s="2732">
        <v>386</v>
      </c>
      <c r="AE63" s="864">
        <f>+AA63+AC63</f>
        <v>3524.7960000000003</v>
      </c>
      <c r="AF63" s="89">
        <f>+AB63+AD63</f>
        <v>2998</v>
      </c>
      <c r="AG63" s="4172">
        <v>493.81200000000001</v>
      </c>
      <c r="AH63" s="2732">
        <v>292</v>
      </c>
      <c r="AI63" s="864">
        <f>+AE63+AG63</f>
        <v>4018.6080000000002</v>
      </c>
      <c r="AJ63" s="89">
        <f>+AF63+AH63</f>
        <v>3290</v>
      </c>
      <c r="AK63" s="4301">
        <v>510.84</v>
      </c>
      <c r="AL63" s="622">
        <v>260</v>
      </c>
      <c r="AM63" s="924">
        <f>+AC63+AG63+AK63</f>
        <v>1515.492</v>
      </c>
      <c r="AN63" s="113">
        <f>+AD63+AH63+AL63</f>
        <v>938</v>
      </c>
      <c r="AO63" s="923">
        <f>AI63+AK63</f>
        <v>4529.4480000000003</v>
      </c>
      <c r="AP63" s="923">
        <f>AJ63+AL63</f>
        <v>3550</v>
      </c>
      <c r="AQ63" s="4413">
        <v>510.84</v>
      </c>
      <c r="AR63" s="622">
        <v>172.35</v>
      </c>
      <c r="AS63" s="864">
        <f>+AO63+AQ63</f>
        <v>5040.2880000000005</v>
      </c>
      <c r="AT63" s="89">
        <f>+AP63+AR63</f>
        <v>3722.35</v>
      </c>
      <c r="AU63" s="4659">
        <v>476.78399999999999</v>
      </c>
      <c r="AV63" s="622">
        <v>433</v>
      </c>
      <c r="AW63" s="864">
        <f>+AS63+AU63</f>
        <v>5517.0720000000001</v>
      </c>
      <c r="AX63" s="89">
        <f>+AT63+AV63</f>
        <v>4155.3500000000004</v>
      </c>
      <c r="AY63" s="5078">
        <v>510.84</v>
      </c>
      <c r="AZ63" s="622">
        <v>445.5</v>
      </c>
      <c r="BA63" s="924">
        <f>+AQ63+AU63+AY63</f>
        <v>1498.4639999999999</v>
      </c>
      <c r="BB63" s="5382">
        <f>+AR63+AV63+AZ63</f>
        <v>1050.8499999999999</v>
      </c>
      <c r="BC63" s="5391">
        <f t="shared" ref="BC63:BC64" si="208">+AM63+BA63</f>
        <v>3013.9560000000001</v>
      </c>
      <c r="BD63" s="5391">
        <f t="shared" ref="BD63:BD64" si="209">+AN63+BB63</f>
        <v>1988.85</v>
      </c>
      <c r="BE63" s="1403">
        <f>+AW63+AY63</f>
        <v>6027.9120000000003</v>
      </c>
      <c r="BF63" s="89">
        <f>+AX63+AZ63</f>
        <v>4600.8500000000004</v>
      </c>
      <c r="BG63" s="648"/>
      <c r="BH63" s="648"/>
      <c r="BI63" s="648"/>
      <c r="BJ63" s="648"/>
      <c r="BK63" s="648"/>
      <c r="BL63" s="648"/>
      <c r="BM63" s="648"/>
      <c r="BN63" s="648"/>
    </row>
    <row r="64" spans="1:66" ht="15.75" thickBot="1" x14ac:dyDescent="0.3">
      <c r="B64" s="2839" t="s">
        <v>187</v>
      </c>
      <c r="C64" s="1828" t="s">
        <v>52</v>
      </c>
      <c r="D64" s="1429">
        <v>4752.8686800000005</v>
      </c>
      <c r="E64" s="1658">
        <v>390.90449999999998</v>
      </c>
      <c r="F64" s="1663">
        <v>320</v>
      </c>
      <c r="G64" s="1658">
        <v>403.93465000000009</v>
      </c>
      <c r="H64" s="1663">
        <v>160</v>
      </c>
      <c r="I64" s="1400">
        <f>+E64+G64</f>
        <v>794.83915000000002</v>
      </c>
      <c r="J64" s="650">
        <f>+F64+H64</f>
        <v>480</v>
      </c>
      <c r="K64" s="1658">
        <v>390.90449999999998</v>
      </c>
      <c r="L64" s="1663">
        <v>135</v>
      </c>
      <c r="M64" s="2098">
        <f>+E64+G64+K64</f>
        <v>1185.7436499999999</v>
      </c>
      <c r="N64" s="2117">
        <f>+F64+H64+L64</f>
        <v>615</v>
      </c>
      <c r="O64" s="1658">
        <v>403.93465000000009</v>
      </c>
      <c r="P64" s="1663">
        <v>362</v>
      </c>
      <c r="Q64" s="1400">
        <f>+M64+O64</f>
        <v>1589.6783</v>
      </c>
      <c r="R64" s="650">
        <f>+N64+P64</f>
        <v>977</v>
      </c>
      <c r="S64" s="1658">
        <v>395.71902999999992</v>
      </c>
      <c r="T64" s="2733">
        <v>330</v>
      </c>
      <c r="U64" s="1400">
        <f>+Q64+S64</f>
        <v>1985.39733</v>
      </c>
      <c r="V64" s="650">
        <f>+R64+T64</f>
        <v>1307</v>
      </c>
      <c r="W64" s="1658">
        <v>382.95389999999992</v>
      </c>
      <c r="X64" s="1663">
        <v>288</v>
      </c>
      <c r="Y64" s="945">
        <f>+O64+S64+W64</f>
        <v>1182.6075799999999</v>
      </c>
      <c r="Z64" s="649">
        <f>+P64+T64+X64</f>
        <v>980</v>
      </c>
      <c r="AA64" s="922">
        <f>+M64+Y64</f>
        <v>2368.3512299999998</v>
      </c>
      <c r="AB64" s="922">
        <f>+N64+Z64</f>
        <v>1595</v>
      </c>
      <c r="AC64" s="4066">
        <v>403.93465000000009</v>
      </c>
      <c r="AD64" s="2733">
        <v>142</v>
      </c>
      <c r="AE64" s="4070">
        <f>+AA64+AC64</f>
        <v>2772.2858799999999</v>
      </c>
      <c r="AF64" s="650">
        <f>+AB64+AD64</f>
        <v>1737</v>
      </c>
      <c r="AG64" s="4173">
        <v>390.90449999999998</v>
      </c>
      <c r="AH64" s="2733">
        <v>237</v>
      </c>
      <c r="AI64" s="4176">
        <f>+AE64+AG64</f>
        <v>3163.19038</v>
      </c>
      <c r="AJ64" s="650">
        <f>+AF64+AH64</f>
        <v>1974</v>
      </c>
      <c r="AK64" s="4302">
        <v>403.93465000000009</v>
      </c>
      <c r="AL64" s="1663">
        <v>85</v>
      </c>
      <c r="AM64" s="945">
        <f>+AC64+AG64+AK64</f>
        <v>1198.7738000000002</v>
      </c>
      <c r="AN64" s="649">
        <f>+AD64+AH64+AL64</f>
        <v>464</v>
      </c>
      <c r="AO64" s="923">
        <f>AI64+AK64</f>
        <v>3567.1250300000002</v>
      </c>
      <c r="AP64" s="923">
        <f>AJ64+AL64</f>
        <v>2059</v>
      </c>
      <c r="AQ64" s="4414">
        <v>403.93465000000009</v>
      </c>
      <c r="AR64" s="1663">
        <v>0</v>
      </c>
      <c r="AS64" s="4419">
        <f>+AO64+AQ64</f>
        <v>3971.0596800000003</v>
      </c>
      <c r="AT64" s="650">
        <f>+AP64+AR64</f>
        <v>2059</v>
      </c>
      <c r="AU64" s="4658">
        <v>377.87435000000005</v>
      </c>
      <c r="AV64" s="1663">
        <v>0</v>
      </c>
      <c r="AW64" s="4666">
        <f>+AS64+AU64</f>
        <v>4348.9340300000003</v>
      </c>
      <c r="AX64" s="650">
        <f>+AT64+AV64</f>
        <v>2059</v>
      </c>
      <c r="AY64" s="5077">
        <v>403.93465000000009</v>
      </c>
      <c r="AZ64" s="1663">
        <v>0</v>
      </c>
      <c r="BA64" s="945">
        <f>+AQ64+AU64+AY64</f>
        <v>1185.7436500000003</v>
      </c>
      <c r="BB64" s="5383">
        <f>+AR64+AV64+AZ64</f>
        <v>0</v>
      </c>
      <c r="BC64" s="5391">
        <f t="shared" si="208"/>
        <v>2384.5174500000003</v>
      </c>
      <c r="BD64" s="5391">
        <f t="shared" si="209"/>
        <v>464</v>
      </c>
      <c r="BE64" s="5386">
        <f>+AW64+AY64</f>
        <v>4752.8686800000005</v>
      </c>
      <c r="BF64" s="650">
        <f>+AX64+AZ64</f>
        <v>2059</v>
      </c>
      <c r="BG64" s="648"/>
      <c r="BH64" s="648"/>
      <c r="BI64" s="648"/>
      <c r="BJ64" s="648"/>
      <c r="BK64" s="648"/>
      <c r="BL64" s="648"/>
      <c r="BM64" s="648"/>
      <c r="BN64" s="648"/>
    </row>
    <row r="65" spans="1:66" ht="16.5" thickBot="1" x14ac:dyDescent="0.3">
      <c r="B65" s="2842" t="s">
        <v>38</v>
      </c>
      <c r="C65" s="1858" t="s">
        <v>52</v>
      </c>
      <c r="D65" s="254">
        <f t="shared" ref="D65:J65" si="210">SUM(D63:D64)</f>
        <v>10780.78068</v>
      </c>
      <c r="E65" s="1673">
        <f t="shared" si="210"/>
        <v>884.7165</v>
      </c>
      <c r="F65" s="1859">
        <f t="shared" si="210"/>
        <v>830</v>
      </c>
      <c r="G65" s="1673">
        <f t="shared" ref="G65:H65" si="211">SUM(G63:G64)</f>
        <v>914.77465000000007</v>
      </c>
      <c r="H65" s="1859">
        <f t="shared" si="211"/>
        <v>678</v>
      </c>
      <c r="I65" s="1860">
        <f t="shared" si="210"/>
        <v>1799.4911500000001</v>
      </c>
      <c r="J65" s="1860">
        <f t="shared" si="210"/>
        <v>1508</v>
      </c>
      <c r="K65" s="1673">
        <f t="shared" ref="K65:L65" si="212">SUM(K63:K64)</f>
        <v>884.7165</v>
      </c>
      <c r="L65" s="1859">
        <f t="shared" si="212"/>
        <v>611</v>
      </c>
      <c r="M65" s="2118">
        <f t="shared" ref="M65:R65" si="213">SUM(M63:M64)</f>
        <v>2684.2076499999998</v>
      </c>
      <c r="N65" s="2119">
        <f t="shared" si="213"/>
        <v>2119</v>
      </c>
      <c r="O65" s="1673">
        <f t="shared" si="213"/>
        <v>914.77465000000007</v>
      </c>
      <c r="P65" s="1859">
        <f t="shared" si="213"/>
        <v>717</v>
      </c>
      <c r="Q65" s="1860">
        <f t="shared" si="213"/>
        <v>3598.9822999999997</v>
      </c>
      <c r="R65" s="1860">
        <f t="shared" si="213"/>
        <v>2836</v>
      </c>
      <c r="S65" s="1673">
        <f t="shared" ref="S65:Z65" si="214">SUM(S63:S64)</f>
        <v>906.55902999999989</v>
      </c>
      <c r="T65" s="2734">
        <f t="shared" si="214"/>
        <v>710</v>
      </c>
      <c r="U65" s="1860">
        <f t="shared" si="214"/>
        <v>4505.54133</v>
      </c>
      <c r="V65" s="1860">
        <f t="shared" si="214"/>
        <v>3546</v>
      </c>
      <c r="W65" s="1673">
        <f t="shared" si="214"/>
        <v>876.76589999999987</v>
      </c>
      <c r="X65" s="1859">
        <f t="shared" si="214"/>
        <v>661</v>
      </c>
      <c r="Y65" s="1479">
        <f t="shared" si="214"/>
        <v>2698.0995800000001</v>
      </c>
      <c r="Z65" s="1479">
        <f t="shared" si="214"/>
        <v>2088</v>
      </c>
      <c r="AA65" s="3808">
        <f t="shared" ref="AA65:AF65" si="215">SUM(AA63:AA64)</f>
        <v>5382.3072300000003</v>
      </c>
      <c r="AB65" s="1480">
        <f t="shared" si="215"/>
        <v>4207</v>
      </c>
      <c r="AC65" s="1673">
        <f t="shared" si="215"/>
        <v>914.77465000000007</v>
      </c>
      <c r="AD65" s="2734">
        <f t="shared" si="215"/>
        <v>528</v>
      </c>
      <c r="AE65" s="1860">
        <f t="shared" si="215"/>
        <v>6297.0818799999997</v>
      </c>
      <c r="AF65" s="1860">
        <f t="shared" si="215"/>
        <v>4735</v>
      </c>
      <c r="AG65" s="1673">
        <f t="shared" ref="AG65:AN65" si="216">SUM(AG63:AG64)</f>
        <v>884.7165</v>
      </c>
      <c r="AH65" s="2734">
        <f t="shared" si="216"/>
        <v>529</v>
      </c>
      <c r="AI65" s="1860">
        <f t="shared" si="216"/>
        <v>7181.7983800000002</v>
      </c>
      <c r="AJ65" s="1860">
        <f t="shared" si="216"/>
        <v>5264</v>
      </c>
      <c r="AK65" s="1673">
        <f t="shared" si="216"/>
        <v>914.77465000000007</v>
      </c>
      <c r="AL65" s="1859">
        <f t="shared" si="216"/>
        <v>345</v>
      </c>
      <c r="AM65" s="1479">
        <f t="shared" si="216"/>
        <v>2714.2658000000001</v>
      </c>
      <c r="AN65" s="1479">
        <f t="shared" si="216"/>
        <v>1402</v>
      </c>
      <c r="AO65" s="1860">
        <f t="shared" ref="AO65:AT65" si="217">SUM(AO63:AO64)</f>
        <v>8096.5730300000005</v>
      </c>
      <c r="AP65" s="1860">
        <f t="shared" si="217"/>
        <v>5609</v>
      </c>
      <c r="AQ65" s="1673">
        <f t="shared" si="217"/>
        <v>914.77465000000007</v>
      </c>
      <c r="AR65" s="1859">
        <f t="shared" si="217"/>
        <v>172.35</v>
      </c>
      <c r="AS65" s="1860">
        <f t="shared" si="217"/>
        <v>9011.3476800000008</v>
      </c>
      <c r="AT65" s="1860">
        <f t="shared" si="217"/>
        <v>5781.35</v>
      </c>
      <c r="AU65" s="1673">
        <f t="shared" ref="AU65:AX65" si="218">SUM(AU63:AU64)</f>
        <v>854.65835000000004</v>
      </c>
      <c r="AV65" s="1859">
        <f t="shared" si="218"/>
        <v>433</v>
      </c>
      <c r="AW65" s="1860">
        <f t="shared" si="218"/>
        <v>9866.0060300000005</v>
      </c>
      <c r="AX65" s="1860">
        <f t="shared" si="218"/>
        <v>6214.35</v>
      </c>
      <c r="AY65" s="1673">
        <f t="shared" ref="AY65:BF65" si="219">SUM(AY63:AY64)</f>
        <v>914.77465000000007</v>
      </c>
      <c r="AZ65" s="1859">
        <f t="shared" si="219"/>
        <v>445.5</v>
      </c>
      <c r="BA65" s="1479">
        <f t="shared" si="219"/>
        <v>2684.2076500000003</v>
      </c>
      <c r="BB65" s="2170">
        <f t="shared" si="219"/>
        <v>1050.8499999999999</v>
      </c>
      <c r="BC65" s="5286">
        <f t="shared" si="219"/>
        <v>5398.4734500000004</v>
      </c>
      <c r="BD65" s="5352">
        <f t="shared" si="219"/>
        <v>2452.85</v>
      </c>
      <c r="BE65" s="5387">
        <f t="shared" si="219"/>
        <v>10780.78068</v>
      </c>
      <c r="BF65" s="1860">
        <f t="shared" si="219"/>
        <v>6659.85</v>
      </c>
      <c r="BG65" s="648"/>
      <c r="BH65" s="648"/>
      <c r="BI65" s="648"/>
      <c r="BJ65" s="648"/>
      <c r="BK65" s="648"/>
      <c r="BL65" s="648"/>
      <c r="BM65" s="648"/>
      <c r="BN65" s="648"/>
    </row>
    <row r="66" spans="1:66" ht="15.75" thickBot="1" x14ac:dyDescent="0.3">
      <c r="B66" s="2846" t="s">
        <v>1761</v>
      </c>
      <c r="C66" s="1848" t="s">
        <v>52</v>
      </c>
      <c r="D66" s="2830">
        <v>2531.7230399999999</v>
      </c>
      <c r="E66" s="2831">
        <v>207.40103999999999</v>
      </c>
      <c r="F66" s="2832">
        <v>166.45</v>
      </c>
      <c r="G66" s="2831">
        <v>214.55279999999999</v>
      </c>
      <c r="H66" s="2832">
        <v>155.39500000000001</v>
      </c>
      <c r="I66" s="2833">
        <f>+E66+G66</f>
        <v>421.95384000000001</v>
      </c>
      <c r="J66" s="2834">
        <f>+F66+H66</f>
        <v>321.84500000000003</v>
      </c>
      <c r="K66" s="2831">
        <v>207.40103999999999</v>
      </c>
      <c r="L66" s="2832">
        <v>0</v>
      </c>
      <c r="M66" s="2835">
        <f>+E66+G66+K66</f>
        <v>629.35487999999998</v>
      </c>
      <c r="N66" s="2836">
        <f>+F66+H66+L66</f>
        <v>321.84500000000003</v>
      </c>
      <c r="O66" s="2831">
        <v>214.55279999999999</v>
      </c>
      <c r="P66" s="2832">
        <v>96</v>
      </c>
      <c r="Q66" s="2833">
        <f>+M66+O66</f>
        <v>843.90768000000003</v>
      </c>
      <c r="R66" s="2834">
        <f>+N66+P66</f>
        <v>417.84500000000003</v>
      </c>
      <c r="S66" s="2831">
        <v>214.55279999999999</v>
      </c>
      <c r="T66" s="2837">
        <v>137.80000000000001</v>
      </c>
      <c r="U66" s="2833">
        <f>+Q66+S66</f>
        <v>1058.46048</v>
      </c>
      <c r="V66" s="2834">
        <f>+R66+T66</f>
        <v>555.64499999999998</v>
      </c>
      <c r="W66" s="444">
        <v>207.40103999999999</v>
      </c>
      <c r="X66" s="877">
        <v>131.4</v>
      </c>
      <c r="Y66" s="924">
        <f>+O66+S66+W66</f>
        <v>636.50663999999995</v>
      </c>
      <c r="Z66" s="113">
        <f>+P66+T66+X66</f>
        <v>365.20000000000005</v>
      </c>
      <c r="AA66" s="922">
        <f>+M66+Y66</f>
        <v>1265.8615199999999</v>
      </c>
      <c r="AB66" s="922">
        <f>+N66+Z66</f>
        <v>687.04500000000007</v>
      </c>
      <c r="AC66" s="2831">
        <v>214.55279999999999</v>
      </c>
      <c r="AD66" s="2837">
        <v>121.8</v>
      </c>
      <c r="AE66" s="2833">
        <f>+AA66+AC66</f>
        <v>1480.4143199999999</v>
      </c>
      <c r="AF66" s="2834">
        <f>+AB66+AD66</f>
        <v>808.84500000000003</v>
      </c>
      <c r="AG66" s="2831">
        <v>207.40103999999999</v>
      </c>
      <c r="AH66" s="2837">
        <v>50.4</v>
      </c>
      <c r="AI66" s="2833">
        <f>+AE66+AG66</f>
        <v>1687.8153599999998</v>
      </c>
      <c r="AJ66" s="2834">
        <f>+AF66+AH66</f>
        <v>859.245</v>
      </c>
      <c r="AK66" s="444">
        <v>214.55279999999999</v>
      </c>
      <c r="AL66" s="877">
        <v>16.8</v>
      </c>
      <c r="AM66" s="924">
        <f>+AC66+AG66+AK66</f>
        <v>636.50664000000006</v>
      </c>
      <c r="AN66" s="113">
        <f>+AD66+AH66+AL66</f>
        <v>189</v>
      </c>
      <c r="AO66" s="923">
        <f>AI66+AK66</f>
        <v>1902.3681599999998</v>
      </c>
      <c r="AP66" s="923">
        <f>AJ66+AL66</f>
        <v>876.04499999999996</v>
      </c>
      <c r="AQ66" s="444">
        <v>214.55279999999999</v>
      </c>
      <c r="AR66" s="877">
        <v>0</v>
      </c>
      <c r="AS66" s="2833">
        <f>+AO66+AQ66</f>
        <v>2116.9209599999999</v>
      </c>
      <c r="AT66" s="2834">
        <f>+AP66+AR66</f>
        <v>876.04499999999996</v>
      </c>
      <c r="AU66" s="444">
        <v>200.24928000000003</v>
      </c>
      <c r="AV66" s="877">
        <v>0</v>
      </c>
      <c r="AW66" s="2833">
        <f>+AS66+AU66</f>
        <v>2317.1702399999999</v>
      </c>
      <c r="AX66" s="2834">
        <f>+AT66+AV66</f>
        <v>876.04499999999996</v>
      </c>
      <c r="AY66" s="444">
        <v>214.55279999999999</v>
      </c>
      <c r="AZ66" s="877">
        <v>0</v>
      </c>
      <c r="BA66" s="924">
        <f>+AQ66+AU66+AY66</f>
        <v>629.35488000000009</v>
      </c>
      <c r="BB66" s="5382">
        <f>+AR66+AV66+AZ66</f>
        <v>0</v>
      </c>
      <c r="BC66" s="5391">
        <f t="shared" ref="BC66" si="220">+AM66+BA66</f>
        <v>1265.8615200000002</v>
      </c>
      <c r="BD66" s="5391">
        <f t="shared" ref="BD66" si="221">+AN66+BB66</f>
        <v>189</v>
      </c>
      <c r="BE66" s="5388">
        <f>+AW66+AY66</f>
        <v>2531.7230399999999</v>
      </c>
      <c r="BF66" s="2834">
        <f>+AX66+AZ66</f>
        <v>876.04499999999996</v>
      </c>
      <c r="BG66" s="648"/>
      <c r="BH66" s="648"/>
      <c r="BI66" s="648"/>
      <c r="BJ66" s="648"/>
      <c r="BK66" s="648"/>
      <c r="BL66" s="648"/>
      <c r="BM66" s="648"/>
      <c r="BN66" s="648"/>
    </row>
    <row r="67" spans="1:66" s="183" customFormat="1" ht="16.5" thickBot="1" x14ac:dyDescent="0.3">
      <c r="A67" s="182"/>
      <c r="B67" s="3846" t="s">
        <v>188</v>
      </c>
      <c r="C67" s="3155"/>
      <c r="D67" s="3847"/>
      <c r="E67" s="1304"/>
      <c r="F67" s="3848"/>
      <c r="G67" s="1304"/>
      <c r="H67" s="3848"/>
      <c r="I67" s="3847"/>
      <c r="J67" s="3848"/>
      <c r="K67" s="1304"/>
      <c r="L67" s="3848"/>
      <c r="M67" s="1304"/>
      <c r="N67" s="3848"/>
      <c r="O67" s="1304"/>
      <c r="P67" s="3848"/>
      <c r="Q67" s="3847"/>
      <c r="R67" s="3848"/>
      <c r="S67" s="1304"/>
      <c r="T67" s="3849"/>
      <c r="U67" s="3847"/>
      <c r="V67" s="3848"/>
      <c r="W67" s="3850"/>
      <c r="X67" s="3851"/>
      <c r="Y67" s="3852"/>
      <c r="Z67" s="3852"/>
      <c r="AA67" s="3853"/>
      <c r="AB67" s="3852"/>
      <c r="AC67" s="1304"/>
      <c r="AD67" s="3849"/>
      <c r="AE67" s="3847"/>
      <c r="AF67" s="3848"/>
      <c r="AG67" s="1304"/>
      <c r="AH67" s="3849"/>
      <c r="AI67" s="3847"/>
      <c r="AJ67" s="3848"/>
      <c r="AK67" s="3850"/>
      <c r="AL67" s="3851"/>
      <c r="AM67" s="3852"/>
      <c r="AN67" s="3852"/>
      <c r="AO67" s="3847"/>
      <c r="AP67" s="3848"/>
      <c r="AQ67" s="3850"/>
      <c r="AR67" s="3851"/>
      <c r="AS67" s="3847"/>
      <c r="AT67" s="3848"/>
      <c r="AU67" s="3850"/>
      <c r="AV67" s="3851"/>
      <c r="AW67" s="3847"/>
      <c r="AX67" s="3848"/>
      <c r="AY67" s="3850"/>
      <c r="AZ67" s="3851"/>
      <c r="BA67" s="3852"/>
      <c r="BB67" s="3852"/>
      <c r="BC67" s="5392"/>
      <c r="BD67" s="5280"/>
      <c r="BE67" s="3847"/>
      <c r="BF67" s="3848"/>
      <c r="BG67" s="648"/>
      <c r="BH67" s="648"/>
      <c r="BI67" s="648"/>
      <c r="BJ67" s="648"/>
      <c r="BK67" s="648"/>
      <c r="BL67" s="648"/>
      <c r="BM67" s="648"/>
      <c r="BN67" s="648"/>
    </row>
    <row r="68" spans="1:66" x14ac:dyDescent="0.25">
      <c r="B68" s="3854" t="s">
        <v>1735</v>
      </c>
      <c r="C68" s="988" t="s">
        <v>52</v>
      </c>
      <c r="D68" s="341">
        <v>683.56522080000013</v>
      </c>
      <c r="E68" s="341">
        <v>55.998280800000003</v>
      </c>
      <c r="F68" s="341">
        <v>47.625999999999998</v>
      </c>
      <c r="G68" s="341">
        <v>57.929255999999995</v>
      </c>
      <c r="H68" s="341">
        <v>32.558</v>
      </c>
      <c r="I68" s="449">
        <f t="shared" ref="I68:J72" si="222">+E68+G68</f>
        <v>113.9275368</v>
      </c>
      <c r="J68" s="449">
        <f t="shared" si="222"/>
        <v>80.183999999999997</v>
      </c>
      <c r="K68" s="341">
        <v>55.998280800000003</v>
      </c>
      <c r="L68" s="341">
        <v>6.0220000000000002</v>
      </c>
      <c r="M68" s="745">
        <f t="shared" ref="M68:N72" si="223">+E68+G68+K68</f>
        <v>169.92581760000002</v>
      </c>
      <c r="N68" s="745">
        <f t="shared" si="223"/>
        <v>86.206000000000003</v>
      </c>
      <c r="O68" s="341">
        <v>57.929255999999995</v>
      </c>
      <c r="P68" s="341">
        <v>35.779000000000003</v>
      </c>
      <c r="Q68" s="449">
        <f t="shared" ref="Q68:R72" si="224">+M68+O68</f>
        <v>227.85507360000003</v>
      </c>
      <c r="R68" s="449">
        <f t="shared" si="224"/>
        <v>121.98500000000001</v>
      </c>
      <c r="S68" s="341">
        <v>57.929255999999995</v>
      </c>
      <c r="T68" s="3701">
        <v>15.49</v>
      </c>
      <c r="U68" s="449">
        <f t="shared" ref="U68:V72" si="225">+Q68+S68</f>
        <v>285.78432960000004</v>
      </c>
      <c r="V68" s="449">
        <f t="shared" si="225"/>
        <v>137.47500000000002</v>
      </c>
      <c r="W68" s="341">
        <v>55.998280800000003</v>
      </c>
      <c r="X68" s="341">
        <v>24.574999999999999</v>
      </c>
      <c r="Y68" s="745">
        <f t="shared" ref="Y68:Z72" si="226">+O68+S68+W68</f>
        <v>171.85679279999999</v>
      </c>
      <c r="Z68" s="745">
        <f t="shared" si="226"/>
        <v>75.844000000000008</v>
      </c>
      <c r="AA68" s="1310">
        <f t="shared" ref="AA68:AB72" si="227">+M68+Y68</f>
        <v>341.78261040000001</v>
      </c>
      <c r="AB68" s="550">
        <f t="shared" si="227"/>
        <v>162.05000000000001</v>
      </c>
      <c r="AC68" s="341">
        <v>57.929255999999995</v>
      </c>
      <c r="AD68" s="3701">
        <v>29.213000000000001</v>
      </c>
      <c r="AE68" s="449">
        <f t="shared" ref="AE68:AE72" si="228">+AA68+AC68</f>
        <v>399.71186640000002</v>
      </c>
      <c r="AF68" s="449">
        <f t="shared" ref="AF68:AF72" si="229">+AB68+AD68</f>
        <v>191.26300000000001</v>
      </c>
      <c r="AG68" s="341">
        <v>55.998280800000003</v>
      </c>
      <c r="AH68" s="3701">
        <v>0</v>
      </c>
      <c r="AI68" s="449">
        <f t="shared" ref="AI68:AI72" si="230">+AE68+AG68</f>
        <v>455.71014720000005</v>
      </c>
      <c r="AJ68" s="449">
        <f t="shared" ref="AJ68:AJ72" si="231">+AF68+AH68</f>
        <v>191.26300000000001</v>
      </c>
      <c r="AK68" s="341">
        <v>57.929255999999995</v>
      </c>
      <c r="AL68" s="341">
        <v>3.6629999999999998</v>
      </c>
      <c r="AM68" s="745">
        <f t="shared" ref="AM68:AM72" si="232">+AC68+AG68+AK68</f>
        <v>171.85679279999999</v>
      </c>
      <c r="AN68" s="745">
        <f t="shared" ref="AN68:AN72" si="233">+AD68+AH68+AL68</f>
        <v>32.875999999999998</v>
      </c>
      <c r="AO68" s="923">
        <f>AI68+AK68</f>
        <v>513.63940320000006</v>
      </c>
      <c r="AP68" s="923">
        <f>AJ68+AL68</f>
        <v>194.92600000000002</v>
      </c>
      <c r="AQ68" s="341">
        <v>57.929255999999995</v>
      </c>
      <c r="AR68" s="341">
        <v>0</v>
      </c>
      <c r="AS68" s="449">
        <f t="shared" ref="AS68:AS72" si="234">+AO68+AQ68</f>
        <v>571.56865920000007</v>
      </c>
      <c r="AT68" s="449">
        <f t="shared" ref="AT68:AT72" si="235">+AP68+AR68</f>
        <v>194.92600000000002</v>
      </c>
      <c r="AU68" s="341">
        <v>54.067305600000012</v>
      </c>
      <c r="AV68" s="341">
        <v>9.94</v>
      </c>
      <c r="AW68" s="449">
        <f t="shared" ref="AW68:AW72" si="236">+AS68+AU68</f>
        <v>625.63596480000012</v>
      </c>
      <c r="AX68" s="449">
        <f t="shared" ref="AX68:AX72" si="237">+AT68+AV68</f>
        <v>204.86600000000001</v>
      </c>
      <c r="AY68" s="341">
        <v>57.929255999999995</v>
      </c>
      <c r="AZ68" s="341">
        <v>0</v>
      </c>
      <c r="BA68" s="745">
        <f t="shared" ref="BA68:BA72" si="238">+AQ68+AU68+AY68</f>
        <v>169.92581760000002</v>
      </c>
      <c r="BB68" s="2169">
        <f t="shared" ref="BB68:BB72" si="239">+AR68+AV68+AZ68</f>
        <v>9.94</v>
      </c>
      <c r="BC68" s="5391">
        <f t="shared" ref="BC68:BC72" si="240">+AM68+BA68</f>
        <v>341.78261040000001</v>
      </c>
      <c r="BD68" s="5391">
        <f t="shared" ref="BD68:BD72" si="241">+AN68+BB68</f>
        <v>42.815999999999995</v>
      </c>
      <c r="BE68" s="861">
        <f t="shared" ref="BE68:BE72" si="242">+AW68+AY68</f>
        <v>683.56522080000013</v>
      </c>
      <c r="BF68" s="449">
        <f t="shared" ref="BF68:BF72" si="243">+AX68+AZ68</f>
        <v>204.86600000000001</v>
      </c>
      <c r="BG68" s="648"/>
      <c r="BH68" s="648"/>
      <c r="BI68" s="648"/>
      <c r="BJ68" s="648"/>
      <c r="BK68" s="648"/>
      <c r="BL68" s="648"/>
      <c r="BM68" s="648"/>
      <c r="BN68" s="648"/>
    </row>
    <row r="69" spans="1:66" x14ac:dyDescent="0.25">
      <c r="B69" s="3836" t="s">
        <v>189</v>
      </c>
      <c r="C69" s="193" t="s">
        <v>52</v>
      </c>
      <c r="D69" s="3616">
        <v>911.4202944000001</v>
      </c>
      <c r="E69" s="3616">
        <v>74.6643744</v>
      </c>
      <c r="F69" s="3616">
        <v>54.195</v>
      </c>
      <c r="G69" s="3616">
        <v>77.239007999999998</v>
      </c>
      <c r="H69" s="3616">
        <v>44.383000000000003</v>
      </c>
      <c r="I69" s="3615">
        <f t="shared" si="222"/>
        <v>151.9033824</v>
      </c>
      <c r="J69" s="3615">
        <f t="shared" si="222"/>
        <v>98.578000000000003</v>
      </c>
      <c r="K69" s="3616">
        <v>74.6643744</v>
      </c>
      <c r="L69" s="3616">
        <v>5.93</v>
      </c>
      <c r="M69" s="3614">
        <f t="shared" si="223"/>
        <v>226.56775679999998</v>
      </c>
      <c r="N69" s="3614">
        <f t="shared" si="223"/>
        <v>104.50800000000001</v>
      </c>
      <c r="O69" s="3616">
        <v>77.239007999999998</v>
      </c>
      <c r="P69" s="3616">
        <v>39.938000000000002</v>
      </c>
      <c r="Q69" s="3615">
        <f t="shared" si="224"/>
        <v>303.8067648</v>
      </c>
      <c r="R69" s="3615">
        <f t="shared" si="224"/>
        <v>144.44600000000003</v>
      </c>
      <c r="S69" s="3616">
        <v>77.239007999999998</v>
      </c>
      <c r="T69" s="2627">
        <v>16.753</v>
      </c>
      <c r="U69" s="3615">
        <f t="shared" si="225"/>
        <v>381.04577280000001</v>
      </c>
      <c r="V69" s="3615">
        <f t="shared" si="225"/>
        <v>161.19900000000001</v>
      </c>
      <c r="W69" s="3616">
        <v>74.6643744</v>
      </c>
      <c r="X69" s="3616">
        <v>20.991</v>
      </c>
      <c r="Y69" s="3614">
        <f t="shared" si="226"/>
        <v>229.14239040000001</v>
      </c>
      <c r="Z69" s="3614">
        <f t="shared" si="226"/>
        <v>77.682000000000002</v>
      </c>
      <c r="AA69" s="3621">
        <f t="shared" si="227"/>
        <v>455.71014719999999</v>
      </c>
      <c r="AB69" s="546">
        <f t="shared" si="227"/>
        <v>182.19</v>
      </c>
      <c r="AC69" s="3616">
        <v>77.239007999999998</v>
      </c>
      <c r="AD69" s="2627">
        <v>25.826000000000001</v>
      </c>
      <c r="AE69" s="3615">
        <f t="shared" si="228"/>
        <v>532.94915519999995</v>
      </c>
      <c r="AF69" s="3615">
        <f t="shared" si="229"/>
        <v>208.01599999999999</v>
      </c>
      <c r="AG69" s="3616">
        <v>74.6643744</v>
      </c>
      <c r="AH69" s="2627">
        <v>0</v>
      </c>
      <c r="AI69" s="3615">
        <f t="shared" si="230"/>
        <v>607.61352959999999</v>
      </c>
      <c r="AJ69" s="3615">
        <f t="shared" si="231"/>
        <v>208.01599999999999</v>
      </c>
      <c r="AK69" s="3616">
        <v>77.239007999999998</v>
      </c>
      <c r="AL69" s="3616">
        <v>0</v>
      </c>
      <c r="AM69" s="4290">
        <f t="shared" si="232"/>
        <v>229.14239040000001</v>
      </c>
      <c r="AN69" s="4290">
        <f t="shared" si="233"/>
        <v>25.826000000000001</v>
      </c>
      <c r="AO69" s="923">
        <f t="shared" ref="AO69:AO72" si="244">AI69+AK69</f>
        <v>684.85253760000001</v>
      </c>
      <c r="AP69" s="923">
        <f t="shared" ref="AP69:AP72" si="245">AJ69+AL69</f>
        <v>208.01599999999999</v>
      </c>
      <c r="AQ69" s="3616">
        <v>77.239007999999998</v>
      </c>
      <c r="AR69" s="3616">
        <v>0</v>
      </c>
      <c r="AS69" s="3615">
        <f t="shared" si="234"/>
        <v>762.09154560000002</v>
      </c>
      <c r="AT69" s="3615">
        <f t="shared" si="235"/>
        <v>208.01599999999999</v>
      </c>
      <c r="AU69" s="3616">
        <v>72.089740800000015</v>
      </c>
      <c r="AV69" s="3616">
        <v>0</v>
      </c>
      <c r="AW69" s="3615">
        <f t="shared" si="236"/>
        <v>834.18128640000009</v>
      </c>
      <c r="AX69" s="3615">
        <f t="shared" si="237"/>
        <v>208.01599999999999</v>
      </c>
      <c r="AY69" s="3616">
        <v>77.239007999999998</v>
      </c>
      <c r="AZ69" s="3616">
        <v>0</v>
      </c>
      <c r="BA69" s="5062">
        <f t="shared" si="238"/>
        <v>226.56775680000004</v>
      </c>
      <c r="BB69" s="5384">
        <f t="shared" si="239"/>
        <v>0</v>
      </c>
      <c r="BC69" s="5391">
        <f t="shared" si="240"/>
        <v>455.71014720000005</v>
      </c>
      <c r="BD69" s="5391">
        <f t="shared" si="241"/>
        <v>25.826000000000001</v>
      </c>
      <c r="BE69" s="524">
        <f t="shared" si="242"/>
        <v>911.4202944000001</v>
      </c>
      <c r="BF69" s="3615">
        <f t="shared" si="243"/>
        <v>208.01599999999999</v>
      </c>
      <c r="BG69" s="648"/>
      <c r="BH69" s="648"/>
      <c r="BI69" s="648"/>
      <c r="BJ69" s="648"/>
      <c r="BK69" s="648"/>
      <c r="BL69" s="648"/>
      <c r="BM69" s="648"/>
      <c r="BN69" s="648"/>
    </row>
    <row r="70" spans="1:66" x14ac:dyDescent="0.25">
      <c r="B70" s="3836" t="s">
        <v>190</v>
      </c>
      <c r="C70" s="193" t="s">
        <v>52</v>
      </c>
      <c r="D70" s="3616">
        <v>113.92753680000001</v>
      </c>
      <c r="E70" s="3616">
        <v>9.3330468</v>
      </c>
      <c r="F70" s="3616">
        <v>0</v>
      </c>
      <c r="G70" s="3616">
        <v>9.6548759999999998</v>
      </c>
      <c r="H70" s="3616">
        <v>13.711</v>
      </c>
      <c r="I70" s="3615">
        <f t="shared" si="222"/>
        <v>18.9879228</v>
      </c>
      <c r="J70" s="3615">
        <f t="shared" si="222"/>
        <v>13.711</v>
      </c>
      <c r="K70" s="3616">
        <v>9.3330468</v>
      </c>
      <c r="L70" s="3616">
        <v>0</v>
      </c>
      <c r="M70" s="3614">
        <f t="shared" si="223"/>
        <v>28.320969599999998</v>
      </c>
      <c r="N70" s="3614">
        <f t="shared" si="223"/>
        <v>13.711</v>
      </c>
      <c r="O70" s="3616">
        <v>9.6548759999999998</v>
      </c>
      <c r="P70" s="3616">
        <v>0</v>
      </c>
      <c r="Q70" s="3615">
        <f t="shared" si="224"/>
        <v>37.9758456</v>
      </c>
      <c r="R70" s="3615">
        <f t="shared" si="224"/>
        <v>13.711</v>
      </c>
      <c r="S70" s="3616">
        <v>9.6548759999999998</v>
      </c>
      <c r="T70" s="2627">
        <v>0</v>
      </c>
      <c r="U70" s="3615">
        <f t="shared" si="225"/>
        <v>47.630721600000001</v>
      </c>
      <c r="V70" s="3615">
        <f t="shared" si="225"/>
        <v>13.711</v>
      </c>
      <c r="W70" s="3616">
        <v>9.3330468</v>
      </c>
      <c r="X70" s="3616">
        <v>0</v>
      </c>
      <c r="Y70" s="3614">
        <f t="shared" si="226"/>
        <v>28.642798800000001</v>
      </c>
      <c r="Z70" s="3614">
        <f t="shared" si="226"/>
        <v>0</v>
      </c>
      <c r="AA70" s="3991">
        <f t="shared" si="227"/>
        <v>56.963768399999999</v>
      </c>
      <c r="AB70" s="546">
        <f t="shared" si="227"/>
        <v>13.711</v>
      </c>
      <c r="AC70" s="3616">
        <v>9.6548759999999998</v>
      </c>
      <c r="AD70" s="2627">
        <v>13.532999999999999</v>
      </c>
      <c r="AE70" s="3615">
        <f t="shared" si="228"/>
        <v>66.618644399999994</v>
      </c>
      <c r="AF70" s="3615">
        <f t="shared" si="229"/>
        <v>27.244</v>
      </c>
      <c r="AG70" s="3616">
        <v>9.3330468</v>
      </c>
      <c r="AH70" s="2627">
        <v>0</v>
      </c>
      <c r="AI70" s="3615">
        <f t="shared" si="230"/>
        <v>75.951691199999999</v>
      </c>
      <c r="AJ70" s="3615">
        <f t="shared" si="231"/>
        <v>27.244</v>
      </c>
      <c r="AK70" s="3616">
        <v>9.6548759999999998</v>
      </c>
      <c r="AL70" s="3616">
        <v>1.7769999999999999</v>
      </c>
      <c r="AM70" s="4290">
        <f t="shared" si="232"/>
        <v>28.642798800000001</v>
      </c>
      <c r="AN70" s="4290">
        <f t="shared" si="233"/>
        <v>15.309999999999999</v>
      </c>
      <c r="AO70" s="923">
        <f t="shared" si="244"/>
        <v>85.606567200000001</v>
      </c>
      <c r="AP70" s="923">
        <f t="shared" si="245"/>
        <v>29.021000000000001</v>
      </c>
      <c r="AQ70" s="3616">
        <v>9.6548759999999998</v>
      </c>
      <c r="AR70" s="3616">
        <v>0</v>
      </c>
      <c r="AS70" s="3615">
        <f t="shared" si="234"/>
        <v>95.261443200000002</v>
      </c>
      <c r="AT70" s="3615">
        <f t="shared" si="235"/>
        <v>29.021000000000001</v>
      </c>
      <c r="AU70" s="3616">
        <v>9.0112176000000019</v>
      </c>
      <c r="AV70" s="3616">
        <v>0</v>
      </c>
      <c r="AW70" s="3615">
        <f t="shared" si="236"/>
        <v>104.27266080000001</v>
      </c>
      <c r="AX70" s="3615">
        <f t="shared" si="237"/>
        <v>29.021000000000001</v>
      </c>
      <c r="AY70" s="3616">
        <v>9.6548759999999998</v>
      </c>
      <c r="AZ70" s="3616">
        <v>0</v>
      </c>
      <c r="BA70" s="5062">
        <f t="shared" si="238"/>
        <v>28.320969600000005</v>
      </c>
      <c r="BB70" s="5384">
        <f t="shared" si="239"/>
        <v>0</v>
      </c>
      <c r="BC70" s="5391">
        <f t="shared" si="240"/>
        <v>56.963768400000006</v>
      </c>
      <c r="BD70" s="5391">
        <f t="shared" si="241"/>
        <v>15.309999999999999</v>
      </c>
      <c r="BE70" s="524">
        <f t="shared" si="242"/>
        <v>113.92753680000001</v>
      </c>
      <c r="BF70" s="3615">
        <f t="shared" si="243"/>
        <v>29.021000000000001</v>
      </c>
      <c r="BG70" s="648"/>
      <c r="BH70" s="648"/>
      <c r="BI70" s="648"/>
      <c r="BJ70" s="648"/>
      <c r="BK70" s="648"/>
      <c r="BL70" s="648"/>
      <c r="BM70" s="648"/>
      <c r="BN70" s="648"/>
    </row>
    <row r="71" spans="1:66" x14ac:dyDescent="0.25">
      <c r="B71" s="3836" t="s">
        <v>191</v>
      </c>
      <c r="C71" s="193" t="s">
        <v>52</v>
      </c>
      <c r="D71" s="3616">
        <v>63.293075999999992</v>
      </c>
      <c r="E71" s="3616">
        <v>5.1850260000000006</v>
      </c>
      <c r="F71" s="3616">
        <v>9.3960000000000008</v>
      </c>
      <c r="G71" s="3616">
        <v>5.3638199999999996</v>
      </c>
      <c r="H71" s="3616">
        <v>2.2330000000000001</v>
      </c>
      <c r="I71" s="3615">
        <f t="shared" si="222"/>
        <v>10.548846000000001</v>
      </c>
      <c r="J71" s="3615">
        <f t="shared" si="222"/>
        <v>11.629000000000001</v>
      </c>
      <c r="K71" s="3616">
        <v>5.1850260000000006</v>
      </c>
      <c r="L71" s="3616">
        <v>0</v>
      </c>
      <c r="M71" s="3614">
        <f t="shared" si="223"/>
        <v>15.733872000000002</v>
      </c>
      <c r="N71" s="427">
        <f t="shared" si="223"/>
        <v>11.629000000000001</v>
      </c>
      <c r="O71" s="3616">
        <v>5.3638199999999996</v>
      </c>
      <c r="P71" s="3616">
        <v>0</v>
      </c>
      <c r="Q71" s="3615">
        <f t="shared" si="224"/>
        <v>21.097692000000002</v>
      </c>
      <c r="R71" s="3615">
        <f t="shared" si="224"/>
        <v>11.629000000000001</v>
      </c>
      <c r="S71" s="3616">
        <v>5.3638199999999996</v>
      </c>
      <c r="T71" s="2657">
        <v>5.62</v>
      </c>
      <c r="U71" s="3615">
        <f t="shared" si="225"/>
        <v>26.461512000000003</v>
      </c>
      <c r="V71" s="3615">
        <f t="shared" si="225"/>
        <v>17.249000000000002</v>
      </c>
      <c r="W71" s="3616">
        <v>5.1850260000000006</v>
      </c>
      <c r="X71" s="227">
        <v>0</v>
      </c>
      <c r="Y71" s="3614">
        <f t="shared" si="226"/>
        <v>15.912666</v>
      </c>
      <c r="Z71" s="3614">
        <f t="shared" si="226"/>
        <v>5.62</v>
      </c>
      <c r="AA71" s="3991">
        <f t="shared" si="227"/>
        <v>31.646538</v>
      </c>
      <c r="AB71" s="546">
        <f t="shared" si="227"/>
        <v>17.249000000000002</v>
      </c>
      <c r="AC71" s="3616">
        <v>5.3638199999999996</v>
      </c>
      <c r="AD71" s="2657">
        <v>6.0730000000000004</v>
      </c>
      <c r="AE71" s="3615">
        <f t="shared" si="228"/>
        <v>37.010357999999997</v>
      </c>
      <c r="AF71" s="3615">
        <f t="shared" si="229"/>
        <v>23.322000000000003</v>
      </c>
      <c r="AG71" s="3616">
        <v>5.1850260000000006</v>
      </c>
      <c r="AH71" s="2657">
        <v>0</v>
      </c>
      <c r="AI71" s="3615">
        <f t="shared" si="230"/>
        <v>42.195383999999997</v>
      </c>
      <c r="AJ71" s="3615">
        <f t="shared" si="231"/>
        <v>23.322000000000003</v>
      </c>
      <c r="AK71" s="3616">
        <v>5.3638199999999996</v>
      </c>
      <c r="AL71" s="227">
        <v>5.0449999999999999</v>
      </c>
      <c r="AM71" s="4290">
        <f t="shared" si="232"/>
        <v>15.912666000000002</v>
      </c>
      <c r="AN71" s="4290">
        <f t="shared" si="233"/>
        <v>11.118</v>
      </c>
      <c r="AO71" s="923">
        <f t="shared" si="244"/>
        <v>47.559203999999994</v>
      </c>
      <c r="AP71" s="923">
        <f t="shared" si="245"/>
        <v>28.367000000000004</v>
      </c>
      <c r="AQ71" s="3616">
        <v>5.3638199999999996</v>
      </c>
      <c r="AR71" s="227">
        <v>0</v>
      </c>
      <c r="AS71" s="3615">
        <f t="shared" si="234"/>
        <v>52.923023999999991</v>
      </c>
      <c r="AT71" s="3615">
        <f t="shared" si="235"/>
        <v>28.367000000000004</v>
      </c>
      <c r="AU71" s="3616">
        <v>5.0062320000000007</v>
      </c>
      <c r="AV71" s="227">
        <v>0</v>
      </c>
      <c r="AW71" s="3615">
        <f t="shared" si="236"/>
        <v>57.929255999999995</v>
      </c>
      <c r="AX71" s="3615">
        <f t="shared" si="237"/>
        <v>28.367000000000004</v>
      </c>
      <c r="AY71" s="3616">
        <v>5.3638199999999996</v>
      </c>
      <c r="AZ71" s="3616">
        <v>0</v>
      </c>
      <c r="BA71" s="5062">
        <f t="shared" si="238"/>
        <v>15.733872000000002</v>
      </c>
      <c r="BB71" s="5384">
        <f t="shared" si="239"/>
        <v>0</v>
      </c>
      <c r="BC71" s="5391">
        <f t="shared" si="240"/>
        <v>31.646538000000003</v>
      </c>
      <c r="BD71" s="5391">
        <f t="shared" si="241"/>
        <v>11.118</v>
      </c>
      <c r="BE71" s="524">
        <f t="shared" si="242"/>
        <v>63.293075999999992</v>
      </c>
      <c r="BF71" s="3615">
        <f t="shared" si="243"/>
        <v>28.367000000000004</v>
      </c>
      <c r="BG71" s="648"/>
      <c r="BH71" s="648"/>
      <c r="BI71" s="648"/>
      <c r="BJ71" s="648"/>
      <c r="BK71" s="648"/>
      <c r="BL71" s="648"/>
      <c r="BM71" s="648"/>
      <c r="BN71" s="648"/>
    </row>
    <row r="72" spans="1:66" ht="15.95" customHeight="1" thickBot="1" x14ac:dyDescent="0.3">
      <c r="B72" s="3855" t="s">
        <v>192</v>
      </c>
      <c r="C72" s="195" t="s">
        <v>52</v>
      </c>
      <c r="D72" s="270">
        <v>253.17230399999997</v>
      </c>
      <c r="E72" s="270">
        <v>20.740104000000002</v>
      </c>
      <c r="F72" s="270">
        <v>12</v>
      </c>
      <c r="G72" s="270">
        <v>21.455279999999998</v>
      </c>
      <c r="H72" s="270">
        <v>5</v>
      </c>
      <c r="I72" s="3617">
        <f t="shared" si="222"/>
        <v>42.195384000000004</v>
      </c>
      <c r="J72" s="3617">
        <f t="shared" si="222"/>
        <v>17</v>
      </c>
      <c r="K72" s="270">
        <v>20.740104000000002</v>
      </c>
      <c r="L72" s="270">
        <v>2</v>
      </c>
      <c r="M72" s="3622">
        <f t="shared" si="223"/>
        <v>62.935488000000007</v>
      </c>
      <c r="N72" s="3622">
        <f t="shared" si="223"/>
        <v>19</v>
      </c>
      <c r="O72" s="270">
        <v>21.455279999999998</v>
      </c>
      <c r="P72" s="270">
        <v>7.3</v>
      </c>
      <c r="Q72" s="3617">
        <f t="shared" si="224"/>
        <v>84.390768000000008</v>
      </c>
      <c r="R72" s="3617">
        <f t="shared" si="224"/>
        <v>26.3</v>
      </c>
      <c r="S72" s="270">
        <v>21.455279999999998</v>
      </c>
      <c r="T72" s="2739">
        <v>5.5</v>
      </c>
      <c r="U72" s="3617">
        <f t="shared" si="225"/>
        <v>105.84604800000001</v>
      </c>
      <c r="V72" s="3617">
        <f t="shared" si="225"/>
        <v>31.8</v>
      </c>
      <c r="W72" s="270">
        <v>20.740104000000002</v>
      </c>
      <c r="X72" s="270">
        <v>6</v>
      </c>
      <c r="Y72" s="3622">
        <f t="shared" si="226"/>
        <v>63.650663999999999</v>
      </c>
      <c r="Z72" s="3622">
        <f t="shared" si="226"/>
        <v>18.8</v>
      </c>
      <c r="AA72" s="3991">
        <f t="shared" si="227"/>
        <v>126.586152</v>
      </c>
      <c r="AB72" s="3695">
        <f t="shared" si="227"/>
        <v>37.799999999999997</v>
      </c>
      <c r="AC72" s="270">
        <v>21.455279999999998</v>
      </c>
      <c r="AD72" s="2739">
        <v>6</v>
      </c>
      <c r="AE72" s="3617">
        <f t="shared" si="228"/>
        <v>148.04143199999999</v>
      </c>
      <c r="AF72" s="3617">
        <f t="shared" si="229"/>
        <v>43.8</v>
      </c>
      <c r="AG72" s="270">
        <v>20.740104000000002</v>
      </c>
      <c r="AH72" s="2739">
        <v>0</v>
      </c>
      <c r="AI72" s="3617">
        <f t="shared" si="230"/>
        <v>168.78153599999999</v>
      </c>
      <c r="AJ72" s="3617">
        <f t="shared" si="231"/>
        <v>43.8</v>
      </c>
      <c r="AK72" s="270">
        <v>21.455279999999998</v>
      </c>
      <c r="AL72" s="270">
        <v>12.41</v>
      </c>
      <c r="AM72" s="3622">
        <f t="shared" si="232"/>
        <v>63.650664000000006</v>
      </c>
      <c r="AN72" s="3622">
        <f t="shared" si="233"/>
        <v>18.41</v>
      </c>
      <c r="AO72" s="923">
        <f t="shared" si="244"/>
        <v>190.23681599999998</v>
      </c>
      <c r="AP72" s="923">
        <f t="shared" si="245"/>
        <v>56.209999999999994</v>
      </c>
      <c r="AQ72" s="270">
        <v>21.455279999999998</v>
      </c>
      <c r="AR72" s="270">
        <v>0</v>
      </c>
      <c r="AS72" s="3617">
        <f t="shared" si="234"/>
        <v>211.69209599999996</v>
      </c>
      <c r="AT72" s="3617">
        <f t="shared" si="235"/>
        <v>56.209999999999994</v>
      </c>
      <c r="AU72" s="270">
        <v>20.024928000000003</v>
      </c>
      <c r="AV72" s="270">
        <v>0</v>
      </c>
      <c r="AW72" s="3617">
        <f t="shared" si="236"/>
        <v>231.71702399999998</v>
      </c>
      <c r="AX72" s="3617">
        <f t="shared" si="237"/>
        <v>56.209999999999994</v>
      </c>
      <c r="AY72" s="270">
        <v>21.455279999999998</v>
      </c>
      <c r="AZ72" s="270">
        <v>0</v>
      </c>
      <c r="BA72" s="3622">
        <f t="shared" si="238"/>
        <v>62.935488000000007</v>
      </c>
      <c r="BB72" s="5385">
        <f t="shared" si="239"/>
        <v>0</v>
      </c>
      <c r="BC72" s="5391">
        <f t="shared" si="240"/>
        <v>126.58615200000001</v>
      </c>
      <c r="BD72" s="5391">
        <f t="shared" si="241"/>
        <v>18.41</v>
      </c>
      <c r="BE72" s="5386">
        <f t="shared" si="242"/>
        <v>253.17230399999997</v>
      </c>
      <c r="BF72" s="3617">
        <f t="shared" si="243"/>
        <v>56.209999999999994</v>
      </c>
      <c r="BG72" s="648"/>
      <c r="BH72" s="648"/>
      <c r="BI72" s="648"/>
      <c r="BJ72" s="648"/>
      <c r="BK72" s="648"/>
      <c r="BL72" s="648"/>
      <c r="BM72" s="648"/>
      <c r="BN72" s="648"/>
    </row>
    <row r="73" spans="1:66" ht="16.5" thickBot="1" x14ac:dyDescent="0.3">
      <c r="B73" s="3856" t="s">
        <v>517</v>
      </c>
      <c r="C73" s="1476" t="s">
        <v>52</v>
      </c>
      <c r="D73" s="3696">
        <f t="shared" ref="D73:J73" si="246">SUM(D68:D72)</f>
        <v>2025.3784320000002</v>
      </c>
      <c r="E73" s="3696">
        <f t="shared" si="246"/>
        <v>165.92083200000002</v>
      </c>
      <c r="F73" s="3696">
        <f t="shared" si="246"/>
        <v>123.217</v>
      </c>
      <c r="G73" s="3696">
        <f t="shared" ref="G73:H73" si="247">SUM(G68:G72)</f>
        <v>171.64223999999999</v>
      </c>
      <c r="H73" s="3696">
        <f t="shared" si="247"/>
        <v>97.885000000000005</v>
      </c>
      <c r="I73" s="1478">
        <f t="shared" si="246"/>
        <v>337.56307199999998</v>
      </c>
      <c r="J73" s="1478">
        <f t="shared" si="246"/>
        <v>221.102</v>
      </c>
      <c r="K73" s="3696">
        <f t="shared" ref="K73:L73" si="248">SUM(K68:K72)</f>
        <v>165.92083200000002</v>
      </c>
      <c r="L73" s="3696">
        <f t="shared" si="248"/>
        <v>13.952</v>
      </c>
      <c r="M73" s="1479">
        <f t="shared" ref="M73:R73" si="249">SUM(M68:M72)</f>
        <v>503.48390400000005</v>
      </c>
      <c r="N73" s="1479">
        <f t="shared" si="249"/>
        <v>235.054</v>
      </c>
      <c r="O73" s="3696">
        <f t="shared" si="249"/>
        <v>171.64223999999999</v>
      </c>
      <c r="P73" s="3696">
        <f t="shared" si="249"/>
        <v>83.01700000000001</v>
      </c>
      <c r="Q73" s="1478">
        <f t="shared" si="249"/>
        <v>675.12614400000007</v>
      </c>
      <c r="R73" s="1478">
        <f t="shared" si="249"/>
        <v>318.07100000000008</v>
      </c>
      <c r="S73" s="3696">
        <f t="shared" ref="S73:Z73" si="250">SUM(S68:S72)</f>
        <v>171.64223999999999</v>
      </c>
      <c r="T73" s="3857">
        <f t="shared" si="250"/>
        <v>43.363</v>
      </c>
      <c r="U73" s="1478">
        <f t="shared" si="250"/>
        <v>846.76838399999997</v>
      </c>
      <c r="V73" s="1478">
        <f t="shared" si="250"/>
        <v>361.43400000000008</v>
      </c>
      <c r="W73" s="3696">
        <f t="shared" si="250"/>
        <v>165.92083200000002</v>
      </c>
      <c r="X73" s="3696">
        <f t="shared" si="250"/>
        <v>51.566000000000003</v>
      </c>
      <c r="Y73" s="1479">
        <f t="shared" si="250"/>
        <v>509.20531199999999</v>
      </c>
      <c r="Z73" s="1479">
        <f t="shared" si="250"/>
        <v>177.94600000000003</v>
      </c>
      <c r="AA73" s="1480">
        <f t="shared" ref="AA73:AF73" si="251">SUM(AA68:AA72)</f>
        <v>1012.689216</v>
      </c>
      <c r="AB73" s="552">
        <f t="shared" si="251"/>
        <v>413.00000000000006</v>
      </c>
      <c r="AC73" s="3696">
        <f t="shared" si="251"/>
        <v>171.64223999999999</v>
      </c>
      <c r="AD73" s="3857">
        <f t="shared" si="251"/>
        <v>80.64500000000001</v>
      </c>
      <c r="AE73" s="1478">
        <f t="shared" si="251"/>
        <v>1184.3314559999999</v>
      </c>
      <c r="AF73" s="1478">
        <f t="shared" si="251"/>
        <v>493.64500000000004</v>
      </c>
      <c r="AG73" s="3696">
        <f t="shared" ref="AG73:AN73" si="252">SUM(AG68:AG72)</f>
        <v>165.92083200000002</v>
      </c>
      <c r="AH73" s="3857">
        <f t="shared" si="252"/>
        <v>0</v>
      </c>
      <c r="AI73" s="1478">
        <f t="shared" si="252"/>
        <v>1350.2522880000001</v>
      </c>
      <c r="AJ73" s="1478">
        <f t="shared" si="252"/>
        <v>493.64500000000004</v>
      </c>
      <c r="AK73" s="3696">
        <f t="shared" si="252"/>
        <v>171.64223999999999</v>
      </c>
      <c r="AL73" s="3696">
        <f t="shared" si="252"/>
        <v>22.895</v>
      </c>
      <c r="AM73" s="1479">
        <f t="shared" si="252"/>
        <v>509.20531199999999</v>
      </c>
      <c r="AN73" s="1479">
        <f t="shared" si="252"/>
        <v>103.53999999999999</v>
      </c>
      <c r="AO73" s="1478">
        <f t="shared" ref="AO73:AT73" si="253">SUM(AO68:AO72)</f>
        <v>1521.8945279999998</v>
      </c>
      <c r="AP73" s="1478">
        <f t="shared" si="253"/>
        <v>516.54000000000008</v>
      </c>
      <c r="AQ73" s="3696">
        <f t="shared" si="253"/>
        <v>171.64223999999999</v>
      </c>
      <c r="AR73" s="3696">
        <f t="shared" si="253"/>
        <v>0</v>
      </c>
      <c r="AS73" s="1478">
        <f t="shared" si="253"/>
        <v>1693.5367679999999</v>
      </c>
      <c r="AT73" s="1478">
        <f t="shared" si="253"/>
        <v>516.54000000000008</v>
      </c>
      <c r="AU73" s="3696">
        <f t="shared" ref="AU73:AX73" si="254">SUM(AU68:AU72)</f>
        <v>160.19942400000002</v>
      </c>
      <c r="AV73" s="3696">
        <f t="shared" si="254"/>
        <v>9.94</v>
      </c>
      <c r="AW73" s="1478">
        <f t="shared" si="254"/>
        <v>1853.7361920000001</v>
      </c>
      <c r="AX73" s="1478">
        <f t="shared" si="254"/>
        <v>526.48</v>
      </c>
      <c r="AY73" s="3696">
        <f t="shared" ref="AY73:BF73" si="255">SUM(AY68:AY72)</f>
        <v>171.64223999999999</v>
      </c>
      <c r="AZ73" s="3696">
        <f t="shared" si="255"/>
        <v>0</v>
      </c>
      <c r="BA73" s="1479">
        <f t="shared" si="255"/>
        <v>503.48390400000011</v>
      </c>
      <c r="BB73" s="2170">
        <f t="shared" si="255"/>
        <v>9.94</v>
      </c>
      <c r="BC73" s="5352">
        <f t="shared" si="255"/>
        <v>1012.689216</v>
      </c>
      <c r="BD73" s="5352">
        <f t="shared" si="255"/>
        <v>113.47999999999999</v>
      </c>
      <c r="BE73" s="874">
        <f t="shared" si="255"/>
        <v>2025.3784320000002</v>
      </c>
      <c r="BF73" s="1478">
        <f t="shared" si="255"/>
        <v>526.48</v>
      </c>
      <c r="BG73" s="648"/>
      <c r="BH73" s="648"/>
      <c r="BI73" s="648"/>
      <c r="BJ73" s="648"/>
      <c r="BK73" s="648"/>
      <c r="BL73" s="648"/>
      <c r="BM73" s="648"/>
      <c r="BN73" s="648"/>
    </row>
    <row r="74" spans="1:66" s="183" customFormat="1" ht="21.75" customHeight="1" thickBot="1" x14ac:dyDescent="0.3">
      <c r="A74" s="182"/>
      <c r="B74" s="2853" t="s">
        <v>515</v>
      </c>
      <c r="C74" s="2855"/>
      <c r="D74" s="2855"/>
      <c r="E74" s="2855"/>
      <c r="F74" s="2855"/>
      <c r="G74" s="2855"/>
      <c r="H74" s="2855"/>
      <c r="I74" s="2855"/>
      <c r="J74" s="2855"/>
      <c r="K74" s="2855"/>
      <c r="L74" s="2855"/>
      <c r="M74" s="2855"/>
      <c r="N74" s="2855"/>
      <c r="O74" s="2855"/>
      <c r="P74" s="2855"/>
      <c r="Q74" s="2855"/>
      <c r="R74" s="2855"/>
      <c r="S74" s="2855"/>
      <c r="T74" s="2855"/>
      <c r="U74" s="2855"/>
      <c r="V74" s="2855"/>
      <c r="W74" s="2855"/>
      <c r="X74" s="2855"/>
      <c r="Y74" s="2855"/>
      <c r="Z74" s="2855"/>
      <c r="AA74" s="2855"/>
      <c r="AB74" s="2855"/>
      <c r="AC74" s="2855"/>
      <c r="AD74" s="2855"/>
      <c r="AE74" s="2855"/>
      <c r="AF74" s="2855"/>
      <c r="AG74" s="2855"/>
      <c r="AH74" s="2855"/>
      <c r="AI74" s="2855"/>
      <c r="AJ74" s="2855"/>
      <c r="AK74" s="2855"/>
      <c r="AL74" s="2855"/>
      <c r="AM74" s="2855"/>
      <c r="AN74" s="2855"/>
      <c r="AO74" s="2855"/>
      <c r="AP74" s="2855"/>
      <c r="AQ74" s="2855"/>
      <c r="AR74" s="2855"/>
      <c r="AS74" s="2855"/>
      <c r="AT74" s="2855"/>
      <c r="AU74" s="2855"/>
      <c r="AV74" s="2855"/>
      <c r="AW74" s="2855"/>
      <c r="AX74" s="2855"/>
      <c r="AY74" s="2855"/>
      <c r="AZ74" s="2855"/>
      <c r="BA74" s="2855"/>
      <c r="BB74" s="2855"/>
      <c r="BC74" s="2855"/>
      <c r="BD74" s="2855"/>
      <c r="BE74" s="2855"/>
      <c r="BF74" s="2855"/>
      <c r="BG74" s="648"/>
      <c r="BH74" s="648"/>
      <c r="BI74" s="648"/>
      <c r="BJ74" s="648"/>
      <c r="BK74" s="648"/>
      <c r="BL74" s="648"/>
      <c r="BM74" s="648"/>
      <c r="BN74" s="648"/>
    </row>
    <row r="75" spans="1:66" ht="15.75" customHeight="1" thickBot="1" x14ac:dyDescent="0.3">
      <c r="B75" s="3826" t="s">
        <v>184</v>
      </c>
      <c r="C75" s="2814" t="s">
        <v>514</v>
      </c>
      <c r="D75" s="3827">
        <v>29</v>
      </c>
      <c r="E75" s="3827">
        <f>+$D$75</f>
        <v>29</v>
      </c>
      <c r="F75" s="3828">
        <v>28</v>
      </c>
      <c r="G75" s="3827">
        <f>+$D$75</f>
        <v>29</v>
      </c>
      <c r="H75" s="3828">
        <v>28</v>
      </c>
      <c r="I75" s="3829">
        <f>+$D$75</f>
        <v>29</v>
      </c>
      <c r="J75" s="1901">
        <f>((F75*$F$13)+(H75*$H$13))/$J$13</f>
        <v>27.999999999999996</v>
      </c>
      <c r="K75" s="3827">
        <f>+$D$75</f>
        <v>29</v>
      </c>
      <c r="L75" s="3828">
        <v>28</v>
      </c>
      <c r="M75" s="3821">
        <f>+$D$75</f>
        <v>29</v>
      </c>
      <c r="N75" s="3821">
        <f>((F75*$F$13)+(H75*$H$13)+(L75*$L$13))/$N$13</f>
        <v>28</v>
      </c>
      <c r="O75" s="3827">
        <f>+$D$75</f>
        <v>29</v>
      </c>
      <c r="P75" s="3828">
        <v>28</v>
      </c>
      <c r="Q75" s="3829">
        <f>+$D$75</f>
        <v>29</v>
      </c>
      <c r="R75" s="1901">
        <f>((N75*$F$13)+(P75*$H$13))/$J$13</f>
        <v>27.999999999999996</v>
      </c>
      <c r="S75" s="3827">
        <f>+$D$75</f>
        <v>29</v>
      </c>
      <c r="T75" s="3830">
        <v>28</v>
      </c>
      <c r="U75" s="3829">
        <f>+$D$75</f>
        <v>29</v>
      </c>
      <c r="V75" s="1901">
        <f>((R75*$F$13)+(T75*$H$13))/$J$13</f>
        <v>27.999999999999996</v>
      </c>
      <c r="W75" s="3827">
        <f>+$D$75</f>
        <v>29</v>
      </c>
      <c r="X75" s="3828">
        <v>28</v>
      </c>
      <c r="Y75" s="3821">
        <f>+$D$75</f>
        <v>29</v>
      </c>
      <c r="Z75" s="3821">
        <f>((P75*$P$13)+(T75*$T$13)+(X75*$X$13))/$Z$13</f>
        <v>28</v>
      </c>
      <c r="AA75" s="3804">
        <f>+$D$75</f>
        <v>29</v>
      </c>
      <c r="AB75" s="3822">
        <f>((N75*$N$13)+(Z75*$Z$13))/$AB$13</f>
        <v>28</v>
      </c>
      <c r="AC75" s="3827">
        <f>+$D$75</f>
        <v>29</v>
      </c>
      <c r="AD75" s="3830">
        <v>28</v>
      </c>
      <c r="AE75" s="3829">
        <f>+$D$75</f>
        <v>29</v>
      </c>
      <c r="AF75" s="1901">
        <f>((AB75*$F$13)+(AD75*$H$13))/$J$13</f>
        <v>27.999999999999996</v>
      </c>
      <c r="AG75" s="3827">
        <f>+$D$75</f>
        <v>29</v>
      </c>
      <c r="AH75" s="3830">
        <v>28</v>
      </c>
      <c r="AI75" s="3829">
        <f>+$D$75</f>
        <v>29</v>
      </c>
      <c r="AJ75" s="1901">
        <f>((AF75*$F$13)+(AH75*$H$13))/$J$13</f>
        <v>27.999999999999996</v>
      </c>
      <c r="AK75" s="3827">
        <f>+$D$75</f>
        <v>29</v>
      </c>
      <c r="AL75" s="3828">
        <v>28</v>
      </c>
      <c r="AM75" s="3821">
        <f>+$D$75</f>
        <v>29</v>
      </c>
      <c r="AN75" s="3821">
        <f>((AD75*$AD$13)+(AH75*$AH$13)+(AL75*$AL$13))/$AN$13</f>
        <v>27.999999999999996</v>
      </c>
      <c r="AO75" s="3829">
        <f>+$D$75</f>
        <v>29</v>
      </c>
      <c r="AP75" s="1901">
        <f>((AJ75*$AJ$13)+(AL75*$AL$13))/$AP$13</f>
        <v>27.999999999999996</v>
      </c>
      <c r="AQ75" s="3827">
        <f>+$D$75</f>
        <v>29</v>
      </c>
      <c r="AR75" s="3828">
        <v>28</v>
      </c>
      <c r="AS75" s="3829">
        <f>+$D$75</f>
        <v>29</v>
      </c>
      <c r="AT75" s="1901">
        <f>((AP75*$AP$13)+(AR75*$AR$13))/$AT$13</f>
        <v>28</v>
      </c>
      <c r="AU75" s="3827">
        <f>+$D$75</f>
        <v>29</v>
      </c>
      <c r="AV75" s="3828">
        <v>28</v>
      </c>
      <c r="AW75" s="3829">
        <f>+$D$75</f>
        <v>29</v>
      </c>
      <c r="AX75" s="1901">
        <f>((AT75*$AT$13)+(AV75*$AV$13))/$AX$13</f>
        <v>27.999999999999996</v>
      </c>
      <c r="AY75" s="3827">
        <f>+$D$75</f>
        <v>29</v>
      </c>
      <c r="AZ75" s="3828">
        <v>25</v>
      </c>
      <c r="BA75" s="3821">
        <f>+$D$75</f>
        <v>29</v>
      </c>
      <c r="BB75" s="3821">
        <f>((AR75*$AR$13)+(AV75*$AV$13)+(AZ75*$AZ$13))/$BB$13</f>
        <v>26.977582954167126</v>
      </c>
      <c r="BC75" s="3804">
        <f>+$D$75</f>
        <v>29</v>
      </c>
      <c r="BD75" s="3822">
        <f>((AN75*$AN$13)+(BB75*$BB$13))/$BD$13</f>
        <v>27.490375041486889</v>
      </c>
      <c r="BE75" s="3829">
        <f>+$D$75</f>
        <v>29</v>
      </c>
      <c r="BF75" s="3829">
        <f>((AX75*$AX$13)+(AZ75*$AZ$13))/$BF$13</f>
        <v>27.745672877846793</v>
      </c>
      <c r="BG75" s="648"/>
      <c r="BH75" s="648"/>
      <c r="BI75" s="648"/>
      <c r="BJ75" s="648"/>
      <c r="BK75" s="648"/>
      <c r="BL75" s="648"/>
      <c r="BM75" s="648"/>
      <c r="BN75" s="648"/>
    </row>
    <row r="76" spans="1:66" ht="15.75" customHeight="1" thickBot="1" x14ac:dyDescent="0.3">
      <c r="B76" s="3831" t="s">
        <v>185</v>
      </c>
      <c r="C76" s="324" t="s">
        <v>514</v>
      </c>
      <c r="D76" s="3823">
        <v>29</v>
      </c>
      <c r="E76" s="3823">
        <f>+$D$76</f>
        <v>29</v>
      </c>
      <c r="F76" s="3824">
        <v>27</v>
      </c>
      <c r="G76" s="3823">
        <f>+$D$76</f>
        <v>29</v>
      </c>
      <c r="H76" s="3824">
        <v>27</v>
      </c>
      <c r="I76" s="975">
        <f>+$D$76</f>
        <v>29</v>
      </c>
      <c r="J76" s="1901">
        <f>((F76*$F$14)+(H76*$H$14))/$J$14</f>
        <v>27</v>
      </c>
      <c r="K76" s="3823">
        <f>+$D$76</f>
        <v>29</v>
      </c>
      <c r="L76" s="3824">
        <v>27</v>
      </c>
      <c r="M76" s="974">
        <f>+$D$76</f>
        <v>29</v>
      </c>
      <c r="N76" s="3821">
        <f>((F76*$F$14)+(H76*$H$14)+(L76*$L$14))/($N$14)</f>
        <v>27</v>
      </c>
      <c r="O76" s="3823">
        <f>+$D$76</f>
        <v>29</v>
      </c>
      <c r="P76" s="3824">
        <v>27</v>
      </c>
      <c r="Q76" s="975">
        <f>+$D$76</f>
        <v>29</v>
      </c>
      <c r="R76" s="1901">
        <f>((N76*$F$14)+(P76*$H$14))/$J$14</f>
        <v>27</v>
      </c>
      <c r="S76" s="3823">
        <f>+$D$76</f>
        <v>29</v>
      </c>
      <c r="T76" s="3825">
        <v>27</v>
      </c>
      <c r="U76" s="975">
        <f>+$D$76</f>
        <v>29</v>
      </c>
      <c r="V76" s="1901">
        <f>((R76*$F$14)+(T76*$H$14))/$J$14</f>
        <v>27</v>
      </c>
      <c r="W76" s="3823">
        <f>+$D$76</f>
        <v>29</v>
      </c>
      <c r="X76" s="3824">
        <v>27</v>
      </c>
      <c r="Y76" s="974">
        <f>+$D$76</f>
        <v>29</v>
      </c>
      <c r="Z76" s="3821">
        <f>((P76*$P$14)+(T76*$T$14)+(X76*$X$14))/$Z$14</f>
        <v>27</v>
      </c>
      <c r="AA76" s="976">
        <f>+$D$76</f>
        <v>29</v>
      </c>
      <c r="AB76" s="3822">
        <f>((N76*$N$14)+(Z76*$Z$14))/$AB$14</f>
        <v>26.999999999999996</v>
      </c>
      <c r="AC76" s="3823">
        <f>+$D$76</f>
        <v>29</v>
      </c>
      <c r="AD76" s="3825">
        <v>27</v>
      </c>
      <c r="AE76" s="975">
        <f>+$D$76</f>
        <v>29</v>
      </c>
      <c r="AF76" s="1901">
        <f>((AB76*$F$14)+(AD76*$H$14))/$J$14</f>
        <v>26.999999999999996</v>
      </c>
      <c r="AG76" s="3823">
        <f>+$D$76</f>
        <v>29</v>
      </c>
      <c r="AH76" s="3825">
        <v>27</v>
      </c>
      <c r="AI76" s="975">
        <f>+$D$76</f>
        <v>29</v>
      </c>
      <c r="AJ76" s="1901">
        <f>((AF76*$F$14)+(AH76*$H$14))/$J$14</f>
        <v>26.999999999999996</v>
      </c>
      <c r="AK76" s="3823">
        <f>+$D$76</f>
        <v>29</v>
      </c>
      <c r="AL76" s="4338">
        <v>27</v>
      </c>
      <c r="AM76" s="974">
        <f>+$D$76</f>
        <v>29</v>
      </c>
      <c r="AN76" s="3821">
        <f>((AD76*$AD$14)+(AH76*$AH$14)+(AL76*$AL$14))/$AN$14</f>
        <v>27</v>
      </c>
      <c r="AO76" s="975">
        <f>+$D$76</f>
        <v>29</v>
      </c>
      <c r="AP76" s="1901">
        <f>((AJ76*$AJ$14)+(AL76*$AL$14))/$AP$14</f>
        <v>26.999999999999996</v>
      </c>
      <c r="AQ76" s="3823">
        <f>+$D$76</f>
        <v>29</v>
      </c>
      <c r="AR76" s="4338">
        <v>27</v>
      </c>
      <c r="AS76" s="975">
        <f>+$D$76</f>
        <v>29</v>
      </c>
      <c r="AT76" s="1901">
        <f>((AP76*$AP$14)+(AR76*$AR$14))/$AT$14</f>
        <v>26.999999999999996</v>
      </c>
      <c r="AU76" s="3823">
        <f>+$D$76</f>
        <v>29</v>
      </c>
      <c r="AV76" s="4338">
        <v>27</v>
      </c>
      <c r="AW76" s="975">
        <f>+$D$76</f>
        <v>29</v>
      </c>
      <c r="AX76" s="1901">
        <f>((AT76*$AT$14)+(AV76*$AV$14))/$AX$14</f>
        <v>26.999999999999996</v>
      </c>
      <c r="AY76" s="3823">
        <f>+$D$76</f>
        <v>29</v>
      </c>
      <c r="AZ76" s="5162">
        <v>24.94198273422754</v>
      </c>
      <c r="BA76" s="974">
        <f>+$D$76</f>
        <v>29</v>
      </c>
      <c r="BB76" s="3821">
        <f>((AR76*$AR$14)+(AV76*$AV$14)+(AZ76*$AZ$14))/$BB$14</f>
        <v>26.299096024197333</v>
      </c>
      <c r="BC76" s="976">
        <f>+$D$76</f>
        <v>29</v>
      </c>
      <c r="BD76" s="3822">
        <f>((AN76*$AN$13)+(BB76*$BB$13))/$BD$13</f>
        <v>26.650633602945135</v>
      </c>
      <c r="BE76" s="975">
        <f>+$D$76</f>
        <v>29</v>
      </c>
      <c r="BF76" s="975">
        <f>((AX76*$AX$14)+(AZ76*$AZ$14))/$BF$14</f>
        <v>26.822129421775699</v>
      </c>
      <c r="BG76" s="648"/>
      <c r="BH76" s="648"/>
      <c r="BI76" s="648"/>
      <c r="BJ76" s="648"/>
      <c r="BK76" s="648"/>
      <c r="BL76" s="648"/>
      <c r="BM76" s="648"/>
      <c r="BN76" s="648"/>
    </row>
    <row r="77" spans="1:66" s="183" customFormat="1" ht="15.75" customHeight="1" thickBot="1" x14ac:dyDescent="0.3">
      <c r="A77" s="182"/>
      <c r="B77" s="3832" t="s">
        <v>37</v>
      </c>
      <c r="C77" s="980" t="s">
        <v>514</v>
      </c>
      <c r="D77" s="982">
        <f t="shared" ref="D77:Y77" si="256">+((D75*D13)+(D76*D14))/D15</f>
        <v>29.000000000000004</v>
      </c>
      <c r="E77" s="982">
        <f t="shared" si="256"/>
        <v>29</v>
      </c>
      <c r="F77" s="982">
        <f t="shared" si="256"/>
        <v>27.355918605905217</v>
      </c>
      <c r="G77" s="982">
        <f t="shared" ref="G77:H77" si="257">+((G75*G13)+(G76*G14))/G15</f>
        <v>29.000000000000004</v>
      </c>
      <c r="H77" s="982">
        <f t="shared" si="257"/>
        <v>27.370622572187315</v>
      </c>
      <c r="I77" s="983">
        <f t="shared" si="256"/>
        <v>29</v>
      </c>
      <c r="J77" s="4551">
        <f>((F77*$F$15)+(H77*$H$15))/$J$15</f>
        <v>27.363240956368621</v>
      </c>
      <c r="K77" s="982">
        <f t="shared" si="256"/>
        <v>29</v>
      </c>
      <c r="L77" s="982">
        <f t="shared" si="256"/>
        <v>27.365630603214584</v>
      </c>
      <c r="M77" s="984">
        <f t="shared" si="256"/>
        <v>29</v>
      </c>
      <c r="N77" s="3821">
        <f>((F77*$F$15)+(H77*$H$15)+(L77*$L$15))/($N$15)</f>
        <v>27.364025391958354</v>
      </c>
      <c r="O77" s="982">
        <f t="shared" ref="O77:P77" si="258">+((O75*O13)+(O76*O14))/O15</f>
        <v>29.000000000000004</v>
      </c>
      <c r="P77" s="982">
        <f t="shared" si="258"/>
        <v>27.360882016056216</v>
      </c>
      <c r="Q77" s="983">
        <f t="shared" si="256"/>
        <v>28.999999999999996</v>
      </c>
      <c r="R77" s="4551">
        <f>((N77*$F$15)+(P77*$H$15))/$J$15</f>
        <v>27.362460038804507</v>
      </c>
      <c r="S77" s="982">
        <f t="shared" si="256"/>
        <v>29.000000000000004</v>
      </c>
      <c r="T77" s="2660">
        <f t="shared" si="256"/>
        <v>27.362953892570914</v>
      </c>
      <c r="U77" s="983">
        <f t="shared" si="256"/>
        <v>29</v>
      </c>
      <c r="V77" s="4551">
        <f>((R77*$F$15)+(T77*$H$15))/$J$15</f>
        <v>27.362705970431787</v>
      </c>
      <c r="W77" s="982">
        <f t="shared" si="256"/>
        <v>29</v>
      </c>
      <c r="X77" s="982">
        <f t="shared" si="256"/>
        <v>27.360030880549797</v>
      </c>
      <c r="Y77" s="984">
        <f t="shared" si="256"/>
        <v>29</v>
      </c>
      <c r="Z77" s="3821">
        <f>((P77*$P$15)+(T77*$T$15)+(X77*$X$15))/$Z$15</f>
        <v>27.361300461083612</v>
      </c>
      <c r="AA77" s="976">
        <f t="shared" ref="AA77:AE77" si="259">+((AA75*AA13)+(AA76*AA14))/AA15</f>
        <v>29</v>
      </c>
      <c r="AB77" s="3822">
        <f>((N77*$N$15)+(Z77*$Z$15))/$AB$15</f>
        <v>27.362649774758744</v>
      </c>
      <c r="AC77" s="982">
        <f t="shared" si="259"/>
        <v>29.000000000000004</v>
      </c>
      <c r="AD77" s="2660">
        <f t="shared" si="259"/>
        <v>27.352519134811413</v>
      </c>
      <c r="AE77" s="983">
        <f t="shared" si="259"/>
        <v>29</v>
      </c>
      <c r="AF77" s="4551">
        <f>((AB77*$F$15)+(AD77*$H$15))/$J$15</f>
        <v>27.357604870908322</v>
      </c>
      <c r="AG77" s="982">
        <f t="shared" ref="AG77:AM77" si="260">+((AG75*AG13)+(AG76*AG14))/AG15</f>
        <v>29</v>
      </c>
      <c r="AH77" s="2660">
        <f t="shared" si="260"/>
        <v>27.356706933873333</v>
      </c>
      <c r="AI77" s="983">
        <f t="shared" si="260"/>
        <v>28.999999999999996</v>
      </c>
      <c r="AJ77" s="4551">
        <f>((AF77*$F$15)+(AH77*$H$15))/$J$15</f>
        <v>27.357157711989551</v>
      </c>
      <c r="AK77" s="982">
        <f t="shared" si="260"/>
        <v>29.000000000000004</v>
      </c>
      <c r="AL77" s="2660">
        <f t="shared" si="260"/>
        <v>27.353192912964349</v>
      </c>
      <c r="AM77" s="984">
        <f t="shared" si="260"/>
        <v>29.000000000000004</v>
      </c>
      <c r="AN77" s="3821">
        <f>((AD77*$AD$15)+(AH77*$AH$15)+(AL77*$AL$15))/$AN$15</f>
        <v>27.354109560424995</v>
      </c>
      <c r="AO77" s="983">
        <f t="shared" ref="AO77:AS77" si="261">+((AO75*AO13)+(AO76*AO14))/AO15</f>
        <v>28.999999999999996</v>
      </c>
      <c r="AP77" s="1901">
        <f>((AJ77*$AJ$15)+(AL77*$AL$15))/$AP$15</f>
        <v>27.356702278067992</v>
      </c>
      <c r="AQ77" s="982">
        <f t="shared" si="261"/>
        <v>29.000000000000004</v>
      </c>
      <c r="AR77" s="2660">
        <f t="shared" si="261"/>
        <v>27.353715595823104</v>
      </c>
      <c r="AS77" s="983">
        <f t="shared" si="261"/>
        <v>29</v>
      </c>
      <c r="AT77" s="4551">
        <f>((AP77*$AP$15)+(AR77*$AR$15))/$AT$15</f>
        <v>27.356394956431938</v>
      </c>
      <c r="AU77" s="982">
        <f t="shared" ref="AU77:AW77" si="262">+((AU75*AU13)+(AU76*AU14))/AU15</f>
        <v>29</v>
      </c>
      <c r="AV77" s="2660">
        <f t="shared" si="262"/>
        <v>27.353378121144637</v>
      </c>
      <c r="AW77" s="983">
        <f t="shared" si="262"/>
        <v>29.000000000000004</v>
      </c>
      <c r="AX77" s="4551">
        <f>((AT77*$AT$15)+(AV77*$AV$15))/$AX$15</f>
        <v>27.356129827535312</v>
      </c>
      <c r="AY77" s="982">
        <f t="shared" ref="AY77:BE77" si="263">+((AY75*AY13)+(AY76*AY14))/AY15</f>
        <v>29.000000000000004</v>
      </c>
      <c r="AZ77" s="2660">
        <f t="shared" si="263"/>
        <v>24.962508648630184</v>
      </c>
      <c r="BA77" s="984">
        <f t="shared" si="263"/>
        <v>29</v>
      </c>
      <c r="BB77" s="3821">
        <f>((AR77*$P$15)+(AV77*$T$15)+(AZ77*$X$15))/$Z$15</f>
        <v>26.571951303860402</v>
      </c>
      <c r="BC77" s="976">
        <f t="shared" ref="BC77" si="264">+((BC75*BC13)+(BC76*BC14))/BC15</f>
        <v>29.000000000000004</v>
      </c>
      <c r="BD77" s="3822">
        <f>((AN77*$AN$15)+(BB77*$BB$15))/$BD$15</f>
        <v>26.963978684050094</v>
      </c>
      <c r="BE77" s="983">
        <f t="shared" si="263"/>
        <v>29.000000000000004</v>
      </c>
      <c r="BF77" s="983">
        <f>((AX77*$AX$15)+(AZ77*$AZ$15))/$BF$15</f>
        <v>27.150670469532603</v>
      </c>
      <c r="BG77" s="648"/>
      <c r="BH77" s="648"/>
      <c r="BI77" s="648"/>
      <c r="BJ77" s="648"/>
      <c r="BK77" s="648"/>
      <c r="BL77" s="648"/>
      <c r="BM77" s="648"/>
      <c r="BN77" s="648"/>
    </row>
    <row r="78" spans="1:66" s="183" customFormat="1" ht="15.75" customHeight="1" thickBot="1" x14ac:dyDescent="0.3">
      <c r="A78" s="182"/>
      <c r="B78" s="3833" t="s">
        <v>1137</v>
      </c>
      <c r="C78" s="538" t="s">
        <v>514</v>
      </c>
      <c r="D78" s="3823">
        <v>10</v>
      </c>
      <c r="E78" s="3823">
        <f>+$D$78</f>
        <v>10</v>
      </c>
      <c r="F78" s="3823">
        <v>10</v>
      </c>
      <c r="G78" s="3823">
        <f>+$D$78</f>
        <v>10</v>
      </c>
      <c r="H78" s="3823">
        <v>10</v>
      </c>
      <c r="I78" s="975">
        <f>+$D$78</f>
        <v>10</v>
      </c>
      <c r="J78" s="1901">
        <f>((F78*$F$13)+(H78*$H$13))/$J$13</f>
        <v>10</v>
      </c>
      <c r="K78" s="3823">
        <f>+$D$78</f>
        <v>10</v>
      </c>
      <c r="L78" s="3823">
        <v>10</v>
      </c>
      <c r="M78" s="974">
        <f>+$D$78</f>
        <v>10</v>
      </c>
      <c r="N78" s="3821">
        <f>((F78*$F$13)+(H78*$H$13)+(L78*$L$13))/$N$13</f>
        <v>10</v>
      </c>
      <c r="O78" s="3823">
        <f>+$D$78</f>
        <v>10</v>
      </c>
      <c r="P78" s="3823">
        <v>10</v>
      </c>
      <c r="Q78" s="975">
        <f>+$D$78</f>
        <v>10</v>
      </c>
      <c r="R78" s="1901">
        <f>((N78*$F$13)+(P78*$H$13))/$J$13</f>
        <v>10</v>
      </c>
      <c r="S78" s="3823">
        <f>+$D$78</f>
        <v>10</v>
      </c>
      <c r="T78" s="3825">
        <v>10</v>
      </c>
      <c r="U78" s="975">
        <f>+$D$78</f>
        <v>10</v>
      </c>
      <c r="V78" s="1901">
        <f>((R78*$F$13)+(T78*$H$13))/$J$13</f>
        <v>10</v>
      </c>
      <c r="W78" s="3823">
        <f>+$D$78</f>
        <v>10</v>
      </c>
      <c r="X78" s="3823">
        <v>10</v>
      </c>
      <c r="Y78" s="974">
        <f>+$D$78</f>
        <v>10</v>
      </c>
      <c r="Z78" s="3821">
        <f>((P78*$P$13)+(T78*$T$13)+(X78*$X$13))/$Z$13</f>
        <v>10.000000000000002</v>
      </c>
      <c r="AA78" s="976">
        <f>+$D$78</f>
        <v>10</v>
      </c>
      <c r="AB78" s="3822">
        <f>((N78*$N$13)+(Z78*$Z$13))/$AB$13</f>
        <v>10.000000000000002</v>
      </c>
      <c r="AC78" s="3823">
        <f>+$D$78</f>
        <v>10</v>
      </c>
      <c r="AD78" s="3825">
        <v>10</v>
      </c>
      <c r="AE78" s="975">
        <f>+$D$78</f>
        <v>10</v>
      </c>
      <c r="AF78" s="1901">
        <f>((AB78*$F$13)+(AD78*$H$13))/$J$13</f>
        <v>10.000000000000002</v>
      </c>
      <c r="AG78" s="3823">
        <f>+$D$78</f>
        <v>10</v>
      </c>
      <c r="AH78" s="3825">
        <v>10</v>
      </c>
      <c r="AI78" s="975">
        <f>+$D$78</f>
        <v>10</v>
      </c>
      <c r="AJ78" s="1901">
        <f>((AF78*$F$13)+(AH78*$H$13))/$J$13</f>
        <v>10.000000000000002</v>
      </c>
      <c r="AK78" s="3823">
        <f>+$D$78</f>
        <v>10</v>
      </c>
      <c r="AL78" s="3823">
        <v>10</v>
      </c>
      <c r="AM78" s="974">
        <f>+$D$78</f>
        <v>10</v>
      </c>
      <c r="AN78" s="3821">
        <f>((AD78*$AD$13)+(AH78*$AH$13)+(AL78*$AL$13))/$AN$13</f>
        <v>10</v>
      </c>
      <c r="AO78" s="975">
        <f>+$D$78</f>
        <v>10</v>
      </c>
      <c r="AP78" s="1901">
        <f>((AJ78*$AJ$13)+(AL78*$AL$13))/$AP$13</f>
        <v>10.000000000000002</v>
      </c>
      <c r="AQ78" s="3823">
        <f>+$D$78</f>
        <v>10</v>
      </c>
      <c r="AR78" s="3823">
        <v>10</v>
      </c>
      <c r="AS78" s="975">
        <f>+$D$78</f>
        <v>10</v>
      </c>
      <c r="AT78" s="1901">
        <f>((AP78*$AP$13)+(AR78*$AR$13))/$AT$13</f>
        <v>10.000000000000002</v>
      </c>
      <c r="AU78" s="3823">
        <f>+$D$78</f>
        <v>10</v>
      </c>
      <c r="AV78" s="3823">
        <v>10</v>
      </c>
      <c r="AW78" s="975">
        <f>+$D$78</f>
        <v>10</v>
      </c>
      <c r="AX78" s="1901">
        <f>((AT78*$AT$13)+(AV78*$AV$13))/$AX$13</f>
        <v>10.000000000000002</v>
      </c>
      <c r="AY78" s="3823">
        <f>+$D$78</f>
        <v>10</v>
      </c>
      <c r="AZ78" s="3823">
        <v>10</v>
      </c>
      <c r="BA78" s="974">
        <f>+$D$78</f>
        <v>10</v>
      </c>
      <c r="BB78" s="3821">
        <f>((AR78*$AR$13)+(AV78*$AV$13)+(AZ78*$AZ$13))/$BB$13</f>
        <v>10</v>
      </c>
      <c r="BC78" s="976">
        <f>+$D$78</f>
        <v>10</v>
      </c>
      <c r="BD78" s="3822">
        <f>((AN78*$AN$13)+(BB78*$BB$13))/$BD$13</f>
        <v>10</v>
      </c>
      <c r="BE78" s="975">
        <f>+$D$78</f>
        <v>10</v>
      </c>
      <c r="BF78" s="975">
        <f t="shared" ref="BF78:BF81" si="265">((AX78*$AX$13)+(AZ78*$AZ$13))/$BF$13</f>
        <v>10.000000000000002</v>
      </c>
      <c r="BG78" s="648"/>
      <c r="BH78" s="648"/>
      <c r="BI78" s="648"/>
      <c r="BJ78" s="648"/>
      <c r="BK78" s="648"/>
      <c r="BL78" s="648"/>
      <c r="BM78" s="648"/>
      <c r="BN78" s="648"/>
    </row>
    <row r="79" spans="1:66" s="183" customFormat="1" ht="15.75" customHeight="1" thickBot="1" x14ac:dyDescent="0.3">
      <c r="A79" s="182"/>
      <c r="B79" s="3833" t="s">
        <v>516</v>
      </c>
      <c r="C79" s="538" t="s">
        <v>514</v>
      </c>
      <c r="D79" s="3823">
        <v>4.2</v>
      </c>
      <c r="E79" s="3823">
        <f>+$D$79</f>
        <v>4.2</v>
      </c>
      <c r="F79" s="3823">
        <v>4.13</v>
      </c>
      <c r="G79" s="3823">
        <f>+$D$79</f>
        <v>4.2</v>
      </c>
      <c r="H79" s="3823">
        <v>4.13</v>
      </c>
      <c r="I79" s="975">
        <f>+$D$79</f>
        <v>4.2</v>
      </c>
      <c r="J79" s="1901">
        <f>((F79*$F$14)+(H79*$H$14))/$J$14</f>
        <v>4.13</v>
      </c>
      <c r="K79" s="3823">
        <f>+$D$79</f>
        <v>4.2</v>
      </c>
      <c r="L79" s="3823">
        <v>4.13</v>
      </c>
      <c r="M79" s="974">
        <f>+$D$79</f>
        <v>4.2</v>
      </c>
      <c r="N79" s="3821">
        <f>((F79*$F$14)+(H79*$H$14)+(L79*$L$14))/($N$14)</f>
        <v>4.13</v>
      </c>
      <c r="O79" s="3823">
        <f>+$D$79</f>
        <v>4.2</v>
      </c>
      <c r="P79" s="3823">
        <v>4.13</v>
      </c>
      <c r="Q79" s="975">
        <f>+$D$79</f>
        <v>4.2</v>
      </c>
      <c r="R79" s="1901">
        <f>((N79*$F$14)+(P79*$H$14))/$J$14</f>
        <v>4.13</v>
      </c>
      <c r="S79" s="3823">
        <f>+$D$79</f>
        <v>4.2</v>
      </c>
      <c r="T79" s="3825">
        <v>4.13</v>
      </c>
      <c r="U79" s="975">
        <f>+$D$79</f>
        <v>4.2</v>
      </c>
      <c r="V79" s="1901">
        <f>((R79*$F$14)+(T79*$H$14))/$J$14</f>
        <v>4.13</v>
      </c>
      <c r="W79" s="3823">
        <f>+$D$79</f>
        <v>4.2</v>
      </c>
      <c r="X79" s="3823">
        <v>4.13</v>
      </c>
      <c r="Y79" s="974">
        <f>+$D$79</f>
        <v>4.2</v>
      </c>
      <c r="Z79" s="3821">
        <f>((P79*$P$14)+(T79*$T$14)+(X79*$X$14))/$Z$14</f>
        <v>4.13</v>
      </c>
      <c r="AA79" s="976">
        <f>+$D$79</f>
        <v>4.2</v>
      </c>
      <c r="AB79" s="3822">
        <f>((N79*$N$14)+(Z79*$Z$14))/$AB$14</f>
        <v>4.129999999999999</v>
      </c>
      <c r="AC79" s="3823">
        <f>+$D$79</f>
        <v>4.2</v>
      </c>
      <c r="AD79" s="3825">
        <v>4.13</v>
      </c>
      <c r="AE79" s="975">
        <f>+$D$79</f>
        <v>4.2</v>
      </c>
      <c r="AF79" s="1901">
        <f>((AB79*$F$14)+(AD79*$H$14))/$J$14</f>
        <v>4.129999999999999</v>
      </c>
      <c r="AG79" s="3823">
        <f>+$D$79</f>
        <v>4.2</v>
      </c>
      <c r="AH79" s="3825">
        <v>4.13</v>
      </c>
      <c r="AI79" s="975">
        <f>+$D$79</f>
        <v>4.2</v>
      </c>
      <c r="AJ79" s="1901">
        <f>((AF79*$F$14)+(AH79*$H$14))/$J$14</f>
        <v>4.129999999999999</v>
      </c>
      <c r="AK79" s="3823">
        <f>+$D$79</f>
        <v>4.2</v>
      </c>
      <c r="AL79" s="3823">
        <v>4.13</v>
      </c>
      <c r="AM79" s="974">
        <f>+$D$79</f>
        <v>4.2</v>
      </c>
      <c r="AN79" s="3821">
        <f>((AD79*$AD$14)+(AH79*$AH$14)+(AL79*$AL$14))/$AN$14</f>
        <v>4.13</v>
      </c>
      <c r="AO79" s="975">
        <f>+$D$79</f>
        <v>4.2</v>
      </c>
      <c r="AP79" s="1901">
        <f>((AJ79*$AJ$14)+(AL79*$AL$14))/$AP$14</f>
        <v>4.13</v>
      </c>
      <c r="AQ79" s="3823">
        <f>+$D$79</f>
        <v>4.2</v>
      </c>
      <c r="AR79" s="3823">
        <v>0</v>
      </c>
      <c r="AS79" s="975">
        <f>+$D$79</f>
        <v>4.2</v>
      </c>
      <c r="AT79" s="1901">
        <f>((AP79*$AP$14)+(AR79*$AR$14))/$AT$14</f>
        <v>3.7014389002036658</v>
      </c>
      <c r="AU79" s="3823">
        <f>+$D$79</f>
        <v>4.2</v>
      </c>
      <c r="AV79" s="3823">
        <v>0</v>
      </c>
      <c r="AW79" s="975">
        <f>+$D$79</f>
        <v>4.2</v>
      </c>
      <c r="AX79" s="1901">
        <f>((AT79*$AT$14)+(AV79*$AV$14))/$AX$14</f>
        <v>3.3734806954584826</v>
      </c>
      <c r="AY79" s="3823">
        <f>+$D$79</f>
        <v>4.2</v>
      </c>
      <c r="AZ79" s="3823">
        <v>0</v>
      </c>
      <c r="BA79" s="974">
        <f>+$D$79</f>
        <v>4.2</v>
      </c>
      <c r="BB79" s="3821">
        <f>((AR79*$AR$14)+(AV79*$AV$14)+(AZ79*$AZ$14))/$BB$14</f>
        <v>0</v>
      </c>
      <c r="BC79" s="976">
        <f>+$D$79</f>
        <v>4.2</v>
      </c>
      <c r="BD79" s="3822">
        <f>((AN79*$AN$14)+(BB79*$BB$14))/$BD$14</f>
        <v>2.0692459016393445</v>
      </c>
      <c r="BE79" s="975">
        <f>+$D$79</f>
        <v>4.2</v>
      </c>
      <c r="BF79" s="975">
        <f>((AX79*$AX$14)+(AZ79*$AZ$14))/$BF$14</f>
        <v>3.081917076479566</v>
      </c>
      <c r="BG79" s="648"/>
      <c r="BH79" s="648"/>
      <c r="BI79" s="648"/>
      <c r="BJ79" s="648"/>
      <c r="BK79" s="648"/>
      <c r="BL79" s="648"/>
      <c r="BM79" s="648"/>
      <c r="BN79" s="648"/>
    </row>
    <row r="80" spans="1:66" s="183" customFormat="1" ht="15.75" customHeight="1" thickBot="1" x14ac:dyDescent="0.3">
      <c r="A80" s="182"/>
      <c r="B80" s="3834" t="s">
        <v>1138</v>
      </c>
      <c r="C80" s="980" t="s">
        <v>514</v>
      </c>
      <c r="D80" s="982">
        <f t="shared" ref="D80:AA80" si="266">+((D78*D13)+(D79*D14))/D15</f>
        <v>6.2598243894299967</v>
      </c>
      <c r="E80" s="982">
        <f t="shared" si="266"/>
        <v>6.2553162708584074</v>
      </c>
      <c r="F80" s="982">
        <f t="shared" si="266"/>
        <v>6.2192422166635941</v>
      </c>
      <c r="G80" s="982">
        <f t="shared" ref="G80:H80" si="267">+((G78*G13)+(G79*G14))/G15</f>
        <v>6.2553162708584074</v>
      </c>
      <c r="H80" s="982">
        <f t="shared" si="267"/>
        <v>6.3055544987395376</v>
      </c>
      <c r="I80" s="983">
        <f t="shared" si="266"/>
        <v>6.2553162708584065</v>
      </c>
      <c r="J80" s="4551">
        <f>((F80*$F$15)+(H80*$H$15))/$J$15</f>
        <v>6.2622244138838248</v>
      </c>
      <c r="K80" s="982">
        <f t="shared" si="266"/>
        <v>6.2553162708584074</v>
      </c>
      <c r="L80" s="982">
        <f t="shared" si="266"/>
        <v>6.2762516408696172</v>
      </c>
      <c r="M80" s="984">
        <f t="shared" si="266"/>
        <v>6.2553162708584082</v>
      </c>
      <c r="N80" s="3821">
        <f>((F80*$F$15)+(H80*$H$15)+(L80*$L$15))/($N$15)</f>
        <v>6.26682905079553</v>
      </c>
      <c r="O80" s="982">
        <f t="shared" ref="O80:P80" si="268">+((O78*O13)+(O79*O14))/O15</f>
        <v>6.2553162708584074</v>
      </c>
      <c r="P80" s="982">
        <f t="shared" si="268"/>
        <v>6.2483774342500134</v>
      </c>
      <c r="Q80" s="983">
        <f t="shared" si="266"/>
        <v>6.2553162708584082</v>
      </c>
      <c r="R80" s="4551">
        <f>((N80*$F$15)+(P80*$H$15))/$J$15</f>
        <v>6.2576404277824826</v>
      </c>
      <c r="S80" s="982">
        <f t="shared" si="266"/>
        <v>6.2826649140503363</v>
      </c>
      <c r="T80" s="2660">
        <f t="shared" si="266"/>
        <v>6.2605393493912738</v>
      </c>
      <c r="U80" s="983">
        <f t="shared" si="266"/>
        <v>6.2607993226793255</v>
      </c>
      <c r="V80" s="4551">
        <f>((R80*$F$15)+(T80*$H$15))/$J$15</f>
        <v>6.2590840464346389</v>
      </c>
      <c r="W80" s="982">
        <f t="shared" si="266"/>
        <v>6.2826649140503372</v>
      </c>
      <c r="X80" s="982">
        <f t="shared" si="266"/>
        <v>6.2433812688272967</v>
      </c>
      <c r="Y80" s="984">
        <f t="shared" si="266"/>
        <v>6.2733686698600621</v>
      </c>
      <c r="Z80" s="3821">
        <f>((P80*$P$15)+(T80*$T$15)+(X80*$X$15))/$Z$15</f>
        <v>6.2508337065608099</v>
      </c>
      <c r="AA80" s="976">
        <f t="shared" si="266"/>
        <v>6.2643523276351587</v>
      </c>
      <c r="AB80" s="3822">
        <f>((N80*$N$15)+(Z80*$Z$15))/$AB$15</f>
        <v>6.2587541778338434</v>
      </c>
      <c r="AC80" s="982">
        <f t="shared" ref="AC80:AE80" si="269">+((AC78*AC13)+(AC79*AC14))/AC15</f>
        <v>6.2553162708584074</v>
      </c>
      <c r="AD80" s="2660">
        <f t="shared" si="269"/>
        <v>6.1992873213429966</v>
      </c>
      <c r="AE80" s="983">
        <f t="shared" si="269"/>
        <v>6.2630384481456343</v>
      </c>
      <c r="AF80" s="4551">
        <f>((AB80*$F$15)+(AD80*$H$15))/$J$15</f>
        <v>6.2291405922318788</v>
      </c>
      <c r="AG80" s="982">
        <f t="shared" ref="AG80:AI80" si="270">+((AG78*AG13)+(AG79*AG14))/AG15</f>
        <v>6.2553162708584074</v>
      </c>
      <c r="AH80" s="2660">
        <f t="shared" si="270"/>
        <v>6.2238697018364642</v>
      </c>
      <c r="AI80" s="983">
        <f t="shared" si="270"/>
        <v>6.262085872918381</v>
      </c>
      <c r="AJ80" s="4551">
        <f>((AF80*$F$15)+(AH80*$H$15))/$J$15</f>
        <v>6.2265157693787101</v>
      </c>
      <c r="AK80" s="982">
        <f t="shared" ref="AK80:AM80" si="271">+((AK78*AK13)+(AK79*AK14))/AK15</f>
        <v>6.2553162708584074</v>
      </c>
      <c r="AL80" s="982">
        <f t="shared" si="271"/>
        <v>6.2032423991007386</v>
      </c>
      <c r="AM80" s="984">
        <f t="shared" si="271"/>
        <v>6.2553162708584074</v>
      </c>
      <c r="AN80" s="3821">
        <f>((AD80*$AD$15)+(AH80*$AH$15)+(AL80*$AL$15))/$AN$15</f>
        <v>6.2086231196946828</v>
      </c>
      <c r="AO80" s="983">
        <f t="shared" ref="AO80" si="272">+((AO78*AO13)+(AO79*AO14))/AO15</f>
        <v>6.2613205248200909</v>
      </c>
      <c r="AP80" s="1901">
        <f>((AJ80*$AJ$15)+(AL80*$AL$15))/$AP$15</f>
        <v>6.2238423722591802</v>
      </c>
      <c r="AQ80" s="982">
        <f t="shared" ref="AQ80:AR80" si="273">+((AQ78*AQ13)+(AQ79*AQ14))/AQ15</f>
        <v>6.2553162708584074</v>
      </c>
      <c r="AR80" s="982">
        <f t="shared" si="273"/>
        <v>3.5371559582310201</v>
      </c>
      <c r="AS80" s="983">
        <f t="shared" ref="AS80" si="274">+((AS78*AS13)+(AS79*AS14))/AS15</f>
        <v>6.2607106542496549</v>
      </c>
      <c r="AT80" s="4551">
        <f>((AP80*$AP$15)+(AR80*$AR$15))/$AT$15</f>
        <v>5.9473895069604321</v>
      </c>
      <c r="AU80" s="982">
        <f t="shared" ref="AU80:AW80" si="275">+((AU78*AU13)+(AU79*AU14))/AU15</f>
        <v>6.2553162708584074</v>
      </c>
      <c r="AV80" s="982">
        <f t="shared" si="275"/>
        <v>3.5337812114463678</v>
      </c>
      <c r="AW80" s="983">
        <f t="shared" si="275"/>
        <v>6.2602425585037755</v>
      </c>
      <c r="AX80" s="4551">
        <f>((AT80*$AT$15)+(AV80*$AV$15))/$AX$15</f>
        <v>5.7352740802540429</v>
      </c>
      <c r="AY80" s="982">
        <f t="shared" ref="AY80:BE80" si="276">+((AY78*AY13)+(AY79*AY14))/AY15</f>
        <v>6.2553162708584074</v>
      </c>
      <c r="AZ80" s="982">
        <f t="shared" si="276"/>
        <v>3.5378975774458468</v>
      </c>
      <c r="BA80" s="984">
        <f t="shared" si="276"/>
        <v>6.2553162708584082</v>
      </c>
      <c r="BB80" s="3821">
        <f>((AR80*$AR$15)+(AV80*$AV$15)+(AZ80*$AZ$15))/$BB$15</f>
        <v>3.5363325881038841</v>
      </c>
      <c r="BC80" s="976">
        <f t="shared" ref="BC80" si="277">+((BC78*BC13)+(BC79*BC14))/BC15</f>
        <v>6.2553162708584074</v>
      </c>
      <c r="BD80" s="3822">
        <f>((AN80*$AN$15)+(BB80*$BB$15))/$BD$15</f>
        <v>4.8757176133372662</v>
      </c>
      <c r="BE80" s="983">
        <f t="shared" si="276"/>
        <v>6.2598243894299967</v>
      </c>
      <c r="BF80" s="983">
        <f>((AX80*$AX$15)+(AZ80*$AZ$15))/$BF$15</f>
        <v>5.546659620482373</v>
      </c>
      <c r="BG80" s="648"/>
      <c r="BH80" s="648"/>
      <c r="BI80" s="648"/>
      <c r="BJ80" s="648"/>
      <c r="BK80" s="648"/>
      <c r="BL80" s="648"/>
      <c r="BM80" s="648"/>
      <c r="BN80" s="648"/>
    </row>
    <row r="81" spans="1:66" s="183" customFormat="1" ht="15.75" x14ac:dyDescent="0.25">
      <c r="A81" s="182"/>
      <c r="B81" s="3835" t="s">
        <v>513</v>
      </c>
      <c r="C81" s="980" t="s">
        <v>514</v>
      </c>
      <c r="D81" s="982">
        <v>4.2</v>
      </c>
      <c r="E81" s="982">
        <f>+$D$81</f>
        <v>4.2</v>
      </c>
      <c r="F81" s="982">
        <v>4.2</v>
      </c>
      <c r="G81" s="982">
        <f>+$D$81</f>
        <v>4.2</v>
      </c>
      <c r="H81" s="982">
        <v>4.2</v>
      </c>
      <c r="I81" s="983">
        <f>+$D$81</f>
        <v>4.2</v>
      </c>
      <c r="J81" s="4551">
        <f>((F81*$F$13)+(H81*$H$13))/$J$13</f>
        <v>4.2</v>
      </c>
      <c r="K81" s="982">
        <f>+$D$81</f>
        <v>4.2</v>
      </c>
      <c r="L81" s="982">
        <v>0</v>
      </c>
      <c r="M81" s="984">
        <f>+$D$81</f>
        <v>4.2</v>
      </c>
      <c r="N81" s="3821">
        <f>((F81*$F$13)+(H81*$H$13)+(L81*$L$13))/$N$13</f>
        <v>2.8152106430155213</v>
      </c>
      <c r="O81" s="982">
        <f>+$D$81</f>
        <v>4.2</v>
      </c>
      <c r="P81" s="982">
        <v>4.2</v>
      </c>
      <c r="Q81" s="983">
        <f>+$D$81</f>
        <v>4.2</v>
      </c>
      <c r="R81" s="4551">
        <f>((N81*$F$13)+(P81*$H$13))/$J$13</f>
        <v>3.518828391056593</v>
      </c>
      <c r="S81" s="982">
        <f>+$D$81</f>
        <v>4.2</v>
      </c>
      <c r="T81" s="2660">
        <v>4.2</v>
      </c>
      <c r="U81" s="983">
        <f>+$D$81</f>
        <v>4.2</v>
      </c>
      <c r="V81" s="4551">
        <f>((R81*$F$13)+(T81*$H$13))/$J$13</f>
        <v>3.8649347725772922</v>
      </c>
      <c r="W81" s="982">
        <f>+$D$81</f>
        <v>4.2</v>
      </c>
      <c r="X81" s="982">
        <v>4.2</v>
      </c>
      <c r="Y81" s="984">
        <f>+$D$81</f>
        <v>4.2</v>
      </c>
      <c r="Z81" s="3821">
        <f>((P81*$P$13)+(T81*$T$13)+(X81*$X$13))/$Z$13</f>
        <v>4.2000000000000011</v>
      </c>
      <c r="AA81" s="976">
        <f>+$D$81</f>
        <v>4.2</v>
      </c>
      <c r="AB81" s="3822">
        <f>((N81*$N$13)+(Z81*$Z$13))/$AB$13</f>
        <v>3.5116878822945945</v>
      </c>
      <c r="AC81" s="982">
        <f>+$D$81</f>
        <v>4.2</v>
      </c>
      <c r="AD81" s="2660">
        <v>4.2</v>
      </c>
      <c r="AE81" s="983">
        <f>+$D$81</f>
        <v>4.2</v>
      </c>
      <c r="AF81" s="4551">
        <f>((AB81*$F$13)+(AD81*$H$13))/$J$13</f>
        <v>3.8614223886774934</v>
      </c>
      <c r="AG81" s="982">
        <f>+$D$81</f>
        <v>4.2</v>
      </c>
      <c r="AH81" s="2660">
        <v>4.2</v>
      </c>
      <c r="AI81" s="983">
        <f>+$D$81</f>
        <v>4.2</v>
      </c>
      <c r="AJ81" s="4551">
        <f>((AF81*$F$13)+(AH81*$H$13))/$J$13</f>
        <v>4.0334552073977612</v>
      </c>
      <c r="AK81" s="982">
        <f>+$D$81</f>
        <v>4.2</v>
      </c>
      <c r="AL81" s="982">
        <v>4.2</v>
      </c>
      <c r="AM81" s="984">
        <f>+$D$81</f>
        <v>4.2</v>
      </c>
      <c r="AN81" s="3821">
        <f>((AD81*$AD$13)+(AH81*$AH$13)+(AL81*$AL$13))/$AN$13</f>
        <v>4.2000000000000011</v>
      </c>
      <c r="AO81" s="983">
        <f>+$D$81</f>
        <v>4.2</v>
      </c>
      <c r="AP81" s="1901">
        <f>((AJ81*$AJ$13)+(AL81*$AL$13))/$AP$13</f>
        <v>4.0522369362320481</v>
      </c>
      <c r="AQ81" s="982">
        <f>+$D$81</f>
        <v>4.2</v>
      </c>
      <c r="AR81" s="982">
        <v>0</v>
      </c>
      <c r="AS81" s="983">
        <f>+$D$81</f>
        <v>4.2</v>
      </c>
      <c r="AT81" s="4551">
        <f>((AP81*$AP$13)+(AR81*$AR$13))/$AT$13</f>
        <v>3.6415670832684661</v>
      </c>
      <c r="AU81" s="982">
        <f>+$D$81</f>
        <v>4.2</v>
      </c>
      <c r="AV81" s="982">
        <v>0</v>
      </c>
      <c r="AW81" s="983">
        <f>+$D$81</f>
        <v>4.2</v>
      </c>
      <c r="AX81" s="4551">
        <f>((AT81*$AT$13)+(AV81*$AV$13))/$AX$13</f>
        <v>3.3262223557525172</v>
      </c>
      <c r="AY81" s="982">
        <f>+$D$81</f>
        <v>4.2</v>
      </c>
      <c r="AZ81" s="982">
        <v>0</v>
      </c>
      <c r="BA81" s="984">
        <f>+$D$81</f>
        <v>4.2</v>
      </c>
      <c r="BB81" s="3821">
        <f>((AR81*$AR$13)+(AV81*$AV$13)+(AZ81*$AZ$13))/$BB$13</f>
        <v>0</v>
      </c>
      <c r="BC81" s="3805">
        <f>+$D$81</f>
        <v>4.2</v>
      </c>
      <c r="BD81" s="5087">
        <f>((AN81*$AN$13)+(BB81*$BB$13))/$BD$13</f>
        <v>2.1065051443743785</v>
      </c>
      <c r="BE81" s="983">
        <f>+$D$81</f>
        <v>4.2</v>
      </c>
      <c r="BF81" s="983">
        <f t="shared" si="265"/>
        <v>3.0442395026257825</v>
      </c>
      <c r="BG81" s="648"/>
      <c r="BH81" s="648"/>
      <c r="BI81" s="648"/>
      <c r="BJ81" s="648"/>
      <c r="BK81" s="648"/>
      <c r="BL81" s="648"/>
      <c r="BM81" s="648"/>
      <c r="BN81" s="648"/>
    </row>
    <row r="82" spans="1:66" x14ac:dyDescent="0.25">
      <c r="B82" s="3836" t="s">
        <v>193</v>
      </c>
      <c r="C82" s="193" t="s">
        <v>52</v>
      </c>
      <c r="D82" s="131">
        <v>120</v>
      </c>
      <c r="E82" s="131">
        <v>10</v>
      </c>
      <c r="F82" s="131">
        <v>5</v>
      </c>
      <c r="G82" s="131">
        <v>10</v>
      </c>
      <c r="H82" s="131">
        <v>4</v>
      </c>
      <c r="I82" s="331">
        <f t="shared" ref="I82:J84" si="278">+E82+G82</f>
        <v>20</v>
      </c>
      <c r="J82" s="331">
        <f t="shared" si="278"/>
        <v>9</v>
      </c>
      <c r="K82" s="131">
        <v>10</v>
      </c>
      <c r="L82" s="131">
        <v>7</v>
      </c>
      <c r="M82" s="427">
        <f t="shared" ref="M82:N84" si="279">+E82+G82+K82</f>
        <v>30</v>
      </c>
      <c r="N82" s="427">
        <f t="shared" si="279"/>
        <v>16</v>
      </c>
      <c r="O82" s="131">
        <v>10</v>
      </c>
      <c r="P82" s="131">
        <v>0</v>
      </c>
      <c r="Q82" s="331">
        <f t="shared" ref="Q82:R84" si="280">+M82+O82</f>
        <v>40</v>
      </c>
      <c r="R82" s="331">
        <f t="shared" si="280"/>
        <v>16</v>
      </c>
      <c r="S82" s="131">
        <f>+$E$82</f>
        <v>10</v>
      </c>
      <c r="T82" s="2657">
        <v>4</v>
      </c>
      <c r="U82" s="331">
        <f t="shared" ref="U82:V84" si="281">+Q82+S82</f>
        <v>50</v>
      </c>
      <c r="V82" s="331">
        <f t="shared" si="281"/>
        <v>20</v>
      </c>
      <c r="W82" s="131">
        <f>+$E$82</f>
        <v>10</v>
      </c>
      <c r="X82" s="131">
        <v>4</v>
      </c>
      <c r="Y82" s="427">
        <f t="shared" ref="Y82:Z84" si="282">+O82+S82+W82</f>
        <v>30</v>
      </c>
      <c r="Z82" s="427">
        <f t="shared" si="282"/>
        <v>8</v>
      </c>
      <c r="AA82" s="559">
        <f t="shared" ref="AA82:AB84" si="283">+M82+Y82</f>
        <v>60</v>
      </c>
      <c r="AB82" s="568">
        <f t="shared" si="283"/>
        <v>24</v>
      </c>
      <c r="AC82" s="131">
        <f>+$E$82</f>
        <v>10</v>
      </c>
      <c r="AD82" s="2657">
        <v>5</v>
      </c>
      <c r="AE82" s="331">
        <f t="shared" ref="AE82:AE84" si="284">+AA82+AC82</f>
        <v>70</v>
      </c>
      <c r="AF82" s="331">
        <f t="shared" ref="AF82:AF84" si="285">+AB82+AD82</f>
        <v>29</v>
      </c>
      <c r="AG82" s="131">
        <f>+$E$82</f>
        <v>10</v>
      </c>
      <c r="AH82" s="2657">
        <v>0</v>
      </c>
      <c r="AI82" s="331">
        <f t="shared" ref="AI82:AI84" si="286">+AE82+AG82</f>
        <v>80</v>
      </c>
      <c r="AJ82" s="331">
        <f t="shared" ref="AJ82:AJ84" si="287">+AF82+AH82</f>
        <v>29</v>
      </c>
      <c r="AK82" s="131">
        <f>+$E$82</f>
        <v>10</v>
      </c>
      <c r="AL82" s="131">
        <v>0</v>
      </c>
      <c r="AM82" s="427">
        <f t="shared" ref="AM82:AM84" si="288">+AC82+AG82+AK82</f>
        <v>30</v>
      </c>
      <c r="AN82" s="427">
        <f t="shared" ref="AN82:AN84" si="289">+AD82+AH82+AL82</f>
        <v>5</v>
      </c>
      <c r="AO82" s="923">
        <f t="shared" ref="AO82" si="290">AI82+AK82</f>
        <v>90</v>
      </c>
      <c r="AP82" s="923">
        <f t="shared" ref="AP82" si="291">AJ82+AL82</f>
        <v>29</v>
      </c>
      <c r="AQ82" s="131">
        <f>+$E$82</f>
        <v>10</v>
      </c>
      <c r="AR82" s="131">
        <v>0</v>
      </c>
      <c r="AS82" s="331">
        <f t="shared" ref="AS82:AS84" si="292">+AO82+AQ82</f>
        <v>100</v>
      </c>
      <c r="AT82" s="331">
        <f t="shared" ref="AT82:AT84" si="293">+AP82+AR82</f>
        <v>29</v>
      </c>
      <c r="AU82" s="131">
        <f>+$E$82</f>
        <v>10</v>
      </c>
      <c r="AV82" s="131">
        <v>0</v>
      </c>
      <c r="AW82" s="331">
        <f t="shared" ref="AW82:AW84" si="294">+AS82+AU82</f>
        <v>110</v>
      </c>
      <c r="AX82" s="331">
        <f t="shared" ref="AX82:AX84" si="295">+AT82+AV82</f>
        <v>29</v>
      </c>
      <c r="AY82" s="131">
        <f>+$E$82</f>
        <v>10</v>
      </c>
      <c r="AZ82" s="131">
        <v>12</v>
      </c>
      <c r="BA82" s="427">
        <f t="shared" ref="BA82:BA84" si="296">+AQ82+AU82+AY82</f>
        <v>30</v>
      </c>
      <c r="BB82" s="427">
        <f t="shared" ref="BB82:BB84" si="297">+AR82+AV82+AZ82</f>
        <v>12</v>
      </c>
      <c r="BC82" s="4738">
        <f t="shared" ref="BC82:BC84" si="298">+AM82+BA82</f>
        <v>60</v>
      </c>
      <c r="BD82" s="4738">
        <f t="shared" ref="BD82:BD84" si="299">+AN82+BB82</f>
        <v>17</v>
      </c>
      <c r="BE82" s="331">
        <f t="shared" ref="BE82:BE84" si="300">+AW82+AY82</f>
        <v>120</v>
      </c>
      <c r="BF82" s="331">
        <f t="shared" ref="BF82:BF84" si="301">+AX82+AZ82</f>
        <v>41</v>
      </c>
      <c r="BG82" s="648"/>
      <c r="BH82" s="648"/>
      <c r="BI82" s="648"/>
      <c r="BJ82" s="648"/>
      <c r="BK82" s="648"/>
      <c r="BL82" s="648"/>
      <c r="BM82" s="648"/>
      <c r="BN82" s="648"/>
    </row>
    <row r="83" spans="1:66" x14ac:dyDescent="0.25">
      <c r="B83" s="3836" t="s">
        <v>194</v>
      </c>
      <c r="C83" s="193" t="s">
        <v>52</v>
      </c>
      <c r="D83" s="131">
        <v>18</v>
      </c>
      <c r="E83" s="131">
        <v>1.5</v>
      </c>
      <c r="F83" s="227">
        <v>2.2000000000000002</v>
      </c>
      <c r="G83" s="131">
        <v>1.5</v>
      </c>
      <c r="H83" s="227">
        <v>1</v>
      </c>
      <c r="I83" s="331">
        <f t="shared" si="278"/>
        <v>3</v>
      </c>
      <c r="J83" s="331">
        <f t="shared" si="278"/>
        <v>3.2</v>
      </c>
      <c r="K83" s="131">
        <v>1.5</v>
      </c>
      <c r="L83" s="227">
        <v>1</v>
      </c>
      <c r="M83" s="427">
        <f t="shared" si="279"/>
        <v>4.5</v>
      </c>
      <c r="N83" s="427">
        <f t="shared" si="279"/>
        <v>4.2</v>
      </c>
      <c r="O83" s="131">
        <v>1.5</v>
      </c>
      <c r="P83" s="227">
        <v>0</v>
      </c>
      <c r="Q83" s="331">
        <f t="shared" si="280"/>
        <v>6</v>
      </c>
      <c r="R83" s="331">
        <f t="shared" si="280"/>
        <v>4.2</v>
      </c>
      <c r="S83" s="131">
        <f>+$E$83</f>
        <v>1.5</v>
      </c>
      <c r="T83" s="2657">
        <v>0</v>
      </c>
      <c r="U83" s="331">
        <f t="shared" si="281"/>
        <v>7.5</v>
      </c>
      <c r="V83" s="331">
        <f t="shared" si="281"/>
        <v>4.2</v>
      </c>
      <c r="W83" s="131">
        <f>+$E$83</f>
        <v>1.5</v>
      </c>
      <c r="X83" s="227">
        <v>0</v>
      </c>
      <c r="Y83" s="427">
        <f t="shared" si="282"/>
        <v>4.5</v>
      </c>
      <c r="Z83" s="427">
        <f t="shared" si="282"/>
        <v>0</v>
      </c>
      <c r="AA83" s="559">
        <f t="shared" si="283"/>
        <v>9</v>
      </c>
      <c r="AB83" s="568">
        <f t="shared" si="283"/>
        <v>4.2</v>
      </c>
      <c r="AC83" s="131">
        <f>+$E$83</f>
        <v>1.5</v>
      </c>
      <c r="AD83" s="2657">
        <v>0</v>
      </c>
      <c r="AE83" s="331">
        <f t="shared" si="284"/>
        <v>10.5</v>
      </c>
      <c r="AF83" s="331">
        <f t="shared" si="285"/>
        <v>4.2</v>
      </c>
      <c r="AG83" s="131">
        <f>+$E$83</f>
        <v>1.5</v>
      </c>
      <c r="AH83" s="2657">
        <v>0</v>
      </c>
      <c r="AI83" s="331">
        <f t="shared" si="286"/>
        <v>12</v>
      </c>
      <c r="AJ83" s="331">
        <f t="shared" si="287"/>
        <v>4.2</v>
      </c>
      <c r="AK83" s="131">
        <f>+$E$83</f>
        <v>1.5</v>
      </c>
      <c r="AL83" s="227">
        <v>0</v>
      </c>
      <c r="AM83" s="427">
        <f t="shared" si="288"/>
        <v>4.5</v>
      </c>
      <c r="AN83" s="427">
        <f t="shared" si="289"/>
        <v>0</v>
      </c>
      <c r="AO83" s="923">
        <f t="shared" ref="AO83:AO84" si="302">AI83+AK83</f>
        <v>13.5</v>
      </c>
      <c r="AP83" s="923">
        <f t="shared" ref="AP83:AP84" si="303">AJ83+AL83</f>
        <v>4.2</v>
      </c>
      <c r="AQ83" s="131">
        <f>+$E$83</f>
        <v>1.5</v>
      </c>
      <c r="AR83" s="227">
        <v>0</v>
      </c>
      <c r="AS83" s="331">
        <f t="shared" si="292"/>
        <v>15</v>
      </c>
      <c r="AT83" s="331">
        <f t="shared" si="293"/>
        <v>4.2</v>
      </c>
      <c r="AU83" s="131">
        <f>+$E$83</f>
        <v>1.5</v>
      </c>
      <c r="AV83" s="227">
        <v>0</v>
      </c>
      <c r="AW83" s="331">
        <f t="shared" si="294"/>
        <v>16.5</v>
      </c>
      <c r="AX83" s="331">
        <f t="shared" si="295"/>
        <v>4.2</v>
      </c>
      <c r="AY83" s="131">
        <f>+$E$83</f>
        <v>1.5</v>
      </c>
      <c r="AZ83" s="227">
        <v>0</v>
      </c>
      <c r="BA83" s="427">
        <f t="shared" si="296"/>
        <v>4.5</v>
      </c>
      <c r="BB83" s="427">
        <f t="shared" si="297"/>
        <v>0</v>
      </c>
      <c r="BC83" s="4738">
        <f t="shared" si="298"/>
        <v>9</v>
      </c>
      <c r="BD83" s="4738">
        <f t="shared" si="299"/>
        <v>0</v>
      </c>
      <c r="BE83" s="331">
        <f t="shared" si="300"/>
        <v>18</v>
      </c>
      <c r="BF83" s="331">
        <f t="shared" si="301"/>
        <v>4.2</v>
      </c>
      <c r="BG83" s="648"/>
      <c r="BH83" s="648"/>
      <c r="BI83" s="648"/>
      <c r="BJ83" s="648"/>
      <c r="BK83" s="648"/>
      <c r="BL83" s="648"/>
      <c r="BM83" s="648"/>
      <c r="BN83" s="648"/>
    </row>
    <row r="84" spans="1:66" ht="15.75" thickBot="1" x14ac:dyDescent="0.3">
      <c r="B84" s="3837" t="s">
        <v>195</v>
      </c>
      <c r="C84" s="1100" t="s">
        <v>52</v>
      </c>
      <c r="D84" s="1902">
        <v>140</v>
      </c>
      <c r="E84" s="1902">
        <v>5</v>
      </c>
      <c r="F84" s="1902">
        <v>0</v>
      </c>
      <c r="G84" s="1902">
        <v>8</v>
      </c>
      <c r="H84" s="1902">
        <v>0</v>
      </c>
      <c r="I84" s="715">
        <f t="shared" si="278"/>
        <v>13</v>
      </c>
      <c r="J84" s="715">
        <f t="shared" si="278"/>
        <v>0</v>
      </c>
      <c r="K84" s="1902">
        <v>8</v>
      </c>
      <c r="L84" s="1902">
        <v>0</v>
      </c>
      <c r="M84" s="716">
        <f t="shared" si="279"/>
        <v>21</v>
      </c>
      <c r="N84" s="716">
        <f t="shared" si="279"/>
        <v>0</v>
      </c>
      <c r="O84" s="1902">
        <v>10</v>
      </c>
      <c r="P84" s="1902">
        <v>0</v>
      </c>
      <c r="Q84" s="715">
        <f t="shared" si="280"/>
        <v>31</v>
      </c>
      <c r="R84" s="715">
        <f t="shared" si="280"/>
        <v>0</v>
      </c>
      <c r="S84" s="1902">
        <v>10</v>
      </c>
      <c r="T84" s="3838">
        <v>0</v>
      </c>
      <c r="U84" s="715">
        <f t="shared" si="281"/>
        <v>41</v>
      </c>
      <c r="V84" s="715">
        <f t="shared" si="281"/>
        <v>0</v>
      </c>
      <c r="W84" s="1902">
        <v>12</v>
      </c>
      <c r="X84" s="1902">
        <v>0</v>
      </c>
      <c r="Y84" s="716">
        <f t="shared" si="282"/>
        <v>32</v>
      </c>
      <c r="Z84" s="716">
        <f t="shared" si="282"/>
        <v>0</v>
      </c>
      <c r="AA84" s="746">
        <f t="shared" si="283"/>
        <v>53</v>
      </c>
      <c r="AB84" s="587">
        <f t="shared" si="283"/>
        <v>0</v>
      </c>
      <c r="AC84" s="1902">
        <v>12</v>
      </c>
      <c r="AD84" s="3838">
        <v>0</v>
      </c>
      <c r="AE84" s="715">
        <f t="shared" si="284"/>
        <v>65</v>
      </c>
      <c r="AF84" s="715">
        <f t="shared" si="285"/>
        <v>0</v>
      </c>
      <c r="AG84" s="1902">
        <v>15</v>
      </c>
      <c r="AH84" s="3838">
        <v>0</v>
      </c>
      <c r="AI84" s="715">
        <f t="shared" si="286"/>
        <v>80</v>
      </c>
      <c r="AJ84" s="715">
        <f t="shared" si="287"/>
        <v>0</v>
      </c>
      <c r="AK84" s="1902">
        <v>15</v>
      </c>
      <c r="AL84" s="1902">
        <v>0</v>
      </c>
      <c r="AM84" s="716">
        <f t="shared" si="288"/>
        <v>42</v>
      </c>
      <c r="AN84" s="716">
        <f t="shared" si="289"/>
        <v>0</v>
      </c>
      <c r="AO84" s="923">
        <f t="shared" si="302"/>
        <v>95</v>
      </c>
      <c r="AP84" s="923">
        <f t="shared" si="303"/>
        <v>0</v>
      </c>
      <c r="AQ84" s="1902">
        <v>15</v>
      </c>
      <c r="AR84" s="1902">
        <v>0</v>
      </c>
      <c r="AS84" s="715">
        <f t="shared" si="292"/>
        <v>110</v>
      </c>
      <c r="AT84" s="715">
        <f t="shared" si="293"/>
        <v>0</v>
      </c>
      <c r="AU84" s="1902">
        <v>15</v>
      </c>
      <c r="AV84" s="1902">
        <v>0</v>
      </c>
      <c r="AW84" s="715">
        <f t="shared" si="294"/>
        <v>125</v>
      </c>
      <c r="AX84" s="715">
        <f t="shared" si="295"/>
        <v>0</v>
      </c>
      <c r="AY84" s="1902">
        <v>15</v>
      </c>
      <c r="AZ84" s="1902">
        <v>0</v>
      </c>
      <c r="BA84" s="716">
        <f t="shared" si="296"/>
        <v>45</v>
      </c>
      <c r="BB84" s="716">
        <f t="shared" si="297"/>
        <v>0</v>
      </c>
      <c r="BC84" s="4738">
        <f t="shared" si="298"/>
        <v>87</v>
      </c>
      <c r="BD84" s="4738">
        <f t="shared" si="299"/>
        <v>0</v>
      </c>
      <c r="BE84" s="715">
        <f t="shared" si="300"/>
        <v>140</v>
      </c>
      <c r="BF84" s="715">
        <f t="shared" si="301"/>
        <v>0</v>
      </c>
      <c r="BG84" s="648"/>
      <c r="BH84" s="648"/>
      <c r="BI84" s="648"/>
      <c r="BJ84" s="648"/>
      <c r="BK84" s="648"/>
      <c r="BL84" s="648"/>
      <c r="BM84" s="648"/>
      <c r="BN84" s="648"/>
    </row>
    <row r="85" spans="1:66" s="183" customFormat="1" ht="19.5" thickBot="1" x14ac:dyDescent="0.3">
      <c r="A85" s="182"/>
      <c r="B85" s="1064" t="s">
        <v>809</v>
      </c>
      <c r="C85" s="2854"/>
      <c r="D85" s="648"/>
      <c r="E85" s="648"/>
      <c r="F85" s="648"/>
      <c r="G85" s="648"/>
      <c r="H85" s="648"/>
      <c r="I85" s="648"/>
      <c r="J85" s="648"/>
      <c r="K85" s="648"/>
      <c r="L85" s="648"/>
      <c r="M85" s="648"/>
      <c r="N85" s="648"/>
      <c r="O85" s="648"/>
      <c r="P85" s="648"/>
      <c r="Q85" s="648"/>
      <c r="R85" s="648"/>
      <c r="S85" s="648"/>
      <c r="T85" s="648"/>
      <c r="U85" s="648"/>
      <c r="V85" s="648"/>
      <c r="W85" s="648"/>
      <c r="X85" s="648"/>
      <c r="Y85" s="648"/>
      <c r="Z85" s="648"/>
      <c r="AA85" s="3803"/>
      <c r="AB85" s="648"/>
      <c r="AC85" s="648"/>
      <c r="AD85" s="648"/>
      <c r="AE85" s="648"/>
      <c r="AF85" s="648"/>
      <c r="AG85" s="648"/>
      <c r="AH85" s="648"/>
      <c r="AI85" s="648"/>
      <c r="AJ85" s="648"/>
      <c r="AK85" s="648"/>
      <c r="AL85" s="648"/>
      <c r="AM85" s="648"/>
      <c r="AN85" s="648"/>
      <c r="AO85" s="648"/>
      <c r="AP85" s="648"/>
      <c r="AQ85" s="648"/>
      <c r="AR85" s="648"/>
      <c r="AS85" s="648"/>
      <c r="AT85" s="648"/>
      <c r="AU85" s="648"/>
      <c r="AV85" s="648"/>
      <c r="AW85" s="648"/>
      <c r="AX85" s="648"/>
      <c r="AY85" s="648"/>
      <c r="AZ85" s="648"/>
      <c r="BA85" s="648"/>
      <c r="BB85" s="648"/>
      <c r="BC85" s="3803"/>
      <c r="BD85" s="648"/>
      <c r="BE85" s="648"/>
      <c r="BF85" s="648"/>
      <c r="BG85" s="648"/>
      <c r="BH85" s="648"/>
      <c r="BI85" s="648"/>
      <c r="BJ85" s="648"/>
      <c r="BK85" s="648"/>
      <c r="BL85" s="648"/>
      <c r="BM85" s="648"/>
      <c r="BN85" s="648"/>
    </row>
    <row r="86" spans="1:66" s="183" customFormat="1" ht="18.75" x14ac:dyDescent="0.25">
      <c r="A86" s="182"/>
      <c r="B86" s="2866" t="s">
        <v>667</v>
      </c>
      <c r="C86" s="2864"/>
      <c r="D86" s="2864"/>
      <c r="E86" s="2864"/>
      <c r="F86" s="2864"/>
      <c r="G86" s="2864"/>
      <c r="H86" s="2864"/>
      <c r="I86" s="2864"/>
      <c r="J86" s="2864"/>
      <c r="K86" s="2864"/>
      <c r="L86" s="2864"/>
      <c r="M86" s="2864"/>
      <c r="N86" s="2864"/>
      <c r="O86" s="2864"/>
      <c r="P86" s="2864"/>
      <c r="Q86" s="2864"/>
      <c r="R86" s="2864"/>
      <c r="S86" s="2864"/>
      <c r="T86" s="2864"/>
      <c r="U86" s="2864"/>
      <c r="V86" s="2865"/>
      <c r="W86" s="2864"/>
      <c r="X86" s="2864"/>
      <c r="Y86" s="2864"/>
      <c r="Z86" s="2864"/>
      <c r="AA86" s="3816"/>
      <c r="AB86" s="2865"/>
      <c r="AC86" s="2864"/>
      <c r="AD86" s="2864"/>
      <c r="AE86" s="2864"/>
      <c r="AF86" s="2865"/>
      <c r="AG86" s="2864"/>
      <c r="AH86" s="2864"/>
      <c r="AI86" s="2864"/>
      <c r="AJ86" s="2865"/>
      <c r="AK86" s="2864"/>
      <c r="AL86" s="2864"/>
      <c r="AM86" s="2864"/>
      <c r="AN86" s="2864"/>
      <c r="AO86" s="2864"/>
      <c r="AP86" s="2865"/>
      <c r="AQ86" s="2864"/>
      <c r="AR86" s="2864"/>
      <c r="AS86" s="2864"/>
      <c r="AT86" s="2865"/>
      <c r="AU86" s="2864"/>
      <c r="AV86" s="2864"/>
      <c r="AW86" s="2864"/>
      <c r="AX86" s="2865"/>
      <c r="AY86" s="2864"/>
      <c r="AZ86" s="2864"/>
      <c r="BA86" s="2864"/>
      <c r="BB86" s="2864"/>
      <c r="BC86" s="3816"/>
      <c r="BD86" s="2865"/>
      <c r="BE86" s="2864"/>
      <c r="BF86" s="2865"/>
      <c r="BG86" s="648"/>
      <c r="BH86" s="648"/>
      <c r="BI86" s="648"/>
      <c r="BJ86" s="648"/>
      <c r="BK86" s="648"/>
      <c r="BL86" s="648"/>
      <c r="BM86" s="648"/>
      <c r="BN86" s="648"/>
    </row>
    <row r="87" spans="1:66" x14ac:dyDescent="0.25">
      <c r="B87" s="2869" t="s">
        <v>10</v>
      </c>
      <c r="C87" s="1830" t="s">
        <v>52</v>
      </c>
      <c r="D87" s="3613">
        <v>321348.92307692306</v>
      </c>
      <c r="E87" s="3616">
        <v>26340.075662042877</v>
      </c>
      <c r="F87" s="2941">
        <v>23632</v>
      </c>
      <c r="G87" s="3616">
        <v>27218.078184110967</v>
      </c>
      <c r="H87" s="2941">
        <v>24052</v>
      </c>
      <c r="I87" s="3615">
        <f t="shared" ref="I87:J90" si="304">+E87+G87</f>
        <v>53558.153846153844</v>
      </c>
      <c r="J87" s="53">
        <f t="shared" si="304"/>
        <v>47684</v>
      </c>
      <c r="K87" s="3616">
        <v>26340.075662042877</v>
      </c>
      <c r="L87" s="2941">
        <v>22644.036</v>
      </c>
      <c r="M87" s="3614">
        <f t="shared" ref="M87:N89" si="305">+E87+G87+K87</f>
        <v>79898.229508196717</v>
      </c>
      <c r="N87" s="3614">
        <f t="shared" si="305"/>
        <v>70328.035999999993</v>
      </c>
      <c r="O87" s="3616">
        <v>27218.078184110967</v>
      </c>
      <c r="P87" s="425">
        <v>27478.158038709676</v>
      </c>
      <c r="Q87" s="3615">
        <f t="shared" ref="Q87:R89" si="306">+M87+O87</f>
        <v>107116.30769230769</v>
      </c>
      <c r="R87" s="53">
        <f t="shared" si="306"/>
        <v>97806.194038709669</v>
      </c>
      <c r="S87" s="3616">
        <v>27218.078184110967</v>
      </c>
      <c r="T87" s="2627">
        <v>24497.915806451601</v>
      </c>
      <c r="U87" s="3615">
        <f t="shared" ref="U87:V91" si="307">+Q87+S87</f>
        <v>134334.38587641864</v>
      </c>
      <c r="V87" s="53">
        <f t="shared" si="307"/>
        <v>122304.10984516126</v>
      </c>
      <c r="W87" s="3613">
        <v>26340.075662042877</v>
      </c>
      <c r="X87" s="2941">
        <v>22008.9208</v>
      </c>
      <c r="Y87" s="3614">
        <f t="shared" ref="Y87:Z91" si="308">+O87+S87+W87</f>
        <v>80776.232030264815</v>
      </c>
      <c r="Z87" s="3614">
        <f t="shared" si="308"/>
        <v>73984.994645161278</v>
      </c>
      <c r="AA87" s="3621">
        <f>+M87+Y87</f>
        <v>160674.46153846153</v>
      </c>
      <c r="AB87" s="546">
        <f>+N87+Z87</f>
        <v>144313.03064516129</v>
      </c>
      <c r="AC87" s="3616">
        <v>27218.078184110967</v>
      </c>
      <c r="AD87" s="2627">
        <v>20203.499741935488</v>
      </c>
      <c r="AE87" s="3615">
        <f t="shared" ref="AE87:AE91" si="309">+AA87+AC87</f>
        <v>187892.53972257249</v>
      </c>
      <c r="AF87" s="53">
        <f t="shared" ref="AF87:AF91" si="310">+AB87+AD87</f>
        <v>164516.53038709678</v>
      </c>
      <c r="AG87" s="3616">
        <v>26340.075662042877</v>
      </c>
      <c r="AH87" s="2627">
        <v>19722.087000000003</v>
      </c>
      <c r="AI87" s="3615">
        <f t="shared" ref="AI87:AI91" si="311">+AE87+AG87</f>
        <v>214232.61538461538</v>
      </c>
      <c r="AJ87" s="53">
        <f t="shared" ref="AJ87:AJ91" si="312">+AF87+AH87</f>
        <v>184238.61738709678</v>
      </c>
      <c r="AK87" s="4289">
        <v>27218.078184110967</v>
      </c>
      <c r="AL87" s="2941">
        <v>23816.483459999999</v>
      </c>
      <c r="AM87" s="4290">
        <f t="shared" ref="AM87:AM91" si="313">+AC87+AG87+AK87</f>
        <v>80776.232030264815</v>
      </c>
      <c r="AN87" s="4290">
        <f t="shared" ref="AN87:AN91" si="314">+AD87+AH87+AL87</f>
        <v>63742.070201935494</v>
      </c>
      <c r="AO87" s="923">
        <f t="shared" ref="AO87:AP87" si="315">AI87+AK87</f>
        <v>241450.69356872633</v>
      </c>
      <c r="AP87" s="923">
        <f t="shared" si="315"/>
        <v>208055.10084709676</v>
      </c>
      <c r="AQ87" s="4408">
        <v>27218.078184110967</v>
      </c>
      <c r="AR87" s="2941">
        <v>26176.688999999998</v>
      </c>
      <c r="AS87" s="3615">
        <f t="shared" ref="AS87:AS91" si="316">+AO87+AQ87</f>
        <v>268668.77175283729</v>
      </c>
      <c r="AT87" s="53">
        <f t="shared" ref="AT87:AT91" si="317">+AP87+AR87</f>
        <v>234231.78984709678</v>
      </c>
      <c r="AU87" s="4650">
        <v>25462.073139974778</v>
      </c>
      <c r="AV87" s="2941">
        <v>26588.330999999998</v>
      </c>
      <c r="AW87" s="3615">
        <f t="shared" ref="AW87:AW91" si="318">+AS87+AU87</f>
        <v>294130.84489281208</v>
      </c>
      <c r="AX87" s="53">
        <f t="shared" ref="AX87:AX91" si="319">+AT87+AV87</f>
        <v>260820.12084709678</v>
      </c>
      <c r="AY87" s="5066">
        <v>27218.078184110967</v>
      </c>
      <c r="AZ87" s="2941">
        <v>28422</v>
      </c>
      <c r="BA87" s="5062">
        <f t="shared" ref="BA87:BA91" si="320">+AQ87+AU87+AY87</f>
        <v>79898.229508196717</v>
      </c>
      <c r="BB87" s="5062">
        <f t="shared" ref="BB87:BB91" si="321">+AR87+AV87+AZ87</f>
        <v>81187.01999999999</v>
      </c>
      <c r="BC87" s="4738">
        <f t="shared" ref="BC87:BC91" si="322">+AM87+BA87</f>
        <v>160674.46153846153</v>
      </c>
      <c r="BD87" s="4738">
        <f t="shared" ref="BD87:BD91" si="323">+AN87+BB87</f>
        <v>144929.0902019355</v>
      </c>
      <c r="BE87" s="3615">
        <f t="shared" ref="BE87:BE91" si="324">+AW87+AY87</f>
        <v>321348.92307692306</v>
      </c>
      <c r="BF87" s="53">
        <f t="shared" ref="BF87:BF91" si="325">+AX87+AZ87</f>
        <v>289242.12084709678</v>
      </c>
      <c r="BG87" s="648"/>
      <c r="BH87" s="648"/>
      <c r="BI87" s="648"/>
      <c r="BJ87" s="648"/>
      <c r="BK87" s="648"/>
      <c r="BL87" s="648"/>
      <c r="BM87" s="648"/>
      <c r="BN87" s="648"/>
    </row>
    <row r="88" spans="1:66" x14ac:dyDescent="0.25">
      <c r="B88" s="2870" t="s">
        <v>11</v>
      </c>
      <c r="C88" s="1830" t="s">
        <v>52</v>
      </c>
      <c r="D88" s="3613">
        <v>69858.461538461546</v>
      </c>
      <c r="E88" s="3616">
        <v>5726.1034047919293</v>
      </c>
      <c r="F88" s="2941">
        <v>5535</v>
      </c>
      <c r="G88" s="3616">
        <v>5916.9735182849945</v>
      </c>
      <c r="H88" s="2941">
        <v>8272</v>
      </c>
      <c r="I88" s="3615">
        <f t="shared" si="304"/>
        <v>11643.076923076924</v>
      </c>
      <c r="J88" s="53">
        <f t="shared" si="304"/>
        <v>13807</v>
      </c>
      <c r="K88" s="3616">
        <v>5726.1034047919293</v>
      </c>
      <c r="L88" s="2941">
        <v>5777.4906666666675</v>
      </c>
      <c r="M88" s="3614">
        <f t="shared" si="305"/>
        <v>17369.180327868853</v>
      </c>
      <c r="N88" s="3614">
        <f t="shared" si="305"/>
        <v>19584.490666666668</v>
      </c>
      <c r="O88" s="3616">
        <v>5916.9735182849945</v>
      </c>
      <c r="P88" s="425">
        <v>2401</v>
      </c>
      <c r="Q88" s="3615">
        <f t="shared" si="306"/>
        <v>23286.153846153848</v>
      </c>
      <c r="R88" s="53">
        <f t="shared" si="306"/>
        <v>21985.490666666668</v>
      </c>
      <c r="S88" s="3616">
        <v>5916.9735182849945</v>
      </c>
      <c r="T88" s="2627">
        <v>5191.2250161290331</v>
      </c>
      <c r="U88" s="3615">
        <f t="shared" si="307"/>
        <v>29203.127364438842</v>
      </c>
      <c r="V88" s="53">
        <f t="shared" si="307"/>
        <v>27176.715682795701</v>
      </c>
      <c r="W88" s="3613">
        <v>5726.1034047919293</v>
      </c>
      <c r="X88" s="2941">
        <v>5832</v>
      </c>
      <c r="Y88" s="3614">
        <f t="shared" si="308"/>
        <v>17560.05044136192</v>
      </c>
      <c r="Z88" s="3614">
        <f t="shared" si="308"/>
        <v>13424.225016129032</v>
      </c>
      <c r="AA88" s="3621">
        <f t="shared" ref="AA88:AB96" si="326">+M88+Y88</f>
        <v>34929.230769230773</v>
      </c>
      <c r="AB88" s="546">
        <f>+N88+Z88</f>
        <v>33008.715682795701</v>
      </c>
      <c r="AC88" s="3616">
        <v>5916.9735182849945</v>
      </c>
      <c r="AD88" s="2627">
        <v>4907.6554193548391</v>
      </c>
      <c r="AE88" s="3615">
        <f t="shared" si="309"/>
        <v>40846.204287515764</v>
      </c>
      <c r="AF88" s="53">
        <f t="shared" si="310"/>
        <v>37916.371102150537</v>
      </c>
      <c r="AG88" s="3616">
        <v>5726.1034047919293</v>
      </c>
      <c r="AH88" s="2627">
        <v>7450.1460000000006</v>
      </c>
      <c r="AI88" s="3615">
        <f t="shared" si="311"/>
        <v>46572.307692307695</v>
      </c>
      <c r="AJ88" s="53">
        <f t="shared" si="312"/>
        <v>45366.517102150538</v>
      </c>
      <c r="AK88" s="4289">
        <v>5916.9735182849945</v>
      </c>
      <c r="AL88" s="2941">
        <v>3874.6738799999998</v>
      </c>
      <c r="AM88" s="4290">
        <f t="shared" si="313"/>
        <v>17560.05044136192</v>
      </c>
      <c r="AN88" s="4290">
        <f t="shared" si="314"/>
        <v>16232.475299354841</v>
      </c>
      <c r="AO88" s="923">
        <f t="shared" ref="AO88:AP93" si="327">AI88+AK88</f>
        <v>52489.281210592686</v>
      </c>
      <c r="AP88" s="923">
        <f t="shared" ref="AP88:AP91" si="328">AJ88+AL88</f>
        <v>49241.19098215054</v>
      </c>
      <c r="AQ88" s="4408">
        <v>5916.9735182849945</v>
      </c>
      <c r="AR88" s="2941">
        <v>5575.8780000000006</v>
      </c>
      <c r="AS88" s="3615">
        <f t="shared" si="316"/>
        <v>58406.254728877684</v>
      </c>
      <c r="AT88" s="53">
        <f t="shared" si="317"/>
        <v>54817.068982150537</v>
      </c>
      <c r="AU88" s="4650">
        <v>5535.233291298865</v>
      </c>
      <c r="AV88" s="2941">
        <v>5426.1900000000005</v>
      </c>
      <c r="AW88" s="3615">
        <f t="shared" si="318"/>
        <v>63941.488020176548</v>
      </c>
      <c r="AX88" s="53">
        <f t="shared" si="319"/>
        <v>60243.258982150539</v>
      </c>
      <c r="AY88" s="5066">
        <v>5916.9735182849945</v>
      </c>
      <c r="AZ88" s="2941">
        <v>5767</v>
      </c>
      <c r="BA88" s="5062">
        <f t="shared" si="320"/>
        <v>17369.180327868853</v>
      </c>
      <c r="BB88" s="5062">
        <f t="shared" si="321"/>
        <v>16769.067999999999</v>
      </c>
      <c r="BC88" s="4738">
        <f t="shared" si="322"/>
        <v>34929.230769230773</v>
      </c>
      <c r="BD88" s="4738">
        <f t="shared" si="323"/>
        <v>33001.543299354838</v>
      </c>
      <c r="BE88" s="3615">
        <f t="shared" si="324"/>
        <v>69858.461538461546</v>
      </c>
      <c r="BF88" s="53">
        <f t="shared" si="325"/>
        <v>66010.258982150539</v>
      </c>
      <c r="BG88" s="648"/>
      <c r="BH88" s="648"/>
      <c r="BI88" s="648"/>
      <c r="BJ88" s="648"/>
      <c r="BK88" s="648"/>
      <c r="BL88" s="648"/>
      <c r="BM88" s="648"/>
      <c r="BN88" s="648"/>
    </row>
    <row r="89" spans="1:66" x14ac:dyDescent="0.25">
      <c r="B89" s="2869" t="s">
        <v>638</v>
      </c>
      <c r="C89" s="1830" t="s">
        <v>52</v>
      </c>
      <c r="D89" s="3613">
        <v>69858.461538461546</v>
      </c>
      <c r="E89" s="3616">
        <v>5726.1034047919293</v>
      </c>
      <c r="F89" s="2941">
        <v>56</v>
      </c>
      <c r="G89" s="3616">
        <v>5916.9735182849945</v>
      </c>
      <c r="H89" s="2941"/>
      <c r="I89" s="3615">
        <f t="shared" si="304"/>
        <v>11643.076923076924</v>
      </c>
      <c r="J89" s="53">
        <f t="shared" si="304"/>
        <v>56</v>
      </c>
      <c r="K89" s="3616">
        <v>5726.1034047919293</v>
      </c>
      <c r="L89" s="2941"/>
      <c r="M89" s="3614">
        <f t="shared" si="305"/>
        <v>17369.180327868853</v>
      </c>
      <c r="N89" s="3614">
        <f t="shared" si="305"/>
        <v>56</v>
      </c>
      <c r="O89" s="3616">
        <v>5916.9735182849945</v>
      </c>
      <c r="P89" s="2941"/>
      <c r="Q89" s="3615">
        <f t="shared" si="306"/>
        <v>23286.153846153848</v>
      </c>
      <c r="R89" s="53">
        <f t="shared" si="306"/>
        <v>56</v>
      </c>
      <c r="S89" s="3616">
        <v>5916.9735182849945</v>
      </c>
      <c r="T89" s="2627">
        <v>5988.3794193548383</v>
      </c>
      <c r="U89" s="3615">
        <f t="shared" si="307"/>
        <v>29203.127364438842</v>
      </c>
      <c r="V89" s="53">
        <f t="shared" si="307"/>
        <v>6044.3794193548383</v>
      </c>
      <c r="W89" s="3613">
        <v>5726.1034047919293</v>
      </c>
      <c r="X89" s="2941">
        <v>7807.7421500000009</v>
      </c>
      <c r="Y89" s="3614">
        <f t="shared" si="308"/>
        <v>17560.05044136192</v>
      </c>
      <c r="Z89" s="3614">
        <f t="shared" si="308"/>
        <v>13796.12156935484</v>
      </c>
      <c r="AA89" s="3621">
        <f t="shared" si="326"/>
        <v>34929.230769230773</v>
      </c>
      <c r="AB89" s="546">
        <f>+N89+Z89</f>
        <v>13852.12156935484</v>
      </c>
      <c r="AC89" s="3616">
        <v>5916.9735182849945</v>
      </c>
      <c r="AD89" s="2627">
        <v>10063.558000000001</v>
      </c>
      <c r="AE89" s="3615">
        <f t="shared" si="309"/>
        <v>40846.204287515764</v>
      </c>
      <c r="AF89" s="53">
        <f t="shared" si="310"/>
        <v>23915.679569354841</v>
      </c>
      <c r="AG89" s="3616">
        <v>5726.1034047919293</v>
      </c>
      <c r="AH89" s="2627">
        <v>1663.9920000000002</v>
      </c>
      <c r="AI89" s="3615">
        <f t="shared" si="311"/>
        <v>46572.307692307695</v>
      </c>
      <c r="AJ89" s="53">
        <f t="shared" si="312"/>
        <v>25579.671569354839</v>
      </c>
      <c r="AK89" s="4289">
        <v>5916.9735182849945</v>
      </c>
      <c r="AL89" s="2941">
        <v>2244.7586700000002</v>
      </c>
      <c r="AM89" s="4290">
        <f t="shared" si="313"/>
        <v>17560.05044136192</v>
      </c>
      <c r="AN89" s="4290">
        <f t="shared" si="314"/>
        <v>13972.308670000002</v>
      </c>
      <c r="AO89" s="923">
        <f t="shared" si="327"/>
        <v>52489.281210592686</v>
      </c>
      <c r="AP89" s="923">
        <f t="shared" si="328"/>
        <v>27824.430239354839</v>
      </c>
      <c r="AQ89" s="4408">
        <v>5916.9735182849945</v>
      </c>
      <c r="AR89" s="2941"/>
      <c r="AS89" s="3615">
        <f t="shared" si="316"/>
        <v>58406.254728877684</v>
      </c>
      <c r="AT89" s="53">
        <f t="shared" si="317"/>
        <v>27824.430239354839</v>
      </c>
      <c r="AU89" s="4650">
        <v>5535.233291298865</v>
      </c>
      <c r="AV89" s="2941"/>
      <c r="AW89" s="3615">
        <f t="shared" si="318"/>
        <v>63941.488020176548</v>
      </c>
      <c r="AX89" s="53">
        <f t="shared" si="319"/>
        <v>27824.430239354839</v>
      </c>
      <c r="AY89" s="5066">
        <v>5916.9735182849945</v>
      </c>
      <c r="AZ89" s="2941"/>
      <c r="BA89" s="5062">
        <f t="shared" si="320"/>
        <v>17369.180327868853</v>
      </c>
      <c r="BB89" s="5062">
        <f t="shared" si="321"/>
        <v>0</v>
      </c>
      <c r="BC89" s="4738">
        <f t="shared" si="322"/>
        <v>34929.230769230773</v>
      </c>
      <c r="BD89" s="4738">
        <f t="shared" si="323"/>
        <v>13972.308670000002</v>
      </c>
      <c r="BE89" s="3615">
        <f t="shared" si="324"/>
        <v>69858.461538461546</v>
      </c>
      <c r="BF89" s="53">
        <f t="shared" si="325"/>
        <v>27824.430239354839</v>
      </c>
      <c r="BG89" s="648"/>
      <c r="BH89" s="648"/>
      <c r="BI89" s="648"/>
      <c r="BJ89" s="648"/>
      <c r="BK89" s="648"/>
      <c r="BL89" s="648"/>
      <c r="BM89" s="648"/>
      <c r="BN89" s="648"/>
    </row>
    <row r="90" spans="1:66" x14ac:dyDescent="0.25">
      <c r="B90" s="2870" t="s">
        <v>1348</v>
      </c>
      <c r="C90" s="1830" t="s">
        <v>52</v>
      </c>
      <c r="D90" s="856"/>
      <c r="E90" s="270"/>
      <c r="F90" s="1512">
        <v>3653</v>
      </c>
      <c r="G90" s="270"/>
      <c r="H90" s="1512">
        <v>2459</v>
      </c>
      <c r="I90" s="3615">
        <f t="shared" si="304"/>
        <v>0</v>
      </c>
      <c r="J90" s="53">
        <f t="shared" si="304"/>
        <v>6112</v>
      </c>
      <c r="K90" s="270"/>
      <c r="L90" s="1512">
        <v>3913.7840000000001</v>
      </c>
      <c r="M90" s="3614">
        <f t="shared" ref="M90" si="329">+E90+G90+K90</f>
        <v>0</v>
      </c>
      <c r="N90" s="3614">
        <f t="shared" ref="N90" si="330">+F90+H90+L90</f>
        <v>10025.784</v>
      </c>
      <c r="O90" s="270">
        <v>0</v>
      </c>
      <c r="P90" s="425">
        <v>4469.2248774193549</v>
      </c>
      <c r="Q90" s="3615">
        <f t="shared" ref="Q90:Q91" si="331">+M90+O90</f>
        <v>0</v>
      </c>
      <c r="R90" s="53">
        <f t="shared" ref="R90:R91" si="332">+N90+P90</f>
        <v>14495.008877419354</v>
      </c>
      <c r="S90" s="270">
        <v>0</v>
      </c>
      <c r="T90" s="2739">
        <v>311.08464516129033</v>
      </c>
      <c r="U90" s="3615">
        <f t="shared" si="307"/>
        <v>0</v>
      </c>
      <c r="V90" s="53">
        <f t="shared" si="307"/>
        <v>14806.093522580644</v>
      </c>
      <c r="W90" s="856">
        <v>0</v>
      </c>
      <c r="X90" s="1512">
        <v>0</v>
      </c>
      <c r="Y90" s="3614">
        <f t="shared" si="308"/>
        <v>0</v>
      </c>
      <c r="Z90" s="3614">
        <f t="shared" si="308"/>
        <v>4780.3095225806455</v>
      </c>
      <c r="AA90" s="3621">
        <f t="shared" si="326"/>
        <v>0</v>
      </c>
      <c r="AB90" s="546">
        <f>+N90+Z90</f>
        <v>14806.093522580646</v>
      </c>
      <c r="AC90" s="270">
        <v>0</v>
      </c>
      <c r="AD90" s="2739">
        <v>190.95935483870966</v>
      </c>
      <c r="AE90" s="3615">
        <f t="shared" si="309"/>
        <v>0</v>
      </c>
      <c r="AF90" s="53">
        <f t="shared" si="310"/>
        <v>14997.052877419355</v>
      </c>
      <c r="AG90" s="270"/>
      <c r="AH90" s="2739">
        <v>1418.1750000000004</v>
      </c>
      <c r="AI90" s="3615">
        <f t="shared" si="311"/>
        <v>0</v>
      </c>
      <c r="AJ90" s="53">
        <f t="shared" si="312"/>
        <v>16415.227877419355</v>
      </c>
      <c r="AK90" s="856"/>
      <c r="AL90" s="1512">
        <v>3294.6328800000001</v>
      </c>
      <c r="AM90" s="4290">
        <f t="shared" si="313"/>
        <v>0</v>
      </c>
      <c r="AN90" s="4290">
        <f t="shared" si="314"/>
        <v>4903.7672348387105</v>
      </c>
      <c r="AO90" s="923">
        <f t="shared" si="327"/>
        <v>0</v>
      </c>
      <c r="AP90" s="923">
        <f t="shared" si="328"/>
        <v>19709.860757419356</v>
      </c>
      <c r="AQ90" s="856"/>
      <c r="AR90" s="1512">
        <v>2844.0720000000001</v>
      </c>
      <c r="AS90" s="3615">
        <f t="shared" si="316"/>
        <v>0</v>
      </c>
      <c r="AT90" s="53">
        <f t="shared" si="317"/>
        <v>22553.932757419356</v>
      </c>
      <c r="AU90" s="856"/>
      <c r="AV90" s="1512">
        <v>2713.0950000000003</v>
      </c>
      <c r="AW90" s="3615">
        <f t="shared" si="318"/>
        <v>0</v>
      </c>
      <c r="AX90" s="53">
        <f t="shared" si="319"/>
        <v>25267.027757419357</v>
      </c>
      <c r="AY90" s="856"/>
      <c r="AZ90" s="1512">
        <v>2808</v>
      </c>
      <c r="BA90" s="5062">
        <f t="shared" si="320"/>
        <v>0</v>
      </c>
      <c r="BB90" s="5062">
        <f t="shared" si="321"/>
        <v>8365.1670000000013</v>
      </c>
      <c r="BC90" s="4738">
        <f t="shared" si="322"/>
        <v>0</v>
      </c>
      <c r="BD90" s="4738">
        <f t="shared" si="323"/>
        <v>13268.934234838711</v>
      </c>
      <c r="BE90" s="3615">
        <f t="shared" si="324"/>
        <v>0</v>
      </c>
      <c r="BF90" s="53">
        <f t="shared" si="325"/>
        <v>28075.027757419357</v>
      </c>
      <c r="BG90" s="648"/>
      <c r="BH90" s="648"/>
      <c r="BI90" s="648"/>
      <c r="BJ90" s="648"/>
      <c r="BK90" s="648"/>
      <c r="BL90" s="648"/>
      <c r="BM90" s="648"/>
      <c r="BN90" s="648"/>
    </row>
    <row r="91" spans="1:66" ht="15.75" customHeight="1" thickBot="1" x14ac:dyDescent="0.3">
      <c r="B91" s="2870" t="s">
        <v>627</v>
      </c>
      <c r="C91" s="3842" t="s">
        <v>52</v>
      </c>
      <c r="D91" s="856"/>
      <c r="E91" s="270"/>
      <c r="F91" s="1512">
        <v>6262</v>
      </c>
      <c r="G91" s="270"/>
      <c r="H91" s="1512">
        <v>5012</v>
      </c>
      <c r="I91" s="3617">
        <f>+E91+G91</f>
        <v>0</v>
      </c>
      <c r="J91" s="201">
        <f>+F91+H91</f>
        <v>11274</v>
      </c>
      <c r="K91" s="270"/>
      <c r="L91" s="1512">
        <v>6690.7069333333338</v>
      </c>
      <c r="M91" s="3622">
        <f>+E91+G91+K91</f>
        <v>0</v>
      </c>
      <c r="N91" s="3622">
        <f>+F91+H91+L91</f>
        <v>17964.706933333335</v>
      </c>
      <c r="O91" s="270">
        <v>0</v>
      </c>
      <c r="P91" s="3844">
        <v>9071.0115096774189</v>
      </c>
      <c r="Q91" s="3617">
        <f t="shared" si="331"/>
        <v>0</v>
      </c>
      <c r="R91" s="201">
        <f t="shared" si="332"/>
        <v>27035.718443010752</v>
      </c>
      <c r="S91" s="270">
        <v>0</v>
      </c>
      <c r="T91" s="2739">
        <v>8010.4296129032264</v>
      </c>
      <c r="U91" s="3617">
        <f t="shared" si="307"/>
        <v>0</v>
      </c>
      <c r="V91" s="201">
        <f t="shared" si="307"/>
        <v>35046.148055913975</v>
      </c>
      <c r="W91" s="856">
        <v>0</v>
      </c>
      <c r="X91" s="1512">
        <v>5269.7416000000003</v>
      </c>
      <c r="Y91" s="3622">
        <f t="shared" si="308"/>
        <v>0</v>
      </c>
      <c r="Z91" s="3622">
        <f t="shared" si="308"/>
        <v>22351.182722580648</v>
      </c>
      <c r="AA91" s="3619">
        <f t="shared" si="326"/>
        <v>0</v>
      </c>
      <c r="AB91" s="3695">
        <f>+N91+Z91</f>
        <v>40315.889655913983</v>
      </c>
      <c r="AC91" s="270">
        <v>0</v>
      </c>
      <c r="AD91" s="2739">
        <v>5537.8212903225804</v>
      </c>
      <c r="AE91" s="3617">
        <f t="shared" si="309"/>
        <v>0</v>
      </c>
      <c r="AF91" s="201">
        <f t="shared" si="310"/>
        <v>45853.710946236562</v>
      </c>
      <c r="AG91" s="270"/>
      <c r="AH91" s="2739">
        <v>6013.0620000000008</v>
      </c>
      <c r="AI91" s="3617">
        <f t="shared" si="311"/>
        <v>0</v>
      </c>
      <c r="AJ91" s="201">
        <f t="shared" si="312"/>
        <v>51866.772946236561</v>
      </c>
      <c r="AK91" s="856"/>
      <c r="AL91" s="1512">
        <v>3120.6205799999998</v>
      </c>
      <c r="AM91" s="3622">
        <f t="shared" si="313"/>
        <v>0</v>
      </c>
      <c r="AN91" s="3622">
        <f t="shared" si="314"/>
        <v>14671.50387032258</v>
      </c>
      <c r="AO91" s="923">
        <f t="shared" si="327"/>
        <v>0</v>
      </c>
      <c r="AP91" s="923">
        <f t="shared" si="328"/>
        <v>54987.393526236563</v>
      </c>
      <c r="AQ91" s="856"/>
      <c r="AR91" s="1512">
        <v>2956.3379999999997</v>
      </c>
      <c r="AS91" s="3617">
        <f t="shared" si="316"/>
        <v>0</v>
      </c>
      <c r="AT91" s="201">
        <f t="shared" si="317"/>
        <v>57943.731526236559</v>
      </c>
      <c r="AU91" s="856"/>
      <c r="AV91" s="1512">
        <v>2713.0950000000003</v>
      </c>
      <c r="AW91" s="3617">
        <f t="shared" si="318"/>
        <v>0</v>
      </c>
      <c r="AX91" s="201">
        <f t="shared" si="319"/>
        <v>60656.82652623656</v>
      </c>
      <c r="AY91" s="856"/>
      <c r="AZ91" s="1512">
        <v>2996</v>
      </c>
      <c r="BA91" s="3622">
        <f t="shared" si="320"/>
        <v>0</v>
      </c>
      <c r="BB91" s="3622">
        <f t="shared" si="321"/>
        <v>8665.4330000000009</v>
      </c>
      <c r="BC91" s="4738">
        <f t="shared" si="322"/>
        <v>0</v>
      </c>
      <c r="BD91" s="4738">
        <f t="shared" si="323"/>
        <v>23336.936870322581</v>
      </c>
      <c r="BE91" s="3617">
        <f t="shared" si="324"/>
        <v>0</v>
      </c>
      <c r="BF91" s="201">
        <f t="shared" si="325"/>
        <v>63652.82652623656</v>
      </c>
      <c r="BG91" s="648"/>
      <c r="BH91" s="648"/>
      <c r="BI91" s="648"/>
      <c r="BJ91" s="648"/>
      <c r="BK91" s="648"/>
      <c r="BL91" s="648"/>
      <c r="BM91" s="648"/>
      <c r="BN91" s="648"/>
    </row>
    <row r="92" spans="1:66" s="183" customFormat="1" ht="16.5" thickBot="1" x14ac:dyDescent="0.3">
      <c r="A92" s="182"/>
      <c r="B92" s="3840" t="s">
        <v>14</v>
      </c>
      <c r="C92" s="1836" t="s">
        <v>52</v>
      </c>
      <c r="D92" s="1825">
        <f>SUM(D87:D91)</f>
        <v>461065.84615384619</v>
      </c>
      <c r="E92" s="1824">
        <f>SUM(E87:E91)</f>
        <v>37792.282471626735</v>
      </c>
      <c r="F92" s="1824">
        <f>SUM(F87:F91)</f>
        <v>39138</v>
      </c>
      <c r="G92" s="1824">
        <f>SUM(G87:G91)</f>
        <v>39052.025220680953</v>
      </c>
      <c r="H92" s="1824">
        <f>SUM(H87:H91)</f>
        <v>39795</v>
      </c>
      <c r="I92" s="1824">
        <f t="shared" ref="I92:N92" si="333">SUM(I87:I91)</f>
        <v>76844.307692307688</v>
      </c>
      <c r="J92" s="1824">
        <f t="shared" si="333"/>
        <v>78933</v>
      </c>
      <c r="K92" s="1824">
        <f>SUM(K87:K91)</f>
        <v>37792.282471626735</v>
      </c>
      <c r="L92" s="1824">
        <f>SUM(L87:L91)</f>
        <v>39026.017599999999</v>
      </c>
      <c r="M92" s="2122">
        <f t="shared" si="333"/>
        <v>114636.59016393442</v>
      </c>
      <c r="N92" s="2122">
        <f t="shared" si="333"/>
        <v>117959.01759999999</v>
      </c>
      <c r="O92" s="1824">
        <f>SUM(O87:O91)</f>
        <v>39052.025220680953</v>
      </c>
      <c r="P92" s="1824">
        <f>SUM(P87:P91)</f>
        <v>43419.394425806451</v>
      </c>
      <c r="Q92" s="1824">
        <f t="shared" ref="Q92:X92" si="334">SUM(Q87:Q91)</f>
        <v>153688.61538461538</v>
      </c>
      <c r="R92" s="1824">
        <f t="shared" si="334"/>
        <v>161378.41202580644</v>
      </c>
      <c r="S92" s="1824">
        <f t="shared" si="334"/>
        <v>39052.025220680953</v>
      </c>
      <c r="T92" s="2740">
        <f t="shared" si="334"/>
        <v>43999.034499999994</v>
      </c>
      <c r="U92" s="1824">
        <f t="shared" si="334"/>
        <v>192740.64060529633</v>
      </c>
      <c r="V92" s="1824">
        <f t="shared" si="334"/>
        <v>205377.44652580642</v>
      </c>
      <c r="W92" s="448">
        <f t="shared" si="334"/>
        <v>37792.282471626735</v>
      </c>
      <c r="X92" s="1824">
        <f t="shared" si="334"/>
        <v>40918.404549999999</v>
      </c>
      <c r="Y92" s="2122">
        <f t="shared" ref="Y92:AF92" si="335">SUM(Y87:Y91)</f>
        <v>115896.33291298866</v>
      </c>
      <c r="Z92" s="2122">
        <f t="shared" si="335"/>
        <v>128336.83347580644</v>
      </c>
      <c r="AA92" s="3936">
        <f t="shared" si="335"/>
        <v>230532.92307692309</v>
      </c>
      <c r="AB92" s="3936">
        <f t="shared" si="335"/>
        <v>246295.85107580648</v>
      </c>
      <c r="AC92" s="1824">
        <f t="shared" si="335"/>
        <v>39052.025220680953</v>
      </c>
      <c r="AD92" s="2740">
        <f t="shared" si="335"/>
        <v>40903.493806451625</v>
      </c>
      <c r="AE92" s="1824">
        <f t="shared" si="335"/>
        <v>269584.94829760405</v>
      </c>
      <c r="AF92" s="1824">
        <f t="shared" si="335"/>
        <v>287199.3448822581</v>
      </c>
      <c r="AG92" s="1824">
        <f t="shared" ref="AG92:AN92" si="336">SUM(AG87:AG91)</f>
        <v>37792.282471626735</v>
      </c>
      <c r="AH92" s="2740">
        <f t="shared" si="336"/>
        <v>36267.462000000007</v>
      </c>
      <c r="AI92" s="1824">
        <f t="shared" si="336"/>
        <v>307377.23076923075</v>
      </c>
      <c r="AJ92" s="1824">
        <f t="shared" si="336"/>
        <v>323466.80688225804</v>
      </c>
      <c r="AK92" s="448">
        <f t="shared" si="336"/>
        <v>39052.025220680953</v>
      </c>
      <c r="AL92" s="1824">
        <f t="shared" si="336"/>
        <v>36351.169470000001</v>
      </c>
      <c r="AM92" s="2122">
        <f t="shared" si="336"/>
        <v>115896.33291298866</v>
      </c>
      <c r="AN92" s="2122">
        <f t="shared" si="336"/>
        <v>113522.12527645164</v>
      </c>
      <c r="AO92" s="1824">
        <f t="shared" ref="AO92:AT92" si="337">SUM(AO87:AO91)</f>
        <v>346429.25598991173</v>
      </c>
      <c r="AP92" s="1824">
        <f t="shared" si="337"/>
        <v>359817.97635225812</v>
      </c>
      <c r="AQ92" s="448">
        <f t="shared" si="337"/>
        <v>39052.025220680953</v>
      </c>
      <c r="AR92" s="1824">
        <f t="shared" si="337"/>
        <v>37552.976999999999</v>
      </c>
      <c r="AS92" s="1824">
        <f t="shared" si="337"/>
        <v>385481.28121059266</v>
      </c>
      <c r="AT92" s="1824">
        <f t="shared" si="337"/>
        <v>397370.95335225808</v>
      </c>
      <c r="AU92" s="448">
        <f t="shared" ref="AU92:AX92" si="338">SUM(AU87:AU91)</f>
        <v>36532.53972257251</v>
      </c>
      <c r="AV92" s="1824">
        <f t="shared" si="338"/>
        <v>37440.711000000003</v>
      </c>
      <c r="AW92" s="1824">
        <f t="shared" si="338"/>
        <v>422013.82093316515</v>
      </c>
      <c r="AX92" s="1824">
        <f t="shared" si="338"/>
        <v>434811.66435225803</v>
      </c>
      <c r="AY92" s="448">
        <f t="shared" ref="AY92:BF92" si="339">SUM(AY87:AY91)</f>
        <v>39052.025220680953</v>
      </c>
      <c r="AZ92" s="1824">
        <f t="shared" si="339"/>
        <v>39993</v>
      </c>
      <c r="BA92" s="2122">
        <f t="shared" si="339"/>
        <v>114636.59016393442</v>
      </c>
      <c r="BB92" s="2122">
        <f t="shared" si="339"/>
        <v>114986.68799999999</v>
      </c>
      <c r="BC92" s="3936">
        <f t="shared" si="339"/>
        <v>230532.92307692309</v>
      </c>
      <c r="BD92" s="3936">
        <f t="shared" si="339"/>
        <v>228508.81327645163</v>
      </c>
      <c r="BE92" s="1824">
        <f t="shared" si="339"/>
        <v>461065.84615384619</v>
      </c>
      <c r="BF92" s="1824">
        <f t="shared" si="339"/>
        <v>474804.66435225803</v>
      </c>
      <c r="BG92" s="648"/>
      <c r="BH92" s="648"/>
      <c r="BI92" s="648"/>
      <c r="BJ92" s="648"/>
      <c r="BK92" s="648"/>
      <c r="BL92" s="648"/>
      <c r="BM92" s="648"/>
      <c r="BN92" s="648"/>
    </row>
    <row r="93" spans="1:66" x14ac:dyDescent="0.25">
      <c r="B93" s="3839" t="s">
        <v>1486</v>
      </c>
      <c r="C93" s="1841" t="s">
        <v>52</v>
      </c>
      <c r="D93" s="3709">
        <v>125745.23076923078</v>
      </c>
      <c r="E93" s="3709">
        <v>10306.986128625475</v>
      </c>
      <c r="F93" s="1496"/>
      <c r="G93" s="3709">
        <v>10650.552332912988</v>
      </c>
      <c r="H93" s="1496">
        <v>7117</v>
      </c>
      <c r="I93" s="3618">
        <f t="shared" ref="I93:J96" si="340">+E93+G93</f>
        <v>20957.538461538461</v>
      </c>
      <c r="J93" s="3618">
        <f t="shared" si="340"/>
        <v>7117</v>
      </c>
      <c r="K93" s="3709">
        <v>10306.986128625475</v>
      </c>
      <c r="L93" s="1496">
        <v>6616.1586666666672</v>
      </c>
      <c r="M93" s="3623">
        <f t="shared" ref="M93:N96" si="341">+E93+G93+K93</f>
        <v>31264.524590163935</v>
      </c>
      <c r="N93" s="3623">
        <f t="shared" si="341"/>
        <v>13733.158666666666</v>
      </c>
      <c r="O93" s="3709">
        <v>10650.552332912988</v>
      </c>
      <c r="P93" s="3845">
        <v>3332.9812645161292</v>
      </c>
      <c r="Q93" s="3618">
        <f t="shared" ref="Q93:R96" si="342">+M93+O93</f>
        <v>41915.076923076922</v>
      </c>
      <c r="R93" s="3618">
        <f t="shared" si="342"/>
        <v>17066.139931182795</v>
      </c>
      <c r="S93" s="1633">
        <v>10650.552332912988</v>
      </c>
      <c r="T93" s="2741">
        <v>5443.981290322582</v>
      </c>
      <c r="U93" s="3618">
        <f t="shared" ref="U93:V96" si="343">+Q93+S93</f>
        <v>52565.629255989908</v>
      </c>
      <c r="V93" s="89">
        <f t="shared" si="343"/>
        <v>22510.121221505378</v>
      </c>
      <c r="W93" s="2862">
        <v>10306.986128625475</v>
      </c>
      <c r="X93" s="1496">
        <v>8427.7117500000004</v>
      </c>
      <c r="Y93" s="3623">
        <f t="shared" ref="Y93:Z96" si="344">+O93+S93+W93</f>
        <v>31608.090794451451</v>
      </c>
      <c r="Z93" s="3623">
        <f t="shared" si="344"/>
        <v>17204.674304838714</v>
      </c>
      <c r="AA93" s="3620">
        <f t="shared" si="326"/>
        <v>62872.61538461539</v>
      </c>
      <c r="AB93" s="571">
        <f t="shared" si="326"/>
        <v>30937.832971505381</v>
      </c>
      <c r="AC93" s="1633">
        <v>10650.552332912988</v>
      </c>
      <c r="AD93" s="2741">
        <v>9853.5027096774193</v>
      </c>
      <c r="AE93" s="3618">
        <f t="shared" ref="AE93:AE96" si="345">+AA93+AC93</f>
        <v>73523.167717528384</v>
      </c>
      <c r="AF93" s="89">
        <f t="shared" ref="AF93:AF96" si="346">+AB93+AD93</f>
        <v>40791.335681182798</v>
      </c>
      <c r="AG93" s="1633">
        <v>10306.986128625475</v>
      </c>
      <c r="AH93" s="2741">
        <v>15183.927000000001</v>
      </c>
      <c r="AI93" s="3618">
        <f t="shared" ref="AI93:AI96" si="347">+AE93+AG93</f>
        <v>83830.153846153858</v>
      </c>
      <c r="AJ93" s="89">
        <f t="shared" ref="AJ93:AJ96" si="348">+AF93+AH93</f>
        <v>55975.262681182801</v>
      </c>
      <c r="AK93" s="2862">
        <v>10650.552332912988</v>
      </c>
      <c r="AL93" s="1496">
        <v>15382.687319999999</v>
      </c>
      <c r="AM93" s="3623">
        <f t="shared" ref="AM93:AM96" si="349">+AC93+AG93+AK93</f>
        <v>31608.090794451447</v>
      </c>
      <c r="AN93" s="3623">
        <f t="shared" ref="AN93:AN96" si="350">+AD93+AH93+AL93</f>
        <v>40420.117029677422</v>
      </c>
      <c r="AO93" s="923">
        <f t="shared" si="327"/>
        <v>94480.706179066852</v>
      </c>
      <c r="AP93" s="923">
        <f t="shared" si="327"/>
        <v>71357.950001182806</v>
      </c>
      <c r="AQ93" s="2862">
        <v>10650.552332912988</v>
      </c>
      <c r="AR93" s="1496">
        <v>12311.838000000002</v>
      </c>
      <c r="AS93" s="3618">
        <f t="shared" ref="AS93:AS96" si="351">+AO93+AQ93</f>
        <v>105131.25851197985</v>
      </c>
      <c r="AT93" s="89">
        <f t="shared" ref="AT93:AT96" si="352">+AP93+AR93</f>
        <v>83669.788001182809</v>
      </c>
      <c r="AU93" s="2862">
        <v>9963.4199243379571</v>
      </c>
      <c r="AV93" s="1496">
        <v>11394.999</v>
      </c>
      <c r="AW93" s="3618">
        <f t="shared" ref="AW93:AW96" si="353">+AS93+AU93</f>
        <v>115094.6784363178</v>
      </c>
      <c r="AX93" s="89">
        <f t="shared" ref="AX93:AX96" si="354">+AT93+AV93</f>
        <v>95064.787001182805</v>
      </c>
      <c r="AY93" s="2862">
        <v>10650.552332912988</v>
      </c>
      <c r="AZ93" s="1496">
        <v>12189</v>
      </c>
      <c r="BA93" s="3623">
        <f t="shared" ref="BA93:BA96" si="355">+AQ93+AU93+AY93</f>
        <v>31264.524590163935</v>
      </c>
      <c r="BB93" s="3623">
        <f t="shared" ref="BB93:BB96" si="356">+AR93+AV93+AZ93</f>
        <v>35895.837</v>
      </c>
      <c r="BC93" s="4738">
        <f t="shared" ref="BC93:BC96" si="357">+AM93+BA93</f>
        <v>62872.615384615383</v>
      </c>
      <c r="BD93" s="4738">
        <f t="shared" ref="BD93:BD96" si="358">+AN93+BB93</f>
        <v>76315.954029677421</v>
      </c>
      <c r="BE93" s="3618">
        <f t="shared" ref="BE93:BE96" si="359">+AW93+AY93</f>
        <v>125745.23076923079</v>
      </c>
      <c r="BF93" s="89">
        <f t="shared" ref="BF93:BF96" si="360">+AX93+AZ93</f>
        <v>107253.78700118281</v>
      </c>
      <c r="BG93" s="648"/>
      <c r="BH93" s="648"/>
      <c r="BI93" s="648"/>
      <c r="BJ93" s="648"/>
      <c r="BK93" s="648"/>
      <c r="BL93" s="648"/>
      <c r="BM93" s="648"/>
      <c r="BN93" s="648"/>
    </row>
    <row r="94" spans="1:66" x14ac:dyDescent="0.25">
      <c r="B94" s="2872" t="s">
        <v>647</v>
      </c>
      <c r="C94" s="942" t="s">
        <v>52</v>
      </c>
      <c r="D94" s="3616"/>
      <c r="E94" s="3616"/>
      <c r="F94" s="2941">
        <v>7231</v>
      </c>
      <c r="G94" s="3616"/>
      <c r="H94" s="2941">
        <v>3763</v>
      </c>
      <c r="I94" s="3615">
        <f t="shared" si="340"/>
        <v>0</v>
      </c>
      <c r="J94" s="3615">
        <f t="shared" si="340"/>
        <v>10994</v>
      </c>
      <c r="K94" s="3616"/>
      <c r="L94" s="2941">
        <v>4677.9037333333345</v>
      </c>
      <c r="M94" s="3614">
        <f t="shared" si="341"/>
        <v>0</v>
      </c>
      <c r="N94" s="3614">
        <f t="shared" si="341"/>
        <v>15671.903733333334</v>
      </c>
      <c r="O94" s="3616"/>
      <c r="P94" s="425">
        <v>5662.2806709677416</v>
      </c>
      <c r="Q94" s="3615">
        <f t="shared" si="342"/>
        <v>0</v>
      </c>
      <c r="R94" s="3615">
        <f t="shared" si="342"/>
        <v>21334.184404301075</v>
      </c>
      <c r="S94" s="3616">
        <v>0</v>
      </c>
      <c r="T94" s="2741">
        <v>3071.9608709677418</v>
      </c>
      <c r="U94" s="3615">
        <f t="shared" si="343"/>
        <v>0</v>
      </c>
      <c r="V94" s="53">
        <f t="shared" si="343"/>
        <v>24406.145275268816</v>
      </c>
      <c r="W94" s="3613">
        <v>0</v>
      </c>
      <c r="X94" s="2941">
        <v>1898.6569</v>
      </c>
      <c r="Y94" s="3614">
        <f t="shared" si="344"/>
        <v>0</v>
      </c>
      <c r="Z94" s="3614">
        <f t="shared" si="344"/>
        <v>10632.898441935484</v>
      </c>
      <c r="AA94" s="3621">
        <f t="shared" si="326"/>
        <v>0</v>
      </c>
      <c r="AB94" s="546">
        <f t="shared" si="326"/>
        <v>26304.802175268818</v>
      </c>
      <c r="AC94" s="3616"/>
      <c r="AD94" s="2741">
        <v>1355.8114193548388</v>
      </c>
      <c r="AE94" s="3615">
        <f t="shared" si="345"/>
        <v>0</v>
      </c>
      <c r="AF94" s="53">
        <f t="shared" si="346"/>
        <v>27660.613594623657</v>
      </c>
      <c r="AG94" s="3616"/>
      <c r="AH94" s="2741">
        <v>283.63500000000005</v>
      </c>
      <c r="AI94" s="3615">
        <f t="shared" si="347"/>
        <v>0</v>
      </c>
      <c r="AJ94" s="53">
        <f t="shared" si="348"/>
        <v>27944.248594623656</v>
      </c>
      <c r="AK94" s="4289"/>
      <c r="AL94" s="2941">
        <v>469.83321000000007</v>
      </c>
      <c r="AM94" s="4290">
        <f t="shared" si="349"/>
        <v>0</v>
      </c>
      <c r="AN94" s="4290">
        <f t="shared" si="350"/>
        <v>2109.279629354839</v>
      </c>
      <c r="AO94" s="923">
        <f t="shared" ref="AO94:AO96" si="361">AI94+AK94</f>
        <v>0</v>
      </c>
      <c r="AP94" s="923">
        <f t="shared" ref="AP94:AP96" si="362">AJ94+AL94</f>
        <v>28414.081804623656</v>
      </c>
      <c r="AQ94" s="4408"/>
      <c r="AR94" s="2941"/>
      <c r="AS94" s="3615">
        <f t="shared" si="351"/>
        <v>0</v>
      </c>
      <c r="AT94" s="53">
        <f t="shared" si="352"/>
        <v>28414.081804623656</v>
      </c>
      <c r="AU94" s="4650"/>
      <c r="AV94" s="2941">
        <v>2525.9849999999997</v>
      </c>
      <c r="AW94" s="3615">
        <f t="shared" si="353"/>
        <v>0</v>
      </c>
      <c r="AX94" s="53">
        <f t="shared" si="354"/>
        <v>30940.066804623657</v>
      </c>
      <c r="AY94" s="5066"/>
      <c r="AZ94" s="2941">
        <v>1685</v>
      </c>
      <c r="BA94" s="5062">
        <f t="shared" si="355"/>
        <v>0</v>
      </c>
      <c r="BB94" s="5062">
        <f t="shared" si="356"/>
        <v>4210.9849999999997</v>
      </c>
      <c r="BC94" s="4738">
        <f t="shared" si="357"/>
        <v>0</v>
      </c>
      <c r="BD94" s="4738">
        <f t="shared" si="358"/>
        <v>6320.2646293548387</v>
      </c>
      <c r="BE94" s="3615">
        <f t="shared" si="359"/>
        <v>0</v>
      </c>
      <c r="BF94" s="53">
        <f t="shared" si="360"/>
        <v>32625.066804623657</v>
      </c>
      <c r="BG94" s="648"/>
      <c r="BH94" s="648"/>
      <c r="BI94" s="648"/>
      <c r="BJ94" s="648"/>
      <c r="BK94" s="648"/>
      <c r="BL94" s="648"/>
      <c r="BM94" s="648"/>
      <c r="BN94" s="648"/>
    </row>
    <row r="95" spans="1:66" x14ac:dyDescent="0.25">
      <c r="B95" s="2873" t="s">
        <v>1461</v>
      </c>
      <c r="C95" s="1840" t="s">
        <v>52</v>
      </c>
      <c r="D95" s="270">
        <v>55886.769230769227</v>
      </c>
      <c r="E95" s="270">
        <v>4580.8827238335425</v>
      </c>
      <c r="F95" s="1512">
        <v>3131</v>
      </c>
      <c r="G95" s="270">
        <v>4733.5788146279938</v>
      </c>
      <c r="H95" s="1512">
        <v>1304</v>
      </c>
      <c r="I95" s="3615">
        <f t="shared" si="340"/>
        <v>9314.4615384615354</v>
      </c>
      <c r="J95" s="3615">
        <f t="shared" si="340"/>
        <v>4435</v>
      </c>
      <c r="K95" s="270">
        <v>4580.8827238335425</v>
      </c>
      <c r="L95" s="1512"/>
      <c r="M95" s="3614">
        <f t="shared" ref="M95" si="363">+E95+G95+K95</f>
        <v>13895.344262295079</v>
      </c>
      <c r="N95" s="3614">
        <f t="shared" ref="N95" si="364">+F95+H95+L95</f>
        <v>4435</v>
      </c>
      <c r="O95" s="270">
        <v>4733.5788146279938</v>
      </c>
      <c r="P95" s="425">
        <v>372</v>
      </c>
      <c r="Q95" s="3615">
        <f t="shared" si="342"/>
        <v>18628.923076923071</v>
      </c>
      <c r="R95" s="3615">
        <f t="shared" si="342"/>
        <v>4807</v>
      </c>
      <c r="S95" s="270">
        <v>4733.5788146279938</v>
      </c>
      <c r="T95" s="2739">
        <v>1613.7515967741936</v>
      </c>
      <c r="U95" s="3615">
        <f t="shared" si="343"/>
        <v>23362.501891551066</v>
      </c>
      <c r="V95" s="53">
        <f t="shared" si="343"/>
        <v>6420.7515967741938</v>
      </c>
      <c r="W95" s="856">
        <v>4580.8827238335425</v>
      </c>
      <c r="X95" s="1512">
        <v>1065.57275</v>
      </c>
      <c r="Y95" s="3614">
        <f t="shared" ref="Y95" si="365">+O95+S95+W95</f>
        <v>14048.040353089531</v>
      </c>
      <c r="Z95" s="3614">
        <f t="shared" ref="Z95" si="366">+P95+T95+X95</f>
        <v>3051.3243467741936</v>
      </c>
      <c r="AA95" s="3621">
        <f t="shared" ref="AA95" si="367">+M95+Y95</f>
        <v>27943.38461538461</v>
      </c>
      <c r="AB95" s="546">
        <f t="shared" ref="AB95" si="368">+N95+Z95</f>
        <v>7486.3243467741941</v>
      </c>
      <c r="AC95" s="270">
        <v>4733.5788146279938</v>
      </c>
      <c r="AD95" s="2739">
        <v>1164.8520645161291</v>
      </c>
      <c r="AE95" s="3615">
        <f t="shared" si="345"/>
        <v>32676.963430012605</v>
      </c>
      <c r="AF95" s="53">
        <f t="shared" si="346"/>
        <v>8651.1764112903238</v>
      </c>
      <c r="AG95" s="270">
        <v>4580.8827238335425</v>
      </c>
      <c r="AH95" s="2739"/>
      <c r="AI95" s="3615">
        <f t="shared" si="347"/>
        <v>37257.846153846149</v>
      </c>
      <c r="AJ95" s="53">
        <f t="shared" si="348"/>
        <v>8651.1764112903238</v>
      </c>
      <c r="AK95" s="856">
        <v>4733.5788146279938</v>
      </c>
      <c r="AL95" s="1512"/>
      <c r="AM95" s="4290">
        <f t="shared" si="349"/>
        <v>14048.040353089529</v>
      </c>
      <c r="AN95" s="4290">
        <f t="shared" si="350"/>
        <v>1164.8520645161291</v>
      </c>
      <c r="AO95" s="923">
        <f t="shared" si="361"/>
        <v>41991.424968474144</v>
      </c>
      <c r="AP95" s="923">
        <f t="shared" si="362"/>
        <v>8651.1764112903238</v>
      </c>
      <c r="AQ95" s="856">
        <v>4733.5788146279938</v>
      </c>
      <c r="AR95" s="1512">
        <v>2713.0950000000003</v>
      </c>
      <c r="AS95" s="3615">
        <f t="shared" si="351"/>
        <v>46725.00378310214</v>
      </c>
      <c r="AT95" s="53">
        <f t="shared" si="352"/>
        <v>11364.271411290323</v>
      </c>
      <c r="AU95" s="856">
        <v>4428.1866330390922</v>
      </c>
      <c r="AV95" s="1512">
        <v>187.11</v>
      </c>
      <c r="AW95" s="3615">
        <f t="shared" si="353"/>
        <v>51153.190416141231</v>
      </c>
      <c r="AX95" s="53">
        <f t="shared" si="354"/>
        <v>11551.381411290324</v>
      </c>
      <c r="AY95" s="856">
        <v>4733.5788146279938</v>
      </c>
      <c r="AZ95" s="1512">
        <v>1217</v>
      </c>
      <c r="BA95" s="5062">
        <f t="shared" si="355"/>
        <v>13895.344262295081</v>
      </c>
      <c r="BB95" s="5062">
        <f t="shared" si="356"/>
        <v>4117.2049999999999</v>
      </c>
      <c r="BC95" s="4738">
        <f t="shared" si="357"/>
        <v>27943.38461538461</v>
      </c>
      <c r="BD95" s="4738">
        <f t="shared" si="358"/>
        <v>5282.0570645161288</v>
      </c>
      <c r="BE95" s="3615">
        <f t="shared" si="359"/>
        <v>55886.769230769227</v>
      </c>
      <c r="BF95" s="53">
        <f t="shared" si="360"/>
        <v>12768.381411290324</v>
      </c>
      <c r="BG95" s="648"/>
      <c r="BH95" s="648"/>
      <c r="BI95" s="648"/>
      <c r="BJ95" s="648"/>
      <c r="BK95" s="648"/>
      <c r="BL95" s="648"/>
      <c r="BM95" s="648"/>
      <c r="BN95" s="648"/>
    </row>
    <row r="96" spans="1:66" ht="15.75" thickBot="1" x14ac:dyDescent="0.3">
      <c r="B96" s="2873" t="s">
        <v>1485</v>
      </c>
      <c r="C96" s="1840" t="s">
        <v>52</v>
      </c>
      <c r="D96" s="270"/>
      <c r="E96" s="270"/>
      <c r="F96" s="1512">
        <v>820</v>
      </c>
      <c r="G96" s="270"/>
      <c r="H96" s="1512"/>
      <c r="I96" s="3617">
        <f t="shared" si="340"/>
        <v>0</v>
      </c>
      <c r="J96" s="3617">
        <f t="shared" si="340"/>
        <v>820</v>
      </c>
      <c r="K96" s="270"/>
      <c r="L96" s="1512"/>
      <c r="M96" s="3622">
        <f t="shared" si="341"/>
        <v>0</v>
      </c>
      <c r="N96" s="3622">
        <f t="shared" si="341"/>
        <v>820</v>
      </c>
      <c r="O96" s="270"/>
      <c r="P96" s="1512"/>
      <c r="Q96" s="3617">
        <f t="shared" si="342"/>
        <v>0</v>
      </c>
      <c r="R96" s="3617">
        <f t="shared" si="342"/>
        <v>820</v>
      </c>
      <c r="S96" s="270">
        <v>0</v>
      </c>
      <c r="T96" s="2739">
        <v>0</v>
      </c>
      <c r="U96" s="3615">
        <f t="shared" si="343"/>
        <v>0</v>
      </c>
      <c r="V96" s="201">
        <f t="shared" si="343"/>
        <v>820</v>
      </c>
      <c r="W96" s="856">
        <v>0</v>
      </c>
      <c r="X96" s="1512">
        <v>0</v>
      </c>
      <c r="Y96" s="3622">
        <f t="shared" si="344"/>
        <v>0</v>
      </c>
      <c r="Z96" s="3622">
        <f t="shared" si="344"/>
        <v>0</v>
      </c>
      <c r="AA96" s="3621">
        <f t="shared" si="326"/>
        <v>0</v>
      </c>
      <c r="AB96" s="546">
        <f t="shared" si="326"/>
        <v>820</v>
      </c>
      <c r="AC96" s="270"/>
      <c r="AD96" s="2739"/>
      <c r="AE96" s="3615">
        <f t="shared" si="345"/>
        <v>0</v>
      </c>
      <c r="AF96" s="201">
        <f t="shared" si="346"/>
        <v>820</v>
      </c>
      <c r="AG96" s="270"/>
      <c r="AH96" s="2739"/>
      <c r="AI96" s="3615">
        <f t="shared" si="347"/>
        <v>0</v>
      </c>
      <c r="AJ96" s="201">
        <f t="shared" si="348"/>
        <v>820</v>
      </c>
      <c r="AK96" s="856"/>
      <c r="AL96" s="1512"/>
      <c r="AM96" s="3622">
        <f t="shared" si="349"/>
        <v>0</v>
      </c>
      <c r="AN96" s="3622">
        <f t="shared" si="350"/>
        <v>0</v>
      </c>
      <c r="AO96" s="923">
        <f t="shared" si="361"/>
        <v>0</v>
      </c>
      <c r="AP96" s="923">
        <f t="shared" si="362"/>
        <v>820</v>
      </c>
      <c r="AQ96" s="856"/>
      <c r="AR96" s="1512"/>
      <c r="AS96" s="3615">
        <f t="shared" si="351"/>
        <v>0</v>
      </c>
      <c r="AT96" s="201">
        <f t="shared" si="352"/>
        <v>820</v>
      </c>
      <c r="AU96" s="856"/>
      <c r="AV96" s="1512"/>
      <c r="AW96" s="3615">
        <f t="shared" si="353"/>
        <v>0</v>
      </c>
      <c r="AX96" s="201">
        <f t="shared" si="354"/>
        <v>820</v>
      </c>
      <c r="AY96" s="856"/>
      <c r="AZ96" s="1512"/>
      <c r="BA96" s="3622">
        <f t="shared" si="355"/>
        <v>0</v>
      </c>
      <c r="BB96" s="3622">
        <f t="shared" si="356"/>
        <v>0</v>
      </c>
      <c r="BC96" s="4738">
        <f t="shared" si="357"/>
        <v>0</v>
      </c>
      <c r="BD96" s="4738">
        <f t="shared" si="358"/>
        <v>0</v>
      </c>
      <c r="BE96" s="3615">
        <f t="shared" si="359"/>
        <v>0</v>
      </c>
      <c r="BF96" s="201">
        <f t="shared" si="360"/>
        <v>820</v>
      </c>
      <c r="BG96" s="648"/>
      <c r="BH96" s="648"/>
      <c r="BI96" s="648"/>
      <c r="BJ96" s="648"/>
      <c r="BK96" s="648"/>
      <c r="BL96" s="648"/>
      <c r="BM96" s="648"/>
      <c r="BN96" s="648"/>
    </row>
    <row r="97" spans="1:66" s="183" customFormat="1" ht="16.5" thickBot="1" x14ac:dyDescent="0.3">
      <c r="A97" s="182"/>
      <c r="B97" s="2851" t="s">
        <v>138</v>
      </c>
      <c r="C97" s="1836" t="s">
        <v>52</v>
      </c>
      <c r="D97" s="1825">
        <f>SUM(D93:D96)</f>
        <v>181632</v>
      </c>
      <c r="E97" s="547">
        <f>SUM(E93:E96)</f>
        <v>14887.868852459018</v>
      </c>
      <c r="F97" s="448">
        <f>SUM(F93:F96)</f>
        <v>11182</v>
      </c>
      <c r="G97" s="547">
        <f>SUM(G93:G96)</f>
        <v>15384.131147540982</v>
      </c>
      <c r="H97" s="448">
        <f>SUM(H93:H96)</f>
        <v>12184</v>
      </c>
      <c r="I97" s="857">
        <f t="shared" ref="I97:N97" si="369">SUM(I93:I96)</f>
        <v>30271.999999999996</v>
      </c>
      <c r="J97" s="857">
        <f t="shared" si="369"/>
        <v>23366</v>
      </c>
      <c r="K97" s="547">
        <f>SUM(K93:K96)</f>
        <v>14887.868852459018</v>
      </c>
      <c r="L97" s="448">
        <f>SUM(L93:L96)</f>
        <v>11294.062400000003</v>
      </c>
      <c r="M97" s="428">
        <f t="shared" si="369"/>
        <v>45159.868852459011</v>
      </c>
      <c r="N97" s="1958">
        <f t="shared" si="369"/>
        <v>34660.062400000003</v>
      </c>
      <c r="O97" s="547">
        <f>SUM(O93:O96)</f>
        <v>15384.131147540982</v>
      </c>
      <c r="P97" s="448">
        <f>SUM(P93:P96)</f>
        <v>9367.2619354838716</v>
      </c>
      <c r="Q97" s="857">
        <f t="shared" ref="Q97:X97" si="370">SUM(Q93:Q96)</f>
        <v>60543.999999999993</v>
      </c>
      <c r="R97" s="857">
        <f t="shared" si="370"/>
        <v>44027.324335483871</v>
      </c>
      <c r="S97" s="547">
        <f t="shared" si="370"/>
        <v>15384.131147540982</v>
      </c>
      <c r="T97" s="2742">
        <f t="shared" si="370"/>
        <v>10129.693758064517</v>
      </c>
      <c r="U97" s="857">
        <f t="shared" si="370"/>
        <v>75928.131147540975</v>
      </c>
      <c r="V97" s="448">
        <f t="shared" si="370"/>
        <v>54157.018093548388</v>
      </c>
      <c r="W97" s="857">
        <f t="shared" si="370"/>
        <v>14887.868852459018</v>
      </c>
      <c r="X97" s="448">
        <f t="shared" si="370"/>
        <v>11391.9414</v>
      </c>
      <c r="Y97" s="428">
        <f t="shared" ref="Y97:AF97" si="371">SUM(Y93:Y96)</f>
        <v>45656.131147540982</v>
      </c>
      <c r="Z97" s="1958">
        <f t="shared" si="371"/>
        <v>30888.897093548389</v>
      </c>
      <c r="AA97" s="555">
        <f t="shared" si="371"/>
        <v>90816</v>
      </c>
      <c r="AB97" s="3937">
        <f t="shared" si="371"/>
        <v>65548.959493548391</v>
      </c>
      <c r="AC97" s="547">
        <f t="shared" si="371"/>
        <v>15384.131147540982</v>
      </c>
      <c r="AD97" s="2742">
        <f t="shared" si="371"/>
        <v>12374.166193548388</v>
      </c>
      <c r="AE97" s="857">
        <f t="shared" si="371"/>
        <v>106200.13114754099</v>
      </c>
      <c r="AF97" s="448">
        <f t="shared" si="371"/>
        <v>77923.125687096777</v>
      </c>
      <c r="AG97" s="547">
        <f t="shared" ref="AG97:AN97" si="372">SUM(AG93:AG96)</f>
        <v>14887.868852459018</v>
      </c>
      <c r="AH97" s="2742">
        <f t="shared" si="372"/>
        <v>15467.562000000002</v>
      </c>
      <c r="AI97" s="857">
        <f t="shared" si="372"/>
        <v>121088</v>
      </c>
      <c r="AJ97" s="448">
        <f t="shared" si="372"/>
        <v>93390.687687096783</v>
      </c>
      <c r="AK97" s="857">
        <f t="shared" si="372"/>
        <v>15384.131147540982</v>
      </c>
      <c r="AL97" s="448">
        <f t="shared" si="372"/>
        <v>15852.52053</v>
      </c>
      <c r="AM97" s="428">
        <f t="shared" si="372"/>
        <v>45656.131147540975</v>
      </c>
      <c r="AN97" s="1958">
        <f t="shared" si="372"/>
        <v>43694.248723548386</v>
      </c>
      <c r="AO97" s="857">
        <f t="shared" ref="AO97:AT97" si="373">SUM(AO93:AO96)</f>
        <v>136472.13114754099</v>
      </c>
      <c r="AP97" s="448">
        <f t="shared" si="373"/>
        <v>109243.20821709678</v>
      </c>
      <c r="AQ97" s="857">
        <f t="shared" si="373"/>
        <v>15384.131147540982</v>
      </c>
      <c r="AR97" s="448">
        <f t="shared" si="373"/>
        <v>15024.933000000001</v>
      </c>
      <c r="AS97" s="857">
        <f t="shared" si="373"/>
        <v>151856.26229508198</v>
      </c>
      <c r="AT97" s="448">
        <f t="shared" si="373"/>
        <v>124268.14121709678</v>
      </c>
      <c r="AU97" s="857">
        <f t="shared" ref="AU97:AX97" si="374">SUM(AU93:AU96)</f>
        <v>14391.60655737705</v>
      </c>
      <c r="AV97" s="448">
        <f t="shared" si="374"/>
        <v>14108.094000000001</v>
      </c>
      <c r="AW97" s="857">
        <f t="shared" si="374"/>
        <v>166247.86885245904</v>
      </c>
      <c r="AX97" s="448">
        <f t="shared" si="374"/>
        <v>138376.23521709678</v>
      </c>
      <c r="AY97" s="857">
        <f t="shared" ref="AY97:BF97" si="375">SUM(AY93:AY96)</f>
        <v>15384.131147540982</v>
      </c>
      <c r="AZ97" s="448">
        <f t="shared" si="375"/>
        <v>15091</v>
      </c>
      <c r="BA97" s="428">
        <f t="shared" si="375"/>
        <v>45159.868852459018</v>
      </c>
      <c r="BB97" s="1958">
        <f t="shared" si="375"/>
        <v>44224.027000000002</v>
      </c>
      <c r="BC97" s="555">
        <f t="shared" si="375"/>
        <v>90816</v>
      </c>
      <c r="BD97" s="3937">
        <f t="shared" si="375"/>
        <v>87918.275723548388</v>
      </c>
      <c r="BE97" s="857">
        <f t="shared" si="375"/>
        <v>181632.00000000003</v>
      </c>
      <c r="BF97" s="448">
        <f t="shared" si="375"/>
        <v>153467.23521709678</v>
      </c>
      <c r="BG97" s="648"/>
      <c r="BH97" s="648"/>
      <c r="BI97" s="648"/>
      <c r="BJ97" s="648"/>
      <c r="BK97" s="648"/>
      <c r="BL97" s="648"/>
      <c r="BM97" s="648"/>
      <c r="BN97" s="648"/>
    </row>
    <row r="98" spans="1:66" s="183" customFormat="1" ht="16.5" thickBot="1" x14ac:dyDescent="0.3">
      <c r="A98" s="182"/>
      <c r="B98" s="2851" t="s">
        <v>13</v>
      </c>
      <c r="C98" s="1836" t="s">
        <v>52</v>
      </c>
      <c r="D98" s="1825">
        <f>+D92+D97</f>
        <v>642697.84615384624</v>
      </c>
      <c r="E98" s="547">
        <f>+E92+E97</f>
        <v>52680.151324085753</v>
      </c>
      <c r="F98" s="448">
        <f>+F92+F97</f>
        <v>50320</v>
      </c>
      <c r="G98" s="547">
        <f>+G92+G97</f>
        <v>54436.156368221935</v>
      </c>
      <c r="H98" s="448">
        <f>+H92+H97</f>
        <v>51979</v>
      </c>
      <c r="I98" s="857">
        <f t="shared" ref="I98:N98" si="376">+I92+I97</f>
        <v>107116.30769230769</v>
      </c>
      <c r="J98" s="857">
        <f t="shared" si="376"/>
        <v>102299</v>
      </c>
      <c r="K98" s="547">
        <f>+K92+K97</f>
        <v>52680.151324085753</v>
      </c>
      <c r="L98" s="448">
        <f>+L92+L97</f>
        <v>50320.08</v>
      </c>
      <c r="M98" s="428">
        <f t="shared" si="376"/>
        <v>159796.45901639343</v>
      </c>
      <c r="N98" s="1958">
        <f t="shared" si="376"/>
        <v>152619.07999999999</v>
      </c>
      <c r="O98" s="547">
        <f>+O92+O97</f>
        <v>54436.156368221935</v>
      </c>
      <c r="P98" s="448">
        <f>+P92+P97</f>
        <v>52786.656361290326</v>
      </c>
      <c r="Q98" s="857">
        <f t="shared" ref="Q98:X98" si="377">+Q92+Q97</f>
        <v>214232.61538461538</v>
      </c>
      <c r="R98" s="857">
        <f t="shared" si="377"/>
        <v>205405.7363612903</v>
      </c>
      <c r="S98" s="547">
        <f t="shared" si="377"/>
        <v>54436.156368221935</v>
      </c>
      <c r="T98" s="2742">
        <f t="shared" si="377"/>
        <v>54128.728258064511</v>
      </c>
      <c r="U98" s="857">
        <f t="shared" si="377"/>
        <v>268668.77175283729</v>
      </c>
      <c r="V98" s="448">
        <f t="shared" si="377"/>
        <v>259534.46461935481</v>
      </c>
      <c r="W98" s="857">
        <f t="shared" si="377"/>
        <v>52680.151324085753</v>
      </c>
      <c r="X98" s="448">
        <f t="shared" si="377"/>
        <v>52310.345950000003</v>
      </c>
      <c r="Y98" s="428">
        <f t="shared" ref="Y98:AF98" si="378">+Y92+Y97</f>
        <v>161552.46406052963</v>
      </c>
      <c r="Z98" s="1958">
        <f t="shared" si="378"/>
        <v>159225.73056935484</v>
      </c>
      <c r="AA98" s="555">
        <f t="shared" si="378"/>
        <v>321348.92307692312</v>
      </c>
      <c r="AB98" s="3937">
        <f t="shared" si="378"/>
        <v>311844.81056935486</v>
      </c>
      <c r="AC98" s="547">
        <f t="shared" si="378"/>
        <v>54436.156368221935</v>
      </c>
      <c r="AD98" s="2742">
        <f t="shared" si="378"/>
        <v>53277.660000000011</v>
      </c>
      <c r="AE98" s="857">
        <f t="shared" si="378"/>
        <v>375785.07944514503</v>
      </c>
      <c r="AF98" s="448">
        <f t="shared" si="378"/>
        <v>365122.47056935489</v>
      </c>
      <c r="AG98" s="547">
        <f t="shared" ref="AG98:AN98" si="379">+AG92+AG97</f>
        <v>52680.151324085753</v>
      </c>
      <c r="AH98" s="2742">
        <f t="shared" si="379"/>
        <v>51735.024000000005</v>
      </c>
      <c r="AI98" s="857">
        <f t="shared" si="379"/>
        <v>428465.23076923075</v>
      </c>
      <c r="AJ98" s="448">
        <f t="shared" si="379"/>
        <v>416857.49456935481</v>
      </c>
      <c r="AK98" s="857">
        <f t="shared" si="379"/>
        <v>54436.156368221935</v>
      </c>
      <c r="AL98" s="448">
        <f t="shared" si="379"/>
        <v>52203.69</v>
      </c>
      <c r="AM98" s="428">
        <f t="shared" si="379"/>
        <v>161552.46406052963</v>
      </c>
      <c r="AN98" s="1958">
        <f t="shared" si="379"/>
        <v>157216.37400000001</v>
      </c>
      <c r="AO98" s="857">
        <f t="shared" ref="AO98:AT98" si="380">+AO92+AO97</f>
        <v>482901.38713745272</v>
      </c>
      <c r="AP98" s="448">
        <f t="shared" si="380"/>
        <v>469061.18456935487</v>
      </c>
      <c r="AQ98" s="857">
        <f t="shared" si="380"/>
        <v>54436.156368221935</v>
      </c>
      <c r="AR98" s="448">
        <f t="shared" si="380"/>
        <v>52577.91</v>
      </c>
      <c r="AS98" s="857">
        <f t="shared" si="380"/>
        <v>537337.54350567469</v>
      </c>
      <c r="AT98" s="448">
        <f t="shared" si="380"/>
        <v>521639.09456935484</v>
      </c>
      <c r="AU98" s="857">
        <f t="shared" ref="AU98:AX98" si="381">+AU92+AU97</f>
        <v>50924.146279949564</v>
      </c>
      <c r="AV98" s="448">
        <f t="shared" si="381"/>
        <v>51548.805000000008</v>
      </c>
      <c r="AW98" s="857">
        <f t="shared" si="381"/>
        <v>588261.68978562416</v>
      </c>
      <c r="AX98" s="448">
        <f t="shared" si="381"/>
        <v>573187.89956935483</v>
      </c>
      <c r="AY98" s="857">
        <f t="shared" ref="AY98:BF98" si="382">+AY92+AY97</f>
        <v>54436.156368221935</v>
      </c>
      <c r="AZ98" s="448">
        <f t="shared" si="382"/>
        <v>55084</v>
      </c>
      <c r="BA98" s="428">
        <f t="shared" si="382"/>
        <v>159796.45901639343</v>
      </c>
      <c r="BB98" s="1958">
        <f t="shared" si="382"/>
        <v>159210.715</v>
      </c>
      <c r="BC98" s="555">
        <f t="shared" si="382"/>
        <v>321348.92307692312</v>
      </c>
      <c r="BD98" s="3937">
        <f t="shared" si="382"/>
        <v>316427.08900000004</v>
      </c>
      <c r="BE98" s="857">
        <f t="shared" si="382"/>
        <v>642697.84615384624</v>
      </c>
      <c r="BF98" s="448">
        <f t="shared" si="382"/>
        <v>628271.89956935483</v>
      </c>
      <c r="BG98" s="648"/>
      <c r="BH98" s="648"/>
      <c r="BI98" s="648"/>
      <c r="BJ98" s="648"/>
      <c r="BK98" s="648"/>
      <c r="BL98" s="648"/>
      <c r="BM98" s="648"/>
      <c r="BN98" s="648"/>
    </row>
    <row r="99" spans="1:66" x14ac:dyDescent="0.25">
      <c r="B99" s="2879" t="s">
        <v>1055</v>
      </c>
      <c r="C99" s="3841" t="s">
        <v>52</v>
      </c>
      <c r="D99" s="6326">
        <v>55282.6</v>
      </c>
      <c r="E99" s="6287">
        <v>4531.3999999999996</v>
      </c>
      <c r="F99" s="29"/>
      <c r="G99" s="6287">
        <v>4682.3999999999996</v>
      </c>
      <c r="H99" s="29">
        <v>559</v>
      </c>
      <c r="I99" s="6285">
        <f>+E99+G99</f>
        <v>9213.7999999999993</v>
      </c>
      <c r="J99" s="89">
        <f>+F99+H99</f>
        <v>559</v>
      </c>
      <c r="K99" s="6287">
        <v>4531.3999999999996</v>
      </c>
      <c r="L99" s="29">
        <v>2981.9306666666666</v>
      </c>
      <c r="M99" s="6310">
        <f>+E99+G99+K99</f>
        <v>13745.199999999999</v>
      </c>
      <c r="N99" s="113">
        <f>+F99+H99+L99</f>
        <v>3540.9306666666666</v>
      </c>
      <c r="O99" s="6287">
        <v>4682.3999999999996</v>
      </c>
      <c r="P99" s="29"/>
      <c r="Q99" s="6285">
        <f>+M99+O99</f>
        <v>18427.599999999999</v>
      </c>
      <c r="R99" s="89">
        <f>+N99+P99</f>
        <v>3540.9306666666666</v>
      </c>
      <c r="S99" s="6287">
        <v>4682.4049896049883</v>
      </c>
      <c r="T99" s="2723">
        <v>0</v>
      </c>
      <c r="U99" s="6285">
        <f>+Q99+S99</f>
        <v>23110.004989604986</v>
      </c>
      <c r="V99" s="89">
        <f>+R99+T99</f>
        <v>3540.9306666666666</v>
      </c>
      <c r="W99" s="6284">
        <v>4531.3596673596676</v>
      </c>
      <c r="X99" s="29">
        <v>0</v>
      </c>
      <c r="Y99" s="6304">
        <f>O99+S99+W99</f>
        <v>13896.164656964656</v>
      </c>
      <c r="Z99" s="113">
        <f>+P99+T99+X99</f>
        <v>0</v>
      </c>
      <c r="AA99" s="6308">
        <f>+Y99+M99</f>
        <v>27641.364656964655</v>
      </c>
      <c r="AB99" s="571">
        <f>+N99+Z99</f>
        <v>3540.9306666666666</v>
      </c>
      <c r="AC99" s="6287">
        <v>4682.4049896049901</v>
      </c>
      <c r="AD99" s="2723">
        <v>3437.2683870967744</v>
      </c>
      <c r="AE99" s="6285">
        <f>+AA99+AC99</f>
        <v>32323.769646569646</v>
      </c>
      <c r="AF99" s="89">
        <f>+AB99+AD99</f>
        <v>6978.199053763441</v>
      </c>
      <c r="AG99" s="6287">
        <v>4531.3596669999997</v>
      </c>
      <c r="AH99" s="2723"/>
      <c r="AI99" s="6285">
        <f>+AE99+AG99</f>
        <v>36855.129313569647</v>
      </c>
      <c r="AJ99" s="89">
        <f>+AF99+AH99</f>
        <v>6978.199053763441</v>
      </c>
      <c r="AK99" s="6284">
        <v>4682.4049896049901</v>
      </c>
      <c r="AL99" s="29"/>
      <c r="AM99" s="6304">
        <f>AC99+AG99+AK99</f>
        <v>13896.169646209979</v>
      </c>
      <c r="AN99" s="113">
        <f>+AD99+AH99+AL99</f>
        <v>3437.2683870967744</v>
      </c>
      <c r="AO99" s="6285">
        <f>AI99+AK99</f>
        <v>41537.534303174638</v>
      </c>
      <c r="AP99" s="923">
        <f t="shared" ref="AP99:AP101" si="383">AJ99+AL99</f>
        <v>6978.199053763441</v>
      </c>
      <c r="AQ99" s="6284">
        <v>4682.3999999999996</v>
      </c>
      <c r="AR99" s="29"/>
      <c r="AS99" s="6285">
        <f>+AO99+AQ99</f>
        <v>46219.934303174639</v>
      </c>
      <c r="AT99" s="89">
        <f>+AP99+AR99</f>
        <v>6978.199053763441</v>
      </c>
      <c r="AU99" s="6284">
        <v>4380.3100000000004</v>
      </c>
      <c r="AV99" s="29"/>
      <c r="AW99" s="6285">
        <f>+AS99+AU99</f>
        <v>50600.244303174637</v>
      </c>
      <c r="AX99" s="89">
        <f>+AT99+AV99</f>
        <v>6978.199053763441</v>
      </c>
      <c r="AY99" s="6284">
        <v>4682.4049999999997</v>
      </c>
      <c r="AZ99" s="29">
        <v>1928</v>
      </c>
      <c r="BA99" s="6304">
        <f>AQ99+AU99+AY99</f>
        <v>13745.114999999998</v>
      </c>
      <c r="BB99" s="113">
        <f>+AR99+AV99+AZ99</f>
        <v>1928</v>
      </c>
      <c r="BC99" s="6308">
        <f>+BA99+AM99</f>
        <v>27641.284646209977</v>
      </c>
      <c r="BD99" s="4738">
        <f t="shared" ref="BD99:BD101" si="384">+AN99+BB99</f>
        <v>5365.2683870967739</v>
      </c>
      <c r="BE99" s="6285">
        <f>+AW99+AY99</f>
        <v>55282.649303174636</v>
      </c>
      <c r="BF99" s="89">
        <f>+AX99+AZ99</f>
        <v>8906.199053763441</v>
      </c>
      <c r="BG99" s="648"/>
      <c r="BH99" s="648"/>
      <c r="BI99" s="648"/>
      <c r="BJ99" s="648"/>
      <c r="BK99" s="648"/>
      <c r="BL99" s="648"/>
      <c r="BM99" s="648"/>
      <c r="BN99" s="648"/>
    </row>
    <row r="100" spans="1:66" x14ac:dyDescent="0.25">
      <c r="B100" s="2869" t="s">
        <v>1245</v>
      </c>
      <c r="C100" s="1830" t="s">
        <v>52</v>
      </c>
      <c r="D100" s="6322"/>
      <c r="E100" s="6007"/>
      <c r="F100" s="18">
        <v>5591</v>
      </c>
      <c r="G100" s="6007"/>
      <c r="H100" s="18">
        <v>5216</v>
      </c>
      <c r="I100" s="6285"/>
      <c r="J100" s="89">
        <f>+F100+H100</f>
        <v>10807</v>
      </c>
      <c r="K100" s="6007"/>
      <c r="L100" s="18">
        <v>2609.1893333333337</v>
      </c>
      <c r="M100" s="6020"/>
      <c r="N100" s="98">
        <f>+F100+H100+L100</f>
        <v>13416.189333333334</v>
      </c>
      <c r="O100" s="6007"/>
      <c r="P100" s="425">
        <v>5870.5919999999996</v>
      </c>
      <c r="Q100" s="6285"/>
      <c r="R100" s="89">
        <f>+N100+P100</f>
        <v>19286.781333333332</v>
      </c>
      <c r="S100" s="6007"/>
      <c r="T100" s="2697">
        <v>6143.9217419354836</v>
      </c>
      <c r="U100" s="6285"/>
      <c r="V100" s="89">
        <f>+R100+T100</f>
        <v>25430.703075268815</v>
      </c>
      <c r="W100" s="6284"/>
      <c r="X100" s="18">
        <v>5812.2150000000001</v>
      </c>
      <c r="Y100" s="6304"/>
      <c r="Z100" s="113">
        <f>+P100+T100+X100</f>
        <v>17826.728741935483</v>
      </c>
      <c r="AA100" s="6308"/>
      <c r="AB100" s="546">
        <f>+N100+Z100</f>
        <v>31242.918075268819</v>
      </c>
      <c r="AC100" s="6007"/>
      <c r="AD100" s="2697">
        <v>2482.4716129032258</v>
      </c>
      <c r="AE100" s="6285"/>
      <c r="AF100" s="89">
        <f>+AB100+AD100</f>
        <v>33725.389688172043</v>
      </c>
      <c r="AG100" s="6007"/>
      <c r="AH100" s="2697">
        <v>4991.9760000000015</v>
      </c>
      <c r="AI100" s="6285"/>
      <c r="AJ100" s="89">
        <f>+AF100+AH100</f>
        <v>38717.365688172045</v>
      </c>
      <c r="AK100" s="6284"/>
      <c r="AL100" s="18">
        <v>5800.41</v>
      </c>
      <c r="AM100" s="6304"/>
      <c r="AN100" s="113">
        <f>+AD100+AH100+AL100</f>
        <v>13274.857612903226</v>
      </c>
      <c r="AO100" s="6285"/>
      <c r="AP100" s="923">
        <f t="shared" si="383"/>
        <v>44517.775688172042</v>
      </c>
      <c r="AQ100" s="6284"/>
      <c r="AR100" s="18">
        <v>5426.1900000000005</v>
      </c>
      <c r="AS100" s="6285"/>
      <c r="AT100" s="89">
        <f>+AP100+AR100</f>
        <v>49943.965688172044</v>
      </c>
      <c r="AU100" s="6284"/>
      <c r="AV100" s="18">
        <v>2713.0950000000003</v>
      </c>
      <c r="AW100" s="6285"/>
      <c r="AX100" s="89">
        <f>+AT100+AV100</f>
        <v>52657.060688172045</v>
      </c>
      <c r="AY100" s="6284"/>
      <c r="AZ100" s="18">
        <v>1030</v>
      </c>
      <c r="BA100" s="6304"/>
      <c r="BB100" s="113">
        <f>+AR100+AV100+AZ100</f>
        <v>9169.2849999999999</v>
      </c>
      <c r="BC100" s="6308"/>
      <c r="BD100" s="4738">
        <f t="shared" si="384"/>
        <v>22444.142612903226</v>
      </c>
      <c r="BE100" s="6285"/>
      <c r="BF100" s="89">
        <f>+AX100+AZ100</f>
        <v>53687.060688172045</v>
      </c>
      <c r="BG100" s="648"/>
      <c r="BH100" s="648"/>
      <c r="BI100" s="648"/>
      <c r="BJ100" s="648"/>
      <c r="BK100" s="648"/>
      <c r="BL100" s="648"/>
      <c r="BM100" s="648"/>
      <c r="BN100" s="648"/>
    </row>
    <row r="101" spans="1:66" ht="15.75" thickBot="1" x14ac:dyDescent="0.3">
      <c r="B101" s="2870" t="s">
        <v>1200</v>
      </c>
      <c r="C101" s="3842" t="s">
        <v>52</v>
      </c>
      <c r="D101" s="6327"/>
      <c r="E101" s="6286"/>
      <c r="F101" s="156"/>
      <c r="G101" s="6286"/>
      <c r="H101" s="156"/>
      <c r="I101" s="6285"/>
      <c r="J101" s="650">
        <f>+F101+H101</f>
        <v>0</v>
      </c>
      <c r="K101" s="6286"/>
      <c r="L101" s="156"/>
      <c r="M101" s="6311"/>
      <c r="N101" s="209">
        <f>+F101+H101+L101</f>
        <v>0</v>
      </c>
      <c r="O101" s="6286"/>
      <c r="P101" s="156"/>
      <c r="Q101" s="6285"/>
      <c r="R101" s="650">
        <f>+N101+P101</f>
        <v>0</v>
      </c>
      <c r="S101" s="6286"/>
      <c r="T101" s="2699">
        <v>0</v>
      </c>
      <c r="U101" s="6285"/>
      <c r="V101" s="650">
        <f>+R101+T101</f>
        <v>0</v>
      </c>
      <c r="W101" s="6284"/>
      <c r="X101" s="156">
        <v>0</v>
      </c>
      <c r="Y101" s="6304"/>
      <c r="Z101" s="649">
        <f>+P101+T101+X101</f>
        <v>0</v>
      </c>
      <c r="AA101" s="6308"/>
      <c r="AB101" s="3695">
        <f>+N101+Z101</f>
        <v>0</v>
      </c>
      <c r="AC101" s="6286"/>
      <c r="AD101" s="2699"/>
      <c r="AE101" s="6285"/>
      <c r="AF101" s="650">
        <f>+AB101+AD101</f>
        <v>0</v>
      </c>
      <c r="AG101" s="6286"/>
      <c r="AH101" s="2699"/>
      <c r="AI101" s="6285"/>
      <c r="AJ101" s="650">
        <f>+AF101+AH101</f>
        <v>0</v>
      </c>
      <c r="AK101" s="6284"/>
      <c r="AL101" s="156"/>
      <c r="AM101" s="6304"/>
      <c r="AN101" s="649">
        <f>+AD101+AH101+AL101</f>
        <v>0</v>
      </c>
      <c r="AO101" s="6285"/>
      <c r="AP101" s="923">
        <f t="shared" si="383"/>
        <v>0</v>
      </c>
      <c r="AQ101" s="6284"/>
      <c r="AR101" s="156"/>
      <c r="AS101" s="6285"/>
      <c r="AT101" s="650">
        <f>+AP101+AR101</f>
        <v>0</v>
      </c>
      <c r="AU101" s="6284"/>
      <c r="AV101" s="156"/>
      <c r="AW101" s="6285"/>
      <c r="AX101" s="650">
        <f>+AT101+AV101</f>
        <v>0</v>
      </c>
      <c r="AY101" s="6284"/>
      <c r="AZ101" s="156"/>
      <c r="BA101" s="6304"/>
      <c r="BB101" s="649">
        <f>+AR101+AV101+AZ101</f>
        <v>0</v>
      </c>
      <c r="BC101" s="6308"/>
      <c r="BD101" s="4738">
        <f t="shared" si="384"/>
        <v>0</v>
      </c>
      <c r="BE101" s="6285"/>
      <c r="BF101" s="650">
        <f>+AX101+AZ101</f>
        <v>0</v>
      </c>
      <c r="BG101" s="648"/>
      <c r="BH101" s="648"/>
      <c r="BI101" s="648"/>
      <c r="BJ101" s="648"/>
      <c r="BK101" s="648"/>
      <c r="BL101" s="648"/>
      <c r="BM101" s="648"/>
      <c r="BN101" s="648"/>
    </row>
    <row r="102" spans="1:66" s="183" customFormat="1" ht="16.5" thickBot="1" x14ac:dyDescent="0.3">
      <c r="A102" s="182"/>
      <c r="B102" s="2851" t="s">
        <v>12</v>
      </c>
      <c r="C102" s="1836" t="s">
        <v>52</v>
      </c>
      <c r="D102" s="1825">
        <f>+D98+D99+D100+D101</f>
        <v>697980.44615384622</v>
      </c>
      <c r="E102" s="547">
        <f>+E98+E99+E100+E101</f>
        <v>57211.551324085754</v>
      </c>
      <c r="F102" s="478">
        <f>+F98+F99+F100+F101</f>
        <v>55911</v>
      </c>
      <c r="G102" s="547">
        <f>+G98+G99+G100+G101</f>
        <v>59118.556368221936</v>
      </c>
      <c r="H102" s="478">
        <f>+H98+H99+H100+H101</f>
        <v>57754</v>
      </c>
      <c r="I102" s="3843">
        <f t="shared" ref="I102:N102" si="385">+I98+I99+I100+I101</f>
        <v>116330.10769230769</v>
      </c>
      <c r="J102" s="3843">
        <f t="shared" si="385"/>
        <v>113665</v>
      </c>
      <c r="K102" s="547">
        <f>+K98+K99+K100+K101</f>
        <v>57211.551324085754</v>
      </c>
      <c r="L102" s="478">
        <f>+L98+L99+L100+L101</f>
        <v>55911.200000000004</v>
      </c>
      <c r="M102" s="428">
        <f t="shared" si="385"/>
        <v>173541.65901639345</v>
      </c>
      <c r="N102" s="96">
        <f t="shared" si="385"/>
        <v>169576.19999999998</v>
      </c>
      <c r="O102" s="547">
        <f>+O98+O99+O100+O101</f>
        <v>59118.556368221936</v>
      </c>
      <c r="P102" s="478">
        <f>+P98+P99+P100+P101</f>
        <v>58657.248361290323</v>
      </c>
      <c r="Q102" s="3843">
        <f t="shared" ref="Q102:X102" si="386">+Q98+Q99+Q100+Q101</f>
        <v>232660.21538461538</v>
      </c>
      <c r="R102" s="3843">
        <f t="shared" si="386"/>
        <v>228233.44836129027</v>
      </c>
      <c r="S102" s="547">
        <f t="shared" si="386"/>
        <v>59118.561357826926</v>
      </c>
      <c r="T102" s="2731">
        <f t="shared" si="386"/>
        <v>60272.649999999994</v>
      </c>
      <c r="U102" s="3843">
        <f t="shared" si="386"/>
        <v>291778.77674244228</v>
      </c>
      <c r="V102" s="478">
        <f t="shared" si="386"/>
        <v>288506.09836129029</v>
      </c>
      <c r="W102" s="857">
        <f t="shared" si="386"/>
        <v>57211.510991445422</v>
      </c>
      <c r="X102" s="478">
        <f t="shared" si="386"/>
        <v>58122.560949999999</v>
      </c>
      <c r="Y102" s="1479">
        <f t="shared" ref="Y102:AF102" si="387">+Y98+Y99+Y100+Y101</f>
        <v>175448.62871749428</v>
      </c>
      <c r="Z102" s="1479">
        <f t="shared" si="387"/>
        <v>177052.45931129032</v>
      </c>
      <c r="AA102" s="1480">
        <f t="shared" si="387"/>
        <v>348990.28773388779</v>
      </c>
      <c r="AB102" s="552">
        <f t="shared" si="387"/>
        <v>346628.65931129031</v>
      </c>
      <c r="AC102" s="547">
        <f t="shared" si="387"/>
        <v>59118.561357826926</v>
      </c>
      <c r="AD102" s="2731">
        <f t="shared" si="387"/>
        <v>59197.400000000009</v>
      </c>
      <c r="AE102" s="3843">
        <f t="shared" si="387"/>
        <v>408108.84909171466</v>
      </c>
      <c r="AF102" s="478">
        <f t="shared" si="387"/>
        <v>405826.05931129039</v>
      </c>
      <c r="AG102" s="547">
        <f t="shared" ref="AG102:AN102" si="388">+AG98+AG99+AG100+AG101</f>
        <v>57211.51099108575</v>
      </c>
      <c r="AH102" s="2731">
        <f t="shared" si="388"/>
        <v>56727.000000000007</v>
      </c>
      <c r="AI102" s="3843">
        <f t="shared" si="388"/>
        <v>465320.36008280038</v>
      </c>
      <c r="AJ102" s="478">
        <f t="shared" si="388"/>
        <v>462553.05931129027</v>
      </c>
      <c r="AK102" s="857">
        <f t="shared" si="388"/>
        <v>59118.561357826926</v>
      </c>
      <c r="AL102" s="478">
        <f t="shared" si="388"/>
        <v>58004.100000000006</v>
      </c>
      <c r="AM102" s="1479">
        <f t="shared" si="388"/>
        <v>175448.63370673961</v>
      </c>
      <c r="AN102" s="1479">
        <f t="shared" si="388"/>
        <v>173928.50000000003</v>
      </c>
      <c r="AO102" s="3843">
        <f t="shared" ref="AO102:AT102" si="389">+AO98+AO99+AO100+AO101</f>
        <v>524438.92144062731</v>
      </c>
      <c r="AP102" s="478">
        <f t="shared" si="389"/>
        <v>520557.15931129031</v>
      </c>
      <c r="AQ102" s="857">
        <f t="shared" si="389"/>
        <v>59118.556368221936</v>
      </c>
      <c r="AR102" s="478">
        <f t="shared" si="389"/>
        <v>58004.100000000006</v>
      </c>
      <c r="AS102" s="3843">
        <f t="shared" si="389"/>
        <v>583557.4778088493</v>
      </c>
      <c r="AT102" s="478">
        <f t="shared" si="389"/>
        <v>578561.25931129034</v>
      </c>
      <c r="AU102" s="857">
        <f t="shared" ref="AU102:AX102" si="390">+AU98+AU99+AU100+AU101</f>
        <v>55304.456279949562</v>
      </c>
      <c r="AV102" s="478">
        <f t="shared" si="390"/>
        <v>54261.900000000009</v>
      </c>
      <c r="AW102" s="3843">
        <f t="shared" si="390"/>
        <v>638861.93408879882</v>
      </c>
      <c r="AX102" s="478">
        <f t="shared" si="390"/>
        <v>632823.15931129025</v>
      </c>
      <c r="AY102" s="857">
        <f t="shared" ref="AY102:BF102" si="391">+AY98+AY99+AY100+AY101</f>
        <v>59118.561368221934</v>
      </c>
      <c r="AZ102" s="478">
        <f t="shared" si="391"/>
        <v>58042</v>
      </c>
      <c r="BA102" s="1479">
        <f t="shared" si="391"/>
        <v>173541.57401639342</v>
      </c>
      <c r="BB102" s="1479">
        <f t="shared" si="391"/>
        <v>170308</v>
      </c>
      <c r="BC102" s="1480">
        <f t="shared" si="391"/>
        <v>348990.20772313309</v>
      </c>
      <c r="BD102" s="552">
        <f t="shared" si="391"/>
        <v>344236.5</v>
      </c>
      <c r="BE102" s="3843">
        <f t="shared" si="391"/>
        <v>697980.49545702082</v>
      </c>
      <c r="BF102" s="478">
        <f t="shared" si="391"/>
        <v>690865.15931129025</v>
      </c>
      <c r="BG102" s="648"/>
      <c r="BH102" s="648"/>
      <c r="BI102" s="648"/>
      <c r="BJ102" s="648"/>
      <c r="BK102" s="648"/>
      <c r="BL102" s="648"/>
      <c r="BM102" s="648"/>
      <c r="BN102" s="648"/>
    </row>
    <row r="103" spans="1:66" s="183" customFormat="1" ht="19.5" thickBot="1" x14ac:dyDescent="0.35">
      <c r="A103" s="182"/>
      <c r="B103" s="2850" t="s">
        <v>196</v>
      </c>
      <c r="C103" s="2863"/>
      <c r="D103" s="1481"/>
      <c r="E103" s="1674"/>
      <c r="F103" s="1675"/>
      <c r="G103" s="1674"/>
      <c r="H103" s="1675"/>
      <c r="I103" s="651"/>
      <c r="J103" s="651"/>
      <c r="K103" s="1674"/>
      <c r="L103" s="1675"/>
      <c r="M103" s="1674"/>
      <c r="N103" s="1675"/>
      <c r="O103" s="1674"/>
      <c r="P103" s="1675"/>
      <c r="Q103" s="651"/>
      <c r="R103" s="651"/>
      <c r="S103" s="1674"/>
      <c r="T103" s="2738"/>
      <c r="U103" s="651"/>
      <c r="V103" s="651"/>
      <c r="W103" s="1674"/>
      <c r="X103" s="1675"/>
      <c r="Y103" s="651"/>
      <c r="Z103" s="651"/>
      <c r="AA103" s="3809"/>
      <c r="AB103" s="651"/>
      <c r="AC103" s="1674"/>
      <c r="AD103" s="2738"/>
      <c r="AE103" s="651"/>
      <c r="AF103" s="651"/>
      <c r="AG103" s="1674"/>
      <c r="AH103" s="2738"/>
      <c r="AI103" s="651"/>
      <c r="AJ103" s="651"/>
      <c r="AK103" s="1674"/>
      <c r="AL103" s="1675"/>
      <c r="AM103" s="651"/>
      <c r="AN103" s="651"/>
      <c r="AO103" s="651"/>
      <c r="AP103" s="651"/>
      <c r="AQ103" s="1674"/>
      <c r="AR103" s="1675"/>
      <c r="AS103" s="651"/>
      <c r="AT103" s="651"/>
      <c r="AU103" s="1674"/>
      <c r="AV103" s="1675"/>
      <c r="AW103" s="651"/>
      <c r="AX103" s="651"/>
      <c r="AY103" s="1674"/>
      <c r="AZ103" s="1675"/>
      <c r="BA103" s="651"/>
      <c r="BB103" s="651"/>
      <c r="BC103" s="3809"/>
      <c r="BD103" s="651"/>
      <c r="BE103" s="651"/>
      <c r="BF103" s="651"/>
      <c r="BG103" s="648"/>
      <c r="BH103" s="648"/>
      <c r="BI103" s="648"/>
      <c r="BJ103" s="648"/>
      <c r="BK103" s="648"/>
      <c r="BL103" s="648"/>
      <c r="BM103" s="648"/>
      <c r="BN103" s="648"/>
    </row>
    <row r="104" spans="1:66" x14ac:dyDescent="0.25">
      <c r="B104" s="2626" t="s">
        <v>10</v>
      </c>
      <c r="C104" s="942" t="s">
        <v>52</v>
      </c>
      <c r="D104" s="539">
        <v>583497.02564102551</v>
      </c>
      <c r="E104" s="444">
        <v>47990.304049320439</v>
      </c>
      <c r="F104" s="117">
        <v>45889</v>
      </c>
      <c r="G104" s="444">
        <v>49589.98085096445</v>
      </c>
      <c r="H104" s="117">
        <v>43099</v>
      </c>
      <c r="I104" s="1403">
        <f t="shared" ref="I104:J107" si="392">+E104+G104</f>
        <v>97580.284900284896</v>
      </c>
      <c r="J104" s="89">
        <f t="shared" si="392"/>
        <v>88988</v>
      </c>
      <c r="K104" s="444">
        <v>47990.304049320439</v>
      </c>
      <c r="L104" s="117">
        <v>43887.44</v>
      </c>
      <c r="M104" s="859">
        <f t="shared" ref="M104:N106" si="393">+E104+G104+K104</f>
        <v>145570.58894960533</v>
      </c>
      <c r="N104" s="102">
        <f t="shared" si="393"/>
        <v>132875.44</v>
      </c>
      <c r="O104" s="444">
        <v>49589.98085096445</v>
      </c>
      <c r="P104" s="425">
        <v>51887.5</v>
      </c>
      <c r="Q104" s="1403">
        <f t="shared" ref="Q104:R106" si="394">+M104+O104</f>
        <v>195160.56980056979</v>
      </c>
      <c r="R104" s="89">
        <f t="shared" si="394"/>
        <v>184762.94</v>
      </c>
      <c r="S104" s="444">
        <v>48581.371070944835</v>
      </c>
      <c r="T104" s="2725">
        <v>40264.463299499999</v>
      </c>
      <c r="U104" s="1403">
        <f t="shared" ref="U104:V108" si="395">+Q104+S104</f>
        <v>243741.94087151461</v>
      </c>
      <c r="V104" s="89">
        <f t="shared" si="395"/>
        <v>225027.4032995</v>
      </c>
      <c r="W104" s="444">
        <v>47014.230068656281</v>
      </c>
      <c r="X104" s="117">
        <v>39175.564305</v>
      </c>
      <c r="Y104" s="924">
        <f t="shared" ref="Y104:Z108" si="396">+O104+S104+W104</f>
        <v>145185.58199056558</v>
      </c>
      <c r="Z104" s="113">
        <f t="shared" si="396"/>
        <v>131327.52760450001</v>
      </c>
      <c r="AA104" s="3621">
        <f t="shared" ref="AA104:AB115" si="397">+M104+Y104</f>
        <v>290756.17094017088</v>
      </c>
      <c r="AB104" s="3621">
        <f t="shared" si="397"/>
        <v>264202.96760450001</v>
      </c>
      <c r="AC104" s="444">
        <v>49589.98085096445</v>
      </c>
      <c r="AD104" s="2725">
        <v>37022.266320000002</v>
      </c>
      <c r="AE104" s="1403">
        <f t="shared" ref="AE104:AE108" si="398">+AA104+AC104</f>
        <v>340346.15179113531</v>
      </c>
      <c r="AF104" s="89">
        <f t="shared" ref="AF104:AF108" si="399">+AB104+AD104</f>
        <v>301225.2339245</v>
      </c>
      <c r="AG104" s="444">
        <v>47990.304049320439</v>
      </c>
      <c r="AH104" s="2725">
        <v>36811.75</v>
      </c>
      <c r="AI104" s="1403">
        <f t="shared" ref="AI104:AI108" si="400">+AE104+AG104</f>
        <v>388336.45584045578</v>
      </c>
      <c r="AJ104" s="89">
        <f t="shared" ref="AJ104:AJ108" si="401">+AF104+AH104</f>
        <v>338036.9839245</v>
      </c>
      <c r="AK104" s="444">
        <v>49589.98085096445</v>
      </c>
      <c r="AL104" s="117">
        <v>47112.508280000009</v>
      </c>
      <c r="AM104" s="924">
        <f t="shared" ref="AM104:AM108" si="402">+AC104+AG104+AK104</f>
        <v>147170.26575124933</v>
      </c>
      <c r="AN104" s="113">
        <f t="shared" ref="AN104:AN108" si="403">+AD104+AH104+AL104</f>
        <v>120946.5246</v>
      </c>
      <c r="AO104" s="923">
        <f t="shared" ref="AO104:AP104" si="404">AI104+AK104</f>
        <v>437926.43669142021</v>
      </c>
      <c r="AP104" s="923">
        <f t="shared" si="404"/>
        <v>385149.49220450001</v>
      </c>
      <c r="AQ104" s="444">
        <v>49589.98085096445</v>
      </c>
      <c r="AR104" s="117">
        <v>52049.82</v>
      </c>
      <c r="AS104" s="1403">
        <f t="shared" ref="AS104:AS108" si="405">+AO104+AQ104</f>
        <v>487516.41754238465</v>
      </c>
      <c r="AT104" s="89">
        <f t="shared" ref="AT104:AT108" si="406">+AP104+AR104</f>
        <v>437199.31220450002</v>
      </c>
      <c r="AU104" s="444">
        <v>46390.627247676421</v>
      </c>
      <c r="AV104" s="117">
        <v>54612.7</v>
      </c>
      <c r="AW104" s="1403">
        <f t="shared" ref="AW104:AW108" si="407">+AS104+AU104</f>
        <v>533907.04479006107</v>
      </c>
      <c r="AX104" s="89">
        <f t="shared" ref="AX104:AX108" si="408">+AT104+AV104</f>
        <v>491812.01220450003</v>
      </c>
      <c r="AY104" s="444">
        <v>49589.98085096445</v>
      </c>
      <c r="AZ104" s="117">
        <v>58141.02</v>
      </c>
      <c r="BA104" s="924">
        <f t="shared" ref="BA104:BA108" si="409">+AQ104+AU104+AY104</f>
        <v>145570.5889496053</v>
      </c>
      <c r="BB104" s="113">
        <f t="shared" ref="BB104:BB108" si="410">+AR104+AV104+AZ104</f>
        <v>164803.53999999998</v>
      </c>
      <c r="BC104" s="4738">
        <f t="shared" ref="BC104:BC108" si="411">+AM104+BA104</f>
        <v>292740.85470085463</v>
      </c>
      <c r="BD104" s="4738">
        <f t="shared" ref="BD104:BD108" si="412">+AN104+BB104</f>
        <v>285750.06459999998</v>
      </c>
      <c r="BE104" s="1403">
        <f t="shared" ref="BE104:BE108" si="413">+AW104+AY104</f>
        <v>583497.02564102551</v>
      </c>
      <c r="BF104" s="89">
        <f t="shared" ref="BF104:BF108" si="414">+AX104+AZ104</f>
        <v>549953.03220450005</v>
      </c>
      <c r="BG104" s="648"/>
      <c r="BH104" s="648"/>
      <c r="BI104" s="648"/>
      <c r="BJ104" s="648"/>
      <c r="BK104" s="648"/>
      <c r="BL104" s="648"/>
      <c r="BM104" s="648"/>
      <c r="BN104" s="648"/>
    </row>
    <row r="105" spans="1:66" x14ac:dyDescent="0.25">
      <c r="B105" s="2626" t="s">
        <v>11</v>
      </c>
      <c r="C105" s="942" t="s">
        <v>52</v>
      </c>
      <c r="D105" s="536">
        <v>139531.89743589741</v>
      </c>
      <c r="E105" s="189">
        <v>11475.942272663584</v>
      </c>
      <c r="F105" s="18">
        <v>8911</v>
      </c>
      <c r="G105" s="189">
        <v>11858.47368175237</v>
      </c>
      <c r="H105" s="18">
        <v>11387</v>
      </c>
      <c r="I105" s="1403">
        <f t="shared" si="392"/>
        <v>23334.415954415956</v>
      </c>
      <c r="J105" s="89">
        <f t="shared" si="392"/>
        <v>20298</v>
      </c>
      <c r="K105" s="189">
        <v>11475.942272663584</v>
      </c>
      <c r="L105" s="18">
        <v>8224.83</v>
      </c>
      <c r="M105" s="101">
        <f t="shared" si="393"/>
        <v>34810.358227079538</v>
      </c>
      <c r="N105" s="98">
        <f t="shared" si="393"/>
        <v>28522.83</v>
      </c>
      <c r="O105" s="189">
        <v>11858.47368175237</v>
      </c>
      <c r="P105" s="425">
        <v>6330.2749999999996</v>
      </c>
      <c r="Q105" s="1403">
        <f t="shared" si="394"/>
        <v>46668.831908831911</v>
      </c>
      <c r="R105" s="89">
        <f t="shared" si="394"/>
        <v>34853.105000000003</v>
      </c>
      <c r="S105" s="189">
        <v>11617.284386530286</v>
      </c>
      <c r="T105" s="2697">
        <v>11835.023491499998</v>
      </c>
      <c r="U105" s="1403">
        <f t="shared" si="395"/>
        <v>58286.116295362197</v>
      </c>
      <c r="V105" s="89">
        <f t="shared" si="395"/>
        <v>46688.1284915</v>
      </c>
      <c r="W105" s="189">
        <v>11242.533277287372</v>
      </c>
      <c r="X105" s="18">
        <v>12053.225295</v>
      </c>
      <c r="Y105" s="924">
        <f t="shared" si="396"/>
        <v>34718.291345570025</v>
      </c>
      <c r="Z105" s="113">
        <f t="shared" si="396"/>
        <v>30218.523786499998</v>
      </c>
      <c r="AA105" s="3621">
        <f t="shared" si="397"/>
        <v>69528.649572649563</v>
      </c>
      <c r="AB105" s="3621">
        <f t="shared" si="397"/>
        <v>58741.353786499996</v>
      </c>
      <c r="AC105" s="4055">
        <v>11858.47368175237</v>
      </c>
      <c r="AD105" s="2697">
        <v>12271.913879999998</v>
      </c>
      <c r="AE105" s="1403">
        <f t="shared" si="398"/>
        <v>81387.123254401929</v>
      </c>
      <c r="AF105" s="89">
        <f t="shared" si="399"/>
        <v>71013.267666499989</v>
      </c>
      <c r="AG105" s="4168">
        <v>11475.942272663584</v>
      </c>
      <c r="AH105" s="2697">
        <v>14122.94</v>
      </c>
      <c r="AI105" s="1403">
        <f t="shared" si="400"/>
        <v>92863.065527065512</v>
      </c>
      <c r="AJ105" s="89">
        <f t="shared" si="401"/>
        <v>85136.207666499991</v>
      </c>
      <c r="AK105" s="4292">
        <v>11858.47368175237</v>
      </c>
      <c r="AL105" s="18">
        <v>11961.371888000001</v>
      </c>
      <c r="AM105" s="924">
        <f t="shared" si="402"/>
        <v>35192.889636168329</v>
      </c>
      <c r="AN105" s="113">
        <f t="shared" si="403"/>
        <v>38356.225768000004</v>
      </c>
      <c r="AO105" s="923">
        <f t="shared" ref="AO105:AP110" si="415">AI105+AK105</f>
        <v>104721.53920881788</v>
      </c>
      <c r="AP105" s="923">
        <f t="shared" ref="AP105:AP108" si="416">AJ105+AL105</f>
        <v>97097.5795545</v>
      </c>
      <c r="AQ105" s="4407">
        <v>11858.47368175237</v>
      </c>
      <c r="AR105" s="18">
        <v>10662.21</v>
      </c>
      <c r="AS105" s="1403">
        <f t="shared" si="405"/>
        <v>116580.01289057024</v>
      </c>
      <c r="AT105" s="89">
        <f t="shared" si="406"/>
        <v>107759.78955449999</v>
      </c>
      <c r="AU105" s="4649">
        <v>11093.410863574798</v>
      </c>
      <c r="AV105" s="18">
        <v>9929.58</v>
      </c>
      <c r="AW105" s="1403">
        <f t="shared" si="407"/>
        <v>127673.42375414504</v>
      </c>
      <c r="AX105" s="89">
        <f t="shared" si="408"/>
        <v>117689.36955449999</v>
      </c>
      <c r="AY105" s="5064">
        <v>11858.47368175237</v>
      </c>
      <c r="AZ105" s="18">
        <v>10602.19</v>
      </c>
      <c r="BA105" s="924">
        <f t="shared" si="409"/>
        <v>34810.358227079538</v>
      </c>
      <c r="BB105" s="113">
        <f t="shared" si="410"/>
        <v>31193.980000000003</v>
      </c>
      <c r="BC105" s="4738">
        <f t="shared" si="411"/>
        <v>70003.247863247874</v>
      </c>
      <c r="BD105" s="4738">
        <f t="shared" si="412"/>
        <v>69550.205768000014</v>
      </c>
      <c r="BE105" s="1403">
        <f t="shared" si="413"/>
        <v>139531.89743589741</v>
      </c>
      <c r="BF105" s="89">
        <f t="shared" si="414"/>
        <v>128291.5595545</v>
      </c>
      <c r="BG105" s="648"/>
      <c r="BH105" s="648"/>
      <c r="BI105" s="648"/>
      <c r="BJ105" s="648"/>
      <c r="BK105" s="648"/>
      <c r="BL105" s="648"/>
      <c r="BM105" s="648"/>
      <c r="BN105" s="648"/>
    </row>
    <row r="106" spans="1:66" x14ac:dyDescent="0.25">
      <c r="B106" s="2626" t="s">
        <v>822</v>
      </c>
      <c r="C106" s="942" t="s">
        <v>52</v>
      </c>
      <c r="D106" s="536">
        <v>126847.17948717947</v>
      </c>
      <c r="E106" s="189">
        <v>10432.674793330531</v>
      </c>
      <c r="F106" s="18">
        <v>1911</v>
      </c>
      <c r="G106" s="189">
        <v>10780.430619774881</v>
      </c>
      <c r="H106" s="18"/>
      <c r="I106" s="1403">
        <f t="shared" si="392"/>
        <v>21213.105413105412</v>
      </c>
      <c r="J106" s="89">
        <f t="shared" si="392"/>
        <v>1911</v>
      </c>
      <c r="K106" s="189">
        <v>10432.674793330531</v>
      </c>
      <c r="L106" s="18"/>
      <c r="M106" s="101">
        <f t="shared" si="393"/>
        <v>31645.780206435942</v>
      </c>
      <c r="N106" s="98">
        <f t="shared" si="393"/>
        <v>1911</v>
      </c>
      <c r="O106" s="189">
        <v>10780.430619774881</v>
      </c>
      <c r="P106" s="425">
        <v>2345.3149999999996</v>
      </c>
      <c r="Q106" s="1403">
        <f t="shared" si="394"/>
        <v>42426.210826210823</v>
      </c>
      <c r="R106" s="89">
        <f t="shared" si="394"/>
        <v>4256.3149999999996</v>
      </c>
      <c r="S106" s="189">
        <v>10561.167624118441</v>
      </c>
      <c r="T106" s="2697">
        <v>13580.134194</v>
      </c>
      <c r="U106" s="1403">
        <f t="shared" si="395"/>
        <v>52987.378450329263</v>
      </c>
      <c r="V106" s="89">
        <f t="shared" si="395"/>
        <v>17836.449194000001</v>
      </c>
      <c r="W106" s="189">
        <v>10220.484797533974</v>
      </c>
      <c r="X106" s="18">
        <v>16287.863145000001</v>
      </c>
      <c r="Y106" s="924">
        <f t="shared" si="396"/>
        <v>31562.083041427293</v>
      </c>
      <c r="Z106" s="113">
        <f t="shared" si="396"/>
        <v>32213.312339000004</v>
      </c>
      <c r="AA106" s="3621">
        <f t="shared" si="397"/>
        <v>63207.863247863235</v>
      </c>
      <c r="AB106" s="3621">
        <f t="shared" si="397"/>
        <v>34124.312339000004</v>
      </c>
      <c r="AC106" s="4055">
        <v>10780.430619774881</v>
      </c>
      <c r="AD106" s="2697">
        <v>16413.2772</v>
      </c>
      <c r="AE106" s="1403">
        <f t="shared" si="398"/>
        <v>73988.293867638116</v>
      </c>
      <c r="AF106" s="89">
        <f t="shared" si="399"/>
        <v>50537.589539000008</v>
      </c>
      <c r="AG106" s="4168">
        <v>10432.674793330531</v>
      </c>
      <c r="AH106" s="2697">
        <v>2589.21</v>
      </c>
      <c r="AI106" s="1403">
        <f t="shared" si="400"/>
        <v>84420.968660968647</v>
      </c>
      <c r="AJ106" s="89">
        <f t="shared" si="401"/>
        <v>53126.799539000007</v>
      </c>
      <c r="AK106" s="4292">
        <v>10780.430619774881</v>
      </c>
      <c r="AL106" s="18"/>
      <c r="AM106" s="924">
        <f t="shared" si="402"/>
        <v>31993.536032880293</v>
      </c>
      <c r="AN106" s="113">
        <f t="shared" si="403"/>
        <v>19002.4872</v>
      </c>
      <c r="AO106" s="923">
        <f t="shared" si="415"/>
        <v>95201.399280743528</v>
      </c>
      <c r="AP106" s="923">
        <f t="shared" si="416"/>
        <v>53126.799539000007</v>
      </c>
      <c r="AQ106" s="4407">
        <v>10780.430619774881</v>
      </c>
      <c r="AR106" s="18"/>
      <c r="AS106" s="1403">
        <f t="shared" si="405"/>
        <v>105981.82990051841</v>
      </c>
      <c r="AT106" s="89">
        <f t="shared" si="406"/>
        <v>53126.799539000007</v>
      </c>
      <c r="AU106" s="4649">
        <v>10084.91896688618</v>
      </c>
      <c r="AV106" s="18"/>
      <c r="AW106" s="1403">
        <f t="shared" si="407"/>
        <v>116066.74886740459</v>
      </c>
      <c r="AX106" s="89">
        <f t="shared" si="408"/>
        <v>53126.799539000007</v>
      </c>
      <c r="AY106" s="5064">
        <v>10780.430619774881</v>
      </c>
      <c r="AZ106" s="18"/>
      <c r="BA106" s="924">
        <f t="shared" si="409"/>
        <v>31645.780206435942</v>
      </c>
      <c r="BB106" s="113">
        <f t="shared" si="410"/>
        <v>0</v>
      </c>
      <c r="BC106" s="4738">
        <f t="shared" si="411"/>
        <v>63639.316239316235</v>
      </c>
      <c r="BD106" s="4738">
        <f t="shared" si="412"/>
        <v>19002.4872</v>
      </c>
      <c r="BE106" s="1403">
        <f t="shared" si="413"/>
        <v>126847.17948717947</v>
      </c>
      <c r="BF106" s="89">
        <f t="shared" si="414"/>
        <v>53126.799539000007</v>
      </c>
      <c r="BG106" s="648"/>
      <c r="BH106" s="648"/>
      <c r="BI106" s="648"/>
      <c r="BJ106" s="648"/>
      <c r="BK106" s="648"/>
      <c r="BL106" s="648"/>
      <c r="BM106" s="648"/>
      <c r="BN106" s="648"/>
    </row>
    <row r="107" spans="1:66" x14ac:dyDescent="0.25">
      <c r="B107" s="2626" t="s">
        <v>1348</v>
      </c>
      <c r="C107" s="942" t="s">
        <v>52</v>
      </c>
      <c r="D107" s="1429"/>
      <c r="E107" s="1658"/>
      <c r="F107" s="156">
        <v>4302</v>
      </c>
      <c r="G107" s="1658"/>
      <c r="H107" s="156">
        <v>4930</v>
      </c>
      <c r="I107" s="1403">
        <f t="shared" si="392"/>
        <v>0</v>
      </c>
      <c r="J107" s="89">
        <f t="shared" si="392"/>
        <v>9232</v>
      </c>
      <c r="K107" s="1658"/>
      <c r="L107" s="156">
        <v>3478.49</v>
      </c>
      <c r="M107" s="101">
        <f t="shared" ref="M107" si="417">+E107+G107+K107</f>
        <v>0</v>
      </c>
      <c r="N107" s="98">
        <f t="shared" ref="N107" si="418">+F107+H107+L107</f>
        <v>12710.49</v>
      </c>
      <c r="O107" s="1658"/>
      <c r="P107" s="425">
        <v>2013.2349999999999</v>
      </c>
      <c r="Q107" s="1403">
        <f t="shared" ref="Q107" si="419">+M107+O107</f>
        <v>0</v>
      </c>
      <c r="R107" s="89">
        <f t="shared" ref="R107" si="420">+N107+P107</f>
        <v>14723.725</v>
      </c>
      <c r="S107" s="1658">
        <v>0</v>
      </c>
      <c r="T107" s="2699">
        <v>338.44571199999996</v>
      </c>
      <c r="U107" s="1403">
        <f t="shared" si="395"/>
        <v>0</v>
      </c>
      <c r="V107" s="89">
        <f t="shared" si="395"/>
        <v>15062.170712000001</v>
      </c>
      <c r="W107" s="1658">
        <v>0</v>
      </c>
      <c r="X107" s="156">
        <v>0</v>
      </c>
      <c r="Y107" s="924">
        <f t="shared" si="396"/>
        <v>0</v>
      </c>
      <c r="Z107" s="113">
        <f t="shared" si="396"/>
        <v>2351.6807119999999</v>
      </c>
      <c r="AA107" s="3621">
        <f t="shared" si="397"/>
        <v>0</v>
      </c>
      <c r="AB107" s="3621">
        <f t="shared" si="397"/>
        <v>15062.170711999999</v>
      </c>
      <c r="AC107" s="4066">
        <v>0</v>
      </c>
      <c r="AD107" s="2699"/>
      <c r="AE107" s="1403">
        <f t="shared" si="398"/>
        <v>0</v>
      </c>
      <c r="AF107" s="89">
        <f t="shared" si="399"/>
        <v>15062.170711999999</v>
      </c>
      <c r="AG107" s="4173"/>
      <c r="AH107" s="2699">
        <v>1872.82</v>
      </c>
      <c r="AI107" s="1403">
        <f t="shared" si="400"/>
        <v>0</v>
      </c>
      <c r="AJ107" s="89">
        <f t="shared" si="401"/>
        <v>16934.990711999999</v>
      </c>
      <c r="AK107" s="4302"/>
      <c r="AL107" s="156">
        <v>4620.9562799999994</v>
      </c>
      <c r="AM107" s="924">
        <f t="shared" si="402"/>
        <v>0</v>
      </c>
      <c r="AN107" s="113">
        <f t="shared" si="403"/>
        <v>6493.7762799999991</v>
      </c>
      <c r="AO107" s="923">
        <f t="shared" si="415"/>
        <v>0</v>
      </c>
      <c r="AP107" s="923">
        <f t="shared" si="416"/>
        <v>21555.946991999997</v>
      </c>
      <c r="AQ107" s="4414"/>
      <c r="AR107" s="156">
        <v>4440.82</v>
      </c>
      <c r="AS107" s="1403">
        <f t="shared" si="405"/>
        <v>0</v>
      </c>
      <c r="AT107" s="89">
        <f t="shared" si="406"/>
        <v>25996.766991999997</v>
      </c>
      <c r="AU107" s="4658"/>
      <c r="AV107" s="156"/>
      <c r="AW107" s="1403">
        <f t="shared" si="407"/>
        <v>0</v>
      </c>
      <c r="AX107" s="89">
        <f t="shared" si="408"/>
        <v>25996.766991999997</v>
      </c>
      <c r="AY107" s="5077"/>
      <c r="AZ107" s="156"/>
      <c r="BA107" s="924">
        <f t="shared" si="409"/>
        <v>0</v>
      </c>
      <c r="BB107" s="113">
        <f t="shared" si="410"/>
        <v>4440.82</v>
      </c>
      <c r="BC107" s="4738">
        <f t="shared" si="411"/>
        <v>0</v>
      </c>
      <c r="BD107" s="4738">
        <f t="shared" si="412"/>
        <v>10934.596279999998</v>
      </c>
      <c r="BE107" s="1403">
        <f t="shared" si="413"/>
        <v>0</v>
      </c>
      <c r="BF107" s="89">
        <f t="shared" si="414"/>
        <v>25996.766991999997</v>
      </c>
      <c r="BG107" s="648"/>
      <c r="BH107" s="648"/>
      <c r="BI107" s="648"/>
      <c r="BJ107" s="648"/>
      <c r="BK107" s="648"/>
      <c r="BL107" s="648"/>
      <c r="BM107" s="648"/>
      <c r="BN107" s="648"/>
    </row>
    <row r="108" spans="1:66" ht="15.75" thickBot="1" x14ac:dyDescent="0.3">
      <c r="B108" s="2626" t="s">
        <v>627</v>
      </c>
      <c r="C108" s="942" t="s">
        <v>52</v>
      </c>
      <c r="D108" s="1695"/>
      <c r="E108" s="866"/>
      <c r="F108" s="52">
        <v>11058</v>
      </c>
      <c r="G108" s="866"/>
      <c r="H108" s="52">
        <v>10051</v>
      </c>
      <c r="I108" s="1403">
        <f>+E108+G108</f>
        <v>0</v>
      </c>
      <c r="J108" s="89">
        <f>+F108+H108</f>
        <v>21109</v>
      </c>
      <c r="K108" s="866"/>
      <c r="L108" s="52">
        <v>12060.92</v>
      </c>
      <c r="M108" s="2056">
        <f>+E108+G108+K108</f>
        <v>0</v>
      </c>
      <c r="N108" s="103">
        <f>+F108+H108+L108</f>
        <v>33169.919999999998</v>
      </c>
      <c r="O108" s="866"/>
      <c r="P108" s="425">
        <v>12089.7875</v>
      </c>
      <c r="Q108" s="1403">
        <f>+M108+O108</f>
        <v>0</v>
      </c>
      <c r="R108" s="89">
        <f>+N108+P108</f>
        <v>45259.707499999997</v>
      </c>
      <c r="S108" s="866">
        <v>0</v>
      </c>
      <c r="T108" s="2702">
        <v>10639.887070999999</v>
      </c>
      <c r="U108" s="1403">
        <f t="shared" si="395"/>
        <v>0</v>
      </c>
      <c r="V108" s="89">
        <f t="shared" si="395"/>
        <v>55899.594570999994</v>
      </c>
      <c r="W108" s="866">
        <v>0</v>
      </c>
      <c r="X108" s="156">
        <v>6889.032795000001</v>
      </c>
      <c r="Y108" s="924">
        <f t="shared" si="396"/>
        <v>0</v>
      </c>
      <c r="Z108" s="113">
        <f t="shared" si="396"/>
        <v>29618.707366000002</v>
      </c>
      <c r="AA108" s="3621">
        <f t="shared" si="397"/>
        <v>0</v>
      </c>
      <c r="AB108" s="3621">
        <f t="shared" si="397"/>
        <v>62788.627366000001</v>
      </c>
      <c r="AC108" s="866">
        <v>0</v>
      </c>
      <c r="AD108" s="2702">
        <v>8630.5576799999999</v>
      </c>
      <c r="AE108" s="1403">
        <f t="shared" si="398"/>
        <v>0</v>
      </c>
      <c r="AF108" s="89">
        <f t="shared" si="399"/>
        <v>71419.185045999999</v>
      </c>
      <c r="AG108" s="866"/>
      <c r="AH108" s="2702">
        <v>11636.07</v>
      </c>
      <c r="AI108" s="1403">
        <f t="shared" si="400"/>
        <v>0</v>
      </c>
      <c r="AJ108" s="89">
        <f t="shared" si="401"/>
        <v>83055.255046000006</v>
      </c>
      <c r="AK108" s="866"/>
      <c r="AL108" s="156">
        <v>8190.2466480000003</v>
      </c>
      <c r="AM108" s="924">
        <f t="shared" si="402"/>
        <v>0</v>
      </c>
      <c r="AN108" s="113">
        <f t="shared" si="403"/>
        <v>28456.874327999998</v>
      </c>
      <c r="AO108" s="923">
        <f t="shared" si="415"/>
        <v>0</v>
      </c>
      <c r="AP108" s="923">
        <f t="shared" si="416"/>
        <v>91245.501694000006</v>
      </c>
      <c r="AQ108" s="866"/>
      <c r="AR108" s="156">
        <v>5988.22</v>
      </c>
      <c r="AS108" s="1403">
        <f t="shared" si="405"/>
        <v>0</v>
      </c>
      <c r="AT108" s="89">
        <f t="shared" si="406"/>
        <v>97233.721694000007</v>
      </c>
      <c r="AU108" s="866"/>
      <c r="AV108" s="156">
        <v>9929.58</v>
      </c>
      <c r="AW108" s="1403">
        <f t="shared" si="407"/>
        <v>0</v>
      </c>
      <c r="AX108" s="89">
        <f t="shared" si="408"/>
        <v>107163.30169400001</v>
      </c>
      <c r="AY108" s="866"/>
      <c r="AZ108" s="156">
        <v>10602.19</v>
      </c>
      <c r="BA108" s="924">
        <f t="shared" si="409"/>
        <v>0</v>
      </c>
      <c r="BB108" s="113">
        <f t="shared" si="410"/>
        <v>26519.989999999998</v>
      </c>
      <c r="BC108" s="4738">
        <f t="shared" si="411"/>
        <v>0</v>
      </c>
      <c r="BD108" s="4738">
        <f t="shared" si="412"/>
        <v>54976.864327999996</v>
      </c>
      <c r="BE108" s="1403">
        <f t="shared" si="413"/>
        <v>0</v>
      </c>
      <c r="BF108" s="89">
        <f t="shared" si="414"/>
        <v>117765.49169400001</v>
      </c>
      <c r="BG108" s="648"/>
      <c r="BH108" s="648"/>
      <c r="BI108" s="648"/>
      <c r="BJ108" s="648"/>
      <c r="BK108" s="648"/>
      <c r="BL108" s="648"/>
      <c r="BM108" s="648"/>
      <c r="BN108" s="648"/>
    </row>
    <row r="109" spans="1:66" ht="16.5" thickBot="1" x14ac:dyDescent="0.3">
      <c r="B109" s="2874" t="s">
        <v>14</v>
      </c>
      <c r="C109" s="2287" t="s">
        <v>52</v>
      </c>
      <c r="D109" s="742">
        <f>SUM(D104:D108)</f>
        <v>849876.10256410239</v>
      </c>
      <c r="E109" s="1475">
        <f>SUM(E104:E108)</f>
        <v>69898.921115314559</v>
      </c>
      <c r="F109" s="1475">
        <f>SUM(F104:F108)</f>
        <v>72071</v>
      </c>
      <c r="G109" s="1475">
        <f>SUM(G104:G108)</f>
        <v>72228.885152491697</v>
      </c>
      <c r="H109" s="1475">
        <f>SUM(H104:H108)</f>
        <v>69467</v>
      </c>
      <c r="I109" s="940">
        <f t="shared" ref="I109:N109" si="421">SUM(I104:I108)</f>
        <v>142127.80626780627</v>
      </c>
      <c r="J109" s="940">
        <f t="shared" si="421"/>
        <v>141538</v>
      </c>
      <c r="K109" s="1475">
        <f>SUM(K104:K108)</f>
        <v>69898.921115314559</v>
      </c>
      <c r="L109" s="1475">
        <f>SUM(L104:L108)</f>
        <v>67651.680000000008</v>
      </c>
      <c r="M109" s="2124">
        <f t="shared" si="421"/>
        <v>212026.7273831208</v>
      </c>
      <c r="N109" s="2124">
        <f t="shared" si="421"/>
        <v>209189.68</v>
      </c>
      <c r="O109" s="1475">
        <f>SUM(O104:O108)</f>
        <v>72228.885152491697</v>
      </c>
      <c r="P109" s="1475">
        <f>SUM(P104:P108)</f>
        <v>74666.112500000003</v>
      </c>
      <c r="Q109" s="940">
        <f t="shared" ref="Q109:X109" si="422">SUM(Q104:Q108)</f>
        <v>284255.61253561254</v>
      </c>
      <c r="R109" s="940">
        <f t="shared" si="422"/>
        <v>283855.79250000004</v>
      </c>
      <c r="S109" s="1475">
        <f t="shared" si="422"/>
        <v>70759.823081593568</v>
      </c>
      <c r="T109" s="2743">
        <f t="shared" si="422"/>
        <v>76657.953768000007</v>
      </c>
      <c r="U109" s="940">
        <f t="shared" si="422"/>
        <v>355015.43561720604</v>
      </c>
      <c r="V109" s="940">
        <f t="shared" si="422"/>
        <v>360513.74626799999</v>
      </c>
      <c r="W109" s="1475">
        <f t="shared" si="422"/>
        <v>68477.248143477627</v>
      </c>
      <c r="X109" s="1475">
        <f t="shared" si="422"/>
        <v>74405.685540000006</v>
      </c>
      <c r="Y109" s="2122">
        <f t="shared" ref="Y109:AF109" si="423">SUM(Y104:Y108)</f>
        <v>211465.95637756289</v>
      </c>
      <c r="Z109" s="2122">
        <f t="shared" si="423"/>
        <v>225729.75180800003</v>
      </c>
      <c r="AA109" s="3938">
        <f t="shared" si="423"/>
        <v>423492.68376068369</v>
      </c>
      <c r="AB109" s="3936">
        <f t="shared" si="423"/>
        <v>434919.43180799996</v>
      </c>
      <c r="AC109" s="1475">
        <f t="shared" si="423"/>
        <v>72228.885152491697</v>
      </c>
      <c r="AD109" s="2743">
        <f t="shared" si="423"/>
        <v>74338.015079999997</v>
      </c>
      <c r="AE109" s="940">
        <f t="shared" si="423"/>
        <v>495721.56891317538</v>
      </c>
      <c r="AF109" s="940">
        <f t="shared" si="423"/>
        <v>509257.44688800001</v>
      </c>
      <c r="AG109" s="1475">
        <f t="shared" ref="AG109:AN109" si="424">SUM(AG104:AG108)</f>
        <v>69898.921115314559</v>
      </c>
      <c r="AH109" s="2743">
        <f t="shared" si="424"/>
        <v>67032.790000000008</v>
      </c>
      <c r="AI109" s="940">
        <f t="shared" si="424"/>
        <v>565620.49002848985</v>
      </c>
      <c r="AJ109" s="940">
        <f t="shared" si="424"/>
        <v>576290.23688800004</v>
      </c>
      <c r="AK109" s="1475">
        <f t="shared" si="424"/>
        <v>72228.885152491697</v>
      </c>
      <c r="AL109" s="1475">
        <f t="shared" si="424"/>
        <v>71885.083096000017</v>
      </c>
      <c r="AM109" s="2122">
        <f t="shared" si="424"/>
        <v>214356.69142029795</v>
      </c>
      <c r="AN109" s="2122">
        <f t="shared" si="424"/>
        <v>213255.88817600001</v>
      </c>
      <c r="AO109" s="940">
        <f t="shared" ref="AO109:AT109" si="425">SUM(AO104:AO108)</f>
        <v>637849.3751809817</v>
      </c>
      <c r="AP109" s="940">
        <f t="shared" si="425"/>
        <v>648175.31998399994</v>
      </c>
      <c r="AQ109" s="1475">
        <f t="shared" si="425"/>
        <v>72228.885152491697</v>
      </c>
      <c r="AR109" s="1475">
        <f t="shared" si="425"/>
        <v>73141.070000000007</v>
      </c>
      <c r="AS109" s="940">
        <f t="shared" si="425"/>
        <v>710078.26033347333</v>
      </c>
      <c r="AT109" s="940">
        <f t="shared" si="425"/>
        <v>721316.38998400001</v>
      </c>
      <c r="AU109" s="1475">
        <f t="shared" ref="AU109:AX109" si="426">SUM(AU104:AU108)</f>
        <v>67568.957078137406</v>
      </c>
      <c r="AV109" s="1475">
        <f t="shared" si="426"/>
        <v>74471.86</v>
      </c>
      <c r="AW109" s="940">
        <f t="shared" si="426"/>
        <v>777647.21741161076</v>
      </c>
      <c r="AX109" s="940">
        <f t="shared" si="426"/>
        <v>795788.24998400011</v>
      </c>
      <c r="AY109" s="1475">
        <f t="shared" ref="AY109:BF109" si="427">SUM(AY104:AY108)</f>
        <v>72228.885152491697</v>
      </c>
      <c r="AZ109" s="1475">
        <f t="shared" si="427"/>
        <v>79345.399999999994</v>
      </c>
      <c r="BA109" s="2122">
        <f t="shared" si="427"/>
        <v>212026.72738312077</v>
      </c>
      <c r="BB109" s="2122">
        <f t="shared" si="427"/>
        <v>226958.33</v>
      </c>
      <c r="BC109" s="3938">
        <f t="shared" si="427"/>
        <v>426383.41880341875</v>
      </c>
      <c r="BD109" s="3936">
        <f t="shared" si="427"/>
        <v>440214.21817599999</v>
      </c>
      <c r="BE109" s="940">
        <f t="shared" si="427"/>
        <v>849876.10256410239</v>
      </c>
      <c r="BF109" s="940">
        <f t="shared" si="427"/>
        <v>875133.64998400013</v>
      </c>
      <c r="BG109" s="648"/>
      <c r="BH109" s="648"/>
      <c r="BI109" s="648"/>
      <c r="BJ109" s="648"/>
      <c r="BK109" s="648"/>
      <c r="BL109" s="648"/>
      <c r="BM109" s="648"/>
      <c r="BN109" s="648"/>
    </row>
    <row r="110" spans="1:66" x14ac:dyDescent="0.25">
      <c r="B110" s="2626" t="s">
        <v>1486</v>
      </c>
      <c r="C110" s="942" t="s">
        <v>52</v>
      </c>
      <c r="D110" s="536">
        <v>241009.64102564103</v>
      </c>
      <c r="E110" s="189">
        <v>19822.082107328009</v>
      </c>
      <c r="F110" s="29">
        <v>4428</v>
      </c>
      <c r="G110" s="189">
        <v>20482.818177572277</v>
      </c>
      <c r="H110" s="29">
        <v>12246</v>
      </c>
      <c r="I110" s="864">
        <f t="shared" ref="I110:J113" si="428">+E110+G110</f>
        <v>40304.900284900286</v>
      </c>
      <c r="J110" s="89">
        <f t="shared" si="428"/>
        <v>16674</v>
      </c>
      <c r="K110" s="189">
        <v>19822.082107328009</v>
      </c>
      <c r="L110" s="29">
        <v>14206.53</v>
      </c>
      <c r="M110" s="101">
        <f t="shared" ref="M110:N113" si="429">+E110+G110+K110</f>
        <v>60126.982392228296</v>
      </c>
      <c r="N110" s="113">
        <f t="shared" si="429"/>
        <v>30880.53</v>
      </c>
      <c r="O110" s="189">
        <v>20482.818177572277</v>
      </c>
      <c r="P110" s="425">
        <v>13843.584999999999</v>
      </c>
      <c r="Q110" s="864">
        <f t="shared" ref="Q110:R113" si="430">+M110+O110</f>
        <v>80609.800569800573</v>
      </c>
      <c r="R110" s="89">
        <f t="shared" si="430"/>
        <v>44724.114999999998</v>
      </c>
      <c r="S110" s="189">
        <v>20066.218485825037</v>
      </c>
      <c r="T110" s="2723">
        <v>15695.419894000001</v>
      </c>
      <c r="U110" s="864">
        <f t="shared" ref="U110:V113" si="431">+Q110+S110</f>
        <v>100676.01905562561</v>
      </c>
      <c r="V110" s="89">
        <f t="shared" si="431"/>
        <v>60419.534893999997</v>
      </c>
      <c r="W110" s="189">
        <v>19418.921115314555</v>
      </c>
      <c r="X110" s="29">
        <v>15286.009800000002</v>
      </c>
      <c r="Y110" s="924">
        <f t="shared" ref="Y110:Z113" si="432">+O110+S110+W110</f>
        <v>59967.957778711876</v>
      </c>
      <c r="Z110" s="113">
        <f t="shared" si="432"/>
        <v>44825.014693999998</v>
      </c>
      <c r="AA110" s="3621">
        <f t="shared" si="397"/>
        <v>120094.94017094017</v>
      </c>
      <c r="AB110" s="546">
        <f t="shared" si="397"/>
        <v>75705.544693999997</v>
      </c>
      <c r="AC110" s="4055">
        <v>20482.818177572277</v>
      </c>
      <c r="AD110" s="2723">
        <v>21674.221680000002</v>
      </c>
      <c r="AE110" s="864">
        <f t="shared" ref="AE110:AE113" si="433">+AA110+AC110</f>
        <v>140577.75834851246</v>
      </c>
      <c r="AF110" s="89">
        <f t="shared" ref="AF110:AF113" si="434">+AB110+AD110</f>
        <v>97379.766373999999</v>
      </c>
      <c r="AG110" s="4168">
        <v>19822.082107328009</v>
      </c>
      <c r="AH110" s="2723">
        <v>26577.73</v>
      </c>
      <c r="AI110" s="864">
        <f t="shared" ref="AI110:AI113" si="435">+AE110+AG110</f>
        <v>160399.84045584046</v>
      </c>
      <c r="AJ110" s="89">
        <f t="shared" ref="AJ110:AJ113" si="436">+AF110+AH110</f>
        <v>123957.49637399999</v>
      </c>
      <c r="AK110" s="4292">
        <v>20482.818177572277</v>
      </c>
      <c r="AL110" s="29">
        <v>26801.546424000004</v>
      </c>
      <c r="AM110" s="924">
        <f t="shared" ref="AM110:AM113" si="437">+AC110+AG110+AK110</f>
        <v>60787.718462472563</v>
      </c>
      <c r="AN110" s="113">
        <f t="shared" ref="AN110:AN113" si="438">+AD110+AH110+AL110</f>
        <v>75053.498103999998</v>
      </c>
      <c r="AO110" s="923">
        <f t="shared" si="415"/>
        <v>180882.65863341274</v>
      </c>
      <c r="AP110" s="923">
        <f t="shared" si="415"/>
        <v>150759.04279800001</v>
      </c>
      <c r="AQ110" s="4407">
        <v>20482.818177572277</v>
      </c>
      <c r="AR110" s="29">
        <v>22596.26</v>
      </c>
      <c r="AS110" s="864">
        <f t="shared" ref="AS110:AS113" si="439">+AO110+AQ110</f>
        <v>201365.47681098501</v>
      </c>
      <c r="AT110" s="89">
        <f t="shared" ref="AT110:AT113" si="440">+AP110+AR110</f>
        <v>173355.30279800002</v>
      </c>
      <c r="AU110" s="4649">
        <v>19161.346037083742</v>
      </c>
      <c r="AV110" s="29">
        <v>14894.37</v>
      </c>
      <c r="AW110" s="864">
        <f t="shared" ref="AW110:AW113" si="441">+AS110+AU110</f>
        <v>220526.82284806875</v>
      </c>
      <c r="AX110" s="89">
        <f t="shared" ref="AX110:AX113" si="442">+AT110+AV110</f>
        <v>188249.67279800001</v>
      </c>
      <c r="AY110" s="5064">
        <v>20482.818177572277</v>
      </c>
      <c r="AZ110" s="29">
        <v>15903.28</v>
      </c>
      <c r="BA110" s="924">
        <f t="shared" ref="BA110:BA113" si="443">+AQ110+AU110+AY110</f>
        <v>60126.982392228296</v>
      </c>
      <c r="BB110" s="113">
        <f t="shared" ref="BB110:BB113" si="444">+AR110+AV110+AZ110</f>
        <v>53393.909999999996</v>
      </c>
      <c r="BC110" s="4738">
        <f t="shared" ref="BC110:BC115" si="445">+AM110+BA110</f>
        <v>120914.70085470086</v>
      </c>
      <c r="BD110" s="4738">
        <f t="shared" ref="BD110:BD118" si="446">+AN110+BB110</f>
        <v>128447.408104</v>
      </c>
      <c r="BE110" s="864">
        <f t="shared" ref="BE110:BE113" si="447">+AW110+AY110</f>
        <v>241009.64102564103</v>
      </c>
      <c r="BF110" s="89">
        <f t="shared" ref="BF110:BF113" si="448">+AX110+AZ110</f>
        <v>204152.95279800001</v>
      </c>
      <c r="BG110" s="648"/>
      <c r="BH110" s="648"/>
      <c r="BI110" s="648"/>
      <c r="BJ110" s="648"/>
      <c r="BK110" s="648"/>
      <c r="BL110" s="648"/>
      <c r="BM110" s="648"/>
      <c r="BN110" s="648"/>
    </row>
    <row r="111" spans="1:66" x14ac:dyDescent="0.25">
      <c r="B111" s="2626" t="s">
        <v>647</v>
      </c>
      <c r="C111" s="942" t="s">
        <v>52</v>
      </c>
      <c r="D111" s="536"/>
      <c r="E111" s="189"/>
      <c r="F111" s="29">
        <v>8556</v>
      </c>
      <c r="G111" s="189"/>
      <c r="H111" s="29">
        <v>4071</v>
      </c>
      <c r="I111" s="864">
        <f t="shared" si="428"/>
        <v>0</v>
      </c>
      <c r="J111" s="89">
        <f t="shared" si="428"/>
        <v>12627</v>
      </c>
      <c r="K111" s="189"/>
      <c r="L111" s="29">
        <v>6079.22</v>
      </c>
      <c r="M111" s="101">
        <f t="shared" si="429"/>
        <v>0</v>
      </c>
      <c r="N111" s="113">
        <f t="shared" si="429"/>
        <v>18706.22</v>
      </c>
      <c r="O111" s="189"/>
      <c r="P111" s="425">
        <v>4950.0674999999992</v>
      </c>
      <c r="Q111" s="864">
        <f t="shared" si="430"/>
        <v>0</v>
      </c>
      <c r="R111" s="89">
        <f t="shared" si="430"/>
        <v>23656.287499999999</v>
      </c>
      <c r="S111" s="189">
        <v>0</v>
      </c>
      <c r="T111" s="2723">
        <v>0</v>
      </c>
      <c r="U111" s="864">
        <f t="shared" si="431"/>
        <v>0</v>
      </c>
      <c r="V111" s="89">
        <f t="shared" si="431"/>
        <v>23656.287499999999</v>
      </c>
      <c r="W111" s="189">
        <v>0</v>
      </c>
      <c r="X111" s="29">
        <v>1198.09266</v>
      </c>
      <c r="Y111" s="924">
        <f t="shared" si="432"/>
        <v>0</v>
      </c>
      <c r="Z111" s="113">
        <f t="shared" si="432"/>
        <v>6148.1601599999995</v>
      </c>
      <c r="AA111" s="3621">
        <f t="shared" si="397"/>
        <v>0</v>
      </c>
      <c r="AB111" s="546">
        <f t="shared" si="397"/>
        <v>24854.380160000001</v>
      </c>
      <c r="AC111" s="4055"/>
      <c r="AD111" s="2723">
        <v>3510.9195600000003</v>
      </c>
      <c r="AE111" s="864">
        <f t="shared" si="433"/>
        <v>0</v>
      </c>
      <c r="AF111" s="89">
        <f t="shared" si="434"/>
        <v>28365.299720000003</v>
      </c>
      <c r="AG111" s="4168"/>
      <c r="AH111" s="2723">
        <v>1770.48</v>
      </c>
      <c r="AI111" s="864">
        <f t="shared" si="435"/>
        <v>0</v>
      </c>
      <c r="AJ111" s="89">
        <f t="shared" si="436"/>
        <v>30135.779720000002</v>
      </c>
      <c r="AK111" s="4292"/>
      <c r="AL111" s="29">
        <v>2230.8064800000002</v>
      </c>
      <c r="AM111" s="924">
        <f t="shared" si="437"/>
        <v>0</v>
      </c>
      <c r="AN111" s="113">
        <f t="shared" si="438"/>
        <v>7512.20604</v>
      </c>
      <c r="AO111" s="923">
        <f t="shared" ref="AO111:AO113" si="449">AI111+AK111</f>
        <v>0</v>
      </c>
      <c r="AP111" s="923">
        <f t="shared" ref="AP111:AP113" si="450">AJ111+AL111</f>
        <v>32366.586200000002</v>
      </c>
      <c r="AQ111" s="4407"/>
      <c r="AR111" s="29">
        <v>5638.47</v>
      </c>
      <c r="AS111" s="864">
        <f t="shared" si="439"/>
        <v>0</v>
      </c>
      <c r="AT111" s="89">
        <f t="shared" si="440"/>
        <v>38005.056199999999</v>
      </c>
      <c r="AU111" s="4649"/>
      <c r="AV111" s="29">
        <v>9929.58</v>
      </c>
      <c r="AW111" s="864">
        <f t="shared" si="441"/>
        <v>0</v>
      </c>
      <c r="AX111" s="89">
        <f t="shared" si="442"/>
        <v>47934.636200000001</v>
      </c>
      <c r="AY111" s="5064"/>
      <c r="AZ111" s="29">
        <v>10602.19</v>
      </c>
      <c r="BA111" s="924">
        <f t="shared" si="443"/>
        <v>0</v>
      </c>
      <c r="BB111" s="113">
        <f t="shared" si="444"/>
        <v>26170.239999999998</v>
      </c>
      <c r="BC111" s="4738">
        <f t="shared" si="445"/>
        <v>0</v>
      </c>
      <c r="BD111" s="4738">
        <f t="shared" si="446"/>
        <v>33682.446039999995</v>
      </c>
      <c r="BE111" s="864">
        <f t="shared" si="447"/>
        <v>0</v>
      </c>
      <c r="BF111" s="89">
        <f t="shared" si="448"/>
        <v>58536.826200000003</v>
      </c>
      <c r="BG111" s="648"/>
      <c r="BH111" s="648"/>
      <c r="BI111" s="648"/>
      <c r="BJ111" s="648"/>
      <c r="BK111" s="648"/>
      <c r="BL111" s="648"/>
      <c r="BM111" s="648"/>
      <c r="BN111" s="648"/>
    </row>
    <row r="112" spans="1:66" x14ac:dyDescent="0.25">
      <c r="B112" s="2626" t="s">
        <v>1461</v>
      </c>
      <c r="C112" s="942" t="s">
        <v>52</v>
      </c>
      <c r="D112" s="536">
        <v>101477.74358974359</v>
      </c>
      <c r="E112" s="189">
        <v>8346.1398346644255</v>
      </c>
      <c r="F112" s="29">
        <v>4571</v>
      </c>
      <c r="G112" s="189">
        <v>8624.3444958199052</v>
      </c>
      <c r="H112" s="29">
        <v>4930</v>
      </c>
      <c r="I112" s="864">
        <f t="shared" si="428"/>
        <v>16970.484330484331</v>
      </c>
      <c r="J112" s="89">
        <f t="shared" si="428"/>
        <v>9501</v>
      </c>
      <c r="K112" s="189">
        <v>8346.1398346644255</v>
      </c>
      <c r="L112" s="29">
        <v>1137.82</v>
      </c>
      <c r="M112" s="101">
        <f t="shared" ref="M112" si="451">+E112+G112+K112</f>
        <v>25316.624165148758</v>
      </c>
      <c r="N112" s="113">
        <f t="shared" ref="N112" si="452">+F112+H112+L112</f>
        <v>10638.82</v>
      </c>
      <c r="O112" s="189">
        <v>8624.3444958199052</v>
      </c>
      <c r="P112" s="425">
        <v>2013.2349999999999</v>
      </c>
      <c r="Q112" s="864">
        <f t="shared" ref="Q112" si="453">+M112+O112</f>
        <v>33940.968660968661</v>
      </c>
      <c r="R112" s="89">
        <f t="shared" ref="R112" si="454">+N112+P112</f>
        <v>12652.055</v>
      </c>
      <c r="S112" s="189">
        <v>8448.9340992947527</v>
      </c>
      <c r="T112" s="2723">
        <v>4949.7685380000003</v>
      </c>
      <c r="U112" s="864">
        <f t="shared" si="431"/>
        <v>42389.902760263416</v>
      </c>
      <c r="V112" s="89">
        <f t="shared" si="431"/>
        <v>17601.823538000001</v>
      </c>
      <c r="W112" s="189">
        <v>8176.3878380271799</v>
      </c>
      <c r="X112" s="29">
        <v>4131.3540000000003</v>
      </c>
      <c r="Y112" s="924">
        <f t="shared" ref="Y112" si="455">+O112+S112+W112</f>
        <v>25249.666433141836</v>
      </c>
      <c r="Z112" s="113">
        <f t="shared" ref="Z112" si="456">+P112+T112+X112</f>
        <v>11094.357538</v>
      </c>
      <c r="AA112" s="3621">
        <f t="shared" ref="AA112" si="457">+M112+Y112</f>
        <v>50566.290598290594</v>
      </c>
      <c r="AB112" s="546">
        <f t="shared" si="397"/>
        <v>21733.177538</v>
      </c>
      <c r="AC112" s="4055">
        <v>8624.3444958199052</v>
      </c>
      <c r="AD112" s="2723"/>
      <c r="AE112" s="864">
        <f t="shared" si="433"/>
        <v>59190.635094110497</v>
      </c>
      <c r="AF112" s="89">
        <f t="shared" si="434"/>
        <v>21733.177538</v>
      </c>
      <c r="AG112" s="4168">
        <v>8346.1398346644255</v>
      </c>
      <c r="AH112" s="2723"/>
      <c r="AI112" s="864">
        <f t="shared" si="435"/>
        <v>67536.774928774917</v>
      </c>
      <c r="AJ112" s="89">
        <f t="shared" si="436"/>
        <v>21733.177538</v>
      </c>
      <c r="AK112" s="4292">
        <v>8624.3444958199052</v>
      </c>
      <c r="AL112" s="29"/>
      <c r="AM112" s="924">
        <f t="shared" si="437"/>
        <v>25594.828826304234</v>
      </c>
      <c r="AN112" s="113">
        <f t="shared" si="438"/>
        <v>0</v>
      </c>
      <c r="AO112" s="923">
        <f t="shared" si="449"/>
        <v>76161.119424594828</v>
      </c>
      <c r="AP112" s="923">
        <f t="shared" si="450"/>
        <v>21733.177538</v>
      </c>
      <c r="AQ112" s="4407">
        <v>8624.3444958199052</v>
      </c>
      <c r="AR112" s="29"/>
      <c r="AS112" s="864">
        <f t="shared" si="439"/>
        <v>84785.463920414739</v>
      </c>
      <c r="AT112" s="89">
        <f t="shared" si="440"/>
        <v>21733.177538</v>
      </c>
      <c r="AU112" s="4649">
        <v>8067.935173508944</v>
      </c>
      <c r="AV112" s="29"/>
      <c r="AW112" s="864">
        <f t="shared" si="441"/>
        <v>92853.399093923683</v>
      </c>
      <c r="AX112" s="89">
        <f t="shared" si="442"/>
        <v>21733.177538</v>
      </c>
      <c r="AY112" s="5064">
        <v>8624.3444958199052</v>
      </c>
      <c r="AZ112" s="29"/>
      <c r="BA112" s="924">
        <f t="shared" si="443"/>
        <v>25316.624165148751</v>
      </c>
      <c r="BB112" s="113">
        <f t="shared" si="444"/>
        <v>0</v>
      </c>
      <c r="BC112" s="4738">
        <f t="shared" si="445"/>
        <v>50911.452991452985</v>
      </c>
      <c r="BD112" s="4738">
        <f t="shared" si="446"/>
        <v>0</v>
      </c>
      <c r="BE112" s="864">
        <f t="shared" si="447"/>
        <v>101477.74358974359</v>
      </c>
      <c r="BF112" s="89">
        <f t="shared" si="448"/>
        <v>21733.177538</v>
      </c>
      <c r="BG112" s="648"/>
      <c r="BH112" s="648"/>
      <c r="BI112" s="648"/>
      <c r="BJ112" s="648"/>
      <c r="BK112" s="648"/>
      <c r="BL112" s="648"/>
      <c r="BM112" s="648"/>
      <c r="BN112" s="648"/>
    </row>
    <row r="113" spans="1:66" ht="15.75" thickBot="1" x14ac:dyDescent="0.3">
      <c r="B113" s="2626" t="s">
        <v>1485</v>
      </c>
      <c r="C113" s="942" t="s">
        <v>52</v>
      </c>
      <c r="D113" s="536"/>
      <c r="E113" s="189"/>
      <c r="F113" s="29">
        <v>3959</v>
      </c>
      <c r="G113" s="189"/>
      <c r="H113" s="29"/>
      <c r="I113" s="864">
        <f t="shared" si="428"/>
        <v>0</v>
      </c>
      <c r="J113" s="89">
        <f t="shared" si="428"/>
        <v>3959</v>
      </c>
      <c r="K113" s="189"/>
      <c r="L113" s="29"/>
      <c r="M113" s="101">
        <f t="shared" si="429"/>
        <v>0</v>
      </c>
      <c r="N113" s="113">
        <f t="shared" si="429"/>
        <v>3959</v>
      </c>
      <c r="O113" s="189"/>
      <c r="P113" s="29"/>
      <c r="Q113" s="864">
        <f t="shared" si="430"/>
        <v>0</v>
      </c>
      <c r="R113" s="89">
        <f t="shared" si="430"/>
        <v>3959</v>
      </c>
      <c r="S113" s="189">
        <v>0</v>
      </c>
      <c r="T113" s="2723">
        <v>0</v>
      </c>
      <c r="U113" s="864">
        <f t="shared" si="431"/>
        <v>0</v>
      </c>
      <c r="V113" s="89">
        <f t="shared" si="431"/>
        <v>3959</v>
      </c>
      <c r="W113" s="189">
        <v>0</v>
      </c>
      <c r="X113" s="29">
        <v>0</v>
      </c>
      <c r="Y113" s="945">
        <f t="shared" si="432"/>
        <v>0</v>
      </c>
      <c r="Z113" s="113">
        <f t="shared" si="432"/>
        <v>0</v>
      </c>
      <c r="AA113" s="3621">
        <f t="shared" si="397"/>
        <v>0</v>
      </c>
      <c r="AB113" s="546">
        <f t="shared" si="397"/>
        <v>3959</v>
      </c>
      <c r="AC113" s="4055"/>
      <c r="AD113" s="2723"/>
      <c r="AE113" s="864">
        <f t="shared" si="433"/>
        <v>0</v>
      </c>
      <c r="AF113" s="89">
        <f t="shared" si="434"/>
        <v>3959</v>
      </c>
      <c r="AG113" s="4168"/>
      <c r="AH113" s="2723"/>
      <c r="AI113" s="864">
        <f t="shared" si="435"/>
        <v>0</v>
      </c>
      <c r="AJ113" s="89">
        <f t="shared" si="436"/>
        <v>3959</v>
      </c>
      <c r="AK113" s="4292"/>
      <c r="AL113" s="29"/>
      <c r="AM113" s="945">
        <f t="shared" si="437"/>
        <v>0</v>
      </c>
      <c r="AN113" s="113">
        <f t="shared" si="438"/>
        <v>0</v>
      </c>
      <c r="AO113" s="923">
        <f t="shared" si="449"/>
        <v>0</v>
      </c>
      <c r="AP113" s="923">
        <f t="shared" si="450"/>
        <v>3959</v>
      </c>
      <c r="AQ113" s="4407"/>
      <c r="AR113" s="29"/>
      <c r="AS113" s="864">
        <f t="shared" si="439"/>
        <v>0</v>
      </c>
      <c r="AT113" s="89">
        <f t="shared" si="440"/>
        <v>3959</v>
      </c>
      <c r="AU113" s="4649"/>
      <c r="AV113" s="29"/>
      <c r="AW113" s="864">
        <f t="shared" si="441"/>
        <v>0</v>
      </c>
      <c r="AX113" s="89">
        <f t="shared" si="442"/>
        <v>3959</v>
      </c>
      <c r="AY113" s="5064"/>
      <c r="AZ113" s="29"/>
      <c r="BA113" s="945">
        <f t="shared" si="443"/>
        <v>0</v>
      </c>
      <c r="BB113" s="113">
        <f t="shared" si="444"/>
        <v>0</v>
      </c>
      <c r="BC113" s="4738">
        <f t="shared" si="445"/>
        <v>0</v>
      </c>
      <c r="BD113" s="4738">
        <f t="shared" si="446"/>
        <v>0</v>
      </c>
      <c r="BE113" s="864">
        <f t="shared" si="447"/>
        <v>0</v>
      </c>
      <c r="BF113" s="89">
        <f t="shared" si="448"/>
        <v>3959</v>
      </c>
      <c r="BG113" s="648"/>
      <c r="BH113" s="648"/>
      <c r="BI113" s="648"/>
      <c r="BJ113" s="648"/>
      <c r="BK113" s="648"/>
      <c r="BL113" s="648"/>
      <c r="BM113" s="648"/>
      <c r="BN113" s="648"/>
    </row>
    <row r="114" spans="1:66" ht="16.5" thickBot="1" x14ac:dyDescent="0.3">
      <c r="B114" s="2874" t="s">
        <v>138</v>
      </c>
      <c r="C114" s="2287" t="s">
        <v>52</v>
      </c>
      <c r="D114" s="169">
        <f>SUM(D110:D113)</f>
        <v>342487.38461538462</v>
      </c>
      <c r="E114" s="940">
        <f>SUM(E110:E113)</f>
        <v>28168.221941992437</v>
      </c>
      <c r="F114" s="940">
        <f>SUM(F110:F113)</f>
        <v>21514</v>
      </c>
      <c r="G114" s="940">
        <f>SUM(G110:G113)</f>
        <v>29107.16267339218</v>
      </c>
      <c r="H114" s="940">
        <f>SUM(H110:H113)</f>
        <v>21247</v>
      </c>
      <c r="I114" s="940">
        <f t="shared" ref="I114:N114" si="458">SUM(I110:I113)</f>
        <v>57275.384615384617</v>
      </c>
      <c r="J114" s="940">
        <f t="shared" si="458"/>
        <v>42761</v>
      </c>
      <c r="K114" s="940">
        <f>SUM(K110:K113)</f>
        <v>28168.221941992437</v>
      </c>
      <c r="L114" s="940">
        <f>SUM(L110:L113)</f>
        <v>21423.57</v>
      </c>
      <c r="M114" s="2122">
        <f t="shared" si="458"/>
        <v>85443.606557377061</v>
      </c>
      <c r="N114" s="2122">
        <f t="shared" si="458"/>
        <v>64184.57</v>
      </c>
      <c r="O114" s="940">
        <f>SUM(O110:O113)</f>
        <v>29107.16267339218</v>
      </c>
      <c r="P114" s="940">
        <f>SUM(P110:P113)</f>
        <v>20806.887499999997</v>
      </c>
      <c r="Q114" s="940">
        <f t="shared" ref="Q114:X114" si="459">SUM(Q110:Q113)</f>
        <v>114550.76923076923</v>
      </c>
      <c r="R114" s="940">
        <f t="shared" si="459"/>
        <v>84991.45749999999</v>
      </c>
      <c r="S114" s="940">
        <f t="shared" si="459"/>
        <v>28515.152585119788</v>
      </c>
      <c r="T114" s="2740">
        <f t="shared" si="459"/>
        <v>20645.188432000003</v>
      </c>
      <c r="U114" s="940">
        <f t="shared" si="459"/>
        <v>143065.92181588901</v>
      </c>
      <c r="V114" s="940">
        <f t="shared" si="459"/>
        <v>105636.64593199998</v>
      </c>
      <c r="W114" s="940">
        <f t="shared" si="459"/>
        <v>27595.308953341737</v>
      </c>
      <c r="X114" s="940">
        <f t="shared" si="459"/>
        <v>20615.456460000001</v>
      </c>
      <c r="Y114" s="2122">
        <f t="shared" ref="Y114:Z114" si="460">SUM(Y110:Y113)</f>
        <v>85217.624211853719</v>
      </c>
      <c r="Z114" s="2122">
        <f t="shared" si="460"/>
        <v>62067.532391999994</v>
      </c>
      <c r="AA114" s="3938">
        <f t="shared" si="397"/>
        <v>170661.23076923078</v>
      </c>
      <c r="AB114" s="3938">
        <f t="shared" si="397"/>
        <v>126252.102392</v>
      </c>
      <c r="AC114" s="940">
        <f t="shared" ref="AC114:AF114" si="461">SUM(AC110:AC113)</f>
        <v>29107.16267339218</v>
      </c>
      <c r="AD114" s="2740">
        <f t="shared" si="461"/>
        <v>25185.141240000004</v>
      </c>
      <c r="AE114" s="940">
        <f t="shared" si="461"/>
        <v>199768.39344262297</v>
      </c>
      <c r="AF114" s="940">
        <f t="shared" si="461"/>
        <v>151437.243632</v>
      </c>
      <c r="AG114" s="940">
        <f t="shared" ref="AG114:AN114" si="462">SUM(AG110:AG113)</f>
        <v>28168.221941992437</v>
      </c>
      <c r="AH114" s="2740">
        <f t="shared" si="462"/>
        <v>28348.21</v>
      </c>
      <c r="AI114" s="940">
        <f t="shared" si="462"/>
        <v>227936.61538461538</v>
      </c>
      <c r="AJ114" s="940">
        <f t="shared" si="462"/>
        <v>179785.45363199999</v>
      </c>
      <c r="AK114" s="940">
        <f t="shared" si="462"/>
        <v>29107.16267339218</v>
      </c>
      <c r="AL114" s="940">
        <f t="shared" si="462"/>
        <v>29032.352904000003</v>
      </c>
      <c r="AM114" s="2122">
        <f t="shared" si="462"/>
        <v>86382.547288776797</v>
      </c>
      <c r="AN114" s="2122">
        <f t="shared" si="462"/>
        <v>82565.704144000003</v>
      </c>
      <c r="AO114" s="940">
        <f t="shared" ref="AO114:AT114" si="463">SUM(AO110:AO113)</f>
        <v>257043.77805800756</v>
      </c>
      <c r="AP114" s="940">
        <f t="shared" si="463"/>
        <v>208817.80653599999</v>
      </c>
      <c r="AQ114" s="940">
        <f t="shared" si="463"/>
        <v>29107.16267339218</v>
      </c>
      <c r="AR114" s="940">
        <f t="shared" si="463"/>
        <v>28234.73</v>
      </c>
      <c r="AS114" s="940">
        <f t="shared" si="463"/>
        <v>286150.94073139975</v>
      </c>
      <c r="AT114" s="940">
        <f t="shared" si="463"/>
        <v>237052.536536</v>
      </c>
      <c r="AU114" s="940">
        <f t="shared" ref="AU114:AX114" si="464">SUM(AU110:AU113)</f>
        <v>27229.281210592686</v>
      </c>
      <c r="AV114" s="940">
        <f t="shared" si="464"/>
        <v>24823.95</v>
      </c>
      <c r="AW114" s="940">
        <f t="shared" si="464"/>
        <v>313380.22194199241</v>
      </c>
      <c r="AX114" s="940">
        <f t="shared" si="464"/>
        <v>261876.48653600001</v>
      </c>
      <c r="AY114" s="940">
        <f t="shared" ref="AY114:BF114" si="465">SUM(AY110:AY113)</f>
        <v>29107.16267339218</v>
      </c>
      <c r="AZ114" s="940">
        <f t="shared" si="465"/>
        <v>26505.47</v>
      </c>
      <c r="BA114" s="2122">
        <f t="shared" si="465"/>
        <v>85443.606557377047</v>
      </c>
      <c r="BB114" s="2122">
        <f t="shared" si="465"/>
        <v>79564.149999999994</v>
      </c>
      <c r="BC114" s="4738">
        <f t="shared" si="445"/>
        <v>171826.15384615384</v>
      </c>
      <c r="BD114" s="4738">
        <f t="shared" si="446"/>
        <v>162129.85414399998</v>
      </c>
      <c r="BE114" s="940">
        <f t="shared" si="465"/>
        <v>342487.38461538462</v>
      </c>
      <c r="BF114" s="940">
        <f t="shared" si="465"/>
        <v>288381.95653600001</v>
      </c>
      <c r="BG114" s="648"/>
      <c r="BH114" s="648"/>
      <c r="BI114" s="648"/>
      <c r="BJ114" s="648"/>
      <c r="BK114" s="648"/>
      <c r="BL114" s="648"/>
      <c r="BM114" s="648"/>
      <c r="BN114" s="648"/>
    </row>
    <row r="115" spans="1:66" ht="16.5" thickBot="1" x14ac:dyDescent="0.3">
      <c r="B115" s="2874" t="s">
        <v>13</v>
      </c>
      <c r="C115" s="2287" t="s">
        <v>52</v>
      </c>
      <c r="D115" s="254">
        <f>+D109+D114</f>
        <v>1192363.487179487</v>
      </c>
      <c r="E115" s="1673">
        <f>+E109+E114</f>
        <v>98067.143057306996</v>
      </c>
      <c r="F115" s="121">
        <f>+F109+F114</f>
        <v>93585</v>
      </c>
      <c r="G115" s="1673">
        <f>+G109+G114</f>
        <v>101336.04782588387</v>
      </c>
      <c r="H115" s="121">
        <f>+H109+H114</f>
        <v>90714</v>
      </c>
      <c r="I115" s="27">
        <f t="shared" ref="I115:N115" si="466">+I109+I114</f>
        <v>199403.19088319089</v>
      </c>
      <c r="J115" s="27">
        <f t="shared" si="466"/>
        <v>184299</v>
      </c>
      <c r="K115" s="1673">
        <f>+K109+K114</f>
        <v>98067.143057306996</v>
      </c>
      <c r="L115" s="121">
        <f>+L109+L114</f>
        <v>89075.25</v>
      </c>
      <c r="M115" s="2118">
        <f t="shared" si="466"/>
        <v>297470.33394049783</v>
      </c>
      <c r="N115" s="1958">
        <f t="shared" si="466"/>
        <v>273374.25</v>
      </c>
      <c r="O115" s="1673">
        <f>+O109+O114</f>
        <v>101336.04782588387</v>
      </c>
      <c r="P115" s="121">
        <f>+P109+P114</f>
        <v>95473</v>
      </c>
      <c r="Q115" s="27">
        <f t="shared" ref="Q115:X115" si="467">+Q109+Q114</f>
        <v>398806.38176638179</v>
      </c>
      <c r="R115" s="27">
        <f t="shared" si="467"/>
        <v>368847.25</v>
      </c>
      <c r="S115" s="1673">
        <f t="shared" si="467"/>
        <v>99274.975666713348</v>
      </c>
      <c r="T115" s="2742">
        <f t="shared" si="467"/>
        <v>97303.142200000002</v>
      </c>
      <c r="U115" s="27">
        <f t="shared" si="467"/>
        <v>498081.35743309505</v>
      </c>
      <c r="V115" s="27">
        <f t="shared" si="467"/>
        <v>466150.3922</v>
      </c>
      <c r="W115" s="1673">
        <f t="shared" si="467"/>
        <v>96072.557096819364</v>
      </c>
      <c r="X115" s="121">
        <f t="shared" si="467"/>
        <v>95021.142000000007</v>
      </c>
      <c r="Y115" s="875">
        <f t="shared" ref="Y115:Z115" si="468">+Y109+Y114</f>
        <v>296683.58058941661</v>
      </c>
      <c r="Z115" s="875">
        <f t="shared" si="468"/>
        <v>287797.28419999999</v>
      </c>
      <c r="AA115" s="3811">
        <f t="shared" si="397"/>
        <v>594153.9145299145</v>
      </c>
      <c r="AB115" s="3811">
        <f t="shared" si="397"/>
        <v>561171.53419999999</v>
      </c>
      <c r="AC115" s="1673">
        <f t="shared" ref="AC115:AF115" si="469">+AC109+AC114</f>
        <v>101336.04782588387</v>
      </c>
      <c r="AD115" s="2742">
        <f t="shared" si="469"/>
        <v>99523.156320000009</v>
      </c>
      <c r="AE115" s="27">
        <f t="shared" si="469"/>
        <v>695489.96235579834</v>
      </c>
      <c r="AF115" s="27">
        <f t="shared" si="469"/>
        <v>660694.69051999995</v>
      </c>
      <c r="AG115" s="1673">
        <f t="shared" ref="AG115:AN115" si="470">+AG109+AG114</f>
        <v>98067.143057306996</v>
      </c>
      <c r="AH115" s="2742">
        <f t="shared" si="470"/>
        <v>95381</v>
      </c>
      <c r="AI115" s="27">
        <f t="shared" si="470"/>
        <v>793557.10541310522</v>
      </c>
      <c r="AJ115" s="27">
        <f t="shared" si="470"/>
        <v>756075.69052000006</v>
      </c>
      <c r="AK115" s="1673">
        <f t="shared" si="470"/>
        <v>101336.04782588387</v>
      </c>
      <c r="AL115" s="121">
        <f t="shared" si="470"/>
        <v>100917.43600000002</v>
      </c>
      <c r="AM115" s="875">
        <f t="shared" si="470"/>
        <v>300739.23870907474</v>
      </c>
      <c r="AN115" s="875">
        <f t="shared" si="470"/>
        <v>295821.59232</v>
      </c>
      <c r="AO115" s="27">
        <f t="shared" ref="AO115:AT115" si="471">+AO109+AO114</f>
        <v>894893.1532389893</v>
      </c>
      <c r="AP115" s="27">
        <f t="shared" si="471"/>
        <v>856993.12651999993</v>
      </c>
      <c r="AQ115" s="1673">
        <f t="shared" si="471"/>
        <v>101336.04782588387</v>
      </c>
      <c r="AR115" s="121">
        <f t="shared" si="471"/>
        <v>101375.8</v>
      </c>
      <c r="AS115" s="27">
        <f t="shared" si="471"/>
        <v>996229.20106487302</v>
      </c>
      <c r="AT115" s="27">
        <f t="shared" si="471"/>
        <v>958368.92651999998</v>
      </c>
      <c r="AU115" s="1673">
        <f t="shared" ref="AU115:AX115" si="472">+AU109+AU114</f>
        <v>94798.238288730092</v>
      </c>
      <c r="AV115" s="121">
        <f t="shared" si="472"/>
        <v>99295.81</v>
      </c>
      <c r="AW115" s="27">
        <f t="shared" si="472"/>
        <v>1091027.4393536032</v>
      </c>
      <c r="AX115" s="27">
        <f t="shared" si="472"/>
        <v>1057664.73652</v>
      </c>
      <c r="AY115" s="1673">
        <f t="shared" ref="AY115:BF115" si="473">+AY109+AY114</f>
        <v>101336.04782588387</v>
      </c>
      <c r="AZ115" s="121">
        <f t="shared" si="473"/>
        <v>105850.87</v>
      </c>
      <c r="BA115" s="875">
        <f t="shared" si="473"/>
        <v>297470.33394049783</v>
      </c>
      <c r="BB115" s="875">
        <f t="shared" si="473"/>
        <v>306522.48</v>
      </c>
      <c r="BC115" s="4738">
        <f t="shared" si="445"/>
        <v>598209.57264957251</v>
      </c>
      <c r="BD115" s="4738">
        <f t="shared" si="446"/>
        <v>602344.07232000004</v>
      </c>
      <c r="BE115" s="27">
        <f t="shared" si="473"/>
        <v>1192363.487179487</v>
      </c>
      <c r="BF115" s="27">
        <f t="shared" si="473"/>
        <v>1163515.6065200001</v>
      </c>
      <c r="BG115" s="648"/>
      <c r="BH115" s="648"/>
      <c r="BI115" s="648"/>
      <c r="BJ115" s="648"/>
      <c r="BK115" s="648"/>
      <c r="BL115" s="648"/>
      <c r="BM115" s="648"/>
      <c r="BN115" s="648"/>
    </row>
    <row r="116" spans="1:66" x14ac:dyDescent="0.25">
      <c r="B116" s="2626" t="s">
        <v>1055</v>
      </c>
      <c r="C116" s="942" t="s">
        <v>52</v>
      </c>
      <c r="D116" s="6322">
        <v>75285.5</v>
      </c>
      <c r="E116" s="6007">
        <v>6191.9</v>
      </c>
      <c r="F116" s="29">
        <v>2408</v>
      </c>
      <c r="G116" s="6007">
        <v>6398.3</v>
      </c>
      <c r="H116" s="29">
        <v>3053</v>
      </c>
      <c r="I116" s="6288">
        <f>+E116+G116</f>
        <v>12590.2</v>
      </c>
      <c r="J116" s="89">
        <f>+F116+H116</f>
        <v>5461</v>
      </c>
      <c r="K116" s="6007">
        <v>6192</v>
      </c>
      <c r="L116" s="29">
        <v>1300.3699999999999</v>
      </c>
      <c r="M116" s="6020">
        <f>+K116+G116+E116</f>
        <v>18782.199999999997</v>
      </c>
      <c r="N116" s="113">
        <f>+F116+H116+L116</f>
        <v>6761.37</v>
      </c>
      <c r="O116" s="6007">
        <v>6398.3</v>
      </c>
      <c r="P116" s="425">
        <v>5084.9750000000004</v>
      </c>
      <c r="Q116" s="6288">
        <f>+M116+O116</f>
        <v>25180.499999999996</v>
      </c>
      <c r="R116" s="89">
        <f>+N116+P116</f>
        <v>11846.345000000001</v>
      </c>
      <c r="S116" s="6007">
        <v>6268.1957033957015</v>
      </c>
      <c r="T116" s="2723">
        <v>2728.7185530000002</v>
      </c>
      <c r="U116" s="6288">
        <f>+Q116+S116</f>
        <v>31448.695703395697</v>
      </c>
      <c r="V116" s="89">
        <f>+R116+T116</f>
        <v>14575.063553000002</v>
      </c>
      <c r="W116" s="6286">
        <v>6065.9958419958384</v>
      </c>
      <c r="X116" s="29">
        <v>3852.4876050000003</v>
      </c>
      <c r="Y116" s="6305">
        <f>+O116+S116+W116</f>
        <v>18732.491545391538</v>
      </c>
      <c r="Z116" s="113">
        <f>+P116+T116+X116</f>
        <v>11666.181158000001</v>
      </c>
      <c r="AA116" s="6307">
        <f>+Y116+M116</f>
        <v>37514.691545391535</v>
      </c>
      <c r="AB116" s="546">
        <f t="shared" ref="AB116:AB118" si="474">+N116+Z116</f>
        <v>18427.551158000002</v>
      </c>
      <c r="AC116" s="6286">
        <v>6398.3312543312541</v>
      </c>
      <c r="AD116" s="2723">
        <v>543.48599999999999</v>
      </c>
      <c r="AE116" s="6288">
        <f>+AA116+AC116</f>
        <v>43913.022799722792</v>
      </c>
      <c r="AF116" s="89">
        <f>+AB116+AD116</f>
        <v>18971.037158000003</v>
      </c>
      <c r="AG116" s="6286">
        <v>6191.93</v>
      </c>
      <c r="AH116" s="2723">
        <v>2998.57</v>
      </c>
      <c r="AI116" s="6288">
        <f>+AE116+AG116</f>
        <v>50104.952799722792</v>
      </c>
      <c r="AJ116" s="89">
        <f>+AF116+AH116</f>
        <v>21969.607158000003</v>
      </c>
      <c r="AK116" s="6286">
        <v>6398.3312543312504</v>
      </c>
      <c r="AL116" s="29">
        <v>509.89862399999998</v>
      </c>
      <c r="AM116" s="6305">
        <f>+AC116+AG116+AK116</f>
        <v>18988.592508662503</v>
      </c>
      <c r="AN116" s="113">
        <f>+AD116+AH116+AL116</f>
        <v>4051.954624</v>
      </c>
      <c r="AO116" s="6288">
        <f>AI116+AK116</f>
        <v>56503.284054054042</v>
      </c>
      <c r="AP116" s="923">
        <f t="shared" ref="AP116:AP118" si="475">AJ116+AL116</f>
        <v>22479.505782000004</v>
      </c>
      <c r="AQ116" s="6286">
        <v>6398.33</v>
      </c>
      <c r="AR116" s="29">
        <v>4610.3999999999996</v>
      </c>
      <c r="AS116" s="6288">
        <f>+AO116+AQ116</f>
        <v>62901.614054054044</v>
      </c>
      <c r="AT116" s="89">
        <f>+AP116+AR116</f>
        <v>27089.905782000002</v>
      </c>
      <c r="AU116" s="6286">
        <v>5985.5</v>
      </c>
      <c r="AV116" s="29"/>
      <c r="AW116" s="6288">
        <f>+AS116+AU116</f>
        <v>68887.114054054051</v>
      </c>
      <c r="AX116" s="89">
        <f>+AT116+AV116</f>
        <v>27089.905782000002</v>
      </c>
      <c r="AY116" s="6286">
        <v>6398.3310000000001</v>
      </c>
      <c r="AZ116" s="29">
        <v>171</v>
      </c>
      <c r="BA116" s="6305">
        <f>+AQ116+AU116+AY116</f>
        <v>18782.161</v>
      </c>
      <c r="BB116" s="113">
        <f>+AR116+AV116+AZ116</f>
        <v>4781.3999999999996</v>
      </c>
      <c r="BC116" s="6307">
        <f>+BA116+AM116</f>
        <v>37770.753508662499</v>
      </c>
      <c r="BD116" s="4738">
        <f t="shared" si="446"/>
        <v>8833.3546239999996</v>
      </c>
      <c r="BE116" s="6288">
        <f>+AW116+AY116</f>
        <v>75285.445054054057</v>
      </c>
      <c r="BF116" s="89">
        <f>+AX116+AZ116</f>
        <v>27260.905782000002</v>
      </c>
      <c r="BG116" s="648"/>
      <c r="BH116" s="648"/>
      <c r="BI116" s="648"/>
      <c r="BJ116" s="648"/>
      <c r="BK116" s="648"/>
      <c r="BL116" s="648"/>
      <c r="BM116" s="648"/>
      <c r="BN116" s="648"/>
    </row>
    <row r="117" spans="1:66" x14ac:dyDescent="0.25">
      <c r="B117" s="2869" t="s">
        <v>1245</v>
      </c>
      <c r="C117" s="1830" t="s">
        <v>52</v>
      </c>
      <c r="D117" s="6322"/>
      <c r="E117" s="6007"/>
      <c r="F117" s="29">
        <v>5730</v>
      </c>
      <c r="G117" s="6007"/>
      <c r="H117" s="29">
        <v>4835</v>
      </c>
      <c r="I117" s="6285"/>
      <c r="J117" s="89">
        <f>+F117+H117</f>
        <v>10565</v>
      </c>
      <c r="K117" s="6007"/>
      <c r="L117" s="29">
        <v>7152.03</v>
      </c>
      <c r="M117" s="6020"/>
      <c r="N117" s="113">
        <f>+F117+H117+L117</f>
        <v>17717.03</v>
      </c>
      <c r="O117" s="6007"/>
      <c r="P117" s="425">
        <v>3217.0250000000001</v>
      </c>
      <c r="Q117" s="6285"/>
      <c r="R117" s="89">
        <f>+N117+P117</f>
        <v>20934.055</v>
      </c>
      <c r="S117" s="6007"/>
      <c r="T117" s="2723">
        <v>5732.4242469999999</v>
      </c>
      <c r="U117" s="6285"/>
      <c r="V117" s="89">
        <f>+R117+T117</f>
        <v>26666.479246999999</v>
      </c>
      <c r="W117" s="6284"/>
      <c r="X117" s="29">
        <v>4410.2203949999994</v>
      </c>
      <c r="Y117" s="6304"/>
      <c r="Z117" s="113">
        <f>+P117+T117+X117</f>
        <v>13359.669642000001</v>
      </c>
      <c r="AA117" s="6308"/>
      <c r="AB117" s="546">
        <f t="shared" si="474"/>
        <v>31076.699642</v>
      </c>
      <c r="AC117" s="6284"/>
      <c r="AD117" s="2723">
        <v>8630.5576799999999</v>
      </c>
      <c r="AE117" s="6285"/>
      <c r="AF117" s="89">
        <f>+AB117+AD117</f>
        <v>39707.257321999998</v>
      </c>
      <c r="AG117" s="6284"/>
      <c r="AH117" s="2723">
        <v>3960.56</v>
      </c>
      <c r="AI117" s="6285"/>
      <c r="AJ117" s="89">
        <f>+AF117+AH117</f>
        <v>43667.817321999995</v>
      </c>
      <c r="AK117" s="6284"/>
      <c r="AL117" s="29">
        <v>4801.545376</v>
      </c>
      <c r="AM117" s="6304"/>
      <c r="AN117" s="113">
        <f>+AD117+AH117+AL117</f>
        <v>17392.663055999998</v>
      </c>
      <c r="AO117" s="6285"/>
      <c r="AP117" s="923">
        <f t="shared" si="475"/>
        <v>48469.362697999997</v>
      </c>
      <c r="AQ117" s="6284"/>
      <c r="AR117" s="29"/>
      <c r="AS117" s="6285"/>
      <c r="AT117" s="89">
        <f>+AP117+AR117</f>
        <v>48469.362697999997</v>
      </c>
      <c r="AU117" s="6284"/>
      <c r="AV117" s="29"/>
      <c r="AW117" s="6285"/>
      <c r="AX117" s="89">
        <f>+AT117+AV117</f>
        <v>48469.362697999997</v>
      </c>
      <c r="AY117" s="6284"/>
      <c r="AZ117" s="29"/>
      <c r="BA117" s="6304"/>
      <c r="BB117" s="113">
        <f>+AR117+AV117+AZ117</f>
        <v>0</v>
      </c>
      <c r="BC117" s="6308"/>
      <c r="BD117" s="4738">
        <f t="shared" si="446"/>
        <v>17392.663055999998</v>
      </c>
      <c r="BE117" s="6285"/>
      <c r="BF117" s="89">
        <f>+AX117+AZ117</f>
        <v>48469.362697999997</v>
      </c>
      <c r="BG117" s="648"/>
      <c r="BH117" s="648"/>
      <c r="BI117" s="648"/>
      <c r="BJ117" s="648"/>
      <c r="BK117" s="648"/>
      <c r="BL117" s="648"/>
      <c r="BM117" s="648"/>
      <c r="BN117" s="648"/>
    </row>
    <row r="118" spans="1:66" ht="15.75" thickBot="1" x14ac:dyDescent="0.3">
      <c r="B118" s="2869" t="s">
        <v>1187</v>
      </c>
      <c r="C118" s="1830" t="s">
        <v>52</v>
      </c>
      <c r="D118" s="6322"/>
      <c r="E118" s="6007"/>
      <c r="F118" s="29"/>
      <c r="G118" s="6007"/>
      <c r="H118" s="29"/>
      <c r="I118" s="6289"/>
      <c r="J118" s="89">
        <f>+F118+H118</f>
        <v>0</v>
      </c>
      <c r="K118" s="6007"/>
      <c r="L118" s="29"/>
      <c r="M118" s="6020"/>
      <c r="N118" s="113">
        <f>+F118+H118+L118</f>
        <v>0</v>
      </c>
      <c r="O118" s="6007"/>
      <c r="P118" s="29"/>
      <c r="Q118" s="6289"/>
      <c r="R118" s="89">
        <f>+N118+P118</f>
        <v>0</v>
      </c>
      <c r="S118" s="6007"/>
      <c r="T118" s="2723">
        <v>0</v>
      </c>
      <c r="U118" s="6289"/>
      <c r="V118" s="89">
        <f>+R118+T118</f>
        <v>0</v>
      </c>
      <c r="W118" s="6287"/>
      <c r="X118" s="29">
        <v>0</v>
      </c>
      <c r="Y118" s="6306"/>
      <c r="Z118" s="113">
        <f>+P118+T118+X118</f>
        <v>0</v>
      </c>
      <c r="AA118" s="6309"/>
      <c r="AB118" s="546">
        <f t="shared" si="474"/>
        <v>0</v>
      </c>
      <c r="AC118" s="6287"/>
      <c r="AD118" s="2723"/>
      <c r="AE118" s="6289"/>
      <c r="AF118" s="89">
        <f>+AB118+AD118</f>
        <v>0</v>
      </c>
      <c r="AG118" s="6287"/>
      <c r="AH118" s="2723"/>
      <c r="AI118" s="6289"/>
      <c r="AJ118" s="89">
        <f>+AF118+AH118</f>
        <v>0</v>
      </c>
      <c r="AK118" s="6287"/>
      <c r="AL118" s="29">
        <v>0</v>
      </c>
      <c r="AM118" s="6306"/>
      <c r="AN118" s="113">
        <f>+AD118+AH118+AL118</f>
        <v>0</v>
      </c>
      <c r="AO118" s="6289"/>
      <c r="AP118" s="923">
        <f t="shared" si="475"/>
        <v>0</v>
      </c>
      <c r="AQ118" s="6287"/>
      <c r="AR118" s="29"/>
      <c r="AS118" s="6289"/>
      <c r="AT118" s="89">
        <f>+AP118+AR118</f>
        <v>0</v>
      </c>
      <c r="AU118" s="6287"/>
      <c r="AV118" s="29"/>
      <c r="AW118" s="6289"/>
      <c r="AX118" s="89">
        <f>+AT118+AV118</f>
        <v>0</v>
      </c>
      <c r="AY118" s="6287"/>
      <c r="AZ118" s="29"/>
      <c r="BA118" s="6306"/>
      <c r="BB118" s="113">
        <f>+AR118+AV118+AZ118</f>
        <v>0</v>
      </c>
      <c r="BC118" s="6309"/>
      <c r="BD118" s="4738">
        <f t="shared" si="446"/>
        <v>0</v>
      </c>
      <c r="BE118" s="6289"/>
      <c r="BF118" s="89">
        <f>+AX118+AZ118</f>
        <v>0</v>
      </c>
      <c r="BG118" s="648"/>
      <c r="BH118" s="648"/>
      <c r="BI118" s="648"/>
      <c r="BJ118" s="648"/>
      <c r="BK118" s="648"/>
      <c r="BL118" s="648"/>
      <c r="BM118" s="648"/>
      <c r="BN118" s="648"/>
    </row>
    <row r="119" spans="1:66" ht="16.5" thickBot="1" x14ac:dyDescent="0.3">
      <c r="B119" s="2875" t="s">
        <v>12</v>
      </c>
      <c r="C119" s="1832" t="s">
        <v>52</v>
      </c>
      <c r="D119" s="742">
        <f>SUM(D115:D118)</f>
        <v>1267648.987179487</v>
      </c>
      <c r="E119" s="1395">
        <f>SUM(E115:E118)</f>
        <v>104259.04305730699</v>
      </c>
      <c r="F119" s="1475">
        <f>SUM(F115:F118)</f>
        <v>101723</v>
      </c>
      <c r="G119" s="1395">
        <f>SUM(G115:G118)</f>
        <v>107734.34782588387</v>
      </c>
      <c r="H119" s="1475">
        <f>SUM(H115:H118)</f>
        <v>98602</v>
      </c>
      <c r="I119" s="652">
        <f t="shared" ref="I119:N119" si="476">SUM(I115:I118)</f>
        <v>211993.39088319091</v>
      </c>
      <c r="J119" s="652">
        <f t="shared" si="476"/>
        <v>200325</v>
      </c>
      <c r="K119" s="1395">
        <f>SUM(K115:K118)</f>
        <v>104259.143057307</v>
      </c>
      <c r="L119" s="1475">
        <f>SUM(L115:L118)</f>
        <v>97527.65</v>
      </c>
      <c r="M119" s="1046">
        <f t="shared" si="476"/>
        <v>316252.53394049784</v>
      </c>
      <c r="N119" s="2124">
        <f t="shared" si="476"/>
        <v>297852.65000000002</v>
      </c>
      <c r="O119" s="1395">
        <f>SUM(O115:O118)</f>
        <v>107734.34782588387</v>
      </c>
      <c r="P119" s="1475">
        <f>SUM(P115:P118)</f>
        <v>103775</v>
      </c>
      <c r="Q119" s="652">
        <f t="shared" ref="Q119:X119" si="477">SUM(Q115:Q118)</f>
        <v>423986.88176638179</v>
      </c>
      <c r="R119" s="652">
        <f t="shared" si="477"/>
        <v>401627.64999999997</v>
      </c>
      <c r="S119" s="1395">
        <f t="shared" si="477"/>
        <v>105543.17137010905</v>
      </c>
      <c r="T119" s="2743">
        <f t="shared" si="477"/>
        <v>105764.285</v>
      </c>
      <c r="U119" s="652">
        <f t="shared" si="477"/>
        <v>529530.05313649075</v>
      </c>
      <c r="V119" s="652">
        <f t="shared" si="477"/>
        <v>507391.935</v>
      </c>
      <c r="W119" s="1395">
        <f t="shared" si="477"/>
        <v>102138.55293881521</v>
      </c>
      <c r="X119" s="1475">
        <f t="shared" si="477"/>
        <v>103283.85</v>
      </c>
      <c r="Y119" s="428">
        <f t="shared" ref="Y119:AF119" si="478">SUM(Y115:Y118)</f>
        <v>315416.07213480817</v>
      </c>
      <c r="Z119" s="428">
        <f t="shared" si="478"/>
        <v>312823.13500000001</v>
      </c>
      <c r="AA119" s="3810">
        <f t="shared" si="478"/>
        <v>631668.60607530607</v>
      </c>
      <c r="AB119" s="555">
        <f t="shared" si="478"/>
        <v>610675.78500000003</v>
      </c>
      <c r="AC119" s="1395">
        <f t="shared" si="478"/>
        <v>107734.37908021512</v>
      </c>
      <c r="AD119" s="2743">
        <f t="shared" si="478"/>
        <v>108697.20000000001</v>
      </c>
      <c r="AE119" s="652">
        <f t="shared" si="478"/>
        <v>739402.98515552119</v>
      </c>
      <c r="AF119" s="652">
        <f t="shared" si="478"/>
        <v>719372.98499999999</v>
      </c>
      <c r="AG119" s="1395">
        <f t="shared" ref="AG119:AN119" si="479">SUM(AG115:AG118)</f>
        <v>104259.07305730699</v>
      </c>
      <c r="AH119" s="2743">
        <f t="shared" si="479"/>
        <v>102340.13</v>
      </c>
      <c r="AI119" s="652">
        <f t="shared" si="479"/>
        <v>843662.05821282801</v>
      </c>
      <c r="AJ119" s="652">
        <f t="shared" si="479"/>
        <v>821713.11500000011</v>
      </c>
      <c r="AK119" s="1395">
        <f t="shared" si="479"/>
        <v>107734.37908021512</v>
      </c>
      <c r="AL119" s="1475">
        <f t="shared" si="479"/>
        <v>106228.88</v>
      </c>
      <c r="AM119" s="428">
        <f t="shared" si="479"/>
        <v>319727.83121773723</v>
      </c>
      <c r="AN119" s="428">
        <f t="shared" si="479"/>
        <v>317266.21000000002</v>
      </c>
      <c r="AO119" s="652">
        <f t="shared" ref="AO119:AT119" si="480">SUM(AO115:AO118)</f>
        <v>951396.43729304336</v>
      </c>
      <c r="AP119" s="652">
        <f t="shared" si="480"/>
        <v>927941.995</v>
      </c>
      <c r="AQ119" s="1395">
        <f t="shared" si="480"/>
        <v>107734.37782588387</v>
      </c>
      <c r="AR119" s="1475">
        <f t="shared" si="480"/>
        <v>105986.2</v>
      </c>
      <c r="AS119" s="652">
        <f t="shared" si="480"/>
        <v>1059130.815118927</v>
      </c>
      <c r="AT119" s="652">
        <f t="shared" si="480"/>
        <v>1033928.1950000001</v>
      </c>
      <c r="AU119" s="1395">
        <f t="shared" ref="AU119:AX119" si="481">SUM(AU115:AU118)</f>
        <v>100783.73828873009</v>
      </c>
      <c r="AV119" s="1475">
        <f t="shared" si="481"/>
        <v>99295.81</v>
      </c>
      <c r="AW119" s="652">
        <f t="shared" si="481"/>
        <v>1159914.5534076572</v>
      </c>
      <c r="AX119" s="652">
        <f t="shared" si="481"/>
        <v>1133224.0049999999</v>
      </c>
      <c r="AY119" s="1395">
        <f t="shared" ref="AY119:BF119" si="482">SUM(AY115:AY118)</f>
        <v>107734.37882588388</v>
      </c>
      <c r="AZ119" s="1475">
        <f t="shared" si="482"/>
        <v>106021.87</v>
      </c>
      <c r="BA119" s="428">
        <f t="shared" si="482"/>
        <v>316252.49494049785</v>
      </c>
      <c r="BB119" s="428">
        <f t="shared" si="482"/>
        <v>311303.88</v>
      </c>
      <c r="BC119" s="3810">
        <f t="shared" si="482"/>
        <v>635980.32615823497</v>
      </c>
      <c r="BD119" s="555">
        <f t="shared" si="482"/>
        <v>628570.09000000008</v>
      </c>
      <c r="BE119" s="652">
        <f t="shared" si="482"/>
        <v>1267648.932233541</v>
      </c>
      <c r="BF119" s="652">
        <f t="shared" si="482"/>
        <v>1239245.875</v>
      </c>
      <c r="BG119" s="648"/>
      <c r="BH119" s="648"/>
      <c r="BI119" s="648"/>
      <c r="BJ119" s="648"/>
      <c r="BK119" s="648"/>
      <c r="BL119" s="648"/>
      <c r="BM119" s="648"/>
      <c r="BN119" s="648"/>
    </row>
    <row r="120" spans="1:66" s="183" customFormat="1" ht="18.75" x14ac:dyDescent="0.3">
      <c r="A120" s="182"/>
      <c r="B120" s="2876" t="s">
        <v>668</v>
      </c>
      <c r="C120" s="1831"/>
      <c r="D120" s="651"/>
      <c r="E120" s="944"/>
      <c r="F120" s="1670"/>
      <c r="G120" s="944"/>
      <c r="H120" s="1670"/>
      <c r="I120" s="651"/>
      <c r="J120" s="651"/>
      <c r="K120" s="944"/>
      <c r="L120" s="1670"/>
      <c r="M120" s="944"/>
      <c r="N120" s="1670"/>
      <c r="O120" s="944"/>
      <c r="P120" s="1670"/>
      <c r="Q120" s="651"/>
      <c r="R120" s="651"/>
      <c r="S120" s="944"/>
      <c r="T120" s="2736"/>
      <c r="U120" s="651"/>
      <c r="V120" s="651"/>
      <c r="W120" s="944"/>
      <c r="X120" s="1670"/>
      <c r="Y120" s="651"/>
      <c r="Z120" s="651"/>
      <c r="AA120" s="3809"/>
      <c r="AB120" s="651"/>
      <c r="AC120" s="944"/>
      <c r="AD120" s="2736"/>
      <c r="AE120" s="651"/>
      <c r="AF120" s="651"/>
      <c r="AG120" s="944"/>
      <c r="AH120" s="2736"/>
      <c r="AI120" s="651"/>
      <c r="AJ120" s="651"/>
      <c r="AK120" s="944"/>
      <c r="AL120" s="1670"/>
      <c r="AM120" s="651"/>
      <c r="AN120" s="651"/>
      <c r="AO120" s="651"/>
      <c r="AP120" s="651"/>
      <c r="AQ120" s="944"/>
      <c r="AR120" s="1670"/>
      <c r="AS120" s="651"/>
      <c r="AT120" s="651"/>
      <c r="AU120" s="944"/>
      <c r="AV120" s="1670"/>
      <c r="AW120" s="651"/>
      <c r="AX120" s="651"/>
      <c r="AY120" s="944"/>
      <c r="AZ120" s="1670"/>
      <c r="BA120" s="651"/>
      <c r="BB120" s="651"/>
      <c r="BC120" s="3809"/>
      <c r="BD120" s="651"/>
      <c r="BE120" s="651"/>
      <c r="BF120" s="651"/>
      <c r="BG120" s="648"/>
      <c r="BH120" s="648"/>
      <c r="BI120" s="648"/>
      <c r="BJ120" s="648"/>
      <c r="BK120" s="648"/>
      <c r="BL120" s="648"/>
      <c r="BM120" s="648"/>
      <c r="BN120" s="648"/>
    </row>
    <row r="121" spans="1:66" x14ac:dyDescent="0.25">
      <c r="B121" s="2869" t="s">
        <v>10</v>
      </c>
      <c r="C121" s="1830" t="s">
        <v>52</v>
      </c>
      <c r="D121" s="1662">
        <f>+D104+D87</f>
        <v>904845.94871794851</v>
      </c>
      <c r="E121" s="1398">
        <f>+E104+E87</f>
        <v>74330.379711363319</v>
      </c>
      <c r="F121" s="1676">
        <f>+F104+F87</f>
        <v>69521</v>
      </c>
      <c r="G121" s="1398">
        <f>+G104+G87</f>
        <v>76808.059035075421</v>
      </c>
      <c r="H121" s="1676">
        <f>+H104+H87</f>
        <v>67151</v>
      </c>
      <c r="I121" s="864">
        <f>+E121+G121</f>
        <v>151138.43874643874</v>
      </c>
      <c r="J121" s="89">
        <f>+F121+H121</f>
        <v>136672</v>
      </c>
      <c r="K121" s="1398">
        <f>+K104+K87</f>
        <v>74330.379711363319</v>
      </c>
      <c r="L121" s="1676">
        <f>+L104+L87</f>
        <v>66531.475999999995</v>
      </c>
      <c r="M121" s="1399">
        <f t="shared" ref="M121:N125" si="483">+E121+G121+K121</f>
        <v>225468.81845780206</v>
      </c>
      <c r="N121" s="2125">
        <f t="shared" si="483"/>
        <v>203203.476</v>
      </c>
      <c r="O121" s="1398">
        <f>+O104+O87</f>
        <v>76808.059035075421</v>
      </c>
      <c r="P121" s="1676">
        <f>+P104+P87</f>
        <v>79365.658038709676</v>
      </c>
      <c r="Q121" s="864">
        <f>+M121+O121</f>
        <v>302276.87749287748</v>
      </c>
      <c r="R121" s="89">
        <f>+N121+P121</f>
        <v>282569.13403870969</v>
      </c>
      <c r="S121" s="1398">
        <f>+S104+S87</f>
        <v>75799.449255055806</v>
      </c>
      <c r="T121" s="2744">
        <f>+T104+T87</f>
        <v>64762.379105951601</v>
      </c>
      <c r="U121" s="864">
        <f t="shared" ref="U121:V125" si="484">+Q121+S121</f>
        <v>378076.32674793329</v>
      </c>
      <c r="V121" s="89">
        <f t="shared" si="484"/>
        <v>347331.51314466126</v>
      </c>
      <c r="W121" s="1398">
        <f>+W104+W87</f>
        <v>73354.305730699154</v>
      </c>
      <c r="X121" s="1676">
        <f>+X104+X87</f>
        <v>61184.485105</v>
      </c>
      <c r="Y121" s="924">
        <f t="shared" ref="Y121:Y125" si="485">+O121+S121+W121</f>
        <v>225961.81402083038</v>
      </c>
      <c r="Z121" s="113">
        <f t="shared" ref="Z121:Z125" si="486">+P121+T121+X121</f>
        <v>205312.52224966127</v>
      </c>
      <c r="AA121" s="4014">
        <f t="shared" ref="AA121:AA125" si="487">+M121+Y121</f>
        <v>451430.63247863244</v>
      </c>
      <c r="AB121" s="546">
        <f t="shared" ref="AB121:AB125" si="488">+N121+Z121</f>
        <v>408515.99824966129</v>
      </c>
      <c r="AC121" s="1398">
        <f>+AC104+AC87</f>
        <v>76808.059035075421</v>
      </c>
      <c r="AD121" s="2744">
        <f>+AD104+AD87</f>
        <v>57225.766061935487</v>
      </c>
      <c r="AE121" s="864">
        <f t="shared" ref="AE121:AE125" si="489">+AA121+AC121</f>
        <v>528238.69151370786</v>
      </c>
      <c r="AF121" s="89">
        <f t="shared" ref="AF121:AF125" si="490">+AB121+AD121</f>
        <v>465741.76431159675</v>
      </c>
      <c r="AG121" s="1398">
        <f>+AG104+AG87</f>
        <v>74330.379711363319</v>
      </c>
      <c r="AH121" s="2744">
        <f>+AH104+AH87</f>
        <v>56533.837</v>
      </c>
      <c r="AI121" s="864">
        <f t="shared" ref="AI121:AI125" si="491">+AE121+AG121</f>
        <v>602569.07122507121</v>
      </c>
      <c r="AJ121" s="89">
        <f t="shared" ref="AJ121:AJ125" si="492">+AF121+AH121</f>
        <v>522275.60131159675</v>
      </c>
      <c r="AK121" s="1398">
        <f>+AK104+AK87</f>
        <v>76808.059035075421</v>
      </c>
      <c r="AL121" s="1676">
        <f>+AL104+AL87</f>
        <v>70928.991740000012</v>
      </c>
      <c r="AM121" s="924">
        <f t="shared" ref="AM121:AM125" si="493">+AC121+AG121+AK121</f>
        <v>227946.49778151416</v>
      </c>
      <c r="AN121" s="113">
        <f t="shared" ref="AN121:AN125" si="494">+AD121+AH121+AL121</f>
        <v>184688.59480193548</v>
      </c>
      <c r="AO121" s="923">
        <f t="shared" ref="AO121" si="495">AI121+AK121</f>
        <v>679377.13026014669</v>
      </c>
      <c r="AP121" s="923">
        <f t="shared" ref="AP121" si="496">AJ121+AL121</f>
        <v>593204.59305159678</v>
      </c>
      <c r="AQ121" s="1398">
        <f>+AQ104+AQ87</f>
        <v>76808.059035075421</v>
      </c>
      <c r="AR121" s="1676">
        <f>+AR104+AR87</f>
        <v>78226.508999999991</v>
      </c>
      <c r="AS121" s="864">
        <f t="shared" ref="AS121:AS125" si="497">+AO121+AQ121</f>
        <v>756185.18929522205</v>
      </c>
      <c r="AT121" s="89">
        <f t="shared" ref="AT121:AT125" si="498">+AP121+AR121</f>
        <v>671431.10205159674</v>
      </c>
      <c r="AU121" s="1398">
        <f>+AU104+AU87</f>
        <v>71852.700387651203</v>
      </c>
      <c r="AV121" s="1676">
        <f>+AV104+AV87</f>
        <v>81201.030999999988</v>
      </c>
      <c r="AW121" s="864">
        <f t="shared" ref="AW121:AW125" si="499">+AS121+AU121</f>
        <v>828037.88968287327</v>
      </c>
      <c r="AX121" s="89">
        <f t="shared" ref="AX121:AX125" si="500">+AT121+AV121</f>
        <v>752632.1330515967</v>
      </c>
      <c r="AY121" s="1398">
        <f>+AY104+AY87</f>
        <v>76808.059035075421</v>
      </c>
      <c r="AZ121" s="1676">
        <f>+AZ104+AZ87</f>
        <v>86563.01999999999</v>
      </c>
      <c r="BA121" s="924">
        <f t="shared" ref="BA121:BA125" si="501">+AQ121+AU121+AY121</f>
        <v>225468.81845780206</v>
      </c>
      <c r="BB121" s="113">
        <f t="shared" ref="BB121:BB125" si="502">+AR121+AV121+AZ121</f>
        <v>245990.55999999997</v>
      </c>
      <c r="BC121" s="4738">
        <f t="shared" ref="BC121:BC125" si="503">+AM121+BA121</f>
        <v>453415.31623931625</v>
      </c>
      <c r="BD121" s="4738">
        <f t="shared" ref="BD121:BD125" si="504">+AN121+BB121</f>
        <v>430679.15480193542</v>
      </c>
      <c r="BE121" s="864">
        <f t="shared" ref="BE121:BE125" si="505">+AW121+AY121</f>
        <v>904845.94871794875</v>
      </c>
      <c r="BF121" s="89">
        <f t="shared" ref="BF121:BF125" si="506">+AX121+AZ121</f>
        <v>839195.15305159672</v>
      </c>
      <c r="BG121" s="648"/>
      <c r="BH121" s="648"/>
      <c r="BI121" s="648"/>
      <c r="BJ121" s="648"/>
      <c r="BK121" s="648"/>
      <c r="BL121" s="648"/>
      <c r="BM121" s="648"/>
      <c r="BN121" s="648"/>
    </row>
    <row r="122" spans="1:66" x14ac:dyDescent="0.25">
      <c r="B122" s="2869" t="s">
        <v>11</v>
      </c>
      <c r="C122" s="1830" t="s">
        <v>52</v>
      </c>
      <c r="D122" s="1662">
        <f t="shared" ref="D122:E125" si="507">+D105+D88</f>
        <v>209390.35897435894</v>
      </c>
      <c r="E122" s="1398">
        <f t="shared" si="507"/>
        <v>17202.045677455513</v>
      </c>
      <c r="F122" s="1677">
        <f>F105+F88</f>
        <v>14446</v>
      </c>
      <c r="G122" s="1398">
        <f t="shared" ref="G122" si="508">+G105+G88</f>
        <v>17775.447200037364</v>
      </c>
      <c r="H122" s="1677">
        <f>H105+H88</f>
        <v>19659</v>
      </c>
      <c r="I122" s="864">
        <f>+E122+G122</f>
        <v>34977.492877492878</v>
      </c>
      <c r="J122" s="89">
        <f>+F122+H122</f>
        <v>34105</v>
      </c>
      <c r="K122" s="1398">
        <f t="shared" ref="K122" si="509">+K105+K88</f>
        <v>17202.045677455513</v>
      </c>
      <c r="L122" s="1677">
        <f>L105+L88</f>
        <v>14002.320666666667</v>
      </c>
      <c r="M122" s="101">
        <f t="shared" si="483"/>
        <v>52179.538554948391</v>
      </c>
      <c r="N122" s="514">
        <f t="shared" si="483"/>
        <v>48107.320666666667</v>
      </c>
      <c r="O122" s="1398">
        <f t="shared" ref="O122" si="510">+O105+O88</f>
        <v>17775.447200037364</v>
      </c>
      <c r="P122" s="1677">
        <f>P105+P88</f>
        <v>8731.2749999999996</v>
      </c>
      <c r="Q122" s="864">
        <f t="shared" ref="Q122:Q125" si="511">+M122+O122</f>
        <v>69954.985754985755</v>
      </c>
      <c r="R122" s="89">
        <f t="shared" ref="R122:R125" si="512">+N122+P122</f>
        <v>56838.595666666668</v>
      </c>
      <c r="S122" s="1398">
        <f t="shared" ref="S122" si="513">+S105+S88</f>
        <v>17534.25790481528</v>
      </c>
      <c r="T122" s="2745">
        <f>T105+T88</f>
        <v>17026.248507629032</v>
      </c>
      <c r="U122" s="864">
        <f t="shared" si="484"/>
        <v>87489.243659801039</v>
      </c>
      <c r="V122" s="89">
        <f t="shared" si="484"/>
        <v>73864.844174295693</v>
      </c>
      <c r="W122" s="1398">
        <f t="shared" ref="W122" si="514">+W105+W88</f>
        <v>16968.636682079301</v>
      </c>
      <c r="X122" s="1677">
        <f>X105+X88</f>
        <v>17885.225295</v>
      </c>
      <c r="Y122" s="924">
        <f t="shared" si="485"/>
        <v>52278.341786931953</v>
      </c>
      <c r="Z122" s="113">
        <f t="shared" si="486"/>
        <v>43642.748802629038</v>
      </c>
      <c r="AA122" s="4014">
        <f t="shared" si="487"/>
        <v>104457.88034188034</v>
      </c>
      <c r="AB122" s="546">
        <f t="shared" si="488"/>
        <v>91750.069469295704</v>
      </c>
      <c r="AC122" s="1398">
        <f t="shared" ref="AC122" si="515">+AC105+AC88</f>
        <v>17775.447200037364</v>
      </c>
      <c r="AD122" s="2745">
        <f>AD105+AD88</f>
        <v>17179.569299354836</v>
      </c>
      <c r="AE122" s="864">
        <f t="shared" si="489"/>
        <v>122233.32754191771</v>
      </c>
      <c r="AF122" s="89">
        <f t="shared" si="490"/>
        <v>108929.63876865053</v>
      </c>
      <c r="AG122" s="1398">
        <f t="shared" ref="AG122" si="516">+AG105+AG88</f>
        <v>17202.045677455513</v>
      </c>
      <c r="AH122" s="2745">
        <f>AH105+AH88</f>
        <v>21573.086000000003</v>
      </c>
      <c r="AI122" s="864">
        <f t="shared" si="491"/>
        <v>139435.37321937323</v>
      </c>
      <c r="AJ122" s="89">
        <f t="shared" si="492"/>
        <v>130502.72476865054</v>
      </c>
      <c r="AK122" s="1398">
        <f t="shared" ref="AK122" si="517">+AK105+AK88</f>
        <v>17775.447200037364</v>
      </c>
      <c r="AL122" s="1677">
        <f>AL105+AL88</f>
        <v>15836.045768000002</v>
      </c>
      <c r="AM122" s="924">
        <f t="shared" si="493"/>
        <v>52752.940077530242</v>
      </c>
      <c r="AN122" s="113">
        <f t="shared" si="494"/>
        <v>54588.701067354843</v>
      </c>
      <c r="AO122" s="923">
        <f t="shared" ref="AO122:AO125" si="518">AI122+AK122</f>
        <v>157210.82041941059</v>
      </c>
      <c r="AP122" s="923">
        <f t="shared" ref="AO122:AP127" si="519">AJ122+AL122</f>
        <v>146338.77053665055</v>
      </c>
      <c r="AQ122" s="1398">
        <f t="shared" ref="AQ122" si="520">+AQ105+AQ88</f>
        <v>17775.447200037364</v>
      </c>
      <c r="AR122" s="1677">
        <f>AR105+AR88</f>
        <v>16238.088</v>
      </c>
      <c r="AS122" s="864">
        <f t="shared" si="497"/>
        <v>174986.26761944796</v>
      </c>
      <c r="AT122" s="89">
        <f t="shared" si="498"/>
        <v>162576.85853665054</v>
      </c>
      <c r="AU122" s="1398">
        <f t="shared" ref="AU122" si="521">+AU105+AU88</f>
        <v>16628.644154873662</v>
      </c>
      <c r="AV122" s="1677">
        <f>AV105+AV88</f>
        <v>15355.77</v>
      </c>
      <c r="AW122" s="864">
        <f t="shared" si="499"/>
        <v>191614.91177432163</v>
      </c>
      <c r="AX122" s="89">
        <f t="shared" si="500"/>
        <v>177932.62853665053</v>
      </c>
      <c r="AY122" s="1398">
        <f t="shared" ref="AY122" si="522">+AY105+AY88</f>
        <v>17775.447200037364</v>
      </c>
      <c r="AZ122" s="1677">
        <f>AZ105+AZ88</f>
        <v>16369.19</v>
      </c>
      <c r="BA122" s="924">
        <f t="shared" si="501"/>
        <v>52179.538554948391</v>
      </c>
      <c r="BB122" s="113">
        <f t="shared" si="502"/>
        <v>47963.048000000003</v>
      </c>
      <c r="BC122" s="4738">
        <f t="shared" si="503"/>
        <v>104932.47863247863</v>
      </c>
      <c r="BD122" s="4738">
        <f t="shared" si="504"/>
        <v>102551.74906735485</v>
      </c>
      <c r="BE122" s="864">
        <f t="shared" si="505"/>
        <v>209390.358974359</v>
      </c>
      <c r="BF122" s="89">
        <f t="shared" si="506"/>
        <v>194301.81853665053</v>
      </c>
      <c r="BG122" s="648"/>
      <c r="BH122" s="648"/>
      <c r="BI122" s="648"/>
      <c r="BJ122" s="648"/>
      <c r="BK122" s="648"/>
      <c r="BL122" s="648"/>
      <c r="BM122" s="648"/>
      <c r="BN122" s="648"/>
    </row>
    <row r="123" spans="1:66" x14ac:dyDescent="0.25">
      <c r="B123" s="2870" t="s">
        <v>822</v>
      </c>
      <c r="C123" s="1830" t="s">
        <v>52</v>
      </c>
      <c r="D123" s="1662">
        <f t="shared" si="507"/>
        <v>196705.641025641</v>
      </c>
      <c r="E123" s="1398">
        <f t="shared" si="507"/>
        <v>16158.77819812246</v>
      </c>
      <c r="F123" s="1677">
        <f>F106+F89</f>
        <v>1967</v>
      </c>
      <c r="G123" s="1398">
        <f t="shared" ref="G123" si="523">+G106+G89</f>
        <v>16697.404138059876</v>
      </c>
      <c r="H123" s="1677">
        <f>H106+H89</f>
        <v>0</v>
      </c>
      <c r="I123" s="864">
        <f t="shared" ref="I123:I124" si="524">+E123+G123</f>
        <v>32856.182336182334</v>
      </c>
      <c r="J123" s="89">
        <f>+F123+H123</f>
        <v>1967</v>
      </c>
      <c r="K123" s="1398">
        <f t="shared" ref="K123" si="525">+K106+K89</f>
        <v>16158.77819812246</v>
      </c>
      <c r="L123" s="1677">
        <f>L106+L89</f>
        <v>0</v>
      </c>
      <c r="M123" s="101">
        <f t="shared" si="483"/>
        <v>49014.960534304795</v>
      </c>
      <c r="N123" s="514">
        <f t="shared" si="483"/>
        <v>1967</v>
      </c>
      <c r="O123" s="1398">
        <f t="shared" ref="O123" si="526">+O106+O89</f>
        <v>16697.404138059876</v>
      </c>
      <c r="P123" s="1677">
        <f>P106+P89</f>
        <v>2345.3149999999996</v>
      </c>
      <c r="Q123" s="864">
        <f t="shared" si="511"/>
        <v>65712.364672364667</v>
      </c>
      <c r="R123" s="89">
        <f t="shared" si="512"/>
        <v>4312.3149999999996</v>
      </c>
      <c r="S123" s="1398">
        <f t="shared" ref="S123" si="527">+S106+S89</f>
        <v>16478.141142403438</v>
      </c>
      <c r="T123" s="2739">
        <f>T106+T89</f>
        <v>19568.513613354837</v>
      </c>
      <c r="U123" s="864">
        <f t="shared" si="484"/>
        <v>82190.505814768112</v>
      </c>
      <c r="V123" s="89">
        <f t="shared" si="484"/>
        <v>23880.828613354835</v>
      </c>
      <c r="W123" s="1398">
        <f t="shared" ref="W123" si="528">+W106+W89</f>
        <v>15946.588202325904</v>
      </c>
      <c r="X123" s="1512">
        <f>X106+X89</f>
        <v>24095.605295000001</v>
      </c>
      <c r="Y123" s="924">
        <f t="shared" si="485"/>
        <v>49122.133482789213</v>
      </c>
      <c r="Z123" s="113">
        <f t="shared" si="486"/>
        <v>46009.43390835484</v>
      </c>
      <c r="AA123" s="4014">
        <f t="shared" si="487"/>
        <v>98137.094017094001</v>
      </c>
      <c r="AB123" s="546">
        <f t="shared" si="488"/>
        <v>47976.43390835484</v>
      </c>
      <c r="AC123" s="1398">
        <f t="shared" ref="AC123" si="529">+AC106+AC89</f>
        <v>16697.404138059876</v>
      </c>
      <c r="AD123" s="2739">
        <f>AD106+AD89</f>
        <v>26476.835200000001</v>
      </c>
      <c r="AE123" s="864">
        <f t="shared" si="489"/>
        <v>114834.49815515388</v>
      </c>
      <c r="AF123" s="89">
        <f t="shared" si="490"/>
        <v>74453.269108354842</v>
      </c>
      <c r="AG123" s="1398">
        <f t="shared" ref="AG123" si="530">+AG106+AG89</f>
        <v>16158.77819812246</v>
      </c>
      <c r="AH123" s="2739">
        <f>AH106+AH89</f>
        <v>4253.2020000000002</v>
      </c>
      <c r="AI123" s="864">
        <f t="shared" si="491"/>
        <v>130993.27635327633</v>
      </c>
      <c r="AJ123" s="89">
        <f t="shared" si="492"/>
        <v>78706.471108354846</v>
      </c>
      <c r="AK123" s="1398">
        <f t="shared" ref="AK123" si="531">+AK106+AK89</f>
        <v>16697.404138059876</v>
      </c>
      <c r="AL123" s="1512">
        <f>AL106+AL89</f>
        <v>2244.7586700000002</v>
      </c>
      <c r="AM123" s="924">
        <f t="shared" si="493"/>
        <v>49553.586474242213</v>
      </c>
      <c r="AN123" s="113">
        <f t="shared" si="494"/>
        <v>32974.795870000002</v>
      </c>
      <c r="AO123" s="923">
        <f t="shared" si="518"/>
        <v>147690.68049133621</v>
      </c>
      <c r="AP123" s="923">
        <f t="shared" si="519"/>
        <v>80951.229778354842</v>
      </c>
      <c r="AQ123" s="1398">
        <f t="shared" ref="AQ123" si="532">+AQ106+AQ89</f>
        <v>16697.404138059876</v>
      </c>
      <c r="AR123" s="1512">
        <f>AR106+AR89</f>
        <v>0</v>
      </c>
      <c r="AS123" s="864">
        <f t="shared" si="497"/>
        <v>164388.08462939609</v>
      </c>
      <c r="AT123" s="89">
        <f t="shared" si="498"/>
        <v>80951.229778354842</v>
      </c>
      <c r="AU123" s="1398">
        <f t="shared" ref="AU123" si="533">+AU106+AU89</f>
        <v>15620.152258185044</v>
      </c>
      <c r="AV123" s="1512">
        <f>AV106+AV89</f>
        <v>0</v>
      </c>
      <c r="AW123" s="864">
        <f t="shared" si="499"/>
        <v>180008.23688758112</v>
      </c>
      <c r="AX123" s="89">
        <f t="shared" si="500"/>
        <v>80951.229778354842</v>
      </c>
      <c r="AY123" s="1398">
        <f t="shared" ref="AY123" si="534">+AY106+AY89</f>
        <v>16697.404138059876</v>
      </c>
      <c r="AZ123" s="1512">
        <f>AZ106+AZ89</f>
        <v>0</v>
      </c>
      <c r="BA123" s="924">
        <f t="shared" si="501"/>
        <v>49014.960534304795</v>
      </c>
      <c r="BB123" s="113">
        <f t="shared" si="502"/>
        <v>0</v>
      </c>
      <c r="BC123" s="4738">
        <f t="shared" si="503"/>
        <v>98568.547008547001</v>
      </c>
      <c r="BD123" s="4738">
        <f t="shared" si="504"/>
        <v>32974.795870000002</v>
      </c>
      <c r="BE123" s="864">
        <f t="shared" si="505"/>
        <v>196705.641025641</v>
      </c>
      <c r="BF123" s="89">
        <f t="shared" si="506"/>
        <v>80951.229778354842</v>
      </c>
      <c r="BG123" s="648"/>
      <c r="BH123" s="648"/>
      <c r="BI123" s="648"/>
      <c r="BJ123" s="648"/>
      <c r="BK123" s="648"/>
      <c r="BL123" s="648"/>
      <c r="BM123" s="648"/>
      <c r="BN123" s="648"/>
    </row>
    <row r="124" spans="1:66" x14ac:dyDescent="0.25">
      <c r="B124" s="2870" t="s">
        <v>1348</v>
      </c>
      <c r="C124" s="1830" t="s">
        <v>52</v>
      </c>
      <c r="D124" s="1662">
        <f t="shared" si="507"/>
        <v>0</v>
      </c>
      <c r="E124" s="1398">
        <f t="shared" si="507"/>
        <v>0</v>
      </c>
      <c r="F124" s="1677">
        <f>F90+F107</f>
        <v>7955</v>
      </c>
      <c r="G124" s="1398">
        <f t="shared" ref="G124" si="535">+G107+G90</f>
        <v>0</v>
      </c>
      <c r="H124" s="1677">
        <f>H90+H107</f>
        <v>7389</v>
      </c>
      <c r="I124" s="864">
        <f t="shared" si="524"/>
        <v>0</v>
      </c>
      <c r="J124" s="89">
        <f>+F124+H124</f>
        <v>15344</v>
      </c>
      <c r="K124" s="1398">
        <f t="shared" ref="K124" si="536">+K107+K90</f>
        <v>0</v>
      </c>
      <c r="L124" s="1677">
        <f>L90+L107</f>
        <v>7392.2739999999994</v>
      </c>
      <c r="M124" s="101">
        <f t="shared" si="483"/>
        <v>0</v>
      </c>
      <c r="N124" s="514">
        <f t="shared" si="483"/>
        <v>22736.273999999998</v>
      </c>
      <c r="O124" s="1398">
        <f t="shared" ref="O124" si="537">+O107+O90</f>
        <v>0</v>
      </c>
      <c r="P124" s="1677">
        <f>P90+P107</f>
        <v>6482.4598774193546</v>
      </c>
      <c r="Q124" s="864">
        <f t="shared" si="511"/>
        <v>0</v>
      </c>
      <c r="R124" s="89">
        <f t="shared" si="512"/>
        <v>29218.733877419352</v>
      </c>
      <c r="S124" s="1398">
        <f t="shared" ref="S124" si="538">+S107+S90</f>
        <v>0</v>
      </c>
      <c r="T124" s="2745">
        <f>T90+T107</f>
        <v>649.53035716129034</v>
      </c>
      <c r="U124" s="864">
        <f t="shared" si="484"/>
        <v>0</v>
      </c>
      <c r="V124" s="89">
        <f t="shared" si="484"/>
        <v>29868.264234580642</v>
      </c>
      <c r="W124" s="1398">
        <f t="shared" ref="W124" si="539">+W107+W90</f>
        <v>0</v>
      </c>
      <c r="X124" s="1677">
        <f>X90+X107</f>
        <v>0</v>
      </c>
      <c r="Y124" s="924">
        <f t="shared" si="485"/>
        <v>0</v>
      </c>
      <c r="Z124" s="113">
        <f t="shared" si="486"/>
        <v>7131.9902345806449</v>
      </c>
      <c r="AA124" s="4014">
        <f t="shared" si="487"/>
        <v>0</v>
      </c>
      <c r="AB124" s="546">
        <f t="shared" si="488"/>
        <v>29868.264234580642</v>
      </c>
      <c r="AC124" s="1398">
        <f t="shared" ref="AC124" si="540">+AC107+AC90</f>
        <v>0</v>
      </c>
      <c r="AD124" s="2745">
        <f>AD90+AD107</f>
        <v>190.95935483870966</v>
      </c>
      <c r="AE124" s="864">
        <f t="shared" si="489"/>
        <v>0</v>
      </c>
      <c r="AF124" s="89">
        <f t="shared" si="490"/>
        <v>30059.223589419351</v>
      </c>
      <c r="AG124" s="1398">
        <f t="shared" ref="AG124" si="541">+AG107+AG90</f>
        <v>0</v>
      </c>
      <c r="AH124" s="2745">
        <f>AH90+AH107</f>
        <v>3290.9950000000003</v>
      </c>
      <c r="AI124" s="864">
        <f t="shared" si="491"/>
        <v>0</v>
      </c>
      <c r="AJ124" s="89">
        <f t="shared" si="492"/>
        <v>33350.218589419354</v>
      </c>
      <c r="AK124" s="1398">
        <f t="shared" ref="AK124" si="542">+AK107+AK90</f>
        <v>0</v>
      </c>
      <c r="AL124" s="1677">
        <f>AL90+AL107</f>
        <v>7915.5891599999995</v>
      </c>
      <c r="AM124" s="924">
        <f t="shared" si="493"/>
        <v>0</v>
      </c>
      <c r="AN124" s="113">
        <f t="shared" si="494"/>
        <v>11397.54351483871</v>
      </c>
      <c r="AO124" s="923">
        <f t="shared" si="518"/>
        <v>0</v>
      </c>
      <c r="AP124" s="923">
        <f t="shared" si="519"/>
        <v>41265.807749419357</v>
      </c>
      <c r="AQ124" s="1398">
        <f t="shared" ref="AQ124" si="543">+AQ107+AQ90</f>
        <v>0</v>
      </c>
      <c r="AR124" s="1677">
        <f>AR90+AR107</f>
        <v>7284.8919999999998</v>
      </c>
      <c r="AS124" s="864">
        <f t="shared" si="497"/>
        <v>0</v>
      </c>
      <c r="AT124" s="89">
        <f t="shared" si="498"/>
        <v>48550.699749419357</v>
      </c>
      <c r="AU124" s="1398">
        <f t="shared" ref="AU124" si="544">+AU107+AU90</f>
        <v>0</v>
      </c>
      <c r="AV124" s="1677">
        <f>AV90+AV107</f>
        <v>2713.0950000000003</v>
      </c>
      <c r="AW124" s="864">
        <f t="shared" si="499"/>
        <v>0</v>
      </c>
      <c r="AX124" s="89">
        <f t="shared" si="500"/>
        <v>51263.794749419358</v>
      </c>
      <c r="AY124" s="1398">
        <f t="shared" ref="AY124" si="545">+AY107+AY90</f>
        <v>0</v>
      </c>
      <c r="AZ124" s="1677">
        <f>AZ90+AZ107</f>
        <v>2808</v>
      </c>
      <c r="BA124" s="924">
        <f t="shared" si="501"/>
        <v>0</v>
      </c>
      <c r="BB124" s="113">
        <f t="shared" si="502"/>
        <v>12805.987000000001</v>
      </c>
      <c r="BC124" s="4738">
        <f t="shared" si="503"/>
        <v>0</v>
      </c>
      <c r="BD124" s="4738">
        <f t="shared" si="504"/>
        <v>24203.530514838712</v>
      </c>
      <c r="BE124" s="864">
        <f t="shared" si="505"/>
        <v>0</v>
      </c>
      <c r="BF124" s="89">
        <f t="shared" si="506"/>
        <v>54071.794749419358</v>
      </c>
      <c r="BG124" s="648"/>
      <c r="BH124" s="648"/>
      <c r="BI124" s="648"/>
      <c r="BJ124" s="648"/>
      <c r="BK124" s="648"/>
      <c r="BL124" s="648"/>
      <c r="BM124" s="648"/>
      <c r="BN124" s="648"/>
    </row>
    <row r="125" spans="1:66" ht="15.75" thickBot="1" x14ac:dyDescent="0.3">
      <c r="B125" s="2870" t="s">
        <v>627</v>
      </c>
      <c r="C125" s="1830" t="s">
        <v>52</v>
      </c>
      <c r="D125" s="1662">
        <f t="shared" si="507"/>
        <v>0</v>
      </c>
      <c r="E125" s="1398">
        <f t="shared" si="507"/>
        <v>0</v>
      </c>
      <c r="F125" s="1677">
        <f>F91+F108</f>
        <v>17320</v>
      </c>
      <c r="G125" s="1398">
        <f t="shared" ref="G125" si="546">+G108+G91</f>
        <v>0</v>
      </c>
      <c r="H125" s="1677">
        <f>H91+H108</f>
        <v>15063</v>
      </c>
      <c r="I125" s="864">
        <f>+E125+G125</f>
        <v>0</v>
      </c>
      <c r="J125" s="89">
        <f>+F125+H125</f>
        <v>32383</v>
      </c>
      <c r="K125" s="1398">
        <f t="shared" ref="K125" si="547">+K108+K91</f>
        <v>0</v>
      </c>
      <c r="L125" s="1677">
        <f>L91+L108</f>
        <v>18751.626933333333</v>
      </c>
      <c r="M125" s="101">
        <f t="shared" si="483"/>
        <v>0</v>
      </c>
      <c r="N125" s="514">
        <f t="shared" si="483"/>
        <v>51134.626933333333</v>
      </c>
      <c r="O125" s="1398">
        <f t="shared" ref="O125" si="548">+O108+O91</f>
        <v>0</v>
      </c>
      <c r="P125" s="1677">
        <f>P91+P108</f>
        <v>21160.799009677419</v>
      </c>
      <c r="Q125" s="864">
        <f t="shared" si="511"/>
        <v>0</v>
      </c>
      <c r="R125" s="89">
        <f t="shared" si="512"/>
        <v>72295.425943010749</v>
      </c>
      <c r="S125" s="1398">
        <f t="shared" ref="S125" si="549">+S108+S91</f>
        <v>0</v>
      </c>
      <c r="T125" s="2745">
        <f>T91+T108</f>
        <v>18650.316683903227</v>
      </c>
      <c r="U125" s="864">
        <f t="shared" si="484"/>
        <v>0</v>
      </c>
      <c r="V125" s="89">
        <f t="shared" si="484"/>
        <v>90945.742626913969</v>
      </c>
      <c r="W125" s="1398">
        <f t="shared" ref="W125" si="550">+W108+W91</f>
        <v>0</v>
      </c>
      <c r="X125" s="1677">
        <f>X91+X108</f>
        <v>12158.774395</v>
      </c>
      <c r="Y125" s="924">
        <f t="shared" si="485"/>
        <v>0</v>
      </c>
      <c r="Z125" s="113">
        <f t="shared" si="486"/>
        <v>51969.890088580651</v>
      </c>
      <c r="AA125" s="4014">
        <f t="shared" si="487"/>
        <v>0</v>
      </c>
      <c r="AB125" s="546">
        <f t="shared" si="488"/>
        <v>103104.51702191398</v>
      </c>
      <c r="AC125" s="1398">
        <f t="shared" ref="AC125" si="551">+AC108+AC91</f>
        <v>0</v>
      </c>
      <c r="AD125" s="2745">
        <f>AD91+AD108</f>
        <v>14168.378970322581</v>
      </c>
      <c r="AE125" s="864">
        <f t="shared" si="489"/>
        <v>0</v>
      </c>
      <c r="AF125" s="89">
        <f t="shared" si="490"/>
        <v>117272.89599223656</v>
      </c>
      <c r="AG125" s="1398">
        <f t="shared" ref="AG125" si="552">+AG108+AG91</f>
        <v>0</v>
      </c>
      <c r="AH125" s="2745">
        <f>AH91+AH108</f>
        <v>17649.132000000001</v>
      </c>
      <c r="AI125" s="864">
        <f t="shared" si="491"/>
        <v>0</v>
      </c>
      <c r="AJ125" s="89">
        <f t="shared" si="492"/>
        <v>134922.02799223657</v>
      </c>
      <c r="AK125" s="1398">
        <f t="shared" ref="AK125" si="553">+AK108+AK91</f>
        <v>0</v>
      </c>
      <c r="AL125" s="1677">
        <f>AL91+AL108</f>
        <v>11310.867227999999</v>
      </c>
      <c r="AM125" s="924">
        <f t="shared" si="493"/>
        <v>0</v>
      </c>
      <c r="AN125" s="113">
        <f t="shared" si="494"/>
        <v>43128.378198322578</v>
      </c>
      <c r="AO125" s="923">
        <f t="shared" si="518"/>
        <v>0</v>
      </c>
      <c r="AP125" s="923">
        <f t="shared" si="519"/>
        <v>146232.89522023656</v>
      </c>
      <c r="AQ125" s="1398">
        <f t="shared" ref="AQ125" si="554">+AQ108+AQ91</f>
        <v>0</v>
      </c>
      <c r="AR125" s="1677">
        <f>AR91+AR108</f>
        <v>8944.5580000000009</v>
      </c>
      <c r="AS125" s="864">
        <f t="shared" si="497"/>
        <v>0</v>
      </c>
      <c r="AT125" s="89">
        <f t="shared" si="498"/>
        <v>155177.45322023655</v>
      </c>
      <c r="AU125" s="1398">
        <f t="shared" ref="AU125" si="555">+AU108+AU91</f>
        <v>0</v>
      </c>
      <c r="AV125" s="1677">
        <f>AV91+AV108</f>
        <v>12642.674999999999</v>
      </c>
      <c r="AW125" s="864">
        <f t="shared" si="499"/>
        <v>0</v>
      </c>
      <c r="AX125" s="89">
        <f t="shared" si="500"/>
        <v>167820.12822023654</v>
      </c>
      <c r="AY125" s="1398">
        <f t="shared" ref="AY125" si="556">+AY108+AY91</f>
        <v>0</v>
      </c>
      <c r="AZ125" s="1677">
        <f>AZ91+AZ108</f>
        <v>13598.19</v>
      </c>
      <c r="BA125" s="924">
        <f t="shared" si="501"/>
        <v>0</v>
      </c>
      <c r="BB125" s="113">
        <f t="shared" si="502"/>
        <v>35185.423000000003</v>
      </c>
      <c r="BC125" s="4738">
        <f t="shared" si="503"/>
        <v>0</v>
      </c>
      <c r="BD125" s="4738">
        <f t="shared" si="504"/>
        <v>78313.801198322588</v>
      </c>
      <c r="BE125" s="864">
        <f t="shared" si="505"/>
        <v>0</v>
      </c>
      <c r="BF125" s="89">
        <f t="shared" si="506"/>
        <v>181418.31822023654</v>
      </c>
      <c r="BG125" s="648"/>
      <c r="BH125" s="648"/>
      <c r="BI125" s="648"/>
      <c r="BJ125" s="648"/>
      <c r="BK125" s="648"/>
      <c r="BL125" s="648"/>
      <c r="BM125" s="648"/>
      <c r="BN125" s="648"/>
    </row>
    <row r="126" spans="1:66" ht="16.5" thickBot="1" x14ac:dyDescent="0.3">
      <c r="B126" s="2875" t="s">
        <v>14</v>
      </c>
      <c r="C126" s="1832" t="s">
        <v>52</v>
      </c>
      <c r="D126" s="169">
        <f>SUM(D121:D125)</f>
        <v>1310941.9487179485</v>
      </c>
      <c r="E126" s="652">
        <f>SUM(E121:E125)</f>
        <v>107691.20358694129</v>
      </c>
      <c r="F126" s="940">
        <f>SUM(F121:F125)</f>
        <v>111209</v>
      </c>
      <c r="G126" s="652">
        <f>SUM(G121:G125)</f>
        <v>111280.91037317266</v>
      </c>
      <c r="H126" s="940">
        <f>SUM(H121:H125)</f>
        <v>109262</v>
      </c>
      <c r="I126" s="652">
        <f t="shared" ref="I126:N126" si="557">SUM(I121:I125)</f>
        <v>218972.11396011396</v>
      </c>
      <c r="J126" s="652">
        <f t="shared" si="557"/>
        <v>220471</v>
      </c>
      <c r="K126" s="652">
        <f>SUM(K121:K125)</f>
        <v>107691.20358694129</v>
      </c>
      <c r="L126" s="940">
        <f>SUM(L121:L125)</f>
        <v>106677.6976</v>
      </c>
      <c r="M126" s="428">
        <f t="shared" si="557"/>
        <v>326663.31754705525</v>
      </c>
      <c r="N126" s="2122">
        <f t="shared" si="557"/>
        <v>327148.69760000001</v>
      </c>
      <c r="O126" s="652">
        <f>SUM(O121:O125)</f>
        <v>111280.91037317266</v>
      </c>
      <c r="P126" s="940">
        <f>SUM(P121:P125)</f>
        <v>118085.50692580645</v>
      </c>
      <c r="Q126" s="652">
        <f t="shared" ref="Q126:X126" si="558">SUM(Q121:Q125)</f>
        <v>437944.22792022792</v>
      </c>
      <c r="R126" s="652">
        <f t="shared" si="558"/>
        <v>445234.20452580648</v>
      </c>
      <c r="S126" s="652">
        <f t="shared" si="558"/>
        <v>109811.84830227453</v>
      </c>
      <c r="T126" s="2740">
        <f t="shared" si="558"/>
        <v>120656.98826799999</v>
      </c>
      <c r="U126" s="652">
        <f t="shared" si="558"/>
        <v>547756.07622250239</v>
      </c>
      <c r="V126" s="652">
        <f t="shared" si="558"/>
        <v>565891.19279380643</v>
      </c>
      <c r="W126" s="652">
        <f t="shared" si="558"/>
        <v>106269.53061510436</v>
      </c>
      <c r="X126" s="940">
        <f t="shared" si="558"/>
        <v>115324.09009</v>
      </c>
      <c r="Y126" s="428">
        <f t="shared" ref="Y126:AF126" si="559">SUM(Y121:Y125)</f>
        <v>327362.28929055156</v>
      </c>
      <c r="Z126" s="428">
        <f t="shared" si="559"/>
        <v>354066.58528380649</v>
      </c>
      <c r="AA126" s="3810">
        <f t="shared" si="559"/>
        <v>654025.60683760676</v>
      </c>
      <c r="AB126" s="555">
        <f t="shared" si="559"/>
        <v>681215.2828838065</v>
      </c>
      <c r="AC126" s="652">
        <f t="shared" si="559"/>
        <v>111280.91037317266</v>
      </c>
      <c r="AD126" s="2740">
        <f t="shared" si="559"/>
        <v>115241.5088864516</v>
      </c>
      <c r="AE126" s="652">
        <f t="shared" si="559"/>
        <v>765306.51721077948</v>
      </c>
      <c r="AF126" s="652">
        <f t="shared" si="559"/>
        <v>796456.7917702581</v>
      </c>
      <c r="AG126" s="652">
        <f t="shared" ref="AG126:AN126" si="560">SUM(AG121:AG125)</f>
        <v>107691.20358694129</v>
      </c>
      <c r="AH126" s="2740">
        <f t="shared" si="560"/>
        <v>103300.25200000001</v>
      </c>
      <c r="AI126" s="652">
        <f t="shared" si="560"/>
        <v>872997.72079772083</v>
      </c>
      <c r="AJ126" s="652">
        <f t="shared" si="560"/>
        <v>899757.04377025808</v>
      </c>
      <c r="AK126" s="652">
        <f t="shared" si="560"/>
        <v>111280.91037317266</v>
      </c>
      <c r="AL126" s="940">
        <f t="shared" si="560"/>
        <v>108236.25256600001</v>
      </c>
      <c r="AM126" s="428">
        <f t="shared" si="560"/>
        <v>330253.02433328662</v>
      </c>
      <c r="AN126" s="428">
        <f t="shared" si="560"/>
        <v>326778.01345245168</v>
      </c>
      <c r="AO126" s="652">
        <f t="shared" ref="AO126:AT126" si="561">SUM(AO121:AO125)</f>
        <v>984278.63117089355</v>
      </c>
      <c r="AP126" s="652">
        <f t="shared" si="561"/>
        <v>1007993.2963362581</v>
      </c>
      <c r="AQ126" s="652">
        <f t="shared" si="561"/>
        <v>111280.91037317266</v>
      </c>
      <c r="AR126" s="940">
        <f t="shared" si="561"/>
        <v>110694.04700000001</v>
      </c>
      <c r="AS126" s="652">
        <f t="shared" si="561"/>
        <v>1095559.5415440663</v>
      </c>
      <c r="AT126" s="652">
        <f t="shared" si="561"/>
        <v>1118687.3433362581</v>
      </c>
      <c r="AU126" s="652">
        <f t="shared" ref="AU126:AX126" si="562">SUM(AU121:AU125)</f>
        <v>104101.49680070991</v>
      </c>
      <c r="AV126" s="940">
        <f t="shared" si="562"/>
        <v>111912.571</v>
      </c>
      <c r="AW126" s="652">
        <f t="shared" si="562"/>
        <v>1199661.038344776</v>
      </c>
      <c r="AX126" s="652">
        <f t="shared" si="562"/>
        <v>1230599.9143362581</v>
      </c>
      <c r="AY126" s="652">
        <f t="shared" ref="AY126:BF126" si="563">SUM(AY121:AY125)</f>
        <v>111280.91037317266</v>
      </c>
      <c r="AZ126" s="940">
        <f t="shared" si="563"/>
        <v>119338.4</v>
      </c>
      <c r="BA126" s="428">
        <f t="shared" si="563"/>
        <v>326663.31754705525</v>
      </c>
      <c r="BB126" s="428">
        <f t="shared" si="563"/>
        <v>341945.01799999998</v>
      </c>
      <c r="BC126" s="3810">
        <f t="shared" si="563"/>
        <v>656916.34188034188</v>
      </c>
      <c r="BD126" s="555">
        <f t="shared" si="563"/>
        <v>668723.0314524516</v>
      </c>
      <c r="BE126" s="652">
        <f t="shared" si="563"/>
        <v>1310941.9487179487</v>
      </c>
      <c r="BF126" s="652">
        <f t="shared" si="563"/>
        <v>1349938.314336258</v>
      </c>
      <c r="BG126" s="648"/>
      <c r="BH126" s="648"/>
      <c r="BI126" s="648"/>
      <c r="BJ126" s="648"/>
      <c r="BK126" s="648"/>
      <c r="BL126" s="648"/>
      <c r="BM126" s="648"/>
      <c r="BN126" s="648"/>
    </row>
    <row r="127" spans="1:66" x14ac:dyDescent="0.25">
      <c r="B127" s="2879" t="s">
        <v>1486</v>
      </c>
      <c r="C127" s="1830" t="s">
        <v>52</v>
      </c>
      <c r="D127" s="1662">
        <f t="shared" ref="D127:G128" si="564">+D110+D93</f>
        <v>366754.87179487181</v>
      </c>
      <c r="E127" s="1398">
        <f t="shared" si="564"/>
        <v>30129.068235953484</v>
      </c>
      <c r="F127" s="114">
        <f t="shared" si="564"/>
        <v>4428</v>
      </c>
      <c r="G127" s="1398">
        <f t="shared" ref="G127:H127" si="565">+G110+G93</f>
        <v>31133.370510485263</v>
      </c>
      <c r="H127" s="114">
        <f t="shared" si="565"/>
        <v>19363</v>
      </c>
      <c r="I127" s="864">
        <f t="shared" ref="I127:J130" si="566">+E127+G127</f>
        <v>61262.438746438747</v>
      </c>
      <c r="J127" s="89">
        <f t="shared" si="566"/>
        <v>23791</v>
      </c>
      <c r="K127" s="1398">
        <f t="shared" ref="K127:L128" si="567">+K110+K93</f>
        <v>30129.068235953484</v>
      </c>
      <c r="L127" s="114">
        <f t="shared" si="567"/>
        <v>20822.688666666669</v>
      </c>
      <c r="M127" s="1399">
        <f t="shared" ref="M127:N130" si="568">+E127+G127+K127</f>
        <v>91391.506982392224</v>
      </c>
      <c r="N127" s="2116">
        <f t="shared" si="568"/>
        <v>44613.688666666669</v>
      </c>
      <c r="O127" s="1398">
        <f t="shared" ref="O127:P129" si="569">+O110+O93</f>
        <v>31133.370510485263</v>
      </c>
      <c r="P127" s="114">
        <f t="shared" si="569"/>
        <v>17176.566264516128</v>
      </c>
      <c r="Q127" s="864">
        <f t="shared" ref="Q127:R130" si="570">+M127+O127</f>
        <v>122524.87749287748</v>
      </c>
      <c r="R127" s="89">
        <f t="shared" si="570"/>
        <v>61790.254931182797</v>
      </c>
      <c r="S127" s="1398">
        <f>+S110+S93</f>
        <v>30716.770818738027</v>
      </c>
      <c r="T127" s="2732">
        <f t="shared" ref="T127" si="571">+T110+T93</f>
        <v>21139.401184322582</v>
      </c>
      <c r="U127" s="864">
        <f t="shared" ref="U127:V130" si="572">+Q127+S127</f>
        <v>153241.64831161551</v>
      </c>
      <c r="V127" s="89">
        <f t="shared" si="572"/>
        <v>82929.656115505379</v>
      </c>
      <c r="W127" s="1398">
        <f t="shared" ref="W127:X129" si="573">+W110+W93</f>
        <v>29725.90724394003</v>
      </c>
      <c r="X127" s="114">
        <f t="shared" si="573"/>
        <v>23713.721550000002</v>
      </c>
      <c r="Y127" s="924">
        <f t="shared" ref="Y127:Y130" si="574">+O127+S127+W127</f>
        <v>91576.048573163323</v>
      </c>
      <c r="Z127" s="113">
        <f t="shared" ref="Z127:Z130" si="575">+P127+T127+X127</f>
        <v>62029.688998838712</v>
      </c>
      <c r="AA127" s="4014">
        <f t="shared" ref="AA127:AA132" si="576">+M127+Y127</f>
        <v>182967.55555555556</v>
      </c>
      <c r="AB127" s="546">
        <f t="shared" ref="AB127:AB132" si="577">+N127+Z127</f>
        <v>106643.37766550538</v>
      </c>
      <c r="AC127" s="1398">
        <f>+AC110+AC93</f>
        <v>31133.370510485263</v>
      </c>
      <c r="AD127" s="2732">
        <f t="shared" ref="AD127:AD128" si="578">+AD110+AD93</f>
        <v>31527.724389677423</v>
      </c>
      <c r="AE127" s="864">
        <f t="shared" ref="AE127:AE130" si="579">+AA127+AC127</f>
        <v>214100.92606604082</v>
      </c>
      <c r="AF127" s="89">
        <f t="shared" ref="AF127:AF130" si="580">+AB127+AD127</f>
        <v>138171.1020551828</v>
      </c>
      <c r="AG127" s="1398">
        <f>+AG110+AG93</f>
        <v>30129.068235953484</v>
      </c>
      <c r="AH127" s="2732">
        <f t="shared" ref="AH127:AH128" si="581">+AH110+AH93</f>
        <v>41761.656999999999</v>
      </c>
      <c r="AI127" s="864">
        <f t="shared" ref="AI127:AI130" si="582">+AE127+AG127</f>
        <v>244229.9943019943</v>
      </c>
      <c r="AJ127" s="89">
        <f t="shared" ref="AJ127:AJ130" si="583">+AF127+AH127</f>
        <v>179932.7590551828</v>
      </c>
      <c r="AK127" s="1398">
        <f t="shared" ref="AK127:AL127" si="584">+AK110+AK93</f>
        <v>31133.370510485263</v>
      </c>
      <c r="AL127" s="114">
        <f t="shared" si="584"/>
        <v>42184.233744000005</v>
      </c>
      <c r="AM127" s="924">
        <f t="shared" ref="AM127:AM130" si="585">+AC127+AG127+AK127</f>
        <v>92395.809256924011</v>
      </c>
      <c r="AN127" s="113">
        <f t="shared" ref="AN127:AN130" si="586">+AD127+AH127+AL127</f>
        <v>115473.61513367743</v>
      </c>
      <c r="AO127" s="923">
        <f t="shared" si="519"/>
        <v>275363.36481247959</v>
      </c>
      <c r="AP127" s="923">
        <f t="shared" si="519"/>
        <v>222116.9927991828</v>
      </c>
      <c r="AQ127" s="1398">
        <f t="shared" ref="AQ127:AR127" si="587">+AQ110+AQ93</f>
        <v>31133.370510485263</v>
      </c>
      <c r="AR127" s="114">
        <f t="shared" si="587"/>
        <v>34908.097999999998</v>
      </c>
      <c r="AS127" s="864">
        <f t="shared" ref="AS127:AS130" si="588">+AO127+AQ127</f>
        <v>306496.73532296484</v>
      </c>
      <c r="AT127" s="89">
        <f t="shared" ref="AT127:AT130" si="589">+AP127+AR127</f>
        <v>257025.0907991828</v>
      </c>
      <c r="AU127" s="1398">
        <f t="shared" ref="AU127:AV127" si="590">+AU110+AU93</f>
        <v>29124.765961421697</v>
      </c>
      <c r="AV127" s="114">
        <f t="shared" si="590"/>
        <v>26289.368999999999</v>
      </c>
      <c r="AW127" s="864">
        <f t="shared" ref="AW127:AW130" si="591">+AS127+AU127</f>
        <v>335621.50128438656</v>
      </c>
      <c r="AX127" s="89">
        <f t="shared" ref="AX127:AX130" si="592">+AT127+AV127</f>
        <v>283314.45979918278</v>
      </c>
      <c r="AY127" s="1398">
        <f t="shared" ref="AY127:AZ127" si="593">+AY110+AY93</f>
        <v>31133.370510485263</v>
      </c>
      <c r="AZ127" s="114">
        <f t="shared" si="593"/>
        <v>28092.28</v>
      </c>
      <c r="BA127" s="924">
        <f t="shared" ref="BA127:BA130" si="594">+AQ127+AU127+AY127</f>
        <v>91391.506982392224</v>
      </c>
      <c r="BB127" s="113">
        <f t="shared" ref="BB127:BB130" si="595">+AR127+AV127+AZ127</f>
        <v>89289.747000000003</v>
      </c>
      <c r="BC127" s="4738">
        <f t="shared" ref="BC127:BC132" si="596">+AM127+BA127</f>
        <v>183787.31623931625</v>
      </c>
      <c r="BD127" s="4738">
        <f t="shared" ref="BD127:BD135" si="597">+AN127+BB127</f>
        <v>204763.36213367744</v>
      </c>
      <c r="BE127" s="864">
        <f t="shared" ref="BE127:BE130" si="598">+AW127+AY127</f>
        <v>366754.87179487181</v>
      </c>
      <c r="BF127" s="89">
        <f t="shared" ref="BF127:BF130" si="599">+AX127+AZ127</f>
        <v>311406.73979918275</v>
      </c>
      <c r="BG127" s="648"/>
      <c r="BH127" s="648"/>
      <c r="BI127" s="648"/>
      <c r="BJ127" s="648"/>
      <c r="BK127" s="648"/>
      <c r="BL127" s="648"/>
      <c r="BM127" s="648"/>
      <c r="BN127" s="648"/>
    </row>
    <row r="128" spans="1:66" x14ac:dyDescent="0.25">
      <c r="B128" s="2626" t="s">
        <v>647</v>
      </c>
      <c r="C128" s="2288" t="s">
        <v>52</v>
      </c>
      <c r="D128" s="1662">
        <f t="shared" ref="D128:E128" si="600">+D111+D94</f>
        <v>0</v>
      </c>
      <c r="E128" s="1398">
        <f t="shared" si="600"/>
        <v>0</v>
      </c>
      <c r="F128" s="114">
        <f t="shared" si="564"/>
        <v>15787</v>
      </c>
      <c r="G128" s="1398">
        <f t="shared" si="564"/>
        <v>0</v>
      </c>
      <c r="H128" s="114">
        <f t="shared" ref="H128" si="601">+H111+H94</f>
        <v>7834</v>
      </c>
      <c r="I128" s="864">
        <f t="shared" si="566"/>
        <v>0</v>
      </c>
      <c r="J128" s="89">
        <f t="shared" si="566"/>
        <v>23621</v>
      </c>
      <c r="K128" s="1398">
        <f t="shared" ref="K128:K129" si="602">+K111+K94</f>
        <v>0</v>
      </c>
      <c r="L128" s="114">
        <f t="shared" si="567"/>
        <v>10757.123733333334</v>
      </c>
      <c r="M128" s="1399">
        <f t="shared" si="568"/>
        <v>0</v>
      </c>
      <c r="N128" s="2116">
        <f t="shared" si="568"/>
        <v>34378.123733333334</v>
      </c>
      <c r="O128" s="1398">
        <f t="shared" si="569"/>
        <v>0</v>
      </c>
      <c r="P128" s="114">
        <f t="shared" si="569"/>
        <v>10612.34817096774</v>
      </c>
      <c r="Q128" s="864">
        <f t="shared" si="570"/>
        <v>0</v>
      </c>
      <c r="R128" s="89">
        <f t="shared" si="570"/>
        <v>44990.47190430107</v>
      </c>
      <c r="S128" s="1398">
        <f>+S111+S94</f>
        <v>0</v>
      </c>
      <c r="T128" s="2732">
        <f t="shared" ref="T128" si="603">+T111+T94</f>
        <v>3071.9608709677418</v>
      </c>
      <c r="U128" s="864">
        <f t="shared" si="572"/>
        <v>0</v>
      </c>
      <c r="V128" s="89">
        <f t="shared" si="572"/>
        <v>48062.432775268811</v>
      </c>
      <c r="W128" s="1398">
        <f t="shared" si="573"/>
        <v>0</v>
      </c>
      <c r="X128" s="114">
        <f t="shared" si="573"/>
        <v>3096.7495600000002</v>
      </c>
      <c r="Y128" s="924">
        <f t="shared" si="574"/>
        <v>0</v>
      </c>
      <c r="Z128" s="113">
        <f t="shared" si="575"/>
        <v>16781.058601935481</v>
      </c>
      <c r="AA128" s="4014">
        <f t="shared" si="576"/>
        <v>0</v>
      </c>
      <c r="AB128" s="546">
        <f t="shared" si="577"/>
        <v>51159.182335268815</v>
      </c>
      <c r="AC128" s="1398">
        <f>+AC111+AC94</f>
        <v>0</v>
      </c>
      <c r="AD128" s="2732">
        <f t="shared" si="578"/>
        <v>4866.7309793548393</v>
      </c>
      <c r="AE128" s="864">
        <f t="shared" si="579"/>
        <v>0</v>
      </c>
      <c r="AF128" s="89">
        <f t="shared" si="580"/>
        <v>56025.913314623656</v>
      </c>
      <c r="AG128" s="1398">
        <f>+AG111+AG94</f>
        <v>0</v>
      </c>
      <c r="AH128" s="2732">
        <f t="shared" si="581"/>
        <v>2054.1150000000002</v>
      </c>
      <c r="AI128" s="864">
        <f t="shared" si="582"/>
        <v>0</v>
      </c>
      <c r="AJ128" s="89">
        <f t="shared" si="583"/>
        <v>58080.028314623654</v>
      </c>
      <c r="AK128" s="1398">
        <f t="shared" ref="AK128:AL128" si="604">+AK111+AK94</f>
        <v>0</v>
      </c>
      <c r="AL128" s="114">
        <f t="shared" si="604"/>
        <v>2700.6396900000004</v>
      </c>
      <c r="AM128" s="924">
        <f t="shared" si="585"/>
        <v>0</v>
      </c>
      <c r="AN128" s="113">
        <f t="shared" si="586"/>
        <v>9621.485669354839</v>
      </c>
      <c r="AO128" s="923">
        <f t="shared" ref="AO128:AO130" si="605">AI128+AK128</f>
        <v>0</v>
      </c>
      <c r="AP128" s="923">
        <f t="shared" ref="AP128:AP130" si="606">AJ128+AL128</f>
        <v>60780.668004623658</v>
      </c>
      <c r="AQ128" s="1398">
        <f t="shared" ref="AQ128:AR129" si="607">+AQ111+AQ94</f>
        <v>0</v>
      </c>
      <c r="AR128" s="114">
        <f t="shared" si="607"/>
        <v>5638.47</v>
      </c>
      <c r="AS128" s="864">
        <f t="shared" si="588"/>
        <v>0</v>
      </c>
      <c r="AT128" s="89">
        <f t="shared" si="589"/>
        <v>66419.138004623659</v>
      </c>
      <c r="AU128" s="1398">
        <f t="shared" ref="AU128:AV128" si="608">+AU111+AU94</f>
        <v>0</v>
      </c>
      <c r="AV128" s="114">
        <f t="shared" si="608"/>
        <v>12455.564999999999</v>
      </c>
      <c r="AW128" s="864">
        <f t="shared" si="591"/>
        <v>0</v>
      </c>
      <c r="AX128" s="89">
        <f t="shared" si="592"/>
        <v>78874.703004623661</v>
      </c>
      <c r="AY128" s="1398">
        <f t="shared" ref="AY128:AZ129" si="609">+AY111+AY94</f>
        <v>0</v>
      </c>
      <c r="AZ128" s="114">
        <f t="shared" si="609"/>
        <v>12287.19</v>
      </c>
      <c r="BA128" s="924">
        <f t="shared" si="594"/>
        <v>0</v>
      </c>
      <c r="BB128" s="113">
        <f t="shared" si="595"/>
        <v>30381.224999999999</v>
      </c>
      <c r="BC128" s="4738">
        <f t="shared" si="596"/>
        <v>0</v>
      </c>
      <c r="BD128" s="4738">
        <f t="shared" si="597"/>
        <v>40002.710669354841</v>
      </c>
      <c r="BE128" s="864">
        <f t="shared" si="598"/>
        <v>0</v>
      </c>
      <c r="BF128" s="89">
        <f t="shared" si="599"/>
        <v>91161.893004623664</v>
      </c>
      <c r="BG128" s="648"/>
      <c r="BH128" s="648"/>
      <c r="BI128" s="648"/>
      <c r="BJ128" s="648"/>
      <c r="BK128" s="648"/>
      <c r="BL128" s="648"/>
      <c r="BM128" s="648"/>
      <c r="BN128" s="648"/>
    </row>
    <row r="129" spans="1:66" x14ac:dyDescent="0.25">
      <c r="B129" s="2626" t="s">
        <v>1461</v>
      </c>
      <c r="C129" s="2288" t="s">
        <v>52</v>
      </c>
      <c r="D129" s="1662">
        <f t="shared" ref="D129:E129" si="610">+D112+D95</f>
        <v>157364.51282051281</v>
      </c>
      <c r="E129" s="1398">
        <f t="shared" si="610"/>
        <v>12927.022558497967</v>
      </c>
      <c r="F129" s="114">
        <f>F95+F112</f>
        <v>7702</v>
      </c>
      <c r="G129" s="1398">
        <f t="shared" ref="G129" si="611">+G112+G95</f>
        <v>13357.923310447899</v>
      </c>
      <c r="H129" s="114">
        <f>H95+H112</f>
        <v>6234</v>
      </c>
      <c r="I129" s="864">
        <f t="shared" si="566"/>
        <v>26284.945868945866</v>
      </c>
      <c r="J129" s="89">
        <f t="shared" si="566"/>
        <v>13936</v>
      </c>
      <c r="K129" s="1398">
        <f t="shared" si="602"/>
        <v>12927.022558497967</v>
      </c>
      <c r="L129" s="114">
        <f>L95+L112</f>
        <v>1137.82</v>
      </c>
      <c r="M129" s="1399">
        <f t="shared" ref="M129" si="612">+E129+G129+K129</f>
        <v>39211.968427443833</v>
      </c>
      <c r="N129" s="2116">
        <f t="shared" ref="N129" si="613">+F129+H129+L129</f>
        <v>15073.82</v>
      </c>
      <c r="O129" s="1398">
        <f t="shared" si="569"/>
        <v>13357.923310447899</v>
      </c>
      <c r="P129" s="114">
        <f>P95+P112</f>
        <v>2385.2349999999997</v>
      </c>
      <c r="Q129" s="864">
        <f t="shared" ref="Q129" si="614">+M129+O129</f>
        <v>52569.891737891732</v>
      </c>
      <c r="R129" s="89">
        <f t="shared" ref="R129" si="615">+N129+P129</f>
        <v>17459.055</v>
      </c>
      <c r="S129" s="1398">
        <f>+S112+S95</f>
        <v>13182.512913922747</v>
      </c>
      <c r="T129" s="2732">
        <f>T95+T112</f>
        <v>6563.520134774194</v>
      </c>
      <c r="U129" s="864">
        <f t="shared" si="572"/>
        <v>65752.404651814475</v>
      </c>
      <c r="V129" s="89">
        <f t="shared" si="572"/>
        <v>24022.575134774193</v>
      </c>
      <c r="W129" s="1398">
        <f>+W112+W95</f>
        <v>12757.270561860722</v>
      </c>
      <c r="X129" s="114">
        <f t="shared" si="573"/>
        <v>5196.9267500000005</v>
      </c>
      <c r="Y129" s="924">
        <f t="shared" si="574"/>
        <v>39297.706786231371</v>
      </c>
      <c r="Z129" s="113">
        <f t="shared" si="575"/>
        <v>14145.681884774194</v>
      </c>
      <c r="AA129" s="4014">
        <f t="shared" si="576"/>
        <v>78509.675213675204</v>
      </c>
      <c r="AB129" s="546">
        <f t="shared" si="577"/>
        <v>29219.501884774196</v>
      </c>
      <c r="AC129" s="1398">
        <f>+AC112+AC95</f>
        <v>13357.923310447899</v>
      </c>
      <c r="AD129" s="2732">
        <f>AD95+AD112</f>
        <v>1164.8520645161291</v>
      </c>
      <c r="AE129" s="864">
        <f t="shared" si="579"/>
        <v>91867.59852412311</v>
      </c>
      <c r="AF129" s="89">
        <f t="shared" si="580"/>
        <v>30384.353949290326</v>
      </c>
      <c r="AG129" s="1398">
        <f>+AG112+AG95</f>
        <v>12927.022558497967</v>
      </c>
      <c r="AH129" s="2732">
        <f>AH95+AH112</f>
        <v>0</v>
      </c>
      <c r="AI129" s="864">
        <f t="shared" si="582"/>
        <v>104794.62108262107</v>
      </c>
      <c r="AJ129" s="89">
        <f t="shared" si="583"/>
        <v>30384.353949290326</v>
      </c>
      <c r="AK129" s="1398">
        <f>+AK112+AK95</f>
        <v>13357.923310447899</v>
      </c>
      <c r="AL129" s="114">
        <f t="shared" ref="AL129" si="616">+AL112+AL95</f>
        <v>0</v>
      </c>
      <c r="AM129" s="924">
        <f t="shared" si="585"/>
        <v>39642.869179393761</v>
      </c>
      <c r="AN129" s="113">
        <f t="shared" si="586"/>
        <v>1164.8520645161291</v>
      </c>
      <c r="AO129" s="923">
        <f t="shared" si="605"/>
        <v>118152.54439306897</v>
      </c>
      <c r="AP129" s="923">
        <f t="shared" si="606"/>
        <v>30384.353949290326</v>
      </c>
      <c r="AQ129" s="1398">
        <f>+AQ112+AQ95</f>
        <v>13357.923310447899</v>
      </c>
      <c r="AR129" s="114">
        <f t="shared" si="607"/>
        <v>2713.0950000000003</v>
      </c>
      <c r="AS129" s="864">
        <f t="shared" si="588"/>
        <v>131510.46770351686</v>
      </c>
      <c r="AT129" s="89">
        <f t="shared" si="589"/>
        <v>33097.448949290323</v>
      </c>
      <c r="AU129" s="1398">
        <f>+AU112+AU95</f>
        <v>12496.121806548035</v>
      </c>
      <c r="AV129" s="114">
        <f t="shared" ref="AV129" si="617">+AV112+AV95</f>
        <v>187.11</v>
      </c>
      <c r="AW129" s="864">
        <f t="shared" si="591"/>
        <v>144006.58951006489</v>
      </c>
      <c r="AX129" s="89">
        <f t="shared" si="592"/>
        <v>33284.558949290324</v>
      </c>
      <c r="AY129" s="1398">
        <f>+AY112+AY95</f>
        <v>13357.923310447899</v>
      </c>
      <c r="AZ129" s="114">
        <f t="shared" si="609"/>
        <v>1217</v>
      </c>
      <c r="BA129" s="924">
        <f t="shared" si="594"/>
        <v>39211.968427443833</v>
      </c>
      <c r="BB129" s="113">
        <f t="shared" si="595"/>
        <v>4117.2049999999999</v>
      </c>
      <c r="BC129" s="4738">
        <f t="shared" si="596"/>
        <v>78854.837606837595</v>
      </c>
      <c r="BD129" s="4738">
        <f t="shared" si="597"/>
        <v>5282.0570645161288</v>
      </c>
      <c r="BE129" s="864">
        <f t="shared" si="598"/>
        <v>157364.51282051278</v>
      </c>
      <c r="BF129" s="89">
        <f t="shared" si="599"/>
        <v>34501.558949290324</v>
      </c>
      <c r="BG129" s="648"/>
      <c r="BH129" s="648"/>
      <c r="BI129" s="648"/>
      <c r="BJ129" s="648"/>
      <c r="BK129" s="648"/>
      <c r="BL129" s="648"/>
      <c r="BM129" s="648"/>
      <c r="BN129" s="648"/>
    </row>
    <row r="130" spans="1:66" ht="15.75" thickBot="1" x14ac:dyDescent="0.3">
      <c r="B130" s="2626" t="s">
        <v>1485</v>
      </c>
      <c r="C130" s="2288" t="s">
        <v>52</v>
      </c>
      <c r="D130" s="1662">
        <f t="shared" ref="D130" si="618">+D113+D96</f>
        <v>0</v>
      </c>
      <c r="E130" s="1402">
        <f>+E113+E96</f>
        <v>0</v>
      </c>
      <c r="F130" s="154">
        <f>+F113+F96</f>
        <v>4779</v>
      </c>
      <c r="G130" s="1402">
        <f>+G113+G96</f>
        <v>0</v>
      </c>
      <c r="H130" s="154">
        <f>+H113+H96</f>
        <v>0</v>
      </c>
      <c r="I130" s="864">
        <f t="shared" si="566"/>
        <v>0</v>
      </c>
      <c r="J130" s="89">
        <f t="shared" si="566"/>
        <v>4779</v>
      </c>
      <c r="K130" s="1402">
        <f>+K113+K96</f>
        <v>0</v>
      </c>
      <c r="L130" s="154">
        <f>+L113+L96</f>
        <v>0</v>
      </c>
      <c r="M130" s="101">
        <f t="shared" si="568"/>
        <v>0</v>
      </c>
      <c r="N130" s="155">
        <f t="shared" si="568"/>
        <v>4779</v>
      </c>
      <c r="O130" s="1402">
        <f>+O113+O96</f>
        <v>0</v>
      </c>
      <c r="P130" s="154">
        <f>+P113+P96</f>
        <v>0</v>
      </c>
      <c r="Q130" s="864">
        <f t="shared" si="570"/>
        <v>0</v>
      </c>
      <c r="R130" s="89">
        <f t="shared" si="570"/>
        <v>4779</v>
      </c>
      <c r="S130" s="1402">
        <f t="shared" ref="S130" si="619">+S113+S96</f>
        <v>0</v>
      </c>
      <c r="T130" s="2729">
        <f>+T113+T96</f>
        <v>0</v>
      </c>
      <c r="U130" s="864">
        <f t="shared" si="572"/>
        <v>0</v>
      </c>
      <c r="V130" s="89">
        <f t="shared" si="572"/>
        <v>4779</v>
      </c>
      <c r="W130" s="1402">
        <f t="shared" ref="W130:X130" si="620">+W113+W96</f>
        <v>0</v>
      </c>
      <c r="X130" s="154">
        <f t="shared" si="620"/>
        <v>0</v>
      </c>
      <c r="Y130" s="924">
        <f t="shared" si="574"/>
        <v>0</v>
      </c>
      <c r="Z130" s="113">
        <f t="shared" si="575"/>
        <v>0</v>
      </c>
      <c r="AA130" s="4014">
        <f t="shared" si="576"/>
        <v>0</v>
      </c>
      <c r="AB130" s="546">
        <f t="shared" si="577"/>
        <v>4779</v>
      </c>
      <c r="AC130" s="4056">
        <f t="shared" ref="AC130" si="621">+AC113+AC96</f>
        <v>0</v>
      </c>
      <c r="AD130" s="2729">
        <f>+AD113+AD96</f>
        <v>0</v>
      </c>
      <c r="AE130" s="864">
        <f t="shared" si="579"/>
        <v>0</v>
      </c>
      <c r="AF130" s="89">
        <f t="shared" si="580"/>
        <v>4779</v>
      </c>
      <c r="AG130" s="4166">
        <f t="shared" ref="AG130" si="622">+AG113+AG96</f>
        <v>0</v>
      </c>
      <c r="AH130" s="2729">
        <f>+AH113+AH96</f>
        <v>0</v>
      </c>
      <c r="AI130" s="864">
        <f t="shared" si="582"/>
        <v>0</v>
      </c>
      <c r="AJ130" s="89">
        <f t="shared" si="583"/>
        <v>4779</v>
      </c>
      <c r="AK130" s="4291">
        <f t="shared" ref="AK130:AL130" si="623">+AK113+AK96</f>
        <v>0</v>
      </c>
      <c r="AL130" s="154">
        <f t="shared" si="623"/>
        <v>0</v>
      </c>
      <c r="AM130" s="924">
        <f t="shared" si="585"/>
        <v>0</v>
      </c>
      <c r="AN130" s="113">
        <f t="shared" si="586"/>
        <v>0</v>
      </c>
      <c r="AO130" s="923">
        <f t="shared" si="605"/>
        <v>0</v>
      </c>
      <c r="AP130" s="923">
        <f t="shared" si="606"/>
        <v>4779</v>
      </c>
      <c r="AQ130" s="4405">
        <f t="shared" ref="AQ130:AR130" si="624">+AQ113+AQ96</f>
        <v>0</v>
      </c>
      <c r="AR130" s="154">
        <f t="shared" si="624"/>
        <v>0</v>
      </c>
      <c r="AS130" s="864">
        <f t="shared" si="588"/>
        <v>0</v>
      </c>
      <c r="AT130" s="89">
        <f t="shared" si="589"/>
        <v>4779</v>
      </c>
      <c r="AU130" s="4647">
        <f t="shared" ref="AU130:AV130" si="625">+AU113+AU96</f>
        <v>0</v>
      </c>
      <c r="AV130" s="154">
        <f t="shared" si="625"/>
        <v>0</v>
      </c>
      <c r="AW130" s="864">
        <f t="shared" si="591"/>
        <v>0</v>
      </c>
      <c r="AX130" s="89">
        <f t="shared" si="592"/>
        <v>4779</v>
      </c>
      <c r="AY130" s="5061">
        <f t="shared" ref="AY130:AZ130" si="626">+AY113+AY96</f>
        <v>0</v>
      </c>
      <c r="AZ130" s="154">
        <f t="shared" si="626"/>
        <v>0</v>
      </c>
      <c r="BA130" s="924">
        <f t="shared" si="594"/>
        <v>0</v>
      </c>
      <c r="BB130" s="113">
        <f t="shared" si="595"/>
        <v>0</v>
      </c>
      <c r="BC130" s="4738">
        <f t="shared" si="596"/>
        <v>0</v>
      </c>
      <c r="BD130" s="4738">
        <f t="shared" si="597"/>
        <v>0</v>
      </c>
      <c r="BE130" s="864">
        <f t="shared" si="598"/>
        <v>0</v>
      </c>
      <c r="BF130" s="89">
        <f t="shared" si="599"/>
        <v>4779</v>
      </c>
      <c r="BG130" s="648"/>
      <c r="BH130" s="648"/>
      <c r="BI130" s="648"/>
      <c r="BJ130" s="648"/>
      <c r="BK130" s="648"/>
      <c r="BL130" s="648"/>
      <c r="BM130" s="648"/>
      <c r="BN130" s="648"/>
    </row>
    <row r="131" spans="1:66" ht="16.5" thickBot="1" x14ac:dyDescent="0.3">
      <c r="B131" s="2874" t="s">
        <v>138</v>
      </c>
      <c r="C131" s="2289" t="s">
        <v>52</v>
      </c>
      <c r="D131" s="169">
        <f>SUM(D127:D130)</f>
        <v>524119.38461538462</v>
      </c>
      <c r="E131" s="652">
        <f>SUM(E127:E130)</f>
        <v>43056.090794451447</v>
      </c>
      <c r="F131" s="121">
        <f>SUM(F127:F130)</f>
        <v>32696</v>
      </c>
      <c r="G131" s="652">
        <f>SUM(G127:G130)</f>
        <v>44491.293820933162</v>
      </c>
      <c r="H131" s="121">
        <f>SUM(H127:H130)</f>
        <v>33431</v>
      </c>
      <c r="I131" s="27">
        <f t="shared" ref="I131:N131" si="627">SUM(I127:I130)</f>
        <v>87547.38461538461</v>
      </c>
      <c r="J131" s="27">
        <f t="shared" si="627"/>
        <v>66127</v>
      </c>
      <c r="K131" s="652">
        <f>SUM(K127:K130)</f>
        <v>43056.090794451447</v>
      </c>
      <c r="L131" s="121">
        <f>SUM(L127:L130)</f>
        <v>32717.632400000002</v>
      </c>
      <c r="M131" s="428">
        <f t="shared" si="627"/>
        <v>130603.47540983606</v>
      </c>
      <c r="N131" s="1958">
        <f t="shared" si="627"/>
        <v>98844.632400000002</v>
      </c>
      <c r="O131" s="652">
        <f>SUM(O127:O130)</f>
        <v>44491.293820933162</v>
      </c>
      <c r="P131" s="121">
        <f>SUM(P127:P130)</f>
        <v>30174.149435483869</v>
      </c>
      <c r="Q131" s="27">
        <f t="shared" ref="Q131:X131" si="628">SUM(Q127:Q130)</f>
        <v>175094.76923076922</v>
      </c>
      <c r="R131" s="27">
        <f t="shared" si="628"/>
        <v>129018.78183548385</v>
      </c>
      <c r="S131" s="652">
        <f t="shared" si="628"/>
        <v>43899.28373266077</v>
      </c>
      <c r="T131" s="2742">
        <f t="shared" si="628"/>
        <v>30774.882190064516</v>
      </c>
      <c r="U131" s="27">
        <f t="shared" si="628"/>
        <v>218994.05296343</v>
      </c>
      <c r="V131" s="27">
        <f t="shared" si="628"/>
        <v>159793.66402554838</v>
      </c>
      <c r="W131" s="652">
        <f t="shared" si="628"/>
        <v>42483.177805800748</v>
      </c>
      <c r="X131" s="121">
        <f t="shared" si="628"/>
        <v>32007.397860000005</v>
      </c>
      <c r="Y131" s="875">
        <f t="shared" ref="Y131" si="629">SUM(Y127:Y130)</f>
        <v>130873.75535939469</v>
      </c>
      <c r="Z131" s="875">
        <f>SUM(Z127:Z130)</f>
        <v>92956.429485548389</v>
      </c>
      <c r="AA131" s="3810">
        <f t="shared" si="576"/>
        <v>261477.23076923075</v>
      </c>
      <c r="AB131" s="555">
        <f t="shared" si="577"/>
        <v>191801.06188554841</v>
      </c>
      <c r="AC131" s="652">
        <f t="shared" ref="AC131:AF131" si="630">SUM(AC127:AC130)</f>
        <v>44491.293820933162</v>
      </c>
      <c r="AD131" s="2742">
        <f t="shared" si="630"/>
        <v>37559.307433548391</v>
      </c>
      <c r="AE131" s="27">
        <f t="shared" si="630"/>
        <v>305968.52459016396</v>
      </c>
      <c r="AF131" s="27">
        <f t="shared" si="630"/>
        <v>229360.36931909676</v>
      </c>
      <c r="AG131" s="652">
        <f t="shared" ref="AG131:AM131" si="631">SUM(AG127:AG130)</f>
        <v>43056.090794451447</v>
      </c>
      <c r="AH131" s="2742">
        <f t="shared" si="631"/>
        <v>43815.771999999997</v>
      </c>
      <c r="AI131" s="27">
        <f t="shared" si="631"/>
        <v>349024.61538461538</v>
      </c>
      <c r="AJ131" s="27">
        <f t="shared" si="631"/>
        <v>273176.14131909679</v>
      </c>
      <c r="AK131" s="652">
        <f t="shared" si="631"/>
        <v>44491.293820933162</v>
      </c>
      <c r="AL131" s="121">
        <f t="shared" si="631"/>
        <v>44884.873434000008</v>
      </c>
      <c r="AM131" s="875">
        <f t="shared" si="631"/>
        <v>132038.67843631777</v>
      </c>
      <c r="AN131" s="875">
        <f>SUM(AN127:AN130)</f>
        <v>126259.9528675484</v>
      </c>
      <c r="AO131" s="27">
        <f t="shared" ref="AO131:AT131" si="632">SUM(AO127:AO130)</f>
        <v>393515.90920554858</v>
      </c>
      <c r="AP131" s="27">
        <f t="shared" si="632"/>
        <v>318061.0147530968</v>
      </c>
      <c r="AQ131" s="652">
        <f t="shared" si="632"/>
        <v>44491.293820933162</v>
      </c>
      <c r="AR131" s="121">
        <f t="shared" si="632"/>
        <v>43259.663</v>
      </c>
      <c r="AS131" s="27">
        <f t="shared" si="632"/>
        <v>438007.20302648167</v>
      </c>
      <c r="AT131" s="27">
        <f t="shared" si="632"/>
        <v>361320.6777530968</v>
      </c>
      <c r="AU131" s="652">
        <f t="shared" ref="AU131:AX131" si="633">SUM(AU127:AU130)</f>
        <v>41620.887767969733</v>
      </c>
      <c r="AV131" s="121">
        <f t="shared" si="633"/>
        <v>38932.043999999994</v>
      </c>
      <c r="AW131" s="27">
        <f t="shared" si="633"/>
        <v>479628.09079445142</v>
      </c>
      <c r="AX131" s="27">
        <f t="shared" si="633"/>
        <v>400252.72175309673</v>
      </c>
      <c r="AY131" s="652">
        <f t="shared" ref="AY131:BF131" si="634">SUM(AY127:AY130)</f>
        <v>44491.293820933162</v>
      </c>
      <c r="AZ131" s="121">
        <f t="shared" si="634"/>
        <v>41596.47</v>
      </c>
      <c r="BA131" s="875">
        <f t="shared" si="634"/>
        <v>130603.47540983606</v>
      </c>
      <c r="BB131" s="875">
        <f>SUM(BB127:BB130)</f>
        <v>123788.17700000001</v>
      </c>
      <c r="BC131" s="4738">
        <f t="shared" si="596"/>
        <v>262642.15384615381</v>
      </c>
      <c r="BD131" s="4738">
        <f t="shared" si="597"/>
        <v>250048.12986754841</v>
      </c>
      <c r="BE131" s="27">
        <f t="shared" si="634"/>
        <v>524119.38461538462</v>
      </c>
      <c r="BF131" s="27">
        <f t="shared" si="634"/>
        <v>441849.1917530967</v>
      </c>
      <c r="BG131" s="648"/>
      <c r="BH131" s="648"/>
      <c r="BI131" s="648"/>
      <c r="BJ131" s="648"/>
      <c r="BK131" s="648"/>
      <c r="BL131" s="648"/>
      <c r="BM131" s="648"/>
      <c r="BN131" s="648"/>
    </row>
    <row r="132" spans="1:66" ht="16.5" thickBot="1" x14ac:dyDescent="0.3">
      <c r="B132" s="2880" t="s">
        <v>13</v>
      </c>
      <c r="C132" s="1832" t="s">
        <v>52</v>
      </c>
      <c r="D132" s="169">
        <f>+D126+D131</f>
        <v>1835061.333333333</v>
      </c>
      <c r="E132" s="652">
        <f>+E126+E131</f>
        <v>150747.29438139274</v>
      </c>
      <c r="F132" s="121">
        <f>+F126+F131</f>
        <v>143905</v>
      </c>
      <c r="G132" s="652">
        <f>+G126+G131</f>
        <v>155772.20419410581</v>
      </c>
      <c r="H132" s="121">
        <f>+H126+H131</f>
        <v>142693</v>
      </c>
      <c r="I132" s="27">
        <f t="shared" ref="I132:N132" si="635">+I126+I131</f>
        <v>306519.49857549858</v>
      </c>
      <c r="J132" s="27">
        <f t="shared" si="635"/>
        <v>286598</v>
      </c>
      <c r="K132" s="652">
        <f>+K126+K131</f>
        <v>150747.29438139274</v>
      </c>
      <c r="L132" s="121">
        <f>+L126+L131</f>
        <v>139395.33000000002</v>
      </c>
      <c r="M132" s="428">
        <f t="shared" si="635"/>
        <v>457266.7929568913</v>
      </c>
      <c r="N132" s="1958">
        <f t="shared" si="635"/>
        <v>425993.33</v>
      </c>
      <c r="O132" s="652">
        <f>+O126+O131</f>
        <v>155772.20419410581</v>
      </c>
      <c r="P132" s="121">
        <f>+P126+P131</f>
        <v>148259.65636129031</v>
      </c>
      <c r="Q132" s="27">
        <f t="shared" ref="Q132:X132" si="636">+Q126+Q131</f>
        <v>613038.99715099717</v>
      </c>
      <c r="R132" s="27">
        <f t="shared" si="636"/>
        <v>574252.98636129033</v>
      </c>
      <c r="S132" s="652">
        <f t="shared" si="636"/>
        <v>153711.13203493529</v>
      </c>
      <c r="T132" s="2742">
        <f t="shared" si="636"/>
        <v>151431.87045806451</v>
      </c>
      <c r="U132" s="27">
        <f t="shared" si="636"/>
        <v>766750.12918593246</v>
      </c>
      <c r="V132" s="27">
        <f t="shared" si="636"/>
        <v>725684.85681935481</v>
      </c>
      <c r="W132" s="652">
        <f>+W126+W131</f>
        <v>148752.70842090511</v>
      </c>
      <c r="X132" s="121">
        <f t="shared" si="636"/>
        <v>147331.48795000001</v>
      </c>
      <c r="Y132" s="875">
        <f t="shared" ref="Y132:Z132" si="637">+Y126+Y131</f>
        <v>458236.04464994627</v>
      </c>
      <c r="Z132" s="875">
        <f t="shared" si="637"/>
        <v>447023.01476935489</v>
      </c>
      <c r="AA132" s="3810">
        <f t="shared" si="576"/>
        <v>915502.83760683751</v>
      </c>
      <c r="AB132" s="555">
        <f t="shared" si="577"/>
        <v>873016.34476935491</v>
      </c>
      <c r="AC132" s="652">
        <f t="shared" ref="AC132:AF132" si="638">+AC126+AC131</f>
        <v>155772.20419410581</v>
      </c>
      <c r="AD132" s="2742">
        <f t="shared" si="638"/>
        <v>152800.81631999998</v>
      </c>
      <c r="AE132" s="27">
        <f t="shared" si="638"/>
        <v>1071275.0418009434</v>
      </c>
      <c r="AF132" s="27">
        <f t="shared" si="638"/>
        <v>1025817.1610893549</v>
      </c>
      <c r="AG132" s="652">
        <f t="shared" ref="AG132:AJ132" si="639">+AG126+AG131</f>
        <v>150747.29438139274</v>
      </c>
      <c r="AH132" s="2742">
        <f t="shared" si="639"/>
        <v>147116.024</v>
      </c>
      <c r="AI132" s="27">
        <f t="shared" si="639"/>
        <v>1222022.3361823363</v>
      </c>
      <c r="AJ132" s="27">
        <f t="shared" si="639"/>
        <v>1172933.1850893549</v>
      </c>
      <c r="AK132" s="652">
        <f>+AK126+AK131</f>
        <v>155772.20419410581</v>
      </c>
      <c r="AL132" s="121">
        <f t="shared" ref="AL132:AT132" si="640">+AL126+AL131</f>
        <v>153121.12600000002</v>
      </c>
      <c r="AM132" s="875">
        <f t="shared" si="640"/>
        <v>462291.7027696044</v>
      </c>
      <c r="AN132" s="875">
        <f t="shared" si="640"/>
        <v>453037.96632000007</v>
      </c>
      <c r="AO132" s="27">
        <f t="shared" si="640"/>
        <v>1377794.540376442</v>
      </c>
      <c r="AP132" s="27">
        <f t="shared" si="640"/>
        <v>1326054.3110893548</v>
      </c>
      <c r="AQ132" s="652">
        <f>+AQ126+AQ131</f>
        <v>155772.20419410581</v>
      </c>
      <c r="AR132" s="121">
        <f t="shared" ref="AR132" si="641">+AR126+AR131</f>
        <v>153953.71000000002</v>
      </c>
      <c r="AS132" s="27">
        <f t="shared" si="640"/>
        <v>1533566.7445705479</v>
      </c>
      <c r="AT132" s="27">
        <f t="shared" si="640"/>
        <v>1480008.021089355</v>
      </c>
      <c r="AU132" s="652">
        <f>+AU126+AU131</f>
        <v>145722.38456867964</v>
      </c>
      <c r="AV132" s="121">
        <f t="shared" ref="AV132:AX132" si="642">+AV126+AV131</f>
        <v>150844.61499999999</v>
      </c>
      <c r="AW132" s="27">
        <f t="shared" si="642"/>
        <v>1679289.1291392273</v>
      </c>
      <c r="AX132" s="27">
        <f t="shared" si="642"/>
        <v>1630852.6360893548</v>
      </c>
      <c r="AY132" s="652">
        <f>+AY126+AY131</f>
        <v>155772.20419410581</v>
      </c>
      <c r="AZ132" s="121">
        <f t="shared" ref="AZ132:BF132" si="643">+AZ126+AZ131</f>
        <v>160934.87</v>
      </c>
      <c r="BA132" s="875">
        <f t="shared" si="643"/>
        <v>457266.7929568913</v>
      </c>
      <c r="BB132" s="875">
        <f t="shared" si="643"/>
        <v>465733.19500000001</v>
      </c>
      <c r="BC132" s="4738">
        <f t="shared" si="596"/>
        <v>919558.49572649575</v>
      </c>
      <c r="BD132" s="4738">
        <f t="shared" si="597"/>
        <v>918771.16132000007</v>
      </c>
      <c r="BE132" s="27">
        <f t="shared" si="643"/>
        <v>1835061.3333333335</v>
      </c>
      <c r="BF132" s="27">
        <f t="shared" si="643"/>
        <v>1791787.5060893546</v>
      </c>
      <c r="BG132" s="648"/>
      <c r="BH132" s="648"/>
      <c r="BI132" s="648"/>
      <c r="BJ132" s="648"/>
      <c r="BK132" s="648"/>
      <c r="BL132" s="648"/>
      <c r="BM132" s="648"/>
      <c r="BN132" s="648"/>
    </row>
    <row r="133" spans="1:66" x14ac:dyDescent="0.25">
      <c r="B133" s="2881" t="s">
        <v>1055</v>
      </c>
      <c r="C133" s="1830" t="s">
        <v>52</v>
      </c>
      <c r="D133" s="6323">
        <f>+D99+D116</f>
        <v>130568.1</v>
      </c>
      <c r="E133" s="6290">
        <f>+E99+E116</f>
        <v>10723.3</v>
      </c>
      <c r="F133" s="1676">
        <f>F99+F116</f>
        <v>2408</v>
      </c>
      <c r="G133" s="6290">
        <f>+G99+G116</f>
        <v>11080.7</v>
      </c>
      <c r="H133" s="1676">
        <f>H99+H116</f>
        <v>3612</v>
      </c>
      <c r="I133" s="6288">
        <f>+E133+G133</f>
        <v>21804</v>
      </c>
      <c r="J133" s="89">
        <f>+F133+H133</f>
        <v>6020</v>
      </c>
      <c r="K133" s="6290">
        <f>+K99+K116</f>
        <v>10723.4</v>
      </c>
      <c r="L133" s="1676">
        <f>L99+L116</f>
        <v>4282.3006666666661</v>
      </c>
      <c r="M133" s="6301">
        <f>+K133+G133+E133</f>
        <v>32527.399999999998</v>
      </c>
      <c r="N133" s="2125">
        <f>+F133+H133+L133</f>
        <v>10302.300666666666</v>
      </c>
      <c r="O133" s="6290">
        <f>+O99+O116</f>
        <v>11080.7</v>
      </c>
      <c r="P133" s="1676">
        <f>P99+P116</f>
        <v>5084.9750000000004</v>
      </c>
      <c r="Q133" s="6288">
        <f>+M133+O133</f>
        <v>43608.1</v>
      </c>
      <c r="R133" s="89">
        <f>+N133+P133</f>
        <v>15387.275666666666</v>
      </c>
      <c r="S133" s="6290">
        <f>+S99+S116</f>
        <v>10950.60069300069</v>
      </c>
      <c r="T133" s="2744">
        <f>T99+T116</f>
        <v>2728.7185530000002</v>
      </c>
      <c r="U133" s="6288">
        <f>+Q133+S133</f>
        <v>54558.70069300069</v>
      </c>
      <c r="V133" s="89">
        <f>+R133+T133</f>
        <v>18115.994219666667</v>
      </c>
      <c r="W133" s="6290">
        <f>+W99+W116</f>
        <v>10597.355509355506</v>
      </c>
      <c r="X133" s="1676">
        <f t="shared" ref="X133" si="644">+X99+X116</f>
        <v>3852.4876050000003</v>
      </c>
      <c r="Y133" s="6301">
        <f>O133+S133+W133</f>
        <v>32628.656202356193</v>
      </c>
      <c r="Z133" s="1399">
        <f t="shared" ref="Z133:Z135" si="645">+P133+T133+X133</f>
        <v>11666.181158000001</v>
      </c>
      <c r="AA133" s="6332">
        <f>Y133+M133</f>
        <v>65156.056202356194</v>
      </c>
      <c r="AB133" s="963">
        <f t="shared" ref="AB133:AB135" si="646">+N133+Z133</f>
        <v>21968.481824666669</v>
      </c>
      <c r="AC133" s="6290">
        <f>+AC99+AC116</f>
        <v>11080.736243936244</v>
      </c>
      <c r="AD133" s="2744">
        <f>AD99+AD116</f>
        <v>3980.7543870967743</v>
      </c>
      <c r="AE133" s="6288">
        <f>+AA133+AC133</f>
        <v>76236.792446292442</v>
      </c>
      <c r="AF133" s="89">
        <f>+AB133+AD133</f>
        <v>25949.236211763444</v>
      </c>
      <c r="AG133" s="6290">
        <f>+AG99+AG116</f>
        <v>10723.289667000001</v>
      </c>
      <c r="AH133" s="2744">
        <f>AH99+AH116</f>
        <v>2998.57</v>
      </c>
      <c r="AI133" s="6288">
        <f>+AE133+AG133</f>
        <v>86960.082113292447</v>
      </c>
      <c r="AJ133" s="89">
        <f>+AF133+AH133</f>
        <v>28947.806211763444</v>
      </c>
      <c r="AK133" s="6290">
        <f>+AK99+AK116</f>
        <v>11080.73624393624</v>
      </c>
      <c r="AL133" s="1676">
        <f t="shared" ref="AL133" si="647">+AL99+AL116</f>
        <v>509.89862399999998</v>
      </c>
      <c r="AM133" s="6301">
        <f>AC133+AG133+AK133</f>
        <v>32884.762154872486</v>
      </c>
      <c r="AN133" s="4305">
        <f t="shared" ref="AN133:AN135" si="648">+AD133+AH133+AL133</f>
        <v>7489.2230110967748</v>
      </c>
      <c r="AO133" s="6288">
        <f>AI133+AK133</f>
        <v>98040.81835722868</v>
      </c>
      <c r="AP133" s="923">
        <f t="shared" ref="AP133:AP135" si="649">AJ133+AL133</f>
        <v>29457.704835763445</v>
      </c>
      <c r="AQ133" s="6290">
        <f>+AQ99+AQ116</f>
        <v>11080.73</v>
      </c>
      <c r="AR133" s="1676">
        <f t="shared" ref="AR133" si="650">+AR99+AR116</f>
        <v>4610.3999999999996</v>
      </c>
      <c r="AS133" s="6288">
        <f>+AO133+AQ133</f>
        <v>109121.54835722868</v>
      </c>
      <c r="AT133" s="89">
        <f>+AP133+AR133</f>
        <v>34068.104835763443</v>
      </c>
      <c r="AU133" s="6290">
        <f>+AU99+AU116</f>
        <v>10365.810000000001</v>
      </c>
      <c r="AV133" s="1676">
        <f t="shared" ref="AV133" si="651">+AV99+AV116</f>
        <v>0</v>
      </c>
      <c r="AW133" s="6288">
        <f>+AS133+AU133</f>
        <v>119487.35835722867</v>
      </c>
      <c r="AX133" s="89">
        <f>+AT133+AV133</f>
        <v>34068.104835763443</v>
      </c>
      <c r="AY133" s="6290">
        <f>+AY99+AY116</f>
        <v>11080.736000000001</v>
      </c>
      <c r="AZ133" s="1676">
        <f t="shared" ref="AZ133" si="652">+AZ99+AZ116</f>
        <v>2099</v>
      </c>
      <c r="BA133" s="6301">
        <f>AQ133+AU133+AY133</f>
        <v>32527.276000000002</v>
      </c>
      <c r="BB133" s="5080">
        <f t="shared" ref="BB133:BB135" si="653">+AR133+AV133+AZ133</f>
        <v>6709.4</v>
      </c>
      <c r="BC133" s="6332">
        <f>BA133+AM133</f>
        <v>65412.038154872484</v>
      </c>
      <c r="BD133" s="4738">
        <f t="shared" si="597"/>
        <v>14198.623011096774</v>
      </c>
      <c r="BE133" s="6288">
        <f>+AW133+AY133</f>
        <v>130568.09435722868</v>
      </c>
      <c r="BF133" s="89">
        <f>+AX133+AZ133</f>
        <v>36167.104835763443</v>
      </c>
      <c r="BG133" s="648"/>
      <c r="BH133" s="648"/>
      <c r="BI133" s="648"/>
      <c r="BJ133" s="648"/>
      <c r="BK133" s="648"/>
      <c r="BL133" s="648"/>
      <c r="BM133" s="648"/>
      <c r="BN133" s="648"/>
    </row>
    <row r="134" spans="1:66" x14ac:dyDescent="0.25">
      <c r="A134" s="182"/>
      <c r="B134" s="2881" t="s">
        <v>952</v>
      </c>
      <c r="C134" s="1830" t="s">
        <v>52</v>
      </c>
      <c r="D134" s="6324"/>
      <c r="E134" s="6291"/>
      <c r="F134" s="1676">
        <f>+F100+F117</f>
        <v>11321</v>
      </c>
      <c r="G134" s="6291"/>
      <c r="H134" s="1676">
        <f>+H100+H117</f>
        <v>10051</v>
      </c>
      <c r="I134" s="6285"/>
      <c r="J134" s="89">
        <f>+F134+H134</f>
        <v>21372</v>
      </c>
      <c r="K134" s="6291"/>
      <c r="L134" s="1676">
        <f>+L100+L117</f>
        <v>9761.2193333333344</v>
      </c>
      <c r="M134" s="6302"/>
      <c r="N134" s="2125">
        <f>+F134+H134+L134</f>
        <v>31133.219333333334</v>
      </c>
      <c r="O134" s="6291"/>
      <c r="P134" s="1676">
        <f>+P100+P117</f>
        <v>9087.6170000000002</v>
      </c>
      <c r="Q134" s="6285"/>
      <c r="R134" s="89">
        <f>+N134+P134</f>
        <v>40220.836333333333</v>
      </c>
      <c r="S134" s="6291"/>
      <c r="T134" s="2744">
        <f>+T100+T117</f>
        <v>11876.345988935484</v>
      </c>
      <c r="U134" s="6285"/>
      <c r="V134" s="89">
        <f t="shared" ref="V134:V135" si="654">+R134+T134</f>
        <v>52097.182322268818</v>
      </c>
      <c r="W134" s="6291"/>
      <c r="X134" s="1676">
        <f>+X100+X117</f>
        <v>10222.435395</v>
      </c>
      <c r="Y134" s="6302"/>
      <c r="Z134" s="1399">
        <f t="shared" si="645"/>
        <v>31186.398383935484</v>
      </c>
      <c r="AA134" s="6333"/>
      <c r="AB134" s="963">
        <f t="shared" si="646"/>
        <v>62319.617717268819</v>
      </c>
      <c r="AC134" s="6291"/>
      <c r="AD134" s="2744">
        <f>+AD100+AD117</f>
        <v>11113.029292903226</v>
      </c>
      <c r="AE134" s="6285"/>
      <c r="AF134" s="89">
        <f t="shared" ref="AF134:AF135" si="655">+AB134+AD134</f>
        <v>73432.647010172048</v>
      </c>
      <c r="AG134" s="6291"/>
      <c r="AH134" s="2744">
        <f>+AH100+AH117</f>
        <v>8952.5360000000019</v>
      </c>
      <c r="AI134" s="6285"/>
      <c r="AJ134" s="89">
        <f t="shared" ref="AJ134:AJ135" si="656">+AF134+AH134</f>
        <v>82385.183010172055</v>
      </c>
      <c r="AK134" s="6291"/>
      <c r="AL134" s="1676">
        <f>+AL100+AL117</f>
        <v>10601.955376</v>
      </c>
      <c r="AM134" s="6302"/>
      <c r="AN134" s="4305">
        <f t="shared" si="648"/>
        <v>30667.520668903227</v>
      </c>
      <c r="AO134" s="6285"/>
      <c r="AP134" s="923">
        <f t="shared" si="649"/>
        <v>92987.138386172053</v>
      </c>
      <c r="AQ134" s="6291"/>
      <c r="AR134" s="1676">
        <f>+AR100+AR117</f>
        <v>5426.1900000000005</v>
      </c>
      <c r="AS134" s="6285"/>
      <c r="AT134" s="89">
        <f t="shared" ref="AT134:AT135" si="657">+AP134+AR134</f>
        <v>98413.328386172056</v>
      </c>
      <c r="AU134" s="6291"/>
      <c r="AV134" s="1676">
        <f>+AV100+AV117</f>
        <v>2713.0950000000003</v>
      </c>
      <c r="AW134" s="6285"/>
      <c r="AX134" s="89">
        <f t="shared" ref="AX134:AX135" si="658">+AT134+AV134</f>
        <v>101126.42338617206</v>
      </c>
      <c r="AY134" s="6291"/>
      <c r="AZ134" s="1676">
        <f>+AZ100+AZ117</f>
        <v>1030</v>
      </c>
      <c r="BA134" s="6302"/>
      <c r="BB134" s="5080">
        <f t="shared" si="653"/>
        <v>9169.2849999999999</v>
      </c>
      <c r="BC134" s="6333"/>
      <c r="BD134" s="4738">
        <f t="shared" si="597"/>
        <v>39836.805668903224</v>
      </c>
      <c r="BE134" s="6285"/>
      <c r="BF134" s="89">
        <f t="shared" ref="BF134:BF135" si="659">+AX134+AZ134</f>
        <v>102156.42338617206</v>
      </c>
      <c r="BG134" s="648"/>
      <c r="BH134" s="648"/>
      <c r="BI134" s="648"/>
      <c r="BJ134" s="648"/>
      <c r="BK134" s="648"/>
      <c r="BL134" s="648"/>
      <c r="BM134" s="648"/>
      <c r="BN134" s="648"/>
    </row>
    <row r="135" spans="1:66" ht="15.75" customHeight="1" thickBot="1" x14ac:dyDescent="0.3">
      <c r="B135" s="2869" t="s">
        <v>1187</v>
      </c>
      <c r="C135" s="1830" t="s">
        <v>52</v>
      </c>
      <c r="D135" s="6325"/>
      <c r="E135" s="6292"/>
      <c r="F135" s="1676">
        <f>+F101+F118</f>
        <v>0</v>
      </c>
      <c r="G135" s="6292"/>
      <c r="H135" s="1676">
        <f>+H101+H118</f>
        <v>0</v>
      </c>
      <c r="I135" s="6289"/>
      <c r="J135" s="89">
        <f>+F135+H135</f>
        <v>0</v>
      </c>
      <c r="K135" s="6292"/>
      <c r="L135" s="1676">
        <f>+L101+L118</f>
        <v>0</v>
      </c>
      <c r="M135" s="6303"/>
      <c r="N135" s="2125">
        <f>+F135+H135+L135</f>
        <v>0</v>
      </c>
      <c r="O135" s="6292"/>
      <c r="P135" s="1676">
        <f>+P101+P118</f>
        <v>0</v>
      </c>
      <c r="Q135" s="6289"/>
      <c r="R135" s="89">
        <f>+N135+P135</f>
        <v>0</v>
      </c>
      <c r="S135" s="6292"/>
      <c r="T135" s="2744">
        <f>+T101+T118</f>
        <v>0</v>
      </c>
      <c r="U135" s="6289"/>
      <c r="V135" s="89">
        <f t="shared" si="654"/>
        <v>0</v>
      </c>
      <c r="W135" s="6292"/>
      <c r="X135" s="1676">
        <f>+X101+X118</f>
        <v>0</v>
      </c>
      <c r="Y135" s="6303"/>
      <c r="Z135" s="1399">
        <f t="shared" si="645"/>
        <v>0</v>
      </c>
      <c r="AA135" s="6334"/>
      <c r="AB135" s="963">
        <f t="shared" si="646"/>
        <v>0</v>
      </c>
      <c r="AC135" s="6292"/>
      <c r="AD135" s="2744">
        <f>+AD101+AD118</f>
        <v>0</v>
      </c>
      <c r="AE135" s="6289"/>
      <c r="AF135" s="89">
        <f t="shared" si="655"/>
        <v>0</v>
      </c>
      <c r="AG135" s="6292"/>
      <c r="AH135" s="2744">
        <f>+AH101+AH118</f>
        <v>0</v>
      </c>
      <c r="AI135" s="6289"/>
      <c r="AJ135" s="89">
        <f t="shared" si="656"/>
        <v>0</v>
      </c>
      <c r="AK135" s="6292"/>
      <c r="AL135" s="1676">
        <f>+AL101+AL118</f>
        <v>0</v>
      </c>
      <c r="AM135" s="6303"/>
      <c r="AN135" s="4305">
        <f t="shared" si="648"/>
        <v>0</v>
      </c>
      <c r="AO135" s="6289"/>
      <c r="AP135" s="923">
        <f t="shared" si="649"/>
        <v>0</v>
      </c>
      <c r="AQ135" s="6292"/>
      <c r="AR135" s="1676">
        <f>+AR101+AR118</f>
        <v>0</v>
      </c>
      <c r="AS135" s="6289"/>
      <c r="AT135" s="89">
        <f t="shared" si="657"/>
        <v>0</v>
      </c>
      <c r="AU135" s="6292"/>
      <c r="AV135" s="1676">
        <f>+AV101+AV118</f>
        <v>0</v>
      </c>
      <c r="AW135" s="6289"/>
      <c r="AX135" s="89">
        <f t="shared" si="658"/>
        <v>0</v>
      </c>
      <c r="AY135" s="6292"/>
      <c r="AZ135" s="1676">
        <f>+AZ101+AZ118</f>
        <v>0</v>
      </c>
      <c r="BA135" s="6303"/>
      <c r="BB135" s="5080">
        <f t="shared" si="653"/>
        <v>0</v>
      </c>
      <c r="BC135" s="6334"/>
      <c r="BD135" s="4738">
        <f t="shared" si="597"/>
        <v>0</v>
      </c>
      <c r="BE135" s="6289"/>
      <c r="BF135" s="89">
        <f t="shared" si="659"/>
        <v>0</v>
      </c>
      <c r="BG135" s="648"/>
      <c r="BH135" s="648"/>
      <c r="BI135" s="648"/>
      <c r="BJ135" s="648"/>
      <c r="BK135" s="648"/>
      <c r="BL135" s="648"/>
      <c r="BM135" s="648"/>
      <c r="BN135" s="648"/>
    </row>
    <row r="136" spans="1:66" ht="16.5" thickBot="1" x14ac:dyDescent="0.3">
      <c r="B136" s="2882" t="s">
        <v>12</v>
      </c>
      <c r="C136" s="2907" t="s">
        <v>52</v>
      </c>
      <c r="D136" s="254">
        <f>SUM(D132:D135)</f>
        <v>1965629.4333333331</v>
      </c>
      <c r="E136" s="2908">
        <f>SUM(E132:E135)</f>
        <v>161470.59438139273</v>
      </c>
      <c r="F136" s="1859">
        <f>SUM(F132:F135)</f>
        <v>157634</v>
      </c>
      <c r="G136" s="2908">
        <f>SUM(G132:G135)</f>
        <v>166852.90419410582</v>
      </c>
      <c r="H136" s="1859">
        <f>SUM(H132:H135)</f>
        <v>156356</v>
      </c>
      <c r="I136" s="1859">
        <f t="shared" ref="I136:N136" si="660">SUM(I132:I135)</f>
        <v>328323.49857549858</v>
      </c>
      <c r="J136" s="1859">
        <f t="shared" si="660"/>
        <v>313990</v>
      </c>
      <c r="K136" s="2908">
        <f>SUM(K132:K135)</f>
        <v>161470.69438139274</v>
      </c>
      <c r="L136" s="1859">
        <f>SUM(L132:L135)</f>
        <v>153438.85000000003</v>
      </c>
      <c r="M136" s="2909">
        <f t="shared" si="660"/>
        <v>489794.19295689132</v>
      </c>
      <c r="N136" s="2119">
        <f t="shared" si="660"/>
        <v>467428.85</v>
      </c>
      <c r="O136" s="2908">
        <f>SUM(O132:O135)</f>
        <v>166852.90419410582</v>
      </c>
      <c r="P136" s="1859">
        <f>SUM(P132:P135)</f>
        <v>162432.24836129032</v>
      </c>
      <c r="Q136" s="1859">
        <f t="shared" ref="Q136:X136" si="661">SUM(Q132:Q135)</f>
        <v>656647.09715099714</v>
      </c>
      <c r="R136" s="1859">
        <f t="shared" si="661"/>
        <v>629861.09836129029</v>
      </c>
      <c r="S136" s="2908">
        <f t="shared" si="661"/>
        <v>164661.73272793597</v>
      </c>
      <c r="T136" s="2734">
        <f t="shared" si="661"/>
        <v>166036.935</v>
      </c>
      <c r="U136" s="1859">
        <f t="shared" si="661"/>
        <v>821308.82987893315</v>
      </c>
      <c r="V136" s="1859">
        <f t="shared" si="661"/>
        <v>795898.03336129035</v>
      </c>
      <c r="W136" s="940">
        <f t="shared" si="661"/>
        <v>159350.06393026063</v>
      </c>
      <c r="X136" s="31">
        <f t="shared" si="661"/>
        <v>161406.41095000002</v>
      </c>
      <c r="Y136" s="96">
        <f t="shared" ref="Y136:AF136" si="662">SUM(Y132:Y135)</f>
        <v>490864.70085230249</v>
      </c>
      <c r="Z136" s="96">
        <f t="shared" si="662"/>
        <v>489875.59431129042</v>
      </c>
      <c r="AA136" s="3812">
        <f t="shared" si="662"/>
        <v>980658.89380919375</v>
      </c>
      <c r="AB136" s="552">
        <f t="shared" si="662"/>
        <v>957304.44431129051</v>
      </c>
      <c r="AC136" s="2908">
        <f t="shared" si="662"/>
        <v>166852.94043804205</v>
      </c>
      <c r="AD136" s="2734">
        <f t="shared" si="662"/>
        <v>167894.59999999998</v>
      </c>
      <c r="AE136" s="1859">
        <f t="shared" si="662"/>
        <v>1147511.8342472359</v>
      </c>
      <c r="AF136" s="1859">
        <f t="shared" si="662"/>
        <v>1125199.0443112904</v>
      </c>
      <c r="AG136" s="2908">
        <f t="shared" ref="AG136:AN136" si="663">SUM(AG132:AG135)</f>
        <v>161470.58404839275</v>
      </c>
      <c r="AH136" s="2734">
        <f t="shared" si="663"/>
        <v>159067.13</v>
      </c>
      <c r="AI136" s="1859">
        <f t="shared" si="663"/>
        <v>1308982.4182956289</v>
      </c>
      <c r="AJ136" s="1859">
        <f t="shared" si="663"/>
        <v>1284266.1743112905</v>
      </c>
      <c r="AK136" s="940">
        <f t="shared" si="663"/>
        <v>166852.94043804205</v>
      </c>
      <c r="AL136" s="31">
        <f t="shared" si="663"/>
        <v>164232.98000000001</v>
      </c>
      <c r="AM136" s="96">
        <f t="shared" si="663"/>
        <v>495176.46492447687</v>
      </c>
      <c r="AN136" s="96">
        <f t="shared" si="663"/>
        <v>491194.71000000008</v>
      </c>
      <c r="AO136" s="1859">
        <f t="shared" ref="AO136:AT136" si="664">SUM(AO132:AO135)</f>
        <v>1475835.3587336708</v>
      </c>
      <c r="AP136" s="1859">
        <f t="shared" si="664"/>
        <v>1448499.1543112902</v>
      </c>
      <c r="AQ136" s="940">
        <f t="shared" si="664"/>
        <v>166852.93419410582</v>
      </c>
      <c r="AR136" s="31">
        <f t="shared" si="664"/>
        <v>163990.30000000002</v>
      </c>
      <c r="AS136" s="1859">
        <f t="shared" si="664"/>
        <v>1642688.2929277767</v>
      </c>
      <c r="AT136" s="1859">
        <f t="shared" si="664"/>
        <v>1612489.4543112903</v>
      </c>
      <c r="AU136" s="940">
        <f t="shared" ref="AU136:AX136" si="665">SUM(AU132:AU135)</f>
        <v>156088.19456867964</v>
      </c>
      <c r="AV136" s="31">
        <f t="shared" si="665"/>
        <v>153557.71</v>
      </c>
      <c r="AW136" s="1859">
        <f t="shared" si="665"/>
        <v>1798776.4874964559</v>
      </c>
      <c r="AX136" s="1859">
        <f t="shared" si="665"/>
        <v>1766047.1643112903</v>
      </c>
      <c r="AY136" s="940">
        <f t="shared" ref="AY136:BF136" si="666">SUM(AY132:AY135)</f>
        <v>166852.94019410582</v>
      </c>
      <c r="AZ136" s="31">
        <f t="shared" si="666"/>
        <v>164063.87</v>
      </c>
      <c r="BA136" s="96">
        <f t="shared" si="666"/>
        <v>489794.06895689131</v>
      </c>
      <c r="BB136" s="96">
        <f t="shared" si="666"/>
        <v>481611.88</v>
      </c>
      <c r="BC136" s="3812">
        <f t="shared" si="666"/>
        <v>984970.53388136823</v>
      </c>
      <c r="BD136" s="552">
        <f t="shared" si="666"/>
        <v>972806.59000000008</v>
      </c>
      <c r="BE136" s="1859">
        <f t="shared" si="666"/>
        <v>1965629.4276905621</v>
      </c>
      <c r="BF136" s="1859">
        <f t="shared" si="666"/>
        <v>1930111.0343112901</v>
      </c>
      <c r="BG136" s="648"/>
      <c r="BH136" s="648"/>
      <c r="BI136" s="648"/>
      <c r="BJ136" s="648"/>
      <c r="BK136" s="648"/>
      <c r="BL136" s="648"/>
      <c r="BM136" s="648"/>
      <c r="BN136" s="648"/>
    </row>
    <row r="137" spans="1:66" s="183" customFormat="1" ht="19.5" thickBot="1" x14ac:dyDescent="0.3">
      <c r="A137" s="182"/>
      <c r="B137" s="2888" t="s">
        <v>1193</v>
      </c>
      <c r="C137" s="2910"/>
      <c r="D137" s="2910"/>
      <c r="E137" s="2910"/>
      <c r="F137" s="2910"/>
      <c r="G137" s="2910"/>
      <c r="H137" s="2910"/>
      <c r="I137" s="2910"/>
      <c r="J137" s="2910"/>
      <c r="K137" s="2910"/>
      <c r="L137" s="2910"/>
      <c r="M137" s="2910"/>
      <c r="N137" s="2910"/>
      <c r="O137" s="2910"/>
      <c r="P137" s="2910"/>
      <c r="Q137" s="2910"/>
      <c r="R137" s="2910"/>
      <c r="S137" s="2910"/>
      <c r="T137" s="2910"/>
      <c r="U137" s="2910"/>
      <c r="V137" s="2911"/>
      <c r="W137" s="2910"/>
      <c r="X137" s="2910"/>
      <c r="Y137" s="2910"/>
      <c r="Z137" s="2910"/>
      <c r="AA137" s="4002"/>
      <c r="AB137" s="2911"/>
      <c r="AC137" s="2910"/>
      <c r="AD137" s="2910"/>
      <c r="AE137" s="2910"/>
      <c r="AF137" s="2911"/>
      <c r="AG137" s="2910"/>
      <c r="AH137" s="2910"/>
      <c r="AI137" s="2910"/>
      <c r="AJ137" s="2911"/>
      <c r="AK137" s="2910"/>
      <c r="AL137" s="2910"/>
      <c r="AM137" s="2910"/>
      <c r="AN137" s="2910"/>
      <c r="AO137" s="2910"/>
      <c r="AP137" s="2911"/>
      <c r="AQ137" s="2910"/>
      <c r="AR137" s="2910"/>
      <c r="AS137" s="2910"/>
      <c r="AT137" s="2911"/>
      <c r="AU137" s="2910"/>
      <c r="AV137" s="2910"/>
      <c r="AW137" s="2910"/>
      <c r="AX137" s="2911"/>
      <c r="AY137" s="2910"/>
      <c r="AZ137" s="2910"/>
      <c r="BA137" s="2910"/>
      <c r="BB137" s="2910"/>
      <c r="BC137" s="4002"/>
      <c r="BD137" s="2911"/>
      <c r="BE137" s="2910"/>
      <c r="BF137" s="2911"/>
      <c r="BG137" s="648"/>
      <c r="BH137" s="648"/>
      <c r="BI137" s="648"/>
      <c r="BJ137" s="648"/>
      <c r="BK137" s="648"/>
      <c r="BL137" s="648"/>
      <c r="BM137" s="648"/>
      <c r="BN137" s="648"/>
    </row>
    <row r="138" spans="1:66" s="183" customFormat="1" ht="19.5" thickBot="1" x14ac:dyDescent="0.3">
      <c r="A138" s="182"/>
      <c r="B138" s="2890" t="s">
        <v>669</v>
      </c>
      <c r="C138" s="2864"/>
      <c r="D138" s="2864"/>
      <c r="E138" s="2864"/>
      <c r="F138" s="2864"/>
      <c r="G138" s="2864"/>
      <c r="H138" s="2864"/>
      <c r="I138" s="2864"/>
      <c r="J138" s="2864"/>
      <c r="K138" s="2864"/>
      <c r="L138" s="2864"/>
      <c r="M138" s="2864"/>
      <c r="N138" s="2864"/>
      <c r="O138" s="2864"/>
      <c r="P138" s="2864"/>
      <c r="Q138" s="2864"/>
      <c r="R138" s="2864"/>
      <c r="S138" s="2864"/>
      <c r="T138" s="2864"/>
      <c r="U138" s="2864"/>
      <c r="V138" s="2865"/>
      <c r="W138" s="2893"/>
      <c r="X138" s="2893"/>
      <c r="Y138" s="2893"/>
      <c r="Z138" s="2893"/>
      <c r="AA138" s="4003"/>
      <c r="AB138" s="2894"/>
      <c r="AC138" s="2864"/>
      <c r="AD138" s="2864"/>
      <c r="AE138" s="2864"/>
      <c r="AF138" s="2865"/>
      <c r="AG138" s="2864"/>
      <c r="AH138" s="2864"/>
      <c r="AI138" s="2864"/>
      <c r="AJ138" s="2865"/>
      <c r="AK138" s="2893"/>
      <c r="AL138" s="2893"/>
      <c r="AM138" s="2893"/>
      <c r="AN138" s="2893"/>
      <c r="AO138" s="2864"/>
      <c r="AP138" s="2865"/>
      <c r="AQ138" s="2893"/>
      <c r="AR138" s="2893"/>
      <c r="AS138" s="2864"/>
      <c r="AT138" s="2865"/>
      <c r="AU138" s="2893"/>
      <c r="AV138" s="2893"/>
      <c r="AW138" s="2864"/>
      <c r="AX138" s="2865"/>
      <c r="AY138" s="2893"/>
      <c r="AZ138" s="2893"/>
      <c r="BA138" s="2893"/>
      <c r="BB138" s="2893"/>
      <c r="BC138" s="4003"/>
      <c r="BD138" s="2894"/>
      <c r="BE138" s="2864"/>
      <c r="BF138" s="2865"/>
      <c r="BG138" s="648"/>
      <c r="BH138" s="648"/>
      <c r="BI138" s="648"/>
      <c r="BJ138" s="648"/>
      <c r="BK138" s="648"/>
      <c r="BL138" s="648"/>
      <c r="BM138" s="648"/>
      <c r="BN138" s="648"/>
    </row>
    <row r="139" spans="1:66" s="183" customFormat="1" ht="15.75" x14ac:dyDescent="0.25">
      <c r="A139" s="182"/>
      <c r="B139" s="2928" t="s">
        <v>435</v>
      </c>
      <c r="C139" s="2900"/>
      <c r="D139" s="282"/>
      <c r="E139" s="948"/>
      <c r="F139" s="734"/>
      <c r="G139" s="948"/>
      <c r="H139" s="734"/>
      <c r="I139" s="282"/>
      <c r="J139" s="282"/>
      <c r="K139" s="948"/>
      <c r="L139" s="734"/>
      <c r="M139" s="948"/>
      <c r="N139" s="734"/>
      <c r="O139" s="948"/>
      <c r="P139" s="734"/>
      <c r="Q139" s="282"/>
      <c r="R139" s="282"/>
      <c r="S139" s="948"/>
      <c r="T139" s="2720"/>
      <c r="U139" s="282"/>
      <c r="V139" s="734"/>
      <c r="W139" s="282"/>
      <c r="X139" s="734"/>
      <c r="Y139" s="282"/>
      <c r="Z139" s="282"/>
      <c r="AA139" s="3798"/>
      <c r="AB139" s="734"/>
      <c r="AC139" s="948"/>
      <c r="AD139" s="2720"/>
      <c r="AE139" s="282"/>
      <c r="AF139" s="734"/>
      <c r="AG139" s="948"/>
      <c r="AH139" s="2720"/>
      <c r="AI139" s="282"/>
      <c r="AJ139" s="734"/>
      <c r="AK139" s="282"/>
      <c r="AL139" s="734"/>
      <c r="AM139" s="282"/>
      <c r="AN139" s="282"/>
      <c r="AO139" s="282"/>
      <c r="AP139" s="734"/>
      <c r="AQ139" s="282"/>
      <c r="AR139" s="734"/>
      <c r="AS139" s="282"/>
      <c r="AT139" s="734"/>
      <c r="AU139" s="282"/>
      <c r="AV139" s="734"/>
      <c r="AW139" s="282"/>
      <c r="AX139" s="734"/>
      <c r="AY139" s="282"/>
      <c r="AZ139" s="734"/>
      <c r="BA139" s="282"/>
      <c r="BB139" s="282"/>
      <c r="BC139" s="3798"/>
      <c r="BD139" s="734"/>
      <c r="BE139" s="282"/>
      <c r="BF139" s="734"/>
      <c r="BG139" s="648"/>
      <c r="BH139" s="648"/>
      <c r="BI139" s="648"/>
      <c r="BJ139" s="648"/>
      <c r="BK139" s="648"/>
      <c r="BL139" s="648"/>
      <c r="BM139" s="648"/>
      <c r="BN139" s="648"/>
    </row>
    <row r="140" spans="1:66" x14ac:dyDescent="0.25">
      <c r="B140" s="2867" t="s">
        <v>198</v>
      </c>
      <c r="C140" s="1828" t="s">
        <v>51</v>
      </c>
      <c r="D140" s="135">
        <f>+D92/D102*100</f>
        <v>66.057129350041961</v>
      </c>
      <c r="E140" s="932">
        <f>+E92/E102*100</f>
        <v>66.057083922694446</v>
      </c>
      <c r="F140" s="150">
        <f>+F92/F102*100</f>
        <v>70.000536567044051</v>
      </c>
      <c r="G140" s="932">
        <f>+G92/G102*100</f>
        <v>66.057136066456167</v>
      </c>
      <c r="H140" s="150">
        <f>+H92/H102*100</f>
        <v>68.904318315614503</v>
      </c>
      <c r="I140" s="71">
        <f t="shared" ref="I140:N140" si="667">+I92/I102*100</f>
        <v>66.057110421972908</v>
      </c>
      <c r="J140" s="203">
        <f t="shared" si="667"/>
        <v>69.44354022786257</v>
      </c>
      <c r="K140" s="932">
        <f>+K92/K102*100</f>
        <v>66.057083922694446</v>
      </c>
      <c r="L140" s="150">
        <f>+L92/L102*100</f>
        <v>69.8</v>
      </c>
      <c r="M140" s="106">
        <f t="shared" si="667"/>
        <v>66.057101685944701</v>
      </c>
      <c r="N140" s="211">
        <f t="shared" si="667"/>
        <v>69.561069065116456</v>
      </c>
      <c r="O140" s="932">
        <f>+O92/O102*100</f>
        <v>66.057136066456167</v>
      </c>
      <c r="P140" s="150">
        <f>+P92/P102*100</f>
        <v>74.02221488190402</v>
      </c>
      <c r="Q140" s="71">
        <f t="shared" ref="Q140:AB140" si="668">+Q92/Q102*100</f>
        <v>66.057110421972908</v>
      </c>
      <c r="R140" s="203">
        <f t="shared" si="668"/>
        <v>70.70760801473179</v>
      </c>
      <c r="S140" s="932">
        <f t="shared" si="668"/>
        <v>66.057130491235654</v>
      </c>
      <c r="T140" s="2746">
        <f>+T92/T102*100</f>
        <v>73</v>
      </c>
      <c r="U140" s="71">
        <f t="shared" si="668"/>
        <v>66.057114488293138</v>
      </c>
      <c r="V140" s="203">
        <f t="shared" si="668"/>
        <v>71.186518306665548</v>
      </c>
      <c r="W140" s="69">
        <f t="shared" si="668"/>
        <v>66.057130491235654</v>
      </c>
      <c r="X140" s="150">
        <f t="shared" si="668"/>
        <v>70.400209283964799</v>
      </c>
      <c r="Y140" s="467">
        <f t="shared" si="668"/>
        <v>66.057132369842478</v>
      </c>
      <c r="Z140" s="211">
        <f t="shared" si="668"/>
        <v>72.485202394261592</v>
      </c>
      <c r="AA140" s="577">
        <f t="shared" si="668"/>
        <v>66.057117111725788</v>
      </c>
      <c r="AB140" s="575">
        <f t="shared" si="668"/>
        <v>71.05467031063354</v>
      </c>
      <c r="AC140" s="932">
        <f t="shared" ref="AC140" si="669">+AC92/AC102*100</f>
        <v>66.057130491235654</v>
      </c>
      <c r="AD140" s="2746">
        <f>+AD92/AD102*100</f>
        <v>69.096774193548399</v>
      </c>
      <c r="AE140" s="71">
        <f t="shared" ref="AE140:AG140" si="670">+AE92/AE102*100</f>
        <v>66.057119049878764</v>
      </c>
      <c r="AF140" s="203">
        <f t="shared" si="670"/>
        <v>70.769074161883921</v>
      </c>
      <c r="AG140" s="932">
        <f t="shared" si="670"/>
        <v>66.057130491650938</v>
      </c>
      <c r="AH140" s="2746">
        <f>+AH92/AH102*100</f>
        <v>63.933333333333344</v>
      </c>
      <c r="AI140" s="71">
        <f t="shared" ref="AI140:AN140" si="671">+AI92/AI102*100</f>
        <v>66.05712045665382</v>
      </c>
      <c r="AJ140" s="203">
        <f t="shared" si="671"/>
        <v>69.9307464021269</v>
      </c>
      <c r="AK140" s="69">
        <f t="shared" si="671"/>
        <v>66.057130491235654</v>
      </c>
      <c r="AL140" s="150">
        <f t="shared" si="671"/>
        <v>62.669999999999995</v>
      </c>
      <c r="AM140" s="467">
        <f t="shared" si="671"/>
        <v>66.057130491371083</v>
      </c>
      <c r="AN140" s="211">
        <f t="shared" si="671"/>
        <v>65.269421214149276</v>
      </c>
      <c r="AO140" s="71">
        <f t="shared" ref="AO140:AR140" si="672">+AO92/AO102*100</f>
        <v>66.057121587824724</v>
      </c>
      <c r="AP140" s="203">
        <f t="shared" si="672"/>
        <v>69.121703527871176</v>
      </c>
      <c r="AQ140" s="69">
        <f t="shared" si="672"/>
        <v>66.057136066456167</v>
      </c>
      <c r="AR140" s="150">
        <f t="shared" si="672"/>
        <v>64.741935483870961</v>
      </c>
      <c r="AS140" s="71">
        <f t="shared" ref="AS140:AV140" si="673">+AS92/AS102*100</f>
        <v>66.057123054613882</v>
      </c>
      <c r="AT140" s="203">
        <f t="shared" si="673"/>
        <v>68.682606544600276</v>
      </c>
      <c r="AU140" s="69">
        <f t="shared" si="673"/>
        <v>66.057135681157135</v>
      </c>
      <c r="AV140" s="150">
        <f t="shared" si="673"/>
        <v>69</v>
      </c>
      <c r="AW140" s="71">
        <f t="shared" ref="AW140:BD140" si="674">+AW92/AW102*100</f>
        <v>66.057124147657731</v>
      </c>
      <c r="AX140" s="203">
        <f t="shared" si="674"/>
        <v>68.709821686277934</v>
      </c>
      <c r="AY140" s="69">
        <f t="shared" si="674"/>
        <v>66.057130479620625</v>
      </c>
      <c r="AZ140" s="150">
        <f t="shared" si="674"/>
        <v>68.90355259984149</v>
      </c>
      <c r="BA140" s="467">
        <f t="shared" si="674"/>
        <v>66.057134040460767</v>
      </c>
      <c r="BB140" s="211">
        <f t="shared" si="674"/>
        <v>67.516903492495956</v>
      </c>
      <c r="BC140" s="577">
        <f t="shared" si="674"/>
        <v>66.057132256218893</v>
      </c>
      <c r="BD140" s="575">
        <f t="shared" si="674"/>
        <v>66.381343430011526</v>
      </c>
      <c r="BE140" s="71">
        <f t="shared" ref="BE140:BF140" si="675">+BE92/BE102*100</f>
        <v>66.057124683971495</v>
      </c>
      <c r="BF140" s="203">
        <f t="shared" si="675"/>
        <v>68.726097698367269</v>
      </c>
      <c r="BG140" s="648"/>
      <c r="BH140" s="648"/>
      <c r="BI140" s="648"/>
      <c r="BJ140" s="648"/>
      <c r="BK140" s="648"/>
      <c r="BL140" s="648"/>
      <c r="BM140" s="648"/>
      <c r="BN140" s="648"/>
    </row>
    <row r="141" spans="1:66" x14ac:dyDescent="0.25">
      <c r="B141" s="2867" t="s">
        <v>199</v>
      </c>
      <c r="C141" s="1828" t="s">
        <v>51</v>
      </c>
      <c r="D141" s="135">
        <f>+D97/D102*100</f>
        <v>26.022505501531679</v>
      </c>
      <c r="E141" s="932">
        <f>+E97/E102*100</f>
        <v>26.022487605909937</v>
      </c>
      <c r="F141" s="162">
        <f>+F97/F102*100</f>
        <v>19.999642288637297</v>
      </c>
      <c r="G141" s="932">
        <f>+G97/G102*100</f>
        <v>26.022508147391825</v>
      </c>
      <c r="H141" s="162">
        <f>+H97/H102*100</f>
        <v>21.096374277106346</v>
      </c>
      <c r="I141" s="70">
        <f t="shared" ref="I141:N141" si="676">+I97/I102*100</f>
        <v>26.022498045019628</v>
      </c>
      <c r="J141" s="134">
        <f t="shared" si="676"/>
        <v>20.556899661285357</v>
      </c>
      <c r="K141" s="932">
        <f>+K97/K102*100</f>
        <v>26.022487605909937</v>
      </c>
      <c r="L141" s="162">
        <f>+L97/L102*100</f>
        <v>20.200000000000003</v>
      </c>
      <c r="M141" s="106">
        <f t="shared" si="676"/>
        <v>26.022494603553969</v>
      </c>
      <c r="N141" s="143">
        <f t="shared" si="676"/>
        <v>20.439225787581044</v>
      </c>
      <c r="O141" s="932">
        <f>+O97/O102*100</f>
        <v>26.022508147391825</v>
      </c>
      <c r="P141" s="162">
        <f>+P97/P102*100</f>
        <v>15.969487483946839</v>
      </c>
      <c r="Q141" s="70">
        <f t="shared" ref="Q141:AB141" si="677">+Q97/Q102*100</f>
        <v>26.022498045019628</v>
      </c>
      <c r="R141" s="134">
        <f t="shared" si="677"/>
        <v>19.290478521706095</v>
      </c>
      <c r="S141" s="932">
        <f t="shared" si="677"/>
        <v>26.022505951092839</v>
      </c>
      <c r="T141" s="2735">
        <f>+T97/T102*100</f>
        <v>16.806451612903228</v>
      </c>
      <c r="U141" s="70">
        <f t="shared" si="677"/>
        <v>26.022499646903359</v>
      </c>
      <c r="V141" s="134">
        <f t="shared" si="677"/>
        <v>18.771533219283519</v>
      </c>
      <c r="W141" s="69">
        <f t="shared" si="677"/>
        <v>26.022505951092839</v>
      </c>
      <c r="X141" s="162">
        <f t="shared" si="677"/>
        <v>19.59986142007736</v>
      </c>
      <c r="Y141" s="467">
        <f t="shared" si="677"/>
        <v>26.022506691150067</v>
      </c>
      <c r="Z141" s="143">
        <f t="shared" si="677"/>
        <v>17.446183585193868</v>
      </c>
      <c r="AA141" s="577">
        <f t="shared" si="677"/>
        <v>26.022500680376826</v>
      </c>
      <c r="AB141" s="565">
        <f t="shared" si="677"/>
        <v>18.910426975018837</v>
      </c>
      <c r="AC141" s="932">
        <f t="shared" ref="AC141" si="678">+AC97/AC102*100</f>
        <v>26.022505951092839</v>
      </c>
      <c r="AD141" s="2735">
        <f>+AD97/AD102*100</f>
        <v>20.903225806451612</v>
      </c>
      <c r="AE141" s="70">
        <f t="shared" ref="AE141:AG141" si="679">+AE97/AE102*100</f>
        <v>26.022501443891638</v>
      </c>
      <c r="AF141" s="134">
        <f t="shared" si="679"/>
        <v>19.201114344243123</v>
      </c>
      <c r="AG141" s="932">
        <f t="shared" si="679"/>
        <v>26.022505951256434</v>
      </c>
      <c r="AH141" s="2735">
        <f>+AH97/AH102*100</f>
        <v>27.266666666666666</v>
      </c>
      <c r="AI141" s="70">
        <f t="shared" ref="AI141:AN141" si="680">+AI97/AI102*100</f>
        <v>26.022501998075747</v>
      </c>
      <c r="AJ141" s="134">
        <f t="shared" si="680"/>
        <v>20.19026483710844</v>
      </c>
      <c r="AK141" s="69">
        <f t="shared" si="680"/>
        <v>26.022505951092839</v>
      </c>
      <c r="AL141" s="162">
        <f t="shared" si="680"/>
        <v>27.33</v>
      </c>
      <c r="AM141" s="467">
        <f t="shared" si="680"/>
        <v>26.022505951146179</v>
      </c>
      <c r="AN141" s="143">
        <f t="shared" si="680"/>
        <v>25.12196030181849</v>
      </c>
      <c r="AO141" s="70">
        <f t="shared" ref="AO141:AR141" si="681">+AO97/AO102*100</f>
        <v>26.022502443688527</v>
      </c>
      <c r="AP141" s="134">
        <f t="shared" si="681"/>
        <v>20.985823797261418</v>
      </c>
      <c r="AQ141" s="69">
        <f t="shared" si="681"/>
        <v>26.022508147391825</v>
      </c>
      <c r="AR141" s="162">
        <f t="shared" si="681"/>
        <v>25.903225806451612</v>
      </c>
      <c r="AS141" s="70">
        <f t="shared" ref="AS141:AV141" si="682">+AS97/AS102*100</f>
        <v>26.022503021514559</v>
      </c>
      <c r="AT141" s="134">
        <f t="shared" si="682"/>
        <v>21.478821683467626</v>
      </c>
      <c r="AU141" s="69">
        <f t="shared" si="682"/>
        <v>26.022507995607359</v>
      </c>
      <c r="AV141" s="162">
        <f t="shared" si="682"/>
        <v>25.999999999999996</v>
      </c>
      <c r="AW141" s="70">
        <f t="shared" ref="AW141:BD141" si="683">+AW97/AW102*100</f>
        <v>26.0225034521076</v>
      </c>
      <c r="AX141" s="134">
        <f t="shared" si="683"/>
        <v>21.86649353473306</v>
      </c>
      <c r="AY141" s="69">
        <f t="shared" si="683"/>
        <v>26.022505946517217</v>
      </c>
      <c r="AZ141" s="162">
        <f t="shared" si="683"/>
        <v>26.000137831225661</v>
      </c>
      <c r="BA141" s="467">
        <f t="shared" si="683"/>
        <v>26.022507349272423</v>
      </c>
      <c r="BB141" s="143">
        <f t="shared" si="683"/>
        <v>25.967087277168428</v>
      </c>
      <c r="BC141" s="577">
        <f t="shared" si="683"/>
        <v>26.02250664638926</v>
      </c>
      <c r="BD141" s="565">
        <f t="shared" si="683"/>
        <v>25.540079487081812</v>
      </c>
      <c r="BE141" s="70">
        <f t="shared" ref="BE141:BF141" si="684">+BE97/BE102*100</f>
        <v>26.022503663382707</v>
      </c>
      <c r="BF141" s="134">
        <f t="shared" si="684"/>
        <v>22.213775459466682</v>
      </c>
      <c r="BG141" s="648"/>
      <c r="BH141" s="648"/>
      <c r="BI141" s="648"/>
      <c r="BJ141" s="648"/>
      <c r="BK141" s="648"/>
      <c r="BL141" s="648"/>
      <c r="BM141" s="648"/>
      <c r="BN141" s="648"/>
    </row>
    <row r="142" spans="1:66" x14ac:dyDescent="0.25">
      <c r="B142" s="2883" t="s">
        <v>13</v>
      </c>
      <c r="C142" s="1829" t="s">
        <v>51</v>
      </c>
      <c r="D142" s="1882">
        <f t="shared" ref="D142:J142" si="685">SUM(D140:D141)</f>
        <v>92.079634851573644</v>
      </c>
      <c r="E142" s="1804">
        <f t="shared" si="685"/>
        <v>92.07957152860439</v>
      </c>
      <c r="F142" s="178">
        <f t="shared" si="685"/>
        <v>90.000178855681355</v>
      </c>
      <c r="G142" s="1804">
        <f t="shared" ref="G142:H142" si="686">SUM(G140:G141)</f>
        <v>92.079644213847985</v>
      </c>
      <c r="H142" s="178">
        <f t="shared" si="686"/>
        <v>90.000692592720853</v>
      </c>
      <c r="I142" s="1805">
        <f t="shared" si="685"/>
        <v>92.079608466992539</v>
      </c>
      <c r="J142" s="204">
        <f t="shared" si="685"/>
        <v>90.000439889147927</v>
      </c>
      <c r="K142" s="1804">
        <f t="shared" ref="K142:L142" si="687">SUM(K140:K141)</f>
        <v>92.07957152860439</v>
      </c>
      <c r="L142" s="178">
        <f t="shared" si="687"/>
        <v>90</v>
      </c>
      <c r="M142" s="1806">
        <f t="shared" ref="M142:R142" si="688">SUM(M140:M141)</f>
        <v>92.079596289498667</v>
      </c>
      <c r="N142" s="212">
        <f t="shared" si="688"/>
        <v>90.000294852697493</v>
      </c>
      <c r="O142" s="1804">
        <f t="shared" si="688"/>
        <v>92.079644213847985</v>
      </c>
      <c r="P142" s="178">
        <f t="shared" si="688"/>
        <v>89.991702365850855</v>
      </c>
      <c r="Q142" s="1805">
        <f t="shared" si="688"/>
        <v>92.079608466992539</v>
      </c>
      <c r="R142" s="204">
        <f t="shared" si="688"/>
        <v>89.998086536437881</v>
      </c>
      <c r="S142" s="1804">
        <f t="shared" ref="S142:X142" si="689">SUM(S140:S141)</f>
        <v>92.079636442328493</v>
      </c>
      <c r="T142" s="2747">
        <f t="shared" si="689"/>
        <v>89.806451612903231</v>
      </c>
      <c r="U142" s="1805">
        <f t="shared" si="689"/>
        <v>92.079614135196493</v>
      </c>
      <c r="V142" s="204">
        <f t="shared" si="689"/>
        <v>89.95805152594906</v>
      </c>
      <c r="W142" s="2886">
        <f t="shared" si="689"/>
        <v>92.079636442328493</v>
      </c>
      <c r="X142" s="178">
        <f t="shared" si="689"/>
        <v>90.000070704042159</v>
      </c>
      <c r="Y142" s="1807">
        <f t="shared" ref="Y142:AF142" si="690">SUM(Y140:Y141)</f>
        <v>92.079639060992548</v>
      </c>
      <c r="Z142" s="212">
        <f t="shared" si="690"/>
        <v>89.931385979455456</v>
      </c>
      <c r="AA142" s="577">
        <f t="shared" si="690"/>
        <v>92.07961779210261</v>
      </c>
      <c r="AB142" s="576">
        <f t="shared" si="690"/>
        <v>89.965097285652377</v>
      </c>
      <c r="AC142" s="1804">
        <f t="shared" si="690"/>
        <v>92.079636442328493</v>
      </c>
      <c r="AD142" s="2747">
        <f t="shared" si="690"/>
        <v>90.000000000000014</v>
      </c>
      <c r="AE142" s="1805">
        <f t="shared" si="690"/>
        <v>92.079620493770406</v>
      </c>
      <c r="AF142" s="204">
        <f t="shared" si="690"/>
        <v>89.970188506127045</v>
      </c>
      <c r="AG142" s="1804">
        <f t="shared" ref="AG142:AN142" si="691">SUM(AG140:AG141)</f>
        <v>92.079636442907372</v>
      </c>
      <c r="AH142" s="2747">
        <f t="shared" si="691"/>
        <v>91.200000000000017</v>
      </c>
      <c r="AI142" s="1805">
        <f t="shared" si="691"/>
        <v>92.079622454729559</v>
      </c>
      <c r="AJ142" s="204">
        <f t="shared" si="691"/>
        <v>90.121011239235344</v>
      </c>
      <c r="AK142" s="2886">
        <f t="shared" si="691"/>
        <v>92.079636442328493</v>
      </c>
      <c r="AL142" s="178">
        <f t="shared" si="691"/>
        <v>90</v>
      </c>
      <c r="AM142" s="1807">
        <f t="shared" si="691"/>
        <v>92.079636442517256</v>
      </c>
      <c r="AN142" s="212">
        <f t="shared" si="691"/>
        <v>90.391381515967765</v>
      </c>
      <c r="AO142" s="1805">
        <f t="shared" ref="AO142:AT142" si="692">SUM(AO140:AO141)</f>
        <v>92.079624031513248</v>
      </c>
      <c r="AP142" s="204">
        <f t="shared" si="692"/>
        <v>90.107527325132594</v>
      </c>
      <c r="AQ142" s="2886">
        <f t="shared" si="692"/>
        <v>92.079644213847985</v>
      </c>
      <c r="AR142" s="178">
        <f t="shared" si="692"/>
        <v>90.645161290322577</v>
      </c>
      <c r="AS142" s="1805">
        <f t="shared" si="692"/>
        <v>92.079626076128449</v>
      </c>
      <c r="AT142" s="204">
        <f t="shared" si="692"/>
        <v>90.161428228067905</v>
      </c>
      <c r="AU142" s="2886">
        <f t="shared" ref="AU142:AX142" si="693">SUM(AU140:AU141)</f>
        <v>92.079643676764491</v>
      </c>
      <c r="AV142" s="178">
        <f t="shared" si="693"/>
        <v>95</v>
      </c>
      <c r="AW142" s="1805">
        <f t="shared" si="693"/>
        <v>92.079627599765331</v>
      </c>
      <c r="AX142" s="204">
        <f t="shared" si="693"/>
        <v>90.576315221010987</v>
      </c>
      <c r="AY142" s="2886">
        <f t="shared" ref="AY142:BF142" si="694">SUM(AY140:AY141)</f>
        <v>92.079636426137839</v>
      </c>
      <c r="AZ142" s="178">
        <f t="shared" si="694"/>
        <v>94.903690431067147</v>
      </c>
      <c r="BA142" s="1807">
        <f t="shared" si="694"/>
        <v>92.079641389733183</v>
      </c>
      <c r="BB142" s="212">
        <f t="shared" si="694"/>
        <v>93.483990769664388</v>
      </c>
      <c r="BC142" s="577">
        <f t="shared" si="694"/>
        <v>92.079638902608153</v>
      </c>
      <c r="BD142" s="576">
        <f t="shared" si="694"/>
        <v>91.921422917093338</v>
      </c>
      <c r="BE142" s="1805">
        <f t="shared" si="694"/>
        <v>92.079628347354202</v>
      </c>
      <c r="BF142" s="204">
        <f t="shared" si="694"/>
        <v>90.939873157833944</v>
      </c>
      <c r="BG142" s="648"/>
      <c r="BH142" s="648"/>
      <c r="BI142" s="648"/>
      <c r="BJ142" s="648"/>
      <c r="BK142" s="648"/>
      <c r="BL142" s="648"/>
      <c r="BM142" s="648"/>
      <c r="BN142" s="648"/>
    </row>
    <row r="143" spans="1:66" x14ac:dyDescent="0.25">
      <c r="B143" s="2867" t="s">
        <v>202</v>
      </c>
      <c r="C143" s="1828" t="s">
        <v>51</v>
      </c>
      <c r="D143" s="135">
        <f t="shared" ref="D143:AB143" si="695">+((+D99+D100+D101)/D102)*100</f>
        <v>7.9203651484263515</v>
      </c>
      <c r="E143" s="1679">
        <f t="shared" si="695"/>
        <v>7.920428471395609</v>
      </c>
      <c r="F143" s="162">
        <f t="shared" si="695"/>
        <v>9.9998211443186484</v>
      </c>
      <c r="G143" s="1679">
        <f t="shared" ref="G143:H143" si="696">+((+G99+G100+G101)/G102)*100</f>
        <v>7.9203557861520029</v>
      </c>
      <c r="H143" s="162">
        <f t="shared" si="696"/>
        <v>9.999307407279149</v>
      </c>
      <c r="I143" s="134">
        <f t="shared" si="695"/>
        <v>7.9203915330074608</v>
      </c>
      <c r="J143" s="134">
        <f t="shared" si="695"/>
        <v>9.999560110852066</v>
      </c>
      <c r="K143" s="1679">
        <f t="shared" si="695"/>
        <v>7.920428471395609</v>
      </c>
      <c r="L143" s="162">
        <f t="shared" si="695"/>
        <v>10</v>
      </c>
      <c r="M143" s="2126">
        <f t="shared" si="695"/>
        <v>7.9204037105013336</v>
      </c>
      <c r="N143" s="143">
        <f t="shared" si="695"/>
        <v>9.9997051473025103</v>
      </c>
      <c r="O143" s="1679">
        <f t="shared" ref="O143:P143" si="697">+((+O99+O100+O101)/O102)*100</f>
        <v>7.9203557861520029</v>
      </c>
      <c r="P143" s="162">
        <f t="shared" si="697"/>
        <v>10.00829763414913</v>
      </c>
      <c r="Q143" s="134">
        <f t="shared" si="695"/>
        <v>7.9203915330074608</v>
      </c>
      <c r="R143" s="134">
        <f t="shared" si="695"/>
        <v>10.001913463562124</v>
      </c>
      <c r="S143" s="1679">
        <f t="shared" si="695"/>
        <v>7.9203635576714975</v>
      </c>
      <c r="T143" s="2735">
        <f t="shared" si="695"/>
        <v>10.193548387096776</v>
      </c>
      <c r="U143" s="134">
        <f t="shared" si="695"/>
        <v>7.9203858648035084</v>
      </c>
      <c r="V143" s="134">
        <f t="shared" si="695"/>
        <v>10.041948474050935</v>
      </c>
      <c r="W143" s="162">
        <f t="shared" si="695"/>
        <v>7.9203635576714992</v>
      </c>
      <c r="X143" s="162">
        <f t="shared" si="695"/>
        <v>9.9999292959578376</v>
      </c>
      <c r="Y143" s="143">
        <f t="shared" si="695"/>
        <v>7.9203609390074678</v>
      </c>
      <c r="Z143" s="143">
        <f t="shared" si="695"/>
        <v>10.068614020544533</v>
      </c>
      <c r="AA143" s="565">
        <f t="shared" si="695"/>
        <v>7.9203822078973616</v>
      </c>
      <c r="AB143" s="565">
        <f t="shared" si="695"/>
        <v>10.034902714347634</v>
      </c>
      <c r="AC143" s="1679">
        <f t="shared" ref="AC143:AF143" si="698">+((+AC99+AC100+AC101)/AC102)*100</f>
        <v>7.9203635576715019</v>
      </c>
      <c r="AD143" s="2735">
        <f t="shared" si="698"/>
        <v>9.9999999999999982</v>
      </c>
      <c r="AE143" s="134">
        <f t="shared" si="698"/>
        <v>7.9203795062295983</v>
      </c>
      <c r="AF143" s="134">
        <f t="shared" si="698"/>
        <v>10.029811493872955</v>
      </c>
      <c r="AG143" s="1679">
        <f t="shared" ref="AG143:AN143" si="699">+((+AG99+AG100+AG101)/AG102)*100</f>
        <v>7.920363557092629</v>
      </c>
      <c r="AH143" s="2735">
        <f t="shared" si="699"/>
        <v>8.8000000000000007</v>
      </c>
      <c r="AI143" s="134">
        <f t="shared" si="699"/>
        <v>7.9203775452704335</v>
      </c>
      <c r="AJ143" s="134">
        <f t="shared" si="699"/>
        <v>9.8789887607646669</v>
      </c>
      <c r="AK143" s="162">
        <f t="shared" si="699"/>
        <v>7.9203635576715019</v>
      </c>
      <c r="AL143" s="162">
        <f t="shared" si="699"/>
        <v>10</v>
      </c>
      <c r="AM143" s="143">
        <f t="shared" si="699"/>
        <v>7.9203635574827373</v>
      </c>
      <c r="AN143" s="143">
        <f t="shared" si="699"/>
        <v>9.6086184840322311</v>
      </c>
      <c r="AO143" s="134">
        <f t="shared" ref="AO143:AT143" si="700">+((+AO99+AO100+AO101)/AO102)*100</f>
        <v>7.9203759684867663</v>
      </c>
      <c r="AP143" s="134">
        <f t="shared" si="700"/>
        <v>9.8924726748674257</v>
      </c>
      <c r="AQ143" s="162">
        <f t="shared" si="700"/>
        <v>7.9203557861520029</v>
      </c>
      <c r="AR143" s="162">
        <f t="shared" si="700"/>
        <v>9.3548387096774199</v>
      </c>
      <c r="AS143" s="134">
        <f t="shared" si="700"/>
        <v>7.9203739238715558</v>
      </c>
      <c r="AT143" s="134">
        <f t="shared" si="700"/>
        <v>9.8385717719320986</v>
      </c>
      <c r="AU143" s="162">
        <f t="shared" ref="AU143:AX143" si="701">+((+AU99+AU100+AU101)/AU102)*100</f>
        <v>7.9203563232355041</v>
      </c>
      <c r="AV143" s="162">
        <f t="shared" si="701"/>
        <v>5</v>
      </c>
      <c r="AW143" s="134">
        <f t="shared" si="701"/>
        <v>7.9203724002346707</v>
      </c>
      <c r="AX143" s="134">
        <f t="shared" si="701"/>
        <v>9.4236847789890188</v>
      </c>
      <c r="AY143" s="162">
        <f t="shared" ref="AY143:BF143" si="702">+((+AY99+AY100+AY101)/AY102)*100</f>
        <v>7.9203635738621641</v>
      </c>
      <c r="AZ143" s="162">
        <f t="shared" si="702"/>
        <v>5.0963095689328419</v>
      </c>
      <c r="BA143" s="143">
        <f t="shared" si="702"/>
        <v>7.9203586102668284</v>
      </c>
      <c r="BB143" s="143">
        <f t="shared" si="702"/>
        <v>6.5160092303356274</v>
      </c>
      <c r="BC143" s="565">
        <f t="shared" si="702"/>
        <v>7.9203610973918313</v>
      </c>
      <c r="BD143" s="565">
        <f t="shared" si="702"/>
        <v>8.0785770829066639</v>
      </c>
      <c r="BE143" s="134">
        <f t="shared" si="702"/>
        <v>7.9203716526458079</v>
      </c>
      <c r="BF143" s="134">
        <f t="shared" si="702"/>
        <v>9.0601268421660546</v>
      </c>
      <c r="BG143" s="648"/>
      <c r="BH143" s="648"/>
      <c r="BI143" s="648"/>
      <c r="BJ143" s="648"/>
      <c r="BK143" s="648"/>
      <c r="BL143" s="648"/>
      <c r="BM143" s="648"/>
      <c r="BN143" s="648"/>
    </row>
    <row r="144" spans="1:66" s="183" customFormat="1" ht="18.75" x14ac:dyDescent="0.3">
      <c r="A144" s="182"/>
      <c r="B144" s="2927" t="s">
        <v>197</v>
      </c>
      <c r="C144" s="1833"/>
      <c r="D144" s="1808"/>
      <c r="E144" s="1809"/>
      <c r="F144" s="1810"/>
      <c r="G144" s="1809"/>
      <c r="H144" s="1810"/>
      <c r="I144" s="1811"/>
      <c r="J144" s="1808"/>
      <c r="K144" s="1809"/>
      <c r="L144" s="1810"/>
      <c r="M144" s="1809"/>
      <c r="N144" s="1810"/>
      <c r="O144" s="1809"/>
      <c r="P144" s="1810"/>
      <c r="Q144" s="1811"/>
      <c r="R144" s="1808"/>
      <c r="S144" s="1809"/>
      <c r="T144" s="2748"/>
      <c r="U144" s="1811"/>
      <c r="V144" s="1810"/>
      <c r="W144" s="1808"/>
      <c r="X144" s="1810"/>
      <c r="Y144" s="1808"/>
      <c r="Z144" s="1808"/>
      <c r="AA144" s="3813"/>
      <c r="AB144" s="1810"/>
      <c r="AC144" s="1809"/>
      <c r="AD144" s="2748"/>
      <c r="AE144" s="1811"/>
      <c r="AF144" s="1810"/>
      <c r="AG144" s="1809"/>
      <c r="AH144" s="2748"/>
      <c r="AI144" s="1811"/>
      <c r="AJ144" s="1810"/>
      <c r="AK144" s="1808"/>
      <c r="AL144" s="1810"/>
      <c r="AM144" s="1808"/>
      <c r="AN144" s="1808"/>
      <c r="AO144" s="1811"/>
      <c r="AP144" s="1810"/>
      <c r="AQ144" s="1808"/>
      <c r="AR144" s="1810"/>
      <c r="AS144" s="1811"/>
      <c r="AT144" s="1810"/>
      <c r="AU144" s="1808"/>
      <c r="AV144" s="1810"/>
      <c r="AW144" s="1811"/>
      <c r="AX144" s="1810"/>
      <c r="AY144" s="1808"/>
      <c r="AZ144" s="1810"/>
      <c r="BA144" s="1808"/>
      <c r="BB144" s="1808"/>
      <c r="BC144" s="3813"/>
      <c r="BD144" s="1810"/>
      <c r="BE144" s="1811"/>
      <c r="BF144" s="1810"/>
      <c r="BG144" s="648"/>
      <c r="BH144" s="648"/>
      <c r="BI144" s="648"/>
      <c r="BJ144" s="648"/>
      <c r="BK144" s="648"/>
      <c r="BL144" s="648"/>
      <c r="BM144" s="648"/>
      <c r="BN144" s="648"/>
    </row>
    <row r="145" spans="1:66" x14ac:dyDescent="0.25">
      <c r="B145" s="2867" t="s">
        <v>203</v>
      </c>
      <c r="C145" s="1828" t="s">
        <v>51</v>
      </c>
      <c r="D145" s="135">
        <v>8.4328971572778286</v>
      </c>
      <c r="E145" s="932">
        <f>+$D$145</f>
        <v>8.4328971572778286</v>
      </c>
      <c r="F145" s="164">
        <v>8.39</v>
      </c>
      <c r="G145" s="932">
        <f>+$D$145</f>
        <v>8.4328971572778286</v>
      </c>
      <c r="H145" s="164">
        <v>8.2741935483870979</v>
      </c>
      <c r="I145" s="70">
        <f>+$D$145</f>
        <v>8.4328971572778286</v>
      </c>
      <c r="J145" s="136">
        <f>+((F145*F$102)+(H$102*H145))/J$102</f>
        <v>8.3311579131091218</v>
      </c>
      <c r="K145" s="932">
        <f>+$D$145</f>
        <v>8.4328971572778286</v>
      </c>
      <c r="L145" s="164">
        <v>8.1455555555555552</v>
      </c>
      <c r="M145" s="106">
        <f>+$D$145</f>
        <v>8.4328971572778286</v>
      </c>
      <c r="N145" s="144">
        <f>+((F145*F$102)+(H145*H$102)+(L145*L$102))/N$102</f>
        <v>8.2699627068617314</v>
      </c>
      <c r="O145" s="932">
        <f>+$D$145</f>
        <v>8.4328971572778286</v>
      </c>
      <c r="P145" s="164">
        <v>8.56989247311828</v>
      </c>
      <c r="Q145" s="70">
        <f>+$D$145</f>
        <v>8.4328971572778286</v>
      </c>
      <c r="R145" s="136">
        <f>+((N145*N$102)+(P145*P$102))/R$102</f>
        <v>8.3470463022618464</v>
      </c>
      <c r="S145" s="932">
        <f>+$D$145</f>
        <v>8.4328971572778286</v>
      </c>
      <c r="T145" s="2701">
        <v>9.5107526881720439</v>
      </c>
      <c r="U145" s="70">
        <f>+$D$145</f>
        <v>8.4328971572778286</v>
      </c>
      <c r="V145" s="136">
        <f>+((R145*R$102)+(T145*T$102))/V$102</f>
        <v>8.5901595955305918</v>
      </c>
      <c r="W145" s="69">
        <f>+$D$145</f>
        <v>8.4328971572778286</v>
      </c>
      <c r="X145" s="164">
        <v>10.435666666666666</v>
      </c>
      <c r="Y145" s="106">
        <f>+$D$145</f>
        <v>8.4328971572778286</v>
      </c>
      <c r="Z145" s="144">
        <f>+((P145*P$102)+(T145*T$102)+(X$102*X145))/Z$102</f>
        <v>9.5026765381729579</v>
      </c>
      <c r="AA145" s="800">
        <f>+$D$145</f>
        <v>8.4328971572778286</v>
      </c>
      <c r="AB145" s="568">
        <f>+((N145*N$102)+(Z$102*Z145))/AB$102</f>
        <v>8.8996135150042051</v>
      </c>
      <c r="AC145" s="932">
        <f>+$D$145</f>
        <v>8.4328971572778286</v>
      </c>
      <c r="AD145" s="2701">
        <v>10.351612903225806</v>
      </c>
      <c r="AE145" s="70">
        <f>+$D$145</f>
        <v>8.4328971572778286</v>
      </c>
      <c r="AF145" s="136">
        <f>+((AB145*AB$102)+(AD145*AD$102))/AF$102</f>
        <v>9.1114150654767858</v>
      </c>
      <c r="AG145" s="932">
        <f>+$D$145</f>
        <v>8.4328971572778286</v>
      </c>
      <c r="AH145" s="2701">
        <v>8.9772727272727249</v>
      </c>
      <c r="AI145" s="70">
        <f>+$D$145</f>
        <v>8.4328971572778286</v>
      </c>
      <c r="AJ145" s="136">
        <f>+((AF145*AF$102)+(AH145*AH$102))/AJ$102</f>
        <v>9.0949639962078237</v>
      </c>
      <c r="AK145" s="69">
        <f>+$D$145</f>
        <v>8.4328971572778286</v>
      </c>
      <c r="AL145" s="164">
        <v>9.09</v>
      </c>
      <c r="AM145" s="106">
        <f>+$D$145</f>
        <v>8.4328971572778286</v>
      </c>
      <c r="AN145" s="144">
        <f>+((AD145*AD$102)+(AH145*AH$102)+(AL$102*AL145))/AN$102</f>
        <v>9.4826298661658051</v>
      </c>
      <c r="AO145" s="70">
        <f>+$D$145</f>
        <v>8.4328971572778286</v>
      </c>
      <c r="AP145" s="136">
        <f>+((AL145*AL$102)+(AJ145*AJ$102))/AP$102</f>
        <v>9.0944108732177966</v>
      </c>
      <c r="AQ145" s="69">
        <f>+$D$145</f>
        <v>8.4328971572778286</v>
      </c>
      <c r="AR145" s="164">
        <v>8.663380281690138</v>
      </c>
      <c r="AS145" s="70">
        <f>+$D$145</f>
        <v>8.4328971572778286</v>
      </c>
      <c r="AT145" s="136">
        <f>+((AP145*AP$102)+(AR145*AR$102))/AT$102</f>
        <v>9.0511975727562479</v>
      </c>
      <c r="AU145" s="69">
        <f>+$D$145</f>
        <v>8.4328971572778286</v>
      </c>
      <c r="AV145" s="164">
        <v>8.5976315789473681</v>
      </c>
      <c r="AW145" s="70">
        <f>+$D$145</f>
        <v>8.4328971572778286</v>
      </c>
      <c r="AX145" s="136">
        <f>+((AT145*AT$102)+(AV145*AV$102))/AX$102</f>
        <v>9.012306213871339</v>
      </c>
      <c r="AY145" s="69">
        <f>+$D$145</f>
        <v>8.4328971572778286</v>
      </c>
      <c r="AZ145" s="164">
        <v>8.3896774193548378</v>
      </c>
      <c r="BA145" s="106">
        <f>+$D$145</f>
        <v>8.4328971572778286</v>
      </c>
      <c r="BB145" s="144">
        <f>+((AR145*AR$102)+(AV145*AV$102)+(AZ$102*AZ145))/BB$102</f>
        <v>8.5491524646232762</v>
      </c>
      <c r="BC145" s="800">
        <f>+$D$145</f>
        <v>8.4328971572778286</v>
      </c>
      <c r="BD145" s="568">
        <f>+((AN145*AN$102)+(BB$102*BB145))/BD$102</f>
        <v>9.0208000796617469</v>
      </c>
      <c r="BE145" s="70">
        <f>+$D$145</f>
        <v>8.4328971572778286</v>
      </c>
      <c r="BF145" s="136">
        <f>+((AX145*AX$102)+(AZ145*AZ$102))/BF$102</f>
        <v>8.9599969896989222</v>
      </c>
      <c r="BG145" s="648"/>
      <c r="BH145" s="648"/>
      <c r="BI145" s="648"/>
      <c r="BJ145" s="648"/>
      <c r="BK145" s="648"/>
      <c r="BL145" s="648"/>
      <c r="BM145" s="648"/>
      <c r="BN145" s="648"/>
    </row>
    <row r="146" spans="1:66" x14ac:dyDescent="0.25">
      <c r="B146" s="2867" t="s">
        <v>204</v>
      </c>
      <c r="C146" s="1828" t="s">
        <v>51</v>
      </c>
      <c r="D146" s="135">
        <v>10.099999999999998</v>
      </c>
      <c r="E146" s="932">
        <f>+$D$146</f>
        <v>10.099999999999998</v>
      </c>
      <c r="F146" s="164">
        <v>10.23</v>
      </c>
      <c r="G146" s="932">
        <f>+$D$146</f>
        <v>10.099999999999998</v>
      </c>
      <c r="H146" s="164">
        <v>10.279784946236559</v>
      </c>
      <c r="I146" s="70">
        <f>+$D$146</f>
        <v>10.099999999999998</v>
      </c>
      <c r="J146" s="136">
        <f>+((F146*F$102)+(H$102*H146))/J$102</f>
        <v>10.255296087493479</v>
      </c>
      <c r="K146" s="932">
        <f>+$D$146</f>
        <v>10.099999999999998</v>
      </c>
      <c r="L146" s="164">
        <v>10.518666666666665</v>
      </c>
      <c r="M146" s="106">
        <f>+$D$146</f>
        <v>10.099999999999998</v>
      </c>
      <c r="N146" s="144">
        <f>+((F146*F$102)+(H146*H$102)+(L146*L$102))/N$102</f>
        <v>10.342132360073405</v>
      </c>
      <c r="O146" s="932">
        <f>+$D$146</f>
        <v>10.099999999999998</v>
      </c>
      <c r="P146" s="164">
        <v>10.676666666666668</v>
      </c>
      <c r="Q146" s="70">
        <f>+$D$146</f>
        <v>10.099999999999998</v>
      </c>
      <c r="R146" s="136">
        <f>+((N146*N$102)+(P146*P$102))/R$102</f>
        <v>10.428109512187195</v>
      </c>
      <c r="S146" s="932">
        <f>+$D$146</f>
        <v>10.099999999999998</v>
      </c>
      <c r="T146" s="2701">
        <v>10.512473118279569</v>
      </c>
      <c r="U146" s="70">
        <f>+$D$146</f>
        <v>10.099999999999998</v>
      </c>
      <c r="V146" s="136">
        <f>+((R146*R$102)+(T146*T$102))/V$102</f>
        <v>10.445734159054714</v>
      </c>
      <c r="W146" s="69">
        <f>+$D$146</f>
        <v>10.099999999999998</v>
      </c>
      <c r="X146" s="164">
        <v>10.663000000000002</v>
      </c>
      <c r="Y146" s="106">
        <f>+$D$146</f>
        <v>10.099999999999998</v>
      </c>
      <c r="Z146" s="144">
        <f>+((P146*P$102)+(T146*T$102)+(X$102*X146))/Z$102</f>
        <v>10.616285003615527</v>
      </c>
      <c r="AA146" s="800">
        <f>+$D$146</f>
        <v>10.099999999999998</v>
      </c>
      <c r="AB146" s="568">
        <f>+((N146*N$102)+(Z$102*Z146))/AB$102</f>
        <v>10.482165212123972</v>
      </c>
      <c r="AC146" s="932">
        <f>+$D$146</f>
        <v>10.099999999999998</v>
      </c>
      <c r="AD146" s="2701">
        <v>10.804193548387099</v>
      </c>
      <c r="AE146" s="70">
        <f>+$D$146</f>
        <v>10.099999999999998</v>
      </c>
      <c r="AF146" s="136">
        <f>+((AB146*AB$102)+(AD146*AD$102))/AF$102</f>
        <v>10.529139130618642</v>
      </c>
      <c r="AG146" s="932">
        <f>+$D$146</f>
        <v>10.099999999999998</v>
      </c>
      <c r="AH146" s="2701">
        <v>10.346590909090912</v>
      </c>
      <c r="AI146" s="70">
        <f>+$D$146</f>
        <v>10.099999999999998</v>
      </c>
      <c r="AJ146" s="136">
        <f>+((AF146*AF$102)+(AH146*AH$102))/AJ$102</f>
        <v>10.506751616896388</v>
      </c>
      <c r="AK146" s="69">
        <f>+$D$146</f>
        <v>10.099999999999998</v>
      </c>
      <c r="AL146" s="164">
        <v>10.38</v>
      </c>
      <c r="AM146" s="106">
        <f>+$D$146</f>
        <v>10.099999999999998</v>
      </c>
      <c r="AN146" s="144">
        <f>+((AD146*AD$102)+(AH146*AH$102)+(AL$102*AL146))/AN$102</f>
        <v>10.513479893526883</v>
      </c>
      <c r="AO146" s="70">
        <f>+$D$146</f>
        <v>10.099999999999998</v>
      </c>
      <c r="AP146" s="136">
        <f>+((AL146*AL$102)+(AJ146*AJ$102))/AP$102</f>
        <v>10.492628069981103</v>
      </c>
      <c r="AQ146" s="69">
        <f>+$D$146</f>
        <v>10.099999999999998</v>
      </c>
      <c r="AR146" s="164">
        <v>10.405774647887327</v>
      </c>
      <c r="AS146" s="70">
        <f>+$D$146</f>
        <v>10.099999999999998</v>
      </c>
      <c r="AT146" s="136">
        <f>+((AP146*AP$102)+(AR146*AR$102))/AT$102</f>
        <v>10.483920513954164</v>
      </c>
      <c r="AU146" s="69">
        <f>+$D$146</f>
        <v>10.099999999999998</v>
      </c>
      <c r="AV146" s="164">
        <v>9.8810526315789442</v>
      </c>
      <c r="AW146" s="70">
        <f>+$D$146</f>
        <v>10.099999999999998</v>
      </c>
      <c r="AX146" s="136">
        <f>+((AT146*AT$102)+(AV146*AV$102))/AX$102</f>
        <v>10.432227151811324</v>
      </c>
      <c r="AY146" s="69">
        <f>+$D$146</f>
        <v>10.099999999999998</v>
      </c>
      <c r="AZ146" s="164">
        <v>9.9001639344262333</v>
      </c>
      <c r="BA146" s="106">
        <f>+$D$146</f>
        <v>10.099999999999998</v>
      </c>
      <c r="BB146" s="144">
        <f>+((AR146*AR$102)+(AV146*AV$102)+(AZ$102*AZ146))/BB$102</f>
        <v>10.066277556691185</v>
      </c>
      <c r="BC146" s="800">
        <f>+$D$146</f>
        <v>10.099999999999998</v>
      </c>
      <c r="BD146" s="568">
        <f>+((AN146*AN$102)+(BB$102*BB146))/BD$102</f>
        <v>10.292230445598456</v>
      </c>
      <c r="BE146" s="70">
        <f>+$D$146</f>
        <v>10.099999999999998</v>
      </c>
      <c r="BF146" s="136">
        <f>+((AX146*AX$102)+(AZ146*AZ$102))/BF$102</f>
        <v>10.387526658745134</v>
      </c>
      <c r="BG146" s="648"/>
      <c r="BH146" s="648"/>
      <c r="BI146" s="648"/>
      <c r="BJ146" s="648"/>
      <c r="BK146" s="648"/>
      <c r="BL146" s="648"/>
      <c r="BM146" s="648"/>
      <c r="BN146" s="648"/>
    </row>
    <row r="147" spans="1:66" x14ac:dyDescent="0.25">
      <c r="B147" s="2867" t="s">
        <v>205</v>
      </c>
      <c r="C147" s="1828" t="s">
        <v>51</v>
      </c>
      <c r="D147" s="135">
        <v>25</v>
      </c>
      <c r="E147" s="932">
        <f>+$D$147</f>
        <v>25</v>
      </c>
      <c r="F147" s="164">
        <v>25.79</v>
      </c>
      <c r="G147" s="932">
        <f>+$D$147</f>
        <v>25</v>
      </c>
      <c r="H147" s="164">
        <v>25.284838709677413</v>
      </c>
      <c r="I147" s="70">
        <f>+$D$147</f>
        <v>25</v>
      </c>
      <c r="J147" s="136">
        <f>+((F147*F$102)+(H$102*H147))/J$102</f>
        <v>25.533323932949539</v>
      </c>
      <c r="K147" s="932">
        <f>+$D$147</f>
        <v>25</v>
      </c>
      <c r="L147" s="164">
        <v>25.01988888888889</v>
      </c>
      <c r="M147" s="106">
        <f>+$D$147</f>
        <v>25</v>
      </c>
      <c r="N147" s="144">
        <f>+((F147*F$102)+(H147*H$102)+(L147*L$102))/N$102</f>
        <v>25.364038564864376</v>
      </c>
      <c r="O147" s="932">
        <f>+$D$147</f>
        <v>25</v>
      </c>
      <c r="P147" s="164">
        <v>24.765268817204301</v>
      </c>
      <c r="Q147" s="70">
        <f>+$D$147</f>
        <v>25</v>
      </c>
      <c r="R147" s="136">
        <f>+((N147*N$102)+(P147*P$102))/R$102</f>
        <v>25.210151454750154</v>
      </c>
      <c r="S147" s="932">
        <f>+$D$147</f>
        <v>25</v>
      </c>
      <c r="T147" s="2701">
        <v>24.876451612903224</v>
      </c>
      <c r="U147" s="70">
        <f>+$D$147</f>
        <v>25</v>
      </c>
      <c r="V147" s="136">
        <f>+((R147*R$102)+(T147*T$102))/V$102</f>
        <v>25.140437248059417</v>
      </c>
      <c r="W147" s="69">
        <f>+$D$147</f>
        <v>25</v>
      </c>
      <c r="X147" s="164">
        <v>24.916888888888888</v>
      </c>
      <c r="Y147" s="106">
        <f>+$D$147</f>
        <v>25</v>
      </c>
      <c r="Z147" s="144">
        <f>+((P147*P$102)+(T147*T$102)+(X$102*X147))/Z$102</f>
        <v>24.852891596629455</v>
      </c>
      <c r="AA147" s="800">
        <f>+$D$147</f>
        <v>25</v>
      </c>
      <c r="AB147" s="568">
        <f>+((N147*N$102)+(Z$102*Z147))/AB$102</f>
        <v>25.102952744738264</v>
      </c>
      <c r="AC147" s="932">
        <f>+$D$147</f>
        <v>25</v>
      </c>
      <c r="AD147" s="2701">
        <v>24.844301075268806</v>
      </c>
      <c r="AE147" s="70">
        <f>+$D$147</f>
        <v>25</v>
      </c>
      <c r="AF147" s="136">
        <f>+((AB147*AB$102)+(AD147*AD$102))/AF$102</f>
        <v>25.065223510779663</v>
      </c>
      <c r="AG147" s="932">
        <f>+$D$147</f>
        <v>25</v>
      </c>
      <c r="AH147" s="2701">
        <v>24.907727272727286</v>
      </c>
      <c r="AI147" s="70">
        <f>+$D$147</f>
        <v>25</v>
      </c>
      <c r="AJ147" s="136">
        <f>+((AF147*AF$102)+(AH147*AH$102))/AJ$102</f>
        <v>25.045908344841088</v>
      </c>
      <c r="AK147" s="69">
        <f>+$D$147</f>
        <v>25</v>
      </c>
      <c r="AL147" s="164">
        <v>25.2</v>
      </c>
      <c r="AM147" s="106">
        <f>+$D$147</f>
        <v>25</v>
      </c>
      <c r="AN147" s="144">
        <f>+((AD147*AD$102)+(AH147*AH$102)+(AL$102*AL147))/AN$102</f>
        <v>24.983611044038891</v>
      </c>
      <c r="AO147" s="70">
        <f>+$D$147</f>
        <v>25</v>
      </c>
      <c r="AP147" s="136">
        <f>+((AL147*AL$102)+(AJ147*AJ$102))/AP$102</f>
        <v>25.063078309013374</v>
      </c>
      <c r="AQ147" s="69">
        <f>+$D$147</f>
        <v>25</v>
      </c>
      <c r="AR147" s="164">
        <v>25.374647887323938</v>
      </c>
      <c r="AS147" s="70">
        <f>+$D$147</f>
        <v>25</v>
      </c>
      <c r="AT147" s="136">
        <f>+((AP147*AP$102)+(AR147*AR$102))/AT$102</f>
        <v>25.094314954548189</v>
      </c>
      <c r="AU147" s="69">
        <f>+$D$147</f>
        <v>25</v>
      </c>
      <c r="AV147" s="164">
        <v>25.898157894736851</v>
      </c>
      <c r="AW147" s="70">
        <f>+$D$147</f>
        <v>25</v>
      </c>
      <c r="AX147" s="136">
        <f>+((AT147*AT$102)+(AV147*AV$102))/AX$102</f>
        <v>25.163241074893872</v>
      </c>
      <c r="AY147" s="69">
        <f>+$D$147</f>
        <v>25</v>
      </c>
      <c r="AZ147" s="164">
        <v>25.497377049180329</v>
      </c>
      <c r="BA147" s="106">
        <f>+$D$147</f>
        <v>25</v>
      </c>
      <c r="BB147" s="144">
        <f>+((AR147*AR$102)+(AV147*AV$102)+(AZ$102*AZ147))/BB$102</f>
        <v>25.583270463384416</v>
      </c>
      <c r="BC147" s="800">
        <f>+$D$147</f>
        <v>25</v>
      </c>
      <c r="BD147" s="568">
        <f>+((AN147*AN$102)+(BB$102*BB147))/BD$102</f>
        <v>25.280287301175772</v>
      </c>
      <c r="BE147" s="70">
        <f>+$D$147</f>
        <v>25</v>
      </c>
      <c r="BF147" s="136">
        <f>+((AX147*AX$102)+(AZ147*AZ$102))/BF$102</f>
        <v>25.191313007539698</v>
      </c>
      <c r="BG147" s="648"/>
      <c r="BH147" s="648"/>
      <c r="BI147" s="648"/>
      <c r="BJ147" s="648"/>
      <c r="BK147" s="648"/>
      <c r="BL147" s="648"/>
      <c r="BM147" s="648"/>
      <c r="BN147" s="648"/>
    </row>
    <row r="148" spans="1:66" s="183" customFormat="1" ht="18.75" x14ac:dyDescent="0.25">
      <c r="A148" s="182"/>
      <c r="B148" s="2926" t="s">
        <v>201</v>
      </c>
      <c r="C148" s="1833"/>
      <c r="D148" s="1808"/>
      <c r="E148" s="1809"/>
      <c r="F148" s="1810"/>
      <c r="G148" s="1809"/>
      <c r="H148" s="1810"/>
      <c r="I148" s="1812"/>
      <c r="J148" s="1808"/>
      <c r="K148" s="1809"/>
      <c r="L148" s="1810"/>
      <c r="M148" s="1809"/>
      <c r="N148" s="1810"/>
      <c r="O148" s="1809"/>
      <c r="P148" s="1810"/>
      <c r="Q148" s="1812"/>
      <c r="R148" s="1808"/>
      <c r="S148" s="1809"/>
      <c r="T148" s="2748"/>
      <c r="U148" s="1812"/>
      <c r="V148" s="1810"/>
      <c r="W148" s="1808"/>
      <c r="X148" s="1810"/>
      <c r="Y148" s="1808"/>
      <c r="Z148" s="1808"/>
      <c r="AA148" s="3814"/>
      <c r="AB148" s="1810"/>
      <c r="AC148" s="1809"/>
      <c r="AD148" s="2748"/>
      <c r="AE148" s="1812"/>
      <c r="AF148" s="1810"/>
      <c r="AG148" s="1809"/>
      <c r="AH148" s="2748"/>
      <c r="AI148" s="1812"/>
      <c r="AJ148" s="1810"/>
      <c r="AK148" s="1808"/>
      <c r="AL148" s="1810"/>
      <c r="AM148" s="1808"/>
      <c r="AN148" s="1808"/>
      <c r="AO148" s="1812"/>
      <c r="AP148" s="1810"/>
      <c r="AQ148" s="1808"/>
      <c r="AR148" s="1810"/>
      <c r="AS148" s="1812"/>
      <c r="AT148" s="1810"/>
      <c r="AU148" s="1808"/>
      <c r="AV148" s="1810"/>
      <c r="AW148" s="1812"/>
      <c r="AX148" s="1810"/>
      <c r="AY148" s="1808"/>
      <c r="AZ148" s="1810"/>
      <c r="BA148" s="1808"/>
      <c r="BB148" s="1808"/>
      <c r="BC148" s="3814"/>
      <c r="BD148" s="1810"/>
      <c r="BE148" s="1812"/>
      <c r="BF148" s="1810"/>
      <c r="BG148" s="648"/>
      <c r="BH148" s="648"/>
      <c r="BI148" s="648"/>
      <c r="BJ148" s="648"/>
      <c r="BK148" s="648"/>
      <c r="BL148" s="648"/>
      <c r="BM148" s="648"/>
      <c r="BN148" s="648"/>
    </row>
    <row r="149" spans="1:66" x14ac:dyDescent="0.25">
      <c r="B149" s="2867" t="s">
        <v>206</v>
      </c>
      <c r="C149" s="1828" t="s">
        <v>51</v>
      </c>
      <c r="D149" s="472">
        <v>4</v>
      </c>
      <c r="E149" s="939">
        <f>+$D$149</f>
        <v>4</v>
      </c>
      <c r="F149" s="164">
        <v>3.97</v>
      </c>
      <c r="G149" s="939">
        <f>+$D$149</f>
        <v>4</v>
      </c>
      <c r="H149" s="164">
        <v>4.0895294117647074</v>
      </c>
      <c r="I149" s="70">
        <f>+$D$149</f>
        <v>4</v>
      </c>
      <c r="J149" s="136">
        <f t="shared" ref="J149:J154" si="703">+((F149*F$17)+(H$17*H149))/J$17</f>
        <v>4.0305092540027072</v>
      </c>
      <c r="K149" s="939">
        <f>+$D$149</f>
        <v>4</v>
      </c>
      <c r="L149" s="164">
        <v>4.1388636363636371</v>
      </c>
      <c r="M149" s="106">
        <f>+$D$149</f>
        <v>4</v>
      </c>
      <c r="N149" s="144">
        <f t="shared" ref="N149:N154" si="704">+((F149*F$17)+(H149*H$17)+(L$17*L149))/N$17</f>
        <v>4.0663177492555285</v>
      </c>
      <c r="O149" s="939">
        <f>+$D$149</f>
        <v>4</v>
      </c>
      <c r="P149" s="164">
        <v>4.2318681318681319</v>
      </c>
      <c r="Q149" s="70">
        <f>+$D$149</f>
        <v>4</v>
      </c>
      <c r="R149" s="136">
        <f t="shared" ref="R149:R154" si="705">+((N149*N$17)+(P$17*P149))/R$17</f>
        <v>4.1084495363263311</v>
      </c>
      <c r="S149" s="939">
        <f>+$D$149</f>
        <v>4</v>
      </c>
      <c r="T149" s="2701">
        <v>4.4918279569892485</v>
      </c>
      <c r="U149" s="70">
        <f>+$D$149</f>
        <v>4</v>
      </c>
      <c r="V149" s="136">
        <f t="shared" ref="V149:V154" si="706">+((R149*R$17)+(T$17*T149))/V$17</f>
        <v>4.1864532989989476</v>
      </c>
      <c r="W149" s="541">
        <f>+$D$149</f>
        <v>4</v>
      </c>
      <c r="X149" s="164">
        <v>4.1760000000000002</v>
      </c>
      <c r="Y149" s="106">
        <f>+$D$149</f>
        <v>4</v>
      </c>
      <c r="Z149" s="144">
        <f t="shared" ref="Z149:Z154" si="707">+((P149*P$17)+(T149*T$17)+(X$17*X149))/Z$17</f>
        <v>4.3014863515801451</v>
      </c>
      <c r="AA149" s="800">
        <f>+$D$149</f>
        <v>4</v>
      </c>
      <c r="AB149" s="568">
        <f t="shared" ref="AB149:AB154" si="708">+((N149*N$17)+(Z$17*Z149))/AB$17</f>
        <v>4.1847390672459337</v>
      </c>
      <c r="AC149" s="939">
        <f>+$D$149</f>
        <v>4</v>
      </c>
      <c r="AD149" s="2701">
        <v>4.1609890109890122</v>
      </c>
      <c r="AE149" s="70">
        <f>+$D$149</f>
        <v>4</v>
      </c>
      <c r="AF149" s="136">
        <f t="shared" ref="AF149:AF154" si="709">+((AB149*AB$17)+(AD$17*AD149))/AF$17</f>
        <v>4.1813392031819783</v>
      </c>
      <c r="AG149" s="939">
        <f>+$D$149</f>
        <v>4</v>
      </c>
      <c r="AH149" s="2701">
        <v>4.0440697674418598</v>
      </c>
      <c r="AI149" s="70">
        <f>+$D$149</f>
        <v>4</v>
      </c>
      <c r="AJ149" s="136">
        <f t="shared" ref="AJ149:AJ154" si="710">+((AF149*AF$17)+(AH$17*AH149))/AJ$17</f>
        <v>4.1643363057350893</v>
      </c>
      <c r="AK149" s="541">
        <f>+$D$149</f>
        <v>4</v>
      </c>
      <c r="AL149" s="164">
        <v>5.39</v>
      </c>
      <c r="AM149" s="106">
        <f>+$D$149</f>
        <v>4</v>
      </c>
      <c r="AN149" s="144">
        <f t="shared" ref="AN149:AN150" si="711">+((AD149*AD$17)+(AH149*AH$17)+(AL$17*AL149))/AN$17</f>
        <v>4.5375403629307138</v>
      </c>
      <c r="AO149" s="70">
        <f>+$D$149</f>
        <v>4</v>
      </c>
      <c r="AP149" s="136">
        <f t="shared" ref="AP149:AP154" si="712">+((AL149*AL$17)+(AJ$17*AJ149))/AP$17</f>
        <v>4.3025548801443732</v>
      </c>
      <c r="AQ149" s="541">
        <f>+$D$149</f>
        <v>4</v>
      </c>
      <c r="AR149" s="164">
        <v>4.595128205128205</v>
      </c>
      <c r="AS149" s="70">
        <f>+$D$149</f>
        <v>4</v>
      </c>
      <c r="AT149" s="136">
        <f t="shared" ref="AT149:AT154" si="713">+((AP149*AP$17)+(AR$17*AR149))/AT$17</f>
        <v>4.3322024024266721</v>
      </c>
      <c r="AU149" s="541">
        <f>+$D$149</f>
        <v>4</v>
      </c>
      <c r="AV149" s="164">
        <v>4.2480722891566272</v>
      </c>
      <c r="AW149" s="70">
        <f>+$D$149</f>
        <v>4</v>
      </c>
      <c r="AX149" s="136">
        <f t="shared" ref="AX149:AX154" si="714">+((AT149*AT$17)+(AV$17*AV149))/AX$17</f>
        <v>4.3249170253275979</v>
      </c>
      <c r="AY149" s="541">
        <f>+$D$149</f>
        <v>4</v>
      </c>
      <c r="AZ149" s="164">
        <v>4.0549411764705869</v>
      </c>
      <c r="BA149" s="106">
        <f>+$D$149</f>
        <v>4</v>
      </c>
      <c r="BB149" s="144">
        <f t="shared" ref="BB149:BB150" si="715">+((AR149*AR$17)+(AV149*AV$17)+(AZ$17*AZ149))/BB$17</f>
        <v>4.3004412294723187</v>
      </c>
      <c r="BC149" s="800">
        <f>+$D$149</f>
        <v>4</v>
      </c>
      <c r="BD149" s="568">
        <f t="shared" ref="BD149:BD154" si="716">+((AN149*AN$17)+(BB$17*BB149))/BD$17</f>
        <v>4.4194968843326965</v>
      </c>
      <c r="BE149" s="70">
        <f>+$D$149</f>
        <v>4</v>
      </c>
      <c r="BF149" s="136">
        <f t="shared" ref="BF149:BF154" si="717">+((AX149*AX$17)+(AZ$17*AZ149))/BF$17</f>
        <v>4.3020291215637219</v>
      </c>
      <c r="BG149" s="648"/>
      <c r="BH149" s="648"/>
      <c r="BI149" s="648"/>
      <c r="BJ149" s="648"/>
      <c r="BK149" s="648"/>
      <c r="BL149" s="648"/>
      <c r="BM149" s="648"/>
      <c r="BN149" s="648"/>
    </row>
    <row r="150" spans="1:66" x14ac:dyDescent="0.25">
      <c r="B150" s="2867" t="s">
        <v>207</v>
      </c>
      <c r="C150" s="1828" t="s">
        <v>51</v>
      </c>
      <c r="D150" s="472">
        <v>14.5</v>
      </c>
      <c r="E150" s="939">
        <f>+$D$150</f>
        <v>14.5</v>
      </c>
      <c r="F150" s="164">
        <v>14.22</v>
      </c>
      <c r="G150" s="939">
        <f>+$D$150</f>
        <v>14.5</v>
      </c>
      <c r="H150" s="164">
        <v>14.290117647058819</v>
      </c>
      <c r="I150" s="70">
        <f>+$D$150</f>
        <v>14.5</v>
      </c>
      <c r="J150" s="136">
        <f t="shared" si="703"/>
        <v>14.255495586009461</v>
      </c>
      <c r="K150" s="939">
        <f>+$D$150</f>
        <v>14.5</v>
      </c>
      <c r="L150" s="164">
        <v>14.538295454545453</v>
      </c>
      <c r="M150" s="106">
        <f>+$D$150</f>
        <v>14.5</v>
      </c>
      <c r="N150" s="144">
        <f t="shared" si="704"/>
        <v>14.348954083296977</v>
      </c>
      <c r="O150" s="939">
        <f>+$D$150</f>
        <v>14.5</v>
      </c>
      <c r="P150" s="164">
        <v>14.715274725274725</v>
      </c>
      <c r="Q150" s="70">
        <f>+$D$150</f>
        <v>14.5</v>
      </c>
      <c r="R150" s="136">
        <f t="shared" si="705"/>
        <v>14.442180949003244</v>
      </c>
      <c r="S150" s="939">
        <f>+$D$150</f>
        <v>14.5</v>
      </c>
      <c r="T150" s="2701">
        <v>14.555913978494624</v>
      </c>
      <c r="U150" s="70">
        <f>+$D$150</f>
        <v>14.5</v>
      </c>
      <c r="V150" s="136">
        <f t="shared" si="706"/>
        <v>14.465321542636927</v>
      </c>
      <c r="W150" s="541">
        <f>+$D$150</f>
        <v>14.5</v>
      </c>
      <c r="X150" s="164">
        <v>14.627529411764712</v>
      </c>
      <c r="Y150" s="106">
        <f>+$D$150</f>
        <v>14.5</v>
      </c>
      <c r="Z150" s="144">
        <f t="shared" si="707"/>
        <v>14.632868761794409</v>
      </c>
      <c r="AA150" s="800">
        <f>+$D$150</f>
        <v>14.5</v>
      </c>
      <c r="AB150" s="568">
        <f t="shared" si="708"/>
        <v>14.49192193739035</v>
      </c>
      <c r="AC150" s="939">
        <f>+$D$150</f>
        <v>14.5</v>
      </c>
      <c r="AD150" s="2701">
        <v>14.781428571428563</v>
      </c>
      <c r="AE150" s="70">
        <f>+$D$150</f>
        <v>14.5</v>
      </c>
      <c r="AF150" s="136">
        <f t="shared" si="709"/>
        <v>14.533365342437289</v>
      </c>
      <c r="AG150" s="939">
        <f>+$D$150</f>
        <v>14.5</v>
      </c>
      <c r="AH150" s="2701">
        <v>14.312674418604649</v>
      </c>
      <c r="AI150" s="70">
        <f>+$D$150</f>
        <v>14.5</v>
      </c>
      <c r="AJ150" s="136">
        <f t="shared" si="710"/>
        <v>14.506029430949393</v>
      </c>
      <c r="AK150" s="541">
        <f>+$D$150</f>
        <v>14.5</v>
      </c>
      <c r="AL150" s="164">
        <v>14.38</v>
      </c>
      <c r="AM150" s="106">
        <f>+$D$150</f>
        <v>14.5</v>
      </c>
      <c r="AN150" s="144">
        <f t="shared" si="711"/>
        <v>14.491607828614589</v>
      </c>
      <c r="AO150" s="70">
        <f>+$D$150</f>
        <v>14.5</v>
      </c>
      <c r="AP150" s="136">
        <f t="shared" si="712"/>
        <v>14.491817042705415</v>
      </c>
      <c r="AQ150" s="541">
        <f>+$D$150</f>
        <v>14.5</v>
      </c>
      <c r="AR150" s="164">
        <v>14.341445783132526</v>
      </c>
      <c r="AS150" s="70">
        <f>+$D$150</f>
        <v>14.5</v>
      </c>
      <c r="AT150" s="136">
        <f t="shared" si="713"/>
        <v>14.476579374442078</v>
      </c>
      <c r="AU150" s="541">
        <f>+$D$150</f>
        <v>14.5</v>
      </c>
      <c r="AV150" s="164">
        <v>13.430843373493977</v>
      </c>
      <c r="AW150" s="70">
        <f>+$D$150</f>
        <v>14.5</v>
      </c>
      <c r="AX150" s="136">
        <f t="shared" si="714"/>
        <v>14.386022250282142</v>
      </c>
      <c r="AY150" s="541">
        <f>+$D$150</f>
        <v>14.5</v>
      </c>
      <c r="AZ150" s="164">
        <v>13.343783783783786</v>
      </c>
      <c r="BA150" s="106">
        <f>+$D$150</f>
        <v>14.5</v>
      </c>
      <c r="BB150" s="144">
        <f t="shared" si="715"/>
        <v>13.711283553005448</v>
      </c>
      <c r="BC150" s="800">
        <f>+$D$150</f>
        <v>14.5</v>
      </c>
      <c r="BD150" s="568">
        <f t="shared" si="716"/>
        <v>14.103111293077719</v>
      </c>
      <c r="BE150" s="70">
        <f>+$D$150</f>
        <v>14.5</v>
      </c>
      <c r="BF150" s="136">
        <f t="shared" si="717"/>
        <v>14.297663777399412</v>
      </c>
      <c r="BG150" s="648"/>
      <c r="BH150" s="648"/>
      <c r="BI150" s="648"/>
      <c r="BJ150" s="648"/>
      <c r="BK150" s="648"/>
      <c r="BL150" s="648"/>
      <c r="BM150" s="648"/>
      <c r="BN150" s="648"/>
    </row>
    <row r="151" spans="1:66" x14ac:dyDescent="0.25">
      <c r="B151" s="2867" t="s">
        <v>208</v>
      </c>
      <c r="C151" s="1828" t="s">
        <v>51</v>
      </c>
      <c r="D151" s="472">
        <v>84</v>
      </c>
      <c r="E151" s="939">
        <f>+$D$151</f>
        <v>84</v>
      </c>
      <c r="F151" s="164">
        <v>84.88</v>
      </c>
      <c r="G151" s="939">
        <f>+$D$151</f>
        <v>84</v>
      </c>
      <c r="H151" s="164">
        <v>84.900235294117664</v>
      </c>
      <c r="I151" s="70">
        <f>+$D$151</f>
        <v>84</v>
      </c>
      <c r="J151" s="136">
        <f t="shared" si="703"/>
        <v>84.890243692606759</v>
      </c>
      <c r="K151" s="939">
        <f>+$D$151</f>
        <v>84</v>
      </c>
      <c r="L151" s="164">
        <v>84.840227272727262</v>
      </c>
      <c r="M151" s="106">
        <f>+$D$151</f>
        <v>84</v>
      </c>
      <c r="N151" s="144">
        <f t="shared" si="704"/>
        <v>84.87371447897651</v>
      </c>
      <c r="O151" s="939">
        <f>+$D$151</f>
        <v>84</v>
      </c>
      <c r="P151" s="164">
        <v>84.766813186813195</v>
      </c>
      <c r="Q151" s="70">
        <f>+$D$151</f>
        <v>84</v>
      </c>
      <c r="R151" s="136">
        <f t="shared" si="705"/>
        <v>84.846508607217487</v>
      </c>
      <c r="S151" s="939">
        <f>+$D$151</f>
        <v>84</v>
      </c>
      <c r="T151" s="2701">
        <v>84.855268817204291</v>
      </c>
      <c r="U151" s="70">
        <f>+$D$151</f>
        <v>84</v>
      </c>
      <c r="V151" s="136">
        <f t="shared" si="706"/>
        <v>84.848290995854782</v>
      </c>
      <c r="W151" s="541">
        <f>+$D$151</f>
        <v>84</v>
      </c>
      <c r="X151" s="164">
        <v>84.897411764705851</v>
      </c>
      <c r="Y151" s="106">
        <f>+$D$151</f>
        <v>84</v>
      </c>
      <c r="Z151" s="144">
        <f>+((P151*P$17)+(T151*T$17)+(X151*X$17))/Z$17</f>
        <v>84.839223618989038</v>
      </c>
      <c r="AA151" s="800">
        <f>+$D$151</f>
        <v>84</v>
      </c>
      <c r="AB151" s="568">
        <f t="shared" si="708"/>
        <v>84.856346288418905</v>
      </c>
      <c r="AC151" s="939">
        <f>+$D$151</f>
        <v>84</v>
      </c>
      <c r="AD151" s="2701">
        <v>84.780659340659369</v>
      </c>
      <c r="AE151" s="70">
        <f>+$D$151</f>
        <v>84</v>
      </c>
      <c r="AF151" s="136">
        <f t="shared" si="709"/>
        <v>84.845511563186491</v>
      </c>
      <c r="AG151" s="939">
        <f>+$D$151</f>
        <v>84</v>
      </c>
      <c r="AH151" s="2701">
        <v>84.710243902439018</v>
      </c>
      <c r="AI151" s="70">
        <f>+$D$151</f>
        <v>84</v>
      </c>
      <c r="AJ151" s="136">
        <f t="shared" si="710"/>
        <v>84.828756615873075</v>
      </c>
      <c r="AK151" s="541">
        <f>+$D$151</f>
        <v>84</v>
      </c>
      <c r="AL151" s="164">
        <v>84.72</v>
      </c>
      <c r="AM151" s="106">
        <f>+$D$151</f>
        <v>84</v>
      </c>
      <c r="AN151" s="144">
        <f>+((AD151*AD$17)+(AH151*AH$17)+(AL151*AL$17))/AN$17</f>
        <v>84.737002266720836</v>
      </c>
      <c r="AO151" s="70">
        <f>+$D$151</f>
        <v>84</v>
      </c>
      <c r="AP151" s="136">
        <f t="shared" si="712"/>
        <v>84.816492089744173</v>
      </c>
      <c r="AQ151" s="541">
        <f>+$D$151</f>
        <v>84</v>
      </c>
      <c r="AR151" s="164">
        <v>85.080459770114928</v>
      </c>
      <c r="AS151" s="70">
        <f>+$D$151</f>
        <v>84</v>
      </c>
      <c r="AT151" s="136">
        <f t="shared" si="713"/>
        <v>84.843240897708924</v>
      </c>
      <c r="AU151" s="541">
        <f>+$D$151</f>
        <v>84</v>
      </c>
      <c r="AV151" s="164">
        <v>86.18012195121949</v>
      </c>
      <c r="AW151" s="70">
        <f>+$D$151</f>
        <v>84</v>
      </c>
      <c r="AX151" s="136">
        <f t="shared" si="714"/>
        <v>84.959010177374211</v>
      </c>
      <c r="AY151" s="541">
        <f>+$D$151</f>
        <v>84</v>
      </c>
      <c r="AZ151" s="164">
        <v>86.432808988764023</v>
      </c>
      <c r="BA151" s="106">
        <f>+$D$151</f>
        <v>84</v>
      </c>
      <c r="BB151" s="144">
        <f>+((AR151*AR$17)+(AV151*AV$17)+(AZ151*AZ$17))/BB$17</f>
        <v>85.891745663361348</v>
      </c>
      <c r="BC151" s="800">
        <f>+$D$151</f>
        <v>84</v>
      </c>
      <c r="BD151" s="568">
        <f t="shared" si="716"/>
        <v>85.311909165110876</v>
      </c>
      <c r="BE151" s="70">
        <f>+$D$151</f>
        <v>84</v>
      </c>
      <c r="BF151" s="136">
        <f t="shared" si="717"/>
        <v>85.08395529933685</v>
      </c>
      <c r="BG151" s="648"/>
      <c r="BH151" s="648"/>
      <c r="BI151" s="648"/>
      <c r="BJ151" s="648"/>
      <c r="BK151" s="648"/>
      <c r="BL151" s="648"/>
      <c r="BM151" s="648"/>
      <c r="BN151" s="648"/>
    </row>
    <row r="152" spans="1:66" x14ac:dyDescent="0.25">
      <c r="B152" s="2867" t="s">
        <v>209</v>
      </c>
      <c r="C152" s="1828" t="s">
        <v>51</v>
      </c>
      <c r="D152" s="472">
        <v>8</v>
      </c>
      <c r="E152" s="939">
        <f>+$D$152</f>
        <v>8</v>
      </c>
      <c r="F152" s="164">
        <v>7.8</v>
      </c>
      <c r="G152" s="939">
        <f>+$D$152</f>
        <v>8</v>
      </c>
      <c r="H152" s="164">
        <v>7.8034117647058805</v>
      </c>
      <c r="I152" s="70">
        <f>+$D$152</f>
        <v>8</v>
      </c>
      <c r="J152" s="136">
        <f t="shared" si="703"/>
        <v>7.8017271342185817</v>
      </c>
      <c r="K152" s="939">
        <f>+$D$152</f>
        <v>8</v>
      </c>
      <c r="L152" s="164">
        <v>7.8992045454545439</v>
      </c>
      <c r="M152" s="106">
        <f>+$D$152</f>
        <v>8</v>
      </c>
      <c r="N152" s="144">
        <f t="shared" si="704"/>
        <v>7.8339410543337209</v>
      </c>
      <c r="O152" s="939">
        <f>+$D$152</f>
        <v>8</v>
      </c>
      <c r="P152" s="164">
        <v>7.8956043956043915</v>
      </c>
      <c r="Q152" s="70">
        <f>+$D$152</f>
        <v>8</v>
      </c>
      <c r="R152" s="136">
        <f t="shared" si="705"/>
        <v>7.8496340821811383</v>
      </c>
      <c r="S152" s="939">
        <f>+$D$152</f>
        <v>8</v>
      </c>
      <c r="T152" s="2701">
        <v>7.8312903225806405</v>
      </c>
      <c r="U152" s="70">
        <f>+$D$152</f>
        <v>8</v>
      </c>
      <c r="V152" s="136">
        <f t="shared" si="706"/>
        <v>7.8459017848131056</v>
      </c>
      <c r="W152" s="541">
        <f>+$D$152</f>
        <v>8</v>
      </c>
      <c r="X152" s="164">
        <v>7.8359999999999994</v>
      </c>
      <c r="Y152" s="106">
        <f>+$D$152</f>
        <v>8</v>
      </c>
      <c r="Z152" s="144">
        <f t="shared" si="707"/>
        <v>7.854468811295499</v>
      </c>
      <c r="AA152" s="800">
        <f>+$D$152</f>
        <v>8</v>
      </c>
      <c r="AB152" s="568">
        <f t="shared" si="708"/>
        <v>7.8442779956208275</v>
      </c>
      <c r="AC152" s="939">
        <f>+$D$152</f>
        <v>8</v>
      </c>
      <c r="AD152" s="2701">
        <v>7.9206593406593413</v>
      </c>
      <c r="AE152" s="70">
        <f>+$D$152</f>
        <v>8</v>
      </c>
      <c r="AF152" s="136">
        <f t="shared" si="709"/>
        <v>7.855212125095882</v>
      </c>
      <c r="AG152" s="939">
        <f>+$D$152</f>
        <v>8</v>
      </c>
      <c r="AH152" s="2701">
        <v>7.8074390243902432</v>
      </c>
      <c r="AI152" s="70">
        <f>+$D$152</f>
        <v>8</v>
      </c>
      <c r="AJ152" s="136">
        <f t="shared" si="710"/>
        <v>7.8492947034379714</v>
      </c>
      <c r="AK152" s="541">
        <f>+$D$152</f>
        <v>8</v>
      </c>
      <c r="AL152" s="164">
        <v>7.88</v>
      </c>
      <c r="AM152" s="106">
        <f>+$D$152</f>
        <v>8</v>
      </c>
      <c r="AN152" s="144">
        <f t="shared" ref="AN152:AN154" si="718">+((AD152*AD$17)+(AH152*AH$17)+(AL$17*AL152))/AN$17</f>
        <v>7.8696695602509878</v>
      </c>
      <c r="AO152" s="70">
        <f>+$D$152</f>
        <v>8</v>
      </c>
      <c r="AP152" s="136">
        <f t="shared" si="712"/>
        <v>7.8527573517463756</v>
      </c>
      <c r="AQ152" s="541">
        <f>+$D$152</f>
        <v>8</v>
      </c>
      <c r="AR152" s="164">
        <v>7.8489655172413757</v>
      </c>
      <c r="AS152" s="70">
        <f>+$D$152</f>
        <v>8</v>
      </c>
      <c r="AT152" s="136">
        <f t="shared" si="713"/>
        <v>7.8523731113239643</v>
      </c>
      <c r="AU152" s="541">
        <f>+$D$152</f>
        <v>8</v>
      </c>
      <c r="AV152" s="164">
        <v>7.658536585365856</v>
      </c>
      <c r="AW152" s="70">
        <f>+$D$152</f>
        <v>8</v>
      </c>
      <c r="AX152" s="136">
        <f t="shared" si="714"/>
        <v>7.8355875379746633</v>
      </c>
      <c r="AY152" s="541">
        <f>+$D$152</f>
        <v>8</v>
      </c>
      <c r="AZ152" s="164">
        <v>7.5823595505617973</v>
      </c>
      <c r="BA152" s="106">
        <f>+$D$152</f>
        <v>8</v>
      </c>
      <c r="BB152" s="144">
        <f t="shared" ref="BB152:BB154" si="719">+((AR152*AR$17)+(AV152*AV$17)+(AZ$17*AZ152))/BB$17</f>
        <v>7.6974256623919075</v>
      </c>
      <c r="BC152" s="800">
        <f>+$D$152</f>
        <v>8</v>
      </c>
      <c r="BD152" s="568">
        <f t="shared" si="716"/>
        <v>7.7839152659438122</v>
      </c>
      <c r="BE152" s="70">
        <f>+$D$152</f>
        <v>8</v>
      </c>
      <c r="BF152" s="136">
        <f t="shared" si="717"/>
        <v>7.8141194776619969</v>
      </c>
      <c r="BG152" s="648"/>
      <c r="BH152" s="648"/>
      <c r="BI152" s="648"/>
      <c r="BJ152" s="648"/>
      <c r="BK152" s="648"/>
      <c r="BL152" s="648"/>
      <c r="BM152" s="648"/>
      <c r="BN152" s="648"/>
    </row>
    <row r="153" spans="1:66" x14ac:dyDescent="0.25">
      <c r="B153" s="2867" t="s">
        <v>210</v>
      </c>
      <c r="C153" s="1828" t="s">
        <v>51</v>
      </c>
      <c r="D153" s="472">
        <v>63.5</v>
      </c>
      <c r="E153" s="939">
        <f>+$D$153</f>
        <v>63.5</v>
      </c>
      <c r="F153" s="164">
        <v>65.180000000000007</v>
      </c>
      <c r="G153" s="939">
        <f>+$D$153</f>
        <v>63.5</v>
      </c>
      <c r="H153" s="164">
        <v>65.206153846153853</v>
      </c>
      <c r="I153" s="70">
        <f>+$D$153</f>
        <v>63.5</v>
      </c>
      <c r="J153" s="136">
        <f t="shared" si="703"/>
        <v>65.193239835256506</v>
      </c>
      <c r="K153" s="939">
        <f>+$D$153</f>
        <v>63.5</v>
      </c>
      <c r="L153" s="164">
        <v>64.903571428571425</v>
      </c>
      <c r="M153" s="106">
        <f>+$D$153</f>
        <v>63.5</v>
      </c>
      <c r="N153" s="144">
        <f t="shared" si="704"/>
        <v>65.097511452705959</v>
      </c>
      <c r="O153" s="939">
        <f>+$D$153</f>
        <v>63.5</v>
      </c>
      <c r="P153" s="164">
        <v>64.972499999999997</v>
      </c>
      <c r="Q153" s="70">
        <f>+$D$153</f>
        <v>63.5</v>
      </c>
      <c r="R153" s="136">
        <f t="shared" si="705"/>
        <v>65.065696630996101</v>
      </c>
      <c r="S153" s="939">
        <f>+$D$153</f>
        <v>63.5</v>
      </c>
      <c r="T153" s="2701">
        <v>65.085384615384612</v>
      </c>
      <c r="U153" s="70">
        <f>+$D$153</f>
        <v>63.5</v>
      </c>
      <c r="V153" s="136">
        <f t="shared" si="706"/>
        <v>65.069702429911672</v>
      </c>
      <c r="W153" s="541">
        <f>+$D$153</f>
        <v>63.5</v>
      </c>
      <c r="X153" s="164">
        <v>64.937499999999986</v>
      </c>
      <c r="Y153" s="106">
        <f>+$D$153</f>
        <v>63.5</v>
      </c>
      <c r="Z153" s="144">
        <f t="shared" si="707"/>
        <v>64.999233361025048</v>
      </c>
      <c r="AA153" s="800">
        <f>+$D$153</f>
        <v>63.5</v>
      </c>
      <c r="AB153" s="568">
        <f t="shared" si="708"/>
        <v>65.048022613501274</v>
      </c>
      <c r="AC153" s="939">
        <f>+$D$153</f>
        <v>63.5</v>
      </c>
      <c r="AD153" s="2701">
        <v>64.754615384615377</v>
      </c>
      <c r="AE153" s="70">
        <f>+$D$153</f>
        <v>63.5</v>
      </c>
      <c r="AF153" s="136">
        <f t="shared" si="709"/>
        <v>65.006020831155894</v>
      </c>
      <c r="AG153" s="939">
        <f>+$D$153</f>
        <v>63.5</v>
      </c>
      <c r="AH153" s="2701">
        <v>65.13545454545455</v>
      </c>
      <c r="AI153" s="70">
        <f>+$D$153</f>
        <v>63.5</v>
      </c>
      <c r="AJ153" s="136">
        <f t="shared" si="710"/>
        <v>65.022053155893914</v>
      </c>
      <c r="AK153" s="541">
        <f>+$D$153</f>
        <v>63.5</v>
      </c>
      <c r="AL153" s="164">
        <v>65.239999999999995</v>
      </c>
      <c r="AM153" s="106">
        <f>+$D$153</f>
        <v>63.5</v>
      </c>
      <c r="AN153" s="144">
        <f t="shared" si="718"/>
        <v>65.043855724867242</v>
      </c>
      <c r="AO153" s="70">
        <f>+$D$153</f>
        <v>63.5</v>
      </c>
      <c r="AP153" s="136">
        <f t="shared" si="712"/>
        <v>65.046631106787217</v>
      </c>
      <c r="AQ153" s="541">
        <f>+$D$153</f>
        <v>63.5</v>
      </c>
      <c r="AR153" s="164">
        <v>65.22782608695654</v>
      </c>
      <c r="AS153" s="70">
        <f>+$D$153</f>
        <v>63.5</v>
      </c>
      <c r="AT153" s="136">
        <f t="shared" si="713"/>
        <v>65.064992255098701</v>
      </c>
      <c r="AU153" s="541">
        <f>+$D$153</f>
        <v>63.5</v>
      </c>
      <c r="AV153" s="164">
        <v>65.682692307692321</v>
      </c>
      <c r="AW153" s="70">
        <f>+$D$153</f>
        <v>63.5</v>
      </c>
      <c r="AX153" s="136">
        <f t="shared" si="714"/>
        <v>65.118482945201748</v>
      </c>
      <c r="AY153" s="541">
        <f>+$D$153</f>
        <v>63.5</v>
      </c>
      <c r="AZ153" s="164">
        <v>65.706666666666663</v>
      </c>
      <c r="BA153" s="106">
        <f>+$D$153</f>
        <v>63.5</v>
      </c>
      <c r="BB153" s="144">
        <f t="shared" si="719"/>
        <v>65.535955427048734</v>
      </c>
      <c r="BC153" s="800">
        <f>+$D$153</f>
        <v>63.5</v>
      </c>
      <c r="BD153" s="568">
        <f t="shared" si="716"/>
        <v>65.288855189079726</v>
      </c>
      <c r="BE153" s="70">
        <f>+$D$153</f>
        <v>63.5</v>
      </c>
      <c r="BF153" s="136">
        <f t="shared" si="717"/>
        <v>65.168347747810429</v>
      </c>
      <c r="BG153" s="648"/>
      <c r="BH153" s="648"/>
      <c r="BI153" s="648"/>
      <c r="BJ153" s="648"/>
      <c r="BK153" s="648"/>
      <c r="BL153" s="648"/>
      <c r="BM153" s="648"/>
      <c r="BN153" s="648"/>
    </row>
    <row r="154" spans="1:66" x14ac:dyDescent="0.25">
      <c r="B154" s="2867" t="s">
        <v>211</v>
      </c>
      <c r="C154" s="1828" t="s">
        <v>51</v>
      </c>
      <c r="D154" s="472">
        <v>23</v>
      </c>
      <c r="E154" s="939">
        <f>+$D$154</f>
        <v>23</v>
      </c>
      <c r="F154" s="164">
        <v>22.86</v>
      </c>
      <c r="G154" s="939">
        <f>+$D$154</f>
        <v>23</v>
      </c>
      <c r="H154" s="164">
        <v>22.902307692307694</v>
      </c>
      <c r="I154" s="70">
        <f>+$D$154</f>
        <v>23</v>
      </c>
      <c r="J154" s="136">
        <f t="shared" si="703"/>
        <v>22.881417380561984</v>
      </c>
      <c r="K154" s="939">
        <f>+$D$154</f>
        <v>23</v>
      </c>
      <c r="L154" s="164">
        <v>23.267857142857142</v>
      </c>
      <c r="M154" s="106">
        <f>+$D$154</f>
        <v>23</v>
      </c>
      <c r="N154" s="144">
        <f t="shared" si="704"/>
        <v>23.009126348968575</v>
      </c>
      <c r="O154" s="939">
        <f>+$D$154</f>
        <v>23</v>
      </c>
      <c r="P154" s="164">
        <v>23.107500000000002</v>
      </c>
      <c r="Q154" s="70">
        <f>+$D$154</f>
        <v>23</v>
      </c>
      <c r="R154" s="136">
        <f t="shared" si="705"/>
        <v>23.034161976511236</v>
      </c>
      <c r="S154" s="939">
        <f>+$D$154</f>
        <v>23</v>
      </c>
      <c r="T154" s="2701">
        <v>23.066923076923079</v>
      </c>
      <c r="U154" s="70">
        <f>+$D$154</f>
        <v>23</v>
      </c>
      <c r="V154" s="136">
        <f t="shared" si="706"/>
        <v>23.04082768580442</v>
      </c>
      <c r="W154" s="541">
        <f>+$D$154</f>
        <v>23</v>
      </c>
      <c r="X154" s="164">
        <v>23.226666666666663</v>
      </c>
      <c r="Y154" s="106">
        <f>+$D$154</f>
        <v>23</v>
      </c>
      <c r="Z154" s="144">
        <f t="shared" si="707"/>
        <v>23.132601373110571</v>
      </c>
      <c r="AA154" s="800">
        <f>+$D$154</f>
        <v>23</v>
      </c>
      <c r="AB154" s="568">
        <f t="shared" si="708"/>
        <v>23.071303335833552</v>
      </c>
      <c r="AC154" s="939">
        <f>+$D$154</f>
        <v>23</v>
      </c>
      <c r="AD154" s="2701">
        <v>23.549999999999997</v>
      </c>
      <c r="AE154" s="70">
        <f>+$D$154</f>
        <v>23</v>
      </c>
      <c r="AF154" s="136">
        <f t="shared" si="709"/>
        <v>23.139829640294852</v>
      </c>
      <c r="AG154" s="939">
        <f>+$D$154</f>
        <v>23</v>
      </c>
      <c r="AH154" s="2701">
        <v>23.201818181818179</v>
      </c>
      <c r="AI154" s="70">
        <f>+$D$154</f>
        <v>23</v>
      </c>
      <c r="AJ154" s="136">
        <f t="shared" si="710"/>
        <v>23.147507859475407</v>
      </c>
      <c r="AK154" s="541">
        <f>+$D$154</f>
        <v>23</v>
      </c>
      <c r="AL154" s="164">
        <v>22.9</v>
      </c>
      <c r="AM154" s="106">
        <f>+$D$154</f>
        <v>23</v>
      </c>
      <c r="AN154" s="144">
        <f t="shared" si="718"/>
        <v>23.215917376800956</v>
      </c>
      <c r="AO154" s="70">
        <f>+$D$154</f>
        <v>23</v>
      </c>
      <c r="AP154" s="136">
        <f t="shared" si="712"/>
        <v>23.119596301311564</v>
      </c>
      <c r="AQ154" s="541">
        <f>+$D$154</f>
        <v>23</v>
      </c>
      <c r="AR154" s="164">
        <v>23.023043478260874</v>
      </c>
      <c r="AS154" s="70">
        <f>+$D$154</f>
        <v>23</v>
      </c>
      <c r="AT154" s="136">
        <f t="shared" si="713"/>
        <v>23.109812251542252</v>
      </c>
      <c r="AU154" s="541">
        <f>+$D$154</f>
        <v>23</v>
      </c>
      <c r="AV154" s="164">
        <v>22.786923076923078</v>
      </c>
      <c r="AW154" s="70">
        <f>+$D$154</f>
        <v>23</v>
      </c>
      <c r="AX154" s="136">
        <f t="shared" si="714"/>
        <v>23.081851164758035</v>
      </c>
      <c r="AY154" s="541">
        <f>+$D$154</f>
        <v>23</v>
      </c>
      <c r="AZ154" s="164">
        <v>22.873333333333335</v>
      </c>
      <c r="BA154" s="106">
        <f>+$D$154</f>
        <v>23</v>
      </c>
      <c r="BB154" s="144">
        <f t="shared" si="719"/>
        <v>22.896786071029691</v>
      </c>
      <c r="BC154" s="800">
        <f>+$D$154</f>
        <v>23</v>
      </c>
      <c r="BD154" s="568">
        <f t="shared" si="716"/>
        <v>23.057032909728967</v>
      </c>
      <c r="BE154" s="70">
        <f>+$D$154</f>
        <v>23</v>
      </c>
      <c r="BF154" s="136">
        <f t="shared" si="717"/>
        <v>23.064173524039781</v>
      </c>
      <c r="BG154" s="648"/>
      <c r="BH154" s="648"/>
      <c r="BI154" s="648"/>
      <c r="BJ154" s="648"/>
      <c r="BK154" s="648"/>
      <c r="BL154" s="648"/>
      <c r="BM154" s="648"/>
      <c r="BN154" s="648"/>
    </row>
    <row r="155" spans="1:66" s="183" customFormat="1" x14ac:dyDescent="0.25">
      <c r="A155" s="182"/>
      <c r="B155" s="2925" t="s">
        <v>5</v>
      </c>
      <c r="C155" s="1834"/>
      <c r="D155" s="501"/>
      <c r="E155" s="1227"/>
      <c r="F155" s="829"/>
      <c r="G155" s="1227"/>
      <c r="H155" s="829"/>
      <c r="I155" s="501"/>
      <c r="J155" s="501"/>
      <c r="K155" s="1227"/>
      <c r="L155" s="829"/>
      <c r="M155" s="1227"/>
      <c r="N155" s="829"/>
      <c r="O155" s="1227"/>
      <c r="P155" s="829"/>
      <c r="Q155" s="501"/>
      <c r="R155" s="501"/>
      <c r="S155" s="1227"/>
      <c r="T155" s="2749"/>
      <c r="U155" s="501"/>
      <c r="V155" s="829"/>
      <c r="W155" s="501"/>
      <c r="X155" s="829"/>
      <c r="Y155" s="501"/>
      <c r="Z155" s="501"/>
      <c r="AA155" s="3815"/>
      <c r="AB155" s="829"/>
      <c r="AC155" s="1227"/>
      <c r="AD155" s="2749"/>
      <c r="AE155" s="501"/>
      <c r="AF155" s="829"/>
      <c r="AG155" s="1227"/>
      <c r="AH155" s="2749"/>
      <c r="AI155" s="501"/>
      <c r="AJ155" s="829"/>
      <c r="AK155" s="501"/>
      <c r="AL155" s="829"/>
      <c r="AM155" s="501"/>
      <c r="AN155" s="501"/>
      <c r="AO155" s="501"/>
      <c r="AP155" s="829"/>
      <c r="AQ155" s="501"/>
      <c r="AR155" s="829"/>
      <c r="AS155" s="501"/>
      <c r="AT155" s="829"/>
      <c r="AU155" s="501"/>
      <c r="AV155" s="829"/>
      <c r="AW155" s="501"/>
      <c r="AX155" s="829"/>
      <c r="AY155" s="501"/>
      <c r="AZ155" s="829"/>
      <c r="BA155" s="501"/>
      <c r="BB155" s="501"/>
      <c r="BC155" s="3815"/>
      <c r="BD155" s="829"/>
      <c r="BE155" s="501"/>
      <c r="BF155" s="829"/>
      <c r="BG155" s="648"/>
      <c r="BH155" s="648"/>
      <c r="BI155" s="648"/>
      <c r="BJ155" s="648"/>
      <c r="BK155" s="648"/>
      <c r="BL155" s="648"/>
      <c r="BM155" s="648"/>
      <c r="BN155" s="648"/>
    </row>
    <row r="156" spans="1:66" x14ac:dyDescent="0.25">
      <c r="B156" s="2884" t="s">
        <v>220</v>
      </c>
      <c r="C156" s="1828" t="s">
        <v>215</v>
      </c>
      <c r="D156" s="472">
        <f>+(D157*D13)/1000000</f>
        <v>193.19968799999998</v>
      </c>
      <c r="E156" s="939">
        <f>+(E157*E13)/1000000</f>
        <v>15.836040000000001</v>
      </c>
      <c r="F156" s="164">
        <v>15.9992712666667</v>
      </c>
      <c r="G156" s="939">
        <f>+(G157*G13)/1000000</f>
        <v>16.363907999999999</v>
      </c>
      <c r="H156" s="164">
        <v>16.521000000000001</v>
      </c>
      <c r="I156" s="70">
        <f>+(I157*I13)/1000000</f>
        <v>32.199947999999999</v>
      </c>
      <c r="J156" s="136">
        <f>+F156+H156</f>
        <v>32.520271266666697</v>
      </c>
      <c r="K156" s="939">
        <f>+(K157*K13)/1000000</f>
        <v>15.836040000000001</v>
      </c>
      <c r="L156" s="164">
        <v>16.009</v>
      </c>
      <c r="M156" s="106">
        <f>+(M157*M13)/1000000</f>
        <v>48.035988000000003</v>
      </c>
      <c r="N156" s="144">
        <f>+L156+H156+F156</f>
        <v>48.529271266666697</v>
      </c>
      <c r="O156" s="939">
        <f>+(O157*O13)/1000000</f>
        <v>16.363907999999999</v>
      </c>
      <c r="P156" s="164">
        <f>16494.4/1000</f>
        <v>16.494400000000002</v>
      </c>
      <c r="Q156" s="70">
        <f>+(Q157*Q13)/1000000</f>
        <v>64.399895999999998</v>
      </c>
      <c r="R156" s="136">
        <f>+N156+P156</f>
        <v>65.023671266666696</v>
      </c>
      <c r="S156" s="939">
        <f>+(S157*S13)/1000000</f>
        <v>16.363907999999999</v>
      </c>
      <c r="T156" s="2701">
        <v>16.577453919999996</v>
      </c>
      <c r="U156" s="70">
        <f>+(U157*U13)/1000000</f>
        <v>80.763803999999979</v>
      </c>
      <c r="V156" s="136">
        <f>+R156+T156</f>
        <v>81.601125186666692</v>
      </c>
      <c r="W156" s="541">
        <f>+(W157*W13)/1000000</f>
        <v>15.836040000000001</v>
      </c>
      <c r="X156" s="164">
        <v>16.010000000000002</v>
      </c>
      <c r="Y156" s="106">
        <f>+(Y157*Y13)/1000000</f>
        <v>48.563855999999994</v>
      </c>
      <c r="Z156" s="153">
        <f>+P156+T156+X156</f>
        <v>49.08185392</v>
      </c>
      <c r="AA156" s="800">
        <f>+(AA157*AA13)/1000000</f>
        <v>96.59984399999999</v>
      </c>
      <c r="AB156" s="568">
        <f>+N156+Z156</f>
        <v>97.611125186666698</v>
      </c>
      <c r="AC156" s="939">
        <f>+(AC157*AC13)/1000000</f>
        <v>16.363907999999999</v>
      </c>
      <c r="AD156" s="2701">
        <v>16.273210160000001</v>
      </c>
      <c r="AE156" s="70">
        <f>+(AE157*AE13)/1000000</f>
        <v>112.96375199999999</v>
      </c>
      <c r="AF156" s="136">
        <f>+AB156+AD156</f>
        <v>113.8843353466667</v>
      </c>
      <c r="AG156" s="939">
        <f>+(AG157*AG13)/1000000</f>
        <v>15.836040000000001</v>
      </c>
      <c r="AH156" s="2701">
        <v>15.835000000000001</v>
      </c>
      <c r="AI156" s="70">
        <f>+(AI157*AI13)/1000000</f>
        <v>128.799792</v>
      </c>
      <c r="AJ156" s="136">
        <f>+AF156+AH156</f>
        <v>129.7193353466667</v>
      </c>
      <c r="AK156" s="541">
        <f>+(AK157*AK13)/1000000</f>
        <v>16.363907999999999</v>
      </c>
      <c r="AL156" s="164">
        <v>16.109000000000002</v>
      </c>
      <c r="AM156" s="106">
        <f>+(AM157*AM13)/1000000</f>
        <v>48.563855999999994</v>
      </c>
      <c r="AN156" s="153">
        <f>+AD156+AH156+AL156</f>
        <v>48.21721016</v>
      </c>
      <c r="AO156" s="70">
        <f>+(AO157*AO13)/1000000</f>
        <v>145.16369999999998</v>
      </c>
      <c r="AP156" s="136">
        <f>+AL156+AJ156</f>
        <v>145.82833534666671</v>
      </c>
      <c r="AQ156" s="541">
        <f>+(AQ157*AQ13)/1000000</f>
        <v>16.363907999999999</v>
      </c>
      <c r="AR156" s="164">
        <v>16.024999999999999</v>
      </c>
      <c r="AS156" s="70">
        <f>+(AS157*AS13)/1000000</f>
        <v>161.52760799999996</v>
      </c>
      <c r="AT156" s="136">
        <f>+AP156+AR156</f>
        <v>161.85333534666671</v>
      </c>
      <c r="AU156" s="541">
        <f>+(AU157*AU13)/1000000</f>
        <v>15.308172000000001</v>
      </c>
      <c r="AV156" s="164">
        <v>15.000999999999999</v>
      </c>
      <c r="AW156" s="70">
        <f>+(AW157*AW13)/1000000</f>
        <v>176.83577999999997</v>
      </c>
      <c r="AX156" s="136">
        <f>+AT156+AV156</f>
        <v>176.85433534666672</v>
      </c>
      <c r="AY156" s="541">
        <f>+(AY157*AY13)/1000000</f>
        <v>16.363907999999999</v>
      </c>
      <c r="AZ156" s="164">
        <v>16.246947980000002</v>
      </c>
      <c r="BA156" s="106">
        <f>+(BA157*BA13)/1000000</f>
        <v>48.035988000000003</v>
      </c>
      <c r="BB156" s="153">
        <f>+AR156+AV156+AZ156</f>
        <v>47.272947979999998</v>
      </c>
      <c r="BC156" s="800">
        <f>+(BC157*BC13)/1000000</f>
        <v>96.59984399999999</v>
      </c>
      <c r="BD156" s="568">
        <f>+AN156+BB156</f>
        <v>95.490158140000005</v>
      </c>
      <c r="BE156" s="70">
        <f>+(BE157*BE13)/1000000</f>
        <v>193.19968799999998</v>
      </c>
      <c r="BF156" s="136">
        <f>+AX156+AZ156</f>
        <v>193.1012833266667</v>
      </c>
      <c r="BG156" s="648"/>
      <c r="BH156" s="648"/>
      <c r="BI156" s="648"/>
      <c r="BJ156" s="648"/>
      <c r="BK156" s="648"/>
      <c r="BL156" s="648"/>
      <c r="BM156" s="648"/>
      <c r="BN156" s="648"/>
    </row>
    <row r="157" spans="1:66" x14ac:dyDescent="0.25">
      <c r="B157" s="2885" t="s">
        <v>221</v>
      </c>
      <c r="C157" s="1828" t="s">
        <v>216</v>
      </c>
      <c r="D157" s="4001">
        <v>310</v>
      </c>
      <c r="E157" s="3989">
        <f>+$D$157</f>
        <v>310</v>
      </c>
      <c r="F157" s="217">
        <f>+(F156*1000000)/F13</f>
        <v>312.77410555564308</v>
      </c>
      <c r="G157" s="3989">
        <f>+$D$157</f>
        <v>310</v>
      </c>
      <c r="H157" s="217">
        <f>+(H156*1000000)/H13</f>
        <v>312.67033066860466</v>
      </c>
      <c r="I157" s="3990">
        <f>+$D$157</f>
        <v>310</v>
      </c>
      <c r="J157" s="53">
        <f>+(J156*1000000)/J13</f>
        <v>312.72137706523915</v>
      </c>
      <c r="K157" s="3989">
        <f>+$D$157</f>
        <v>310</v>
      </c>
      <c r="L157" s="217">
        <f>+(L156*1000000)/L13</f>
        <v>312.96429520964637</v>
      </c>
      <c r="M157" s="3994">
        <f>+$D$157</f>
        <v>310</v>
      </c>
      <c r="N157" s="98">
        <f>+(N156*1000000)/N13</f>
        <v>312.80147003214239</v>
      </c>
      <c r="O157" s="3989">
        <f>+$D$157</f>
        <v>310</v>
      </c>
      <c r="P157" s="217">
        <f>+(P156*1000000)/P13</f>
        <v>312.26855883622488</v>
      </c>
      <c r="Q157" s="3990">
        <f>+$D$157</f>
        <v>310</v>
      </c>
      <c r="R157" s="53">
        <f>+(R156*1000000)/R13</f>
        <v>312.6661156129328</v>
      </c>
      <c r="S157" s="3989">
        <f>+$D$157</f>
        <v>310</v>
      </c>
      <c r="T157" s="2697">
        <f>+(T156*1000000)/T13</f>
        <v>312.61935143208439</v>
      </c>
      <c r="U157" s="3990">
        <f>+$D$157</f>
        <v>310</v>
      </c>
      <c r="V157" s="53">
        <f>+(V156*1000000)/V13</f>
        <v>312.65661423099294</v>
      </c>
      <c r="W157" s="3992">
        <f>+$D$157</f>
        <v>310</v>
      </c>
      <c r="X157" s="217">
        <f>+(X156*1000000)/X13</f>
        <v>313.08911990863515</v>
      </c>
      <c r="Y157" s="3994">
        <f>+$D$157</f>
        <v>310</v>
      </c>
      <c r="Z157" s="98">
        <f>+(Z156*1000000)/Z13</f>
        <v>312.65433966687146</v>
      </c>
      <c r="AA157" s="772">
        <f>+$D$157</f>
        <v>310</v>
      </c>
      <c r="AB157" s="546">
        <f>+(AB156*1000000)/AB13</f>
        <v>312.72747108775332</v>
      </c>
      <c r="AC157" s="4055">
        <f>+$D$157</f>
        <v>310</v>
      </c>
      <c r="AD157" s="2697">
        <f>+(AD156*1000000)/AD13</f>
        <v>312.45603360879852</v>
      </c>
      <c r="AE157" s="4054">
        <f>+$D$157</f>
        <v>310</v>
      </c>
      <c r="AF157" s="53">
        <f>+(AF156*1000000)/AF13</f>
        <v>312.68865584873214</v>
      </c>
      <c r="AG157" s="4168">
        <f>+$D$157</f>
        <v>310</v>
      </c>
      <c r="AH157" s="2697">
        <f>+(AH156*1000000)/AH13</f>
        <v>309.97964137499019</v>
      </c>
      <c r="AI157" s="4167">
        <f>+$D$157</f>
        <v>310</v>
      </c>
      <c r="AJ157" s="53">
        <f>+(AJ156*1000000)/AJ13</f>
        <v>312.35542855583446</v>
      </c>
      <c r="AK157" s="4289">
        <f>+$D$157</f>
        <v>310</v>
      </c>
      <c r="AL157" s="217">
        <f>+(AL156*1000000)/AL13</f>
        <v>305.1709897171263</v>
      </c>
      <c r="AM157" s="4293">
        <f>+$D$157</f>
        <v>310</v>
      </c>
      <c r="AN157" s="98">
        <f>+(AN156*1000000)/AN13</f>
        <v>309.17901975218081</v>
      </c>
      <c r="AO157" s="4288">
        <f>+$D$157</f>
        <v>310</v>
      </c>
      <c r="AP157" s="53">
        <f>+(AP156*1000000)/AP13</f>
        <v>311.54521900207556</v>
      </c>
      <c r="AQ157" s="4408">
        <f>+$D$157</f>
        <v>310</v>
      </c>
      <c r="AR157" s="217">
        <f>+(AR156*1000000)/AR13</f>
        <v>303.57968279948773</v>
      </c>
      <c r="AS157" s="4406">
        <f>+$D$157</f>
        <v>310</v>
      </c>
      <c r="AT157" s="53">
        <f>+(AT156*1000000)/AT13</f>
        <v>310.73795979374938</v>
      </c>
      <c r="AU157" s="4650">
        <f>+$D$157</f>
        <v>310</v>
      </c>
      <c r="AV157" s="217">
        <f>+(AV156*1000000)/AV13</f>
        <v>303.77957603298421</v>
      </c>
      <c r="AW157" s="4648">
        <f>+$D$157</f>
        <v>310</v>
      </c>
      <c r="AX157" s="53">
        <f>+(AX156*1000000)/AX13</f>
        <v>310.13539238779066</v>
      </c>
      <c r="AY157" s="5066">
        <f>+$D$157</f>
        <v>310</v>
      </c>
      <c r="AZ157" s="217">
        <f>+(AZ156*1000000)/AZ13</f>
        <v>307.58384853051433</v>
      </c>
      <c r="BA157" s="5065">
        <f>+$D$157</f>
        <v>310</v>
      </c>
      <c r="BB157" s="98">
        <f>+(BB156*1000000)/BB13</f>
        <v>305.00801333254185</v>
      </c>
      <c r="BC157" s="772">
        <f>+$D$157</f>
        <v>310</v>
      </c>
      <c r="BD157" s="546">
        <f>+(BD156*1000000)/BD13</f>
        <v>307.09997678020568</v>
      </c>
      <c r="BE157" s="5063">
        <f>+$D$157</f>
        <v>310</v>
      </c>
      <c r="BF157" s="53">
        <f>+(BF156*1000000)/BF13</f>
        <v>309.91908345236772</v>
      </c>
      <c r="BG157" s="648"/>
      <c r="BH157" s="648"/>
      <c r="BI157" s="648"/>
      <c r="BJ157" s="648"/>
      <c r="BK157" s="648"/>
      <c r="BL157" s="648"/>
      <c r="BM157" s="648"/>
      <c r="BN157" s="648"/>
    </row>
    <row r="158" spans="1:66" x14ac:dyDescent="0.25">
      <c r="B158" s="2884" t="s">
        <v>222</v>
      </c>
      <c r="C158" s="1828" t="s">
        <v>217</v>
      </c>
      <c r="D158" s="4001">
        <v>4225</v>
      </c>
      <c r="E158" s="3989">
        <f>+$D$158</f>
        <v>4225</v>
      </c>
      <c r="F158" s="217">
        <v>4238.8500000000004</v>
      </c>
      <c r="G158" s="3989">
        <f>+$D$158</f>
        <v>4225</v>
      </c>
      <c r="H158" s="217">
        <v>4221.75</v>
      </c>
      <c r="I158" s="3990">
        <f>+$D$158</f>
        <v>4225</v>
      </c>
      <c r="J158" s="53">
        <f>+((F158*F156)+(H156*H158))/J156</f>
        <v>4230.1628307668961</v>
      </c>
      <c r="K158" s="3989">
        <f>+$D$158</f>
        <v>4225</v>
      </c>
      <c r="L158" s="217">
        <v>4234.87</v>
      </c>
      <c r="M158" s="3994">
        <f>+$D$158</f>
        <v>4225</v>
      </c>
      <c r="N158" s="98">
        <f>+((F158*F156)+(H158*H156)+(L156*L158))/N156</f>
        <v>4231.7156476604096</v>
      </c>
      <c r="O158" s="3989">
        <f>+$D$158</f>
        <v>4225</v>
      </c>
      <c r="P158" s="217">
        <v>4238.2700000000004</v>
      </c>
      <c r="Q158" s="3990">
        <f>+$D$158</f>
        <v>4225</v>
      </c>
      <c r="R158" s="53">
        <f>+((N158*N156)+(P156*P158))/R156</f>
        <v>4233.3782746257002</v>
      </c>
      <c r="S158" s="3989">
        <f>+$D$158</f>
        <v>4225</v>
      </c>
      <c r="T158" s="2697">
        <v>4227</v>
      </c>
      <c r="U158" s="3990">
        <f>+$D$158</f>
        <v>4225</v>
      </c>
      <c r="V158" s="53">
        <f>+((R158*R156)+(T156*T158))/V156</f>
        <v>4232.0825136486947</v>
      </c>
      <c r="W158" s="3992">
        <f>+$D$158</f>
        <v>4225</v>
      </c>
      <c r="X158" s="217">
        <v>4242.59</v>
      </c>
      <c r="Y158" s="3994">
        <f>+$D$158</f>
        <v>4225</v>
      </c>
      <c r="Z158" s="98">
        <f>+((P158*P156)+(T158*T156)+(X156*X158))/Z156</f>
        <v>4235.872684163679</v>
      </c>
      <c r="AA158" s="772">
        <f>+$D$158</f>
        <v>4225</v>
      </c>
      <c r="AB158" s="546">
        <f>+((N158*N156)+(Z156*Z158))/AB156</f>
        <v>4233.8059325331988</v>
      </c>
      <c r="AC158" s="4055">
        <f>+$D$158</f>
        <v>4225</v>
      </c>
      <c r="AD158" s="2697">
        <v>4226.29</v>
      </c>
      <c r="AE158" s="4054">
        <f>+$D$158</f>
        <v>4225</v>
      </c>
      <c r="AF158" s="53">
        <f>+((AB158*AB156)+(AD156*AD158))/AF156</f>
        <v>4232.7319626207536</v>
      </c>
      <c r="AG158" s="4168">
        <f>+$D$158</f>
        <v>4225</v>
      </c>
      <c r="AH158" s="2697">
        <v>4244.95</v>
      </c>
      <c r="AI158" s="4167">
        <f>+$D$158</f>
        <v>4225</v>
      </c>
      <c r="AJ158" s="53">
        <f>+((AF158*AF156)+(AH156*AH158))/AJ156</f>
        <v>4234.2234335829144</v>
      </c>
      <c r="AK158" s="4289">
        <f>+$D$158</f>
        <v>4225</v>
      </c>
      <c r="AL158" s="217">
        <v>4222.97</v>
      </c>
      <c r="AM158" s="4293">
        <f>+$D$158</f>
        <v>4225</v>
      </c>
      <c r="AN158" s="98">
        <f>+((AD158*AD156)+(AH158*AH156)+(AL156*AL158))/AN156</f>
        <v>4231.3089386569027</v>
      </c>
      <c r="AO158" s="4288">
        <f>+$D$158</f>
        <v>4225</v>
      </c>
      <c r="AP158" s="53">
        <f>+((AL158*AL156)+(AJ156*AJ158))/AP156</f>
        <v>4232.9803174137824</v>
      </c>
      <c r="AQ158" s="4408">
        <f>+$D$158</f>
        <v>4225</v>
      </c>
      <c r="AR158" s="217">
        <v>4217.26</v>
      </c>
      <c r="AS158" s="4406">
        <f>+$D$158</f>
        <v>4225</v>
      </c>
      <c r="AT158" s="53">
        <f>+((AP158*AP156)+(AR156*AR158))/AT156</f>
        <v>4231.4238583762444</v>
      </c>
      <c r="AU158" s="4650">
        <f>+$D$158</f>
        <v>4225</v>
      </c>
      <c r="AV158" s="217">
        <v>4220</v>
      </c>
      <c r="AW158" s="4648">
        <f>+$D$158</f>
        <v>4225</v>
      </c>
      <c r="AX158" s="53">
        <f>+((AT158*AT156)+(AV156*AV158))/AX156</f>
        <v>4230.4548728030823</v>
      </c>
      <c r="AY158" s="5066">
        <f>+$D$158</f>
        <v>4225</v>
      </c>
      <c r="AZ158" s="217">
        <v>4218.34</v>
      </c>
      <c r="BA158" s="5065">
        <f>+$D$158</f>
        <v>4225</v>
      </c>
      <c r="BB158" s="98">
        <f>+((AR158*AR156)+(AV158*AV156)+(AZ156*AZ158))/BB156</f>
        <v>4218.5006555191612</v>
      </c>
      <c r="BC158" s="772">
        <f>+$D$158</f>
        <v>4225</v>
      </c>
      <c r="BD158" s="546">
        <f>+((AN158*AN156)+(BB156*BB158))/BD156</f>
        <v>4224.9681249617797</v>
      </c>
      <c r="BE158" s="5063">
        <f>+$D$158</f>
        <v>4225</v>
      </c>
      <c r="BF158" s="53">
        <f>+((AX158*AX156)+(AZ156*AZ158))/BF156</f>
        <v>4229.4355646720069</v>
      </c>
      <c r="BG158" s="648"/>
      <c r="BH158" s="648"/>
      <c r="BI158" s="648"/>
      <c r="BJ158" s="648"/>
      <c r="BK158" s="648"/>
      <c r="BL158" s="648"/>
      <c r="BM158" s="648"/>
      <c r="BN158" s="648"/>
    </row>
    <row r="159" spans="1:66" x14ac:dyDescent="0.25">
      <c r="B159" s="2884" t="s">
        <v>588</v>
      </c>
      <c r="C159" s="1828" t="s">
        <v>308</v>
      </c>
      <c r="D159" s="472">
        <v>12.932765999999996</v>
      </c>
      <c r="E159" s="939">
        <f>+(EMD!D20)/(E2*24)</f>
        <v>12.932765999999999</v>
      </c>
      <c r="F159" s="1669">
        <f>+(EMD!E20)/(F2*24)</f>
        <v>13.185069444444439</v>
      </c>
      <c r="G159" s="939">
        <f>+(EMD!F20)/(G2*24)</f>
        <v>12.932765999999999</v>
      </c>
      <c r="H159" s="1669">
        <f>+(EMD!G20)/(H2*24)</f>
        <v>13.248413978494623</v>
      </c>
      <c r="I159" s="70">
        <f>+(EMD!H20)/(I2*24)</f>
        <v>12.932766000000001</v>
      </c>
      <c r="J159" s="466">
        <f>+(EMD!I20)/(J2*24)</f>
        <v>13.217260928961746</v>
      </c>
      <c r="K159" s="939">
        <f>+(EMD!J20)/(K2*24)</f>
        <v>12.932765999999999</v>
      </c>
      <c r="L159" s="1669">
        <f>+(EMD!K20)/(L2*24)</f>
        <v>13.210972222222219</v>
      </c>
      <c r="M159" s="106">
        <f>+(EMD!L20)/(M2*24)</f>
        <v>12.932766000000001</v>
      </c>
      <c r="N159" s="143">
        <f>+(EMD!M20)/(N2*24)</f>
        <v>13.215187728937726</v>
      </c>
      <c r="O159" s="939">
        <f>+(EMD!N20)/(O2*24)</f>
        <v>12.932765999999999</v>
      </c>
      <c r="P159" s="1669">
        <f>+(EMD!O20)/(P2*24)</f>
        <v>13.240604838709677</v>
      </c>
      <c r="Q159" s="70">
        <f>+(EMD!P20)/(Q2*24)</f>
        <v>12.932766000000001</v>
      </c>
      <c r="R159" s="466">
        <f>+(EMD!Q20)/(R2*24)</f>
        <v>13.221646174863386</v>
      </c>
      <c r="S159" s="932">
        <f>+(EMD!R20)/(S2*24)</f>
        <v>12.932765999999999</v>
      </c>
      <c r="T159" s="2735">
        <f>+(EMD!S20)/(T2*24)</f>
        <v>13.210752688172045</v>
      </c>
      <c r="U159" s="70">
        <f>+(EMD!T20)/(U2*24)</f>
        <v>12.932766000000001</v>
      </c>
      <c r="V159" s="134">
        <f>+(EMD!U20)/(V2*24)</f>
        <v>13.219438997821351</v>
      </c>
      <c r="W159" s="69">
        <f>+(EMD!V20)/(W2*24)</f>
        <v>12.932765999999999</v>
      </c>
      <c r="X159" s="1669">
        <f>+(EMD!W20)/(X2*24)</f>
        <v>13.160666666666668</v>
      </c>
      <c r="Y159" s="106">
        <f>+(EMD!X20)/(Y2*24)</f>
        <v>12.932766000000001</v>
      </c>
      <c r="Z159" s="467">
        <f>+((P159*P2)+(T159*T2)+(X159*X2))/Z2</f>
        <v>13.204479166666669</v>
      </c>
      <c r="AA159" s="800">
        <f>+(EMD!Z20)/(AA2*24)</f>
        <v>12.932766000000001</v>
      </c>
      <c r="AB159" s="565">
        <f>+((N159*N2)+(Z159*Z2))/AB2</f>
        <v>13.209804189435335</v>
      </c>
      <c r="AC159" s="932">
        <f>+(EMD!AB20)/(AC2*24)</f>
        <v>12.932765999999999</v>
      </c>
      <c r="AD159" s="2735">
        <f>+(EMD!AC20)/(AD2*24)</f>
        <v>13.19236559139785</v>
      </c>
      <c r="AE159" s="70">
        <f>+(EMD!AD20)/(AE2*24)</f>
        <v>12.932766000000001</v>
      </c>
      <c r="AF159" s="134">
        <f>+(EMD!AE20)/(AF2*24)</f>
        <v>13.207278037383178</v>
      </c>
      <c r="AG159" s="932">
        <f>+(EMD!AF20)/(AG2*24)</f>
        <v>12.932765999999999</v>
      </c>
      <c r="AH159" s="2735">
        <f>+(EMD!AG20)/(AH2*24)</f>
        <v>13.217916666666666</v>
      </c>
      <c r="AI159" s="70">
        <f>+(EMD!AH20)/(AI2*24)</f>
        <v>12.932766000000001</v>
      </c>
      <c r="AJ159" s="134">
        <f>+(EMD!AI20)/(AJ2*24)</f>
        <v>13.208586065573769</v>
      </c>
      <c r="AK159" s="69">
        <f>+(EMD!AJ20)/(AK2*24)</f>
        <v>12.932765999999999</v>
      </c>
      <c r="AL159" s="1669">
        <f>+(EMD!AK20)/(AL2*24)</f>
        <v>13.212567204301076</v>
      </c>
      <c r="AM159" s="106">
        <f>+(EMD!AL20)/(AM2*24)</f>
        <v>12.932766000000001</v>
      </c>
      <c r="AN159" s="144">
        <f>+(EMD!AM20)/(AN2*24)</f>
        <v>13.207504528985506</v>
      </c>
      <c r="AO159" s="70">
        <f>+(EMD!AN20)/(AO2*24)</f>
        <v>12.932766000000001</v>
      </c>
      <c r="AP159" s="136">
        <f>+(EMD!AO20)/(AP2*24)</f>
        <v>13.209034848484848</v>
      </c>
      <c r="AQ159" s="69">
        <f>+(EMD!AP20)/(AQ2*24)</f>
        <v>12.932765999999999</v>
      </c>
      <c r="AR159" s="1669">
        <f>+(EMD!AQ20)/(AR2*24)</f>
        <v>13.178629032258067</v>
      </c>
      <c r="AS159" s="70">
        <f>+(EMD!AR20)/(AS2*24)</f>
        <v>12.932766000000001</v>
      </c>
      <c r="AT159" s="134">
        <f>+(EMD!AS20)/(AT2*24)</f>
        <v>13.205954520697167</v>
      </c>
      <c r="AU159" s="69">
        <f>+(EMD!AT20)/(AU2*24)</f>
        <v>12.932766000000001</v>
      </c>
      <c r="AV159" s="1669">
        <f>+(EMD!AU20)/(AV2*24)</f>
        <v>13.237068965517242</v>
      </c>
      <c r="AW159" s="70">
        <f>+(EMD!AV20)/(AW2*24)</f>
        <v>12.932766000000001</v>
      </c>
      <c r="AX159" s="134">
        <f>+(EMD!AW20)/(AX2*24)</f>
        <v>13.208648009950249</v>
      </c>
      <c r="AY159" s="69">
        <f>+(EMD!AX20)/(AY2*24)</f>
        <v>12.932765999999999</v>
      </c>
      <c r="AZ159" s="1669">
        <f>+(EMD!AY20)/(AZ2*24)</f>
        <v>13.267069892473119</v>
      </c>
      <c r="BA159" s="106">
        <f>+(EMD!AZ20)/(BA2*24)</f>
        <v>12.932765999999999</v>
      </c>
      <c r="BB159" s="144">
        <f>+(EMD!BA20)/(BB2*24)</f>
        <v>13.227380952380953</v>
      </c>
      <c r="BC159" s="800">
        <f>+(EMD!BB20)/(BC2*24)</f>
        <v>12.932766000000001</v>
      </c>
      <c r="BD159" s="568">
        <f>+(EMD!BC20)/(BD2*24)</f>
        <v>13.217388433515483</v>
      </c>
      <c r="BE159" s="70">
        <f>+(EMD!BD20)/(BE2*24)</f>
        <v>12.932766000000001</v>
      </c>
      <c r="BF159" s="136">
        <f>+(EMD!BE20)/(BF2*24)</f>
        <v>13.21359631147541</v>
      </c>
      <c r="BG159" s="648"/>
      <c r="BH159" s="648"/>
      <c r="BI159" s="648"/>
      <c r="BJ159" s="648"/>
      <c r="BK159" s="648"/>
      <c r="BL159" s="648"/>
      <c r="BM159" s="648"/>
      <c r="BN159" s="648"/>
    </row>
    <row r="160" spans="1:66" x14ac:dyDescent="0.25">
      <c r="B160" s="2923" t="s">
        <v>807</v>
      </c>
      <c r="C160" s="1828" t="s">
        <v>218</v>
      </c>
      <c r="D160" s="4001">
        <f>1.85212131409887*366*24*1000</f>
        <v>16269033.623044474</v>
      </c>
      <c r="E160" s="3989">
        <f>+'POWER DISTRIBUTION'!I36</f>
        <v>1333527.3461511885</v>
      </c>
      <c r="F160" s="591">
        <f>+'POWER DISTRIBUTION'!J36</f>
        <v>1215429</v>
      </c>
      <c r="G160" s="3989">
        <f>+'POWER DISTRIBUTION'!K36</f>
        <v>1377978.2576895615</v>
      </c>
      <c r="H160" s="591">
        <f>+'POWER DISTRIBUTION'!L36</f>
        <v>1336778.9999999995</v>
      </c>
      <c r="I160" s="3990">
        <f>+'POWER DISTRIBUTION'!M36</f>
        <v>2711505.6038407497</v>
      </c>
      <c r="J160" s="53">
        <f>+'POWER DISTRIBUTION'!N36</f>
        <v>2552207.9999999995</v>
      </c>
      <c r="K160" s="3989">
        <f>+'POWER DISTRIBUTION'!O36</f>
        <v>1333527.3461511885</v>
      </c>
      <c r="L160" s="591">
        <f>+'POWER DISTRIBUTION'!P36</f>
        <v>1324411.0000000007</v>
      </c>
      <c r="M160" s="3994">
        <f>+'POWER DISTRIBUTION'!Q36</f>
        <v>4045032.9499919382</v>
      </c>
      <c r="N160" s="155">
        <f>+L160+H160+F160</f>
        <v>3876619</v>
      </c>
      <c r="O160" s="3989">
        <f>+'POWER DISTRIBUTION'!S36</f>
        <v>1377978.2576895615</v>
      </c>
      <c r="P160" s="591">
        <f>+'POWER DISTRIBUTION'!T36</f>
        <v>1424906.0000000002</v>
      </c>
      <c r="Q160" s="3990">
        <f>+'POWER DISTRIBUTION'!U36</f>
        <v>5423011.2076814994</v>
      </c>
      <c r="R160" s="53">
        <f>+'POWER DISTRIBUTION'!V36</f>
        <v>5301525</v>
      </c>
      <c r="S160" s="3993">
        <f>+'POWER DISTRIBUTION'!W36</f>
        <v>1377978.2576895615</v>
      </c>
      <c r="T160" s="2729">
        <f>+'POWER DISTRIBUTION'!X36</f>
        <v>1358059.9999999998</v>
      </c>
      <c r="U160" s="3990">
        <f>+'POWER DISTRIBUTION'!Y36</f>
        <v>6800989.4653710611</v>
      </c>
      <c r="V160" s="53">
        <f>+'POWER DISTRIBUTION'!Z36</f>
        <v>6659585</v>
      </c>
      <c r="W160" s="2362">
        <f>+'POWER DISTRIBUTION'!AA36</f>
        <v>1333527.3461511885</v>
      </c>
      <c r="X160" s="591">
        <f>+'POWER DISTRIBUTION'!AB36</f>
        <v>1334841</v>
      </c>
      <c r="Y160" s="3994">
        <f>+'POWER DISTRIBUTION'!AC36</f>
        <v>4089483.8615303114</v>
      </c>
      <c r="Z160" s="113">
        <f>+P160+T160+X160</f>
        <v>4117807</v>
      </c>
      <c r="AA160" s="772">
        <f>+'POWER DISTRIBUTION'!AE36</f>
        <v>8134516.8115222491</v>
      </c>
      <c r="AB160" s="546">
        <f>+N160+Z160</f>
        <v>7994426</v>
      </c>
      <c r="AC160" s="4056">
        <f>+'POWER DISTRIBUTION'!AG36</f>
        <v>1377978.2576895615</v>
      </c>
      <c r="AD160" s="2729">
        <f>+'POWER DISTRIBUTION'!AH36</f>
        <v>1365550.9999999991</v>
      </c>
      <c r="AE160" s="4054">
        <f>+'POWER DISTRIBUTION'!AI36</f>
        <v>9512495.0692118108</v>
      </c>
      <c r="AF160" s="53">
        <f>+'POWER DISTRIBUTION'!AJ36</f>
        <v>9359977</v>
      </c>
      <c r="AG160" s="4166">
        <f>+'POWER DISTRIBUTION'!AK36</f>
        <v>1333527.3461511885</v>
      </c>
      <c r="AH160" s="2729">
        <f>+'POWER DISTRIBUTION'!AL36</f>
        <v>1229188.0000000005</v>
      </c>
      <c r="AI160" s="4167">
        <f>+'POWER DISTRIBUTION'!AM36</f>
        <v>10846022.415362999</v>
      </c>
      <c r="AJ160" s="53">
        <f>+'POWER DISTRIBUTION'!AN36</f>
        <v>10589165</v>
      </c>
      <c r="AK160" s="2362">
        <f>+'POWER DISTRIBUTION'!AO36</f>
        <v>1377978.2576895615</v>
      </c>
      <c r="AL160" s="591">
        <f>+'POWER DISTRIBUTION'!AP36</f>
        <v>1188366.0000000005</v>
      </c>
      <c r="AM160" s="4293">
        <f>+'POWER DISTRIBUTION'!AQ36</f>
        <v>4089483.8615303114</v>
      </c>
      <c r="AN160" s="4293">
        <f>+'POWER DISTRIBUTION'!AR36</f>
        <v>3783105</v>
      </c>
      <c r="AO160" s="4288">
        <f>+'POWER DISTRIBUTION'!AS36</f>
        <v>12224000.673052561</v>
      </c>
      <c r="AP160" s="53">
        <f>+'POWER DISTRIBUTION'!AT36</f>
        <v>11777531</v>
      </c>
      <c r="AQ160" s="2362">
        <f>+'POWER DISTRIBUTION'!AU36</f>
        <v>1377978.2576895615</v>
      </c>
      <c r="AR160" s="591">
        <f>+'POWER DISTRIBUTION'!AV36</f>
        <v>1186833.9999999995</v>
      </c>
      <c r="AS160" s="4406">
        <f>+'POWER DISTRIBUTION'!AW36</f>
        <v>13601978.930742122</v>
      </c>
      <c r="AT160" s="53">
        <f>+'POWER DISTRIBUTION'!AX36</f>
        <v>12964365</v>
      </c>
      <c r="AU160" s="2362">
        <f>+'POWER DISTRIBUTION'!AY36</f>
        <v>1289076.4346128153</v>
      </c>
      <c r="AV160" s="591">
        <f>+'POWER DISTRIBUTION'!AZ36</f>
        <v>1176336.9999999995</v>
      </c>
      <c r="AW160" s="4648">
        <f>+'POWER DISTRIBUTION'!BA36</f>
        <v>14891055.365354937</v>
      </c>
      <c r="AX160" s="53">
        <f>+'POWER DISTRIBUTION'!BB36</f>
        <v>14140702</v>
      </c>
      <c r="AY160" s="2362">
        <f>+'POWER DISTRIBUTION'!BC36</f>
        <v>1377978.2576895615</v>
      </c>
      <c r="AZ160" s="591">
        <f>+'POWER DISTRIBUTION'!BD36</f>
        <v>1262054.0000000009</v>
      </c>
      <c r="BA160" s="5254">
        <f>+'POWER DISTRIBUTION'!BE36</f>
        <v>4045032.9499919387</v>
      </c>
      <c r="BB160" s="98">
        <f>+'POWER DISTRIBUTION'!BF36</f>
        <v>3625225</v>
      </c>
      <c r="BC160" s="772">
        <f>+'POWER DISTRIBUTION'!BG36</f>
        <v>8134516.8115222501</v>
      </c>
      <c r="BD160" s="546">
        <f>+'POWER DISTRIBUTION'!BH36</f>
        <v>7408330</v>
      </c>
      <c r="BE160" s="5253">
        <f>+'POWER DISTRIBUTION'!BI36</f>
        <v>16269033.623044498</v>
      </c>
      <c r="BF160" s="53">
        <f>+'POWER DISTRIBUTION'!BJ36</f>
        <v>15402756</v>
      </c>
      <c r="BG160" s="648"/>
      <c r="BH160" s="648"/>
      <c r="BI160" s="648"/>
      <c r="BJ160" s="648"/>
      <c r="BK160" s="648"/>
      <c r="BL160" s="648"/>
      <c r="BM160" s="648"/>
      <c r="BN160" s="648"/>
    </row>
    <row r="161" spans="1:66" x14ac:dyDescent="0.25">
      <c r="B161" s="2923" t="s">
        <v>808</v>
      </c>
      <c r="C161" s="1828" t="s">
        <v>219</v>
      </c>
      <c r="D161" s="472">
        <f t="shared" ref="D161:AB161" si="720">+D160/D13</f>
        <v>26.104599212105288</v>
      </c>
      <c r="E161" s="939">
        <f t="shared" si="720"/>
        <v>26.104599212105327</v>
      </c>
      <c r="F161" s="164">
        <f t="shared" si="720"/>
        <v>23.760752099591809</v>
      </c>
      <c r="G161" s="939">
        <f t="shared" ref="G161:H161" si="721">+G160/G13</f>
        <v>26.104599212105327</v>
      </c>
      <c r="H161" s="164">
        <f t="shared" si="721"/>
        <v>25.299384538517437</v>
      </c>
      <c r="I161" s="70">
        <f t="shared" si="720"/>
        <v>26.104599212105327</v>
      </c>
      <c r="J161" s="136">
        <f t="shared" si="720"/>
        <v>24.542538214772016</v>
      </c>
      <c r="K161" s="939">
        <f t="shared" si="720"/>
        <v>26.104599212105327</v>
      </c>
      <c r="L161" s="164">
        <f t="shared" si="720"/>
        <v>25.89127085907322</v>
      </c>
      <c r="M161" s="106">
        <f t="shared" si="720"/>
        <v>26.104599212105327</v>
      </c>
      <c r="N161" s="144">
        <f t="shared" si="720"/>
        <v>24.987231217449594</v>
      </c>
      <c r="O161" s="939">
        <f t="shared" ref="O161:P161" si="722">+O160/O13</f>
        <v>26.104599212105327</v>
      </c>
      <c r="P161" s="164">
        <f t="shared" si="722"/>
        <v>26.976024777930078</v>
      </c>
      <c r="Q161" s="70">
        <f t="shared" si="720"/>
        <v>26.104599212105327</v>
      </c>
      <c r="R161" s="136">
        <f t="shared" si="720"/>
        <v>25.492366030470482</v>
      </c>
      <c r="S161" s="939">
        <f t="shared" si="720"/>
        <v>26.104599212105327</v>
      </c>
      <c r="T161" s="2701">
        <f t="shared" si="720"/>
        <v>25.610436829122943</v>
      </c>
      <c r="U161" s="70">
        <f t="shared" si="720"/>
        <v>26.104599212105327</v>
      </c>
      <c r="V161" s="136">
        <f t="shared" si="720"/>
        <v>25.516355240451077</v>
      </c>
      <c r="W161" s="541">
        <f t="shared" si="720"/>
        <v>26.104599212105327</v>
      </c>
      <c r="X161" s="164">
        <f t="shared" si="720"/>
        <v>26.103947152277478</v>
      </c>
      <c r="Y161" s="106">
        <f t="shared" si="720"/>
        <v>26.104599212105331</v>
      </c>
      <c r="Z161" s="144">
        <f t="shared" si="720"/>
        <v>26.23067642389945</v>
      </c>
      <c r="AA161" s="800">
        <f t="shared" si="720"/>
        <v>26.104599212105327</v>
      </c>
      <c r="AB161" s="568">
        <f t="shared" si="720"/>
        <v>25.612619678311876</v>
      </c>
      <c r="AC161" s="939">
        <f t="shared" ref="AC161:AF161" si="723">+AC160/AC13</f>
        <v>26.104599212105327</v>
      </c>
      <c r="AD161" s="2701">
        <f t="shared" si="723"/>
        <v>26.219451783355332</v>
      </c>
      <c r="AE161" s="70">
        <f t="shared" si="723"/>
        <v>26.104599212105327</v>
      </c>
      <c r="AF161" s="136">
        <f t="shared" si="723"/>
        <v>25.699395952884331</v>
      </c>
      <c r="AG161" s="939">
        <f t="shared" ref="AG161:AN161" si="724">+AG160/AG13</f>
        <v>26.104599212105327</v>
      </c>
      <c r="AH161" s="2701">
        <f t="shared" si="724"/>
        <v>24.062093806279861</v>
      </c>
      <c r="AI161" s="70">
        <f t="shared" si="724"/>
        <v>26.104599212105327</v>
      </c>
      <c r="AJ161" s="136">
        <f t="shared" si="724"/>
        <v>25.497996599999041</v>
      </c>
      <c r="AK161" s="541">
        <f t="shared" si="724"/>
        <v>26.104599212105327</v>
      </c>
      <c r="AL161" s="164">
        <f t="shared" si="724"/>
        <v>22.512559958171373</v>
      </c>
      <c r="AM161" s="106">
        <f t="shared" si="724"/>
        <v>26.104599212105331</v>
      </c>
      <c r="AN161" s="144">
        <f t="shared" si="724"/>
        <v>24.258074899777114</v>
      </c>
      <c r="AO161" s="70">
        <f t="shared" ref="AO161:AT161" si="725">+AO160/AO13</f>
        <v>26.104599212105327</v>
      </c>
      <c r="AP161" s="136">
        <f t="shared" si="725"/>
        <v>25.161320438693494</v>
      </c>
      <c r="AQ161" s="541">
        <f t="shared" si="725"/>
        <v>26.104599212105327</v>
      </c>
      <c r="AR161" s="164">
        <f t="shared" si="725"/>
        <v>22.483537551054422</v>
      </c>
      <c r="AS161" s="70">
        <f t="shared" si="725"/>
        <v>26.104599212105327</v>
      </c>
      <c r="AT161" s="136">
        <f t="shared" si="725"/>
        <v>24.889943240854301</v>
      </c>
      <c r="AU161" s="541">
        <f t="shared" ref="AU161:AX161" si="726">+AU160/AU13</f>
        <v>26.104599212105324</v>
      </c>
      <c r="AV161" s="164">
        <f t="shared" si="726"/>
        <v>23.821555571756043</v>
      </c>
      <c r="AW161" s="70">
        <f t="shared" si="726"/>
        <v>26.104599212105327</v>
      </c>
      <c r="AX161" s="136">
        <f t="shared" si="726"/>
        <v>24.79742526420047</v>
      </c>
      <c r="AY161" s="541">
        <f t="shared" ref="AY161:BF161" si="727">+AY160/AY13</f>
        <v>26.104599212105327</v>
      </c>
      <c r="AZ161" s="164">
        <f t="shared" si="727"/>
        <v>23.892944499557014</v>
      </c>
      <c r="BA161" s="106">
        <f t="shared" si="727"/>
        <v>26.104599212105331</v>
      </c>
      <c r="BB161" s="144">
        <f t="shared" si="727"/>
        <v>23.390178154348817</v>
      </c>
      <c r="BC161" s="800">
        <f t="shared" si="727"/>
        <v>26.104599212105331</v>
      </c>
      <c r="BD161" s="568">
        <f t="shared" si="727"/>
        <v>23.825470763641793</v>
      </c>
      <c r="BE161" s="70">
        <f t="shared" si="727"/>
        <v>26.104599212105327</v>
      </c>
      <c r="BF161" s="136">
        <f t="shared" si="727"/>
        <v>24.720747267562238</v>
      </c>
      <c r="BG161" s="648"/>
      <c r="BH161" s="648"/>
      <c r="BI161" s="648"/>
      <c r="BJ161" s="648"/>
      <c r="BK161" s="648"/>
      <c r="BL161" s="648"/>
      <c r="BM161" s="648"/>
      <c r="BN161" s="648"/>
    </row>
    <row r="162" spans="1:66" ht="15.75" thickBot="1" x14ac:dyDescent="0.3">
      <c r="A162" s="2060">
        <v>0.77013299999999996</v>
      </c>
      <c r="B162" s="2924" t="s">
        <v>223</v>
      </c>
      <c r="C162" s="1854" t="s">
        <v>1139</v>
      </c>
      <c r="D162" s="1883">
        <v>0.77</v>
      </c>
      <c r="E162" s="957">
        <f>+$D$162</f>
        <v>0.77</v>
      </c>
      <c r="F162" s="464">
        <v>0.69799999999999995</v>
      </c>
      <c r="G162" s="957">
        <f>+$D$162</f>
        <v>0.77</v>
      </c>
      <c r="H162" s="464">
        <v>0.69899999999999995</v>
      </c>
      <c r="I162" s="470">
        <f>+$D$162</f>
        <v>0.77</v>
      </c>
      <c r="J162" s="468">
        <f>+((F162*F13)+(H162*H13))/J13</f>
        <v>0.69850810453192191</v>
      </c>
      <c r="K162" s="957">
        <f>+$D$162</f>
        <v>0.77</v>
      </c>
      <c r="L162" s="464">
        <v>0.69899999999999995</v>
      </c>
      <c r="M162" s="471">
        <f>+$D$162</f>
        <v>0.77</v>
      </c>
      <c r="N162" s="2127">
        <f>+((F162*F13)+(H162*H13)+(L162*L13))/N13</f>
        <v>0.6986702882483371</v>
      </c>
      <c r="O162" s="957">
        <f>+$D$162</f>
        <v>0.77</v>
      </c>
      <c r="P162" s="464">
        <v>0.70199999999999996</v>
      </c>
      <c r="Q162" s="470">
        <f>+$D$162</f>
        <v>0.77</v>
      </c>
      <c r="R162" s="468">
        <f>+((N162*N13)+(P162*P13))/R13-0.001</f>
        <v>0.6985160036390704</v>
      </c>
      <c r="S162" s="957">
        <f>+$D$162</f>
        <v>0.77</v>
      </c>
      <c r="T162" s="2752">
        <v>0.69499999999999995</v>
      </c>
      <c r="U162" s="470">
        <f>+$D$162</f>
        <v>0.77</v>
      </c>
      <c r="V162" s="2891">
        <f>+((R162*R13)+(T162*T13))/V13</f>
        <v>0.69780163437458809</v>
      </c>
      <c r="W162" s="2887">
        <f>+$D$162</f>
        <v>0.77</v>
      </c>
      <c r="X162" s="475">
        <v>0.69799999999999995</v>
      </c>
      <c r="Y162" s="471">
        <f>+$D$162</f>
        <v>0.77</v>
      </c>
      <c r="Z162" s="469">
        <f>+((P162*P13)+(T162*T13)+(X162*X13))/Z13</f>
        <v>0.69833252985646976</v>
      </c>
      <c r="AA162" s="579">
        <f>+$D$162</f>
        <v>0.77</v>
      </c>
      <c r="AB162" s="4004">
        <f>+((N162*N13)+(Z162*Z13))/AB13</f>
        <v>0.69850041329145307</v>
      </c>
      <c r="AC162" s="957">
        <f>+$D$162</f>
        <v>0.77</v>
      </c>
      <c r="AD162" s="2752">
        <v>0.70699999999999996</v>
      </c>
      <c r="AE162" s="470">
        <f>+$D$162</f>
        <v>0.77</v>
      </c>
      <c r="AF162" s="2891">
        <f>+((AB162*AB13)+(AD162*AD13))/AF13</f>
        <v>0.69971584415584409</v>
      </c>
      <c r="AG162" s="957">
        <f>+$D$162</f>
        <v>0.77</v>
      </c>
      <c r="AH162" s="2752">
        <v>0.69899999999999995</v>
      </c>
      <c r="AI162" s="470">
        <f>+$D$162</f>
        <v>0.77</v>
      </c>
      <c r="AJ162" s="2891">
        <f>+((AF162*AF13)+(AH162*AH13))/AJ13</f>
        <v>0.69962779043280166</v>
      </c>
      <c r="AK162" s="2887">
        <f>+$D$162</f>
        <v>0.77</v>
      </c>
      <c r="AL162" s="475">
        <v>0.69799999999999995</v>
      </c>
      <c r="AM162" s="471">
        <f>+$D$162</f>
        <v>0.77</v>
      </c>
      <c r="AN162" s="469">
        <f>+((AD162*AD13)+(AH162*AH13)+(AL162*AL13))/AN13</f>
        <v>0.70133318627991603</v>
      </c>
      <c r="AO162" s="470">
        <f>+$D$162</f>
        <v>0.77</v>
      </c>
      <c r="AP162" s="2891">
        <f>+((AL162*AL13)+(AJ162*AJ13))/AP13</f>
        <v>0.69944421988682293</v>
      </c>
      <c r="AQ162" s="2887">
        <f>+$D$162</f>
        <v>0.77</v>
      </c>
      <c r="AR162" s="475">
        <v>0.69499999999999995</v>
      </c>
      <c r="AS162" s="470">
        <f>+$D$162</f>
        <v>0.77</v>
      </c>
      <c r="AT162" s="2891">
        <f>+((AP162*AP13)+(AR162*AR13))/AT13</f>
        <v>0.69899382491827089</v>
      </c>
      <c r="AU162" s="2887">
        <f>+$D$162</f>
        <v>0.77</v>
      </c>
      <c r="AV162" s="475">
        <v>0.69899999999999995</v>
      </c>
      <c r="AW162" s="470">
        <f>+$D$162</f>
        <v>0.77</v>
      </c>
      <c r="AX162" s="2891">
        <f>+((AT162*AT13)+(AV162*AV13))/AX13</f>
        <v>0.69899435965494361</v>
      </c>
      <c r="AY162" s="2887">
        <f>+$D$162</f>
        <v>0.77</v>
      </c>
      <c r="AZ162" s="475">
        <v>0.7</v>
      </c>
      <c r="BA162" s="471">
        <f>+$D$162</f>
        <v>0.77</v>
      </c>
      <c r="BB162" s="469">
        <f>+((AR162*AR13)+(AV162*AV13)+(AZ162*AZ13))/BB13</f>
        <v>0.69797847075796238</v>
      </c>
      <c r="BC162" s="579">
        <f>+$D$162</f>
        <v>0.77</v>
      </c>
      <c r="BD162" s="4004">
        <f>+((AN162*AN13)+(BB162*BB13))/BD13</f>
        <v>0.69966102444960721</v>
      </c>
      <c r="BE162" s="470">
        <f>+$D$162</f>
        <v>0.77</v>
      </c>
      <c r="BF162" s="2891">
        <f>+((AX162*AX13)+(AZ162*AZ13))/BF13</f>
        <v>0.69907961352657</v>
      </c>
      <c r="BG162" s="648"/>
      <c r="BH162" s="648"/>
      <c r="BI162" s="648"/>
      <c r="BJ162" s="648"/>
      <c r="BK162" s="648"/>
      <c r="BL162" s="648"/>
      <c r="BM162" s="648"/>
      <c r="BN162" s="648"/>
    </row>
    <row r="163" spans="1:66" s="183" customFormat="1" ht="19.5" thickBot="1" x14ac:dyDescent="0.3">
      <c r="A163" s="182"/>
      <c r="B163" s="2890" t="s">
        <v>212</v>
      </c>
      <c r="C163" s="2864"/>
      <c r="D163" s="2864"/>
      <c r="E163" s="2864"/>
      <c r="F163" s="2864"/>
      <c r="G163" s="2864"/>
      <c r="H163" s="2864"/>
      <c r="I163" s="2864"/>
      <c r="J163" s="2864"/>
      <c r="K163" s="2864"/>
      <c r="L163" s="2864"/>
      <c r="M163" s="2864"/>
      <c r="N163" s="2864"/>
      <c r="O163" s="2864"/>
      <c r="P163" s="2864"/>
      <c r="Q163" s="2864"/>
      <c r="R163" s="2864"/>
      <c r="S163" s="2864"/>
      <c r="T163" s="2864"/>
      <c r="U163" s="2864"/>
      <c r="V163" s="2865"/>
      <c r="W163" s="2893"/>
      <c r="X163" s="2893"/>
      <c r="Y163" s="2893"/>
      <c r="Z163" s="2893"/>
      <c r="AA163" s="4003"/>
      <c r="AB163" s="2894"/>
      <c r="AC163" s="2864"/>
      <c r="AD163" s="2864"/>
      <c r="AE163" s="2864"/>
      <c r="AF163" s="2865"/>
      <c r="AG163" s="2864"/>
      <c r="AH163" s="2864"/>
      <c r="AI163" s="2864"/>
      <c r="AJ163" s="2865"/>
      <c r="AK163" s="2893"/>
      <c r="AL163" s="2893"/>
      <c r="AM163" s="2893"/>
      <c r="AN163" s="2893"/>
      <c r="AO163" s="2864"/>
      <c r="AP163" s="2865"/>
      <c r="AQ163" s="2893"/>
      <c r="AR163" s="2893"/>
      <c r="AS163" s="2864"/>
      <c r="AT163" s="2865"/>
      <c r="AU163" s="2893"/>
      <c r="AV163" s="2893"/>
      <c r="AW163" s="2864"/>
      <c r="AX163" s="2865"/>
      <c r="AY163" s="2893"/>
      <c r="AZ163" s="2893"/>
      <c r="BA163" s="2893"/>
      <c r="BB163" s="2893"/>
      <c r="BC163" s="4003"/>
      <c r="BD163" s="2894"/>
      <c r="BE163" s="2864"/>
      <c r="BF163" s="2865"/>
      <c r="BG163" s="648"/>
      <c r="BH163" s="648"/>
      <c r="BI163" s="648"/>
      <c r="BJ163" s="648"/>
      <c r="BK163" s="648"/>
      <c r="BL163" s="648"/>
      <c r="BM163" s="648"/>
      <c r="BN163" s="648"/>
    </row>
    <row r="164" spans="1:66" s="183" customFormat="1" ht="21" thickBot="1" x14ac:dyDescent="0.3">
      <c r="A164" s="182"/>
      <c r="B164" s="2936" t="s">
        <v>200</v>
      </c>
      <c r="C164" s="2864"/>
      <c r="D164" s="2864"/>
      <c r="E164" s="2864"/>
      <c r="F164" s="2864"/>
      <c r="G164" s="2864"/>
      <c r="H164" s="2864"/>
      <c r="I164" s="2864"/>
      <c r="J164" s="2864"/>
      <c r="K164" s="2864"/>
      <c r="L164" s="2864"/>
      <c r="M164" s="2864"/>
      <c r="N164" s="2864"/>
      <c r="O164" s="2864"/>
      <c r="P164" s="2864"/>
      <c r="Q164" s="2864"/>
      <c r="R164" s="2864"/>
      <c r="S164" s="2864"/>
      <c r="T164" s="2864"/>
      <c r="U164" s="2864"/>
      <c r="V164" s="2865"/>
      <c r="W164" s="2864"/>
      <c r="X164" s="2864"/>
      <c r="Y164" s="2864"/>
      <c r="Z164" s="2864"/>
      <c r="AA164" s="3816"/>
      <c r="AB164" s="2865"/>
      <c r="AC164" s="2864"/>
      <c r="AD164" s="2864"/>
      <c r="AE164" s="2864"/>
      <c r="AF164" s="2865"/>
      <c r="AG164" s="2864"/>
      <c r="AH164" s="2864"/>
      <c r="AI164" s="2864"/>
      <c r="AJ164" s="2865"/>
      <c r="AK164" s="2864"/>
      <c r="AL164" s="2864"/>
      <c r="AM164" s="2864"/>
      <c r="AN164" s="2864"/>
      <c r="AO164" s="2864"/>
      <c r="AP164" s="2865"/>
      <c r="AQ164" s="2864"/>
      <c r="AR164" s="2864"/>
      <c r="AS164" s="2864"/>
      <c r="AT164" s="2865"/>
      <c r="AU164" s="2864"/>
      <c r="AV164" s="2864"/>
      <c r="AW164" s="2864"/>
      <c r="AX164" s="2865"/>
      <c r="AY164" s="2864"/>
      <c r="AZ164" s="2864"/>
      <c r="BA164" s="2864"/>
      <c r="BB164" s="2864"/>
      <c r="BC164" s="3816"/>
      <c r="BD164" s="2865"/>
      <c r="BE164" s="2864"/>
      <c r="BF164" s="2865"/>
      <c r="BG164" s="648"/>
      <c r="BH164" s="648"/>
      <c r="BI164" s="648"/>
      <c r="BJ164" s="648"/>
      <c r="BK164" s="648"/>
      <c r="BL164" s="648"/>
      <c r="BM164" s="648"/>
      <c r="BN164" s="648"/>
    </row>
    <row r="165" spans="1:66" x14ac:dyDescent="0.25">
      <c r="B165" s="2917" t="s">
        <v>198</v>
      </c>
      <c r="C165" s="1684" t="s">
        <v>51</v>
      </c>
      <c r="D165" s="2918">
        <f>+D109/D119*100</f>
        <v>67.043488470343249</v>
      </c>
      <c r="E165" s="930">
        <f>+E109/E119*100</f>
        <v>67.043509191710058</v>
      </c>
      <c r="F165" s="2919">
        <f>+F109/F119*100</f>
        <v>70.850250189239404</v>
      </c>
      <c r="G165" s="930">
        <f>+G109/G119*100</f>
        <v>67.043507117363589</v>
      </c>
      <c r="H165" s="2919">
        <f>+H109/H119*100</f>
        <v>70.451917810997742</v>
      </c>
      <c r="I165" s="931">
        <f t="shared" ref="I165:N165" si="728">+I109/I119*100</f>
        <v>67.043508137533962</v>
      </c>
      <c r="J165" s="2920">
        <f t="shared" si="728"/>
        <v>70.654186946212405</v>
      </c>
      <c r="K165" s="930">
        <f>+K109/K119*100</f>
        <v>67.04344488702921</v>
      </c>
      <c r="L165" s="2919">
        <f>+L109/L119*100</f>
        <v>69.366666786290878</v>
      </c>
      <c r="M165" s="2113">
        <f t="shared" ref="M165" si="729">+M109/M119*100</f>
        <v>67.043487285706021</v>
      </c>
      <c r="N165" s="2921">
        <f t="shared" si="728"/>
        <v>70.232606626128714</v>
      </c>
      <c r="O165" s="930">
        <f>+O109/O119*100</f>
        <v>67.043507117363589</v>
      </c>
      <c r="P165" s="2919">
        <f>+P109/P119*100</f>
        <v>71.95</v>
      </c>
      <c r="Q165" s="931">
        <f t="shared" ref="Q165" si="730">+Q109/Q119*100</f>
        <v>67.04349232489659</v>
      </c>
      <c r="R165" s="2920">
        <f t="shared" ref="R165:AB165" si="731">+R109/R119*100</f>
        <v>70.676357193036893</v>
      </c>
      <c r="S165" s="930">
        <f t="shared" si="731"/>
        <v>67.043487667676345</v>
      </c>
      <c r="T165" s="2922">
        <f t="shared" si="731"/>
        <v>72.48</v>
      </c>
      <c r="U165" s="931">
        <f t="shared" si="731"/>
        <v>67.043491396643702</v>
      </c>
      <c r="V165" s="2920">
        <f t="shared" si="731"/>
        <v>71.052320977076619</v>
      </c>
      <c r="W165" s="930">
        <f t="shared" si="731"/>
        <v>67.043487667676331</v>
      </c>
      <c r="X165" s="2919">
        <f t="shared" si="731"/>
        <v>72.040000000000006</v>
      </c>
      <c r="Y165" s="427">
        <f t="shared" si="731"/>
        <v>67.043494310962942</v>
      </c>
      <c r="Z165" s="427">
        <f t="shared" si="731"/>
        <v>72.158905960711635</v>
      </c>
      <c r="AA165" s="559">
        <f t="shared" si="731"/>
        <v>67.04349079368302</v>
      </c>
      <c r="AB165" s="568">
        <f t="shared" si="731"/>
        <v>71.219367541812701</v>
      </c>
      <c r="AC165" s="930">
        <f t="shared" ref="AC165:AF165" si="732">+AC109/AC119*100</f>
        <v>67.043487667676345</v>
      </c>
      <c r="AD165" s="2922">
        <f t="shared" si="732"/>
        <v>68.39</v>
      </c>
      <c r="AE165" s="931">
        <f t="shared" si="732"/>
        <v>67.043490338209622</v>
      </c>
      <c r="AF165" s="2920">
        <f t="shared" si="732"/>
        <v>70.791850334496502</v>
      </c>
      <c r="AG165" s="930">
        <f t="shared" ref="AG165:AN165" si="733">+AG109/AG119*100</f>
        <v>67.043489900292855</v>
      </c>
      <c r="AH165" s="2922">
        <f t="shared" si="733"/>
        <v>65.500004739098927</v>
      </c>
      <c r="AI165" s="931">
        <f t="shared" si="733"/>
        <v>67.043490284092229</v>
      </c>
      <c r="AJ165" s="2920">
        <f t="shared" si="733"/>
        <v>70.132778261425216</v>
      </c>
      <c r="AK165" s="930">
        <f t="shared" si="733"/>
        <v>67.043487667676345</v>
      </c>
      <c r="AL165" s="2919">
        <f t="shared" si="733"/>
        <v>67.67</v>
      </c>
      <c r="AM165" s="427">
        <f t="shared" si="733"/>
        <v>67.043488395703449</v>
      </c>
      <c r="AN165" s="427">
        <f t="shared" si="733"/>
        <v>67.2167036558983</v>
      </c>
      <c r="AO165" s="931">
        <f t="shared" ref="AO165:AT165" si="734">+AO109/AO119*100</f>
        <v>67.043489987814112</v>
      </c>
      <c r="AP165" s="2920">
        <f t="shared" si="734"/>
        <v>69.850844500684545</v>
      </c>
      <c r="AQ165" s="930">
        <f t="shared" si="734"/>
        <v>67.043488448251139</v>
      </c>
      <c r="AR165" s="2919">
        <f t="shared" si="734"/>
        <v>69.009993753903814</v>
      </c>
      <c r="AS165" s="931">
        <f t="shared" si="734"/>
        <v>67.043489831210366</v>
      </c>
      <c r="AT165" s="2920">
        <f t="shared" si="734"/>
        <v>69.764650337637804</v>
      </c>
      <c r="AU165" s="930">
        <f t="shared" ref="AU165:AX165" si="735">+AU109/AU119*100</f>
        <v>67.043511409115041</v>
      </c>
      <c r="AV165" s="2919">
        <f t="shared" si="735"/>
        <v>75.000002517729598</v>
      </c>
      <c r="AW165" s="931">
        <f t="shared" si="735"/>
        <v>67.043491706091487</v>
      </c>
      <c r="AX165" s="2920">
        <f t="shared" si="735"/>
        <v>70.223384474104947</v>
      </c>
      <c r="AY165" s="930">
        <f t="shared" ref="AY165:BF165" si="736">+AY109/AY119*100</f>
        <v>67.043487825947579</v>
      </c>
      <c r="AZ165" s="2919">
        <f t="shared" si="736"/>
        <v>74.838710164233092</v>
      </c>
      <c r="BA165" s="427">
        <f t="shared" si="736"/>
        <v>67.043495553454235</v>
      </c>
      <c r="BB165" s="427">
        <f t="shared" si="736"/>
        <v>72.905718361107475</v>
      </c>
      <c r="BC165" s="559">
        <f t="shared" si="736"/>
        <v>67.043491955021977</v>
      </c>
      <c r="BD165" s="568">
        <f t="shared" si="736"/>
        <v>70.034229305438316</v>
      </c>
      <c r="BE165" s="931">
        <f t="shared" si="736"/>
        <v>67.043491376327552</v>
      </c>
      <c r="BF165" s="2920">
        <f t="shared" si="736"/>
        <v>70.618241919425401</v>
      </c>
      <c r="BG165" s="648"/>
      <c r="BH165" s="648"/>
      <c r="BI165" s="648"/>
      <c r="BJ165" s="648"/>
      <c r="BK165" s="648"/>
      <c r="BL165" s="648"/>
      <c r="BM165" s="648"/>
      <c r="BN165" s="648"/>
    </row>
    <row r="166" spans="1:66" x14ac:dyDescent="0.25">
      <c r="B166" s="2869" t="s">
        <v>199</v>
      </c>
      <c r="C166" s="1828" t="s">
        <v>51</v>
      </c>
      <c r="D166" s="135">
        <f>+D114/D119*100</f>
        <v>27.01752520446669</v>
      </c>
      <c r="E166" s="932">
        <f>+E114/E119*100</f>
        <v>27.017533554868233</v>
      </c>
      <c r="F166" s="162">
        <f>+F114/F119*100</f>
        <v>21.149592520865486</v>
      </c>
      <c r="G166" s="932">
        <f>+G114/G119*100</f>
        <v>27.01753271893757</v>
      </c>
      <c r="H166" s="162">
        <f>+H114/H119*100</f>
        <v>21.548244457516073</v>
      </c>
      <c r="I166" s="70">
        <f t="shared" ref="I166:N166" si="737">+I114/I119*100</f>
        <v>27.017533130050996</v>
      </c>
      <c r="J166" s="134">
        <f t="shared" si="737"/>
        <v>21.345813053787595</v>
      </c>
      <c r="K166" s="932">
        <f>+K114/K119*100</f>
        <v>27.017507641041625</v>
      </c>
      <c r="L166" s="162">
        <f>+L114/L119*100</f>
        <v>21.966662787424902</v>
      </c>
      <c r="M166" s="106">
        <f t="shared" ref="M166" si="738">+M114/M119*100</f>
        <v>27.017524727075571</v>
      </c>
      <c r="N166" s="143">
        <f t="shared" si="737"/>
        <v>21.549101544001704</v>
      </c>
      <c r="O166" s="932">
        <f>+O114/O119*100</f>
        <v>27.01753271893757</v>
      </c>
      <c r="P166" s="162">
        <f>+P114/P119*100</f>
        <v>20.049999999999997</v>
      </c>
      <c r="Q166" s="70">
        <f t="shared" ref="Q166" si="739">+Q114/Q119*100</f>
        <v>27.017526757794148</v>
      </c>
      <c r="R166" s="134">
        <f t="shared" ref="R166:X166" si="740">+R114/R119*100</f>
        <v>21.161754550514637</v>
      </c>
      <c r="S166" s="932">
        <f t="shared" si="740"/>
        <v>27.01752488100389</v>
      </c>
      <c r="T166" s="2735">
        <f t="shared" si="740"/>
        <v>19.52</v>
      </c>
      <c r="U166" s="70">
        <f t="shared" si="740"/>
        <v>27.017526383722096</v>
      </c>
      <c r="V166" s="134">
        <f t="shared" si="740"/>
        <v>20.819535874570015</v>
      </c>
      <c r="W166" s="932">
        <f t="shared" si="740"/>
        <v>27.017524881003897</v>
      </c>
      <c r="X166" s="162">
        <f t="shared" si="740"/>
        <v>19.96</v>
      </c>
      <c r="Y166" s="427">
        <f t="shared" ref="Y166:AF166" si="741">+Y114/Y119*100</f>
        <v>27.017527558149251</v>
      </c>
      <c r="Z166" s="427">
        <f t="shared" si="741"/>
        <v>19.841094039288365</v>
      </c>
      <c r="AA166" s="559">
        <f t="shared" si="741"/>
        <v>27.017526140737942</v>
      </c>
      <c r="AB166" s="568">
        <f t="shared" si="741"/>
        <v>20.674162213915196</v>
      </c>
      <c r="AC166" s="932">
        <f t="shared" si="741"/>
        <v>27.017524881003901</v>
      </c>
      <c r="AD166" s="2735">
        <f t="shared" si="741"/>
        <v>23.17</v>
      </c>
      <c r="AE166" s="70">
        <f t="shared" si="741"/>
        <v>27.017525957188958</v>
      </c>
      <c r="AF166" s="134">
        <f t="shared" si="741"/>
        <v>21.051283102047542</v>
      </c>
      <c r="AG166" s="932">
        <f t="shared" ref="AG166:AN166" si="742">+AG114/AG119*100</f>
        <v>27.017525780715033</v>
      </c>
      <c r="AH166" s="2735">
        <f t="shared" si="742"/>
        <v>27.699994127425864</v>
      </c>
      <c r="AI166" s="70">
        <f t="shared" si="742"/>
        <v>27.017525935380455</v>
      </c>
      <c r="AJ166" s="134">
        <f t="shared" si="742"/>
        <v>21.879345765583889</v>
      </c>
      <c r="AK166" s="932">
        <f t="shared" si="742"/>
        <v>27.017524881003901</v>
      </c>
      <c r="AL166" s="162">
        <f t="shared" si="742"/>
        <v>27.330000000000005</v>
      </c>
      <c r="AM166" s="427">
        <f t="shared" si="742"/>
        <v>27.017525174387956</v>
      </c>
      <c r="AN166" s="427">
        <f t="shared" si="742"/>
        <v>26.024108947498693</v>
      </c>
      <c r="AO166" s="70">
        <f t="shared" ref="AO166:AT166" si="743">+AO114/AO119*100</f>
        <v>27.017525815984794</v>
      </c>
      <c r="AP166" s="134">
        <f t="shared" si="743"/>
        <v>22.503325386841663</v>
      </c>
      <c r="AQ166" s="932">
        <f t="shared" si="743"/>
        <v>27.017525195563895</v>
      </c>
      <c r="AR166" s="162">
        <f t="shared" si="743"/>
        <v>26.640005963040469</v>
      </c>
      <c r="AS166" s="70">
        <f t="shared" si="743"/>
        <v>27.017525752875827</v>
      </c>
      <c r="AT166" s="134">
        <f t="shared" si="743"/>
        <v>22.92736939396454</v>
      </c>
      <c r="AU166" s="932">
        <f t="shared" ref="AU166:AX166" si="744">+AU114/AU119*100</f>
        <v>27.01753444844935</v>
      </c>
      <c r="AV166" s="162">
        <f t="shared" si="744"/>
        <v>24.999997482270402</v>
      </c>
      <c r="AW166" s="70">
        <f t="shared" si="744"/>
        <v>27.017526508424929</v>
      </c>
      <c r="AX166" s="134">
        <f t="shared" si="744"/>
        <v>23.108978046754316</v>
      </c>
      <c r="AY166" s="932">
        <f t="shared" ref="AY166:BF166" si="745">+AY114/AY119*100</f>
        <v>27.017524944784849</v>
      </c>
      <c r="AZ166" s="162">
        <f t="shared" si="745"/>
        <v>25.000002358004064</v>
      </c>
      <c r="BA166" s="427">
        <f t="shared" si="745"/>
        <v>27.017528058854701</v>
      </c>
      <c r="BB166" s="427">
        <f t="shared" si="745"/>
        <v>25.558354749706297</v>
      </c>
      <c r="BC166" s="559">
        <f t="shared" si="745"/>
        <v>27.017526608740202</v>
      </c>
      <c r="BD166" s="568">
        <f t="shared" si="745"/>
        <v>25.793440814850094</v>
      </c>
      <c r="BE166" s="70">
        <f t="shared" si="745"/>
        <v>27.017526375534988</v>
      </c>
      <c r="BF166" s="134">
        <f t="shared" si="745"/>
        <v>23.270761868462948</v>
      </c>
      <c r="BG166" s="648"/>
      <c r="BH166" s="648"/>
      <c r="BI166" s="648"/>
      <c r="BJ166" s="648"/>
      <c r="BK166" s="648"/>
      <c r="BL166" s="648"/>
      <c r="BM166" s="648"/>
      <c r="BN166" s="648"/>
    </row>
    <row r="167" spans="1:66" ht="15.75" thickBot="1" x14ac:dyDescent="0.3">
      <c r="B167" s="2902" t="s">
        <v>13</v>
      </c>
      <c r="C167" s="1829" t="s">
        <v>51</v>
      </c>
      <c r="D167" s="655">
        <f t="shared" ref="D167:J167" si="746">SUM(D165:D166)</f>
        <v>94.061013674809942</v>
      </c>
      <c r="E167" s="1813">
        <f t="shared" si="746"/>
        <v>94.061042746578295</v>
      </c>
      <c r="F167" s="653">
        <f t="shared" si="746"/>
        <v>91.999842710104886</v>
      </c>
      <c r="G167" s="1813">
        <f t="shared" ref="G167:H167" si="747">SUM(G165:G166)</f>
        <v>94.061039836301163</v>
      </c>
      <c r="H167" s="653">
        <f t="shared" si="747"/>
        <v>92.000162268513819</v>
      </c>
      <c r="I167" s="1814">
        <f t="shared" si="746"/>
        <v>94.061041267584955</v>
      </c>
      <c r="J167" s="654">
        <f t="shared" si="746"/>
        <v>92</v>
      </c>
      <c r="K167" s="1813">
        <f t="shared" ref="K167:M167" si="748">SUM(K165:K166)</f>
        <v>94.060952528070828</v>
      </c>
      <c r="L167" s="653">
        <f t="shared" si="748"/>
        <v>91.333329573715787</v>
      </c>
      <c r="M167" s="1815">
        <f t="shared" si="748"/>
        <v>94.061012012781589</v>
      </c>
      <c r="N167" s="656">
        <f t="shared" ref="N167:P167" si="749">SUM(N165:N166)</f>
        <v>91.781708170130415</v>
      </c>
      <c r="O167" s="1813">
        <f t="shared" si="749"/>
        <v>94.061039836301163</v>
      </c>
      <c r="P167" s="653">
        <f t="shared" si="749"/>
        <v>92</v>
      </c>
      <c r="Q167" s="1814">
        <f t="shared" ref="Q167" si="750">SUM(Q165:Q166)</f>
        <v>94.061019082690734</v>
      </c>
      <c r="R167" s="654">
        <f t="shared" ref="R167" si="751">SUM(R165:R166)</f>
        <v>91.838111743551536</v>
      </c>
      <c r="S167" s="1813">
        <f t="shared" ref="S167:X167" si="752">SUM(S165:S166)</f>
        <v>94.061012548680239</v>
      </c>
      <c r="T167" s="2750">
        <f t="shared" si="752"/>
        <v>92</v>
      </c>
      <c r="U167" s="1814">
        <f t="shared" si="752"/>
        <v>94.061017780365802</v>
      </c>
      <c r="V167" s="654">
        <f t="shared" si="752"/>
        <v>91.871856851646641</v>
      </c>
      <c r="W167" s="1813">
        <f t="shared" si="752"/>
        <v>94.061012548680225</v>
      </c>
      <c r="X167" s="653">
        <f t="shared" si="752"/>
        <v>92</v>
      </c>
      <c r="Y167" s="747">
        <f t="shared" ref="Y167:AF167" si="753">SUM(Y165:Y166)</f>
        <v>94.061021869112196</v>
      </c>
      <c r="Z167" s="747">
        <f t="shared" si="753"/>
        <v>92</v>
      </c>
      <c r="AA167" s="559">
        <f t="shared" si="753"/>
        <v>94.061016934420962</v>
      </c>
      <c r="AB167" s="3729">
        <f t="shared" si="753"/>
        <v>91.893529755727897</v>
      </c>
      <c r="AC167" s="1813">
        <f t="shared" si="753"/>
        <v>94.061012548680253</v>
      </c>
      <c r="AD167" s="2750">
        <f t="shared" si="753"/>
        <v>91.56</v>
      </c>
      <c r="AE167" s="1814">
        <f t="shared" si="753"/>
        <v>94.061016295398588</v>
      </c>
      <c r="AF167" s="654">
        <f t="shared" si="753"/>
        <v>91.843133436544036</v>
      </c>
      <c r="AG167" s="1813">
        <f t="shared" ref="AG167:AN167" si="754">SUM(AG165:AG166)</f>
        <v>94.061015681007888</v>
      </c>
      <c r="AH167" s="2750">
        <f t="shared" si="754"/>
        <v>93.199998866524794</v>
      </c>
      <c r="AI167" s="1814">
        <f t="shared" si="754"/>
        <v>94.061016219472691</v>
      </c>
      <c r="AJ167" s="654">
        <f t="shared" si="754"/>
        <v>92.012124027009108</v>
      </c>
      <c r="AK167" s="1813">
        <f t="shared" si="754"/>
        <v>94.061012548680253</v>
      </c>
      <c r="AL167" s="653">
        <f t="shared" si="754"/>
        <v>95</v>
      </c>
      <c r="AM167" s="747">
        <f t="shared" si="754"/>
        <v>94.061013570091404</v>
      </c>
      <c r="AN167" s="747">
        <f t="shared" si="754"/>
        <v>93.240812603396989</v>
      </c>
      <c r="AO167" s="1814">
        <f t="shared" ref="AO167:AT167" si="755">SUM(AO165:AO166)</f>
        <v>94.061015803798909</v>
      </c>
      <c r="AP167" s="654">
        <f t="shared" si="755"/>
        <v>92.354169887526211</v>
      </c>
      <c r="AQ167" s="1813">
        <f t="shared" si="755"/>
        <v>94.061013643815031</v>
      </c>
      <c r="AR167" s="653">
        <f t="shared" si="755"/>
        <v>95.649999716944279</v>
      </c>
      <c r="AS167" s="1814">
        <f t="shared" si="755"/>
        <v>94.061015584086192</v>
      </c>
      <c r="AT167" s="654">
        <f t="shared" si="755"/>
        <v>92.692019731602343</v>
      </c>
      <c r="AU167" s="1813">
        <f t="shared" ref="AU167:AX167" si="756">SUM(AU165:AU166)</f>
        <v>94.061045857564395</v>
      </c>
      <c r="AV167" s="653">
        <f t="shared" si="756"/>
        <v>100</v>
      </c>
      <c r="AW167" s="1814">
        <f t="shared" si="756"/>
        <v>94.061018214516423</v>
      </c>
      <c r="AX167" s="654">
        <f t="shared" si="756"/>
        <v>93.332362520859263</v>
      </c>
      <c r="AY167" s="1813">
        <f t="shared" ref="AY167:BF167" si="757">SUM(AY165:AY166)</f>
        <v>94.061012770732432</v>
      </c>
      <c r="AZ167" s="653">
        <f t="shared" si="757"/>
        <v>99.838712522237159</v>
      </c>
      <c r="BA167" s="747">
        <f t="shared" si="757"/>
        <v>94.061023612308929</v>
      </c>
      <c r="BB167" s="747">
        <f t="shared" si="757"/>
        <v>98.464073110813771</v>
      </c>
      <c r="BC167" s="559">
        <f t="shared" si="757"/>
        <v>94.061018563762175</v>
      </c>
      <c r="BD167" s="3729">
        <f t="shared" si="757"/>
        <v>95.827670120288417</v>
      </c>
      <c r="BE167" s="1814">
        <f t="shared" si="757"/>
        <v>94.061017751862536</v>
      </c>
      <c r="BF167" s="654">
        <f t="shared" si="757"/>
        <v>93.889003787888356</v>
      </c>
      <c r="BG167" s="648"/>
      <c r="BH167" s="648"/>
      <c r="BI167" s="648"/>
      <c r="BJ167" s="648"/>
      <c r="BK167" s="648"/>
      <c r="BL167" s="648"/>
      <c r="BM167" s="648"/>
      <c r="BN167" s="648"/>
    </row>
    <row r="168" spans="1:66" ht="15.75" thickBot="1" x14ac:dyDescent="0.3">
      <c r="B168" s="2903" t="s">
        <v>202</v>
      </c>
      <c r="C168" s="1854" t="s">
        <v>51</v>
      </c>
      <c r="D168" s="2857">
        <f>+((+D116+D117+D118)/D119)*100</f>
        <v>5.9389863251900579</v>
      </c>
      <c r="E168" s="2858">
        <f>+((+E116+E117+E118)/E119)*100</f>
        <v>5.9389572534217123</v>
      </c>
      <c r="F168" s="2859">
        <f>+((+F116+F117+F118)/F119)*100</f>
        <v>8.0001572898951068</v>
      </c>
      <c r="G168" s="2858">
        <f>+((+G116+G117+G118)/G119)*100</f>
        <v>5.9389601636988489</v>
      </c>
      <c r="H168" s="2859">
        <f>+((+H116+H117+H118)/H119)*100</f>
        <v>7.9998377314861768</v>
      </c>
      <c r="I168" s="715">
        <f t="shared" ref="I168:N168" si="758">+((+I116+I117+I118)/I119)*100</f>
        <v>5.938958732415033</v>
      </c>
      <c r="J168" s="715">
        <f t="shared" si="758"/>
        <v>8</v>
      </c>
      <c r="K168" s="2858">
        <f>+((+K116+K117+K118)/K119)*100</f>
        <v>5.9390474719291628</v>
      </c>
      <c r="L168" s="2859">
        <f>+((+L116+L117+L118)/L119)*100</f>
        <v>8.666670426284238</v>
      </c>
      <c r="M168" s="2860">
        <f t="shared" ref="M168" si="759">+((+M116+M117+M118)/M119)*100</f>
        <v>5.9389879872184119</v>
      </c>
      <c r="N168" s="213">
        <f t="shared" si="758"/>
        <v>8.2182918298695675</v>
      </c>
      <c r="O168" s="2858">
        <f>+((+O116+O117+O118)/O119)*100</f>
        <v>5.9389601636988489</v>
      </c>
      <c r="P168" s="2859">
        <f>+((+P116+P117+P118)/P119)*100</f>
        <v>8</v>
      </c>
      <c r="Q168" s="715">
        <f t="shared" ref="Q168" si="760">+((+Q116+Q117+Q118)/Q119)*100</f>
        <v>5.9389809173092623</v>
      </c>
      <c r="R168" s="715">
        <f t="shared" ref="R168:X168" si="761">+((+R116+R117+R118)/R119)*100</f>
        <v>8.1618882564484796</v>
      </c>
      <c r="S168" s="2858">
        <f t="shared" si="761"/>
        <v>5.9389874513197745</v>
      </c>
      <c r="T168" s="2861">
        <f t="shared" si="761"/>
        <v>7.9999999999999991</v>
      </c>
      <c r="U168" s="715">
        <f t="shared" si="761"/>
        <v>5.9389822196341955</v>
      </c>
      <c r="V168" s="161">
        <f t="shared" si="761"/>
        <v>8.1281431483533542</v>
      </c>
      <c r="W168" s="2858">
        <f t="shared" si="761"/>
        <v>5.9389874513197727</v>
      </c>
      <c r="X168" s="2859">
        <f t="shared" si="761"/>
        <v>7.9999999999999991</v>
      </c>
      <c r="Y168" s="427">
        <f t="shared" ref="Y168:AF168" si="762">+((+Y116+Y117+Y118)/Y119)*100</f>
        <v>5.9389781308877971</v>
      </c>
      <c r="Z168" s="427">
        <f t="shared" si="762"/>
        <v>8</v>
      </c>
      <c r="AA168" s="559">
        <f t="shared" si="762"/>
        <v>5.9389830655790297</v>
      </c>
      <c r="AB168" s="568">
        <f t="shared" si="762"/>
        <v>8.1064702442720886</v>
      </c>
      <c r="AC168" s="2858">
        <f t="shared" si="762"/>
        <v>5.9389874513197762</v>
      </c>
      <c r="AD168" s="2861">
        <f t="shared" si="762"/>
        <v>8.44</v>
      </c>
      <c r="AE168" s="715">
        <f t="shared" si="762"/>
        <v>5.9389837046014113</v>
      </c>
      <c r="AF168" s="161">
        <f t="shared" si="762"/>
        <v>8.1568665634559512</v>
      </c>
      <c r="AG168" s="2858">
        <f t="shared" ref="AG168:AN168" si="763">+((+AG116+AG117+AG118)/AG119)*100</f>
        <v>5.9389843189921203</v>
      </c>
      <c r="AH168" s="2861">
        <f t="shared" si="763"/>
        <v>6.800001133475206</v>
      </c>
      <c r="AI168" s="715">
        <f t="shared" si="763"/>
        <v>5.9389837805273178</v>
      </c>
      <c r="AJ168" s="161">
        <f t="shared" si="763"/>
        <v>7.9878759729908895</v>
      </c>
      <c r="AK168" s="2858">
        <f t="shared" si="763"/>
        <v>5.9389874513197727</v>
      </c>
      <c r="AL168" s="2859">
        <f t="shared" si="763"/>
        <v>5</v>
      </c>
      <c r="AM168" s="427">
        <f t="shared" si="763"/>
        <v>5.9389864299086046</v>
      </c>
      <c r="AN168" s="427">
        <f t="shared" si="763"/>
        <v>6.7591873966029965</v>
      </c>
      <c r="AO168" s="715">
        <f t="shared" ref="AO168:AT168" si="764">+((+AO116+AO117+AO118)/AO119)*100</f>
        <v>5.9389841962010879</v>
      </c>
      <c r="AP168" s="161">
        <f t="shared" si="764"/>
        <v>7.6458301124737877</v>
      </c>
      <c r="AQ168" s="2858">
        <f t="shared" si="764"/>
        <v>5.9389863561849614</v>
      </c>
      <c r="AR168" s="2859">
        <f t="shared" si="764"/>
        <v>4.3500002830557181</v>
      </c>
      <c r="AS168" s="715">
        <f t="shared" si="764"/>
        <v>5.9389844159138159</v>
      </c>
      <c r="AT168" s="161">
        <f t="shared" si="764"/>
        <v>7.3079802683976514</v>
      </c>
      <c r="AU168" s="2858">
        <f t="shared" ref="AU168:AX168" si="765">+((+AU116+AU117+AU118)/AU119)*100</f>
        <v>5.9389541424356107</v>
      </c>
      <c r="AV168" s="2859">
        <f t="shared" si="765"/>
        <v>0</v>
      </c>
      <c r="AW168" s="715">
        <f t="shared" si="765"/>
        <v>5.9389817854835867</v>
      </c>
      <c r="AX168" s="161">
        <f t="shared" si="765"/>
        <v>6.6676374791407644</v>
      </c>
      <c r="AY168" s="2858">
        <f t="shared" ref="AY168:BF168" si="766">+((+AY116+AY117+AY118)/AY119)*100</f>
        <v>5.9389872292675809</v>
      </c>
      <c r="AZ168" s="2859">
        <f t="shared" si="766"/>
        <v>0.16128747776284272</v>
      </c>
      <c r="BA168" s="427">
        <f t="shared" si="766"/>
        <v>5.9389763876910502</v>
      </c>
      <c r="BB168" s="427">
        <f t="shared" si="766"/>
        <v>1.5359268891862188</v>
      </c>
      <c r="BC168" s="559">
        <f t="shared" si="766"/>
        <v>5.9389814362378486</v>
      </c>
      <c r="BD168" s="568">
        <f t="shared" si="766"/>
        <v>4.172329879711584</v>
      </c>
      <c r="BE168" s="715">
        <f t="shared" si="766"/>
        <v>5.9389822481374592</v>
      </c>
      <c r="BF168" s="161">
        <f t="shared" si="766"/>
        <v>6.1109962121116599</v>
      </c>
      <c r="BG168" s="648"/>
      <c r="BH168" s="648"/>
      <c r="BI168" s="648"/>
      <c r="BJ168" s="648"/>
      <c r="BK168" s="648"/>
      <c r="BL168" s="648"/>
      <c r="BM168" s="648"/>
      <c r="BN168" s="648"/>
    </row>
    <row r="169" spans="1:66" s="183" customFormat="1" ht="18.75" x14ac:dyDescent="0.3">
      <c r="A169" s="182"/>
      <c r="B169" s="2929" t="s">
        <v>197</v>
      </c>
      <c r="C169" s="2889"/>
      <c r="D169" s="2913"/>
      <c r="E169" s="2914"/>
      <c r="F169" s="2915"/>
      <c r="G169" s="2914"/>
      <c r="H169" s="2915"/>
      <c r="I169" s="1811"/>
      <c r="J169" s="2913"/>
      <c r="K169" s="2914"/>
      <c r="L169" s="2915"/>
      <c r="M169" s="2914"/>
      <c r="N169" s="2915"/>
      <c r="O169" s="2914"/>
      <c r="P169" s="2915"/>
      <c r="Q169" s="1811"/>
      <c r="R169" s="2913"/>
      <c r="S169" s="2914"/>
      <c r="T169" s="2916"/>
      <c r="U169" s="1811"/>
      <c r="V169" s="2915"/>
      <c r="W169" s="1808"/>
      <c r="X169" s="1810"/>
      <c r="Y169" s="1808"/>
      <c r="Z169" s="1808"/>
      <c r="AA169" s="3813"/>
      <c r="AB169" s="1810"/>
      <c r="AC169" s="2914"/>
      <c r="AD169" s="2916"/>
      <c r="AE169" s="1811"/>
      <c r="AF169" s="2915"/>
      <c r="AG169" s="2914"/>
      <c r="AH169" s="2916"/>
      <c r="AI169" s="1811"/>
      <c r="AJ169" s="2915"/>
      <c r="AK169" s="1808"/>
      <c r="AL169" s="1810"/>
      <c r="AM169" s="1808"/>
      <c r="AN169" s="1808"/>
      <c r="AO169" s="1811"/>
      <c r="AP169" s="2915"/>
      <c r="AQ169" s="1808"/>
      <c r="AR169" s="1810"/>
      <c r="AS169" s="1811"/>
      <c r="AT169" s="2915"/>
      <c r="AU169" s="1808"/>
      <c r="AV169" s="1810"/>
      <c r="AW169" s="1811"/>
      <c r="AX169" s="2915"/>
      <c r="AY169" s="1808"/>
      <c r="AZ169" s="1810"/>
      <c r="BA169" s="1808"/>
      <c r="BB169" s="1808"/>
      <c r="BC169" s="3813"/>
      <c r="BD169" s="1810"/>
      <c r="BE169" s="1811"/>
      <c r="BF169" s="2915"/>
      <c r="BG169" s="648"/>
      <c r="BH169" s="648"/>
      <c r="BI169" s="648"/>
      <c r="BJ169" s="648"/>
      <c r="BK169" s="648"/>
      <c r="BL169" s="648"/>
      <c r="BM169" s="648"/>
      <c r="BN169" s="648"/>
    </row>
    <row r="170" spans="1:66" x14ac:dyDescent="0.25">
      <c r="B170" s="2867" t="s">
        <v>203</v>
      </c>
      <c r="C170" s="1828" t="s">
        <v>51</v>
      </c>
      <c r="D170" s="135">
        <v>8.4328971572778286</v>
      </c>
      <c r="E170" s="932">
        <f>+$D$170</f>
        <v>8.4328971572778286</v>
      </c>
      <c r="F170" s="164">
        <v>8.4</v>
      </c>
      <c r="G170" s="932">
        <f>+$D$170</f>
        <v>8.4328971572778286</v>
      </c>
      <c r="H170" s="164">
        <v>8.3793478260869545</v>
      </c>
      <c r="I170" s="70">
        <f>+$D$170</f>
        <v>8.4328971572778286</v>
      </c>
      <c r="J170" s="136">
        <f>+((F170*F$119)+(H$119*H170))/J$119</f>
        <v>8.389834790205045</v>
      </c>
      <c r="K170" s="932">
        <f>+$D$170</f>
        <v>8.4328971572778286</v>
      </c>
      <c r="L170" s="164">
        <v>8.4266666666666659</v>
      </c>
      <c r="M170" s="106">
        <f>+$D$170</f>
        <v>8.4328971572778286</v>
      </c>
      <c r="N170" s="144">
        <f>+((F170*F$119)+(H170*H$119)+(L$119*L170))/N$119</f>
        <v>8.4018948687586263</v>
      </c>
      <c r="O170" s="932">
        <f>+$D$170</f>
        <v>8.4328971572778286</v>
      </c>
      <c r="P170" s="164">
        <v>8.7307692307692299</v>
      </c>
      <c r="Q170" s="70">
        <f>+$D$170</f>
        <v>8.4328971572778286</v>
      </c>
      <c r="R170" s="136">
        <f>+((N170*N$119)+(P$119*P170))/R$119</f>
        <v>8.4868714307997379</v>
      </c>
      <c r="S170" s="932">
        <f>+$D$170</f>
        <v>8.4328971572778286</v>
      </c>
      <c r="T170" s="2701">
        <v>9.6428571428571441</v>
      </c>
      <c r="U170" s="70">
        <f>+$D$170</f>
        <v>8.4328971572778286</v>
      </c>
      <c r="V170" s="136">
        <f>+((R170*R$119)+(T$119*T170))/V$119</f>
        <v>8.7278330895733784</v>
      </c>
      <c r="W170" s="69">
        <f>+$D$170</f>
        <v>8.4328971572778286</v>
      </c>
      <c r="X170" s="164">
        <v>10.419767441860463</v>
      </c>
      <c r="Y170" s="106">
        <f>+$D$170</f>
        <v>8.4328971572778286</v>
      </c>
      <c r="Z170" s="144">
        <f>+((P170*P$119)+(T170*T$119)+(X$119*X170))/Z$119</f>
        <v>9.5967939375535796</v>
      </c>
      <c r="AA170" s="800">
        <f>+$D$170</f>
        <v>8.4328971572778286</v>
      </c>
      <c r="AB170" s="568">
        <f>+((N170*N$119)+(Z$119*Z170))/AB$119</f>
        <v>9.0139906516444945</v>
      </c>
      <c r="AC170" s="932">
        <f>+$D$170</f>
        <v>8.4328971572778286</v>
      </c>
      <c r="AD170" s="2701">
        <v>10.428260869565216</v>
      </c>
      <c r="AE170" s="70">
        <f>+$D$170</f>
        <v>8.4328971572778286</v>
      </c>
      <c r="AF170" s="136">
        <f>+((AB170*AB$119)+(AD$119*AD170))/AF$119</f>
        <v>9.2276867674798329</v>
      </c>
      <c r="AG170" s="932">
        <f>+$D$170</f>
        <v>8.4328971572778286</v>
      </c>
      <c r="AH170" s="2701">
        <v>9.2478873239436599</v>
      </c>
      <c r="AI170" s="70">
        <f>+$D$170</f>
        <v>8.4328971572778286</v>
      </c>
      <c r="AJ170" s="136">
        <f>+((AF170*AF$119)+(AH$119*AH170))/AJ$119</f>
        <v>9.2302026425910366</v>
      </c>
      <c r="AK170" s="69">
        <f>+$D$170</f>
        <v>8.4328971572778286</v>
      </c>
      <c r="AL170" s="164">
        <v>9.2200000000000006</v>
      </c>
      <c r="AM170" s="106">
        <f>+$D$170</f>
        <v>8.4328971572778286</v>
      </c>
      <c r="AN170" s="144">
        <f>+((AD170*AD$119)+(AH170*AH$119)+(AL$119*AL170))/AN$119</f>
        <v>9.6429525916076919</v>
      </c>
      <c r="AO170" s="70">
        <f>+$D$170</f>
        <v>8.4328971572778286</v>
      </c>
      <c r="AP170" s="136">
        <f>+((AL170*AL$119)+(AJ$119*AJ170))/AP$119</f>
        <v>9.2290346651729163</v>
      </c>
      <c r="AQ170" s="69">
        <f>+$D$170</f>
        <v>8.4328971572778286</v>
      </c>
      <c r="AR170" s="164">
        <v>8.7577777777777754</v>
      </c>
      <c r="AS170" s="70">
        <f>+$D$170</f>
        <v>8.4328971572778286</v>
      </c>
      <c r="AT170" s="136">
        <f>+((AP170*AP$119)+(AR$119*AR170))/AT$119</f>
        <v>9.1807269326240046</v>
      </c>
      <c r="AU170" s="69">
        <f>+$D$170</f>
        <v>8.4328971572778286</v>
      </c>
      <c r="AV170" s="164">
        <v>8.9764705882352906</v>
      </c>
      <c r="AW170" s="70">
        <f>+$D$170</f>
        <v>8.4328971572778286</v>
      </c>
      <c r="AX170" s="136">
        <f>+((AT170*AT$119)+(AV$119*AV170))/AX$119</f>
        <v>9.1628295009827525</v>
      </c>
      <c r="AY170" s="69">
        <f>+$D$170</f>
        <v>8.4328971572778286</v>
      </c>
      <c r="AZ170" s="164">
        <v>8.837752808988764</v>
      </c>
      <c r="BA170" s="106">
        <f>+$D$170</f>
        <v>8.4328971572778286</v>
      </c>
      <c r="BB170" s="144">
        <f>+((AR170*AR$119)+(AV170*AV$119)+(AZ$119*AZ170))/BB$119</f>
        <v>8.8547710504535058</v>
      </c>
      <c r="BC170" s="800">
        <f>+$D$170</f>
        <v>8.4328971572778286</v>
      </c>
      <c r="BD170" s="568">
        <f>+((AN170*AN$119)+(BB$119*BB170))/BD$119</f>
        <v>9.2525999868477697</v>
      </c>
      <c r="BE170" s="70">
        <f>+$D$170</f>
        <v>8.4328971572778286</v>
      </c>
      <c r="BF170" s="136">
        <f>+((AX170*AX$119)+(AZ$119*AZ170))/BF$119</f>
        <v>9.1350180396142662</v>
      </c>
      <c r="BG170" s="648"/>
      <c r="BH170" s="648"/>
      <c r="BI170" s="648"/>
      <c r="BJ170" s="648"/>
      <c r="BK170" s="648"/>
      <c r="BL170" s="648"/>
      <c r="BM170" s="648"/>
      <c r="BN170" s="648"/>
    </row>
    <row r="171" spans="1:66" x14ac:dyDescent="0.25">
      <c r="B171" s="2867" t="s">
        <v>204</v>
      </c>
      <c r="C171" s="1828" t="s">
        <v>51</v>
      </c>
      <c r="D171" s="135">
        <v>10</v>
      </c>
      <c r="E171" s="932">
        <f>+$D$171</f>
        <v>10</v>
      </c>
      <c r="F171" s="164">
        <v>10.01</v>
      </c>
      <c r="G171" s="932">
        <f>+$D$171</f>
        <v>10</v>
      </c>
      <c r="H171" s="164">
        <v>9.9360869565217396</v>
      </c>
      <c r="I171" s="70">
        <f>+$D$171</f>
        <v>10</v>
      </c>
      <c r="J171" s="136">
        <f>+((F171*F$119)+(H$119*H171))/J$119</f>
        <v>9.9736192491549058</v>
      </c>
      <c r="K171" s="932">
        <f>+$D$171</f>
        <v>10</v>
      </c>
      <c r="L171" s="164">
        <v>10.085555555555553</v>
      </c>
      <c r="M171" s="106">
        <f>+$D$171</f>
        <v>10</v>
      </c>
      <c r="N171" s="144">
        <f t="shared" ref="N171:N172" si="767">+((F171*F$119)+(H171*H$119)+(L$119*L171))/N$119</f>
        <v>10.010271214188405</v>
      </c>
      <c r="O171" s="932">
        <f>+$D$171</f>
        <v>10</v>
      </c>
      <c r="P171" s="164">
        <v>10.134505494505495</v>
      </c>
      <c r="Q171" s="70">
        <f>+$D$171</f>
        <v>10</v>
      </c>
      <c r="R171" s="136">
        <f t="shared" ref="R171:R172" si="768">+((N171*N$119)+(P$119*P171))/R$119</f>
        <v>10.042371624705227</v>
      </c>
      <c r="S171" s="932">
        <f>+$D$171</f>
        <v>10</v>
      </c>
      <c r="T171" s="2701">
        <v>10.335824175824177</v>
      </c>
      <c r="U171" s="70">
        <f>+$D$171</f>
        <v>10</v>
      </c>
      <c r="V171" s="136">
        <f t="shared" ref="V171:V172" si="769">+((R171*R$119)+(T$119*T171))/V$119</f>
        <v>10.103540904525415</v>
      </c>
      <c r="W171" s="69">
        <f>+$D$171</f>
        <v>10</v>
      </c>
      <c r="X171" s="164">
        <v>10.495697674418606</v>
      </c>
      <c r="Y171" s="106">
        <f>+$D$171</f>
        <v>10</v>
      </c>
      <c r="Z171" s="144">
        <f>+((P171*P$119)+(T171*T$119)+(X$119*X171))/Z$119</f>
        <v>10.321824265919677</v>
      </c>
      <c r="AA171" s="800">
        <f>+$D$171</f>
        <v>10</v>
      </c>
      <c r="AB171" s="568">
        <f>+((N171*N$119)+(Z$119*Z171))/AB$119</f>
        <v>10.169866542438394</v>
      </c>
      <c r="AC171" s="932">
        <f>+$D$171</f>
        <v>10</v>
      </c>
      <c r="AD171" s="2701">
        <v>10.570108695652175</v>
      </c>
      <c r="AE171" s="70">
        <f>+$D$171</f>
        <v>10</v>
      </c>
      <c r="AF171" s="136">
        <f t="shared" ref="AF171:AF172" si="770">+((AB171*AB$119)+(AD$119*AD171))/AF$119</f>
        <v>10.230343099500526</v>
      </c>
      <c r="AG171" s="932">
        <f>+$D$171</f>
        <v>10</v>
      </c>
      <c r="AH171" s="2701">
        <v>10.255131578947363</v>
      </c>
      <c r="AI171" s="70">
        <f>+$D$171</f>
        <v>10</v>
      </c>
      <c r="AJ171" s="136">
        <f t="shared" ref="AJ171:AJ172" si="771">+((AF171*AF$119)+(AH$119*AH171))/AJ$119</f>
        <v>10.233430376754328</v>
      </c>
      <c r="AK171" s="69">
        <f>+$D$171</f>
        <v>10</v>
      </c>
      <c r="AL171" s="164">
        <v>10.25</v>
      </c>
      <c r="AM171" s="106">
        <f>+$D$171</f>
        <v>10</v>
      </c>
      <c r="AN171" s="144">
        <f>+((AD171*AD$119)+(AH171*AH$119)+(AL$119*AL171))/AN$119</f>
        <v>10.361326338123503</v>
      </c>
      <c r="AO171" s="70">
        <f>+$D$171</f>
        <v>10</v>
      </c>
      <c r="AP171" s="136">
        <f>+((AL171*AL$119)+(AJ$119*AJ171))/AP$119</f>
        <v>10.235327232946734</v>
      </c>
      <c r="AQ171" s="69">
        <f>+$D$171</f>
        <v>10</v>
      </c>
      <c r="AR171" s="164">
        <v>10.005543478260869</v>
      </c>
      <c r="AS171" s="70">
        <f>+$D$171</f>
        <v>10</v>
      </c>
      <c r="AT171" s="136">
        <f t="shared" ref="AT171:AT172" si="772">+((AP171*AP$119)+(AR$119*AR171))/AT$119</f>
        <v>10.211772495684842</v>
      </c>
      <c r="AU171" s="69">
        <f>+$D$171</f>
        <v>10</v>
      </c>
      <c r="AV171" s="164">
        <v>9.509999999999998</v>
      </c>
      <c r="AW171" s="70">
        <f>+$D$171</f>
        <v>10</v>
      </c>
      <c r="AX171" s="136">
        <f t="shared" ref="AX171:AX172" si="773">+((AT171*AT$119)+(AV$119*AV171))/AX$119</f>
        <v>10.150281503535636</v>
      </c>
      <c r="AY171" s="69">
        <f>+$D$171</f>
        <v>10</v>
      </c>
      <c r="AZ171" s="164">
        <v>9.5581578947368424</v>
      </c>
      <c r="BA171" s="106">
        <f>+$D$171</f>
        <v>10</v>
      </c>
      <c r="BB171" s="144">
        <f>+((AR171*AR$119)+(AV171*AV$119)+(AZ$119*AZ171))/BB$119</f>
        <v>9.6951135303900333</v>
      </c>
      <c r="BC171" s="800">
        <f>+$D$171</f>
        <v>10</v>
      </c>
      <c r="BD171" s="568">
        <f>+((AN171*AN$119)+(BB$119*BB171))/BD$119</f>
        <v>10.03137963010702</v>
      </c>
      <c r="BE171" s="70">
        <f>+$D$171</f>
        <v>10</v>
      </c>
      <c r="BF171" s="136">
        <f t="shared" ref="BF171:BF172" si="774">+((AX171*AX$119)+(AZ$119*AZ171))/BF$119</f>
        <v>10.099623233419548</v>
      </c>
      <c r="BG171" s="648"/>
      <c r="BH171" s="648"/>
      <c r="BI171" s="648"/>
      <c r="BJ171" s="648"/>
      <c r="BK171" s="648"/>
      <c r="BL171" s="648"/>
      <c r="BM171" s="648"/>
      <c r="BN171" s="648"/>
    </row>
    <row r="172" spans="1:66" x14ac:dyDescent="0.25">
      <c r="B172" s="2867" t="s">
        <v>205</v>
      </c>
      <c r="C172" s="1828" t="s">
        <v>51</v>
      </c>
      <c r="D172" s="135">
        <v>25</v>
      </c>
      <c r="E172" s="932">
        <f>+$D$172</f>
        <v>25</v>
      </c>
      <c r="F172" s="164">
        <v>25.57</v>
      </c>
      <c r="G172" s="932">
        <f>+$D$172</f>
        <v>25</v>
      </c>
      <c r="H172" s="164">
        <v>25.217173913043485</v>
      </c>
      <c r="I172" s="70">
        <f>+$D$172</f>
        <v>25</v>
      </c>
      <c r="J172" s="136">
        <f>+((F172*F$119)+(H$119*H172))/J$119</f>
        <v>25.396335415818864</v>
      </c>
      <c r="K172" s="932">
        <f>+$D$172</f>
        <v>25</v>
      </c>
      <c r="L172" s="164">
        <v>24.937555555555555</v>
      </c>
      <c r="M172" s="106">
        <f>+$D$172</f>
        <v>25</v>
      </c>
      <c r="N172" s="144">
        <f t="shared" si="767"/>
        <v>25.246114420172834</v>
      </c>
      <c r="O172" s="932">
        <f>+$D$172</f>
        <v>25</v>
      </c>
      <c r="P172" s="164">
        <v>24.735494505494504</v>
      </c>
      <c r="Q172" s="70">
        <f>+$D$172</f>
        <v>25</v>
      </c>
      <c r="R172" s="136">
        <f t="shared" si="768"/>
        <v>25.114177334552004</v>
      </c>
      <c r="S172" s="932">
        <f>+$D$172</f>
        <v>25</v>
      </c>
      <c r="T172" s="2701">
        <v>24.842417582417593</v>
      </c>
      <c r="U172" s="70">
        <f>+$D$172</f>
        <v>25</v>
      </c>
      <c r="V172" s="136">
        <f t="shared" si="769"/>
        <v>25.057529851819993</v>
      </c>
      <c r="W172" s="69">
        <f>+$D$172</f>
        <v>25</v>
      </c>
      <c r="X172" s="164">
        <v>25.081162790697665</v>
      </c>
      <c r="Y172" s="106">
        <f>+$D$172</f>
        <v>25</v>
      </c>
      <c r="Z172" s="144">
        <f>+((P172*P$119)+(T172*T$119)+(X$119*X172))/Z$119</f>
        <v>24.885773013826221</v>
      </c>
      <c r="AA172" s="800">
        <f>+$D$172</f>
        <v>25</v>
      </c>
      <c r="AB172" s="568">
        <f>+((N172*N$119)+(Z$119*Z172))/AB$119</f>
        <v>25.061526900620773</v>
      </c>
      <c r="AC172" s="932">
        <f>+$D$172</f>
        <v>25</v>
      </c>
      <c r="AD172" s="2701">
        <v>24.977608695652158</v>
      </c>
      <c r="AE172" s="70">
        <f>+$D$172</f>
        <v>25</v>
      </c>
      <c r="AF172" s="136">
        <f t="shared" si="770"/>
        <v>25.048846866619893</v>
      </c>
      <c r="AG172" s="932">
        <f>+$D$172</f>
        <v>25</v>
      </c>
      <c r="AH172" s="2701">
        <v>25.05644736842105</v>
      </c>
      <c r="AI172" s="70">
        <f>+$D$172</f>
        <v>25</v>
      </c>
      <c r="AJ172" s="136">
        <f t="shared" si="771"/>
        <v>25.049793469915123</v>
      </c>
      <c r="AK172" s="69">
        <f>+$D$172</f>
        <v>25</v>
      </c>
      <c r="AL172" s="164">
        <v>25.08</v>
      </c>
      <c r="AM172" s="106">
        <f>+$D$172</f>
        <v>25</v>
      </c>
      <c r="AN172" s="144">
        <f>+((AD172*AD$119)+(AH172*AH$119)+(AL$119*AL172))/AN$119</f>
        <v>25.037322819015014</v>
      </c>
      <c r="AO172" s="70">
        <f>+$D$172</f>
        <v>25</v>
      </c>
      <c r="AP172" s="136">
        <f>+((AL172*AL$119)+(AJ$119*AJ172))/AP$119</f>
        <v>25.053251450992494</v>
      </c>
      <c r="AQ172" s="69">
        <f>+$D$172</f>
        <v>25</v>
      </c>
      <c r="AR172" s="164">
        <v>25.116881720430108</v>
      </c>
      <c r="AS172" s="70">
        <f>+$D$172</f>
        <v>25</v>
      </c>
      <c r="AT172" s="136">
        <f t="shared" si="772"/>
        <v>25.059774080412293</v>
      </c>
      <c r="AU172" s="69">
        <f>+$D$172</f>
        <v>25</v>
      </c>
      <c r="AV172" s="164">
        <v>25.079425287356326</v>
      </c>
      <c r="AW172" s="70">
        <f>+$D$172</f>
        <v>25</v>
      </c>
      <c r="AX172" s="136">
        <f t="shared" si="773"/>
        <v>25.061495966378686</v>
      </c>
      <c r="AY172" s="69">
        <f>+$D$172</f>
        <v>25</v>
      </c>
      <c r="AZ172" s="164">
        <v>25.043684210526315</v>
      </c>
      <c r="BA172" s="106">
        <f>+$D$172</f>
        <v>25</v>
      </c>
      <c r="BB172" s="144">
        <f>+((AR172*AR$119)+(AV172*AV$119)+(AZ$119*AZ172))/BB$119</f>
        <v>25.080005200480802</v>
      </c>
      <c r="BC172" s="800">
        <f>+$D$172</f>
        <v>25</v>
      </c>
      <c r="BD172" s="568">
        <f>+((AN172*AN$119)+(BB$119*BB172))/BD$119</f>
        <v>25.058461576918589</v>
      </c>
      <c r="BE172" s="70">
        <f>+$D$172</f>
        <v>25</v>
      </c>
      <c r="BF172" s="136">
        <f t="shared" si="774"/>
        <v>25.059972107633982</v>
      </c>
      <c r="BG172" s="648"/>
      <c r="BH172" s="648"/>
      <c r="BI172" s="648"/>
      <c r="BJ172" s="648"/>
      <c r="BK172" s="648"/>
      <c r="BL172" s="648"/>
      <c r="BM172" s="648"/>
      <c r="BN172" s="648"/>
    </row>
    <row r="173" spans="1:66" s="183" customFormat="1" ht="18.75" x14ac:dyDescent="0.25">
      <c r="A173" s="182"/>
      <c r="B173" s="2930" t="s">
        <v>201</v>
      </c>
      <c r="C173" s="1833"/>
      <c r="D173" s="1812"/>
      <c r="E173" s="1816"/>
      <c r="F173" s="1810"/>
      <c r="G173" s="1816"/>
      <c r="H173" s="1810"/>
      <c r="I173" s="1816"/>
      <c r="J173" s="1808"/>
      <c r="K173" s="1816"/>
      <c r="L173" s="1810"/>
      <c r="M173" s="1816"/>
      <c r="N173" s="1810"/>
      <c r="O173" s="1816"/>
      <c r="P173" s="1810"/>
      <c r="Q173" s="1816"/>
      <c r="R173" s="1808"/>
      <c r="S173" s="1816"/>
      <c r="T173" s="2748"/>
      <c r="U173" s="1816"/>
      <c r="V173" s="1810"/>
      <c r="W173" s="1812"/>
      <c r="X173" s="1810"/>
      <c r="Y173" s="1816"/>
      <c r="Z173" s="1808"/>
      <c r="AA173" s="3817"/>
      <c r="AB173" s="1810"/>
      <c r="AC173" s="1816"/>
      <c r="AD173" s="2748"/>
      <c r="AE173" s="1816"/>
      <c r="AF173" s="1810"/>
      <c r="AG173" s="1816"/>
      <c r="AH173" s="2748"/>
      <c r="AI173" s="1816"/>
      <c r="AJ173" s="1810"/>
      <c r="AK173" s="1812"/>
      <c r="AL173" s="1810"/>
      <c r="AM173" s="1816"/>
      <c r="AN173" s="1808"/>
      <c r="AO173" s="1816"/>
      <c r="AP173" s="1810"/>
      <c r="AQ173" s="1812"/>
      <c r="AR173" s="1810"/>
      <c r="AS173" s="1816"/>
      <c r="AT173" s="1810"/>
      <c r="AU173" s="1812"/>
      <c r="AV173" s="1810"/>
      <c r="AW173" s="1816"/>
      <c r="AX173" s="1810"/>
      <c r="AY173" s="1812"/>
      <c r="AZ173" s="1810"/>
      <c r="BA173" s="1816"/>
      <c r="BB173" s="1808"/>
      <c r="BC173" s="3817"/>
      <c r="BD173" s="1810"/>
      <c r="BE173" s="1816"/>
      <c r="BF173" s="1810"/>
      <c r="BG173" s="648"/>
      <c r="BH173" s="648"/>
      <c r="BI173" s="648"/>
      <c r="BJ173" s="648"/>
      <c r="BK173" s="648"/>
      <c r="BL173" s="648"/>
      <c r="BM173" s="648"/>
      <c r="BN173" s="648"/>
    </row>
    <row r="174" spans="1:66" x14ac:dyDescent="0.25">
      <c r="B174" s="2867" t="s">
        <v>206</v>
      </c>
      <c r="C174" s="1828" t="s">
        <v>51</v>
      </c>
      <c r="D174" s="135">
        <v>1</v>
      </c>
      <c r="E174" s="932">
        <f>+$D$174</f>
        <v>1</v>
      </c>
      <c r="F174" s="164">
        <v>0.37</v>
      </c>
      <c r="G174" s="932">
        <f>+$D$174</f>
        <v>1</v>
      </c>
      <c r="H174" s="164">
        <v>0.38858695652173919</v>
      </c>
      <c r="I174" s="70">
        <f>+$D$174</f>
        <v>1</v>
      </c>
      <c r="J174" s="136">
        <f t="shared" ref="J174:J179" si="775">+((F174*F$18)+(H$18*H174))/J$18</f>
        <v>0.37911386296695043</v>
      </c>
      <c r="K174" s="932">
        <f>+$D$174</f>
        <v>1</v>
      </c>
      <c r="L174" s="164">
        <v>0.39177777777777784</v>
      </c>
      <c r="M174" s="106">
        <f>+$D$174</f>
        <v>1</v>
      </c>
      <c r="N174" s="144">
        <f t="shared" ref="N174:N179" si="776">+((F174*F$18)+(H174*H$18)+(L$18*L174))/N$18</f>
        <v>0.38326978872258627</v>
      </c>
      <c r="O174" s="932">
        <f>+$D$174</f>
        <v>1</v>
      </c>
      <c r="P174" s="164">
        <v>0.43827956989247319</v>
      </c>
      <c r="Q174" s="70">
        <f>+$D$174</f>
        <v>1</v>
      </c>
      <c r="R174" s="136">
        <f t="shared" ref="R174:R179" si="777">+((N174*N$18)+(P$18*P174))/R$18</f>
        <v>0.39741120400966157</v>
      </c>
      <c r="S174" s="932">
        <f>+$D$174</f>
        <v>1</v>
      </c>
      <c r="T174" s="2701">
        <v>0.4</v>
      </c>
      <c r="U174" s="70">
        <f>+$D$174</f>
        <v>1</v>
      </c>
      <c r="V174" s="136">
        <f t="shared" ref="V174:V179" si="778">+((R174*R$18)+(T$18*T174))/V$18</f>
        <v>0.39793839201779763</v>
      </c>
      <c r="W174" s="69">
        <f>+$D$174</f>
        <v>1</v>
      </c>
      <c r="X174" s="164">
        <v>0.4115555555555554</v>
      </c>
      <c r="Y174" s="106">
        <f>+$D$174</f>
        <v>1</v>
      </c>
      <c r="Z174" s="144">
        <f t="shared" ref="Z174:Z179" si="779">+((P174*P$18)+(T174*T$18)+(X$18*X174))/Z$18</f>
        <v>0.41669025023675826</v>
      </c>
      <c r="AA174" s="800">
        <f>+$D$174</f>
        <v>1</v>
      </c>
      <c r="AB174" s="568">
        <f t="shared" ref="AB174:AB179" si="780">+((N174*N$18)+(Z$18*Z174))/AB$18</f>
        <v>0.40019685410323852</v>
      </c>
      <c r="AC174" s="932">
        <f>+$D$174</f>
        <v>1</v>
      </c>
      <c r="AD174" s="2701">
        <v>0.41612903225806425</v>
      </c>
      <c r="AE174" s="70">
        <f>+$D$174</f>
        <v>1</v>
      </c>
      <c r="AF174" s="136">
        <f t="shared" ref="AF174:AF179" si="781">+((AB174*AB$18)+(AD$18*AD174))/AF$18</f>
        <v>0.40256503882136696</v>
      </c>
      <c r="AG174" s="932">
        <f>+$D$174</f>
        <v>1</v>
      </c>
      <c r="AH174" s="2701">
        <v>0.35724137931034472</v>
      </c>
      <c r="AI174" s="70">
        <f>+$D$174</f>
        <v>1</v>
      </c>
      <c r="AJ174" s="136">
        <f t="shared" ref="AJ174:AJ179" si="782">+((AF174*AF$18)+(AH$18*AH174))/AJ$18</f>
        <v>0.39685522765925857</v>
      </c>
      <c r="AK174" s="69">
        <f>+$D$174</f>
        <v>1</v>
      </c>
      <c r="AL174" s="164">
        <v>0.41</v>
      </c>
      <c r="AM174" s="106">
        <f>+$D$174</f>
        <v>1</v>
      </c>
      <c r="AN174" s="144">
        <f t="shared" ref="AN174:AN179" si="783">+((AD174*AD$18)+(AH174*AH$18)+(AL$18*AL174))/AN$18</f>
        <v>0.39488971351528956</v>
      </c>
      <c r="AO174" s="70">
        <f>+$D$174</f>
        <v>1</v>
      </c>
      <c r="AP174" s="136">
        <f t="shared" ref="AP174:AP179" si="784">+((AL174*AL$18)+(AJ$18*AJ174))/AP$18</f>
        <v>0.39838053808261542</v>
      </c>
      <c r="AQ174" s="69">
        <f>+$D$174</f>
        <v>1</v>
      </c>
      <c r="AR174" s="164">
        <v>0.32707317073170739</v>
      </c>
      <c r="AS174" s="70">
        <f>+$D$174</f>
        <v>1</v>
      </c>
      <c r="AT174" s="136">
        <f t="shared" ref="AT174:AT179" si="785">+((AP174*AP$18)+(AR$18*AR174))/AT$18</f>
        <v>0.39098219995661904</v>
      </c>
      <c r="AU174" s="69">
        <f>+$D$174</f>
        <v>1</v>
      </c>
      <c r="AV174" s="164">
        <v>0.25588235294117651</v>
      </c>
      <c r="AW174" s="70">
        <f>+$D$174</f>
        <v>1</v>
      </c>
      <c r="AX174" s="136">
        <f t="shared" ref="AX174:AX179" si="786">+((AT174*AT$18)+(AV$18*AV174))/AX$18</f>
        <v>0.37901233889082064</v>
      </c>
      <c r="AY174" s="69">
        <f>+$D$174</f>
        <v>1</v>
      </c>
      <c r="AZ174" s="164">
        <v>0.29000000000000004</v>
      </c>
      <c r="BA174" s="106">
        <f>+$D$174</f>
        <v>1</v>
      </c>
      <c r="BB174" s="144">
        <f t="shared" ref="BB174:BB179" si="787">+((AR174*AR$18)+(AV174*AV$18)+(AZ$18*AZ174))/BB$18</f>
        <v>0.29173824832680889</v>
      </c>
      <c r="BC174" s="800">
        <f>+$D$174</f>
        <v>1</v>
      </c>
      <c r="BD174" s="568">
        <f t="shared" ref="BD174:BD179" si="788">+((AN174*AN$18)+(BB$18*BB174))/BD$18</f>
        <v>0.34347978021904074</v>
      </c>
      <c r="BE174" s="70">
        <f>+$D$174</f>
        <v>1</v>
      </c>
      <c r="BF174" s="136">
        <f t="shared" ref="BF174:BF179" si="789">+((AX174*AX$18)+(AZ$18*AZ174))/BF$18</f>
        <v>0.37131927252162772</v>
      </c>
      <c r="BG174" s="648"/>
      <c r="BH174" s="648"/>
      <c r="BI174" s="648"/>
      <c r="BJ174" s="648"/>
      <c r="BK174" s="648"/>
      <c r="BL174" s="648"/>
      <c r="BM174" s="648"/>
      <c r="BN174" s="648"/>
    </row>
    <row r="175" spans="1:66" x14ac:dyDescent="0.25">
      <c r="B175" s="2867" t="s">
        <v>207</v>
      </c>
      <c r="C175" s="1828" t="s">
        <v>51</v>
      </c>
      <c r="D175" s="135">
        <v>14.5</v>
      </c>
      <c r="E175" s="932">
        <f>+$D$175</f>
        <v>14.5</v>
      </c>
      <c r="F175" s="164">
        <v>13.94</v>
      </c>
      <c r="G175" s="932">
        <f>+$D$175</f>
        <v>14.5</v>
      </c>
      <c r="H175" s="164">
        <v>13.924565217391308</v>
      </c>
      <c r="I175" s="70">
        <f>+$D$175</f>
        <v>14.5</v>
      </c>
      <c r="J175" s="136">
        <f t="shared" si="775"/>
        <v>13.932431762916334</v>
      </c>
      <c r="K175" s="932">
        <f>+$D$175</f>
        <v>14.5</v>
      </c>
      <c r="L175" s="164">
        <v>14.038444444444448</v>
      </c>
      <c r="M175" s="106">
        <f>+$D$175</f>
        <v>14.5</v>
      </c>
      <c r="N175" s="144">
        <f t="shared" si="776"/>
        <v>13.967222018549611</v>
      </c>
      <c r="O175" s="932">
        <f>+$D$175</f>
        <v>14.5</v>
      </c>
      <c r="P175" s="164">
        <v>14.030322580645159</v>
      </c>
      <c r="Q175" s="70">
        <f>+$D$175</f>
        <v>14.5</v>
      </c>
      <c r="R175" s="136">
        <f t="shared" si="777"/>
        <v>13.983443338366994</v>
      </c>
      <c r="S175" s="932">
        <f>+$D$175</f>
        <v>14.5</v>
      </c>
      <c r="T175" s="2701">
        <v>14.211505376344091</v>
      </c>
      <c r="U175" s="70">
        <f>+$D$175</f>
        <v>14.5</v>
      </c>
      <c r="V175" s="136">
        <f t="shared" si="778"/>
        <v>14.029886384470784</v>
      </c>
      <c r="W175" s="69">
        <f>+$D$175</f>
        <v>14.5</v>
      </c>
      <c r="X175" s="164">
        <v>14.285222222222218</v>
      </c>
      <c r="Y175" s="106">
        <f>+$D$175</f>
        <v>14.5</v>
      </c>
      <c r="Z175" s="144">
        <f t="shared" si="779"/>
        <v>14.17455731370551</v>
      </c>
      <c r="AA175" s="800">
        <f>+$D$175</f>
        <v>14.5</v>
      </c>
      <c r="AB175" s="568">
        <f t="shared" si="780"/>
        <v>14.072234874082216</v>
      </c>
      <c r="AC175" s="932">
        <f>+$D$175</f>
        <v>14.5</v>
      </c>
      <c r="AD175" s="2701">
        <v>14.450967741935482</v>
      </c>
      <c r="AE175" s="70">
        <f>+$D$175</f>
        <v>14.5</v>
      </c>
      <c r="AF175" s="136">
        <f t="shared" si="781"/>
        <v>14.128530339848862</v>
      </c>
      <c r="AG175" s="932">
        <f>+$D$175</f>
        <v>14.5</v>
      </c>
      <c r="AH175" s="2701">
        <v>14.173493975903613</v>
      </c>
      <c r="AI175" s="70">
        <f>+$D$175</f>
        <v>14.5</v>
      </c>
      <c r="AJ175" s="136">
        <f t="shared" si="782"/>
        <v>14.134194795760061</v>
      </c>
      <c r="AK175" s="69">
        <f>+$D$175</f>
        <v>14.5</v>
      </c>
      <c r="AL175" s="164">
        <v>14</v>
      </c>
      <c r="AM175" s="106">
        <f>+$D$175</f>
        <v>14.5</v>
      </c>
      <c r="AN175" s="144">
        <f t="shared" si="783"/>
        <v>14.207777310015626</v>
      </c>
      <c r="AO175" s="70">
        <f>+$D$175</f>
        <v>14.5</v>
      </c>
      <c r="AP175" s="136">
        <f t="shared" si="784"/>
        <v>14.118622923123009</v>
      </c>
      <c r="AQ175" s="69">
        <f>+$D$175</f>
        <v>14.5</v>
      </c>
      <c r="AR175" s="164">
        <v>13.827195121951222</v>
      </c>
      <c r="AS175" s="70">
        <f>+$D$175</f>
        <v>14.5</v>
      </c>
      <c r="AT175" s="136">
        <f t="shared" si="785"/>
        <v>14.088386476420746</v>
      </c>
      <c r="AU175" s="69">
        <f>+$D$175</f>
        <v>14.5</v>
      </c>
      <c r="AV175" s="164">
        <v>12.570705882352941</v>
      </c>
      <c r="AW175" s="70">
        <f>+$D$175</f>
        <v>14.5</v>
      </c>
      <c r="AX175" s="136">
        <f t="shared" si="786"/>
        <v>13.953919811546037</v>
      </c>
      <c r="AY175" s="69">
        <f>+$D$175</f>
        <v>14.5</v>
      </c>
      <c r="AZ175" s="164">
        <v>12.494210526315792</v>
      </c>
      <c r="BA175" s="106">
        <f>+$D$175</f>
        <v>14.5</v>
      </c>
      <c r="BB175" s="144">
        <f t="shared" si="787"/>
        <v>12.972404504739552</v>
      </c>
      <c r="BC175" s="800">
        <f>+$D$175</f>
        <v>14.5</v>
      </c>
      <c r="BD175" s="568">
        <f t="shared" si="788"/>
        <v>13.592076569369867</v>
      </c>
      <c r="BE175" s="70">
        <f>+$D$175</f>
        <v>14.5</v>
      </c>
      <c r="BF175" s="136">
        <f t="shared" si="789"/>
        <v>13.827761567071894</v>
      </c>
      <c r="BG175" s="648"/>
      <c r="BH175" s="648"/>
      <c r="BI175" s="648"/>
      <c r="BJ175" s="648"/>
      <c r="BK175" s="648"/>
      <c r="BL175" s="648"/>
      <c r="BM175" s="648"/>
      <c r="BN175" s="648"/>
    </row>
    <row r="176" spans="1:66" x14ac:dyDescent="0.25">
      <c r="B176" s="2867" t="s">
        <v>208</v>
      </c>
      <c r="C176" s="1828" t="s">
        <v>51</v>
      </c>
      <c r="D176" s="135">
        <v>87</v>
      </c>
      <c r="E176" s="932">
        <f>+$D$176</f>
        <v>87</v>
      </c>
      <c r="F176" s="164">
        <v>89.61</v>
      </c>
      <c r="G176" s="932">
        <f>+$D$176</f>
        <v>87</v>
      </c>
      <c r="H176" s="164">
        <v>89.547246376811572</v>
      </c>
      <c r="I176" s="70">
        <f>+$D$176</f>
        <v>87</v>
      </c>
      <c r="J176" s="136">
        <f t="shared" si="775"/>
        <v>89.579229608852302</v>
      </c>
      <c r="K176" s="932">
        <f>+$D$176</f>
        <v>87</v>
      </c>
      <c r="L176" s="164">
        <v>89.087619047619071</v>
      </c>
      <c r="M176" s="106">
        <f>+$D$176</f>
        <v>87</v>
      </c>
      <c r="N176" s="144">
        <f t="shared" si="776"/>
        <v>89.417897428109498</v>
      </c>
      <c r="O176" s="932">
        <f>+$D$176</f>
        <v>87</v>
      </c>
      <c r="P176" s="164">
        <v>89.377142857142857</v>
      </c>
      <c r="Q176" s="70">
        <f>+$D$176</f>
        <v>87</v>
      </c>
      <c r="R176" s="136">
        <f t="shared" si="777"/>
        <v>89.407420612884479</v>
      </c>
      <c r="S176" s="932">
        <f>+$D$176</f>
        <v>87</v>
      </c>
      <c r="T176" s="2701">
        <v>89.392258064516128</v>
      </c>
      <c r="U176" s="70">
        <f>+$D$176</f>
        <v>87</v>
      </c>
      <c r="V176" s="136">
        <f t="shared" si="778"/>
        <v>89.404332878778575</v>
      </c>
      <c r="W176" s="69">
        <f>+$D$176</f>
        <v>87</v>
      </c>
      <c r="X176" s="164">
        <v>89.442656249999999</v>
      </c>
      <c r="Y176" s="106">
        <f>+$D$176</f>
        <v>87</v>
      </c>
      <c r="Z176" s="144">
        <f t="shared" si="779"/>
        <v>89.40366518401818</v>
      </c>
      <c r="AA176" s="800">
        <f>+$D$176</f>
        <v>87</v>
      </c>
      <c r="AB176" s="568">
        <f t="shared" si="780"/>
        <v>89.410688966127452</v>
      </c>
      <c r="AC176" s="932">
        <f>+$D$176</f>
        <v>87</v>
      </c>
      <c r="AD176" s="2701">
        <v>89.01873015873015</v>
      </c>
      <c r="AE176" s="70">
        <f>+$D$176</f>
        <v>87</v>
      </c>
      <c r="AF176" s="136">
        <f t="shared" si="781"/>
        <v>89.352427575324924</v>
      </c>
      <c r="AG176" s="932">
        <f>+$D$176</f>
        <v>87</v>
      </c>
      <c r="AH176" s="2701">
        <v>88.46863636363635</v>
      </c>
      <c r="AI176" s="70">
        <f>+$D$176</f>
        <v>87</v>
      </c>
      <c r="AJ176" s="136">
        <f t="shared" si="782"/>
        <v>89.241088795978442</v>
      </c>
      <c r="AK176" s="69">
        <f>+$D$176</f>
        <v>87</v>
      </c>
      <c r="AL176" s="164">
        <v>89.47</v>
      </c>
      <c r="AM176" s="106">
        <f>+$D$176</f>
        <v>87</v>
      </c>
      <c r="AN176" s="144">
        <f t="shared" si="783"/>
        <v>88.992744096238823</v>
      </c>
      <c r="AO176" s="70">
        <f>+$D$176</f>
        <v>87</v>
      </c>
      <c r="AP176" s="136">
        <f t="shared" si="784"/>
        <v>89.267651496074436</v>
      </c>
      <c r="AQ176" s="69">
        <f>+$D$176</f>
        <v>87</v>
      </c>
      <c r="AR176" s="164">
        <v>89.349365079365072</v>
      </c>
      <c r="AS176" s="70">
        <f>+$D$176</f>
        <v>87</v>
      </c>
      <c r="AT176" s="136">
        <f t="shared" si="785"/>
        <v>89.276129508110643</v>
      </c>
      <c r="AU176" s="69">
        <f>+$D$176</f>
        <v>87</v>
      </c>
      <c r="AV176" s="164">
        <v>90.296964285714282</v>
      </c>
      <c r="AW176" s="70">
        <f>+$D$176</f>
        <v>87</v>
      </c>
      <c r="AX176" s="136">
        <f t="shared" si="786"/>
        <v>89.366575579878969</v>
      </c>
      <c r="AY176" s="69">
        <f>+$D$176</f>
        <v>87</v>
      </c>
      <c r="AZ176" s="164">
        <v>90.347096774193574</v>
      </c>
      <c r="BA176" s="106">
        <f>+$D$176</f>
        <v>87</v>
      </c>
      <c r="BB176" s="144">
        <f t="shared" si="787"/>
        <v>89.991443538679746</v>
      </c>
      <c r="BC176" s="800">
        <f>+$D$176</f>
        <v>87</v>
      </c>
      <c r="BD176" s="568">
        <f t="shared" si="788"/>
        <v>89.490488569621462</v>
      </c>
      <c r="BE176" s="70">
        <f>+$D$176</f>
        <v>87</v>
      </c>
      <c r="BF176" s="136">
        <f t="shared" si="789"/>
        <v>89.451319051607257</v>
      </c>
      <c r="BG176" s="648"/>
      <c r="BH176" s="648"/>
      <c r="BI176" s="648"/>
      <c r="BJ176" s="648"/>
      <c r="BK176" s="648"/>
      <c r="BL176" s="648"/>
      <c r="BM176" s="648"/>
      <c r="BN176" s="648"/>
    </row>
    <row r="177" spans="1:66" x14ac:dyDescent="0.25">
      <c r="B177" s="2867" t="s">
        <v>209</v>
      </c>
      <c r="C177" s="1828" t="s">
        <v>51</v>
      </c>
      <c r="D177" s="135">
        <v>6.3999999999999995</v>
      </c>
      <c r="E177" s="932">
        <f>+$D$177</f>
        <v>6.3999999999999995</v>
      </c>
      <c r="F177" s="164">
        <v>5.65</v>
      </c>
      <c r="G177" s="932">
        <f>+$D$177</f>
        <v>6.3999999999999995</v>
      </c>
      <c r="H177" s="164">
        <v>5.6581159420289859</v>
      </c>
      <c r="I177" s="70">
        <f>+$D$177</f>
        <v>6.3999999999999995</v>
      </c>
      <c r="J177" s="136">
        <f t="shared" si="775"/>
        <v>5.6539795425040875</v>
      </c>
      <c r="K177" s="932">
        <f>+$D$177</f>
        <v>6.3999999999999995</v>
      </c>
      <c r="L177" s="164">
        <v>5.7982539682539658</v>
      </c>
      <c r="M177" s="106">
        <f>+$D$177</f>
        <v>6.3999999999999995</v>
      </c>
      <c r="N177" s="144">
        <f t="shared" si="776"/>
        <v>5.7013261814234246</v>
      </c>
      <c r="O177" s="932">
        <f>+$D$177</f>
        <v>6.3999999999999995</v>
      </c>
      <c r="P177" s="164">
        <v>5.7893650793650799</v>
      </c>
      <c r="Q177" s="70">
        <f>+$D$177</f>
        <v>6.3999999999999995</v>
      </c>
      <c r="R177" s="136">
        <f t="shared" si="777"/>
        <v>5.723958422285544</v>
      </c>
      <c r="S177" s="932">
        <f>+$D$177</f>
        <v>6.3999999999999995</v>
      </c>
      <c r="T177" s="2701">
        <v>5.7772580645161291</v>
      </c>
      <c r="U177" s="70">
        <f>+$D$177</f>
        <v>6.3999999999999995</v>
      </c>
      <c r="V177" s="136">
        <f t="shared" si="778"/>
        <v>5.7348124765744002</v>
      </c>
      <c r="W177" s="69">
        <f>+$D$177</f>
        <v>6.3999999999999995</v>
      </c>
      <c r="X177" s="164">
        <v>5.7423437499999999</v>
      </c>
      <c r="Y177" s="106">
        <f>+$D$177</f>
        <v>6.3999999999999995</v>
      </c>
      <c r="Z177" s="144">
        <f t="shared" si="779"/>
        <v>5.7699070403453492</v>
      </c>
      <c r="AA177" s="800">
        <f>+$D$177</f>
        <v>6.3999999999999995</v>
      </c>
      <c r="AB177" s="556">
        <f t="shared" si="780"/>
        <v>5.7360615689745647</v>
      </c>
      <c r="AC177" s="932">
        <f>+$D$177</f>
        <v>6.3999999999999995</v>
      </c>
      <c r="AD177" s="2701">
        <v>5.8439682539682511</v>
      </c>
      <c r="AE177" s="70">
        <f>+$D$177</f>
        <v>6.3999999999999995</v>
      </c>
      <c r="AF177" s="136">
        <f t="shared" si="781"/>
        <v>5.7521009930823439</v>
      </c>
      <c r="AG177" s="932">
        <f>+$D$177</f>
        <v>6.3999999999999995</v>
      </c>
      <c r="AH177" s="2701">
        <v>5.967272727272726</v>
      </c>
      <c r="AI177" s="70">
        <f>+$D$177</f>
        <v>6.3999999999999995</v>
      </c>
      <c r="AJ177" s="136">
        <f t="shared" si="782"/>
        <v>5.7792080268679031</v>
      </c>
      <c r="AK177" s="69">
        <f>+$D$177</f>
        <v>6.3999999999999995</v>
      </c>
      <c r="AL177" s="164">
        <v>5.86</v>
      </c>
      <c r="AM177" s="106">
        <f>+$D$177</f>
        <v>6.3999999999999995</v>
      </c>
      <c r="AN177" s="144">
        <f t="shared" si="783"/>
        <v>5.889525503233779</v>
      </c>
      <c r="AO177" s="70">
        <f>+$D$177</f>
        <v>6.3999999999999995</v>
      </c>
      <c r="AP177" s="136">
        <f t="shared" si="784"/>
        <v>5.7885830723648874</v>
      </c>
      <c r="AQ177" s="69">
        <f>+$D$177</f>
        <v>6.3999999999999995</v>
      </c>
      <c r="AR177" s="164">
        <v>5.8576190476190462</v>
      </c>
      <c r="AS177" s="70">
        <f>+$D$177</f>
        <v>6.3999999999999995</v>
      </c>
      <c r="AT177" s="136">
        <f t="shared" si="785"/>
        <v>5.79574574722953</v>
      </c>
      <c r="AU177" s="69">
        <f>+$D$177</f>
        <v>6.3999999999999995</v>
      </c>
      <c r="AV177" s="164">
        <v>5.5628571428571432</v>
      </c>
      <c r="AW177" s="70">
        <f>+$D$177</f>
        <v>6.3999999999999995</v>
      </c>
      <c r="AX177" s="136">
        <f t="shared" si="786"/>
        <v>5.7751117916794055</v>
      </c>
      <c r="AY177" s="69">
        <f>+$D$177</f>
        <v>6.3999999999999995</v>
      </c>
      <c r="AZ177" s="164">
        <v>5.5590322580645184</v>
      </c>
      <c r="BA177" s="106">
        <f>+$D$177</f>
        <v>6.3999999999999995</v>
      </c>
      <c r="BB177" s="144">
        <f t="shared" si="787"/>
        <v>5.661901507087566</v>
      </c>
      <c r="BC177" s="800">
        <f>+$D$177</f>
        <v>6.3999999999999995</v>
      </c>
      <c r="BD177" s="568">
        <f t="shared" si="788"/>
        <v>5.7760793739217036</v>
      </c>
      <c r="BE177" s="70">
        <f>+$D$177</f>
        <v>6.3999999999999995</v>
      </c>
      <c r="BF177" s="136">
        <f t="shared" si="789"/>
        <v>5.7564366932173545</v>
      </c>
      <c r="BG177" s="648"/>
      <c r="BH177" s="648"/>
      <c r="BI177" s="648"/>
      <c r="BJ177" s="648"/>
      <c r="BK177" s="648"/>
      <c r="BL177" s="648"/>
      <c r="BM177" s="648"/>
      <c r="BN177" s="648"/>
    </row>
    <row r="178" spans="1:66" x14ac:dyDescent="0.25">
      <c r="B178" s="2867" t="s">
        <v>210</v>
      </c>
      <c r="C178" s="1828" t="s">
        <v>51</v>
      </c>
      <c r="D178" s="135">
        <v>66</v>
      </c>
      <c r="E178" s="932">
        <f>+$D$178</f>
        <v>66</v>
      </c>
      <c r="F178" s="164">
        <v>67.209999999999994</v>
      </c>
      <c r="G178" s="932">
        <f>+$D$178</f>
        <v>66</v>
      </c>
      <c r="H178" s="164">
        <v>67.205714285714294</v>
      </c>
      <c r="I178" s="70">
        <f>+$D$178</f>
        <v>66</v>
      </c>
      <c r="J178" s="136">
        <f t="shared" si="775"/>
        <v>67.207898557912387</v>
      </c>
      <c r="K178" s="932">
        <f>+$D$178</f>
        <v>66</v>
      </c>
      <c r="L178" s="164">
        <v>67.036153846153837</v>
      </c>
      <c r="M178" s="106">
        <f>+$D$178</f>
        <v>66</v>
      </c>
      <c r="N178" s="144">
        <f t="shared" si="776"/>
        <v>67.15153697607505</v>
      </c>
      <c r="O178" s="932">
        <f>+$D$178</f>
        <v>66</v>
      </c>
      <c r="P178" s="164">
        <v>67.272307692307706</v>
      </c>
      <c r="Q178" s="70">
        <f>+$D$178</f>
        <v>66</v>
      </c>
      <c r="R178" s="136">
        <f t="shared" si="777"/>
        <v>67.182583615716993</v>
      </c>
      <c r="S178" s="932">
        <f>+$D$178</f>
        <v>66</v>
      </c>
      <c r="T178" s="2701">
        <v>67.02000000000001</v>
      </c>
      <c r="U178" s="70">
        <f>+$D$178</f>
        <v>66</v>
      </c>
      <c r="V178" s="136">
        <f t="shared" si="778"/>
        <v>67.14947473697751</v>
      </c>
      <c r="W178" s="69">
        <f>+$D$178</f>
        <v>66</v>
      </c>
      <c r="X178" s="164">
        <v>67.080666666666673</v>
      </c>
      <c r="Y178" s="106">
        <f>+$D$178</f>
        <v>66</v>
      </c>
      <c r="Z178" s="144">
        <f t="shared" si="779"/>
        <v>67.124933510757586</v>
      </c>
      <c r="AA178" s="800">
        <f>+$D$178</f>
        <v>66</v>
      </c>
      <c r="AB178" s="568">
        <f t="shared" si="780"/>
        <v>67.138062638008549</v>
      </c>
      <c r="AC178" s="932">
        <f>+$D$178</f>
        <v>66</v>
      </c>
      <c r="AD178" s="2701">
        <v>66.760000000000005</v>
      </c>
      <c r="AE178" s="70">
        <f>+$D$178</f>
        <v>66</v>
      </c>
      <c r="AF178" s="136">
        <f t="shared" si="781"/>
        <v>67.081866796289574</v>
      </c>
      <c r="AG178" s="932">
        <f>+$D$178</f>
        <v>66</v>
      </c>
      <c r="AH178" s="2701">
        <v>66.539333333333332</v>
      </c>
      <c r="AI178" s="70">
        <f>+$D$178</f>
        <v>66</v>
      </c>
      <c r="AJ178" s="136">
        <f t="shared" si="782"/>
        <v>67.013519190292513</v>
      </c>
      <c r="AK178" s="69">
        <f>+$D$178</f>
        <v>66</v>
      </c>
      <c r="AL178" s="164">
        <v>67.3</v>
      </c>
      <c r="AM178" s="106">
        <f>+$D$178</f>
        <v>66</v>
      </c>
      <c r="AN178" s="144">
        <f t="shared" si="783"/>
        <v>66.871289617720251</v>
      </c>
      <c r="AO178" s="70">
        <f>+$D$178</f>
        <v>66</v>
      </c>
      <c r="AP178" s="136">
        <f t="shared" si="784"/>
        <v>67.04676222819468</v>
      </c>
      <c r="AQ178" s="69">
        <f>+$D$178</f>
        <v>66</v>
      </c>
      <c r="AR178" s="164">
        <v>67.348260869565223</v>
      </c>
      <c r="AS178" s="70">
        <f>+$D$178</f>
        <v>66</v>
      </c>
      <c r="AT178" s="136">
        <f t="shared" si="785"/>
        <v>67.078043552639187</v>
      </c>
      <c r="AU178" s="69">
        <f>+$D$178</f>
        <v>66</v>
      </c>
      <c r="AV178" s="164">
        <v>68.401739130434777</v>
      </c>
      <c r="AW178" s="70">
        <f>+$D$178</f>
        <v>66</v>
      </c>
      <c r="AX178" s="136">
        <f t="shared" si="786"/>
        <v>67.195323124079508</v>
      </c>
      <c r="AY178" s="69">
        <f>+$D$178</f>
        <v>66</v>
      </c>
      <c r="AZ178" s="164">
        <v>68.407333333333327</v>
      </c>
      <c r="BA178" s="106">
        <f>+$D$178</f>
        <v>66</v>
      </c>
      <c r="BB178" s="144">
        <f t="shared" si="787"/>
        <v>68.045004265720962</v>
      </c>
      <c r="BC178" s="800">
        <f>+$D$178</f>
        <v>66</v>
      </c>
      <c r="BD178" s="568">
        <f t="shared" si="788"/>
        <v>67.456260385244406</v>
      </c>
      <c r="BE178" s="70">
        <f>+$D$178</f>
        <v>66</v>
      </c>
      <c r="BF178" s="136">
        <f t="shared" si="789"/>
        <v>67.300073488985277</v>
      </c>
      <c r="BG178" s="648"/>
      <c r="BH178" s="648"/>
      <c r="BI178" s="648"/>
      <c r="BJ178" s="648"/>
      <c r="BK178" s="648"/>
      <c r="BL178" s="648"/>
      <c r="BM178" s="648"/>
      <c r="BN178" s="648"/>
    </row>
    <row r="179" spans="1:66" x14ac:dyDescent="0.25">
      <c r="B179" s="2867" t="s">
        <v>211</v>
      </c>
      <c r="C179" s="1828" t="s">
        <v>51</v>
      </c>
      <c r="D179" s="135">
        <v>20</v>
      </c>
      <c r="E179" s="932">
        <f>+$D$179</f>
        <v>20</v>
      </c>
      <c r="F179" s="164">
        <v>19.98</v>
      </c>
      <c r="G179" s="932">
        <f>+$D$179</f>
        <v>20</v>
      </c>
      <c r="H179" s="164">
        <v>19.965</v>
      </c>
      <c r="I179" s="70">
        <f>+$D$179</f>
        <v>20</v>
      </c>
      <c r="J179" s="136">
        <f t="shared" si="775"/>
        <v>19.972644952693337</v>
      </c>
      <c r="K179" s="932">
        <f>+$D$179</f>
        <v>20</v>
      </c>
      <c r="L179" s="164">
        <v>20.39153846153846</v>
      </c>
      <c r="M179" s="106">
        <f>+$D$179</f>
        <v>20</v>
      </c>
      <c r="N179" s="144">
        <f t="shared" si="776"/>
        <v>20.110113527639033</v>
      </c>
      <c r="O179" s="932">
        <f>+$D$179</f>
        <v>20</v>
      </c>
      <c r="P179" s="164">
        <v>20.270769230769226</v>
      </c>
      <c r="Q179" s="70">
        <f>+$D$179</f>
        <v>20</v>
      </c>
      <c r="R179" s="136">
        <f t="shared" si="777"/>
        <v>20.151413437725655</v>
      </c>
      <c r="S179" s="932">
        <f>+$D$179</f>
        <v>20</v>
      </c>
      <c r="T179" s="2701">
        <v>20.331538461538461</v>
      </c>
      <c r="U179" s="70">
        <f>+$D$179</f>
        <v>20</v>
      </c>
      <c r="V179" s="136">
        <f t="shared" si="778"/>
        <v>20.188094486705076</v>
      </c>
      <c r="W179" s="69">
        <f>+$D$179</f>
        <v>20</v>
      </c>
      <c r="X179" s="164">
        <v>20.385333333333332</v>
      </c>
      <c r="Y179" s="106">
        <f>+$D$179</f>
        <v>20</v>
      </c>
      <c r="Z179" s="144">
        <f t="shared" si="779"/>
        <v>20.328665217712278</v>
      </c>
      <c r="AA179" s="800">
        <f>+$D$179</f>
        <v>20</v>
      </c>
      <c r="AB179" s="568">
        <f t="shared" si="780"/>
        <v>20.220807353496379</v>
      </c>
      <c r="AC179" s="932">
        <f>+$D$179</f>
        <v>20</v>
      </c>
      <c r="AD179" s="2701">
        <v>20.697499999999994</v>
      </c>
      <c r="AE179" s="70">
        <f>+$D$179</f>
        <v>20</v>
      </c>
      <c r="AF179" s="136">
        <f t="shared" si="781"/>
        <v>20.291663719130987</v>
      </c>
      <c r="AG179" s="932">
        <f>+$D$179</f>
        <v>20</v>
      </c>
      <c r="AH179" s="2701">
        <v>20.878666666666668</v>
      </c>
      <c r="AI179" s="70">
        <f>+$D$179</f>
        <v>20</v>
      </c>
      <c r="AJ179" s="136">
        <f t="shared" si="782"/>
        <v>20.365613528528321</v>
      </c>
      <c r="AK179" s="69">
        <f>+$D$179</f>
        <v>20</v>
      </c>
      <c r="AL179" s="164">
        <v>20.32</v>
      </c>
      <c r="AM179" s="106">
        <f>+$D$179</f>
        <v>20</v>
      </c>
      <c r="AN179" s="144">
        <f t="shared" si="783"/>
        <v>20.628454603747791</v>
      </c>
      <c r="AO179" s="70">
        <f>+$D$179</f>
        <v>20</v>
      </c>
      <c r="AP179" s="136">
        <f t="shared" si="784"/>
        <v>20.360320565766642</v>
      </c>
      <c r="AQ179" s="69">
        <f>+$D$179</f>
        <v>20</v>
      </c>
      <c r="AR179" s="164">
        <v>20.52304347826087</v>
      </c>
      <c r="AS179" s="70">
        <f>+$D$179</f>
        <v>20</v>
      </c>
      <c r="AT179" s="136">
        <f t="shared" si="785"/>
        <v>20.377203521514463</v>
      </c>
      <c r="AU179" s="69">
        <f>+$D$179</f>
        <v>20</v>
      </c>
      <c r="AV179" s="164">
        <v>20.314347826086959</v>
      </c>
      <c r="AW179" s="70">
        <f>+$D$179</f>
        <v>20</v>
      </c>
      <c r="AX179" s="136">
        <f t="shared" si="786"/>
        <v>20.371634500097471</v>
      </c>
      <c r="AY179" s="69">
        <f>+$D$179</f>
        <v>20</v>
      </c>
      <c r="AZ179" s="164">
        <v>20.547333333333327</v>
      </c>
      <c r="BA179" s="106">
        <f>+$D$179</f>
        <v>20</v>
      </c>
      <c r="BB179" s="144">
        <f t="shared" si="787"/>
        <v>20.464747297376285</v>
      </c>
      <c r="BC179" s="800">
        <f>+$D$179</f>
        <v>20</v>
      </c>
      <c r="BD179" s="568">
        <f t="shared" si="788"/>
        <v>20.546864083581262</v>
      </c>
      <c r="BE179" s="70">
        <f>+$D$179</f>
        <v>20</v>
      </c>
      <c r="BF179" s="136">
        <f t="shared" si="789"/>
        <v>20.386819617148841</v>
      </c>
      <c r="BG179" s="648"/>
      <c r="BH179" s="648"/>
      <c r="BI179" s="648"/>
      <c r="BJ179" s="648"/>
      <c r="BK179" s="648"/>
      <c r="BL179" s="648"/>
      <c r="BM179" s="648"/>
      <c r="BN179" s="648"/>
    </row>
    <row r="180" spans="1:66" s="183" customFormat="1" x14ac:dyDescent="0.25">
      <c r="A180" s="182"/>
      <c r="B180" s="2925" t="s">
        <v>5</v>
      </c>
      <c r="C180" s="1834"/>
      <c r="D180" s="1817"/>
      <c r="E180" s="1818"/>
      <c r="F180" s="1819"/>
      <c r="G180" s="1818"/>
      <c r="H180" s="1819"/>
      <c r="I180" s="1820"/>
      <c r="J180" s="1817"/>
      <c r="K180" s="1818"/>
      <c r="L180" s="1819"/>
      <c r="M180" s="1818"/>
      <c r="N180" s="1819"/>
      <c r="O180" s="1818"/>
      <c r="P180" s="1819"/>
      <c r="Q180" s="1820"/>
      <c r="R180" s="1817"/>
      <c r="S180" s="1818"/>
      <c r="T180" s="2751"/>
      <c r="U180" s="1820"/>
      <c r="V180" s="1819"/>
      <c r="W180" s="1817"/>
      <c r="X180" s="1819"/>
      <c r="Y180" s="1817"/>
      <c r="Z180" s="1817"/>
      <c r="AA180" s="3818"/>
      <c r="AB180" s="1819"/>
      <c r="AC180" s="1818"/>
      <c r="AD180" s="2751"/>
      <c r="AE180" s="1820"/>
      <c r="AF180" s="1819"/>
      <c r="AG180" s="1818"/>
      <c r="AH180" s="2751"/>
      <c r="AI180" s="1820"/>
      <c r="AJ180" s="1819"/>
      <c r="AK180" s="1817"/>
      <c r="AL180" s="1819"/>
      <c r="AM180" s="1817"/>
      <c r="AN180" s="1817"/>
      <c r="AO180" s="1820"/>
      <c r="AP180" s="1819"/>
      <c r="AQ180" s="1817"/>
      <c r="AR180" s="1819"/>
      <c r="AS180" s="1820"/>
      <c r="AT180" s="1819"/>
      <c r="AU180" s="1817"/>
      <c r="AV180" s="1819"/>
      <c r="AW180" s="1820"/>
      <c r="AX180" s="1819"/>
      <c r="AY180" s="1817"/>
      <c r="AZ180" s="1819"/>
      <c r="BA180" s="1817"/>
      <c r="BB180" s="1817"/>
      <c r="BC180" s="3818"/>
      <c r="BD180" s="1819"/>
      <c r="BE180" s="1820"/>
      <c r="BF180" s="1819"/>
      <c r="BG180" s="648"/>
      <c r="BH180" s="648"/>
      <c r="BI180" s="648"/>
      <c r="BJ180" s="648"/>
      <c r="BK180" s="648"/>
      <c r="BL180" s="648"/>
      <c r="BM180" s="648"/>
      <c r="BN180" s="648"/>
    </row>
    <row r="181" spans="1:66" x14ac:dyDescent="0.25">
      <c r="B181" s="2884" t="s">
        <v>220</v>
      </c>
      <c r="C181" s="1828" t="s">
        <v>215</v>
      </c>
      <c r="D181" s="1884">
        <f>+(D182*D14)/1000000</f>
        <v>384.75603599999994</v>
      </c>
      <c r="E181" s="1183">
        <f>+(E182*E14)/1000000</f>
        <v>31.644649999999999</v>
      </c>
      <c r="F181" s="492">
        <v>31.628900000000002</v>
      </c>
      <c r="G181" s="1183">
        <f>+(G182*G14)/1000000</f>
        <v>32.699471666666668</v>
      </c>
      <c r="H181" s="492">
        <v>30.751999999999999</v>
      </c>
      <c r="I181" s="71">
        <f>+(I182*I14)/1000000</f>
        <v>64.344121666666666</v>
      </c>
      <c r="J181" s="157">
        <f>+F181+H181</f>
        <v>62.380899999999997</v>
      </c>
      <c r="K181" s="1183">
        <f>+(K182*K14)/1000000</f>
        <v>31.644649999999999</v>
      </c>
      <c r="L181" s="492">
        <v>30.198</v>
      </c>
      <c r="M181" s="284">
        <f>+(M182*M14)/1000000</f>
        <v>95.988771666666651</v>
      </c>
      <c r="N181" s="153">
        <f>+L181+H181+F181</f>
        <v>92.578900000000004</v>
      </c>
      <c r="O181" s="1183">
        <f>+(O182*O14)/1000000</f>
        <v>32.699471666666668</v>
      </c>
      <c r="P181" s="492">
        <v>32.0747</v>
      </c>
      <c r="Q181" s="71">
        <f>+(Q182*Q14)/1000000</f>
        <v>128.6882433333333</v>
      </c>
      <c r="R181" s="157">
        <f>+N181+P181</f>
        <v>124.65360000000001</v>
      </c>
      <c r="S181" s="1183">
        <f>+(S182*S14)/1000000</f>
        <v>32.034397666666656</v>
      </c>
      <c r="T181" s="2717">
        <v>31.658300000000001</v>
      </c>
      <c r="U181" s="71">
        <f>+(U182*U14)/1000000</f>
        <v>160.72264099999998</v>
      </c>
      <c r="V181" s="157">
        <f>+R181+T181</f>
        <v>156.31190000000001</v>
      </c>
      <c r="W181" s="2892">
        <f>+(W182*W14)/1000000</f>
        <v>31.001029999999989</v>
      </c>
      <c r="X181" s="492">
        <v>30.83</v>
      </c>
      <c r="Y181" s="284">
        <f>+(Y182*Y14)/1000000</f>
        <v>95.734899333333317</v>
      </c>
      <c r="Z181" s="284">
        <f>+P181+T181+X181</f>
        <v>94.563000000000002</v>
      </c>
      <c r="AA181" s="554">
        <f>+(AA182*AA14)/1000000</f>
        <v>191.72367099999997</v>
      </c>
      <c r="AB181" s="574">
        <f>+N181+Z181</f>
        <v>187.14190000000002</v>
      </c>
      <c r="AC181" s="1183">
        <f>+(AC182*AC14)/1000000</f>
        <v>32.699471666666668</v>
      </c>
      <c r="AD181" s="2717">
        <f>32437.1/1000</f>
        <v>32.437100000000001</v>
      </c>
      <c r="AE181" s="71">
        <f>+(AE182*AE14)/1000000</f>
        <v>224.42314266666662</v>
      </c>
      <c r="AF181" s="157">
        <f>+AB181+AD181</f>
        <v>219.57900000000001</v>
      </c>
      <c r="AG181" s="1183">
        <f>+(AG182*AG14)/1000000</f>
        <v>31.644649999999999</v>
      </c>
      <c r="AH181" s="2717">
        <v>31.2</v>
      </c>
      <c r="AI181" s="71">
        <f>+(AI182*AI14)/1000000</f>
        <v>256.06779266666661</v>
      </c>
      <c r="AJ181" s="157">
        <f>+AF181+AH181</f>
        <v>250.779</v>
      </c>
      <c r="AK181" s="2892">
        <f>+(AK182*AK14)/1000000</f>
        <v>32.699471666666668</v>
      </c>
      <c r="AL181" s="492">
        <v>32.735999999999997</v>
      </c>
      <c r="AM181" s="284">
        <f>+(AM182*AM14)/1000000</f>
        <v>97.043593333333334</v>
      </c>
      <c r="AN181" s="284">
        <f>+AD181+AH181+AL181</f>
        <v>96.373099999999994</v>
      </c>
      <c r="AO181" s="71">
        <f>+(AO182*AO14)/1000000</f>
        <v>288.76726433333323</v>
      </c>
      <c r="AP181" s="157">
        <f>+AL181+AJ181</f>
        <v>283.51499999999999</v>
      </c>
      <c r="AQ181" s="2892">
        <f>+(AQ182*AQ14)/1000000</f>
        <v>32.699471666666668</v>
      </c>
      <c r="AR181" s="492">
        <v>32.505000000000003</v>
      </c>
      <c r="AS181" s="71">
        <f>+(AS182*AS14)/1000000</f>
        <v>321.46673599999991</v>
      </c>
      <c r="AT181" s="157">
        <f>+AP181+AR181</f>
        <v>316.02</v>
      </c>
      <c r="AU181" s="2892">
        <f>+(AU182*AU14)/1000000</f>
        <v>30.589828333333333</v>
      </c>
      <c r="AV181" s="492">
        <v>30.460999999999999</v>
      </c>
      <c r="AW181" s="71">
        <f>+(AW182*AW14)/1000000</f>
        <v>352.05656433333326</v>
      </c>
      <c r="AX181" s="157">
        <f>+AT181+AV181</f>
        <v>346.48099999999999</v>
      </c>
      <c r="AY181" s="2892">
        <f>+(AY182*AY14)/1000000</f>
        <v>32.699471666666668</v>
      </c>
      <c r="AZ181" s="492">
        <v>32.415770000000002</v>
      </c>
      <c r="BA181" s="284">
        <f>+(BA182*BA14)/1000000</f>
        <v>95.988771666666651</v>
      </c>
      <c r="BB181" s="284">
        <f>+AR181+AV181+AZ181</f>
        <v>95.381770000000003</v>
      </c>
      <c r="BC181" s="554">
        <f>+(BC182*BC14)/1000000</f>
        <v>193.032365</v>
      </c>
      <c r="BD181" s="574">
        <f>+AN181+BB181</f>
        <v>191.75486999999998</v>
      </c>
      <c r="BE181" s="71">
        <f>+(BE182*BE14)/1000000</f>
        <v>384.75603599999994</v>
      </c>
      <c r="BF181" s="157">
        <f>+AX181+AZ181</f>
        <v>378.89677</v>
      </c>
      <c r="BG181" s="648"/>
      <c r="BH181" s="648"/>
      <c r="BI181" s="648"/>
      <c r="BJ181" s="648"/>
      <c r="BK181" s="648"/>
      <c r="BL181" s="648"/>
      <c r="BM181" s="648"/>
      <c r="BN181" s="648"/>
    </row>
    <row r="182" spans="1:66" x14ac:dyDescent="0.25">
      <c r="B182" s="2885" t="s">
        <v>221</v>
      </c>
      <c r="C182" s="1828" t="s">
        <v>216</v>
      </c>
      <c r="D182" s="4001">
        <v>340</v>
      </c>
      <c r="E182" s="3989">
        <f>+$D$182</f>
        <v>340</v>
      </c>
      <c r="F182" s="591">
        <f>+(F181*1000000)/F14</f>
        <v>341.68397832073168</v>
      </c>
      <c r="G182" s="3989">
        <f>+$D$182</f>
        <v>340</v>
      </c>
      <c r="H182" s="591">
        <f>+(H181*1000000)/H14</f>
        <v>342.72391511252874</v>
      </c>
      <c r="I182" s="3990">
        <f>+$D$182</f>
        <v>340</v>
      </c>
      <c r="J182" s="118">
        <f>+(J181*1000000)/J14</f>
        <v>342.19584752043238</v>
      </c>
      <c r="K182" s="3989">
        <f>+$D$182</f>
        <v>340</v>
      </c>
      <c r="L182" s="591">
        <f>+(L181*1000000)/L14</f>
        <v>340.25857984465375</v>
      </c>
      <c r="M182" s="3994">
        <f>+$D$182</f>
        <v>340</v>
      </c>
      <c r="N182" s="155">
        <f>+(N181*1000000)/N14</f>
        <v>341.56151694518326</v>
      </c>
      <c r="O182" s="3989">
        <f>+$D$182</f>
        <v>340</v>
      </c>
      <c r="P182" s="591">
        <f>+(P181*1000000)/P14</f>
        <v>342.87714834719912</v>
      </c>
      <c r="Q182" s="3990">
        <f>+$D$182</f>
        <v>340</v>
      </c>
      <c r="R182" s="118">
        <f>+(R181*1000000)/R14</f>
        <v>341.89907726942846</v>
      </c>
      <c r="S182" s="3989">
        <f>+$D$182</f>
        <v>340</v>
      </c>
      <c r="T182" s="2729">
        <f>+(T181*1000000)/T14</f>
        <v>340.14665986193558</v>
      </c>
      <c r="U182" s="3990">
        <f>+$D$182</f>
        <v>340</v>
      </c>
      <c r="V182" s="118">
        <f>+(V181*1000000)/V14</f>
        <v>341.54269843638662</v>
      </c>
      <c r="W182" s="3992">
        <f>+$D$182</f>
        <v>340</v>
      </c>
      <c r="X182" s="591">
        <f>+(X181*1000000)/X14</f>
        <v>339.18052093859387</v>
      </c>
      <c r="Y182" s="3994">
        <f>+$D$182</f>
        <v>340</v>
      </c>
      <c r="Z182" s="155">
        <f>+(Z181*1000000)/Z14</f>
        <v>340.75062213122374</v>
      </c>
      <c r="AA182" s="772">
        <f>+$D$182</f>
        <v>340</v>
      </c>
      <c r="AB182" s="578">
        <f>+(AB181*1000000)/AB14</f>
        <v>341.15128914374611</v>
      </c>
      <c r="AC182" s="4055">
        <f>+$D$182</f>
        <v>340</v>
      </c>
      <c r="AD182" s="2729">
        <f>+(AD181*1000000)/AD14</f>
        <v>339.08881074142062</v>
      </c>
      <c r="AE182" s="4054">
        <f>+$D$182</f>
        <v>340</v>
      </c>
      <c r="AF182" s="118">
        <f>+(AF181*1000000)/AF14</f>
        <v>340.84503347422992</v>
      </c>
      <c r="AG182" s="4168">
        <f>+$D$182</f>
        <v>340</v>
      </c>
      <c r="AH182" s="2729">
        <f>+(AH181*1000000)/AH14</f>
        <v>338.66660877493865</v>
      </c>
      <c r="AI182" s="4167">
        <f>+$D$182</f>
        <v>340</v>
      </c>
      <c r="AJ182" s="118">
        <f>+(AJ181*1000000)/AJ14</f>
        <v>340.57248537354303</v>
      </c>
      <c r="AK182" s="4289">
        <f>+$D$182</f>
        <v>340</v>
      </c>
      <c r="AL182" s="591">
        <f>+(AL181*1000000)/AL14</f>
        <v>338.639401174314</v>
      </c>
      <c r="AM182" s="4293">
        <f>+$D$182</f>
        <v>340</v>
      </c>
      <c r="AN182" s="155">
        <f>+(AN181*1000000)/AN14</f>
        <v>338.79934527383614</v>
      </c>
      <c r="AO182" s="4288">
        <f>+$D$182</f>
        <v>340</v>
      </c>
      <c r="AP182" s="118">
        <f>+(AP181*1000000)/AP14</f>
        <v>340.34815594179526</v>
      </c>
      <c r="AQ182" s="4408">
        <f>+$D$182</f>
        <v>340</v>
      </c>
      <c r="AR182" s="591">
        <f>+(AR181*1000000)/AR14</f>
        <v>337.01976239095848</v>
      </c>
      <c r="AS182" s="4406">
        <f>+$D$182</f>
        <v>340</v>
      </c>
      <c r="AT182" s="118">
        <f>+(AT181*1000000)/AT14</f>
        <v>340.0027757963469</v>
      </c>
      <c r="AU182" s="4650">
        <f>+$D$182</f>
        <v>340</v>
      </c>
      <c r="AV182" s="591">
        <f>+(AV181*1000000)/AV14</f>
        <v>337.11011164330807</v>
      </c>
      <c r="AW182" s="4648">
        <f>+$D$182</f>
        <v>340</v>
      </c>
      <c r="AX182" s="118">
        <f>+(AX181*1000000)/AX14</f>
        <v>339.74647737615442</v>
      </c>
      <c r="AY182" s="5066">
        <f>+$D$182</f>
        <v>340</v>
      </c>
      <c r="AZ182" s="591">
        <f>+(AZ181*1000000)/AZ14</f>
        <v>335.98469733073944</v>
      </c>
      <c r="BA182" s="5065">
        <f>+$D$182</f>
        <v>340</v>
      </c>
      <c r="BB182" s="155">
        <f>+(BB181*1000000)/BB14</f>
        <v>336.69606613353335</v>
      </c>
      <c r="BC182" s="772">
        <f>+$D$182</f>
        <v>340</v>
      </c>
      <c r="BD182" s="578">
        <f>+(BD181*1000000)/BD14</f>
        <v>337.7498680078856</v>
      </c>
      <c r="BE182" s="5063">
        <f>+$D$182</f>
        <v>340</v>
      </c>
      <c r="BF182" s="118">
        <f>+(BF181*1000000)/BF14</f>
        <v>339.4213537715284</v>
      </c>
      <c r="BG182" s="648"/>
      <c r="BH182" s="648"/>
      <c r="BI182" s="648"/>
      <c r="BJ182" s="648"/>
      <c r="BK182" s="648"/>
      <c r="BL182" s="648"/>
      <c r="BM182" s="648"/>
      <c r="BN182" s="648"/>
    </row>
    <row r="183" spans="1:66" x14ac:dyDescent="0.25">
      <c r="B183" s="2884" t="s">
        <v>222</v>
      </c>
      <c r="C183" s="1828" t="s">
        <v>217</v>
      </c>
      <c r="D183" s="4001">
        <v>4225</v>
      </c>
      <c r="E183" s="3989">
        <f>+$D$183</f>
        <v>4225</v>
      </c>
      <c r="F183" s="217">
        <v>4284.95</v>
      </c>
      <c r="G183" s="3989">
        <f>+$D$183</f>
        <v>4225</v>
      </c>
      <c r="H183" s="217">
        <v>4285.3999999999996</v>
      </c>
      <c r="I183" s="3990">
        <f>+$D$183</f>
        <v>4225</v>
      </c>
      <c r="J183" s="53">
        <f>+((F183*F181)+(H181*H183))/J181</f>
        <v>4285.1718371328407</v>
      </c>
      <c r="K183" s="3989">
        <f>+$D$183</f>
        <v>4225</v>
      </c>
      <c r="L183" s="217">
        <v>4282.9399999999996</v>
      </c>
      <c r="M183" s="3994">
        <f>+$D$183</f>
        <v>4225</v>
      </c>
      <c r="N183" s="98">
        <f>+((J183*J181)+(L181*L183))/N181</f>
        <v>4284.4438416853081</v>
      </c>
      <c r="O183" s="3989">
        <f>+$D$183</f>
        <v>4225</v>
      </c>
      <c r="P183" s="217">
        <v>4286.21</v>
      </c>
      <c r="Q183" s="3990">
        <f>+$D$183</f>
        <v>4225</v>
      </c>
      <c r="R183" s="53">
        <f>+((N183*N181)+(P181*P183))/R181</f>
        <v>4284.8982930456878</v>
      </c>
      <c r="S183" s="3989">
        <f>+$D$183</f>
        <v>4225</v>
      </c>
      <c r="T183" s="2697">
        <v>4286</v>
      </c>
      <c r="U183" s="3990">
        <f>+$D$183</f>
        <v>4225</v>
      </c>
      <c r="V183" s="53">
        <f>+((R183*R181)+(T181*T183))/V181</f>
        <v>4285.1214249330988</v>
      </c>
      <c r="W183" s="3992">
        <f>+$D$183</f>
        <v>4225</v>
      </c>
      <c r="X183" s="217">
        <v>4284.21</v>
      </c>
      <c r="Y183" s="3994">
        <f>+$D$183</f>
        <v>4225</v>
      </c>
      <c r="Z183" s="98">
        <f>+((P183*P181)+(T183*T181)+(X181*X183))/Z181</f>
        <v>4285.4876430210543</v>
      </c>
      <c r="AA183" s="772">
        <f>+$D$183</f>
        <v>4225</v>
      </c>
      <c r="AB183" s="546">
        <f>+((N183*N181)+(Z181*Z183))/AB181</f>
        <v>4284.9712756042327</v>
      </c>
      <c r="AC183" s="4055">
        <f>+$D$183</f>
        <v>4225</v>
      </c>
      <c r="AD183" s="2697">
        <v>4253.01</v>
      </c>
      <c r="AE183" s="4054">
        <f>+$D$183</f>
        <v>4225</v>
      </c>
      <c r="AF183" s="53">
        <f>+((AB183*AB181)+(AD181*AD183))/AF181</f>
        <v>4280.249826408718</v>
      </c>
      <c r="AG183" s="4168">
        <f>+$D$183</f>
        <v>4225</v>
      </c>
      <c r="AH183" s="2697">
        <v>4259.97</v>
      </c>
      <c r="AI183" s="4167">
        <f>+$D$183</f>
        <v>4225</v>
      </c>
      <c r="AJ183" s="53">
        <f>+((AF183*AF181)+(AH181*AH183))/AJ181</f>
        <v>4277.7267659293639</v>
      </c>
      <c r="AK183" s="4289">
        <f>+$D$183</f>
        <v>4225</v>
      </c>
      <c r="AL183" s="217">
        <v>4249.4399999999996</v>
      </c>
      <c r="AM183" s="4293">
        <f>+$D$183</f>
        <v>4225</v>
      </c>
      <c r="AN183" s="98">
        <f>+((AD183*AD181)+(AH183*AH181)+(AL181*AL183))/AN181</f>
        <v>4254.0505858066217</v>
      </c>
      <c r="AO183" s="4288">
        <f>+$D$183</f>
        <v>4225</v>
      </c>
      <c r="AP183" s="53">
        <f>+((AL183*AL181)+(AJ181*AJ183))/AP181</f>
        <v>4274.4606404352508</v>
      </c>
      <c r="AQ183" s="4408">
        <f>+$D$183</f>
        <v>4225</v>
      </c>
      <c r="AR183" s="217">
        <v>4259.84</v>
      </c>
      <c r="AS183" s="4406">
        <f>+$D$183</f>
        <v>4225</v>
      </c>
      <c r="AT183" s="53">
        <f>+((AP183*AP181)+(AR181*AR183))/AT181</f>
        <v>4272.956799167775</v>
      </c>
      <c r="AU183" s="4650">
        <f>+$D$183</f>
        <v>4225</v>
      </c>
      <c r="AV183" s="217">
        <v>4261.01</v>
      </c>
      <c r="AW183" s="4648">
        <f>+$D$183</f>
        <v>4225</v>
      </c>
      <c r="AX183" s="53">
        <f>+((AT183*AT181)+(AV181*AV183))/AX181</f>
        <v>4271.9064920818173</v>
      </c>
      <c r="AY183" s="5066">
        <f>+$D$183</f>
        <v>4225</v>
      </c>
      <c r="AZ183" s="217">
        <v>4252.96</v>
      </c>
      <c r="BA183" s="5065">
        <f>+$D$183</f>
        <v>4225</v>
      </c>
      <c r="BB183" s="98">
        <f>+((AR183*AR181)+(AV183*AV181)+(AZ181*AZ183))/BB181</f>
        <v>4257.8754618330113</v>
      </c>
      <c r="BC183" s="772">
        <f>+$D$183</f>
        <v>4225</v>
      </c>
      <c r="BD183" s="546">
        <f>+((AN183*AN181)+(BB181*BB183))/BD181</f>
        <v>4255.9531369409306</v>
      </c>
      <c r="BE183" s="5063">
        <f>+$D$183</f>
        <v>4225</v>
      </c>
      <c r="BF183" s="53">
        <f>+((AX183*AX181)+(AZ181*AZ183))/BF181</f>
        <v>4270.2855621128674</v>
      </c>
      <c r="BG183" s="648"/>
      <c r="BH183" s="648"/>
      <c r="BI183" s="648"/>
      <c r="BJ183" s="648"/>
      <c r="BK183" s="648"/>
      <c r="BL183" s="648"/>
      <c r="BM183" s="648"/>
      <c r="BN183" s="648"/>
    </row>
    <row r="184" spans="1:66" x14ac:dyDescent="0.25">
      <c r="B184" s="2884" t="s">
        <v>588</v>
      </c>
      <c r="C184" s="1828" t="s">
        <v>308</v>
      </c>
      <c r="D184" s="472">
        <v>10.427616681576046</v>
      </c>
      <c r="E184" s="939">
        <f>+(EMD!D22)/(24*E2)</f>
        <v>10.362837604249176</v>
      </c>
      <c r="F184" s="164">
        <f>+(EMD!E22)/(24*F2)</f>
        <v>9.0955555555555563</v>
      </c>
      <c r="G184" s="939">
        <f>+(EMD!F22)/(24*G2)</f>
        <v>10.562627729115222</v>
      </c>
      <c r="H184" s="164">
        <f>+(EMD!G22)/(24*H2)</f>
        <v>11.065725806451612</v>
      </c>
      <c r="I184" s="70">
        <f>+(EMD!H22)/(24*I2)</f>
        <v>10.464370290656511</v>
      </c>
      <c r="J184" s="70">
        <f>+(EMD!I22)/(24*J2)</f>
        <v>10.096789617486339</v>
      </c>
      <c r="K184" s="939">
        <f>+(EMD!J22)/(24*K2)</f>
        <v>10.362837604249176</v>
      </c>
      <c r="L184" s="164">
        <f>+(EMD!K22)/(24*L2)</f>
        <v>7.640444444444447</v>
      </c>
      <c r="M184" s="106">
        <f>+(EMD!L22)/(24*M2)</f>
        <v>10.43089797645629</v>
      </c>
      <c r="N184" s="144">
        <f>+((F184*F$2)+(H184*H$2)+(L184*L$2))/N$2</f>
        <v>9.287005494505495</v>
      </c>
      <c r="O184" s="939">
        <f>+(EMD!N22)/(24*O2)</f>
        <v>10.562627729115222</v>
      </c>
      <c r="P184" s="164">
        <f>+(EMD!O22)/(24*P2)</f>
        <v>3.2789112903225801</v>
      </c>
      <c r="Q184" s="70">
        <f>+(EMD!P22)/(24*Q2)</f>
        <v>10.464370290656511</v>
      </c>
      <c r="R184" s="70">
        <f>+(EMD!Q22)/(24*R2)</f>
        <v>7.7603586065573777</v>
      </c>
      <c r="S184" s="939">
        <f>+(EMD!R22)/(24*S2)</f>
        <v>10.34935554628896</v>
      </c>
      <c r="T184" s="2701">
        <f>+(EMD!S22)/(24*T2)</f>
        <v>1.2259408602150532</v>
      </c>
      <c r="U184" s="70">
        <f>+(EMD!T22)/(24*U2)</f>
        <v>10.441066649640863</v>
      </c>
      <c r="V184" s="2895">
        <f>+(EMD!U22)/(24*V2)</f>
        <v>6.4363916122004357</v>
      </c>
      <c r="W184" s="541">
        <f>+(EMD!V22)/(24*W2)</f>
        <v>10.154717965801611</v>
      </c>
      <c r="X184" s="164">
        <f>+(EMD!W22)/(24*X2)</f>
        <v>1.5984722222222223</v>
      </c>
      <c r="Y184" s="106">
        <f>+(EMD!X22)/(24*Y2)</f>
        <v>10.357750222951935</v>
      </c>
      <c r="Z184" s="106">
        <f>+((P184*P$2)+(T184*T$2)+(X184*X$2))/Z$2</f>
        <v>2.0391802536231878</v>
      </c>
      <c r="AA184" s="800">
        <f>+(EMD!Z22)/(24*AA2)</f>
        <v>10.394124242454101</v>
      </c>
      <c r="AB184" s="3730">
        <f>+((N184*N$2)+(Z184*Z$2))/AB$2</f>
        <v>5.6432900728597453</v>
      </c>
      <c r="AC184" s="939">
        <f>+(EMD!AB22)/(24*AC2)</f>
        <v>10.562627729115222</v>
      </c>
      <c r="AD184" s="2701">
        <f>+(EMD!AC22)/(24*AD2)</f>
        <v>4.0091397849462371</v>
      </c>
      <c r="AE184" s="70">
        <f>+(EMD!AD22)/(24*AE2)</f>
        <v>10.418533626035854</v>
      </c>
      <c r="AF184" s="2895">
        <f>+(EMD!AE22)/(24*AF2)</f>
        <v>5.4065673676012462</v>
      </c>
      <c r="AG184" s="939">
        <f>+(EMD!AF22)/(24*AG2)</f>
        <v>10.362837604249176</v>
      </c>
      <c r="AH184" s="2701">
        <f>+(EMD!AG22)/(24*AH2)</f>
        <v>3.6455833333333336</v>
      </c>
      <c r="AI184" s="70">
        <f>+(EMD!AH22)/(24*AI2)</f>
        <v>10.411685754504704</v>
      </c>
      <c r="AJ184" s="2895">
        <f>+(EMD!AI22)/(24*AJ2)</f>
        <v>5.1900529371584705</v>
      </c>
      <c r="AK184" s="541">
        <f>+(EMD!AJ22)/(24*AK2)</f>
        <v>10.562627729115222</v>
      </c>
      <c r="AL184" s="164">
        <f>+(EMD!AK22)/(24*AL2)</f>
        <v>3.4212634408602156</v>
      </c>
      <c r="AM184" s="106">
        <f>+(EMD!AL22)/(24*AM2)</f>
        <v>10.497478775354555</v>
      </c>
      <c r="AN184" s="143">
        <f>+(EMD!AM22)/(24*AN2)</f>
        <v>3.6925000000000003</v>
      </c>
      <c r="AO184" s="70">
        <f>+(EMD!AN22)/(24*AO2)</f>
        <v>10.428701031642618</v>
      </c>
      <c r="AP184" s="134">
        <f>+(EMD!AO22)/(24*AP2)</f>
        <v>4.9906621212121216</v>
      </c>
      <c r="AQ184" s="541">
        <f>+(EMD!AP22)/(24*AQ2)</f>
        <v>10.562627729115222</v>
      </c>
      <c r="AR184" s="164">
        <f>+(EMD!AQ22)/(24*AR2)</f>
        <v>3.6511021505376351</v>
      </c>
      <c r="AS184" s="70">
        <f>+(EMD!AR22)/(24*AS2)</f>
        <v>10.442268768968274</v>
      </c>
      <c r="AT184" s="2895">
        <f>+(EMD!AS22)/(24*AT2)</f>
        <v>4.8549550653594773</v>
      </c>
      <c r="AU184" s="541">
        <f>+(EMD!AT22)/(24*AU2)</f>
        <v>10.163047479383124</v>
      </c>
      <c r="AV184" s="164">
        <f>+(EMD!AU22)/(24*AV2)</f>
        <v>3.32155172413793</v>
      </c>
      <c r="AW184" s="70">
        <f>+(EMD!AV22)/(24*AW2)</f>
        <v>10.418097373750456</v>
      </c>
      <c r="AX184" s="2895">
        <f>+(EMD!AW22)/(24*AX2)</f>
        <v>4.7222126865671639</v>
      </c>
      <c r="AY184" s="541">
        <f>+(EMD!AX22)/(24*AY2)</f>
        <v>10.562627729115222</v>
      </c>
      <c r="AZ184" s="164">
        <f>+(EMD!AY22)/(24*AZ2)</f>
        <v>2.0533602150537642</v>
      </c>
      <c r="BA184" s="106">
        <f>+(EMD!AZ22)/(24*BA2)</f>
        <v>10.435288968211585</v>
      </c>
      <c r="BB184" s="144">
        <f>+(EMD!BA22)/(24*BB2)</f>
        <v>3.0017948717948717</v>
      </c>
      <c r="BC184" s="800">
        <f>+(EMD!BB22)/(24*BC2)</f>
        <v>10.466553789288925</v>
      </c>
      <c r="BD184" s="568">
        <f>+(EMD!BC22)/(24*BD2)</f>
        <v>3.3490346083788709</v>
      </c>
      <c r="BE184" s="70">
        <f>+(EMD!BD22)/(24*BE2)</f>
        <v>10.430339015871516</v>
      </c>
      <c r="BF184" s="136">
        <f>+(EMD!BE22)/(24*BF2)</f>
        <v>4.496162340619307</v>
      </c>
      <c r="BG184" s="648"/>
      <c r="BH184" s="648"/>
      <c r="BI184" s="648"/>
      <c r="BJ184" s="648"/>
      <c r="BK184" s="648"/>
      <c r="BL184" s="648"/>
      <c r="BM184" s="648"/>
      <c r="BN184" s="648"/>
    </row>
    <row r="185" spans="1:66" x14ac:dyDescent="0.25">
      <c r="B185" s="2884" t="s">
        <v>589</v>
      </c>
      <c r="C185" s="1828" t="s">
        <v>308</v>
      </c>
      <c r="D185" s="472">
        <v>51.6</v>
      </c>
      <c r="E185" s="939">
        <f>+(EMD!D60)/(24*E2)</f>
        <v>51.6</v>
      </c>
      <c r="F185" s="164">
        <f>+(EMD!E60)/(24*F2)</f>
        <v>51.19027777777778</v>
      </c>
      <c r="G185" s="939">
        <f>+(EMD!F60)/(24*G2)</f>
        <v>50.6</v>
      </c>
      <c r="H185" s="164">
        <f>+(EMD!G60)/(24*H2)</f>
        <v>38.638440860215056</v>
      </c>
      <c r="I185" s="70">
        <f>+(EMD!H60)/(24*I2)</f>
        <v>51.091803278688523</v>
      </c>
      <c r="J185" s="70">
        <f>+(EMD!I60)/(24*J2)</f>
        <v>44.811475409836063</v>
      </c>
      <c r="K185" s="939">
        <f>+(EMD!J60)/(24*K2)</f>
        <v>51.6</v>
      </c>
      <c r="L185" s="164">
        <f>+(EMD!K60)/(24*L2)</f>
        <v>58.918055555555554</v>
      </c>
      <c r="M185" s="106">
        <f>+(EMD!L60)/(24*M2)</f>
        <v>51.259340659340658</v>
      </c>
      <c r="N185" s="144">
        <f>+((F185*F$2)+(H185*H$2)+(L185*L$2))/N$2</f>
        <v>49.461996336996329</v>
      </c>
      <c r="O185" s="939">
        <f>+(EMD!N60)/(24*O2)</f>
        <v>50.6</v>
      </c>
      <c r="P185" s="164">
        <f>+(EMD!O60)/(24*P2)</f>
        <v>85.251344086021504</v>
      </c>
      <c r="Q185" s="70">
        <f>+(EMD!P60)/(24*Q2)</f>
        <v>51.091803278688523</v>
      </c>
      <c r="R185" s="70">
        <f>+(EMD!Q60)/(24*R2)</f>
        <v>58.556010928961747</v>
      </c>
      <c r="S185" s="939">
        <f>+(EMD!R60)/(24*S2)</f>
        <v>49.6</v>
      </c>
      <c r="T185" s="2701">
        <f>+(EMD!S60)/(24*T2)</f>
        <v>89.286290322580641</v>
      </c>
      <c r="U185" s="70">
        <f>+(EMD!T60)/(24*U2)</f>
        <v>50.789542483660128</v>
      </c>
      <c r="V185" s="2895">
        <f>+(EMD!U60)/(24*V2)</f>
        <v>64.782407407407405</v>
      </c>
      <c r="W185" s="541">
        <f>+(EMD!V60)/(24*W2)</f>
        <v>50.6</v>
      </c>
      <c r="X185" s="164">
        <f>+(EMD!W60)/(24*X2)</f>
        <v>85.109722222222217</v>
      </c>
      <c r="Y185" s="106">
        <f>+(EMD!X60)/(24*Y2)</f>
        <v>50.263043478260862</v>
      </c>
      <c r="Z185" s="106">
        <f>+((P185*P$2)+(T185*T$2)+(X185*X$2))/Z$2</f>
        <v>86.564764492753611</v>
      </c>
      <c r="AA185" s="800">
        <f>+(EMD!Z60)/(24*AA2)</f>
        <v>50.758469945355188</v>
      </c>
      <c r="AB185" s="3730">
        <f>+((N185*N$2)+(Z185*Z$2))/AB$2</f>
        <v>68.114754098360649</v>
      </c>
      <c r="AC185" s="939">
        <f>+(EMD!AB60)/(24*AC2)</f>
        <v>50.6</v>
      </c>
      <c r="AD185" s="2701">
        <f>+(EMD!AC60)/(24*AD2)</f>
        <v>84.096774193548384</v>
      </c>
      <c r="AE185" s="70">
        <f>+(EMD!AD60)/(24*AE2)</f>
        <v>50.735514018691582</v>
      </c>
      <c r="AF185" s="2895">
        <f>+(EMD!AE60)/(24*AF2)</f>
        <v>70.429906542056074</v>
      </c>
      <c r="AG185" s="939">
        <f>+(EMD!AF60)/(24*AG2)</f>
        <v>51.6</v>
      </c>
      <c r="AH185" s="2701">
        <f>+(EMD!AG60)/(24*AH2)</f>
        <v>87.002777777777794</v>
      </c>
      <c r="AI185" s="70">
        <f>+(EMD!AH60)/(24*AI2)</f>
        <v>50.841803278688523</v>
      </c>
      <c r="AJ185" s="2895">
        <f>+(EMD!AI60)/(24*AJ2)</f>
        <v>72.467554644808743</v>
      </c>
      <c r="AK185" s="541">
        <f>+(EMD!AJ60)/(24*AK2)</f>
        <v>50.6</v>
      </c>
      <c r="AL185" s="164">
        <f>+(EMD!AK60)/(24*AL2)</f>
        <v>87.923003072196622</v>
      </c>
      <c r="AM185" s="106">
        <f>+(EMD!AL60)/(24*AM2)</f>
        <v>50.926086956521736</v>
      </c>
      <c r="AN185" s="143">
        <f>+(EMD!AM60)/(24*AN2)</f>
        <v>86.333656832298132</v>
      </c>
      <c r="AO185" s="70">
        <f>+(EMD!AN60)/(24*AO2)</f>
        <v>50.814545454545453</v>
      </c>
      <c r="AP185" s="134">
        <f>+(EMD!AO60)/(24*AP2)</f>
        <v>74.209805194805199</v>
      </c>
      <c r="AQ185" s="541">
        <f>+(EMD!AP60)/(24*AQ2)</f>
        <v>50.6</v>
      </c>
      <c r="AR185" s="164">
        <f>+(EMD!AQ60)/(24*AR2)</f>
        <v>84.481182795698928</v>
      </c>
      <c r="AS185" s="70">
        <f>+(EMD!AR60)/(24*AS2)</f>
        <v>50.792810457516346</v>
      </c>
      <c r="AT185" s="2895">
        <f>+(EMD!AS60)/(24*AT2)</f>
        <v>75.250369592281359</v>
      </c>
      <c r="AU185" s="541">
        <f>+(EMD!AT60)/(24*AU2)</f>
        <v>52.600000000000009</v>
      </c>
      <c r="AV185" s="164">
        <f>+(EMD!AU60)/(24*AV2)</f>
        <v>86.973304597701159</v>
      </c>
      <c r="AW185" s="70">
        <f>+(EMD!AV60)/(24*AW2)</f>
        <v>50.949253731343283</v>
      </c>
      <c r="AX185" s="2895">
        <f>+(EMD!AW60)/(24*AX2)</f>
        <v>76.265190831556509</v>
      </c>
      <c r="AY185" s="541">
        <f>+(EMD!AX60)/(24*AY2)</f>
        <v>50.6</v>
      </c>
      <c r="AZ185" s="164">
        <f>+(EMD!AY60)/(24*AZ2)</f>
        <v>84.45564516129032</v>
      </c>
      <c r="BA185" s="5254">
        <f>+(EMD!AZ60)/(24*BA2)</f>
        <v>51.237362637362637</v>
      </c>
      <c r="BB185" s="98">
        <f>+(EMD!BA60)/(24*BB2)</f>
        <v>85.266675824175834</v>
      </c>
      <c r="BC185" s="772">
        <f>+(EMD!BB60)/(24*BC2)</f>
        <v>51.080874316939884</v>
      </c>
      <c r="BD185" s="546">
        <f>+(EMD!BC60)/(24*BD2)</f>
        <v>85.803081576893049</v>
      </c>
      <c r="BE185" s="5253">
        <f>+(EMD!BD60)/(24*BE2)</f>
        <v>50.919672131147543</v>
      </c>
      <c r="BF185" s="53">
        <f>+(EMD!BE60)/(24*BF2)</f>
        <v>76.958917837626856</v>
      </c>
      <c r="BG185" s="648"/>
      <c r="BH185" s="648"/>
      <c r="BI185" s="648"/>
      <c r="BJ185" s="648"/>
      <c r="BK185" s="648"/>
      <c r="BL185" s="648"/>
      <c r="BM185" s="648"/>
      <c r="BN185" s="648"/>
    </row>
    <row r="186" spans="1:66" x14ac:dyDescent="0.25">
      <c r="A186" s="181">
        <v>30.467097599999999</v>
      </c>
      <c r="B186" s="2923" t="s">
        <v>805</v>
      </c>
      <c r="C186" s="1828" t="s">
        <v>218</v>
      </c>
      <c r="D186" s="4001">
        <f>6.66760257273623*24*366*1000</f>
        <v>58568220.998915046</v>
      </c>
      <c r="E186" s="3989">
        <f>+'POWER DISTRIBUTION'!I20</f>
        <v>4817002.6749971965</v>
      </c>
      <c r="F186" s="591">
        <f>+'POWER DISTRIBUTION'!J20</f>
        <v>4878210.0000000019</v>
      </c>
      <c r="G186" s="3989">
        <f>+'POWER DISTRIBUTION'!K20</f>
        <v>4977569.4308304368</v>
      </c>
      <c r="H186" s="591">
        <f>+'POWER DISTRIBUTION'!L20</f>
        <v>4961269.9999999916</v>
      </c>
      <c r="I186" s="3990">
        <f>+'POWER DISTRIBUTION'!M20</f>
        <v>9794572.1058276333</v>
      </c>
      <c r="J186" s="53">
        <f>+'POWER DISTRIBUTION'!N20</f>
        <v>9839479.9999999925</v>
      </c>
      <c r="K186" s="3989">
        <f>+'POWER DISTRIBUTION'!O20</f>
        <v>4817002.6749971965</v>
      </c>
      <c r="L186" s="591">
        <f>+'POWER DISTRIBUTION'!P20</f>
        <v>4587389.9999999963</v>
      </c>
      <c r="M186" s="3994">
        <f>+'POWER DISTRIBUTION'!Q20</f>
        <v>14611574.780824829</v>
      </c>
      <c r="N186" s="155">
        <f>+L186+H186+F186</f>
        <v>14426869.999999991</v>
      </c>
      <c r="O186" s="3989">
        <f>+'POWER DISTRIBUTION'!S20</f>
        <v>4977569.4308304368</v>
      </c>
      <c r="P186" s="591">
        <f>+'POWER DISTRIBUTION'!T20</f>
        <v>4969400.0000000028</v>
      </c>
      <c r="Q186" s="3990">
        <f>+'POWER DISTRIBUTION'!U20</f>
        <v>19589144.211655267</v>
      </c>
      <c r="R186" s="53">
        <f>+'POWER DISTRIBUTION'!V20</f>
        <v>19396269.999999993</v>
      </c>
      <c r="S186" s="3989">
        <f>+'POWER DISTRIBUTION'!W20</f>
        <v>4876330.7305423589</v>
      </c>
      <c r="T186" s="2729">
        <f>+'POWER DISTRIBUTION'!X20</f>
        <v>4944069.9999999944</v>
      </c>
      <c r="U186" s="3990">
        <f>+'POWER DISTRIBUTION'!Y20</f>
        <v>24465474.942197625</v>
      </c>
      <c r="V186" s="53">
        <f>+'POWER DISTRIBUTION'!Z20</f>
        <v>24340339.999999985</v>
      </c>
      <c r="W186" s="3992">
        <f>+'POWER DISTRIBUTION'!AA20</f>
        <v>4719029.7392345406</v>
      </c>
      <c r="X186" s="591">
        <f>+'POWER DISTRIBUTION'!AB20</f>
        <v>4909690.0000000084</v>
      </c>
      <c r="Y186" s="3994">
        <f>+'POWER DISTRIBUTION'!AC20</f>
        <v>14572929.900607336</v>
      </c>
      <c r="Z186" s="3998">
        <f>+P186+T186+X186</f>
        <v>14823160.000000004</v>
      </c>
      <c r="AA186" s="772">
        <f>+'POWER DISTRIBUTION'!AE20</f>
        <v>29184504.681432165</v>
      </c>
      <c r="AB186" s="546">
        <f>+N186+Z186</f>
        <v>29250029.999999993</v>
      </c>
      <c r="AC186" s="4055">
        <f>+'POWER DISTRIBUTION'!AG20</f>
        <v>4977569.4308304368</v>
      </c>
      <c r="AD186" s="2729">
        <f>+'POWER DISTRIBUTION'!AH20</f>
        <v>5339940.0000000093</v>
      </c>
      <c r="AE186" s="4054">
        <f>+'POWER DISTRIBUTION'!AI20</f>
        <v>34162074.112262599</v>
      </c>
      <c r="AF186" s="53">
        <f>+'POWER DISTRIBUTION'!AJ20</f>
        <v>34589970</v>
      </c>
      <c r="AG186" s="4168">
        <f>+'POWER DISTRIBUTION'!AK20</f>
        <v>4817002.6749971965</v>
      </c>
      <c r="AH186" s="2729">
        <f>+'POWER DISTRIBUTION'!AL20</f>
        <v>4989619.9999999814</v>
      </c>
      <c r="AI186" s="4167">
        <f>+'POWER DISTRIBUTION'!AM20</f>
        <v>38979076.787259795</v>
      </c>
      <c r="AJ186" s="53">
        <f>+'POWER DISTRIBUTION'!AN20</f>
        <v>39579589.999999985</v>
      </c>
      <c r="AK186" s="4289">
        <f>+'POWER DISTRIBUTION'!AO20</f>
        <v>4977569.4308304368</v>
      </c>
      <c r="AL186" s="591">
        <f>+'POWER DISTRIBUTION'!AP20</f>
        <v>5320750.0000000009</v>
      </c>
      <c r="AM186" s="4293">
        <f>+'POWER DISTRIBUTION'!AQ20</f>
        <v>14772141.536658071</v>
      </c>
      <c r="AN186" s="4293">
        <f>+'POWER DISTRIBUTION'!AR20</f>
        <v>15650309.999999993</v>
      </c>
      <c r="AO186" s="4288">
        <f>+'POWER DISTRIBUTION'!AS20</f>
        <v>43956646.218090229</v>
      </c>
      <c r="AP186" s="53">
        <f>+'POWER DISTRIBUTION'!AT20</f>
        <v>44900339.999999985</v>
      </c>
      <c r="AQ186" s="4408">
        <f>+'POWER DISTRIBUTION'!AU20</f>
        <v>4977569.4308304368</v>
      </c>
      <c r="AR186" s="591">
        <f>+'POWER DISTRIBUTION'!AV20</f>
        <v>5151590.0000000093</v>
      </c>
      <c r="AS186" s="4406">
        <f>+'POWER DISTRIBUTION'!AW20</f>
        <v>48934215.648920663</v>
      </c>
      <c r="AT186" s="53">
        <f>+'POWER DISTRIBUTION'!AX20</f>
        <v>50051929.999999993</v>
      </c>
      <c r="AU186" s="4650">
        <f>+'POWER DISTRIBUTION'!AY20</f>
        <v>4656435.9191639582</v>
      </c>
      <c r="AV186" s="591">
        <f>+'POWER DISTRIBUTION'!AZ20</f>
        <v>4984969.9999999963</v>
      </c>
      <c r="AW186" s="4648">
        <f>+'POWER DISTRIBUTION'!BA20</f>
        <v>53590651.56808462</v>
      </c>
      <c r="AX186" s="53">
        <f>+'POWER DISTRIBUTION'!BB20</f>
        <v>55036899.999999985</v>
      </c>
      <c r="AY186" s="5066">
        <f>+'POWER DISTRIBUTION'!BC20</f>
        <v>4977569.4308304368</v>
      </c>
      <c r="AZ186" s="591">
        <f>+'POWER DISTRIBUTION'!BD20</f>
        <v>5145570.0000000037</v>
      </c>
      <c r="BA186" s="5254">
        <f>+'POWER DISTRIBUTION'!BE20</f>
        <v>14611574.780824833</v>
      </c>
      <c r="BB186" s="98">
        <f>+'POWER DISTRIBUTION'!BF20</f>
        <v>15282130.000000009</v>
      </c>
      <c r="BC186" s="772">
        <f>+'POWER DISTRIBUTION'!BG20</f>
        <v>29383716.317482904</v>
      </c>
      <c r="BD186" s="546">
        <f>+'POWER DISTRIBUTION'!BH20</f>
        <v>30932440</v>
      </c>
      <c r="BE186" s="5253">
        <f>+'POWER DISTRIBUTION'!BI20</f>
        <v>58568220.998915054</v>
      </c>
      <c r="BF186" s="53">
        <f>+'POWER DISTRIBUTION'!BJ20</f>
        <v>60182469.999999985</v>
      </c>
      <c r="BG186" s="648"/>
      <c r="BH186" s="648"/>
      <c r="BI186" s="648"/>
      <c r="BJ186" s="648"/>
      <c r="BK186" s="648"/>
      <c r="BL186" s="648"/>
      <c r="BM186" s="648"/>
      <c r="BN186" s="648"/>
    </row>
    <row r="187" spans="1:66" x14ac:dyDescent="0.25">
      <c r="B187" s="2923" t="s">
        <v>806</v>
      </c>
      <c r="C187" s="1828" t="s">
        <v>219</v>
      </c>
      <c r="D187" s="472">
        <f t="shared" ref="D187:AB187" si="790">+D186/D14</f>
        <v>51.755380751534503</v>
      </c>
      <c r="E187" s="939">
        <f t="shared" si="790"/>
        <v>51.755380751534517</v>
      </c>
      <c r="F187" s="1669">
        <f t="shared" si="790"/>
        <v>52.698835554950605</v>
      </c>
      <c r="G187" s="939">
        <f t="shared" ref="G187:H187" si="791">+G186/G14</f>
        <v>51.755380751534531</v>
      </c>
      <c r="H187" s="1669">
        <f t="shared" si="791"/>
        <v>55.292204680356811</v>
      </c>
      <c r="I187" s="70">
        <f t="shared" si="790"/>
        <v>51.755380751534524</v>
      </c>
      <c r="J187" s="134">
        <f t="shared" si="790"/>
        <v>53.975322538795396</v>
      </c>
      <c r="K187" s="939">
        <f t="shared" si="790"/>
        <v>51.755380751534517</v>
      </c>
      <c r="L187" s="1669">
        <f t="shared" si="790"/>
        <v>51.6888140470748</v>
      </c>
      <c r="M187" s="106">
        <f t="shared" si="790"/>
        <v>51.755380751534524</v>
      </c>
      <c r="N187" s="143">
        <f t="shared" si="790"/>
        <v>53.226638056522084</v>
      </c>
      <c r="O187" s="939">
        <f t="shared" ref="O187:P187" si="792">+O186/O14</f>
        <v>51.755380751534531</v>
      </c>
      <c r="P187" s="1669">
        <f t="shared" si="792"/>
        <v>53.122669923540116</v>
      </c>
      <c r="Q187" s="70">
        <f t="shared" si="790"/>
        <v>51.755380751534531</v>
      </c>
      <c r="R187" s="134">
        <f t="shared" si="790"/>
        <v>53.199962259162135</v>
      </c>
      <c r="S187" s="939">
        <f t="shared" si="790"/>
        <v>51.755380751534524</v>
      </c>
      <c r="T187" s="2735">
        <f t="shared" si="790"/>
        <v>53.120631765559047</v>
      </c>
      <c r="U187" s="70">
        <f t="shared" si="790"/>
        <v>51.755380751534524</v>
      </c>
      <c r="V187" s="134">
        <f t="shared" si="790"/>
        <v>53.183829282729683</v>
      </c>
      <c r="W187" s="541">
        <f t="shared" si="790"/>
        <v>51.755380751534524</v>
      </c>
      <c r="X187" s="1669">
        <f t="shared" si="790"/>
        <v>54.01463547995484</v>
      </c>
      <c r="Y187" s="106">
        <f t="shared" si="790"/>
        <v>51.755380751534524</v>
      </c>
      <c r="Z187" s="143">
        <f t="shared" si="790"/>
        <v>53.414136522219813</v>
      </c>
      <c r="AA187" s="800">
        <f t="shared" si="790"/>
        <v>51.755380751534524</v>
      </c>
      <c r="AB187" s="565">
        <f t="shared" si="790"/>
        <v>53.321492632025453</v>
      </c>
      <c r="AC187" s="939">
        <f t="shared" ref="AC187:AF187" si="793">+AC186/AC14</f>
        <v>51.755380751534531</v>
      </c>
      <c r="AD187" s="2735">
        <f t="shared" si="793"/>
        <v>55.822311613262116</v>
      </c>
      <c r="AE187" s="70">
        <f t="shared" si="793"/>
        <v>51.755380751534524</v>
      </c>
      <c r="AF187" s="134">
        <f t="shared" si="793"/>
        <v>53.692837122505374</v>
      </c>
      <c r="AG187" s="939">
        <f t="shared" ref="AG187:AN187" si="794">+AG186/AG14</f>
        <v>51.755380751534517</v>
      </c>
      <c r="AH187" s="2735">
        <f t="shared" si="794"/>
        <v>54.160823220371896</v>
      </c>
      <c r="AI187" s="70">
        <f t="shared" si="794"/>
        <v>51.755380751534524</v>
      </c>
      <c r="AJ187" s="134">
        <f t="shared" si="794"/>
        <v>53.751388020391765</v>
      </c>
      <c r="AK187" s="541">
        <f t="shared" si="794"/>
        <v>51.755380751534531</v>
      </c>
      <c r="AL187" s="1669">
        <f t="shared" si="794"/>
        <v>55.04079893078665</v>
      </c>
      <c r="AM187" s="106">
        <f t="shared" si="794"/>
        <v>51.755380751534531</v>
      </c>
      <c r="AN187" s="143">
        <f t="shared" si="794"/>
        <v>55.018618072185788</v>
      </c>
      <c r="AO187" s="70">
        <f t="shared" ref="AO187:AT187" si="795">+AO186/AO14</f>
        <v>51.755380751534517</v>
      </c>
      <c r="AP187" s="134">
        <f t="shared" si="795"/>
        <v>53.901020828385171</v>
      </c>
      <c r="AQ187" s="541">
        <f t="shared" si="795"/>
        <v>51.755380751534531</v>
      </c>
      <c r="AR187" s="1669">
        <f t="shared" si="795"/>
        <v>53.412940708679919</v>
      </c>
      <c r="AS187" s="70">
        <f t="shared" si="795"/>
        <v>51.755380751534517</v>
      </c>
      <c r="AT187" s="134">
        <f t="shared" si="795"/>
        <v>53.850373818000278</v>
      </c>
      <c r="AU187" s="541">
        <f t="shared" ref="AU187:AX187" si="796">+AU186/AU14</f>
        <v>51.755380751534538</v>
      </c>
      <c r="AV187" s="1669">
        <f t="shared" si="796"/>
        <v>55.168372451283282</v>
      </c>
      <c r="AW187" s="70">
        <f t="shared" si="796"/>
        <v>51.755380751534517</v>
      </c>
      <c r="AX187" s="134">
        <f t="shared" si="796"/>
        <v>53.967152313413052</v>
      </c>
      <c r="AY187" s="541">
        <f t="shared" ref="AY187:BF187" si="797">+AY186/AY14</f>
        <v>51.755380751534531</v>
      </c>
      <c r="AZ187" s="1669">
        <f t="shared" si="797"/>
        <v>53.333077666954509</v>
      </c>
      <c r="BA187" s="106">
        <f t="shared" si="797"/>
        <v>51.755380751534538</v>
      </c>
      <c r="BB187" s="143">
        <f t="shared" si="797"/>
        <v>53.945665436290987</v>
      </c>
      <c r="BC187" s="800">
        <f t="shared" si="797"/>
        <v>51.755380751534524</v>
      </c>
      <c r="BD187" s="565">
        <f t="shared" si="797"/>
        <v>54.483244817520628</v>
      </c>
      <c r="BE187" s="70">
        <f t="shared" si="797"/>
        <v>51.75538075153451</v>
      </c>
      <c r="BF187" s="134">
        <f t="shared" si="797"/>
        <v>53.912350429153534</v>
      </c>
      <c r="BG187" s="648"/>
      <c r="BH187" s="648"/>
      <c r="BI187" s="648"/>
      <c r="BJ187" s="648"/>
      <c r="BK187" s="648"/>
      <c r="BL187" s="648"/>
      <c r="BM187" s="648"/>
      <c r="BN187" s="648"/>
    </row>
    <row r="188" spans="1:66" ht="15.75" thickBot="1" x14ac:dyDescent="0.3">
      <c r="B188" s="2924" t="s">
        <v>223</v>
      </c>
      <c r="C188" s="1854" t="s">
        <v>1139</v>
      </c>
      <c r="D188" s="1883">
        <v>0.69</v>
      </c>
      <c r="E188" s="957">
        <f>+$D$188</f>
        <v>0.69</v>
      </c>
      <c r="F188" s="464">
        <v>0.63544</v>
      </c>
      <c r="G188" s="957">
        <f>+$D$188</f>
        <v>0.69</v>
      </c>
      <c r="H188" s="464">
        <v>0.65200000000000002</v>
      </c>
      <c r="I188" s="470">
        <f>+$D$188</f>
        <v>0.69</v>
      </c>
      <c r="J188" s="470">
        <f>+((F188*F14)+(H188*H14))/J14</f>
        <v>0.64359102803738311</v>
      </c>
      <c r="K188" s="957">
        <f>+$D$188</f>
        <v>0.69</v>
      </c>
      <c r="L188" s="464">
        <v>0.66700000000000004</v>
      </c>
      <c r="M188" s="471">
        <f>+$D$188</f>
        <v>0.69</v>
      </c>
      <c r="N188" s="2127">
        <f>+((F188*F14)+(H188*H14)+(L188*L14))/N14</f>
        <v>0.65125596088930271</v>
      </c>
      <c r="O188" s="957">
        <f>+$D$188</f>
        <v>0.69</v>
      </c>
      <c r="P188" s="464">
        <v>0.69599999999999995</v>
      </c>
      <c r="Q188" s="470">
        <f>+$D$188</f>
        <v>0.69</v>
      </c>
      <c r="R188" s="470">
        <f>+((N188*N14)+(P188*P14))/R14</f>
        <v>0.66273623745240562</v>
      </c>
      <c r="S188" s="957">
        <f>+$D$188</f>
        <v>0.69</v>
      </c>
      <c r="T188" s="2752">
        <v>0.65800000000000003</v>
      </c>
      <c r="U188" s="470">
        <f>+$D$188</f>
        <v>0.69</v>
      </c>
      <c r="V188" s="2896">
        <f>+((R188*R14)+(T188*T14))/V14</f>
        <v>0.66177305666620712</v>
      </c>
      <c r="W188" s="2887">
        <f>+$D$188</f>
        <v>0.69</v>
      </c>
      <c r="X188" s="464">
        <v>0.63839999999999997</v>
      </c>
      <c r="Y188" s="471">
        <f>+$D$188</f>
        <v>0.69</v>
      </c>
      <c r="Z188" s="471">
        <f>+((P188*P14)+(T188*T14)+(X188*X14))/Z14</f>
        <v>0.6643895407003183</v>
      </c>
      <c r="AA188" s="579">
        <f>+$D$188</f>
        <v>0.69</v>
      </c>
      <c r="AB188" s="3731">
        <f>+((N188*N14)+(Z188*Z14))/AB14</f>
        <v>0.65790017599355832</v>
      </c>
      <c r="AC188" s="957">
        <f>+$D$188</f>
        <v>0.69</v>
      </c>
      <c r="AD188" s="2752">
        <v>0.68245</v>
      </c>
      <c r="AE188" s="470">
        <f>+$D$188</f>
        <v>0.69</v>
      </c>
      <c r="AF188" s="2896">
        <f>+((AB188*AB14)+(AD188*AD14))/AF14</f>
        <v>0.66154555854841068</v>
      </c>
      <c r="AG188" s="957">
        <f>+$D$188</f>
        <v>0.69</v>
      </c>
      <c r="AH188" s="2752">
        <v>0.68749000000000005</v>
      </c>
      <c r="AI188" s="470">
        <f>+$D$188</f>
        <v>0.69</v>
      </c>
      <c r="AJ188" s="2896">
        <f>+((AF188*AF14)+(AH188*AH14))/AJ14</f>
        <v>0.66479153177085559</v>
      </c>
      <c r="AK188" s="2887">
        <f>+$D$188</f>
        <v>0.69</v>
      </c>
      <c r="AL188" s="464">
        <v>0.6764</v>
      </c>
      <c r="AM188" s="471">
        <f>+$D$188</f>
        <v>0.69</v>
      </c>
      <c r="AN188" s="471">
        <f>+((AD188*AD14)+(AH188*AH14)+(AL188*AL14))/AN14</f>
        <v>0.68202626441881109</v>
      </c>
      <c r="AO188" s="470">
        <f>+$D$188</f>
        <v>0.69</v>
      </c>
      <c r="AP188" s="2896">
        <f>+((AL188*AL14)+(AJ188*AJ14))/AP14</f>
        <v>0.66613866454569559</v>
      </c>
      <c r="AQ188" s="2887">
        <f>+$D$188</f>
        <v>0.69</v>
      </c>
      <c r="AR188" s="464">
        <v>0.66749000000000003</v>
      </c>
      <c r="AS188" s="470">
        <f>+$D$188</f>
        <v>0.69</v>
      </c>
      <c r="AT188" s="2896">
        <f>+((AP188*AP14)+(AR188*AR14))/AT14</f>
        <v>0.6662788896809233</v>
      </c>
      <c r="AU188" s="2887">
        <f>+$D$188</f>
        <v>0.69</v>
      </c>
      <c r="AV188" s="464">
        <v>0.6784</v>
      </c>
      <c r="AW188" s="470">
        <f>+$D$188</f>
        <v>0.69</v>
      </c>
      <c r="AX188" s="2896">
        <f>+((AT188*AT14)+(AV188*AV14))/AX14+0.001</f>
        <v>0.66835285515406517</v>
      </c>
      <c r="AY188" s="2887">
        <f>+$D$188</f>
        <v>0.69</v>
      </c>
      <c r="AZ188" s="464">
        <v>0.62</v>
      </c>
      <c r="BA188" s="471">
        <f>+$D$188</f>
        <v>0.69</v>
      </c>
      <c r="BB188" s="471">
        <f>+((AR188*AR14)+(AV188*AV14)+(AZ188*AZ14))/BB14</f>
        <v>0.65479613876823706</v>
      </c>
      <c r="BC188" s="579">
        <f>+$D$188</f>
        <v>0.69</v>
      </c>
      <c r="BD188" s="3731">
        <f>+((AN188*AN14)+(BB188*BB14))/BD14</f>
        <v>0.66843919588774658</v>
      </c>
      <c r="BE188" s="470">
        <f>+$D$188</f>
        <v>0.69</v>
      </c>
      <c r="BF188" s="2896">
        <f>+((AX188*AX14)+(AZ188*AZ14))/BF14</f>
        <v>0.66417380843366691</v>
      </c>
      <c r="BG188" s="648"/>
      <c r="BH188" s="648"/>
      <c r="BI188" s="648"/>
      <c r="BJ188" s="648"/>
      <c r="BK188" s="648"/>
      <c r="BL188" s="648"/>
      <c r="BM188" s="648"/>
      <c r="BN188" s="648"/>
    </row>
    <row r="189" spans="1:66" s="183" customFormat="1" ht="15.75" thickBot="1" x14ac:dyDescent="0.3">
      <c r="A189" s="648"/>
      <c r="B189" s="2912"/>
      <c r="C189" s="2893"/>
      <c r="D189" s="2893"/>
      <c r="E189" s="2893"/>
      <c r="F189" s="2893"/>
      <c r="G189" s="2893"/>
      <c r="H189" s="2893"/>
      <c r="I189" s="2893"/>
      <c r="J189" s="2893"/>
      <c r="K189" s="2893"/>
      <c r="L189" s="2893"/>
      <c r="M189" s="2893"/>
      <c r="N189" s="2893"/>
      <c r="O189" s="2893"/>
      <c r="P189" s="2893"/>
      <c r="Q189" s="2893"/>
      <c r="R189" s="2893"/>
      <c r="S189" s="2893"/>
      <c r="T189" s="2893"/>
      <c r="U189" s="2893"/>
      <c r="V189" s="2894"/>
      <c r="W189" s="2893"/>
      <c r="X189" s="2893"/>
      <c r="Y189" s="2893"/>
      <c r="Z189" s="2893"/>
      <c r="AA189" s="4003"/>
      <c r="AB189" s="2894"/>
      <c r="AC189" s="2893"/>
      <c r="AD189" s="2893"/>
      <c r="AE189" s="2893"/>
      <c r="AF189" s="2894"/>
      <c r="AG189" s="2893"/>
      <c r="AH189" s="2893"/>
      <c r="AI189" s="2893"/>
      <c r="AJ189" s="2894"/>
      <c r="AK189" s="2893"/>
      <c r="AL189" s="2893"/>
      <c r="AM189" s="2893"/>
      <c r="AN189" s="2893"/>
      <c r="AO189" s="2893"/>
      <c r="AP189" s="2894"/>
      <c r="AQ189" s="2893"/>
      <c r="AR189" s="2893"/>
      <c r="AS189" s="2893"/>
      <c r="AT189" s="2894"/>
      <c r="AU189" s="2893"/>
      <c r="AV189" s="2893"/>
      <c r="AW189" s="2893"/>
      <c r="AX189" s="2894"/>
      <c r="AY189" s="2893"/>
      <c r="AZ189" s="2893"/>
      <c r="BA189" s="2893"/>
      <c r="BB189" s="2893"/>
      <c r="BC189" s="4003"/>
      <c r="BD189" s="2894"/>
      <c r="BE189" s="2893"/>
      <c r="BF189" s="2894"/>
      <c r="BG189" s="648"/>
      <c r="BH189" s="648"/>
      <c r="BI189" s="648"/>
      <c r="BJ189" s="648"/>
      <c r="BK189" s="648"/>
      <c r="BL189" s="648"/>
      <c r="BM189" s="648"/>
      <c r="BN189" s="648"/>
    </row>
    <row r="190" spans="1:66" ht="15.75" thickBot="1" x14ac:dyDescent="0.3">
      <c r="B190" s="2901" t="s">
        <v>503</v>
      </c>
      <c r="C190" s="1684" t="s">
        <v>51</v>
      </c>
      <c r="D190" s="1885">
        <v>8.4328971572778286</v>
      </c>
      <c r="E190" s="1680">
        <f>+$D$190</f>
        <v>8.4328971572778286</v>
      </c>
      <c r="F190" s="123">
        <f>+((F145*F102)+(F170*F119))/F136</f>
        <v>8.3964531129071158</v>
      </c>
      <c r="G190" s="1680">
        <f>+$D$190</f>
        <v>8.4328971572778286</v>
      </c>
      <c r="H190" s="123">
        <f>+((H145*H102)+(H170*H119))/H136</f>
        <v>8.3405064630802421</v>
      </c>
      <c r="I190" s="1802">
        <f>+$D$190</f>
        <v>8.4328971572778286</v>
      </c>
      <c r="J190" s="694">
        <f>+((J145*J102)+(J170*J119))/J136</f>
        <v>8.3685936448338296</v>
      </c>
      <c r="K190" s="1680">
        <f>+$D$190</f>
        <v>8.4328971572778286</v>
      </c>
      <c r="L190" s="123">
        <f>+((L145*L102)+(L170*L119))/L136</f>
        <v>8.3242332897510032</v>
      </c>
      <c r="M190" s="2128">
        <f>+$D$190</f>
        <v>8.4328971572778286</v>
      </c>
      <c r="N190" s="124">
        <f>+((N145*N102)+(N170*N119))/N136</f>
        <v>8.3540318524466048</v>
      </c>
      <c r="O190" s="1680">
        <f>+$D$190</f>
        <v>8.4328971572778286</v>
      </c>
      <c r="P190" s="123">
        <f>+((P145*P102)+(P170*P119))/P136</f>
        <v>8.6726736984824306</v>
      </c>
      <c r="Q190" s="1802">
        <f>+$D$190</f>
        <v>8.4328971572778286</v>
      </c>
      <c r="R190" s="694">
        <f>+((R145*R102)+(R170*R119))/R136</f>
        <v>8.4362050674748854</v>
      </c>
      <c r="S190" s="1680">
        <f>+$D$190</f>
        <v>8.4328971572778286</v>
      </c>
      <c r="T190" s="2753">
        <f>+((T145*T102)+(T170*T119))/T136</f>
        <v>9.5949022371569406</v>
      </c>
      <c r="U190" s="1802">
        <f>+$D$190</f>
        <v>8.4328971572778286</v>
      </c>
      <c r="V190" s="694">
        <f>+((V145*V102)+(V170*V119))/V136</f>
        <v>8.6779276482364978</v>
      </c>
      <c r="W190" s="2904">
        <f>+$D$190</f>
        <v>8.4328971572778286</v>
      </c>
      <c r="X190" s="123">
        <f>+((X145*X102)+(X170*X119))/X136</f>
        <v>10.425492763781799</v>
      </c>
      <c r="Y190" s="2128">
        <f>+$D$190</f>
        <v>8.4328971572778286</v>
      </c>
      <c r="Z190" s="3329">
        <f>+((Z145*Z102)+(Z170*Z119))/Z136</f>
        <v>9.5627777154395748</v>
      </c>
      <c r="AA190" s="2187">
        <f>+$D$190</f>
        <v>8.4328971572778286</v>
      </c>
      <c r="AB190" s="3332">
        <f>+((AB145*AB102)+(AB170*AB119))/AB136</f>
        <v>8.9725760381794828</v>
      </c>
      <c r="AC190" s="1680">
        <f>+$D$190</f>
        <v>8.4328971572778286</v>
      </c>
      <c r="AD190" s="2753">
        <f>+((AD145*AD102)+(AD170*AD119))/AD136</f>
        <v>10.401235817404038</v>
      </c>
      <c r="AE190" s="1802">
        <f>+$D$190</f>
        <v>8.4328971572778286</v>
      </c>
      <c r="AF190" s="694">
        <f>+((AF145*AF102)+(AF170*AF119))/AF136</f>
        <v>9.1857509989845845</v>
      </c>
      <c r="AG190" s="1680">
        <f>+$D$190</f>
        <v>8.4328971572778286</v>
      </c>
      <c r="AH190" s="2753">
        <f>+((AH145*AH102)+(AH170*AH119))/AH136</f>
        <v>9.1513799297048131</v>
      </c>
      <c r="AI190" s="1802">
        <f>+$D$190</f>
        <v>8.4328971572778286</v>
      </c>
      <c r="AJ190" s="694">
        <f>+((AJ145*AJ102)+(AJ170*AJ119))/AJ136</f>
        <v>9.1814938539668862</v>
      </c>
      <c r="AK190" s="2904">
        <f>+$D$190</f>
        <v>8.4328971572778286</v>
      </c>
      <c r="AL190" s="123">
        <f>+((AL145*AL102)+(AL170*AL119))/AL136</f>
        <v>9.1740863656008695</v>
      </c>
      <c r="AM190" s="2128">
        <f>+$D$190</f>
        <v>8.4328971572778286</v>
      </c>
      <c r="AN190" s="3329">
        <f>+((AN145*AN102)+(AN170*AN119))/AN136</f>
        <v>9.5861834721845227</v>
      </c>
      <c r="AO190" s="1802">
        <f>+$D$190</f>
        <v>8.4328971572778286</v>
      </c>
      <c r="AP190" s="694">
        <f>+((AP145*AP102)+(AP170*AP119))/AP136</f>
        <v>9.1806539819620987</v>
      </c>
      <c r="AQ190" s="2904">
        <f>+$D$190</f>
        <v>8.4328971572778286</v>
      </c>
      <c r="AR190" s="123">
        <f>+((AR145*AR102)+(AR170*AR119))/AR136</f>
        <v>8.724388962690437</v>
      </c>
      <c r="AS190" s="1802">
        <f>+$D$190</f>
        <v>8.4328971572778286</v>
      </c>
      <c r="AT190" s="694">
        <f>+((AT145*AT102)+(AT170*AT119))/AT136</f>
        <v>9.1342517948409299</v>
      </c>
      <c r="AU190" s="2904">
        <f>+$D$190</f>
        <v>8.4328971572778286</v>
      </c>
      <c r="AV190" s="123">
        <f>+((AV145*AV102)+(AV170*AV119))/AV136</f>
        <v>8.8426021915388286</v>
      </c>
      <c r="AW190" s="1802">
        <f>+$D$190</f>
        <v>8.4328971572778286</v>
      </c>
      <c r="AX190" s="694">
        <f>+((AX145*AX102)+(AX170*AX119))/AX136</f>
        <v>9.1088928768513622</v>
      </c>
      <c r="AY190" s="2904">
        <f>+$D$190</f>
        <v>8.4328971572778286</v>
      </c>
      <c r="AZ190" s="123">
        <f>+((AZ145*AZ102)+(AZ170*AZ119))/AZ136</f>
        <v>8.6792341066984164</v>
      </c>
      <c r="BA190" s="2128">
        <f>+$D$190</f>
        <v>8.4328971572778286</v>
      </c>
      <c r="BB190" s="3329">
        <f>+((BB145*BB102)+(BB170*BB119))/BB136</f>
        <v>8.7466979478639786</v>
      </c>
      <c r="BC190" s="2187">
        <f>+$D$190</f>
        <v>8.4328971572778286</v>
      </c>
      <c r="BD190" s="3332">
        <f>+((BD145*BD102)+(BD170*BD119))/BD136</f>
        <v>9.170575471830821</v>
      </c>
      <c r="BE190" s="1802">
        <f>+$D$190</f>
        <v>8.4328971572778286</v>
      </c>
      <c r="BF190" s="694">
        <f>+((BF145*BF102)+(BF170*BF119))/BF136</f>
        <v>9.0723708947697013</v>
      </c>
      <c r="BG190" s="648"/>
      <c r="BH190" s="648"/>
      <c r="BI190" s="648"/>
      <c r="BJ190" s="648"/>
      <c r="BK190" s="648"/>
      <c r="BL190" s="648"/>
      <c r="BM190" s="648"/>
      <c r="BN190" s="648"/>
    </row>
    <row r="191" spans="1:66" ht="15.75" thickBot="1" x14ac:dyDescent="0.3">
      <c r="B191" s="2591" t="s">
        <v>726</v>
      </c>
      <c r="C191" s="1828" t="s">
        <v>51</v>
      </c>
      <c r="D191" s="1886">
        <v>2.0654522645122735</v>
      </c>
      <c r="E191" s="1681">
        <f>+$D$191</f>
        <v>2.0654522645122735</v>
      </c>
      <c r="F191" s="1682">
        <f>+((F149*F17)+(F18*F174))/(F17+F18)</f>
        <v>1.6513069812587629</v>
      </c>
      <c r="G191" s="1681">
        <f>+$D$191</f>
        <v>2.0654522645122735</v>
      </c>
      <c r="H191" s="1682">
        <f>+((H149*H17)+(H18*H174))/(H17+H18)</f>
        <v>1.7602397688011235</v>
      </c>
      <c r="I191" s="1803">
        <f>+$D$191</f>
        <v>2.0654522645122735</v>
      </c>
      <c r="J191" s="695">
        <f>+((J149*J17)+(J18*J174))/(J17+J18)</f>
        <v>1.7053495021458056</v>
      </c>
      <c r="K191" s="1681">
        <f>+$D$191</f>
        <v>2.0654522645122735</v>
      </c>
      <c r="L191" s="1682">
        <f>+((L149*L17)+(L18*L174))/(L17+L18)</f>
        <v>1.7618270405493688</v>
      </c>
      <c r="M191" s="2129">
        <f>+$D$191</f>
        <v>2.0654522645122735</v>
      </c>
      <c r="N191" s="2130">
        <f>+((N149*N17)+(N18*N174))/(N17+N18)</f>
        <v>1.7239311632065455</v>
      </c>
      <c r="O191" s="1681">
        <f>+$D$191</f>
        <v>2.0654522645122735</v>
      </c>
      <c r="P191" s="1682">
        <f>+((P149*P17)+(P18*P174))/(P17+P18)</f>
        <v>1.8073174582260667</v>
      </c>
      <c r="Q191" s="1803">
        <f>+$D$191</f>
        <v>2.0654522645122735</v>
      </c>
      <c r="R191" s="695">
        <f>+((R149*R17)+(R18*R174))/(R17+R18)</f>
        <v>1.7452893470315411</v>
      </c>
      <c r="S191" s="1681">
        <f>+$D$191</f>
        <v>2.0654522645122735</v>
      </c>
      <c r="T191" s="2754">
        <f>+((T149*T17)+(T18*T174))/(T17+T18)</f>
        <v>1.8851448847197441</v>
      </c>
      <c r="U191" s="1803">
        <f>+$D$191</f>
        <v>2.0654522645122735</v>
      </c>
      <c r="V191" s="2897">
        <f>+((V149*V17)+(V18*V174))/(V17+V18)</f>
        <v>1.7737607895832359</v>
      </c>
      <c r="W191" s="2905">
        <f>+$D$191</f>
        <v>2.0654522645122735</v>
      </c>
      <c r="X191" s="1682">
        <f>+((X149*X17)+(X18*X174))/(X17+X18)</f>
        <v>1.7668718036696724</v>
      </c>
      <c r="Y191" s="2129">
        <f>+$D$191</f>
        <v>2.0654522645122735</v>
      </c>
      <c r="Z191" s="775">
        <f>+((Z149*Z17)+(Z18*Z174))/(Z17+Z18)</f>
        <v>1.8202691473855688</v>
      </c>
      <c r="AA191" s="2188">
        <f>+$D$191</f>
        <v>2.0654522645122735</v>
      </c>
      <c r="AB191" s="3732">
        <f>+((AB149*AB17)+(AB18*AB174))/(AB17+AB18)</f>
        <v>1.7726228811963416</v>
      </c>
      <c r="AC191" s="1681">
        <f>+$D$191</f>
        <v>2.0654522645122735</v>
      </c>
      <c r="AD191" s="2754">
        <f>+((AD149*AD17)+(AD18*AD174))/(AD17+AD18)</f>
        <v>1.7362638319501864</v>
      </c>
      <c r="AE191" s="1803">
        <f>+$D$191</f>
        <v>2.0654522645122735</v>
      </c>
      <c r="AF191" s="2897">
        <f>+((AF149*AF17)+(AF18*AF174))/(AF17+AF18)</f>
        <v>1.7672905012039362</v>
      </c>
      <c r="AG191" s="1681">
        <f>+$D$191</f>
        <v>2.0654522645122735</v>
      </c>
      <c r="AH191" s="2754">
        <f>+((AH149*AH17)+(AH18*AH174))/(AH17+AH18)</f>
        <v>1.6723586293578996</v>
      </c>
      <c r="AI191" s="1803">
        <f>+$D$191</f>
        <v>2.0654522645122735</v>
      </c>
      <c r="AJ191" s="2897">
        <f>+((AJ149*AJ17)+(AJ18*AJ174))/(AJ17+AJ18)</f>
        <v>1.7554034656018527</v>
      </c>
      <c r="AK191" s="2905">
        <f>+$D$191</f>
        <v>2.0654522645122735</v>
      </c>
      <c r="AL191" s="1682">
        <f>+((AL149*AL17)+(AL18*AL174))/(AL17+AL18)</f>
        <v>2.1689007065624661</v>
      </c>
      <c r="AM191" s="2129">
        <f>+$D$191</f>
        <v>2.0654522645122735</v>
      </c>
      <c r="AN191" s="775">
        <f>+((AN149*AN17)+(AN18*AN174))/(AN17+AN18)</f>
        <v>1.8618661047282667</v>
      </c>
      <c r="AO191" s="1803">
        <f>+$D$191</f>
        <v>2.0654522645122735</v>
      </c>
      <c r="AP191" s="2897">
        <f>+((AP149*AP17)+(AP18*AP174))/(AP17+AP18)</f>
        <v>1.8028991351061414</v>
      </c>
      <c r="AQ191" s="2905">
        <f>+$D$191</f>
        <v>2.0654522645122735</v>
      </c>
      <c r="AR191" s="1682">
        <f>+((AR149*AR17)+(AR18*AR174))/(AR17+AR18)</f>
        <v>1.8367508002290542</v>
      </c>
      <c r="AS191" s="1803">
        <f>+$D$191</f>
        <v>2.0654522645122735</v>
      </c>
      <c r="AT191" s="2897">
        <f>+((AT149*AT17)+(AT18*AT174))/(AT17+AT18)</f>
        <v>1.8063819301042512</v>
      </c>
      <c r="AU191" s="2905">
        <f>+$D$191</f>
        <v>2.0654522645122735</v>
      </c>
      <c r="AV191" s="1682">
        <f>+((AV149*AV17)+(AV18*AV174))/(AV17+AV18)</f>
        <v>1.6666349318535201</v>
      </c>
      <c r="AW191" s="1803">
        <f>+$D$191</f>
        <v>2.0654522645122735</v>
      </c>
      <c r="AX191" s="2897">
        <f>+((AX149*AX17)+(AX18*AX174))/(AX17+AX18)</f>
        <v>1.7941007422440214</v>
      </c>
      <c r="AY191" s="2905">
        <f>+$D$191</f>
        <v>2.0654522645122735</v>
      </c>
      <c r="AZ191" s="1682">
        <f>+((AZ149*AZ17)+(AZ18*AZ174))/(AZ17+AZ18)</f>
        <v>1.6219976267461405</v>
      </c>
      <c r="BA191" s="2129">
        <f>+$D$191</f>
        <v>2.0654522645122735</v>
      </c>
      <c r="BB191" s="775">
        <f>+((BB149*BB17)+(BB18*BB174))/(BB17+BB18)</f>
        <v>1.7093489383285052</v>
      </c>
      <c r="BC191" s="2188">
        <f>+$D$191</f>
        <v>2.0654522645122735</v>
      </c>
      <c r="BD191" s="3732">
        <f>+((BD149*BD17)+(BD18*BD174))/(BD17+BD18)</f>
        <v>1.7858811202090403</v>
      </c>
      <c r="BE191" s="1803">
        <f>+$D$191</f>
        <v>2.0654522645122735</v>
      </c>
      <c r="BF191" s="2897">
        <f>+((BF149*BF17)+(BF18*BF174))/(BF17+BF18)</f>
        <v>1.7793280734084331</v>
      </c>
      <c r="BG191" s="648"/>
      <c r="BH191" s="648"/>
      <c r="BI191" s="648"/>
      <c r="BJ191" s="648"/>
      <c r="BK191" s="648"/>
      <c r="BL191" s="648"/>
      <c r="BM191" s="648"/>
      <c r="BN191" s="648"/>
    </row>
    <row r="192" spans="1:66" ht="15.75" thickBot="1" x14ac:dyDescent="0.3">
      <c r="B192" s="2931" t="s">
        <v>504</v>
      </c>
      <c r="C192" s="1854" t="s">
        <v>51</v>
      </c>
      <c r="D192" s="1878">
        <v>2.5000000000000004</v>
      </c>
      <c r="E192" s="917">
        <f>+$D$192</f>
        <v>2.5000000000000004</v>
      </c>
      <c r="F192" s="165">
        <f>+((F132*2.5)+((+F133+F134+F135)*2.5))/F136</f>
        <v>2.5</v>
      </c>
      <c r="G192" s="917">
        <f>+$D$192</f>
        <v>2.5000000000000004</v>
      </c>
      <c r="H192" s="165">
        <f>+((H132*2.5)+((+H133+H134+H135)*2.5))/H136</f>
        <v>2.5</v>
      </c>
      <c r="I192" s="918">
        <f>+$D$192</f>
        <v>2.5000000000000004</v>
      </c>
      <c r="J192" s="2898">
        <f>+((J132*2.5)+((+J133+J134+J135)*2.5))/J136</f>
        <v>2.5</v>
      </c>
      <c r="K192" s="917">
        <f>+$D$192</f>
        <v>2.5000000000000004</v>
      </c>
      <c r="L192" s="165">
        <f>+((L132*2.5)+((+L133+L134+L135)*2.5))/L136</f>
        <v>2.5</v>
      </c>
      <c r="M192" s="919">
        <f>+$D$192</f>
        <v>2.5000000000000004</v>
      </c>
      <c r="N192" s="207">
        <f>+((N132*2.5)+((+N133+N134+N135)*2.5))/N136</f>
        <v>2.5</v>
      </c>
      <c r="O192" s="917">
        <f>+$D$192</f>
        <v>2.5000000000000004</v>
      </c>
      <c r="P192" s="165">
        <f>+((P132*2.5)+((+P133+P134+P135)*2.5))/P136</f>
        <v>2.4999999999999996</v>
      </c>
      <c r="Q192" s="918">
        <f>+$D$192</f>
        <v>2.5000000000000004</v>
      </c>
      <c r="R192" s="2898">
        <f>+((R132*2.5)+((+R133+R134+R135)*2.5))/R136</f>
        <v>2.5</v>
      </c>
      <c r="S192" s="917">
        <f>+$D$192</f>
        <v>2.5000000000000004</v>
      </c>
      <c r="T192" s="2722">
        <f>+((T132*2.5)+((+T133+T134+T135)*2.5))/T136</f>
        <v>2.5</v>
      </c>
      <c r="U192" s="918">
        <f>+$D$192</f>
        <v>2.5000000000000004</v>
      </c>
      <c r="V192" s="2899">
        <f>+((V132*2.5)+((+V133+V134+V135)*2.5))/V136</f>
        <v>2.5</v>
      </c>
      <c r="W192" s="2906">
        <f>+$D$192</f>
        <v>2.5000000000000004</v>
      </c>
      <c r="X192" s="165">
        <f>+((X132*2.5)+((+X133+X134+X135)*2.5))/X136</f>
        <v>2.4999999999999996</v>
      </c>
      <c r="Y192" s="919">
        <f>+$D$192</f>
        <v>2.5000000000000004</v>
      </c>
      <c r="Z192" s="3338">
        <f>+((Z132*2.5)+((+Z133+Z134+Z135)*2.5))/Z136</f>
        <v>2.5</v>
      </c>
      <c r="AA192" s="920">
        <f>+$D$192</f>
        <v>2.5000000000000004</v>
      </c>
      <c r="AB192" s="570">
        <f>+((AB132*2.5)+((+AB133+AB134+AB135)*2.5))/AB136</f>
        <v>2.4999999999999996</v>
      </c>
      <c r="AC192" s="917">
        <f>+$D$192</f>
        <v>2.5000000000000004</v>
      </c>
      <c r="AD192" s="2722">
        <f>+((AD132*2.5)+((+AD133+AD134+AD135)*2.5))/AD136</f>
        <v>2.5</v>
      </c>
      <c r="AE192" s="918">
        <f>+$D$192</f>
        <v>2.5000000000000004</v>
      </c>
      <c r="AF192" s="2899">
        <f>+((AF132*2.5)+((+AF133+AF134+AF135)*2.5))/AF136</f>
        <v>2.5</v>
      </c>
      <c r="AG192" s="917">
        <f>+$D$192</f>
        <v>2.5000000000000004</v>
      </c>
      <c r="AH192" s="2722">
        <f>+((AH132*2.5)+((+AH133+AH134+AH135)*2.5))/AH136</f>
        <v>2.5</v>
      </c>
      <c r="AI192" s="918">
        <f>+$D$192</f>
        <v>2.5000000000000004</v>
      </c>
      <c r="AJ192" s="2899">
        <f>+((AJ132*2.5)+((+AJ133+AJ134+AJ135)*2.5))/AJ136</f>
        <v>2.5</v>
      </c>
      <c r="AK192" s="2906">
        <f>+$D$192</f>
        <v>2.5000000000000004</v>
      </c>
      <c r="AL192" s="165">
        <f>+((AL132*2.5)+((+AL133+AL134+AL135)*2.5))/AL136</f>
        <v>2.5000000000000004</v>
      </c>
      <c r="AM192" s="919">
        <f>+$D$192</f>
        <v>2.5000000000000004</v>
      </c>
      <c r="AN192" s="3338">
        <f>+((AN132*2.5)+((+AN133+AN134+AN135)*2.5))/AN136</f>
        <v>2.5</v>
      </c>
      <c r="AO192" s="918">
        <f>+$D$192</f>
        <v>2.5000000000000004</v>
      </c>
      <c r="AP192" s="2899">
        <f>+((AP132*2.5)+((+AP133+AP134+AP135)*2.5))/AP136</f>
        <v>2.5</v>
      </c>
      <c r="AQ192" s="2906">
        <f>+$D$192</f>
        <v>2.5000000000000004</v>
      </c>
      <c r="AR192" s="165">
        <f>+((AR132*2.5)+((+AR133+AR134+AR135)*2.5))/AR136</f>
        <v>2.4999999999999996</v>
      </c>
      <c r="AS192" s="918">
        <f>+$D$192</f>
        <v>2.5000000000000004</v>
      </c>
      <c r="AT192" s="2899">
        <f>+((AT132*2.5)+((+AT133+AT134+AT135)*2.5))/AT136</f>
        <v>2.5</v>
      </c>
      <c r="AU192" s="2906">
        <f>+$D$192</f>
        <v>2.5000000000000004</v>
      </c>
      <c r="AV192" s="165">
        <f>+((AV132*2.5)+((+AV133+AV134+AV135)*2.5))/AV136</f>
        <v>2.5</v>
      </c>
      <c r="AW192" s="918">
        <f>+$D$192</f>
        <v>2.5000000000000004</v>
      </c>
      <c r="AX192" s="2899">
        <f>+((AX132*2.5)+((+AX133+AX134+AX135)*2.5))/AX136</f>
        <v>2.5</v>
      </c>
      <c r="AY192" s="2906">
        <f>+$D$192</f>
        <v>2.5000000000000004</v>
      </c>
      <c r="AZ192" s="165">
        <f>+((AZ132*2.5)+((+AZ133+AZ134+AZ135)*2.5))/AZ136</f>
        <v>2.5</v>
      </c>
      <c r="BA192" s="919">
        <f>+$D$192</f>
        <v>2.5000000000000004</v>
      </c>
      <c r="BB192" s="3338">
        <f>+((BB132*2.5)+((+BB133+BB134+BB135)*2.5))/BB136</f>
        <v>2.5</v>
      </c>
      <c r="BC192" s="920">
        <f>+$D$192</f>
        <v>2.5000000000000004</v>
      </c>
      <c r="BD192" s="570">
        <f>+((BD132*2.5)+((+BD133+BD134+BD135)*2.5))/BD136</f>
        <v>2.5000000000000004</v>
      </c>
      <c r="BE192" s="918">
        <f>+$D$192</f>
        <v>2.5000000000000004</v>
      </c>
      <c r="BF192" s="2899">
        <f>+((BF132*2.5)+((+BF133+BF134+BF135)*2.5))/BF136</f>
        <v>2.5</v>
      </c>
      <c r="BG192" s="648"/>
      <c r="BH192" s="648"/>
      <c r="BI192" s="648"/>
      <c r="BJ192" s="648"/>
      <c r="BK192" s="648"/>
      <c r="BL192" s="648"/>
      <c r="BM192" s="648"/>
      <c r="BN192" s="648"/>
    </row>
    <row r="193" spans="1:66" s="183" customFormat="1" x14ac:dyDescent="0.25">
      <c r="A193" s="182"/>
      <c r="B193" s="2912"/>
      <c r="C193" s="2893"/>
      <c r="D193" s="2893"/>
      <c r="E193" s="2893"/>
      <c r="F193" s="2893"/>
      <c r="G193" s="2893"/>
      <c r="H193" s="2893"/>
      <c r="I193" s="2893"/>
      <c r="J193" s="2893"/>
      <c r="K193" s="2893"/>
      <c r="L193" s="2893"/>
      <c r="M193" s="2893"/>
      <c r="N193" s="2893"/>
      <c r="O193" s="2893"/>
      <c r="P193" s="2893"/>
      <c r="Q193" s="2893"/>
      <c r="R193" s="2893"/>
      <c r="S193" s="2893"/>
      <c r="T193" s="2893"/>
      <c r="U193" s="2893"/>
      <c r="V193" s="2893"/>
      <c r="W193" s="2893"/>
      <c r="X193" s="2893"/>
      <c r="Y193" s="2893"/>
      <c r="Z193" s="2893"/>
      <c r="AA193" s="4003"/>
      <c r="AB193" s="2894"/>
      <c r="AC193" s="2893"/>
      <c r="AD193" s="2893"/>
      <c r="AE193" s="2893"/>
      <c r="AF193" s="2893"/>
      <c r="AG193" s="2893"/>
      <c r="AH193" s="2893"/>
      <c r="AI193" s="2893"/>
      <c r="AJ193" s="2893"/>
      <c r="AK193" s="2893"/>
      <c r="AL193" s="2893"/>
      <c r="AM193" s="2893"/>
      <c r="AN193" s="2893"/>
      <c r="AO193" s="2893"/>
      <c r="AP193" s="2893"/>
      <c r="AQ193" s="2893"/>
      <c r="AR193" s="2893"/>
      <c r="AS193" s="2893"/>
      <c r="AT193" s="2893"/>
      <c r="AU193" s="2893"/>
      <c r="AV193" s="2893"/>
      <c r="AW193" s="2893"/>
      <c r="AX193" s="2893"/>
      <c r="AY193" s="2893"/>
      <c r="AZ193" s="2893"/>
      <c r="BA193" s="2893"/>
      <c r="BB193" s="2893"/>
      <c r="BC193" s="4003"/>
      <c r="BD193" s="2894"/>
      <c r="BE193" s="2893"/>
      <c r="BF193" s="2893"/>
      <c r="BG193" s="648"/>
      <c r="BH193" s="648"/>
      <c r="BI193" s="648"/>
      <c r="BJ193" s="648"/>
      <c r="BK193" s="648"/>
      <c r="BL193" s="648"/>
      <c r="BM193" s="648"/>
      <c r="BN193" s="648"/>
    </row>
    <row r="194" spans="1:66" s="183" customFormat="1" ht="15.75" thickBot="1" x14ac:dyDescent="0.3">
      <c r="A194" s="182"/>
      <c r="B194" s="2912"/>
      <c r="C194" s="2893"/>
      <c r="D194" s="2893"/>
      <c r="E194" s="2893"/>
      <c r="F194" s="2893"/>
      <c r="G194" s="2893"/>
      <c r="H194" s="2893"/>
      <c r="I194" s="2893"/>
      <c r="J194" s="2893"/>
      <c r="K194" s="2893"/>
      <c r="L194" s="2893"/>
      <c r="M194" s="2893"/>
      <c r="N194" s="2893"/>
      <c r="O194" s="2893"/>
      <c r="P194" s="2893"/>
      <c r="Q194" s="2893"/>
      <c r="R194" s="2893"/>
      <c r="S194" s="2893"/>
      <c r="T194" s="2893"/>
      <c r="U194" s="2893"/>
      <c r="V194" s="2893"/>
      <c r="W194" s="2893"/>
      <c r="X194" s="2893"/>
      <c r="Y194" s="2893"/>
      <c r="Z194" s="2893"/>
      <c r="AA194" s="4003"/>
      <c r="AB194" s="2894"/>
      <c r="AC194" s="2893"/>
      <c r="AD194" s="2893"/>
      <c r="AE194" s="2893"/>
      <c r="AF194" s="2893"/>
      <c r="AG194" s="2893"/>
      <c r="AH194" s="2893"/>
      <c r="AI194" s="2893"/>
      <c r="AJ194" s="2893"/>
      <c r="AK194" s="2893"/>
      <c r="AL194" s="2893"/>
      <c r="AM194" s="2893"/>
      <c r="AN194" s="2893"/>
      <c r="AO194" s="2893"/>
      <c r="AP194" s="2893"/>
      <c r="AQ194" s="2893"/>
      <c r="AR194" s="2893"/>
      <c r="AS194" s="2893"/>
      <c r="AT194" s="2893"/>
      <c r="AU194" s="2893"/>
      <c r="AV194" s="2893"/>
      <c r="AW194" s="2893"/>
      <c r="AX194" s="2893"/>
      <c r="AY194" s="2893"/>
      <c r="AZ194" s="2893"/>
      <c r="BA194" s="2893"/>
      <c r="BB194" s="2893"/>
      <c r="BC194" s="4003"/>
      <c r="BD194" s="2894"/>
      <c r="BE194" s="2893"/>
      <c r="BF194" s="2893"/>
      <c r="BG194" s="648"/>
      <c r="BH194" s="648"/>
      <c r="BI194" s="648"/>
      <c r="BJ194" s="648"/>
      <c r="BK194" s="648"/>
      <c r="BL194" s="648"/>
      <c r="BM194" s="648"/>
      <c r="BN194" s="648"/>
    </row>
    <row r="195" spans="1:66" s="183" customFormat="1" ht="19.5" thickBot="1" x14ac:dyDescent="0.3">
      <c r="A195" s="182"/>
      <c r="B195" s="2890" t="s">
        <v>670</v>
      </c>
      <c r="C195" s="2934"/>
      <c r="D195" s="2893"/>
      <c r="E195" s="2893"/>
      <c r="F195" s="2893"/>
      <c r="G195" s="2893"/>
      <c r="H195" s="2893"/>
      <c r="I195" s="2893"/>
      <c r="J195" s="2893"/>
      <c r="K195" s="2893"/>
      <c r="L195" s="2893"/>
      <c r="M195" s="2893"/>
      <c r="N195" s="2893"/>
      <c r="O195" s="2893"/>
      <c r="P195" s="2893"/>
      <c r="Q195" s="2893"/>
      <c r="R195" s="2893"/>
      <c r="S195" s="2893"/>
      <c r="T195" s="2893"/>
      <c r="U195" s="2893"/>
      <c r="V195" s="2893"/>
      <c r="W195" s="2893"/>
      <c r="X195" s="2893"/>
      <c r="Y195" s="2893"/>
      <c r="Z195" s="2893"/>
      <c r="AA195" s="4003"/>
      <c r="AB195" s="2894"/>
      <c r="AC195" s="2893"/>
      <c r="AD195" s="2893"/>
      <c r="AE195" s="2893"/>
      <c r="AF195" s="2893"/>
      <c r="AG195" s="2893"/>
      <c r="AH195" s="2893"/>
      <c r="AI195" s="2893"/>
      <c r="AJ195" s="2893"/>
      <c r="AK195" s="2893"/>
      <c r="AL195" s="2893"/>
      <c r="AM195" s="2893"/>
      <c r="AN195" s="2893"/>
      <c r="AO195" s="2893"/>
      <c r="AP195" s="2893"/>
      <c r="AQ195" s="2893"/>
      <c r="AR195" s="2893"/>
      <c r="AS195" s="2893"/>
      <c r="AT195" s="2893"/>
      <c r="AU195" s="2893"/>
      <c r="AV195" s="2893"/>
      <c r="AW195" s="2893"/>
      <c r="AX195" s="2893"/>
      <c r="AY195" s="2893"/>
      <c r="AZ195" s="2893"/>
      <c r="BA195" s="2893"/>
      <c r="BB195" s="2893"/>
      <c r="BC195" s="4003"/>
      <c r="BD195" s="2894"/>
      <c r="BE195" s="2893"/>
      <c r="BF195" s="2893"/>
      <c r="BG195" s="648"/>
      <c r="BH195" s="648"/>
      <c r="BI195" s="648"/>
      <c r="BJ195" s="648"/>
      <c r="BK195" s="648"/>
      <c r="BL195" s="648"/>
      <c r="BM195" s="648"/>
      <c r="BN195" s="648"/>
    </row>
    <row r="196" spans="1:66" x14ac:dyDescent="0.25">
      <c r="B196" s="2935" t="s">
        <v>10</v>
      </c>
      <c r="C196" s="1684" t="s">
        <v>51</v>
      </c>
      <c r="D196" s="2918">
        <f t="shared" ref="D196:G198" si="798">+D121/D$136*100</f>
        <v>46.033394360782545</v>
      </c>
      <c r="E196" s="930">
        <f t="shared" si="798"/>
        <v>46.033384590011067</v>
      </c>
      <c r="F196" s="177">
        <f t="shared" si="798"/>
        <v>44.102795082279208</v>
      </c>
      <c r="G196" s="930">
        <f t="shared" ref="G196:H196" si="799">+G121/G$136*100</f>
        <v>46.033396545331875</v>
      </c>
      <c r="H196" s="177">
        <f t="shared" si="799"/>
        <v>42.947504413006214</v>
      </c>
      <c r="I196" s="1901">
        <f t="shared" ref="I196:N200" si="800">+I121/I$136*100</f>
        <v>46.033390665665124</v>
      </c>
      <c r="J196" s="202">
        <f t="shared" si="800"/>
        <v>43.527500875824074</v>
      </c>
      <c r="K196" s="930">
        <f t="shared" si="800"/>
        <v>46.033356081194178</v>
      </c>
      <c r="L196" s="177">
        <f t="shared" si="800"/>
        <v>43.360254590020702</v>
      </c>
      <c r="M196" s="2113">
        <f t="shared" si="800"/>
        <v>46.033379264185449</v>
      </c>
      <c r="N196" s="210">
        <f t="shared" si="800"/>
        <v>43.472600375436819</v>
      </c>
      <c r="O196" s="930">
        <f t="shared" ref="O196:R196" si="801">+O121/O$136*100</f>
        <v>46.033396545331875</v>
      </c>
      <c r="P196" s="177">
        <f t="shared" si="801"/>
        <v>48.860776624959605</v>
      </c>
      <c r="Q196" s="931">
        <f t="shared" si="801"/>
        <v>46.033383655295196</v>
      </c>
      <c r="R196" s="202">
        <f t="shared" si="801"/>
        <v>44.862134647443675</v>
      </c>
      <c r="S196" s="930">
        <f t="shared" ref="S196:X196" si="802">+S121/S$136*100</f>
        <v>46.033433512020807</v>
      </c>
      <c r="T196" s="2726">
        <f t="shared" si="802"/>
        <v>39.004802820499911</v>
      </c>
      <c r="U196" s="1901">
        <f t="shared" si="802"/>
        <v>46.033393650919898</v>
      </c>
      <c r="V196" s="202">
        <f t="shared" si="802"/>
        <v>43.64020246133633</v>
      </c>
      <c r="W196" s="930">
        <f t="shared" si="802"/>
        <v>46.033433512020792</v>
      </c>
      <c r="X196" s="177">
        <f t="shared" si="802"/>
        <v>37.907097211865732</v>
      </c>
      <c r="Y196" s="2048">
        <f t="shared" ref="Y196:AF196" si="803">+Y121/Y$136*100</f>
        <v>46.033420946441325</v>
      </c>
      <c r="Z196" s="2048">
        <f t="shared" si="803"/>
        <v>41.911155532928198</v>
      </c>
      <c r="AA196" s="3733">
        <f t="shared" si="803"/>
        <v>46.033400128064002</v>
      </c>
      <c r="AB196" s="572">
        <f t="shared" si="803"/>
        <v>42.673571681113238</v>
      </c>
      <c r="AC196" s="930">
        <f t="shared" si="803"/>
        <v>46.033386545918717</v>
      </c>
      <c r="AD196" s="2726">
        <f t="shared" si="803"/>
        <v>34.084339854846732</v>
      </c>
      <c r="AE196" s="1901">
        <f t="shared" si="803"/>
        <v>46.033398153164214</v>
      </c>
      <c r="AF196" s="202">
        <f t="shared" si="803"/>
        <v>41.391944533392937</v>
      </c>
      <c r="AG196" s="930">
        <f t="shared" ref="AG196:AN196" si="804">+AG121/AG$136*100</f>
        <v>46.033387535829121</v>
      </c>
      <c r="AH196" s="2726">
        <f t="shared" si="804"/>
        <v>35.5408669283214</v>
      </c>
      <c r="AI196" s="1901">
        <f t="shared" si="804"/>
        <v>46.033396843454256</v>
      </c>
      <c r="AJ196" s="202">
        <f t="shared" si="804"/>
        <v>40.667239530129017</v>
      </c>
      <c r="AK196" s="930">
        <f t="shared" si="804"/>
        <v>46.033386545918717</v>
      </c>
      <c r="AL196" s="177">
        <f t="shared" si="804"/>
        <v>43.188031867898893</v>
      </c>
      <c r="AM196" s="2048">
        <f t="shared" si="804"/>
        <v>46.033386868715581</v>
      </c>
      <c r="AN196" s="2048">
        <f t="shared" si="804"/>
        <v>37.599874559303679</v>
      </c>
      <c r="AO196" s="1901">
        <f t="shared" ref="AO196:AT196" si="805">+AO121/AO$136*100</f>
        <v>46.033395679249821</v>
      </c>
      <c r="AP196" s="202">
        <f t="shared" si="805"/>
        <v>40.953050699822079</v>
      </c>
      <c r="AQ196" s="930">
        <f t="shared" si="805"/>
        <v>46.033388268570654</v>
      </c>
      <c r="AR196" s="177">
        <f t="shared" si="805"/>
        <v>47.701912247248764</v>
      </c>
      <c r="AS196" s="1901">
        <f t="shared" si="805"/>
        <v>46.033394926524196</v>
      </c>
      <c r="AT196" s="202">
        <f t="shared" si="805"/>
        <v>41.639410431888464</v>
      </c>
      <c r="AU196" s="930">
        <f t="shared" ref="AU196:AX196" si="806">+AU121/AU$136*100</f>
        <v>46.033398352900825</v>
      </c>
      <c r="AV196" s="177">
        <f t="shared" si="806"/>
        <v>52.879813719545567</v>
      </c>
      <c r="AW196" s="1901">
        <f t="shared" si="806"/>
        <v>46.033395223846831</v>
      </c>
      <c r="AX196" s="202">
        <f t="shared" si="806"/>
        <v>42.616762918962159</v>
      </c>
      <c r="AY196" s="930">
        <f t="shared" ref="AY196:BF196" si="807">+AY121/AY$136*100</f>
        <v>46.033386613218767</v>
      </c>
      <c r="AZ196" s="177">
        <f t="shared" si="807"/>
        <v>52.761781128288632</v>
      </c>
      <c r="BA196" s="2048">
        <f t="shared" si="807"/>
        <v>46.033390918346633</v>
      </c>
      <c r="BB196" s="2048">
        <f t="shared" si="807"/>
        <v>51.076514142466742</v>
      </c>
      <c r="BC196" s="3733">
        <f t="shared" si="807"/>
        <v>46.033388882466454</v>
      </c>
      <c r="BD196" s="572">
        <f t="shared" si="807"/>
        <v>44.271817155549428</v>
      </c>
      <c r="BE196" s="1901">
        <f t="shared" si="807"/>
        <v>46.033394492931528</v>
      </c>
      <c r="BF196" s="202">
        <f t="shared" si="807"/>
        <v>43.479112762600295</v>
      </c>
      <c r="BG196" s="648"/>
      <c r="BH196" s="648"/>
      <c r="BI196" s="648"/>
      <c r="BJ196" s="648"/>
      <c r="BK196" s="648"/>
      <c r="BL196" s="648"/>
      <c r="BM196" s="648"/>
      <c r="BN196" s="648"/>
    </row>
    <row r="197" spans="1:66" x14ac:dyDescent="0.25">
      <c r="B197" s="2867" t="s">
        <v>11</v>
      </c>
      <c r="C197" s="1828" t="s">
        <v>51</v>
      </c>
      <c r="D197" s="175">
        <f t="shared" ref="D197:E197" si="808">+D122/D$136*100</f>
        <v>10.652585651369332</v>
      </c>
      <c r="E197" s="1796">
        <f t="shared" si="808"/>
        <v>10.653361216237531</v>
      </c>
      <c r="F197" s="826">
        <f t="shared" si="798"/>
        <v>9.1642665922326412</v>
      </c>
      <c r="G197" s="1796">
        <f t="shared" si="798"/>
        <v>10.653363983019776</v>
      </c>
      <c r="H197" s="826">
        <f t="shared" ref="H197" si="809">+H122/H$136*100</f>
        <v>12.573230320550538</v>
      </c>
      <c r="I197" s="421">
        <f t="shared" ref="I197:N198" si="810">+I122/I$136*100</f>
        <v>10.653362622307016</v>
      </c>
      <c r="J197" s="157">
        <f t="shared" si="810"/>
        <v>10.861810885696997</v>
      </c>
      <c r="K197" s="1796">
        <f t="shared" si="810"/>
        <v>10.653354618531827</v>
      </c>
      <c r="L197" s="826">
        <f t="shared" si="800"/>
        <v>9.125668412313221</v>
      </c>
      <c r="M197" s="284">
        <f t="shared" si="810"/>
        <v>10.653359983698483</v>
      </c>
      <c r="N197" s="153">
        <f t="shared" si="810"/>
        <v>10.291902321961228</v>
      </c>
      <c r="O197" s="1796">
        <f t="shared" ref="O197:R197" si="811">+O122/O$136*100</f>
        <v>10.653363983019776</v>
      </c>
      <c r="P197" s="826">
        <f t="shared" si="811"/>
        <v>5.3753334624658038</v>
      </c>
      <c r="Q197" s="71">
        <f t="shared" si="811"/>
        <v>10.653360999919183</v>
      </c>
      <c r="R197" s="157">
        <f t="shared" si="811"/>
        <v>9.0239889103396997</v>
      </c>
      <c r="S197" s="1796">
        <f t="shared" ref="S197:AB197" si="812">+S122/S$136*100</f>
        <v>10.64865382765432</v>
      </c>
      <c r="T197" s="2717">
        <f t="shared" si="812"/>
        <v>10.254494584370057</v>
      </c>
      <c r="U197" s="421">
        <f t="shared" si="812"/>
        <v>10.652417273134345</v>
      </c>
      <c r="V197" s="157">
        <f t="shared" si="812"/>
        <v>9.280691882394116</v>
      </c>
      <c r="W197" s="1796">
        <f t="shared" si="812"/>
        <v>10.648653827654318</v>
      </c>
      <c r="X197" s="826">
        <f t="shared" si="812"/>
        <v>11.080864254233639</v>
      </c>
      <c r="Y197" s="540">
        <f t="shared" si="812"/>
        <v>10.650254886154894</v>
      </c>
      <c r="Z197" s="540">
        <f t="shared" si="812"/>
        <v>8.9089453137557904</v>
      </c>
      <c r="AA197" s="566">
        <f t="shared" si="812"/>
        <v>10.651805740131762</v>
      </c>
      <c r="AB197" s="574">
        <f t="shared" si="812"/>
        <v>9.5842101240116016</v>
      </c>
      <c r="AC197" s="1796">
        <f t="shared" ref="AC197:AF197" si="813">+AC122/AC$136*100</f>
        <v>10.653361668887081</v>
      </c>
      <c r="AD197" s="2717">
        <f t="shared" si="813"/>
        <v>10.232353690562316</v>
      </c>
      <c r="AE197" s="421">
        <f t="shared" si="813"/>
        <v>10.652031978572349</v>
      </c>
      <c r="AF197" s="157">
        <f t="shared" si="813"/>
        <v>9.6809217284150808</v>
      </c>
      <c r="AG197" s="1796">
        <f t="shared" ref="AG197:AN197" si="814">+AG122/AG$136*100</f>
        <v>10.653361897978927</v>
      </c>
      <c r="AH197" s="2717">
        <f t="shared" si="814"/>
        <v>13.56225261623819</v>
      </c>
      <c r="AI197" s="421">
        <f t="shared" si="814"/>
        <v>10.652196031855507</v>
      </c>
      <c r="AJ197" s="157">
        <f t="shared" si="814"/>
        <v>10.16165709095584</v>
      </c>
      <c r="AK197" s="1796">
        <f t="shared" si="814"/>
        <v>10.653361668887081</v>
      </c>
      <c r="AL197" s="826">
        <f t="shared" si="814"/>
        <v>9.642427341938264</v>
      </c>
      <c r="AM197" s="540">
        <f t="shared" si="814"/>
        <v>10.653361743590944</v>
      </c>
      <c r="AN197" s="540">
        <f t="shared" si="814"/>
        <v>11.11345459468707</v>
      </c>
      <c r="AO197" s="421">
        <f t="shared" ref="AO197:AT197" si="815">+AO122/AO$136*100</f>
        <v>10.652327814825099</v>
      </c>
      <c r="AP197" s="157">
        <f t="shared" si="815"/>
        <v>10.102786052797486</v>
      </c>
      <c r="AQ197" s="1796">
        <f t="shared" si="815"/>
        <v>10.653362067554992</v>
      </c>
      <c r="AR197" s="826">
        <f t="shared" si="815"/>
        <v>9.9018588294551559</v>
      </c>
      <c r="AS197" s="421">
        <f t="shared" si="815"/>
        <v>10.652432867075987</v>
      </c>
      <c r="AT197" s="157">
        <f t="shared" si="815"/>
        <v>10.082351738919662</v>
      </c>
      <c r="AU197" s="1796">
        <f t="shared" ref="AU197:AX197" si="816">+AU122/AU$136*100</f>
        <v>10.653364401339763</v>
      </c>
      <c r="AV197" s="826">
        <f t="shared" si="816"/>
        <v>9.9999993487790366</v>
      </c>
      <c r="AW197" s="421">
        <f t="shared" si="816"/>
        <v>10.652513700632813</v>
      </c>
      <c r="AX197" s="157">
        <f t="shared" si="816"/>
        <v>10.075191202837402</v>
      </c>
      <c r="AY197" s="1796">
        <f t="shared" ref="AY197:BF197" si="817">+AY122/AY$136*100</f>
        <v>10.653361684462119</v>
      </c>
      <c r="AZ197" s="826">
        <f t="shared" si="817"/>
        <v>9.9773277321813758</v>
      </c>
      <c r="BA197" s="540">
        <f t="shared" si="817"/>
        <v>10.653362680784301</v>
      </c>
      <c r="BB197" s="540">
        <f t="shared" si="817"/>
        <v>9.9588589882791094</v>
      </c>
      <c r="BC197" s="566">
        <f t="shared" si="817"/>
        <v>10.653362209626962</v>
      </c>
      <c r="BD197" s="574">
        <f t="shared" si="817"/>
        <v>10.541843581400373</v>
      </c>
      <c r="BE197" s="421">
        <f t="shared" si="817"/>
        <v>10.652585681949921</v>
      </c>
      <c r="BF197" s="157">
        <f t="shared" si="817"/>
        <v>10.066872583109298</v>
      </c>
      <c r="BG197" s="648"/>
      <c r="BH197" s="648"/>
      <c r="BI197" s="648"/>
      <c r="BJ197" s="648"/>
      <c r="BK197" s="648"/>
      <c r="BL197" s="648"/>
      <c r="BM197" s="648"/>
      <c r="BN197" s="648"/>
    </row>
    <row r="198" spans="1:66" x14ac:dyDescent="0.25">
      <c r="B198" s="2868" t="s">
        <v>822</v>
      </c>
      <c r="C198" s="1828" t="s">
        <v>51</v>
      </c>
      <c r="D198" s="175">
        <f t="shared" ref="D198:E198" si="818">+D123/D$136*100</f>
        <v>10.00725964364838</v>
      </c>
      <c r="E198" s="1796">
        <f t="shared" si="818"/>
        <v>10.007257519567624</v>
      </c>
      <c r="F198" s="826">
        <f t="shared" si="798"/>
        <v>1.2478272453912227</v>
      </c>
      <c r="G198" s="1796">
        <f t="shared" si="798"/>
        <v>10.007260118550409</v>
      </c>
      <c r="H198" s="826">
        <f t="shared" ref="H198" si="819">+H123/H$136*100</f>
        <v>0</v>
      </c>
      <c r="I198" s="421">
        <f t="shared" si="810"/>
        <v>10.007258840361983</v>
      </c>
      <c r="J198" s="157">
        <f t="shared" si="810"/>
        <v>0.62645307175387743</v>
      </c>
      <c r="K198" s="1796">
        <f t="shared" si="810"/>
        <v>10.007251321998734</v>
      </c>
      <c r="L198" s="826">
        <f t="shared" si="800"/>
        <v>0</v>
      </c>
      <c r="M198" s="284">
        <f t="shared" si="810"/>
        <v>10.007256361779444</v>
      </c>
      <c r="N198" s="153">
        <f t="shared" si="810"/>
        <v>0.42081270764523843</v>
      </c>
      <c r="O198" s="1796">
        <f t="shared" ref="O198:R198" si="820">+O123/O$136*100</f>
        <v>10.007260118550409</v>
      </c>
      <c r="P198" s="826">
        <f t="shared" si="820"/>
        <v>1.4438727676682941</v>
      </c>
      <c r="Q198" s="71">
        <f t="shared" si="820"/>
        <v>10.00725731636852</v>
      </c>
      <c r="R198" s="157">
        <f t="shared" si="820"/>
        <v>0.68464539423364135</v>
      </c>
      <c r="S198" s="1796">
        <f t="shared" ref="S198:AB198" si="821">+S123/S$136*100</f>
        <v>10.007268154787132</v>
      </c>
      <c r="T198" s="2717">
        <f t="shared" si="821"/>
        <v>11.785638908207284</v>
      </c>
      <c r="U198" s="421">
        <f t="shared" si="821"/>
        <v>10.007259489330412</v>
      </c>
      <c r="V198" s="157">
        <f t="shared" si="821"/>
        <v>3.0004884561028131</v>
      </c>
      <c r="W198" s="1796">
        <f t="shared" si="821"/>
        <v>10.007268154787129</v>
      </c>
      <c r="X198" s="826">
        <f t="shared" si="821"/>
        <v>14.928530504568535</v>
      </c>
      <c r="Y198" s="540">
        <f t="shared" si="821"/>
        <v>10.007265423139419</v>
      </c>
      <c r="Z198" s="540">
        <f t="shared" si="821"/>
        <v>9.3920649329425956</v>
      </c>
      <c r="AA198" s="566">
        <f t="shared" si="821"/>
        <v>10.007260897405217</v>
      </c>
      <c r="AB198" s="574">
        <f t="shared" si="821"/>
        <v>5.0116171708437349</v>
      </c>
      <c r="AC198" s="1796">
        <f t="shared" ref="AC198:AF198" si="822">+AC123/AC$136*100</f>
        <v>10.007257944764939</v>
      </c>
      <c r="AD198" s="2717">
        <f t="shared" si="822"/>
        <v>15.769914696482202</v>
      </c>
      <c r="AE198" s="421">
        <f t="shared" si="822"/>
        <v>10.007260468079176</v>
      </c>
      <c r="AF198" s="157">
        <f t="shared" si="822"/>
        <v>6.616897648888961</v>
      </c>
      <c r="AG198" s="1796">
        <f t="shared" ref="AG198:AN198" si="823">+AG123/AG$136*100</f>
        <v>10.007258159962854</v>
      </c>
      <c r="AH198" s="2717">
        <f t="shared" si="823"/>
        <v>2.6738409123242497</v>
      </c>
      <c r="AI198" s="421">
        <f t="shared" si="823"/>
        <v>10.00726018335962</v>
      </c>
      <c r="AJ198" s="157">
        <f t="shared" si="823"/>
        <v>6.1285170226150765</v>
      </c>
      <c r="AK198" s="1796">
        <f t="shared" si="823"/>
        <v>10.007257944764939</v>
      </c>
      <c r="AL198" s="826">
        <f t="shared" si="823"/>
        <v>1.3668135778818602</v>
      </c>
      <c r="AM198" s="540">
        <f t="shared" si="823"/>
        <v>10.007258014938172</v>
      </c>
      <c r="AN198" s="540">
        <f t="shared" si="823"/>
        <v>6.7131822062985975</v>
      </c>
      <c r="AO198" s="421">
        <f t="shared" ref="AO198:AT198" si="824">+AO123/AO$136*100</f>
        <v>10.007259930271699</v>
      </c>
      <c r="AP198" s="157">
        <f t="shared" si="824"/>
        <v>5.5886280318088462</v>
      </c>
      <c r="AQ198" s="1796">
        <f t="shared" si="824"/>
        <v>10.00725831925449</v>
      </c>
      <c r="AR198" s="826">
        <f t="shared" si="824"/>
        <v>0</v>
      </c>
      <c r="AS198" s="421">
        <f t="shared" si="824"/>
        <v>10.007259766635695</v>
      </c>
      <c r="AT198" s="157">
        <f t="shared" si="824"/>
        <v>5.0202641364206562</v>
      </c>
      <c r="AU198" s="1796">
        <f t="shared" ref="AU198:AX198" si="825">+AU123/AU$136*100</f>
        <v>10.007260511500178</v>
      </c>
      <c r="AV198" s="826">
        <f t="shared" si="825"/>
        <v>0</v>
      </c>
      <c r="AW198" s="421">
        <f t="shared" si="825"/>
        <v>10.007259831271048</v>
      </c>
      <c r="AX198" s="157">
        <f t="shared" si="825"/>
        <v>4.5837524282610875</v>
      </c>
      <c r="AY198" s="1796">
        <f t="shared" ref="AY198:BF198" si="826">+AY123/AY$136*100</f>
        <v>10.007257959395385</v>
      </c>
      <c r="AZ198" s="826">
        <f t="shared" si="826"/>
        <v>0</v>
      </c>
      <c r="BA198" s="540">
        <f t="shared" si="826"/>
        <v>10.007258895292747</v>
      </c>
      <c r="BB198" s="540">
        <f t="shared" si="826"/>
        <v>0</v>
      </c>
      <c r="BC198" s="566">
        <f t="shared" si="826"/>
        <v>10.007258452710097</v>
      </c>
      <c r="BD198" s="574">
        <f t="shared" si="826"/>
        <v>3.3896558893582327</v>
      </c>
      <c r="BE198" s="421">
        <f t="shared" si="826"/>
        <v>10.007259672376417</v>
      </c>
      <c r="BF198" s="157">
        <f t="shared" si="826"/>
        <v>4.1941229462604559</v>
      </c>
      <c r="BG198" s="648"/>
      <c r="BH198" s="648"/>
      <c r="BI198" s="648"/>
      <c r="BJ198" s="648"/>
      <c r="BK198" s="648"/>
      <c r="BL198" s="648"/>
      <c r="BM198" s="648"/>
      <c r="BN198" s="648"/>
    </row>
    <row r="199" spans="1:66" x14ac:dyDescent="0.25">
      <c r="B199" s="2867" t="s">
        <v>1348</v>
      </c>
      <c r="C199" s="1828" t="s">
        <v>51</v>
      </c>
      <c r="D199" s="175">
        <f t="shared" ref="D199:E199" si="827">+D124/D$136*100</f>
        <v>0</v>
      </c>
      <c r="E199" s="1796">
        <f t="shared" si="827"/>
        <v>0</v>
      </c>
      <c r="F199" s="826">
        <f t="shared" ref="F199:G200" si="828">+F124/F$136*100</f>
        <v>5.0465001205323725</v>
      </c>
      <c r="G199" s="1796">
        <f t="shared" si="828"/>
        <v>0</v>
      </c>
      <c r="H199" s="826">
        <f t="shared" ref="H199" si="829">+H124/H$136*100</f>
        <v>4.7257540484535294</v>
      </c>
      <c r="I199" s="421">
        <f t="shared" ref="I199:N199" si="830">+I124/I$136*100</f>
        <v>0</v>
      </c>
      <c r="J199" s="157">
        <f t="shared" si="830"/>
        <v>4.8867798337526667</v>
      </c>
      <c r="K199" s="1796">
        <f t="shared" si="830"/>
        <v>0</v>
      </c>
      <c r="L199" s="826">
        <f t="shared" si="800"/>
        <v>4.8177329274821847</v>
      </c>
      <c r="M199" s="284">
        <f t="shared" si="830"/>
        <v>0</v>
      </c>
      <c r="N199" s="153">
        <f t="shared" si="830"/>
        <v>4.8641143994428235</v>
      </c>
      <c r="O199" s="1796">
        <f t="shared" ref="O199:R199" si="831">+O124/O$136*100</f>
        <v>0</v>
      </c>
      <c r="P199" s="826">
        <f t="shared" si="831"/>
        <v>3.9908700044591683</v>
      </c>
      <c r="Q199" s="71">
        <f t="shared" si="831"/>
        <v>0</v>
      </c>
      <c r="R199" s="157">
        <f t="shared" si="831"/>
        <v>4.6389170490823668</v>
      </c>
      <c r="S199" s="1796">
        <f t="shared" ref="S199:X199" si="832">+S124/S$136*100</f>
        <v>0</v>
      </c>
      <c r="T199" s="2717">
        <f t="shared" si="832"/>
        <v>0.39119630650932596</v>
      </c>
      <c r="U199" s="421">
        <f t="shared" si="832"/>
        <v>0</v>
      </c>
      <c r="V199" s="157">
        <f t="shared" si="832"/>
        <v>3.7527752278063771</v>
      </c>
      <c r="W199" s="1796">
        <f t="shared" si="832"/>
        <v>0</v>
      </c>
      <c r="X199" s="826">
        <f t="shared" si="832"/>
        <v>0</v>
      </c>
      <c r="Y199" s="540">
        <f t="shared" ref="Y199:AF199" si="833">+Y124/Y$136*100</f>
        <v>0</v>
      </c>
      <c r="Z199" s="540">
        <f t="shared" si="833"/>
        <v>1.4558778427423833</v>
      </c>
      <c r="AA199" s="566">
        <f t="shared" si="833"/>
        <v>0</v>
      </c>
      <c r="AB199" s="574">
        <f t="shared" si="833"/>
        <v>3.1200381876497647</v>
      </c>
      <c r="AC199" s="1796">
        <f t="shared" si="833"/>
        <v>0</v>
      </c>
      <c r="AD199" s="2717">
        <f t="shared" si="833"/>
        <v>0.11373763947066177</v>
      </c>
      <c r="AE199" s="421">
        <f t="shared" si="833"/>
        <v>0</v>
      </c>
      <c r="AF199" s="157">
        <f t="shared" si="833"/>
        <v>2.6714583292076948</v>
      </c>
      <c r="AG199" s="1796">
        <f t="shared" ref="AG199:AN199" si="834">+AG124/AG$136*100</f>
        <v>0</v>
      </c>
      <c r="AH199" s="2717">
        <f t="shared" si="834"/>
        <v>2.068934669280825</v>
      </c>
      <c r="AI199" s="421">
        <f t="shared" si="834"/>
        <v>0</v>
      </c>
      <c r="AJ199" s="157">
        <f t="shared" si="834"/>
        <v>2.5968307237636288</v>
      </c>
      <c r="AK199" s="1796">
        <f t="shared" si="834"/>
        <v>0</v>
      </c>
      <c r="AL199" s="826">
        <f t="shared" si="834"/>
        <v>4.8197317980834296</v>
      </c>
      <c r="AM199" s="540">
        <f t="shared" si="834"/>
        <v>0</v>
      </c>
      <c r="AN199" s="540">
        <f t="shared" si="834"/>
        <v>2.3203717961129322</v>
      </c>
      <c r="AO199" s="421">
        <f t="shared" ref="AO199:AT199" si="835">+AO124/AO$136*100</f>
        <v>0</v>
      </c>
      <c r="AP199" s="157">
        <f t="shared" si="835"/>
        <v>2.8488665406946527</v>
      </c>
      <c r="AQ199" s="1796">
        <f t="shared" si="835"/>
        <v>0</v>
      </c>
      <c r="AR199" s="826">
        <f t="shared" si="835"/>
        <v>4.4422700610950763</v>
      </c>
      <c r="AS199" s="421">
        <f t="shared" si="835"/>
        <v>0</v>
      </c>
      <c r="AT199" s="157">
        <f t="shared" si="835"/>
        <v>3.0109157997660101</v>
      </c>
      <c r="AU199" s="1796">
        <f t="shared" ref="AU199:AX199" si="836">+AU124/AU$136*100</f>
        <v>0</v>
      </c>
      <c r="AV199" s="826">
        <f t="shared" si="836"/>
        <v>1.7668243424573082</v>
      </c>
      <c r="AW199" s="421">
        <f t="shared" si="836"/>
        <v>0</v>
      </c>
      <c r="AX199" s="157">
        <f t="shared" si="836"/>
        <v>2.90274211161347</v>
      </c>
      <c r="AY199" s="1796">
        <f t="shared" ref="AY199:BF199" si="837">+AY124/AY$136*100</f>
        <v>0</v>
      </c>
      <c r="AZ199" s="826">
        <f t="shared" si="837"/>
        <v>1.7115285650643253</v>
      </c>
      <c r="BA199" s="540">
        <f t="shared" si="837"/>
        <v>0</v>
      </c>
      <c r="BB199" s="540">
        <f t="shared" si="837"/>
        <v>2.6589848655726684</v>
      </c>
      <c r="BC199" s="566">
        <f t="shared" si="837"/>
        <v>0</v>
      </c>
      <c r="BD199" s="574">
        <f t="shared" si="837"/>
        <v>2.4880105422434187</v>
      </c>
      <c r="BE199" s="421">
        <f t="shared" si="837"/>
        <v>0</v>
      </c>
      <c r="BF199" s="157">
        <f t="shared" si="837"/>
        <v>2.8014862247919052</v>
      </c>
      <c r="BG199" s="648"/>
      <c r="BH199" s="648"/>
      <c r="BI199" s="648"/>
      <c r="BJ199" s="648"/>
      <c r="BK199" s="648"/>
      <c r="BL199" s="648"/>
      <c r="BM199" s="648"/>
      <c r="BN199" s="648"/>
    </row>
    <row r="200" spans="1:66" ht="15.75" thickBot="1" x14ac:dyDescent="0.3">
      <c r="B200" s="2868" t="s">
        <v>627</v>
      </c>
      <c r="C200" s="1842" t="s">
        <v>51</v>
      </c>
      <c r="D200" s="175">
        <f t="shared" ref="D200:E200" si="838">+D125/D$136*100</f>
        <v>0</v>
      </c>
      <c r="E200" s="1796">
        <f t="shared" si="838"/>
        <v>0</v>
      </c>
      <c r="F200" s="1844">
        <f t="shared" si="828"/>
        <v>10.987477320882551</v>
      </c>
      <c r="G200" s="1796">
        <f t="shared" si="828"/>
        <v>0</v>
      </c>
      <c r="H200" s="1844">
        <f t="shared" ref="H200" si="839">+H125/H$136*100</f>
        <v>9.6337844406354733</v>
      </c>
      <c r="I200" s="3997">
        <f t="shared" ref="I200:N200" si="840">+I125/I$136*100</f>
        <v>0</v>
      </c>
      <c r="J200" s="1847">
        <f t="shared" si="840"/>
        <v>10.313385776617089</v>
      </c>
      <c r="K200" s="1796">
        <f t="shared" si="840"/>
        <v>0</v>
      </c>
      <c r="L200" s="1844">
        <f t="shared" si="800"/>
        <v>12.220912065838169</v>
      </c>
      <c r="M200" s="4000">
        <f t="shared" si="840"/>
        <v>0</v>
      </c>
      <c r="N200" s="2105">
        <f t="shared" si="840"/>
        <v>10.939553032153093</v>
      </c>
      <c r="O200" s="1796">
        <f t="shared" ref="O200:R200" si="841">+O125/O$136*100</f>
        <v>0</v>
      </c>
      <c r="P200" s="1844">
        <f t="shared" si="841"/>
        <v>13.02746174060859</v>
      </c>
      <c r="Q200" s="3999">
        <f t="shared" si="841"/>
        <v>0</v>
      </c>
      <c r="R200" s="1847">
        <f t="shared" si="841"/>
        <v>11.477995089885971</v>
      </c>
      <c r="S200" s="3996">
        <f t="shared" ref="S200:X200" si="842">+S125/S$136*100</f>
        <v>0</v>
      </c>
      <c r="T200" s="2718">
        <f t="shared" si="842"/>
        <v>11.2326312720138</v>
      </c>
      <c r="U200" s="3997">
        <f t="shared" si="842"/>
        <v>0</v>
      </c>
      <c r="V200" s="1847">
        <f t="shared" si="842"/>
        <v>11.426808311464946</v>
      </c>
      <c r="W200" s="3996">
        <f t="shared" si="842"/>
        <v>0</v>
      </c>
      <c r="X200" s="1844">
        <f t="shared" si="842"/>
        <v>7.5330182509085768</v>
      </c>
      <c r="Y200" s="540">
        <f t="shared" ref="Y200:AF200" si="843">+Y125/Y$136*100</f>
        <v>0</v>
      </c>
      <c r="Z200" s="540">
        <f t="shared" si="843"/>
        <v>10.608793475748559</v>
      </c>
      <c r="AA200" s="566">
        <f t="shared" si="843"/>
        <v>0</v>
      </c>
      <c r="AB200" s="574">
        <f t="shared" si="843"/>
        <v>10.770295451421417</v>
      </c>
      <c r="AC200" s="4064">
        <f t="shared" si="843"/>
        <v>0</v>
      </c>
      <c r="AD200" s="2718">
        <f t="shared" si="843"/>
        <v>8.4388532867183237</v>
      </c>
      <c r="AE200" s="4067">
        <f t="shared" si="843"/>
        <v>0</v>
      </c>
      <c r="AF200" s="1847">
        <f t="shared" si="843"/>
        <v>10.422413401889861</v>
      </c>
      <c r="AG200" s="4174">
        <f t="shared" ref="AG200:AN200" si="844">+AG125/AG$136*100</f>
        <v>0</v>
      </c>
      <c r="AH200" s="2718">
        <f t="shared" si="844"/>
        <v>11.095398527653073</v>
      </c>
      <c r="AI200" s="4175">
        <f t="shared" si="844"/>
        <v>0</v>
      </c>
      <c r="AJ200" s="1847">
        <f t="shared" si="844"/>
        <v>10.505768250463406</v>
      </c>
      <c r="AK200" s="4300">
        <f t="shared" si="844"/>
        <v>0</v>
      </c>
      <c r="AL200" s="1844">
        <f t="shared" si="844"/>
        <v>6.8870863988463205</v>
      </c>
      <c r="AM200" s="540">
        <f t="shared" si="844"/>
        <v>0</v>
      </c>
      <c r="AN200" s="540">
        <f t="shared" si="844"/>
        <v>8.7803018477789738</v>
      </c>
      <c r="AO200" s="4303">
        <f t="shared" ref="AO200:AT200" si="845">+AO125/AO$136*100</f>
        <v>0</v>
      </c>
      <c r="AP200" s="1847">
        <f t="shared" si="845"/>
        <v>10.095476741218057</v>
      </c>
      <c r="AQ200" s="4415">
        <f t="shared" si="845"/>
        <v>0</v>
      </c>
      <c r="AR200" s="1844">
        <f t="shared" si="845"/>
        <v>5.4543213836428128</v>
      </c>
      <c r="AS200" s="4416">
        <f t="shared" si="845"/>
        <v>0</v>
      </c>
      <c r="AT200" s="1847">
        <f t="shared" si="845"/>
        <v>9.6234708887764064</v>
      </c>
      <c r="AU200" s="4661">
        <f t="shared" ref="AU200:AX200" si="846">+AU125/AU$136*100</f>
        <v>0</v>
      </c>
      <c r="AV200" s="1844">
        <f t="shared" si="846"/>
        <v>8.2331750063217282</v>
      </c>
      <c r="AW200" s="4662">
        <f t="shared" si="846"/>
        <v>0</v>
      </c>
      <c r="AX200" s="1847">
        <f t="shared" si="846"/>
        <v>9.5025847333857456</v>
      </c>
      <c r="AY200" s="5079">
        <f t="shared" ref="AY200:BF200" si="847">+AY125/AY$136*100</f>
        <v>0</v>
      </c>
      <c r="AZ200" s="1844">
        <f t="shared" si="847"/>
        <v>8.2883513597478835</v>
      </c>
      <c r="BA200" s="540">
        <f t="shared" si="847"/>
        <v>0</v>
      </c>
      <c r="BB200" s="540">
        <f t="shared" si="847"/>
        <v>7.3057630970398826</v>
      </c>
      <c r="BC200" s="566">
        <f t="shared" si="847"/>
        <v>0</v>
      </c>
      <c r="BD200" s="574">
        <f t="shared" si="847"/>
        <v>8.050295094970787</v>
      </c>
      <c r="BE200" s="5076">
        <f t="shared" si="847"/>
        <v>0</v>
      </c>
      <c r="BF200" s="1847">
        <f t="shared" si="847"/>
        <v>9.3993721084015736</v>
      </c>
      <c r="BG200" s="648"/>
      <c r="BH200" s="648"/>
      <c r="BI200" s="648"/>
      <c r="BJ200" s="648"/>
      <c r="BK200" s="648"/>
      <c r="BL200" s="648"/>
      <c r="BM200" s="648"/>
      <c r="BN200" s="648"/>
    </row>
    <row r="201" spans="1:66" ht="19.5" thickBot="1" x14ac:dyDescent="0.3">
      <c r="B201" s="2932" t="s">
        <v>14</v>
      </c>
      <c r="C201" s="886" t="s">
        <v>51</v>
      </c>
      <c r="D201" s="1887">
        <f>SUM(D196:D200)</f>
        <v>66.693239655800255</v>
      </c>
      <c r="E201" s="1822">
        <f>SUM(E196:E200)</f>
        <v>66.694003325816226</v>
      </c>
      <c r="F201" s="176">
        <f>SUM(F196:F200)</f>
        <v>70.548866361317991</v>
      </c>
      <c r="G201" s="1822">
        <f>SUM(G196:G200)</f>
        <v>66.694020646902061</v>
      </c>
      <c r="H201" s="176">
        <f>SUM(H196:H200)</f>
        <v>69.880273222645755</v>
      </c>
      <c r="I201" s="728">
        <f t="shared" ref="I201:N201" si="848">SUM(I196:I200)</f>
        <v>66.694012128334123</v>
      </c>
      <c r="J201" s="205">
        <f t="shared" si="848"/>
        <v>70.215930443644709</v>
      </c>
      <c r="K201" s="1822">
        <f>SUM(K196:K200)</f>
        <v>66.693962021724744</v>
      </c>
      <c r="L201" s="176">
        <f>SUM(L196:L200)</f>
        <v>69.524567995654266</v>
      </c>
      <c r="M201" s="2131">
        <f t="shared" si="848"/>
        <v>66.693995609663375</v>
      </c>
      <c r="N201" s="2132">
        <f t="shared" si="848"/>
        <v>69.988982836639195</v>
      </c>
      <c r="O201" s="1822">
        <f>SUM(O196:O200)</f>
        <v>66.694020646902061</v>
      </c>
      <c r="P201" s="176">
        <f>SUM(P196:P200)</f>
        <v>72.698314600161467</v>
      </c>
      <c r="Q201" s="2436">
        <f t="shared" ref="Q201:R201" si="849">SUM(Q196:Q200)</f>
        <v>66.694001971582907</v>
      </c>
      <c r="R201" s="205">
        <f t="shared" si="849"/>
        <v>70.68768109098535</v>
      </c>
      <c r="S201" s="1822">
        <f t="shared" ref="S201:X201" si="850">SUM(S196:S200)</f>
        <v>66.689355494462262</v>
      </c>
      <c r="T201" s="2755">
        <f t="shared" si="850"/>
        <v>72.668763891600378</v>
      </c>
      <c r="U201" s="728">
        <f t="shared" si="850"/>
        <v>66.69307041338466</v>
      </c>
      <c r="V201" s="205">
        <f t="shared" si="850"/>
        <v>71.100966339104588</v>
      </c>
      <c r="W201" s="1822">
        <f t="shared" si="850"/>
        <v>66.689355494462234</v>
      </c>
      <c r="X201" s="176">
        <f t="shared" si="850"/>
        <v>71.449510221576489</v>
      </c>
      <c r="Y201" s="1821">
        <f t="shared" ref="Y201:AF201" si="851">SUM(Y196:Y200)</f>
        <v>66.690941255735638</v>
      </c>
      <c r="Z201" s="429">
        <f t="shared" si="851"/>
        <v>72.276837098117525</v>
      </c>
      <c r="AA201" s="3819">
        <f t="shared" si="851"/>
        <v>66.692466765600983</v>
      </c>
      <c r="AB201" s="3734">
        <f t="shared" si="851"/>
        <v>71.159732615039744</v>
      </c>
      <c r="AC201" s="1822">
        <f t="shared" si="851"/>
        <v>66.694006159570733</v>
      </c>
      <c r="AD201" s="2755">
        <f t="shared" si="851"/>
        <v>68.639199168080239</v>
      </c>
      <c r="AE201" s="728">
        <f t="shared" si="851"/>
        <v>66.692690599815748</v>
      </c>
      <c r="AF201" s="205">
        <f t="shared" si="851"/>
        <v>70.783635641794532</v>
      </c>
      <c r="AG201" s="1822">
        <f t="shared" ref="AG201:AN201" si="852">SUM(AG196:AG200)</f>
        <v>66.694007593770905</v>
      </c>
      <c r="AH201" s="2755">
        <f t="shared" si="852"/>
        <v>64.941293653817738</v>
      </c>
      <c r="AI201" s="728">
        <f t="shared" si="852"/>
        <v>66.692853058669385</v>
      </c>
      <c r="AJ201" s="205">
        <f t="shared" si="852"/>
        <v>70.060012617926972</v>
      </c>
      <c r="AK201" s="1822">
        <f t="shared" si="852"/>
        <v>66.694006159570733</v>
      </c>
      <c r="AL201" s="176">
        <f t="shared" si="852"/>
        <v>65.904090984648761</v>
      </c>
      <c r="AM201" s="1821">
        <f t="shared" si="852"/>
        <v>66.69400662724469</v>
      </c>
      <c r="AN201" s="429">
        <f t="shared" si="852"/>
        <v>66.527185004181248</v>
      </c>
      <c r="AO201" s="728">
        <f t="shared" ref="AO201:AT201" si="853">SUM(AO196:AO200)</f>
        <v>66.692983424346622</v>
      </c>
      <c r="AP201" s="205">
        <f t="shared" si="853"/>
        <v>69.588808066341116</v>
      </c>
      <c r="AQ201" s="1822">
        <f t="shared" si="853"/>
        <v>66.694008655380145</v>
      </c>
      <c r="AR201" s="176">
        <f t="shared" si="853"/>
        <v>67.500362521441801</v>
      </c>
      <c r="AS201" s="728">
        <f t="shared" si="853"/>
        <v>66.693087560235881</v>
      </c>
      <c r="AT201" s="205">
        <f t="shared" si="853"/>
        <v>69.376412995771204</v>
      </c>
      <c r="AU201" s="1822">
        <f t="shared" ref="AU201:AX201" si="854">SUM(AU196:AU200)</f>
        <v>66.694023265740768</v>
      </c>
      <c r="AV201" s="176">
        <f t="shared" si="854"/>
        <v>72.879812417103636</v>
      </c>
      <c r="AW201" s="728">
        <f t="shared" si="854"/>
        <v>66.69316875575069</v>
      </c>
      <c r="AX201" s="205">
        <f t="shared" si="854"/>
        <v>69.68103339505987</v>
      </c>
      <c r="AY201" s="1822">
        <f t="shared" ref="AY201:BF201" si="855">SUM(AY196:AY200)</f>
        <v>66.694006257076268</v>
      </c>
      <c r="AZ201" s="176">
        <f t="shared" si="855"/>
        <v>72.738988785282217</v>
      </c>
      <c r="BA201" s="1821">
        <f t="shared" si="855"/>
        <v>66.694012494423689</v>
      </c>
      <c r="BB201" s="429">
        <f t="shared" si="855"/>
        <v>71.000121093358402</v>
      </c>
      <c r="BC201" s="3819">
        <f t="shared" si="855"/>
        <v>66.694009544803521</v>
      </c>
      <c r="BD201" s="3734">
        <f t="shared" si="855"/>
        <v>68.741622263522231</v>
      </c>
      <c r="BE201" s="728">
        <f t="shared" si="855"/>
        <v>66.693239847257871</v>
      </c>
      <c r="BF201" s="205">
        <f t="shared" si="855"/>
        <v>69.94096662516354</v>
      </c>
      <c r="BG201" s="648"/>
      <c r="BH201" s="648"/>
      <c r="BI201" s="648"/>
      <c r="BJ201" s="648"/>
      <c r="BK201" s="648"/>
      <c r="BL201" s="648"/>
      <c r="BM201" s="648"/>
      <c r="BN201" s="648"/>
    </row>
    <row r="202" spans="1:66" x14ac:dyDescent="0.25">
      <c r="B202" s="2877" t="s">
        <v>1486</v>
      </c>
      <c r="C202" s="1846" t="s">
        <v>51</v>
      </c>
      <c r="D202" s="175">
        <f t="shared" ref="D202:N204" si="856">+D127/D$136*100</f>
        <v>18.658393366288038</v>
      </c>
      <c r="E202" s="1796">
        <f t="shared" si="856"/>
        <v>18.659167231891633</v>
      </c>
      <c r="F202" s="826">
        <f t="shared" si="856"/>
        <v>2.8090386591725136</v>
      </c>
      <c r="G202" s="1796">
        <f t="shared" ref="G202:H202" si="857">+G127/G$136*100</f>
        <v>18.659172077860102</v>
      </c>
      <c r="H202" s="826">
        <f t="shared" si="857"/>
        <v>12.383918749520326</v>
      </c>
      <c r="I202" s="421">
        <f t="shared" si="856"/>
        <v>18.659169694596606</v>
      </c>
      <c r="J202" s="157">
        <f t="shared" si="856"/>
        <v>7.5769928978629881</v>
      </c>
      <c r="K202" s="1796">
        <f t="shared" si="856"/>
        <v>18.659155676130815</v>
      </c>
      <c r="L202" s="826">
        <f t="shared" si="856"/>
        <v>13.570675657870654</v>
      </c>
      <c r="M202" s="284">
        <f t="shared" si="856"/>
        <v>18.65916507312204</v>
      </c>
      <c r="N202" s="153">
        <f t="shared" si="856"/>
        <v>9.5444876084706092</v>
      </c>
      <c r="O202" s="1796">
        <f t="shared" ref="O202:R205" si="858">+O127/O$136*100</f>
        <v>18.659172077860102</v>
      </c>
      <c r="P202" s="826">
        <f t="shared" si="858"/>
        <v>10.574603527195602</v>
      </c>
      <c r="Q202" s="71">
        <f t="shared" si="858"/>
        <v>18.659166853013996</v>
      </c>
      <c r="R202" s="157">
        <f t="shared" si="858"/>
        <v>9.8101399009944448</v>
      </c>
      <c r="S202" s="1796">
        <f t="shared" ref="S202:X202" si="859">+S127/S$136*100</f>
        <v>18.654468351484024</v>
      </c>
      <c r="T202" s="2717">
        <f t="shared" si="859"/>
        <v>12.731746213167922</v>
      </c>
      <c r="U202" s="421">
        <f t="shared" si="859"/>
        <v>18.658224864598672</v>
      </c>
      <c r="V202" s="157">
        <f t="shared" si="859"/>
        <v>10.419633249409005</v>
      </c>
      <c r="W202" s="1796">
        <f t="shared" si="859"/>
        <v>18.654468351484024</v>
      </c>
      <c r="X202" s="826">
        <f t="shared" si="859"/>
        <v>14.691932873314409</v>
      </c>
      <c r="Y202" s="427">
        <f t="shared" ref="Y202:AF202" si="860">+Y127/Y$136*100</f>
        <v>18.65606722466643</v>
      </c>
      <c r="Z202" s="430">
        <f t="shared" si="860"/>
        <v>12.66233503345792</v>
      </c>
      <c r="AA202" s="559">
        <f t="shared" si="860"/>
        <v>18.657614458055939</v>
      </c>
      <c r="AB202" s="568">
        <f t="shared" si="860"/>
        <v>11.139964751989361</v>
      </c>
      <c r="AC202" s="1796">
        <f t="shared" si="860"/>
        <v>18.659168024699031</v>
      </c>
      <c r="AD202" s="2717">
        <f t="shared" si="860"/>
        <v>18.778283750446668</v>
      </c>
      <c r="AE202" s="421">
        <f t="shared" si="860"/>
        <v>18.657840353035692</v>
      </c>
      <c r="AF202" s="157">
        <f t="shared" si="860"/>
        <v>12.27970311152853</v>
      </c>
      <c r="AG202" s="1796">
        <f t="shared" ref="AG202:AN202" si="861">+AG127/AG$136*100</f>
        <v>18.659168425949211</v>
      </c>
      <c r="AH202" s="2717">
        <f t="shared" si="861"/>
        <v>26.254108564101202</v>
      </c>
      <c r="AI202" s="421">
        <f t="shared" si="861"/>
        <v>18.658004178543202</v>
      </c>
      <c r="AJ202" s="157">
        <f t="shared" si="861"/>
        <v>14.010550355861767</v>
      </c>
      <c r="AK202" s="1796">
        <f t="shared" si="861"/>
        <v>18.659168024699031</v>
      </c>
      <c r="AL202" s="826">
        <f t="shared" si="861"/>
        <v>25.68560452596062</v>
      </c>
      <c r="AM202" s="427">
        <f t="shared" si="861"/>
        <v>18.659168155541479</v>
      </c>
      <c r="AN202" s="430">
        <f t="shared" si="861"/>
        <v>23.508725314586027</v>
      </c>
      <c r="AO202" s="421">
        <f t="shared" ref="AO202:AT202" si="862">+AO127/AO$136*100</f>
        <v>18.658135759042459</v>
      </c>
      <c r="AP202" s="157">
        <f t="shared" si="862"/>
        <v>15.334285293717794</v>
      </c>
      <c r="AQ202" s="1796">
        <f t="shared" si="862"/>
        <v>18.659168722958587</v>
      </c>
      <c r="AR202" s="826">
        <f t="shared" si="862"/>
        <v>21.286684639274391</v>
      </c>
      <c r="AS202" s="421">
        <f t="shared" si="862"/>
        <v>18.658240680384544</v>
      </c>
      <c r="AT202" s="157">
        <f t="shared" si="862"/>
        <v>15.939644759348873</v>
      </c>
      <c r="AU202" s="1796">
        <f t="shared" ref="AU202:AX202" si="863">+AU127/AU$136*100</f>
        <v>18.659172810539907</v>
      </c>
      <c r="AV202" s="826">
        <f t="shared" si="863"/>
        <v>17.120188234117322</v>
      </c>
      <c r="AW202" s="421">
        <f t="shared" si="863"/>
        <v>18.658321565649651</v>
      </c>
      <c r="AX202" s="157">
        <f t="shared" si="863"/>
        <v>16.042292953691735</v>
      </c>
      <c r="AY202" s="1796">
        <f t="shared" ref="AY202:BF202" si="864">+AY127/AY$136*100</f>
        <v>18.659168051978426</v>
      </c>
      <c r="AZ202" s="826">
        <f t="shared" si="864"/>
        <v>17.12277054052181</v>
      </c>
      <c r="BA202" s="427">
        <f t="shared" si="864"/>
        <v>18.6591697970185</v>
      </c>
      <c r="BB202" s="430">
        <f t="shared" si="864"/>
        <v>18.539772523883755</v>
      </c>
      <c r="BC202" s="559">
        <f t="shared" si="864"/>
        <v>18.659168971795044</v>
      </c>
      <c r="BD202" s="568">
        <f t="shared" si="864"/>
        <v>21.048722761394682</v>
      </c>
      <c r="BE202" s="421">
        <f t="shared" si="864"/>
        <v>18.658393419851055</v>
      </c>
      <c r="BF202" s="157">
        <f t="shared" si="864"/>
        <v>16.134136029655938</v>
      </c>
      <c r="BG202" s="648"/>
      <c r="BH202" s="648"/>
      <c r="BI202" s="648"/>
      <c r="BJ202" s="648"/>
      <c r="BK202" s="648"/>
      <c r="BL202" s="648"/>
      <c r="BM202" s="648"/>
      <c r="BN202" s="648"/>
    </row>
    <row r="203" spans="1:66" x14ac:dyDescent="0.25">
      <c r="B203" s="2871" t="s">
        <v>647</v>
      </c>
      <c r="C203" s="2290" t="s">
        <v>51</v>
      </c>
      <c r="D203" s="175">
        <f t="shared" ref="D203:E203" si="865">+D128/D$136*100</f>
        <v>0</v>
      </c>
      <c r="E203" s="1796">
        <f t="shared" si="865"/>
        <v>0</v>
      </c>
      <c r="F203" s="130">
        <f t="shared" ref="F203:N203" si="866">+F128/F$136*100</f>
        <v>10.014971389421063</v>
      </c>
      <c r="G203" s="1796">
        <f t="shared" si="866"/>
        <v>0</v>
      </c>
      <c r="H203" s="130">
        <f t="shared" ref="H203" si="867">+H128/H$136*100</f>
        <v>5.0103609711171941</v>
      </c>
      <c r="I203" s="331">
        <f t="shared" si="866"/>
        <v>0</v>
      </c>
      <c r="J203" s="136">
        <f t="shared" si="866"/>
        <v>7.5228510462116622</v>
      </c>
      <c r="K203" s="1796">
        <f t="shared" ref="K203" si="868">+K128/K$136*100</f>
        <v>0</v>
      </c>
      <c r="L203" s="130">
        <f t="shared" si="856"/>
        <v>7.0106910559700699</v>
      </c>
      <c r="M203" s="284">
        <f t="shared" si="866"/>
        <v>0</v>
      </c>
      <c r="N203" s="153">
        <f t="shared" si="866"/>
        <v>7.3547286893680894</v>
      </c>
      <c r="O203" s="1796">
        <f t="shared" si="858"/>
        <v>0</v>
      </c>
      <c r="P203" s="130">
        <f t="shared" si="858"/>
        <v>6.5333997885464221</v>
      </c>
      <c r="Q203" s="71">
        <f t="shared" si="858"/>
        <v>0</v>
      </c>
      <c r="R203" s="157">
        <f t="shared" si="858"/>
        <v>7.1429196089983629</v>
      </c>
      <c r="S203" s="932">
        <f t="shared" ref="S203:AB203" si="869">+S128/S$136*100</f>
        <v>0</v>
      </c>
      <c r="T203" s="2701">
        <f t="shared" si="869"/>
        <v>1.8501671757357734</v>
      </c>
      <c r="U203" s="331">
        <f t="shared" si="869"/>
        <v>0</v>
      </c>
      <c r="V203" s="136">
        <f t="shared" si="869"/>
        <v>6.0387676260850025</v>
      </c>
      <c r="W203" s="932">
        <f t="shared" si="869"/>
        <v>0</v>
      </c>
      <c r="X203" s="130">
        <f t="shared" si="869"/>
        <v>1.9186038161515788</v>
      </c>
      <c r="Y203" s="427">
        <f t="shared" si="869"/>
        <v>0</v>
      </c>
      <c r="Z203" s="430">
        <f t="shared" si="869"/>
        <v>3.4255755536316821</v>
      </c>
      <c r="AA203" s="559">
        <f t="shared" si="869"/>
        <v>0</v>
      </c>
      <c r="AB203" s="568">
        <f t="shared" si="869"/>
        <v>5.3440869975354657</v>
      </c>
      <c r="AC203" s="932">
        <f t="shared" ref="AC203:AF203" si="870">+AC128/AC$136*100</f>
        <v>0</v>
      </c>
      <c r="AD203" s="2701">
        <f t="shared" si="870"/>
        <v>2.8986822562219632</v>
      </c>
      <c r="AE203" s="331">
        <f t="shared" si="870"/>
        <v>0</v>
      </c>
      <c r="AF203" s="136">
        <f t="shared" si="870"/>
        <v>4.9792002222074307</v>
      </c>
      <c r="AG203" s="932">
        <f t="shared" ref="AG203:AN203" si="871">+AG128/AG$136*100</f>
        <v>0</v>
      </c>
      <c r="AH203" s="2701">
        <f t="shared" si="871"/>
        <v>1.2913510163916331</v>
      </c>
      <c r="AI203" s="331">
        <f t="shared" si="871"/>
        <v>0</v>
      </c>
      <c r="AJ203" s="136">
        <f t="shared" si="871"/>
        <v>4.5224291876853373</v>
      </c>
      <c r="AK203" s="932">
        <f t="shared" si="871"/>
        <v>0</v>
      </c>
      <c r="AL203" s="130">
        <f t="shared" si="871"/>
        <v>1.6443954740393802</v>
      </c>
      <c r="AM203" s="427">
        <f t="shared" si="871"/>
        <v>0</v>
      </c>
      <c r="AN203" s="430">
        <f t="shared" si="871"/>
        <v>1.9587926077939311</v>
      </c>
      <c r="AO203" s="331">
        <f t="shared" ref="AO203:AT203" si="872">+AO128/AO$136*100</f>
        <v>0</v>
      </c>
      <c r="AP203" s="136">
        <f t="shared" si="872"/>
        <v>4.1961134615589541</v>
      </c>
      <c r="AQ203" s="932">
        <f t="shared" si="872"/>
        <v>0</v>
      </c>
      <c r="AR203" s="130">
        <f t="shared" si="872"/>
        <v>3.438294825974463</v>
      </c>
      <c r="AS203" s="331">
        <f t="shared" si="872"/>
        <v>0</v>
      </c>
      <c r="AT203" s="136">
        <f t="shared" si="872"/>
        <v>4.1190432487505424</v>
      </c>
      <c r="AU203" s="932">
        <f t="shared" ref="AU203:AX203" si="873">+AU128/AU$136*100</f>
        <v>0</v>
      </c>
      <c r="AV203" s="130">
        <f t="shared" si="873"/>
        <v>8.1113250516694997</v>
      </c>
      <c r="AW203" s="331">
        <f t="shared" si="873"/>
        <v>0</v>
      </c>
      <c r="AX203" s="136">
        <f t="shared" si="873"/>
        <v>4.466171945944752</v>
      </c>
      <c r="AY203" s="932">
        <f t="shared" ref="AY203:BF203" si="874">+AY128/AY$136*100</f>
        <v>0</v>
      </c>
      <c r="AZ203" s="130">
        <f t="shared" si="874"/>
        <v>7.4892723181526817</v>
      </c>
      <c r="BA203" s="427">
        <f t="shared" si="874"/>
        <v>0</v>
      </c>
      <c r="BB203" s="430">
        <f t="shared" si="874"/>
        <v>6.3082382851519361</v>
      </c>
      <c r="BC203" s="559">
        <f t="shared" si="874"/>
        <v>0</v>
      </c>
      <c r="BD203" s="568">
        <f t="shared" si="874"/>
        <v>4.1120928949869509</v>
      </c>
      <c r="BE203" s="331">
        <f t="shared" si="874"/>
        <v>0</v>
      </c>
      <c r="BF203" s="136">
        <f t="shared" si="874"/>
        <v>4.7231424194801521</v>
      </c>
      <c r="BG203" s="648"/>
      <c r="BH203" s="648"/>
      <c r="BI203" s="648"/>
      <c r="BJ203" s="648"/>
      <c r="BK203" s="648"/>
      <c r="BL203" s="648"/>
      <c r="BM203" s="648"/>
      <c r="BN203" s="648"/>
    </row>
    <row r="204" spans="1:66" x14ac:dyDescent="0.25">
      <c r="B204" s="2871" t="s">
        <v>1461</v>
      </c>
      <c r="C204" s="2291" t="s">
        <v>51</v>
      </c>
      <c r="D204" s="175">
        <f t="shared" ref="D204:E204" si="875">+D129/D$136*100</f>
        <v>8.0058077149187064</v>
      </c>
      <c r="E204" s="1796">
        <f t="shared" si="875"/>
        <v>8.0058060156540982</v>
      </c>
      <c r="F204" s="130">
        <f t="shared" ref="F204:N204" si="876">+F129/F$136*100</f>
        <v>4.886001750891305</v>
      </c>
      <c r="G204" s="1796">
        <f t="shared" si="876"/>
        <v>8.0058080948403259</v>
      </c>
      <c r="H204" s="130">
        <f t="shared" ref="H204" si="877">+H129/H$136*100</f>
        <v>3.9870551817646906</v>
      </c>
      <c r="I204" s="331">
        <f t="shared" si="876"/>
        <v>8.0058070722895867</v>
      </c>
      <c r="J204" s="136">
        <f t="shared" si="876"/>
        <v>4.4383579094875634</v>
      </c>
      <c r="K204" s="1796">
        <f t="shared" ref="K204:K205" si="878">+K129/K$136*100</f>
        <v>8.0058010575989869</v>
      </c>
      <c r="L204" s="130">
        <f t="shared" si="856"/>
        <v>0.74154622509227597</v>
      </c>
      <c r="M204" s="284">
        <f t="shared" si="876"/>
        <v>8.0058050894235553</v>
      </c>
      <c r="N204" s="153">
        <f t="shared" si="876"/>
        <v>3.2248373201611327</v>
      </c>
      <c r="O204" s="1796">
        <f t="shared" si="858"/>
        <v>8.0058080948403259</v>
      </c>
      <c r="P204" s="130">
        <f t="shared" si="858"/>
        <v>1.4684491682308276</v>
      </c>
      <c r="Q204" s="71">
        <f t="shared" si="858"/>
        <v>8.0058058530948166</v>
      </c>
      <c r="R204" s="157">
        <f t="shared" si="858"/>
        <v>2.7718897143232413</v>
      </c>
      <c r="S204" s="932">
        <f t="shared" ref="S204:AB204" si="879">+S129/S$136*100</f>
        <v>8.005814523829704</v>
      </c>
      <c r="T204" s="2701">
        <f t="shared" si="879"/>
        <v>3.9530482387995143</v>
      </c>
      <c r="U204" s="331">
        <f t="shared" si="879"/>
        <v>8.005807591464329</v>
      </c>
      <c r="V204" s="136">
        <f t="shared" si="879"/>
        <v>3.0182980894324403</v>
      </c>
      <c r="W204" s="932">
        <f t="shared" si="879"/>
        <v>8.005814523829704</v>
      </c>
      <c r="X204" s="130">
        <f t="shared" si="879"/>
        <v>3.2197771571848457</v>
      </c>
      <c r="Y204" s="427">
        <f t="shared" si="879"/>
        <v>8.0058123385115358</v>
      </c>
      <c r="Z204" s="430">
        <f t="shared" si="879"/>
        <v>2.8876069861494975</v>
      </c>
      <c r="AA204" s="559">
        <f t="shared" si="879"/>
        <v>8.0058087179241753</v>
      </c>
      <c r="AB204" s="568">
        <f t="shared" si="879"/>
        <v>3.0522684876696107</v>
      </c>
      <c r="AC204" s="932">
        <f t="shared" ref="AC204:AF204" si="880">+AC129/AC$136*100</f>
        <v>8.0058063558119503</v>
      </c>
      <c r="AD204" s="2701">
        <f t="shared" si="880"/>
        <v>0.69379960077103686</v>
      </c>
      <c r="AE204" s="331">
        <f t="shared" si="880"/>
        <v>8.0058083744633421</v>
      </c>
      <c r="AF204" s="136">
        <f t="shared" si="880"/>
        <v>2.7003536932337089</v>
      </c>
      <c r="AG204" s="932">
        <f t="shared" ref="AG204:AN204" si="881">+AG129/AG$136*100</f>
        <v>8.0058065279702806</v>
      </c>
      <c r="AH204" s="2701">
        <f t="shared" si="881"/>
        <v>0</v>
      </c>
      <c r="AI204" s="331">
        <f t="shared" si="881"/>
        <v>8.0058081466876949</v>
      </c>
      <c r="AJ204" s="136">
        <f t="shared" si="881"/>
        <v>2.3658922548189394</v>
      </c>
      <c r="AK204" s="932">
        <f t="shared" si="881"/>
        <v>8.0058063558119503</v>
      </c>
      <c r="AL204" s="130">
        <f t="shared" si="881"/>
        <v>0</v>
      </c>
      <c r="AM204" s="427">
        <f t="shared" si="881"/>
        <v>8.0058064119505357</v>
      </c>
      <c r="AN204" s="430">
        <f t="shared" si="881"/>
        <v>0.23714670390406462</v>
      </c>
      <c r="AO204" s="331">
        <f t="shared" ref="AO204:AT204" si="882">+AO129/AO$136*100</f>
        <v>8.0058079442173575</v>
      </c>
      <c r="AP204" s="136">
        <f t="shared" si="882"/>
        <v>2.0976438860081354</v>
      </c>
      <c r="AQ204" s="932">
        <f t="shared" si="882"/>
        <v>8.0058066554035907</v>
      </c>
      <c r="AR204" s="130">
        <f t="shared" si="882"/>
        <v>1.654424072643321</v>
      </c>
      <c r="AS204" s="331">
        <f t="shared" si="882"/>
        <v>8.0058078133085555</v>
      </c>
      <c r="AT204" s="136">
        <f t="shared" si="882"/>
        <v>2.0525683973187014</v>
      </c>
      <c r="AU204" s="932">
        <f t="shared" ref="AU204:AX204" si="883">+AU129/AU$136*100</f>
        <v>8.005808409200144</v>
      </c>
      <c r="AV204" s="130">
        <f t="shared" si="883"/>
        <v>0.12184995465222814</v>
      </c>
      <c r="AW204" s="331">
        <f t="shared" si="883"/>
        <v>8.0058078650168376</v>
      </c>
      <c r="AX204" s="136">
        <f t="shared" si="883"/>
        <v>1.8846925281449312</v>
      </c>
      <c r="AY204" s="932">
        <f t="shared" ref="AY204:BF204" si="884">+AY129/AY$136*100</f>
        <v>8.0058063675163069</v>
      </c>
      <c r="AZ204" s="130">
        <f t="shared" si="884"/>
        <v>0.74178428193849144</v>
      </c>
      <c r="BA204" s="427">
        <f t="shared" si="884"/>
        <v>8.0058071162341964</v>
      </c>
      <c r="BB204" s="430">
        <f t="shared" si="884"/>
        <v>0.85488028243821557</v>
      </c>
      <c r="BC204" s="559">
        <f t="shared" si="884"/>
        <v>8.0058067621680777</v>
      </c>
      <c r="BD204" s="568">
        <f t="shared" si="884"/>
        <v>0.54297093778076977</v>
      </c>
      <c r="BE204" s="331">
        <f t="shared" si="884"/>
        <v>8.005807737901133</v>
      </c>
      <c r="BF204" s="136">
        <f t="shared" si="884"/>
        <v>1.787542702775196</v>
      </c>
      <c r="BG204" s="648"/>
      <c r="BH204" s="648"/>
      <c r="BI204" s="648"/>
      <c r="BJ204" s="648"/>
      <c r="BK204" s="648"/>
      <c r="BL204" s="648"/>
      <c r="BM204" s="648"/>
      <c r="BN204" s="648"/>
    </row>
    <row r="205" spans="1:66" ht="14.25" customHeight="1" thickBot="1" x14ac:dyDescent="0.3">
      <c r="B205" s="2871" t="s">
        <v>1485</v>
      </c>
      <c r="C205" s="2291" t="s">
        <v>51</v>
      </c>
      <c r="D205" s="175">
        <f t="shared" ref="D205:E205" si="885">+D130/D$136*100</f>
        <v>0</v>
      </c>
      <c r="E205" s="1796">
        <f t="shared" si="885"/>
        <v>0</v>
      </c>
      <c r="F205" s="163">
        <f>+F130/F$136*100</f>
        <v>3.031706357765457</v>
      </c>
      <c r="G205" s="1796">
        <f t="shared" ref="G205" si="886">+G130/G$136*100</f>
        <v>0</v>
      </c>
      <c r="H205" s="163">
        <f>+H130/H$136*100</f>
        <v>0</v>
      </c>
      <c r="I205" s="727">
        <f t="shared" ref="I205:N205" si="887">+I130/I$136*100</f>
        <v>0</v>
      </c>
      <c r="J205" s="137">
        <f t="shared" si="887"/>
        <v>1.5220229943628778</v>
      </c>
      <c r="K205" s="1796">
        <f t="shared" si="878"/>
        <v>0</v>
      </c>
      <c r="L205" s="163">
        <f>+L130/L$136*100</f>
        <v>0</v>
      </c>
      <c r="M205" s="2114">
        <f t="shared" si="887"/>
        <v>0</v>
      </c>
      <c r="N205" s="145">
        <f t="shared" si="887"/>
        <v>1.0224015911726458</v>
      </c>
      <c r="O205" s="1796">
        <f t="shared" si="858"/>
        <v>0</v>
      </c>
      <c r="P205" s="163">
        <f>+P130/P$136*100</f>
        <v>0</v>
      </c>
      <c r="Q205" s="934">
        <f t="shared" ref="Q205:R205" si="888">+Q130/Q$136*100</f>
        <v>0</v>
      </c>
      <c r="R205" s="137">
        <f t="shared" si="888"/>
        <v>0.75873871436631424</v>
      </c>
      <c r="S205" s="933">
        <f t="shared" ref="S205:X205" si="889">+S130/S$136*100</f>
        <v>0</v>
      </c>
      <c r="T205" s="2727">
        <f t="shared" si="889"/>
        <v>0</v>
      </c>
      <c r="U205" s="727">
        <f t="shared" si="889"/>
        <v>0</v>
      </c>
      <c r="V205" s="137">
        <f t="shared" si="889"/>
        <v>0.60045380182898611</v>
      </c>
      <c r="W205" s="933">
        <f t="shared" si="889"/>
        <v>0</v>
      </c>
      <c r="X205" s="163">
        <f t="shared" si="889"/>
        <v>0</v>
      </c>
      <c r="Y205" s="427">
        <f t="shared" ref="Y205:AF205" si="890">+Y130/Y$136*100</f>
        <v>0</v>
      </c>
      <c r="Z205" s="430">
        <f t="shared" si="890"/>
        <v>0</v>
      </c>
      <c r="AA205" s="559">
        <f t="shared" si="890"/>
        <v>0</v>
      </c>
      <c r="AB205" s="568">
        <f t="shared" si="890"/>
        <v>0.49921422891106876</v>
      </c>
      <c r="AC205" s="933">
        <f t="shared" si="890"/>
        <v>0</v>
      </c>
      <c r="AD205" s="2727">
        <f t="shared" si="890"/>
        <v>0</v>
      </c>
      <c r="AE205" s="727">
        <f t="shared" si="890"/>
        <v>0</v>
      </c>
      <c r="AF205" s="137">
        <f t="shared" si="890"/>
        <v>0.42472485416348005</v>
      </c>
      <c r="AG205" s="933">
        <f t="shared" ref="AG205:AN205" si="891">+AG130/AG$136*100</f>
        <v>0</v>
      </c>
      <c r="AH205" s="2727">
        <f t="shared" si="891"/>
        <v>0</v>
      </c>
      <c r="AI205" s="727">
        <f t="shared" si="891"/>
        <v>0</v>
      </c>
      <c r="AJ205" s="137">
        <f t="shared" si="891"/>
        <v>0.37211912106638018</v>
      </c>
      <c r="AK205" s="933">
        <f t="shared" si="891"/>
        <v>0</v>
      </c>
      <c r="AL205" s="163">
        <f t="shared" si="891"/>
        <v>0</v>
      </c>
      <c r="AM205" s="427">
        <f t="shared" si="891"/>
        <v>0</v>
      </c>
      <c r="AN205" s="430">
        <f t="shared" si="891"/>
        <v>0</v>
      </c>
      <c r="AO205" s="727">
        <f t="shared" ref="AO205:AT205" si="892">+AO130/AO$136*100</f>
        <v>0</v>
      </c>
      <c r="AP205" s="137">
        <f t="shared" si="892"/>
        <v>0.32992770384268844</v>
      </c>
      <c r="AQ205" s="933">
        <f t="shared" si="892"/>
        <v>0</v>
      </c>
      <c r="AR205" s="163">
        <f t="shared" si="892"/>
        <v>0</v>
      </c>
      <c r="AS205" s="727">
        <f t="shared" si="892"/>
        <v>0</v>
      </c>
      <c r="AT205" s="137">
        <f t="shared" si="892"/>
        <v>0.29637403129815548</v>
      </c>
      <c r="AU205" s="933">
        <f t="shared" ref="AU205:AX205" si="893">+AU130/AU$136*100</f>
        <v>0</v>
      </c>
      <c r="AV205" s="163">
        <f t="shared" si="893"/>
        <v>0</v>
      </c>
      <c r="AW205" s="727">
        <f t="shared" si="893"/>
        <v>0</v>
      </c>
      <c r="AX205" s="137">
        <f t="shared" si="893"/>
        <v>0.27060432453759969</v>
      </c>
      <c r="AY205" s="933">
        <f t="shared" ref="AY205:BF205" si="894">+AY130/AY$136*100</f>
        <v>0</v>
      </c>
      <c r="AZ205" s="163">
        <f t="shared" si="894"/>
        <v>0</v>
      </c>
      <c r="BA205" s="427">
        <f t="shared" si="894"/>
        <v>0</v>
      </c>
      <c r="BB205" s="430">
        <f t="shared" si="894"/>
        <v>0</v>
      </c>
      <c r="BC205" s="559">
        <f t="shared" si="894"/>
        <v>0</v>
      </c>
      <c r="BD205" s="568">
        <f t="shared" si="894"/>
        <v>0</v>
      </c>
      <c r="BE205" s="727">
        <f t="shared" si="894"/>
        <v>0</v>
      </c>
      <c r="BF205" s="137">
        <f t="shared" si="894"/>
        <v>0.24760233556745931</v>
      </c>
      <c r="BG205" s="648"/>
      <c r="BH205" s="648"/>
      <c r="BI205" s="648"/>
      <c r="BJ205" s="648"/>
      <c r="BK205" s="648"/>
      <c r="BL205" s="648"/>
      <c r="BM205" s="648"/>
      <c r="BN205" s="648"/>
    </row>
    <row r="206" spans="1:66" ht="19.5" thickBot="1" x14ac:dyDescent="0.3">
      <c r="B206" s="2933" t="s">
        <v>138</v>
      </c>
      <c r="C206" s="886" t="s">
        <v>51</v>
      </c>
      <c r="D206" s="1887">
        <f>SUM(D202:D205)</f>
        <v>26.664201081206745</v>
      </c>
      <c r="E206" s="1822">
        <f>SUM(E202:E205)</f>
        <v>26.664973247545731</v>
      </c>
      <c r="F206" s="176">
        <f>SUM(F202:F205)</f>
        <v>20.74171815725034</v>
      </c>
      <c r="G206" s="1822">
        <f>SUM(G202:G205)</f>
        <v>26.664980172700428</v>
      </c>
      <c r="H206" s="176">
        <f>SUM(H202:H205)</f>
        <v>21.381334902402212</v>
      </c>
      <c r="I206" s="728">
        <f t="shared" ref="I206:N206" si="895">SUM(I202:I205)</f>
        <v>26.664976766886191</v>
      </c>
      <c r="J206" s="205">
        <f t="shared" si="895"/>
        <v>21.060224847925092</v>
      </c>
      <c r="K206" s="1822">
        <f>SUM(K202:K205)</f>
        <v>26.664956733729802</v>
      </c>
      <c r="L206" s="176">
        <f>SUM(L202:L205)</f>
        <v>21.322912938932998</v>
      </c>
      <c r="M206" s="2131">
        <f t="shared" si="895"/>
        <v>26.664970162545593</v>
      </c>
      <c r="N206" s="2132">
        <f t="shared" si="895"/>
        <v>21.146455209172476</v>
      </c>
      <c r="O206" s="1822">
        <f>SUM(O202:O205)</f>
        <v>26.664980172700428</v>
      </c>
      <c r="P206" s="176">
        <f>SUM(P202:P205)</f>
        <v>18.576452483972851</v>
      </c>
      <c r="Q206" s="2436">
        <f t="shared" ref="Q206:R206" si="896">SUM(Q202:Q205)</f>
        <v>26.664972706108813</v>
      </c>
      <c r="R206" s="205">
        <f t="shared" si="896"/>
        <v>20.483687938682362</v>
      </c>
      <c r="S206" s="1822">
        <f t="shared" ref="S206:X206" si="897">SUM(S202:S205)</f>
        <v>26.660282875313726</v>
      </c>
      <c r="T206" s="2755">
        <f t="shared" si="897"/>
        <v>18.534961627703211</v>
      </c>
      <c r="U206" s="728">
        <f t="shared" si="897"/>
        <v>26.664032456063001</v>
      </c>
      <c r="V206" s="205">
        <f t="shared" si="897"/>
        <v>20.077152766755436</v>
      </c>
      <c r="W206" s="1822">
        <f t="shared" si="897"/>
        <v>26.660282875313726</v>
      </c>
      <c r="X206" s="176">
        <f t="shared" si="897"/>
        <v>19.830313846650835</v>
      </c>
      <c r="Y206" s="729">
        <f t="shared" ref="Y206:AF206" si="898">SUM(Y202:Y205)</f>
        <v>26.661879563177965</v>
      </c>
      <c r="Z206" s="429">
        <f t="shared" si="898"/>
        <v>18.975517573239099</v>
      </c>
      <c r="AA206" s="3820">
        <f t="shared" si="898"/>
        <v>26.663423175980114</v>
      </c>
      <c r="AB206" s="3734">
        <f t="shared" si="898"/>
        <v>20.035534466105506</v>
      </c>
      <c r="AC206" s="1822">
        <f t="shared" si="898"/>
        <v>26.664974380510984</v>
      </c>
      <c r="AD206" s="2755">
        <f t="shared" si="898"/>
        <v>22.370765607439669</v>
      </c>
      <c r="AE206" s="728">
        <f t="shared" si="898"/>
        <v>26.663648727499034</v>
      </c>
      <c r="AF206" s="205">
        <f t="shared" si="898"/>
        <v>20.383981881133149</v>
      </c>
      <c r="AG206" s="1822">
        <f t="shared" ref="AG206:AN206" si="899">SUM(AG202:AG205)</f>
        <v>26.66497495391949</v>
      </c>
      <c r="AH206" s="2755">
        <f t="shared" si="899"/>
        <v>27.545459580492835</v>
      </c>
      <c r="AI206" s="728">
        <f t="shared" si="899"/>
        <v>26.663812325230897</v>
      </c>
      <c r="AJ206" s="205">
        <f t="shared" si="899"/>
        <v>21.270990919432421</v>
      </c>
      <c r="AK206" s="1822">
        <f t="shared" si="899"/>
        <v>26.664974380510984</v>
      </c>
      <c r="AL206" s="176">
        <f t="shared" si="899"/>
        <v>27.330000000000002</v>
      </c>
      <c r="AM206" s="729">
        <f t="shared" si="899"/>
        <v>26.664974567492017</v>
      </c>
      <c r="AN206" s="429">
        <f t="shared" si="899"/>
        <v>25.704664626284021</v>
      </c>
      <c r="AO206" s="728">
        <f t="shared" ref="AO206:AT206" si="900">SUM(AO202:AO205)</f>
        <v>26.663943703259818</v>
      </c>
      <c r="AP206" s="205">
        <f t="shared" si="900"/>
        <v>21.957970345127574</v>
      </c>
      <c r="AQ206" s="1822">
        <f t="shared" si="900"/>
        <v>26.664975378362179</v>
      </c>
      <c r="AR206" s="176">
        <f t="shared" si="900"/>
        <v>26.379403537892173</v>
      </c>
      <c r="AS206" s="728">
        <f t="shared" si="900"/>
        <v>26.664048493693102</v>
      </c>
      <c r="AT206" s="205">
        <f t="shared" si="900"/>
        <v>22.407630436716275</v>
      </c>
      <c r="AU206" s="1822">
        <f t="shared" ref="AU206:AX206" si="901">SUM(AU202:AU205)</f>
        <v>26.664981219740049</v>
      </c>
      <c r="AV206" s="176">
        <f t="shared" si="901"/>
        <v>25.353363240439048</v>
      </c>
      <c r="AW206" s="728">
        <f t="shared" si="901"/>
        <v>26.664129430666488</v>
      </c>
      <c r="AX206" s="205">
        <f t="shared" si="901"/>
        <v>22.663761752319019</v>
      </c>
      <c r="AY206" s="1822">
        <f t="shared" ref="AY206:BF206" si="902">SUM(AY202:AY205)</f>
        <v>26.664974419494733</v>
      </c>
      <c r="AZ206" s="176">
        <f t="shared" si="902"/>
        <v>25.353827140612985</v>
      </c>
      <c r="BA206" s="729">
        <f t="shared" si="902"/>
        <v>26.664976913252694</v>
      </c>
      <c r="BB206" s="429">
        <f t="shared" si="902"/>
        <v>25.702891091473909</v>
      </c>
      <c r="BC206" s="3820">
        <f t="shared" si="902"/>
        <v>26.664975733963121</v>
      </c>
      <c r="BD206" s="3734">
        <f t="shared" si="902"/>
        <v>25.703786594162402</v>
      </c>
      <c r="BE206" s="728">
        <f t="shared" si="902"/>
        <v>26.664201157752188</v>
      </c>
      <c r="BF206" s="205">
        <f t="shared" si="902"/>
        <v>22.892423487478744</v>
      </c>
      <c r="BG206" s="648"/>
      <c r="BH206" s="648"/>
      <c r="BI206" s="648"/>
      <c r="BJ206" s="648"/>
      <c r="BK206" s="648"/>
      <c r="BL206" s="648"/>
      <c r="BM206" s="648"/>
      <c r="BN206" s="648"/>
    </row>
    <row r="207" spans="1:66" ht="19.5" thickBot="1" x14ac:dyDescent="0.3">
      <c r="B207" s="2932" t="s">
        <v>13</v>
      </c>
      <c r="C207" s="886" t="s">
        <v>51</v>
      </c>
      <c r="D207" s="1887">
        <f>+D201+D206</f>
        <v>93.357440737006996</v>
      </c>
      <c r="E207" s="1822">
        <f>+E201+E206</f>
        <v>93.358976573361957</v>
      </c>
      <c r="F207" s="176">
        <f>+F201+F206</f>
        <v>91.290584518568323</v>
      </c>
      <c r="G207" s="1822">
        <f>+G201+G206</f>
        <v>93.359000819602485</v>
      </c>
      <c r="H207" s="176">
        <f>+H201+H206</f>
        <v>91.261608125047971</v>
      </c>
      <c r="I207" s="728">
        <f t="shared" ref="I207:N207" si="903">+I201+I206</f>
        <v>93.358988895220307</v>
      </c>
      <c r="J207" s="205">
        <f t="shared" si="903"/>
        <v>91.276155291569808</v>
      </c>
      <c r="K207" s="1822">
        <f>+K201+K206</f>
        <v>93.358918755454539</v>
      </c>
      <c r="L207" s="176">
        <f>+L201+L206</f>
        <v>90.847480934587267</v>
      </c>
      <c r="M207" s="2131">
        <f t="shared" si="903"/>
        <v>93.358965772208961</v>
      </c>
      <c r="N207" s="2132">
        <f t="shared" si="903"/>
        <v>91.135438045811668</v>
      </c>
      <c r="O207" s="1822">
        <f>+O201+O206</f>
        <v>93.359000819602485</v>
      </c>
      <c r="P207" s="176">
        <f>+P201+P206</f>
        <v>91.274767084134311</v>
      </c>
      <c r="Q207" s="2436">
        <f t="shared" ref="Q207:R207" si="904">+Q201+Q206</f>
        <v>93.35897467769172</v>
      </c>
      <c r="R207" s="205">
        <f t="shared" si="904"/>
        <v>91.171369029667716</v>
      </c>
      <c r="S207" s="1822">
        <f t="shared" ref="S207:X207" si="905">+S201+S206</f>
        <v>93.349638369775988</v>
      </c>
      <c r="T207" s="2755">
        <f t="shared" si="905"/>
        <v>91.203725519303589</v>
      </c>
      <c r="U207" s="728">
        <f t="shared" si="905"/>
        <v>93.357102869447658</v>
      </c>
      <c r="V207" s="205">
        <f t="shared" si="905"/>
        <v>91.17811910586002</v>
      </c>
      <c r="W207" s="1822">
        <f t="shared" si="905"/>
        <v>93.34963836977596</v>
      </c>
      <c r="X207" s="176">
        <f t="shared" si="905"/>
        <v>91.279824068227327</v>
      </c>
      <c r="Y207" s="729">
        <f t="shared" ref="Y207:AF207" si="906">+Y201+Y206</f>
        <v>93.3528208189136</v>
      </c>
      <c r="Z207" s="429">
        <f t="shared" si="906"/>
        <v>91.252354671356628</v>
      </c>
      <c r="AA207" s="3820">
        <f t="shared" si="906"/>
        <v>93.355889941581097</v>
      </c>
      <c r="AB207" s="3734">
        <f t="shared" si="906"/>
        <v>91.195267081145246</v>
      </c>
      <c r="AC207" s="1822">
        <f t="shared" si="906"/>
        <v>93.358980540081717</v>
      </c>
      <c r="AD207" s="2755">
        <f t="shared" si="906"/>
        <v>91.009964775519904</v>
      </c>
      <c r="AE207" s="728">
        <f t="shared" si="906"/>
        <v>93.356339327314785</v>
      </c>
      <c r="AF207" s="205">
        <f t="shared" si="906"/>
        <v>91.167617522927685</v>
      </c>
      <c r="AG207" s="1822">
        <f t="shared" ref="AG207:AN207" si="907">+AG201+AG206</f>
        <v>93.358982547690402</v>
      </c>
      <c r="AH207" s="2755">
        <f t="shared" si="907"/>
        <v>92.486753234310569</v>
      </c>
      <c r="AI207" s="728">
        <f t="shared" si="907"/>
        <v>93.356665383900278</v>
      </c>
      <c r="AJ207" s="205">
        <f t="shared" si="907"/>
        <v>91.331003537359393</v>
      </c>
      <c r="AK207" s="1822">
        <f t="shared" si="907"/>
        <v>93.358980540081717</v>
      </c>
      <c r="AL207" s="176">
        <f t="shared" si="907"/>
        <v>93.234090984648759</v>
      </c>
      <c r="AM207" s="729">
        <f t="shared" si="907"/>
        <v>93.358981194736714</v>
      </c>
      <c r="AN207" s="429">
        <f t="shared" si="907"/>
        <v>92.231849630465263</v>
      </c>
      <c r="AO207" s="728">
        <f t="shared" ref="AO207:AT207" si="908">+AO201+AO206</f>
        <v>93.35692712760644</v>
      </c>
      <c r="AP207" s="205">
        <f t="shared" si="908"/>
        <v>91.546778411468694</v>
      </c>
      <c r="AQ207" s="1822">
        <f t="shared" si="908"/>
        <v>93.358984033742331</v>
      </c>
      <c r="AR207" s="176">
        <f t="shared" si="908"/>
        <v>93.879766059333974</v>
      </c>
      <c r="AS207" s="728">
        <f t="shared" si="908"/>
        <v>93.357136053928983</v>
      </c>
      <c r="AT207" s="205">
        <f t="shared" si="908"/>
        <v>91.784043432487479</v>
      </c>
      <c r="AU207" s="1822">
        <f t="shared" ref="AU207:AX207" si="909">+AU201+AU206</f>
        <v>93.359004485480824</v>
      </c>
      <c r="AV207" s="176">
        <f t="shared" si="909"/>
        <v>98.233175657542688</v>
      </c>
      <c r="AW207" s="728">
        <f t="shared" si="909"/>
        <v>93.357298186417182</v>
      </c>
      <c r="AX207" s="205">
        <f t="shared" si="909"/>
        <v>92.344795147378889</v>
      </c>
      <c r="AY207" s="1822">
        <f t="shared" ref="AY207:BF207" si="910">+AY201+AY206</f>
        <v>93.358980676571008</v>
      </c>
      <c r="AZ207" s="176">
        <f t="shared" si="910"/>
        <v>98.092815925895195</v>
      </c>
      <c r="BA207" s="729">
        <f t="shared" si="910"/>
        <v>93.358989407676376</v>
      </c>
      <c r="BB207" s="429">
        <f t="shared" si="910"/>
        <v>96.703012184832318</v>
      </c>
      <c r="BC207" s="3820">
        <f t="shared" si="910"/>
        <v>93.358985278766639</v>
      </c>
      <c r="BD207" s="3734">
        <f t="shared" si="910"/>
        <v>94.44540885768464</v>
      </c>
      <c r="BE207" s="728">
        <f t="shared" si="910"/>
        <v>93.35744100501006</v>
      </c>
      <c r="BF207" s="205">
        <f t="shared" si="910"/>
        <v>92.833390112642292</v>
      </c>
      <c r="BG207" s="648"/>
      <c r="BH207" s="648"/>
      <c r="BI207" s="648"/>
      <c r="BJ207" s="648"/>
      <c r="BK207" s="648"/>
      <c r="BL207" s="648"/>
      <c r="BM207" s="648"/>
      <c r="BN207" s="648"/>
    </row>
    <row r="208" spans="1:66" x14ac:dyDescent="0.25">
      <c r="B208" s="2878" t="s">
        <v>1055</v>
      </c>
      <c r="C208" s="1846" t="s">
        <v>51</v>
      </c>
      <c r="D208" s="6321">
        <f>+D133/D$136*100</f>
        <v>6.642559262992993</v>
      </c>
      <c r="E208" s="6293">
        <f>+E133/E$136*100</f>
        <v>6.6410234266380526</v>
      </c>
      <c r="F208" s="826">
        <f>+F133/F$136*100</f>
        <v>1.5275892256746642</v>
      </c>
      <c r="G208" s="6293">
        <f>+G133/G$136*100</f>
        <v>6.6409991803975039</v>
      </c>
      <c r="H208" s="826">
        <f>+H133/H$136*100</f>
        <v>2.3101128194632761</v>
      </c>
      <c r="I208" s="6330">
        <f t="shared" ref="I208:N208" si="911">+I133/I$136*100</f>
        <v>6.6410111047796745</v>
      </c>
      <c r="J208" s="157">
        <f t="shared" si="911"/>
        <v>1.9172585114175613</v>
      </c>
      <c r="K208" s="6293">
        <f>+K133/K$136*100</f>
        <v>6.6410812445454646</v>
      </c>
      <c r="L208" s="826">
        <f>+L133/L$136*100</f>
        <v>2.790884229558984</v>
      </c>
      <c r="M208" s="6328">
        <f t="shared" si="911"/>
        <v>6.6410342277910299</v>
      </c>
      <c r="N208" s="153">
        <f t="shared" si="911"/>
        <v>2.2040361151577756</v>
      </c>
      <c r="O208" s="6293">
        <f>+O133/O$136*100</f>
        <v>6.6409991803975039</v>
      </c>
      <c r="P208" s="826">
        <f>+P133/P$136*100</f>
        <v>3.1305206024666554</v>
      </c>
      <c r="Q208" s="6329">
        <f t="shared" ref="Q208:R208" si="912">+Q133/Q$136*100</f>
        <v>6.6410253223082849</v>
      </c>
      <c r="R208" s="157">
        <f t="shared" si="912"/>
        <v>2.4429633305977689</v>
      </c>
      <c r="S208" s="6293">
        <f t="shared" ref="S208:X208" si="913">+S133/S$136*100</f>
        <v>6.6503616302240252</v>
      </c>
      <c r="T208" s="2717">
        <f t="shared" si="913"/>
        <v>1.6434406916750182</v>
      </c>
      <c r="U208" s="6294">
        <f t="shared" si="913"/>
        <v>6.6428971305523445</v>
      </c>
      <c r="V208" s="157">
        <f t="shared" si="913"/>
        <v>2.276170245472021</v>
      </c>
      <c r="W208" s="6293">
        <f t="shared" si="913"/>
        <v>6.6503616302240252</v>
      </c>
      <c r="X208" s="826">
        <f t="shared" si="913"/>
        <v>2.3868244032719446</v>
      </c>
      <c r="Y208" s="6295">
        <f t="shared" ref="Y208:AF208" si="914">+Y133/Y$136*100</f>
        <v>6.647179181086381</v>
      </c>
      <c r="Z208" s="430">
        <f t="shared" si="914"/>
        <v>2.3814579239044007</v>
      </c>
      <c r="AA208" s="6298">
        <f t="shared" si="914"/>
        <v>6.644110058418903</v>
      </c>
      <c r="AB208" s="568">
        <f t="shared" si="914"/>
        <v>2.2948271007423728</v>
      </c>
      <c r="AC208" s="6293">
        <f t="shared" si="914"/>
        <v>6.6410194599182892</v>
      </c>
      <c r="AD208" s="2717">
        <f t="shared" si="914"/>
        <v>2.3709841692923863</v>
      </c>
      <c r="AE208" s="6294">
        <f t="shared" si="914"/>
        <v>6.643660672685221</v>
      </c>
      <c r="AF208" s="157">
        <f t="shared" si="914"/>
        <v>2.3061907440248852</v>
      </c>
      <c r="AG208" s="6293">
        <f t="shared" ref="AG208:AN208" si="915">+AG133/AG$136*100</f>
        <v>6.6410174523095984</v>
      </c>
      <c r="AH208" s="2717">
        <f t="shared" si="915"/>
        <v>1.8850971913556245</v>
      </c>
      <c r="AI208" s="6294">
        <f t="shared" si="915"/>
        <v>6.6433346160996969</v>
      </c>
      <c r="AJ208" s="157">
        <f t="shared" si="915"/>
        <v>2.2540347780542609</v>
      </c>
      <c r="AK208" s="6293">
        <f t="shared" si="915"/>
        <v>6.6410194599182866</v>
      </c>
      <c r="AL208" s="826">
        <f t="shared" si="915"/>
        <v>0.31047273452628088</v>
      </c>
      <c r="AM208" s="6295">
        <f t="shared" si="915"/>
        <v>6.6410188052632897</v>
      </c>
      <c r="AN208" s="430">
        <f t="shared" si="915"/>
        <v>1.5246953720443719</v>
      </c>
      <c r="AO208" s="6294">
        <f t="shared" ref="AO208:AT208" si="916">+AO133/AO$136*100</f>
        <v>6.643072872393561</v>
      </c>
      <c r="AP208" s="157">
        <f t="shared" si="916"/>
        <v>2.0336708342622081</v>
      </c>
      <c r="AQ208" s="6293">
        <f t="shared" si="916"/>
        <v>6.6410159662576866</v>
      </c>
      <c r="AR208" s="826">
        <f t="shared" si="916"/>
        <v>2.8113857953793602</v>
      </c>
      <c r="AS208" s="6294">
        <f t="shared" si="916"/>
        <v>6.6428639460710137</v>
      </c>
      <c r="AT208" s="157">
        <f t="shared" si="916"/>
        <v>2.1127645048887627</v>
      </c>
      <c r="AU208" s="6293">
        <f t="shared" ref="AU208:AX208" si="917">+AU133/AU$136*100</f>
        <v>6.640995514519191</v>
      </c>
      <c r="AV208" s="826">
        <f t="shared" si="917"/>
        <v>0</v>
      </c>
      <c r="AW208" s="6294">
        <f t="shared" si="917"/>
        <v>6.6427018135828337</v>
      </c>
      <c r="AX208" s="157">
        <f t="shared" si="917"/>
        <v>1.9290597399786356</v>
      </c>
      <c r="AY208" s="6293">
        <f t="shared" ref="AY208:BF208" si="918">+AY133/AY$136*100</f>
        <v>6.6410193234290009</v>
      </c>
      <c r="AZ208" s="826">
        <f t="shared" si="918"/>
        <v>1.2793797927599782</v>
      </c>
      <c r="BA208" s="6295">
        <f t="shared" si="918"/>
        <v>6.6410105923236191</v>
      </c>
      <c r="BB208" s="430">
        <f t="shared" si="918"/>
        <v>1.3931134755230705</v>
      </c>
      <c r="BC208" s="6298">
        <f t="shared" si="918"/>
        <v>6.6410147212333595</v>
      </c>
      <c r="BD208" s="568">
        <f t="shared" si="918"/>
        <v>1.459552510956651</v>
      </c>
      <c r="BE208" s="6294">
        <f t="shared" si="918"/>
        <v>6.6425589949899386</v>
      </c>
      <c r="BF208" s="157">
        <f t="shared" si="918"/>
        <v>1.873835452615229</v>
      </c>
      <c r="BG208" s="648"/>
      <c r="BH208" s="648"/>
      <c r="BI208" s="648"/>
      <c r="BJ208" s="648"/>
      <c r="BK208" s="648"/>
      <c r="BL208" s="648"/>
      <c r="BM208" s="648"/>
      <c r="BN208" s="648"/>
    </row>
    <row r="209" spans="2:66" x14ac:dyDescent="0.25">
      <c r="B209" s="2878" t="s">
        <v>952</v>
      </c>
      <c r="C209" s="1828" t="s">
        <v>51</v>
      </c>
      <c r="D209" s="6321"/>
      <c r="E209" s="6293"/>
      <c r="F209" s="130">
        <f>+F134/F$136*100</f>
        <v>7.1818262557570067</v>
      </c>
      <c r="G209" s="6293"/>
      <c r="H209" s="130">
        <f>+H134/H$136*100</f>
        <v>6.4282790554887557</v>
      </c>
      <c r="I209" s="6329"/>
      <c r="J209" s="136">
        <f>+J134/J$136*100</f>
        <v>6.8065861970126447</v>
      </c>
      <c r="K209" s="6293"/>
      <c r="L209" s="130">
        <f>+L134/L$136*100</f>
        <v>6.3616348358537174</v>
      </c>
      <c r="M209" s="6328"/>
      <c r="N209" s="144">
        <f>+N134/N$136*100</f>
        <v>6.6605258390305471</v>
      </c>
      <c r="O209" s="6293"/>
      <c r="P209" s="130">
        <f>+P134/P$136*100</f>
        <v>5.594712313399028</v>
      </c>
      <c r="Q209" s="6329"/>
      <c r="R209" s="136">
        <f>+R134/R$136*100</f>
        <v>6.3856676397345202</v>
      </c>
      <c r="S209" s="6293"/>
      <c r="T209" s="2701">
        <f>+T134/T$136*100</f>
        <v>7.1528337890213916</v>
      </c>
      <c r="U209" s="6294"/>
      <c r="V209" s="136">
        <f>+V134/V$136*100</f>
        <v>6.5457106486679555</v>
      </c>
      <c r="W209" s="6293"/>
      <c r="X209" s="130">
        <f>+X134/X$136*100</f>
        <v>6.3333515285007334</v>
      </c>
      <c r="Y209" s="6296"/>
      <c r="Z209" s="430">
        <f>+Z134/Z$136*100</f>
        <v>6.3661874047389571</v>
      </c>
      <c r="AA209" s="6299"/>
      <c r="AB209" s="568">
        <f>+AB134/AB$136*100</f>
        <v>6.5099058181123519</v>
      </c>
      <c r="AC209" s="6293"/>
      <c r="AD209" s="2701">
        <f>+AD134/AD$136*100</f>
        <v>6.619051055187736</v>
      </c>
      <c r="AE209" s="6294"/>
      <c r="AF209" s="136">
        <f>+AF134/AF$136*100</f>
        <v>6.5261917330474235</v>
      </c>
      <c r="AG209" s="6293"/>
      <c r="AH209" s="2701">
        <f>+AH134/AH$136*100</f>
        <v>5.6281495743338059</v>
      </c>
      <c r="AI209" s="6294"/>
      <c r="AJ209" s="136">
        <f>+AJ134/AJ$136*100</f>
        <v>6.414961684586336</v>
      </c>
      <c r="AK209" s="6293"/>
      <c r="AL209" s="130">
        <f>+AL134/AL$136*100</f>
        <v>6.4554362808249595</v>
      </c>
      <c r="AM209" s="6296"/>
      <c r="AN209" s="430">
        <f>+AN134/AN$136*100</f>
        <v>6.2434549974903479</v>
      </c>
      <c r="AO209" s="6294"/>
      <c r="AP209" s="136">
        <f>+AP134/AP$136*100</f>
        <v>6.4195507542691059</v>
      </c>
      <c r="AQ209" s="6293"/>
      <c r="AR209" s="130">
        <f>+AR134/AR$136*100</f>
        <v>3.3088481452866421</v>
      </c>
      <c r="AS209" s="6294"/>
      <c r="AT209" s="136">
        <f>+AT134/AT$136*100</f>
        <v>6.1031920626237728</v>
      </c>
      <c r="AU209" s="6293"/>
      <c r="AV209" s="130">
        <f>+AV134/AV$136*100</f>
        <v>1.7668243424573082</v>
      </c>
      <c r="AW209" s="6294"/>
      <c r="AX209" s="136">
        <f>+AX134/AX$136*100</f>
        <v>5.7261451126424801</v>
      </c>
      <c r="AY209" s="6293"/>
      <c r="AZ209" s="130">
        <f>+AZ134/AZ$136*100</f>
        <v>0.62780428134482025</v>
      </c>
      <c r="BA209" s="6296"/>
      <c r="BB209" s="430">
        <f>+BB134/BB$136*100</f>
        <v>1.9038743396446116</v>
      </c>
      <c r="BC209" s="6299"/>
      <c r="BD209" s="568">
        <f>+BD134/BD$136*100</f>
        <v>4.0950386313586984</v>
      </c>
      <c r="BE209" s="6294"/>
      <c r="BF209" s="136">
        <f>+BF134/BF$136*100</f>
        <v>5.2927744347425021</v>
      </c>
      <c r="BG209" s="648"/>
      <c r="BH209" s="648"/>
      <c r="BI209" s="648"/>
      <c r="BJ209" s="648"/>
      <c r="BK209" s="648"/>
      <c r="BL209" s="648"/>
      <c r="BM209" s="648"/>
      <c r="BN209" s="648"/>
    </row>
    <row r="210" spans="2:66" ht="15.75" thickBot="1" x14ac:dyDescent="0.3">
      <c r="B210" s="2868" t="s">
        <v>1187</v>
      </c>
      <c r="C210" s="1842" t="s">
        <v>51</v>
      </c>
      <c r="D210" s="6321"/>
      <c r="E210" s="6293"/>
      <c r="F210" s="163">
        <f>+F135/F$136*100</f>
        <v>0</v>
      </c>
      <c r="G210" s="6293"/>
      <c r="H210" s="163">
        <f>+H135/H$136*100</f>
        <v>0</v>
      </c>
      <c r="I210" s="6331"/>
      <c r="J210" s="137">
        <f>+J135/J$136*100</f>
        <v>0</v>
      </c>
      <c r="K210" s="6293"/>
      <c r="L210" s="163">
        <f>+L135/L$136*100</f>
        <v>0</v>
      </c>
      <c r="M210" s="6328"/>
      <c r="N210" s="145">
        <f>+N135/N$136*100</f>
        <v>0</v>
      </c>
      <c r="O210" s="6293"/>
      <c r="P210" s="163">
        <f>+P135/P$136*100</f>
        <v>0</v>
      </c>
      <c r="Q210" s="6329"/>
      <c r="R210" s="137">
        <f>+R135/R$136*100</f>
        <v>0</v>
      </c>
      <c r="S210" s="6293"/>
      <c r="T210" s="2727">
        <f>+T135/T$136*100</f>
        <v>0</v>
      </c>
      <c r="U210" s="6294"/>
      <c r="V210" s="137">
        <f>+V135/V$136*100</f>
        <v>0</v>
      </c>
      <c r="W210" s="6293"/>
      <c r="X210" s="163">
        <f>+X135/X$136*100</f>
        <v>0</v>
      </c>
      <c r="Y210" s="6297"/>
      <c r="Z210" s="430">
        <f>+Z135/Z$136*100</f>
        <v>0</v>
      </c>
      <c r="AA210" s="6300"/>
      <c r="AB210" s="568">
        <f>+AB135/AB$136*100</f>
        <v>0</v>
      </c>
      <c r="AC210" s="6293"/>
      <c r="AD210" s="2727">
        <f>+AD135/AD$136*100</f>
        <v>0</v>
      </c>
      <c r="AE210" s="6294"/>
      <c r="AF210" s="137">
        <f>+AF135/AF$136*100</f>
        <v>0</v>
      </c>
      <c r="AG210" s="6293"/>
      <c r="AH210" s="2727">
        <f>+AH135/AH$136*100</f>
        <v>0</v>
      </c>
      <c r="AI210" s="6294"/>
      <c r="AJ210" s="137">
        <f>+AJ135/AJ$136*100</f>
        <v>0</v>
      </c>
      <c r="AK210" s="6293"/>
      <c r="AL210" s="163">
        <f>+AL135/AL$136*100</f>
        <v>0</v>
      </c>
      <c r="AM210" s="6297"/>
      <c r="AN210" s="430">
        <f>+AN135/AN$136*100</f>
        <v>0</v>
      </c>
      <c r="AO210" s="6294"/>
      <c r="AP210" s="137">
        <f>+AP135/AP$136*100</f>
        <v>0</v>
      </c>
      <c r="AQ210" s="6293"/>
      <c r="AR210" s="163">
        <f>+AR135/AR$136*100</f>
        <v>0</v>
      </c>
      <c r="AS210" s="6294"/>
      <c r="AT210" s="137">
        <f>+AT135/AT$136*100</f>
        <v>0</v>
      </c>
      <c r="AU210" s="6293"/>
      <c r="AV210" s="163">
        <f>+AV135/AV$136*100</f>
        <v>0</v>
      </c>
      <c r="AW210" s="6294"/>
      <c r="AX210" s="137">
        <f>+AX135/AX$136*100</f>
        <v>0</v>
      </c>
      <c r="AY210" s="6293"/>
      <c r="AZ210" s="163">
        <f>+AZ135/AZ$136*100</f>
        <v>0</v>
      </c>
      <c r="BA210" s="6297"/>
      <c r="BB210" s="430">
        <f>+BB135/BB$136*100</f>
        <v>0</v>
      </c>
      <c r="BC210" s="6300"/>
      <c r="BD210" s="568">
        <f>+BD135/BD$136*100</f>
        <v>0</v>
      </c>
      <c r="BE210" s="6294"/>
      <c r="BF210" s="137">
        <f>+BF135/BF$136*100</f>
        <v>0</v>
      </c>
      <c r="BG210" s="648"/>
      <c r="BH210" s="648"/>
      <c r="BI210" s="648"/>
      <c r="BJ210" s="648"/>
      <c r="BK210" s="648"/>
      <c r="BL210" s="648"/>
      <c r="BM210" s="648"/>
      <c r="BN210" s="648"/>
    </row>
    <row r="211" spans="2:66" ht="19.5" thickBot="1" x14ac:dyDescent="0.3">
      <c r="B211" s="2932" t="s">
        <v>623</v>
      </c>
      <c r="C211" s="886" t="s">
        <v>51</v>
      </c>
      <c r="D211" s="1887">
        <f>SUM(D208:D210)</f>
        <v>6.642559262992993</v>
      </c>
      <c r="E211" s="1822">
        <f>SUM(E208:E210)</f>
        <v>6.6410234266380526</v>
      </c>
      <c r="F211" s="176">
        <f>SUM(F208:F210)</f>
        <v>8.7094154814316713</v>
      </c>
      <c r="G211" s="1822">
        <f>SUM(G208:G210)</f>
        <v>6.6409991803975039</v>
      </c>
      <c r="H211" s="176">
        <f>SUM(H208:H210)</f>
        <v>8.7383918749520326</v>
      </c>
      <c r="I211" s="728">
        <f t="shared" ref="I211:N211" si="919">SUM(I208:I210)</f>
        <v>6.6410111047796745</v>
      </c>
      <c r="J211" s="205">
        <f t="shared" si="919"/>
        <v>8.7238447084302067</v>
      </c>
      <c r="K211" s="1822">
        <f>SUM(K208:K210)</f>
        <v>6.6410812445454646</v>
      </c>
      <c r="L211" s="176">
        <f>SUM(L208:L210)</f>
        <v>9.1525190654127009</v>
      </c>
      <c r="M211" s="2131">
        <f t="shared" si="919"/>
        <v>6.6410342277910299</v>
      </c>
      <c r="N211" s="2132">
        <f t="shared" si="919"/>
        <v>8.8645619541883232</v>
      </c>
      <c r="O211" s="1822">
        <f>SUM(O208:O210)</f>
        <v>6.6409991803975039</v>
      </c>
      <c r="P211" s="176">
        <f>SUM(P208:P210)</f>
        <v>8.7252329158656838</v>
      </c>
      <c r="Q211" s="2436">
        <f t="shared" ref="Q211:R211" si="920">SUM(Q208:Q210)</f>
        <v>6.6410253223082849</v>
      </c>
      <c r="R211" s="205">
        <f t="shared" si="920"/>
        <v>8.8286309703322896</v>
      </c>
      <c r="S211" s="1822">
        <f t="shared" ref="S211:X211" si="921">SUM(S208:S210)</f>
        <v>6.6503616302240252</v>
      </c>
      <c r="T211" s="2755">
        <f t="shared" si="921"/>
        <v>8.7962744806964093</v>
      </c>
      <c r="U211" s="728">
        <f t="shared" si="921"/>
        <v>6.6428971305523445</v>
      </c>
      <c r="V211" s="205">
        <f t="shared" si="921"/>
        <v>8.8218808941399764</v>
      </c>
      <c r="W211" s="1822">
        <f t="shared" si="921"/>
        <v>6.6503616302240252</v>
      </c>
      <c r="X211" s="176">
        <f t="shared" si="921"/>
        <v>8.7201759317726779</v>
      </c>
      <c r="Y211" s="729">
        <f t="shared" ref="Y211:AF211" si="922">SUM(Y208:Y210)</f>
        <v>6.647179181086381</v>
      </c>
      <c r="Z211" s="429">
        <f t="shared" si="922"/>
        <v>8.7476453286433582</v>
      </c>
      <c r="AA211" s="3820">
        <f t="shared" si="922"/>
        <v>6.644110058418903</v>
      </c>
      <c r="AB211" s="3734">
        <f t="shared" si="922"/>
        <v>8.8047329188547252</v>
      </c>
      <c r="AC211" s="1822">
        <f t="shared" si="922"/>
        <v>6.6410194599182892</v>
      </c>
      <c r="AD211" s="2755">
        <f t="shared" si="922"/>
        <v>8.9900352244801223</v>
      </c>
      <c r="AE211" s="728">
        <f t="shared" si="922"/>
        <v>6.643660672685221</v>
      </c>
      <c r="AF211" s="205">
        <f t="shared" si="922"/>
        <v>8.8323824770723078</v>
      </c>
      <c r="AG211" s="1822">
        <f t="shared" ref="AG211:AN211" si="923">SUM(AG208:AG210)</f>
        <v>6.6410174523095984</v>
      </c>
      <c r="AH211" s="2755">
        <f t="shared" si="923"/>
        <v>7.5132467656894306</v>
      </c>
      <c r="AI211" s="728">
        <f t="shared" si="923"/>
        <v>6.6433346160996969</v>
      </c>
      <c r="AJ211" s="205">
        <f t="shared" si="923"/>
        <v>8.668996462640596</v>
      </c>
      <c r="AK211" s="1822">
        <f t="shared" si="923"/>
        <v>6.6410194599182866</v>
      </c>
      <c r="AL211" s="176">
        <f t="shared" si="923"/>
        <v>6.76590901535124</v>
      </c>
      <c r="AM211" s="729">
        <f t="shared" si="923"/>
        <v>6.6410188052632897</v>
      </c>
      <c r="AN211" s="429">
        <f t="shared" si="923"/>
        <v>7.7681503695347196</v>
      </c>
      <c r="AO211" s="728">
        <f t="shared" ref="AO211:AT211" si="924">SUM(AO208:AO210)</f>
        <v>6.643072872393561</v>
      </c>
      <c r="AP211" s="205">
        <f t="shared" si="924"/>
        <v>8.4532215885313136</v>
      </c>
      <c r="AQ211" s="1822">
        <f t="shared" si="924"/>
        <v>6.6410159662576866</v>
      </c>
      <c r="AR211" s="176">
        <f t="shared" si="924"/>
        <v>6.1202339406660027</v>
      </c>
      <c r="AS211" s="728">
        <f t="shared" si="924"/>
        <v>6.6428639460710137</v>
      </c>
      <c r="AT211" s="205">
        <f t="shared" si="924"/>
        <v>8.215956567512535</v>
      </c>
      <c r="AU211" s="1822">
        <f t="shared" ref="AU211:AX211" si="925">SUM(AU208:AU210)</f>
        <v>6.640995514519191</v>
      </c>
      <c r="AV211" s="176">
        <f t="shared" si="925"/>
        <v>1.7668243424573082</v>
      </c>
      <c r="AW211" s="728">
        <f t="shared" si="925"/>
        <v>6.6427018135828337</v>
      </c>
      <c r="AX211" s="205">
        <f t="shared" si="925"/>
        <v>7.6552048526211154</v>
      </c>
      <c r="AY211" s="1822">
        <f t="shared" ref="AY211:BF211" si="926">SUM(AY208:AY210)</f>
        <v>6.6410193234290009</v>
      </c>
      <c r="AZ211" s="176">
        <f t="shared" si="926"/>
        <v>1.9071840741047983</v>
      </c>
      <c r="BA211" s="729">
        <f t="shared" si="926"/>
        <v>6.6410105923236191</v>
      </c>
      <c r="BB211" s="429">
        <f t="shared" si="926"/>
        <v>3.2969878151676824</v>
      </c>
      <c r="BC211" s="3820">
        <f t="shared" si="926"/>
        <v>6.6410147212333595</v>
      </c>
      <c r="BD211" s="3734">
        <f t="shared" si="926"/>
        <v>5.5545911423153491</v>
      </c>
      <c r="BE211" s="728">
        <f t="shared" si="926"/>
        <v>6.6425589949899386</v>
      </c>
      <c r="BF211" s="205">
        <f t="shared" si="926"/>
        <v>7.1666098873577315</v>
      </c>
      <c r="BG211" s="648"/>
      <c r="BH211" s="648"/>
      <c r="BI211" s="648"/>
      <c r="BJ211" s="648"/>
      <c r="BK211" s="648"/>
      <c r="BL211" s="648"/>
      <c r="BM211" s="648"/>
      <c r="BN211" s="648"/>
    </row>
    <row r="212" spans="2:66" ht="19.5" thickBot="1" x14ac:dyDescent="0.3">
      <c r="B212" s="2932" t="s">
        <v>12</v>
      </c>
      <c r="C212" s="886" t="s">
        <v>51</v>
      </c>
      <c r="D212" s="1887">
        <f>+D207+D211</f>
        <v>99.999999999999986</v>
      </c>
      <c r="E212" s="1822">
        <f>+E207+E211</f>
        <v>100.00000000000001</v>
      </c>
      <c r="F212" s="176">
        <f>+F207+F211</f>
        <v>100</v>
      </c>
      <c r="G212" s="1822">
        <f>+G207+G211</f>
        <v>99.999999999999986</v>
      </c>
      <c r="H212" s="176">
        <f>+H207+H211</f>
        <v>100</v>
      </c>
      <c r="I212" s="728">
        <f t="shared" ref="I212:N212" si="927">+I207+I211</f>
        <v>99.999999999999986</v>
      </c>
      <c r="J212" s="205">
        <f t="shared" si="927"/>
        <v>100.00000000000001</v>
      </c>
      <c r="K212" s="1822">
        <f>+K207+K211</f>
        <v>100</v>
      </c>
      <c r="L212" s="176">
        <f>+L207+L211</f>
        <v>99.999999999999972</v>
      </c>
      <c r="M212" s="2131">
        <f t="shared" si="927"/>
        <v>99.999999999999986</v>
      </c>
      <c r="N212" s="2132">
        <f t="shared" si="927"/>
        <v>99.999999999999986</v>
      </c>
      <c r="O212" s="1822">
        <f>+O207+O211</f>
        <v>99.999999999999986</v>
      </c>
      <c r="P212" s="176">
        <f>+P207+P211</f>
        <v>100</v>
      </c>
      <c r="Q212" s="2436">
        <f t="shared" ref="Q212:R212" si="928">+Q207+Q211</f>
        <v>100</v>
      </c>
      <c r="R212" s="205">
        <f t="shared" si="928"/>
        <v>100</v>
      </c>
      <c r="S212" s="1822">
        <f t="shared" ref="S212:X212" si="929">+S207+S211</f>
        <v>100.00000000000001</v>
      </c>
      <c r="T212" s="2755">
        <f t="shared" si="929"/>
        <v>100</v>
      </c>
      <c r="U212" s="728">
        <f t="shared" si="929"/>
        <v>100</v>
      </c>
      <c r="V212" s="205">
        <f t="shared" si="929"/>
        <v>100</v>
      </c>
      <c r="W212" s="1822">
        <f t="shared" si="929"/>
        <v>99.999999999999986</v>
      </c>
      <c r="X212" s="176">
        <f t="shared" si="929"/>
        <v>100</v>
      </c>
      <c r="Y212" s="729">
        <f t="shared" ref="Y212:AF212" si="930">+Y207+Y211</f>
        <v>99.999999999999986</v>
      </c>
      <c r="Z212" s="429">
        <f t="shared" si="930"/>
        <v>99.999999999999986</v>
      </c>
      <c r="AA212" s="1823">
        <f t="shared" si="930"/>
        <v>100</v>
      </c>
      <c r="AB212" s="3734">
        <f t="shared" si="930"/>
        <v>99.999999999999972</v>
      </c>
      <c r="AC212" s="1822">
        <f t="shared" si="930"/>
        <v>100</v>
      </c>
      <c r="AD212" s="2755">
        <f t="shared" si="930"/>
        <v>100.00000000000003</v>
      </c>
      <c r="AE212" s="728">
        <f t="shared" si="930"/>
        <v>100</v>
      </c>
      <c r="AF212" s="205">
        <f t="shared" si="930"/>
        <v>100</v>
      </c>
      <c r="AG212" s="1822">
        <f t="shared" ref="AG212:AN212" si="931">+AG207+AG211</f>
        <v>100</v>
      </c>
      <c r="AH212" s="2755">
        <f t="shared" si="931"/>
        <v>100</v>
      </c>
      <c r="AI212" s="728">
        <f t="shared" si="931"/>
        <v>99.999999999999972</v>
      </c>
      <c r="AJ212" s="205">
        <f t="shared" si="931"/>
        <v>99.999999999999986</v>
      </c>
      <c r="AK212" s="1822">
        <f t="shared" si="931"/>
        <v>100</v>
      </c>
      <c r="AL212" s="176">
        <f t="shared" si="931"/>
        <v>100</v>
      </c>
      <c r="AM212" s="729">
        <f t="shared" si="931"/>
        <v>100</v>
      </c>
      <c r="AN212" s="429">
        <f t="shared" si="931"/>
        <v>99.999999999999986</v>
      </c>
      <c r="AO212" s="728">
        <f t="shared" ref="AO212:AT212" si="932">+AO207+AO211</f>
        <v>100</v>
      </c>
      <c r="AP212" s="205">
        <f t="shared" si="932"/>
        <v>100</v>
      </c>
      <c r="AQ212" s="1822">
        <f t="shared" si="932"/>
        <v>100.00000000000001</v>
      </c>
      <c r="AR212" s="176">
        <f t="shared" si="932"/>
        <v>99.999999999999972</v>
      </c>
      <c r="AS212" s="728">
        <f t="shared" si="932"/>
        <v>100</v>
      </c>
      <c r="AT212" s="205">
        <f t="shared" si="932"/>
        <v>100.00000000000001</v>
      </c>
      <c r="AU212" s="1822">
        <f t="shared" ref="AU212:AX212" si="933">+AU207+AU211</f>
        <v>100.00000000000001</v>
      </c>
      <c r="AV212" s="176">
        <f t="shared" si="933"/>
        <v>100</v>
      </c>
      <c r="AW212" s="728">
        <f t="shared" si="933"/>
        <v>100.00000000000001</v>
      </c>
      <c r="AX212" s="205">
        <f t="shared" si="933"/>
        <v>100</v>
      </c>
      <c r="AY212" s="1822">
        <f t="shared" ref="AY212:BF212" si="934">+AY207+AY211</f>
        <v>100.00000000000001</v>
      </c>
      <c r="AZ212" s="176">
        <f t="shared" si="934"/>
        <v>100</v>
      </c>
      <c r="BA212" s="729">
        <f t="shared" si="934"/>
        <v>100</v>
      </c>
      <c r="BB212" s="429">
        <f t="shared" si="934"/>
        <v>100</v>
      </c>
      <c r="BC212" s="1823">
        <f t="shared" si="934"/>
        <v>100</v>
      </c>
      <c r="BD212" s="3734">
        <f t="shared" si="934"/>
        <v>99.999999999999986</v>
      </c>
      <c r="BE212" s="728">
        <f t="shared" si="934"/>
        <v>100</v>
      </c>
      <c r="BF212" s="205">
        <f t="shared" si="934"/>
        <v>100.00000000000003</v>
      </c>
      <c r="BG212" s="648"/>
      <c r="BH212" s="648"/>
      <c r="BI212" s="648"/>
      <c r="BJ212" s="648"/>
      <c r="BK212" s="648"/>
      <c r="BL212" s="648"/>
      <c r="BM212" s="648"/>
      <c r="BN212" s="648"/>
    </row>
    <row r="213" spans="2:66" ht="15" customHeight="1" x14ac:dyDescent="0.25">
      <c r="B213" s="4"/>
      <c r="C213" s="4"/>
      <c r="D213" s="59"/>
      <c r="E213" s="142"/>
      <c r="F213" s="59"/>
      <c r="G213" s="142"/>
      <c r="H213" s="59"/>
      <c r="I213" s="142"/>
      <c r="J213" s="59"/>
      <c r="K213" s="142"/>
      <c r="L213" s="59"/>
      <c r="M213" s="142"/>
      <c r="N213" s="59"/>
      <c r="O213" s="142"/>
      <c r="P213" s="59"/>
      <c r="Q213" s="142"/>
      <c r="R213" s="59"/>
      <c r="S213" s="142"/>
      <c r="T213" s="2756"/>
      <c r="U213" s="142"/>
      <c r="V213" s="59"/>
      <c r="W213" s="142"/>
      <c r="X213" s="59"/>
      <c r="Y213" s="142"/>
      <c r="Z213" s="59"/>
      <c r="AA213" s="142"/>
      <c r="AB213" s="59"/>
      <c r="AC213" s="142"/>
      <c r="AD213" s="2756"/>
      <c r="AE213" s="142"/>
      <c r="AF213" s="59"/>
      <c r="AG213" s="142"/>
      <c r="AH213" s="2756"/>
      <c r="AI213" s="142"/>
      <c r="AJ213" s="59"/>
      <c r="AK213" s="142"/>
      <c r="AL213" s="59"/>
      <c r="AM213" s="142"/>
      <c r="AN213" s="59"/>
      <c r="AO213" s="142"/>
      <c r="AP213" s="59"/>
      <c r="AQ213" s="142"/>
      <c r="AR213" s="59"/>
      <c r="AS213" s="142"/>
      <c r="AT213" s="59"/>
      <c r="AU213" s="142"/>
      <c r="AV213" s="59"/>
      <c r="AW213" s="142"/>
      <c r="AX213" s="59"/>
      <c r="AY213" s="142"/>
      <c r="AZ213" s="59"/>
      <c r="BA213" s="142"/>
      <c r="BB213" s="59"/>
      <c r="BC213" s="142"/>
      <c r="BD213" s="59"/>
      <c r="BE213" s="142"/>
      <c r="BF213" s="59"/>
      <c r="BG213" s="648"/>
      <c r="BH213" s="648"/>
      <c r="BI213" s="648"/>
      <c r="BJ213" s="648"/>
      <c r="BK213" s="648"/>
      <c r="BL213" s="648"/>
      <c r="BM213" s="648"/>
      <c r="BN213" s="648"/>
    </row>
    <row r="214" spans="2:66" x14ac:dyDescent="0.25">
      <c r="B214" s="3866" t="s">
        <v>136</v>
      </c>
      <c r="C214" s="3864" t="s">
        <v>179</v>
      </c>
      <c r="D214" s="3865">
        <v>77.5</v>
      </c>
      <c r="E214" s="3865">
        <v>77.5</v>
      </c>
      <c r="F214" s="3865">
        <v>77.5</v>
      </c>
      <c r="G214" s="3865">
        <v>77.5</v>
      </c>
      <c r="H214" s="3865">
        <v>77.5</v>
      </c>
      <c r="I214" s="3865">
        <v>77.5</v>
      </c>
      <c r="J214" s="3865">
        <v>77.5</v>
      </c>
      <c r="K214" s="3865">
        <v>77.5</v>
      </c>
      <c r="L214" s="3865">
        <v>77.5</v>
      </c>
      <c r="M214" s="3865">
        <v>77.5</v>
      </c>
      <c r="N214" s="3865">
        <v>77.5</v>
      </c>
      <c r="O214" s="3865">
        <v>77.5</v>
      </c>
      <c r="P214" s="3865">
        <v>77.5</v>
      </c>
      <c r="Q214" s="3865">
        <v>77.5</v>
      </c>
      <c r="R214" s="3865">
        <v>77.5</v>
      </c>
      <c r="S214" s="3865">
        <v>77.5</v>
      </c>
      <c r="T214" s="3865">
        <v>77.5</v>
      </c>
      <c r="U214" s="3865">
        <v>77.5</v>
      </c>
      <c r="V214" s="3865">
        <v>77.5</v>
      </c>
      <c r="W214" s="3865">
        <v>77.5</v>
      </c>
      <c r="X214" s="3865">
        <v>77.5</v>
      </c>
      <c r="Y214" s="3865">
        <v>77.5</v>
      </c>
      <c r="Z214" s="3865">
        <v>77.5</v>
      </c>
      <c r="AA214" s="3865">
        <v>77.5</v>
      </c>
      <c r="AB214" s="3865">
        <v>77.5</v>
      </c>
      <c r="AC214" s="3865">
        <v>77.5</v>
      </c>
      <c r="AD214" s="3865">
        <v>77.5</v>
      </c>
      <c r="AE214" s="3865">
        <v>77.5</v>
      </c>
      <c r="AF214" s="3865">
        <v>77.5</v>
      </c>
      <c r="AG214" s="3865">
        <v>77.5</v>
      </c>
      <c r="AH214" s="3865">
        <v>77.5</v>
      </c>
      <c r="AI214" s="3865">
        <v>77.5</v>
      </c>
      <c r="AJ214" s="3865">
        <v>77.5</v>
      </c>
      <c r="AK214" s="3865">
        <v>77.5</v>
      </c>
      <c r="AL214" s="3865">
        <v>77.5</v>
      </c>
      <c r="AM214" s="3865">
        <v>77.5</v>
      </c>
      <c r="AN214" s="3865">
        <v>77.5</v>
      </c>
      <c r="AO214" s="3865">
        <v>77.5</v>
      </c>
      <c r="AP214" s="3865">
        <v>77.5</v>
      </c>
      <c r="AQ214" s="3865">
        <v>77.5</v>
      </c>
      <c r="AR214" s="3865">
        <v>77.5</v>
      </c>
      <c r="AS214" s="3865">
        <v>77.5</v>
      </c>
      <c r="AT214" s="3865">
        <v>77.5</v>
      </c>
      <c r="AU214" s="3865">
        <v>77.5</v>
      </c>
      <c r="AV214" s="3865">
        <v>77.5</v>
      </c>
      <c r="AW214" s="3865">
        <v>77.5</v>
      </c>
      <c r="AX214" s="3865">
        <v>77.5</v>
      </c>
      <c r="AY214" s="3865">
        <v>77.5</v>
      </c>
      <c r="AZ214" s="3865">
        <v>77.5</v>
      </c>
      <c r="BA214" s="3865">
        <v>77.5</v>
      </c>
      <c r="BB214" s="3865">
        <v>77.5</v>
      </c>
      <c r="BC214" s="3865">
        <v>77.5</v>
      </c>
      <c r="BD214" s="3865">
        <v>77.5</v>
      </c>
      <c r="BE214" s="3865">
        <v>77.5</v>
      </c>
      <c r="BF214" s="3865">
        <v>77.5</v>
      </c>
      <c r="BG214" s="648"/>
      <c r="BH214" s="648"/>
      <c r="BI214" s="648"/>
      <c r="BJ214" s="648"/>
      <c r="BK214" s="648"/>
      <c r="BL214" s="648"/>
      <c r="BM214" s="648"/>
      <c r="BN214" s="648"/>
    </row>
    <row r="215" spans="2:66" x14ac:dyDescent="0.25">
      <c r="B215" s="3866" t="s">
        <v>137</v>
      </c>
      <c r="C215" s="3864" t="s">
        <v>179</v>
      </c>
      <c r="D215" s="3865">
        <v>73.5</v>
      </c>
      <c r="E215" s="3865">
        <v>73.5</v>
      </c>
      <c r="F215" s="3865">
        <v>73.5</v>
      </c>
      <c r="G215" s="3865">
        <v>73.5</v>
      </c>
      <c r="H215" s="3865">
        <v>73.5</v>
      </c>
      <c r="I215" s="3865">
        <v>73.5</v>
      </c>
      <c r="J215" s="3865">
        <v>73.5</v>
      </c>
      <c r="K215" s="3865">
        <v>73.5</v>
      </c>
      <c r="L215" s="3865">
        <v>73.5</v>
      </c>
      <c r="M215" s="3865">
        <v>73.5</v>
      </c>
      <c r="N215" s="3865">
        <v>73.5</v>
      </c>
      <c r="O215" s="3865">
        <v>73.5</v>
      </c>
      <c r="P215" s="3865">
        <v>73.5</v>
      </c>
      <c r="Q215" s="3865">
        <v>73.5</v>
      </c>
      <c r="R215" s="3865">
        <v>73.5</v>
      </c>
      <c r="S215" s="3865">
        <v>73.5</v>
      </c>
      <c r="T215" s="3865">
        <v>73.5</v>
      </c>
      <c r="U215" s="3865">
        <v>73.5</v>
      </c>
      <c r="V215" s="3865">
        <v>73.5</v>
      </c>
      <c r="W215" s="3865">
        <v>73.5</v>
      </c>
      <c r="X215" s="3865">
        <v>73.5</v>
      </c>
      <c r="Y215" s="3865">
        <v>73.5</v>
      </c>
      <c r="Z215" s="3865">
        <v>73.5</v>
      </c>
      <c r="AA215" s="3865">
        <v>73.5</v>
      </c>
      <c r="AB215" s="3865">
        <v>73.5</v>
      </c>
      <c r="AC215" s="3865">
        <v>73.5</v>
      </c>
      <c r="AD215" s="3865">
        <v>73.5</v>
      </c>
      <c r="AE215" s="3865">
        <v>73.5</v>
      </c>
      <c r="AF215" s="3865">
        <v>73.5</v>
      </c>
      <c r="AG215" s="3865">
        <v>73.5</v>
      </c>
      <c r="AH215" s="3865">
        <v>73.5</v>
      </c>
      <c r="AI215" s="3865">
        <v>73.5</v>
      </c>
      <c r="AJ215" s="3865">
        <v>73.5</v>
      </c>
      <c r="AK215" s="3865">
        <v>73.5</v>
      </c>
      <c r="AL215" s="3865">
        <v>73.5</v>
      </c>
      <c r="AM215" s="3865">
        <v>73.5</v>
      </c>
      <c r="AN215" s="3865">
        <v>73.5</v>
      </c>
      <c r="AO215" s="3865">
        <v>73.5</v>
      </c>
      <c r="AP215" s="3865">
        <v>73.5</v>
      </c>
      <c r="AQ215" s="3865">
        <v>73.5</v>
      </c>
      <c r="AR215" s="3865">
        <v>73.5</v>
      </c>
      <c r="AS215" s="3865">
        <v>73.5</v>
      </c>
      <c r="AT215" s="3865">
        <v>73.5</v>
      </c>
      <c r="AU215" s="3865">
        <v>73.5</v>
      </c>
      <c r="AV215" s="3865">
        <v>73.5</v>
      </c>
      <c r="AW215" s="3865">
        <v>73.5</v>
      </c>
      <c r="AX215" s="3865">
        <v>73.5</v>
      </c>
      <c r="AY215" s="3865">
        <v>73.5</v>
      </c>
      <c r="AZ215" s="3865">
        <v>73.5</v>
      </c>
      <c r="BA215" s="3865">
        <v>73.5</v>
      </c>
      <c r="BB215" s="3865">
        <v>73.5</v>
      </c>
      <c r="BC215" s="3865">
        <v>73.5</v>
      </c>
      <c r="BD215" s="3865">
        <v>73.5</v>
      </c>
      <c r="BE215" s="3865">
        <v>73.5</v>
      </c>
      <c r="BF215" s="3865">
        <v>73.5</v>
      </c>
      <c r="BG215" s="648"/>
      <c r="BH215" s="648"/>
      <c r="BI215" s="648"/>
      <c r="BJ215" s="648"/>
      <c r="BK215" s="648"/>
      <c r="BL215" s="648"/>
      <c r="BM215" s="648"/>
      <c r="BN215" s="648"/>
    </row>
    <row r="216" spans="2:66" ht="15.75" thickBot="1" x14ac:dyDescent="0.3">
      <c r="E216"/>
      <c r="F216"/>
      <c r="G216"/>
      <c r="H216"/>
      <c r="K216"/>
      <c r="L216"/>
      <c r="T216" s="2652"/>
      <c r="V216" s="122"/>
      <c r="W216" s="116"/>
      <c r="X216" s="122"/>
      <c r="BG216" s="648"/>
      <c r="BH216" s="648"/>
      <c r="BI216" s="648"/>
      <c r="BJ216" s="648"/>
      <c r="BK216" s="648"/>
      <c r="BL216" s="648"/>
      <c r="BM216" s="648"/>
      <c r="BN216" s="648"/>
    </row>
    <row r="217" spans="2:66" ht="19.5" thickBot="1" x14ac:dyDescent="0.3">
      <c r="B217" s="5715" t="s">
        <v>1980</v>
      </c>
      <c r="C217" s="5715" t="s">
        <v>179</v>
      </c>
      <c r="D217" s="5716"/>
      <c r="E217" s="5717"/>
      <c r="F217" s="5717"/>
      <c r="G217" s="5717"/>
      <c r="H217" s="5717"/>
      <c r="I217" s="5718"/>
      <c r="J217" s="5719"/>
      <c r="K217" s="5717"/>
      <c r="L217" s="5717"/>
      <c r="M217" s="5718"/>
      <c r="N217" s="5719"/>
      <c r="O217" s="5718"/>
      <c r="P217" s="5719"/>
      <c r="Q217" s="5718"/>
      <c r="R217" s="5719"/>
      <c r="S217" s="5718"/>
      <c r="T217" s="5719"/>
      <c r="U217" s="5718"/>
      <c r="V217" s="5719"/>
      <c r="W217" s="5718"/>
      <c r="X217" s="5719"/>
      <c r="Y217" s="5717"/>
      <c r="Z217" s="5717"/>
      <c r="AA217" s="5717"/>
      <c r="AB217" s="5717"/>
      <c r="AC217" s="5717"/>
      <c r="AD217" s="5717"/>
      <c r="AE217" s="5717"/>
      <c r="AF217" s="5717"/>
      <c r="AG217" s="5717"/>
      <c r="AH217" s="5717"/>
      <c r="AI217" s="5717"/>
      <c r="AJ217" s="5717"/>
      <c r="AK217" s="5717"/>
      <c r="AL217" s="5717">
        <v>2</v>
      </c>
      <c r="AM217" s="5717"/>
      <c r="AN217" s="5742">
        <f t="shared" ref="AN217" si="935">+AD217+AH217+AL217</f>
        <v>2</v>
      </c>
      <c r="AO217" s="5717"/>
      <c r="AP217" s="5717"/>
      <c r="AQ217" s="5717"/>
      <c r="AR217" s="5717">
        <v>14</v>
      </c>
      <c r="AS217" s="5717"/>
      <c r="AT217" s="5717"/>
      <c r="AU217" s="5717"/>
      <c r="AV217" s="5717">
        <v>166</v>
      </c>
      <c r="AW217" s="5717"/>
      <c r="AX217" s="5717"/>
      <c r="AY217" s="5717"/>
      <c r="AZ217" s="5717">
        <v>41</v>
      </c>
      <c r="BA217" s="5717"/>
      <c r="BB217" s="5720">
        <f t="shared" ref="BB217" si="936">+AR217+AV217+AZ217</f>
        <v>221</v>
      </c>
      <c r="BC217" s="5717"/>
      <c r="BD217" s="5742">
        <f t="shared" ref="BD217" si="937">+AN217+BB217</f>
        <v>223</v>
      </c>
      <c r="BE217" s="5717"/>
      <c r="BF217" s="5717">
        <f>AZ217+AV217+AR217+AL217+AH217+AD217+X217+T217+P217+L217+H217+F217</f>
        <v>223</v>
      </c>
      <c r="BG217" s="648"/>
      <c r="BH217" s="648"/>
      <c r="BI217" s="648"/>
      <c r="BJ217" s="648"/>
      <c r="BK217" s="648"/>
      <c r="BL217" s="648"/>
      <c r="BM217" s="648"/>
      <c r="BN217" s="648"/>
    </row>
    <row r="218" spans="2:66" x14ac:dyDescent="0.25">
      <c r="E218"/>
      <c r="F218"/>
      <c r="G218"/>
      <c r="H218"/>
      <c r="K218"/>
      <c r="L218"/>
      <c r="T218" s="2652"/>
      <c r="V218" s="122"/>
      <c r="W218" s="116"/>
      <c r="X218" s="122"/>
    </row>
    <row r="219" spans="2:66" x14ac:dyDescent="0.25">
      <c r="E219"/>
      <c r="F219"/>
      <c r="G219"/>
      <c r="H219"/>
      <c r="K219"/>
      <c r="L219"/>
      <c r="T219" s="2652"/>
      <c r="V219" s="122"/>
      <c r="W219" s="116"/>
      <c r="X219" s="122"/>
    </row>
    <row r="220" spans="2:66" x14ac:dyDescent="0.25">
      <c r="E220"/>
      <c r="F220"/>
      <c r="G220"/>
      <c r="H220"/>
      <c r="K220"/>
      <c r="L220"/>
      <c r="T220" s="2652"/>
      <c r="V220" s="122"/>
      <c r="W220" s="116"/>
      <c r="X220" s="122"/>
    </row>
    <row r="221" spans="2:66" x14ac:dyDescent="0.25">
      <c r="E221"/>
      <c r="F221"/>
      <c r="G221"/>
      <c r="H221"/>
      <c r="K221"/>
      <c r="L221"/>
      <c r="T221" s="2652"/>
      <c r="V221" s="122"/>
      <c r="W221" s="116"/>
      <c r="X221" s="122"/>
    </row>
    <row r="222" spans="2:66" x14ac:dyDescent="0.25">
      <c r="E222"/>
      <c r="F222"/>
      <c r="G222"/>
      <c r="H222"/>
      <c r="K222"/>
      <c r="L222"/>
      <c r="T222" s="2652"/>
      <c r="V222" s="122"/>
      <c r="W222" s="116"/>
      <c r="X222" s="122"/>
    </row>
    <row r="223" spans="2:66" x14ac:dyDescent="0.25">
      <c r="E223"/>
      <c r="F223"/>
      <c r="G223"/>
      <c r="H223"/>
      <c r="K223"/>
      <c r="L223"/>
      <c r="T223" s="2652"/>
      <c r="V223" s="122"/>
      <c r="W223" s="116"/>
      <c r="X223" s="122"/>
    </row>
    <row r="224" spans="2:66" x14ac:dyDescent="0.25">
      <c r="E224"/>
      <c r="F224"/>
      <c r="G224"/>
      <c r="H224"/>
      <c r="K224"/>
      <c r="L224"/>
      <c r="T224" s="2652"/>
      <c r="V224" s="122"/>
      <c r="W224" s="116"/>
      <c r="X224" s="122"/>
    </row>
    <row r="225" spans="5:24" x14ac:dyDescent="0.25">
      <c r="E225"/>
      <c r="F225"/>
      <c r="G225"/>
      <c r="H225"/>
      <c r="K225"/>
      <c r="L225"/>
      <c r="T225" s="2652"/>
      <c r="V225" s="122"/>
      <c r="W225" s="116"/>
      <c r="X225" s="122"/>
    </row>
    <row r="226" spans="5:24" x14ac:dyDescent="0.25">
      <c r="E226"/>
      <c r="F226"/>
      <c r="G226"/>
      <c r="H226"/>
      <c r="T226" s="2652"/>
      <c r="V226" s="122"/>
      <c r="W226" s="116"/>
      <c r="X226" s="122"/>
    </row>
    <row r="227" spans="5:24" x14ac:dyDescent="0.25">
      <c r="E227"/>
      <c r="F227"/>
      <c r="G227"/>
      <c r="H227"/>
      <c r="T227" s="2652"/>
      <c r="V227" s="122"/>
      <c r="W227" s="116"/>
      <c r="X227" s="122"/>
    </row>
    <row r="228" spans="5:24" x14ac:dyDescent="0.25">
      <c r="E228"/>
      <c r="F228"/>
      <c r="G228"/>
      <c r="H228"/>
      <c r="T228" s="2652"/>
      <c r="V228" s="122"/>
      <c r="W228" s="116"/>
      <c r="X228" s="122"/>
    </row>
    <row r="229" spans="5:24" x14ac:dyDescent="0.25">
      <c r="E229"/>
      <c r="F229"/>
      <c r="G229"/>
      <c r="H229"/>
      <c r="T229" s="2652"/>
      <c r="V229" s="122"/>
      <c r="W229" s="116"/>
      <c r="X229" s="122"/>
    </row>
    <row r="230" spans="5:24" x14ac:dyDescent="0.25">
      <c r="E230"/>
      <c r="F230"/>
      <c r="G230"/>
      <c r="H230"/>
      <c r="T230" s="2652"/>
      <c r="V230" s="122"/>
      <c r="W230" s="116"/>
      <c r="X230" s="122"/>
    </row>
    <row r="231" spans="5:24" x14ac:dyDescent="0.25">
      <c r="T231" s="2652"/>
      <c r="V231" s="122"/>
      <c r="W231" s="116"/>
      <c r="X231" s="122"/>
    </row>
    <row r="232" spans="5:24" x14ac:dyDescent="0.25">
      <c r="T232" s="2652"/>
      <c r="V232" s="122"/>
      <c r="W232" s="116"/>
      <c r="X232" s="122"/>
    </row>
    <row r="233" spans="5:24" x14ac:dyDescent="0.25">
      <c r="T233" s="2652"/>
      <c r="V233" s="122"/>
      <c r="W233" s="116"/>
      <c r="X233" s="122"/>
    </row>
    <row r="234" spans="5:24" x14ac:dyDescent="0.25">
      <c r="T234" s="2652"/>
      <c r="V234" s="122"/>
      <c r="W234" s="116"/>
      <c r="X234" s="122"/>
    </row>
    <row r="235" spans="5:24" x14ac:dyDescent="0.25">
      <c r="T235" s="2652"/>
      <c r="V235" s="122"/>
    </row>
    <row r="236" spans="5:24" x14ac:dyDescent="0.25">
      <c r="T236" s="2652"/>
      <c r="V236" s="122"/>
    </row>
    <row r="237" spans="5:24" x14ac:dyDescent="0.25">
      <c r="T237" s="2652"/>
      <c r="V237" s="122"/>
    </row>
  </sheetData>
  <mergeCells count="142">
    <mergeCell ref="AY3:AZ3"/>
    <mergeCell ref="BE3:BF3"/>
    <mergeCell ref="AY99:AY101"/>
    <mergeCell ref="BE99:BE101"/>
    <mergeCell ref="AY116:AY118"/>
    <mergeCell ref="BE116:BE118"/>
    <mergeCell ref="AY133:AY135"/>
    <mergeCell ref="BE133:BE135"/>
    <mergeCell ref="AY208:AY210"/>
    <mergeCell ref="BE208:BE210"/>
    <mergeCell ref="BA3:BB3"/>
    <mergeCell ref="BC3:BD3"/>
    <mergeCell ref="BA99:BA101"/>
    <mergeCell ref="BC99:BC101"/>
    <mergeCell ref="BA116:BA118"/>
    <mergeCell ref="BC116:BC118"/>
    <mergeCell ref="BA133:BA135"/>
    <mergeCell ref="BC133:BC135"/>
    <mergeCell ref="BA208:BA210"/>
    <mergeCell ref="BC208:BC210"/>
    <mergeCell ref="AO3:AP3"/>
    <mergeCell ref="AO99:AO101"/>
    <mergeCell ref="AO116:AO118"/>
    <mergeCell ref="AO133:AO135"/>
    <mergeCell ref="AO208:AO210"/>
    <mergeCell ref="AM3:AN3"/>
    <mergeCell ref="AM99:AM101"/>
    <mergeCell ref="AM116:AM118"/>
    <mergeCell ref="AM133:AM135"/>
    <mergeCell ref="AM208:AM210"/>
    <mergeCell ref="AK3:AL3"/>
    <mergeCell ref="AK99:AK101"/>
    <mergeCell ref="AK116:AK118"/>
    <mergeCell ref="AK133:AK135"/>
    <mergeCell ref="AK208:AK210"/>
    <mergeCell ref="G208:G210"/>
    <mergeCell ref="I208:I210"/>
    <mergeCell ref="AA99:AA101"/>
    <mergeCell ref="E133:E135"/>
    <mergeCell ref="G133:G135"/>
    <mergeCell ref="I133:I135"/>
    <mergeCell ref="Q99:Q101"/>
    <mergeCell ref="E116:E118"/>
    <mergeCell ref="G116:G118"/>
    <mergeCell ref="I116:I118"/>
    <mergeCell ref="E99:E101"/>
    <mergeCell ref="G99:G101"/>
    <mergeCell ref="I99:I101"/>
    <mergeCell ref="AA133:AA135"/>
    <mergeCell ref="M116:M118"/>
    <mergeCell ref="O116:O118"/>
    <mergeCell ref="AE133:AE135"/>
    <mergeCell ref="AC208:AC210"/>
    <mergeCell ref="AE208:AE210"/>
    <mergeCell ref="D208:D210"/>
    <mergeCell ref="W99:W101"/>
    <mergeCell ref="W116:W118"/>
    <mergeCell ref="W133:W135"/>
    <mergeCell ref="W208:W210"/>
    <mergeCell ref="S208:S210"/>
    <mergeCell ref="U208:U210"/>
    <mergeCell ref="S99:S101"/>
    <mergeCell ref="U99:U101"/>
    <mergeCell ref="S116:S118"/>
    <mergeCell ref="U116:U118"/>
    <mergeCell ref="S133:S135"/>
    <mergeCell ref="U133:U135"/>
    <mergeCell ref="E208:E210"/>
    <mergeCell ref="D116:D118"/>
    <mergeCell ref="D133:D135"/>
    <mergeCell ref="D99:D101"/>
    <mergeCell ref="K208:K210"/>
    <mergeCell ref="M208:M210"/>
    <mergeCell ref="O208:O210"/>
    <mergeCell ref="Q208:Q210"/>
    <mergeCell ref="B3:B4"/>
    <mergeCell ref="K3:L3"/>
    <mergeCell ref="M3:N3"/>
    <mergeCell ref="E3:F3"/>
    <mergeCell ref="G3:H3"/>
    <mergeCell ref="I3:J3"/>
    <mergeCell ref="C3:C4"/>
    <mergeCell ref="D3:D4"/>
    <mergeCell ref="AC133:AC135"/>
    <mergeCell ref="K133:K135"/>
    <mergeCell ref="M133:M135"/>
    <mergeCell ref="O133:O135"/>
    <mergeCell ref="Q133:Q135"/>
    <mergeCell ref="AC3:AD3"/>
    <mergeCell ref="Y208:Y210"/>
    <mergeCell ref="AA208:AA210"/>
    <mergeCell ref="Y133:Y135"/>
    <mergeCell ref="K116:K118"/>
    <mergeCell ref="Q3:R3"/>
    <mergeCell ref="Y3:Z3"/>
    <mergeCell ref="W3:X3"/>
    <mergeCell ref="AA3:AB3"/>
    <mergeCell ref="S3:T3"/>
    <mergeCell ref="U3:V3"/>
    <mergeCell ref="Y99:Y101"/>
    <mergeCell ref="Y116:Y118"/>
    <mergeCell ref="AA116:AA118"/>
    <mergeCell ref="Q116:Q118"/>
    <mergeCell ref="O3:P3"/>
    <mergeCell ref="O99:O101"/>
    <mergeCell ref="K99:K101"/>
    <mergeCell ref="M99:M101"/>
    <mergeCell ref="AE3:AF3"/>
    <mergeCell ref="AC99:AC101"/>
    <mergeCell ref="AE99:AE101"/>
    <mergeCell ref="AC116:AC118"/>
    <mergeCell ref="AE116:AE118"/>
    <mergeCell ref="AG133:AG135"/>
    <mergeCell ref="AI133:AI135"/>
    <mergeCell ref="AG208:AG210"/>
    <mergeCell ref="AI208:AI210"/>
    <mergeCell ref="AG3:AH3"/>
    <mergeCell ref="AI3:AJ3"/>
    <mergeCell ref="AG99:AG101"/>
    <mergeCell ref="AI99:AI101"/>
    <mergeCell ref="AG116:AG118"/>
    <mergeCell ref="AI116:AI118"/>
    <mergeCell ref="AQ3:AR3"/>
    <mergeCell ref="AS3:AT3"/>
    <mergeCell ref="AQ99:AQ101"/>
    <mergeCell ref="AS99:AS101"/>
    <mergeCell ref="AQ116:AQ118"/>
    <mergeCell ref="AS116:AS118"/>
    <mergeCell ref="AQ133:AQ135"/>
    <mergeCell ref="AS133:AS135"/>
    <mergeCell ref="AQ208:AQ210"/>
    <mergeCell ref="AS208:AS210"/>
    <mergeCell ref="AU3:AV3"/>
    <mergeCell ref="AW3:AX3"/>
    <mergeCell ref="AU99:AU101"/>
    <mergeCell ref="AW99:AW101"/>
    <mergeCell ref="AU116:AU118"/>
    <mergeCell ref="AW116:AW118"/>
    <mergeCell ref="AU133:AU135"/>
    <mergeCell ref="AW133:AW135"/>
    <mergeCell ref="AU208:AU210"/>
    <mergeCell ref="AW208:AW210"/>
  </mergeCells>
  <printOptions horizontalCentered="1" verticalCentered="1"/>
  <pageMargins left="0" right="0" top="0" bottom="0" header="0.31496062992125984" footer="0.31496062992125984"/>
  <pageSetup orientation="landscape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>
    <tabColor rgb="FFCC99FF"/>
    <pageSetUpPr fitToPage="1"/>
  </sheetPr>
  <dimension ref="A1:CG84"/>
  <sheetViews>
    <sheetView zoomScaleNormal="100" workbookViewId="0">
      <pane xSplit="4" ySplit="3" topLeftCell="W58" activePane="bottomRight" state="frozen"/>
      <selection pane="topRight" activeCell="E1" sqref="E1"/>
      <selection pane="bottomLeft" activeCell="A4" sqref="A4"/>
      <selection pane="bottomRight" activeCell="BC21" sqref="BC21"/>
    </sheetView>
  </sheetViews>
  <sheetFormatPr defaultColWidth="8.85546875" defaultRowHeight="15" x14ac:dyDescent="0.25"/>
  <cols>
    <col min="1" max="1" width="3.5703125" style="3223" customWidth="1"/>
    <col min="2" max="2" width="32.140625" bestFit="1" customWidth="1"/>
    <col min="3" max="3" width="53.5703125" style="323" bestFit="1" customWidth="1"/>
    <col min="4" max="4" width="7.28515625" style="323" hidden="1" customWidth="1"/>
    <col min="5" max="5" width="9.85546875" style="323" bestFit="1" customWidth="1"/>
    <col min="6" max="6" width="6.7109375" style="323" hidden="1" customWidth="1"/>
    <col min="7" max="7" width="9.85546875" style="323" bestFit="1" customWidth="1"/>
    <col min="8" max="8" width="6.7109375" style="323" hidden="1" customWidth="1"/>
    <col min="9" max="9" width="15.5703125" style="323" hidden="1" customWidth="1"/>
    <col min="10" max="10" width="6.7109375" style="323" hidden="1" customWidth="1"/>
    <col min="11" max="11" width="9.85546875" style="323" bestFit="1" customWidth="1"/>
    <col min="12" max="12" width="6.7109375" style="323" hidden="1" customWidth="1"/>
    <col min="13" max="13" width="10.28515625" bestFit="1" customWidth="1"/>
    <col min="14" max="14" width="6.7109375" hidden="1" customWidth="1"/>
    <col min="15" max="15" width="9.85546875" customWidth="1"/>
    <col min="16" max="16" width="6.7109375" hidden="1" customWidth="1"/>
    <col min="17" max="17" width="15.5703125" hidden="1" customWidth="1"/>
    <col min="18" max="18" width="6.7109375" hidden="1" customWidth="1"/>
    <col min="19" max="19" width="9.85546875" bestFit="1" customWidth="1"/>
    <col min="20" max="20" width="6.7109375" hidden="1" customWidth="1"/>
    <col min="21" max="21" width="11.28515625" hidden="1" customWidth="1"/>
    <col min="22" max="22" width="9.85546875" hidden="1" customWidth="1"/>
    <col min="23" max="23" width="9.85546875" bestFit="1" customWidth="1"/>
    <col min="24" max="24" width="6.7109375" style="3589" hidden="1" customWidth="1"/>
    <col min="25" max="25" width="10.28515625" bestFit="1" customWidth="1"/>
    <col min="26" max="26" width="10.28515625" style="4077" hidden="1" customWidth="1"/>
    <col min="27" max="27" width="14.42578125" customWidth="1"/>
    <col min="28" max="28" width="10.42578125" hidden="1" customWidth="1"/>
    <col min="29" max="29" width="9.85546875" bestFit="1" customWidth="1"/>
    <col min="30" max="30" width="6.7109375" hidden="1" customWidth="1"/>
    <col min="31" max="32" width="11.28515625" hidden="1" customWidth="1"/>
    <col min="33" max="33" width="9.85546875" bestFit="1" customWidth="1"/>
    <col min="34" max="34" width="9.85546875" hidden="1" customWidth="1"/>
    <col min="35" max="36" width="11.28515625" hidden="1" customWidth="1"/>
    <col min="37" max="37" width="9.85546875" bestFit="1" customWidth="1"/>
    <col min="38" max="38" width="11.28515625" hidden="1" customWidth="1"/>
    <col min="39" max="39" width="10.28515625" bestFit="1" customWidth="1"/>
    <col min="40" max="40" width="6.7109375" hidden="1" customWidth="1"/>
    <col min="41" max="42" width="11.28515625" hidden="1" customWidth="1"/>
    <col min="43" max="43" width="9.85546875" bestFit="1" customWidth="1"/>
    <col min="44" max="44" width="9.85546875" hidden="1" customWidth="1"/>
    <col min="45" max="46" width="11.28515625" hidden="1" customWidth="1"/>
    <col min="47" max="47" width="9.85546875" bestFit="1" customWidth="1"/>
    <col min="48" max="48" width="9.85546875" hidden="1" customWidth="1"/>
    <col min="49" max="50" width="11.28515625" hidden="1" customWidth="1"/>
    <col min="51" max="51" width="9.85546875" bestFit="1" customWidth="1"/>
    <col min="52" max="52" width="9.85546875" style="5241" hidden="1" customWidth="1"/>
    <col min="53" max="53" width="10.28515625" style="5241" bestFit="1" customWidth="1"/>
    <col min="54" max="54" width="9.85546875" style="5241" hidden="1" customWidth="1"/>
    <col min="55" max="55" width="11.28515625" style="5241" bestFit="1" customWidth="1"/>
    <col min="56" max="56" width="11.28515625" hidden="1" customWidth="1"/>
    <col min="57" max="57" width="11.28515625" bestFit="1" customWidth="1"/>
    <col min="58" max="58" width="9.85546875" customWidth="1"/>
    <col min="59" max="59" width="12.7109375" customWidth="1"/>
    <col min="60" max="60" width="11.28515625" customWidth="1"/>
    <col min="61" max="61" width="8.85546875" customWidth="1"/>
    <col min="62" max="62" width="9.85546875" customWidth="1"/>
    <col min="63" max="63" width="8.85546875" customWidth="1"/>
    <col min="64" max="64" width="11.28515625" customWidth="1"/>
    <col min="65" max="65" width="8.85546875" customWidth="1"/>
    <col min="66" max="67" width="9.85546875" customWidth="1"/>
    <col min="68" max="68" width="11.28515625" customWidth="1"/>
    <col min="69" max="69" width="9.85546875" customWidth="1"/>
    <col min="70" max="70" width="11.28515625" customWidth="1"/>
    <col min="71" max="71" width="8.85546875" customWidth="1"/>
    <col min="72" max="72" width="11.28515625" customWidth="1"/>
    <col min="73" max="77" width="8.85546875" customWidth="1"/>
    <col min="78" max="78" width="12.5703125" bestFit="1" customWidth="1"/>
  </cols>
  <sheetData>
    <row r="1" spans="1:76" x14ac:dyDescent="0.25">
      <c r="B1" s="3223"/>
      <c r="C1" s="3239"/>
      <c r="D1" s="3239"/>
      <c r="E1" s="3239"/>
      <c r="F1" s="3239"/>
      <c r="G1" s="3239"/>
      <c r="H1" s="3239"/>
      <c r="I1" s="3239"/>
      <c r="J1" s="3239"/>
      <c r="K1" s="3239"/>
      <c r="L1" s="3239"/>
      <c r="M1" s="3239"/>
      <c r="N1" s="3239"/>
      <c r="O1" s="3239"/>
      <c r="P1" s="3239"/>
      <c r="Q1" s="3239"/>
      <c r="R1" s="3239"/>
      <c r="S1" s="3239"/>
      <c r="T1" s="3239"/>
      <c r="U1" s="3239"/>
      <c r="V1" s="3239"/>
      <c r="W1" s="3239"/>
      <c r="X1" s="3239"/>
      <c r="Y1" s="3239"/>
      <c r="Z1" s="3239"/>
      <c r="AA1" s="3239"/>
      <c r="AB1" s="3239"/>
      <c r="AC1" s="3239"/>
      <c r="AD1" s="3239"/>
      <c r="AE1" s="3239"/>
      <c r="AF1" s="3239"/>
      <c r="AG1" s="3239"/>
      <c r="AH1" s="3239"/>
      <c r="AI1" s="3239"/>
      <c r="AJ1" s="3239"/>
      <c r="AK1" s="3239"/>
      <c r="AL1" s="3239"/>
      <c r="AM1" s="3239"/>
      <c r="AN1" s="3239"/>
      <c r="AO1" s="3239"/>
      <c r="AP1" s="3239"/>
      <c r="AQ1" s="3239"/>
      <c r="AR1" s="3239"/>
      <c r="AS1" s="3239"/>
      <c r="AT1" s="3239"/>
      <c r="AU1" s="3239"/>
      <c r="AV1" s="3239"/>
      <c r="AW1" s="3239"/>
      <c r="AX1" s="3239"/>
      <c r="AY1" s="3239"/>
      <c r="AZ1" s="3239"/>
      <c r="BA1" s="3239"/>
      <c r="BB1" s="3239"/>
      <c r="BC1" s="3239"/>
      <c r="BD1" s="3239"/>
      <c r="BE1" s="3239"/>
      <c r="BF1" s="3239"/>
      <c r="BG1" s="3239"/>
      <c r="BH1" s="3239"/>
      <c r="BI1" s="3239"/>
      <c r="BJ1" s="3239"/>
      <c r="BK1" s="3239"/>
      <c r="BL1" s="3239"/>
      <c r="BM1" s="3223"/>
      <c r="BN1" s="3223"/>
      <c r="BO1" s="3223"/>
      <c r="BP1" s="3223"/>
      <c r="BQ1" s="3223"/>
      <c r="BR1" s="3223"/>
      <c r="BS1" s="3223"/>
      <c r="BT1" s="3223"/>
      <c r="BU1" s="3223"/>
      <c r="BV1" s="3223"/>
    </row>
    <row r="2" spans="1:76" x14ac:dyDescent="0.25">
      <c r="B2" s="3223"/>
      <c r="C2" s="3223"/>
      <c r="D2" s="3223"/>
      <c r="E2" s="3239"/>
      <c r="F2" s="3223"/>
      <c r="G2" s="3239"/>
      <c r="H2" s="3223"/>
      <c r="I2" s="3223"/>
      <c r="J2" s="3223"/>
      <c r="K2" s="3239"/>
      <c r="L2" s="3223"/>
      <c r="M2" s="3223"/>
      <c r="N2" s="3223"/>
      <c r="O2" s="3239"/>
      <c r="P2" s="3223"/>
      <c r="Q2" s="3223"/>
      <c r="R2" s="3223"/>
      <c r="S2" s="3239"/>
      <c r="T2" s="3223"/>
      <c r="U2" s="3223"/>
      <c r="V2" s="3223"/>
      <c r="W2" s="3239"/>
      <c r="Y2" s="3223"/>
      <c r="AA2" s="3223"/>
      <c r="AB2" s="3223"/>
      <c r="AC2" s="3239"/>
      <c r="AD2" s="3223"/>
      <c r="AE2" s="3223"/>
      <c r="AF2" s="3223"/>
      <c r="AG2" s="3223"/>
      <c r="AH2" s="3223"/>
      <c r="AI2" s="3223"/>
      <c r="AJ2" s="3223"/>
      <c r="AK2" s="3223"/>
      <c r="AL2" s="3223"/>
      <c r="AM2" s="3223"/>
      <c r="AN2" s="3223"/>
      <c r="AO2" s="3223"/>
      <c r="AP2" s="3223"/>
      <c r="AQ2" s="3223"/>
      <c r="AR2" s="3223"/>
      <c r="AS2" s="3223"/>
      <c r="AT2" s="3223"/>
      <c r="AU2" s="3223"/>
      <c r="AV2" s="3223"/>
      <c r="AW2" s="3223"/>
      <c r="AX2" s="3223"/>
      <c r="AY2" s="3223"/>
      <c r="BD2" s="3223"/>
      <c r="BE2" s="3223"/>
      <c r="BF2" s="3223"/>
      <c r="BG2" s="3223"/>
      <c r="BH2" s="3223"/>
      <c r="BI2" s="3223"/>
      <c r="BJ2" s="3223"/>
      <c r="BK2" s="3223"/>
      <c r="BL2" s="3223"/>
      <c r="BM2" s="3223"/>
      <c r="BN2" s="3223"/>
      <c r="BO2" s="3223"/>
      <c r="BP2" s="3223"/>
      <c r="BQ2" s="3223"/>
      <c r="BR2" s="3223"/>
      <c r="BS2" s="3223"/>
      <c r="BT2" s="3223"/>
      <c r="BU2" s="3223"/>
      <c r="BV2" s="3223"/>
    </row>
    <row r="3" spans="1:76" s="183" customFormat="1" ht="18.75" x14ac:dyDescent="0.25">
      <c r="B3" s="220"/>
      <c r="C3" s="3261" t="s">
        <v>175</v>
      </c>
      <c r="D3" s="6222" t="s">
        <v>1470</v>
      </c>
      <c r="E3" s="6223"/>
      <c r="F3" s="6239" t="s">
        <v>1526</v>
      </c>
      <c r="G3" s="6239"/>
      <c r="H3" s="6231" t="s">
        <v>15</v>
      </c>
      <c r="I3" s="6231"/>
      <c r="J3" s="6239" t="s">
        <v>1620</v>
      </c>
      <c r="K3" s="6239"/>
      <c r="L3" s="6213" t="s">
        <v>658</v>
      </c>
      <c r="M3" s="6213"/>
      <c r="N3" s="6335" t="s">
        <v>1689</v>
      </c>
      <c r="O3" s="6335"/>
      <c r="P3" s="6231" t="s">
        <v>18</v>
      </c>
      <c r="Q3" s="6231"/>
      <c r="R3" s="6335" t="s">
        <v>1731</v>
      </c>
      <c r="S3" s="6335"/>
      <c r="T3" s="6231" t="s">
        <v>19</v>
      </c>
      <c r="U3" s="6231"/>
      <c r="V3" s="6239" t="s">
        <v>1766</v>
      </c>
      <c r="W3" s="6239"/>
      <c r="X3" s="6336" t="s">
        <v>682</v>
      </c>
      <c r="Y3" s="6337"/>
      <c r="Z3" s="6338" t="s">
        <v>520</v>
      </c>
      <c r="AA3" s="6339"/>
      <c r="AB3" s="6335" t="s">
        <v>1831</v>
      </c>
      <c r="AC3" s="6335"/>
      <c r="AD3" s="6231" t="s">
        <v>26</v>
      </c>
      <c r="AE3" s="6231"/>
      <c r="AF3" s="6335" t="s">
        <v>1863</v>
      </c>
      <c r="AG3" s="6335"/>
      <c r="AH3" s="6231" t="s">
        <v>29</v>
      </c>
      <c r="AI3" s="6231"/>
      <c r="AJ3" s="6239" t="s">
        <v>1888</v>
      </c>
      <c r="AK3" s="6239"/>
      <c r="AL3" s="6336" t="s">
        <v>684</v>
      </c>
      <c r="AM3" s="6337"/>
      <c r="AN3" s="6231" t="s">
        <v>1890</v>
      </c>
      <c r="AO3" s="6231"/>
      <c r="AP3" s="6335" t="s">
        <v>1918</v>
      </c>
      <c r="AQ3" s="6335"/>
      <c r="AR3" s="6231" t="s">
        <v>30</v>
      </c>
      <c r="AS3" s="6231"/>
      <c r="AT3" s="6335" t="s">
        <v>1940</v>
      </c>
      <c r="AU3" s="6335"/>
      <c r="AV3" s="6231" t="s">
        <v>32</v>
      </c>
      <c r="AW3" s="6231"/>
      <c r="AX3" s="6335" t="s">
        <v>1965</v>
      </c>
      <c r="AY3" s="6335"/>
      <c r="AZ3" s="6336" t="s">
        <v>685</v>
      </c>
      <c r="BA3" s="6337"/>
      <c r="BB3" s="6338" t="s">
        <v>558</v>
      </c>
      <c r="BC3" s="6339"/>
      <c r="BD3" s="6231" t="s">
        <v>1513</v>
      </c>
      <c r="BE3" s="6231"/>
      <c r="BF3" s="3223"/>
      <c r="BG3" s="3223"/>
      <c r="BH3" s="3223"/>
      <c r="BI3" s="3223"/>
      <c r="BJ3" s="3223"/>
      <c r="BK3" s="3223"/>
      <c r="BL3" s="3223"/>
      <c r="BM3" s="3223"/>
      <c r="BN3" s="3223"/>
      <c r="BO3" s="3223"/>
      <c r="BP3" s="3223"/>
      <c r="BQ3" s="3223"/>
      <c r="BR3" s="3223"/>
      <c r="BS3" s="3223"/>
      <c r="BT3" s="3223"/>
      <c r="BU3" s="3223"/>
      <c r="BV3" s="3223"/>
    </row>
    <row r="4" spans="1:76" ht="18.75" x14ac:dyDescent="0.3">
      <c r="B4" s="6344" t="s">
        <v>1768</v>
      </c>
      <c r="C4" s="3255"/>
      <c r="D4" s="3221" t="s">
        <v>177</v>
      </c>
      <c r="E4" s="3221" t="s">
        <v>178</v>
      </c>
      <c r="F4" s="3221" t="s">
        <v>177</v>
      </c>
      <c r="G4" s="3221" t="s">
        <v>178</v>
      </c>
      <c r="H4" s="3224" t="s">
        <v>177</v>
      </c>
      <c r="I4" s="3224" t="s">
        <v>178</v>
      </c>
      <c r="J4" s="335" t="s">
        <v>177</v>
      </c>
      <c r="K4" s="3221" t="s">
        <v>178</v>
      </c>
      <c r="L4" s="3222" t="s">
        <v>177</v>
      </c>
      <c r="M4" s="3222" t="s">
        <v>178</v>
      </c>
      <c r="N4" s="335" t="s">
        <v>177</v>
      </c>
      <c r="O4" s="3221" t="s">
        <v>178</v>
      </c>
      <c r="P4" s="3224" t="s">
        <v>177</v>
      </c>
      <c r="Q4" s="3224" t="s">
        <v>178</v>
      </c>
      <c r="R4" s="335" t="s">
        <v>177</v>
      </c>
      <c r="S4" s="3262" t="s">
        <v>178</v>
      </c>
      <c r="T4" s="3224" t="s">
        <v>177</v>
      </c>
      <c r="U4" s="3224" t="s">
        <v>178</v>
      </c>
      <c r="V4" s="3308" t="s">
        <v>177</v>
      </c>
      <c r="W4" s="3304" t="s">
        <v>178</v>
      </c>
      <c r="X4" s="3630" t="s">
        <v>177</v>
      </c>
      <c r="Y4" s="3306" t="s">
        <v>178</v>
      </c>
      <c r="Z4" s="4086" t="s">
        <v>177</v>
      </c>
      <c r="AA4" s="3570" t="s">
        <v>178</v>
      </c>
      <c r="AB4" s="4063" t="s">
        <v>177</v>
      </c>
      <c r="AC4" s="3262" t="s">
        <v>178</v>
      </c>
      <c r="AD4" s="4061" t="s">
        <v>177</v>
      </c>
      <c r="AE4" s="4061" t="s">
        <v>178</v>
      </c>
      <c r="AF4" s="4165" t="s">
        <v>177</v>
      </c>
      <c r="AG4" s="3262" t="s">
        <v>178</v>
      </c>
      <c r="AH4" s="4163" t="s">
        <v>177</v>
      </c>
      <c r="AI4" s="4163" t="s">
        <v>178</v>
      </c>
      <c r="AJ4" s="4285" t="s">
        <v>177</v>
      </c>
      <c r="AK4" s="4278" t="s">
        <v>178</v>
      </c>
      <c r="AL4" s="3630" t="s">
        <v>177</v>
      </c>
      <c r="AM4" s="4281" t="s">
        <v>178</v>
      </c>
      <c r="AN4" s="4279" t="s">
        <v>177</v>
      </c>
      <c r="AO4" s="4279" t="s">
        <v>178</v>
      </c>
      <c r="AP4" s="4404" t="s">
        <v>177</v>
      </c>
      <c r="AQ4" s="3262" t="s">
        <v>178</v>
      </c>
      <c r="AR4" s="4402" t="s">
        <v>177</v>
      </c>
      <c r="AS4" s="4402" t="s">
        <v>178</v>
      </c>
      <c r="AT4" s="4646" t="s">
        <v>177</v>
      </c>
      <c r="AU4" s="3262" t="s">
        <v>178</v>
      </c>
      <c r="AV4" s="4642" t="s">
        <v>177</v>
      </c>
      <c r="AW4" s="4642" t="s">
        <v>178</v>
      </c>
      <c r="AX4" s="5118" t="s">
        <v>177</v>
      </c>
      <c r="AY4" s="3262" t="s">
        <v>178</v>
      </c>
      <c r="AZ4" s="3630" t="s">
        <v>177</v>
      </c>
      <c r="BA4" s="5240" t="s">
        <v>178</v>
      </c>
      <c r="BB4" s="5247" t="s">
        <v>177</v>
      </c>
      <c r="BC4" s="5247" t="s">
        <v>178</v>
      </c>
      <c r="BD4" s="5113" t="s">
        <v>177</v>
      </c>
      <c r="BE4" s="5113" t="s">
        <v>178</v>
      </c>
      <c r="BF4" s="3223"/>
      <c r="BG4" s="3223"/>
      <c r="BH4" s="3223"/>
      <c r="BI4" s="3223"/>
      <c r="BJ4" s="3223"/>
      <c r="BK4" s="3223"/>
      <c r="BL4" s="3223"/>
      <c r="BM4" s="3223"/>
      <c r="BN4" s="3223"/>
      <c r="BO4" s="3223"/>
      <c r="BP4" s="3223"/>
      <c r="BQ4" s="3223"/>
      <c r="BR4" s="3223"/>
      <c r="BS4" s="3223"/>
      <c r="BT4" s="3223"/>
      <c r="BU4" s="3223"/>
      <c r="BV4" s="3223"/>
    </row>
    <row r="5" spans="1:76" ht="18.75" x14ac:dyDescent="0.25">
      <c r="B5" s="6345"/>
      <c r="C5" s="3247" t="s">
        <v>810</v>
      </c>
      <c r="D5" s="2385"/>
      <c r="E5" s="3218">
        <v>276525</v>
      </c>
      <c r="F5" s="3218"/>
      <c r="G5" s="3218">
        <v>229312</v>
      </c>
      <c r="H5" s="3220">
        <f>+D5+F5</f>
        <v>0</v>
      </c>
      <c r="I5" s="3220">
        <f>+E5+G5</f>
        <v>505837</v>
      </c>
      <c r="J5" s="3218"/>
      <c r="K5" s="3218">
        <v>234889</v>
      </c>
      <c r="L5" s="3219">
        <f>+H5+J5</f>
        <v>0</v>
      </c>
      <c r="M5" s="3592">
        <f t="shared" ref="M5:M23" si="0">E5+G5+K5</f>
        <v>740726</v>
      </c>
      <c r="N5" s="3257"/>
      <c r="O5" s="3218">
        <v>299399</v>
      </c>
      <c r="P5" s="3220">
        <f>+L5+N5</f>
        <v>0</v>
      </c>
      <c r="Q5" s="3220">
        <f>+M5+O5</f>
        <v>1040125</v>
      </c>
      <c r="R5" s="3257"/>
      <c r="S5" s="481">
        <v>275473</v>
      </c>
      <c r="T5" s="3224">
        <f>+P5+R5</f>
        <v>0</v>
      </c>
      <c r="U5" s="3224">
        <f>+Q5+S5</f>
        <v>1315598</v>
      </c>
      <c r="V5" s="3302"/>
      <c r="W5" s="3302">
        <v>263900</v>
      </c>
      <c r="X5" s="3631"/>
      <c r="Y5" s="3307">
        <f>O5+S5+W5</f>
        <v>838772</v>
      </c>
      <c r="Z5" s="592"/>
      <c r="AA5" s="592">
        <f>M5+Y5</f>
        <v>1579498</v>
      </c>
      <c r="AB5" s="3257"/>
      <c r="AC5" s="481">
        <v>321591</v>
      </c>
      <c r="AD5" s="4061"/>
      <c r="AE5" s="4061">
        <f>+AA5+AC5</f>
        <v>1901089</v>
      </c>
      <c r="AF5" s="3257"/>
      <c r="AG5" s="481">
        <v>291538</v>
      </c>
      <c r="AH5" s="4163"/>
      <c r="AI5" s="4163">
        <f>+AE5+AG5</f>
        <v>2192627</v>
      </c>
      <c r="AJ5" s="4275"/>
      <c r="AK5" s="4275">
        <v>274054</v>
      </c>
      <c r="AL5" s="3631"/>
      <c r="AM5" s="4284">
        <f>AC5+AG5+AK5</f>
        <v>887183</v>
      </c>
      <c r="AN5" s="4279"/>
      <c r="AO5" s="4279">
        <f>AI5+AK5</f>
        <v>2466681</v>
      </c>
      <c r="AP5" s="3257"/>
      <c r="AQ5" s="481">
        <v>262122</v>
      </c>
      <c r="AR5" s="4402"/>
      <c r="AS5" s="4402">
        <f>+AO5+AQ5</f>
        <v>2728803</v>
      </c>
      <c r="AT5" s="3257"/>
      <c r="AU5" s="481">
        <v>268225</v>
      </c>
      <c r="AV5" s="4642"/>
      <c r="AW5" s="4642">
        <f>+AS5+AU5</f>
        <v>2997028</v>
      </c>
      <c r="AX5" s="3257"/>
      <c r="AY5" s="481">
        <v>266249</v>
      </c>
      <c r="AZ5" s="3631"/>
      <c r="BA5" s="5238">
        <f>AQ5+AU5+AY5</f>
        <v>796596</v>
      </c>
      <c r="BB5" s="592"/>
      <c r="BC5" s="592">
        <f>AM5+BA5</f>
        <v>1683779</v>
      </c>
      <c r="BD5" s="5113"/>
      <c r="BE5" s="5113">
        <f>+AW5+AY5</f>
        <v>3263277</v>
      </c>
      <c r="BF5" s="5730"/>
      <c r="BG5" s="2258"/>
      <c r="BH5" s="3223"/>
      <c r="BI5" s="3223"/>
      <c r="BJ5" s="3223"/>
      <c r="BK5" s="3223"/>
      <c r="BL5" s="3223"/>
      <c r="BM5" s="3223"/>
      <c r="BN5" s="3223"/>
      <c r="BO5" s="3223"/>
      <c r="BP5" s="3223"/>
      <c r="BQ5" s="3223"/>
      <c r="BR5" s="3223"/>
      <c r="BS5" s="3223"/>
      <c r="BT5" s="3223"/>
      <c r="BU5" s="3223"/>
      <c r="BV5" s="3223"/>
    </row>
    <row r="6" spans="1:76" ht="18.75" x14ac:dyDescent="0.25">
      <c r="B6" s="6345"/>
      <c r="C6" s="3247" t="s">
        <v>1246</v>
      </c>
      <c r="D6" s="2385"/>
      <c r="E6" s="3218">
        <v>9904</v>
      </c>
      <c r="F6" s="3218"/>
      <c r="G6" s="3218">
        <v>13122</v>
      </c>
      <c r="H6" s="3220">
        <f t="shared" ref="H6:H62" si="1">+D6+F6</f>
        <v>0</v>
      </c>
      <c r="I6" s="3220">
        <f t="shared" ref="I6:I62" si="2">+E6+G6</f>
        <v>23026</v>
      </c>
      <c r="J6" s="3218"/>
      <c r="K6" s="3218">
        <v>11494</v>
      </c>
      <c r="L6" s="3219">
        <f t="shared" ref="L6:L62" si="3">+H6+J6</f>
        <v>0</v>
      </c>
      <c r="M6" s="3592">
        <f t="shared" si="0"/>
        <v>34520</v>
      </c>
      <c r="N6" s="3257"/>
      <c r="O6" s="3218">
        <v>8470</v>
      </c>
      <c r="P6" s="3220">
        <f t="shared" ref="P6:P62" si="4">+L6+N6</f>
        <v>0</v>
      </c>
      <c r="Q6" s="3220">
        <f t="shared" ref="Q6:Q62" si="5">+M6+O6</f>
        <v>42990</v>
      </c>
      <c r="R6" s="3257"/>
      <c r="S6" s="481">
        <v>6528</v>
      </c>
      <c r="T6" s="3224">
        <f t="shared" ref="T6:T62" si="6">+P6+R6</f>
        <v>0</v>
      </c>
      <c r="U6" s="3224">
        <f t="shared" ref="U6:U62" si="7">+Q6+S6</f>
        <v>49518</v>
      </c>
      <c r="V6" s="3302"/>
      <c r="W6" s="3302">
        <v>9455</v>
      </c>
      <c r="X6" s="3631"/>
      <c r="Y6" s="3307">
        <f t="shared" ref="Y6:Y23" si="8">O6+S6+W6</f>
        <v>24453</v>
      </c>
      <c r="Z6" s="592"/>
      <c r="AA6" s="592">
        <f t="shared" ref="AA6:AA21" si="9">M6+Y6</f>
        <v>58973</v>
      </c>
      <c r="AB6" s="3257"/>
      <c r="AC6" s="481">
        <v>6218</v>
      </c>
      <c r="AD6" s="4061"/>
      <c r="AE6" s="4061">
        <f t="shared" ref="AE6:AE23" si="10">+AA6+AC6</f>
        <v>65191</v>
      </c>
      <c r="AF6" s="3257"/>
      <c r="AG6" s="481">
        <v>8533</v>
      </c>
      <c r="AH6" s="4163"/>
      <c r="AI6" s="4163">
        <f t="shared" ref="AI6:AI23" si="11">+AE6+AG6</f>
        <v>73724</v>
      </c>
      <c r="AJ6" s="4275"/>
      <c r="AK6" s="4275">
        <v>13626</v>
      </c>
      <c r="AL6" s="3631"/>
      <c r="AM6" s="4284">
        <f t="shared" ref="AM6:AM11" si="12">AC6+AG6+AK6</f>
        <v>28377</v>
      </c>
      <c r="AN6" s="4279"/>
      <c r="AO6" s="4279">
        <f t="shared" ref="AO6:AO8" si="13">AI6+AK6</f>
        <v>87350</v>
      </c>
      <c r="AP6" s="3257"/>
      <c r="AQ6" s="481">
        <v>17112</v>
      </c>
      <c r="AR6" s="4402"/>
      <c r="AS6" s="4402">
        <f t="shared" ref="AS6:AS23" si="14">+AO6+AQ6</f>
        <v>104462</v>
      </c>
      <c r="AT6" s="3257"/>
      <c r="AU6" s="481">
        <v>10415</v>
      </c>
      <c r="AV6" s="4642"/>
      <c r="AW6" s="4642">
        <f t="shared" ref="AW6:AW23" si="15">+AS6+AU6</f>
        <v>114877</v>
      </c>
      <c r="AX6" s="3257"/>
      <c r="AY6" s="481">
        <v>8855</v>
      </c>
      <c r="AZ6" s="3631"/>
      <c r="BA6" s="5238">
        <f t="shared" ref="BA6:BA11" si="16">AQ6+AU6+AY6</f>
        <v>36382</v>
      </c>
      <c r="BB6" s="592"/>
      <c r="BC6" s="592">
        <f t="shared" ref="BC6:BC62" si="17">AM6+BA6</f>
        <v>64759</v>
      </c>
      <c r="BD6" s="5113"/>
      <c r="BE6" s="5113">
        <f t="shared" ref="BE6:BE23" si="18">+AW6+AY6</f>
        <v>123732</v>
      </c>
      <c r="BF6" s="5742"/>
      <c r="BG6" s="2258"/>
      <c r="BH6" s="3223"/>
      <c r="BI6" s="3223"/>
      <c r="BJ6" s="3223"/>
      <c r="BK6" s="3223"/>
      <c r="BL6" s="3223"/>
      <c r="BM6" s="3223"/>
      <c r="BN6" s="3223"/>
      <c r="BO6" s="3223"/>
      <c r="BP6" s="3223"/>
      <c r="BQ6" s="3223"/>
      <c r="BR6" s="3223"/>
      <c r="BS6" s="3223"/>
      <c r="BT6" s="3223"/>
      <c r="BU6" s="3223"/>
      <c r="BV6" s="3223"/>
    </row>
    <row r="7" spans="1:76" ht="18.75" x14ac:dyDescent="0.25">
      <c r="B7" s="6345"/>
      <c r="C7" s="3247" t="s">
        <v>1247</v>
      </c>
      <c r="D7" s="2385"/>
      <c r="E7" s="3218">
        <v>4905</v>
      </c>
      <c r="F7" s="3218"/>
      <c r="G7" s="3218">
        <v>6522</v>
      </c>
      <c r="H7" s="3220">
        <f t="shared" si="1"/>
        <v>0</v>
      </c>
      <c r="I7" s="3220">
        <f t="shared" si="2"/>
        <v>11427</v>
      </c>
      <c r="J7" s="3218"/>
      <c r="K7" s="3218">
        <v>5584</v>
      </c>
      <c r="L7" s="3219">
        <f t="shared" si="3"/>
        <v>0</v>
      </c>
      <c r="M7" s="3592">
        <f t="shared" si="0"/>
        <v>17011</v>
      </c>
      <c r="N7" s="3257"/>
      <c r="O7" s="3218">
        <v>4699</v>
      </c>
      <c r="P7" s="3220">
        <f t="shared" si="4"/>
        <v>0</v>
      </c>
      <c r="Q7" s="3220">
        <f t="shared" si="5"/>
        <v>21710</v>
      </c>
      <c r="R7" s="3257"/>
      <c r="S7" s="481">
        <v>2522</v>
      </c>
      <c r="T7" s="3224">
        <f t="shared" si="6"/>
        <v>0</v>
      </c>
      <c r="U7" s="3224">
        <f t="shared" si="7"/>
        <v>24232</v>
      </c>
      <c r="V7" s="3302"/>
      <c r="W7" s="3302">
        <v>6988</v>
      </c>
      <c r="X7" s="3631"/>
      <c r="Y7" s="3307">
        <f t="shared" si="8"/>
        <v>14209</v>
      </c>
      <c r="Z7" s="592"/>
      <c r="AA7" s="592">
        <f t="shared" si="9"/>
        <v>31220</v>
      </c>
      <c r="AB7" s="3257"/>
      <c r="AC7" s="481">
        <v>2120</v>
      </c>
      <c r="AD7" s="4061"/>
      <c r="AE7" s="4061">
        <f t="shared" si="10"/>
        <v>33340</v>
      </c>
      <c r="AF7" s="3257"/>
      <c r="AG7" s="481">
        <v>2185</v>
      </c>
      <c r="AH7" s="4163"/>
      <c r="AI7" s="4163">
        <f t="shared" si="11"/>
        <v>35525</v>
      </c>
      <c r="AJ7" s="4275"/>
      <c r="AK7" s="4275">
        <v>5931</v>
      </c>
      <c r="AL7" s="3631"/>
      <c r="AM7" s="4284">
        <f t="shared" si="12"/>
        <v>10236</v>
      </c>
      <c r="AN7" s="4279"/>
      <c r="AO7" s="4279">
        <f t="shared" si="13"/>
        <v>41456</v>
      </c>
      <c r="AP7" s="3257"/>
      <c r="AQ7" s="481">
        <v>2355</v>
      </c>
      <c r="AR7" s="4402"/>
      <c r="AS7" s="4402">
        <f t="shared" si="14"/>
        <v>43811</v>
      </c>
      <c r="AT7" s="3257"/>
      <c r="AU7" s="481">
        <v>3055</v>
      </c>
      <c r="AV7" s="4642"/>
      <c r="AW7" s="4642">
        <f t="shared" si="15"/>
        <v>46866</v>
      </c>
      <c r="AX7" s="3257"/>
      <c r="AY7" s="481">
        <v>7095</v>
      </c>
      <c r="AZ7" s="3631"/>
      <c r="BA7" s="5238">
        <f t="shared" si="16"/>
        <v>12505</v>
      </c>
      <c r="BB7" s="592"/>
      <c r="BC7" s="592">
        <f t="shared" si="17"/>
        <v>22741</v>
      </c>
      <c r="BD7" s="5113"/>
      <c r="BE7" s="5113">
        <f t="shared" si="18"/>
        <v>53961</v>
      </c>
      <c r="BF7" s="5742"/>
      <c r="BG7" s="2258"/>
      <c r="BH7" s="3223"/>
      <c r="BI7" s="3223"/>
      <c r="BJ7" s="3223"/>
      <c r="BK7" s="3223"/>
      <c r="BL7" s="3223"/>
      <c r="BM7" s="3223"/>
      <c r="BN7" s="3223"/>
      <c r="BO7" s="3223"/>
      <c r="BP7" s="3223"/>
      <c r="BQ7" s="3223"/>
      <c r="BR7" s="3223"/>
      <c r="BS7" s="3223"/>
      <c r="BT7" s="3223"/>
      <c r="BU7" s="3223"/>
      <c r="BV7" s="3223"/>
    </row>
    <row r="8" spans="1:76" ht="18.75" x14ac:dyDescent="0.25">
      <c r="B8" s="6345"/>
      <c r="C8" s="3248" t="s">
        <v>1312</v>
      </c>
      <c r="D8" s="3242"/>
      <c r="E8" s="3256">
        <f>SUM(E5:E7)</f>
        <v>291334</v>
      </c>
      <c r="F8" s="3256">
        <f t="shared" ref="F8:S8" si="19">SUM(F5:F7)</f>
        <v>0</v>
      </c>
      <c r="G8" s="3256">
        <f t="shared" si="19"/>
        <v>248956</v>
      </c>
      <c r="H8" s="3263">
        <f t="shared" si="1"/>
        <v>0</v>
      </c>
      <c r="I8" s="3263">
        <f t="shared" si="2"/>
        <v>540290</v>
      </c>
      <c r="J8" s="3256">
        <f t="shared" si="19"/>
        <v>0</v>
      </c>
      <c r="K8" s="3256">
        <f t="shared" si="19"/>
        <v>251967</v>
      </c>
      <c r="L8" s="3264">
        <f t="shared" si="3"/>
        <v>0</v>
      </c>
      <c r="M8" s="3264">
        <f t="shared" si="0"/>
        <v>792257</v>
      </c>
      <c r="N8" s="3256">
        <f t="shared" si="19"/>
        <v>0</v>
      </c>
      <c r="O8" s="3256">
        <f t="shared" si="19"/>
        <v>312568</v>
      </c>
      <c r="P8" s="3263">
        <f t="shared" si="4"/>
        <v>0</v>
      </c>
      <c r="Q8" s="3263">
        <f t="shared" si="5"/>
        <v>1104825</v>
      </c>
      <c r="R8" s="3256">
        <f t="shared" si="19"/>
        <v>0</v>
      </c>
      <c r="S8" s="3256">
        <f t="shared" si="19"/>
        <v>284523</v>
      </c>
      <c r="T8" s="3265">
        <f t="shared" si="6"/>
        <v>0</v>
      </c>
      <c r="U8" s="3265">
        <f t="shared" si="7"/>
        <v>1389348</v>
      </c>
      <c r="V8" s="3256">
        <f t="shared" ref="V8:W8" si="20">SUM(V5:V7)</f>
        <v>0</v>
      </c>
      <c r="W8" s="3256">
        <f t="shared" si="20"/>
        <v>280343</v>
      </c>
      <c r="X8" s="3632"/>
      <c r="Y8" s="3629">
        <f t="shared" si="8"/>
        <v>877434</v>
      </c>
      <c r="Z8" s="3606"/>
      <c r="AA8" s="3606">
        <f t="shared" si="9"/>
        <v>1669691</v>
      </c>
      <c r="AB8" s="3256">
        <f t="shared" ref="AB8:AC8" si="21">SUM(AB5:AB7)</f>
        <v>0</v>
      </c>
      <c r="AC8" s="3256">
        <f t="shared" si="21"/>
        <v>329929</v>
      </c>
      <c r="AD8" s="3265"/>
      <c r="AE8" s="3265">
        <f t="shared" si="10"/>
        <v>1999620</v>
      </c>
      <c r="AF8" s="3256">
        <f t="shared" ref="AF8:AG8" si="22">SUM(AF5:AF7)</f>
        <v>0</v>
      </c>
      <c r="AG8" s="3256">
        <f t="shared" si="22"/>
        <v>302256</v>
      </c>
      <c r="AH8" s="3265"/>
      <c r="AI8" s="3265">
        <f t="shared" si="11"/>
        <v>2301876</v>
      </c>
      <c r="AJ8" s="3256">
        <f t="shared" ref="AJ8:AK8" si="23">SUM(AJ5:AJ7)</f>
        <v>0</v>
      </c>
      <c r="AK8" s="3256">
        <f t="shared" si="23"/>
        <v>293611</v>
      </c>
      <c r="AL8" s="3632"/>
      <c r="AM8" s="3629">
        <f t="shared" si="12"/>
        <v>925796</v>
      </c>
      <c r="AN8" s="3265"/>
      <c r="AO8" s="3265">
        <f t="shared" si="13"/>
        <v>2595487</v>
      </c>
      <c r="AP8" s="3256">
        <f t="shared" ref="AP8:AQ8" si="24">SUM(AP5:AP7)</f>
        <v>0</v>
      </c>
      <c r="AQ8" s="3256">
        <f t="shared" si="24"/>
        <v>281589</v>
      </c>
      <c r="AR8" s="3265"/>
      <c r="AS8" s="3265">
        <f t="shared" si="14"/>
        <v>2877076</v>
      </c>
      <c r="AT8" s="3256">
        <f t="shared" ref="AT8:AU8" si="25">SUM(AT5:AT7)</f>
        <v>0</v>
      </c>
      <c r="AU8" s="3256">
        <f t="shared" si="25"/>
        <v>281695</v>
      </c>
      <c r="AV8" s="3265"/>
      <c r="AW8" s="3265">
        <f t="shared" si="15"/>
        <v>3158771</v>
      </c>
      <c r="AX8" s="3256">
        <f t="shared" ref="AX8:AY8" si="26">SUM(AX5:AX7)</f>
        <v>0</v>
      </c>
      <c r="AY8" s="3256">
        <f t="shared" si="26"/>
        <v>282199</v>
      </c>
      <c r="AZ8" s="3632"/>
      <c r="BA8" s="3629">
        <f t="shared" si="16"/>
        <v>845483</v>
      </c>
      <c r="BB8" s="3606"/>
      <c r="BC8" s="5272">
        <f t="shared" si="17"/>
        <v>1771279</v>
      </c>
      <c r="BD8" s="3265"/>
      <c r="BE8" s="3265">
        <f t="shared" si="18"/>
        <v>3440970</v>
      </c>
      <c r="BF8" s="5742"/>
      <c r="BG8" s="2258"/>
      <c r="BH8" s="3223"/>
      <c r="BI8" s="3223"/>
      <c r="BJ8" s="3223"/>
      <c r="BK8" s="3223"/>
      <c r="BL8" s="3223"/>
      <c r="BM8" s="3223"/>
      <c r="BN8" s="3223"/>
      <c r="BO8" s="3223"/>
      <c r="BP8" s="3223"/>
      <c r="BQ8" s="3223"/>
      <c r="BR8" s="3223"/>
      <c r="BS8" s="3223"/>
      <c r="BT8" s="3223"/>
      <c r="BU8" s="3223"/>
      <c r="BV8" s="3223"/>
    </row>
    <row r="9" spans="1:76" ht="18.75" x14ac:dyDescent="0.25">
      <c r="B9" s="6345"/>
      <c r="C9" s="3247" t="s">
        <v>812</v>
      </c>
      <c r="D9" s="2385"/>
      <c r="E9" s="3218">
        <v>18205</v>
      </c>
      <c r="F9" s="3218"/>
      <c r="G9" s="3218">
        <v>22455</v>
      </c>
      <c r="H9" s="3220">
        <f t="shared" si="1"/>
        <v>0</v>
      </c>
      <c r="I9" s="3220">
        <f t="shared" si="2"/>
        <v>40660</v>
      </c>
      <c r="J9" s="3218"/>
      <c r="K9" s="3218">
        <v>16144</v>
      </c>
      <c r="L9" s="3219">
        <f t="shared" si="3"/>
        <v>0</v>
      </c>
      <c r="M9" s="3592">
        <f t="shared" si="0"/>
        <v>56804</v>
      </c>
      <c r="N9" s="3257"/>
      <c r="O9" s="3218">
        <v>21988</v>
      </c>
      <c r="P9" s="3220">
        <f t="shared" si="4"/>
        <v>0</v>
      </c>
      <c r="Q9" s="3220">
        <f t="shared" si="5"/>
        <v>78792</v>
      </c>
      <c r="R9" s="3257"/>
      <c r="S9" s="481">
        <v>27100</v>
      </c>
      <c r="T9" s="3224">
        <f t="shared" si="6"/>
        <v>0</v>
      </c>
      <c r="U9" s="3224">
        <f t="shared" si="7"/>
        <v>105892</v>
      </c>
      <c r="V9" s="3302"/>
      <c r="W9" s="3302">
        <v>16801</v>
      </c>
      <c r="X9" s="3631"/>
      <c r="Y9" s="3307">
        <f t="shared" si="8"/>
        <v>65889</v>
      </c>
      <c r="Z9" s="592"/>
      <c r="AA9" s="592">
        <f t="shared" si="9"/>
        <v>122693</v>
      </c>
      <c r="AB9" s="3257"/>
      <c r="AC9" s="481">
        <v>29712</v>
      </c>
      <c r="AD9" s="4061"/>
      <c r="AE9" s="4061">
        <f t="shared" si="10"/>
        <v>152405</v>
      </c>
      <c r="AF9" s="3257"/>
      <c r="AG9" s="481">
        <v>18308</v>
      </c>
      <c r="AH9" s="4163"/>
      <c r="AI9" s="4163">
        <f t="shared" si="11"/>
        <v>170713</v>
      </c>
      <c r="AJ9" s="4275"/>
      <c r="AK9" s="4275">
        <v>18424</v>
      </c>
      <c r="AL9" s="3631"/>
      <c r="AM9" s="4284">
        <f t="shared" si="12"/>
        <v>66444</v>
      </c>
      <c r="AN9" s="4279"/>
      <c r="AO9" s="4279">
        <f>AI9+AK9</f>
        <v>189137</v>
      </c>
      <c r="AP9" s="3257"/>
      <c r="AQ9" s="481">
        <v>12858</v>
      </c>
      <c r="AR9" s="4402"/>
      <c r="AS9" s="4402">
        <f t="shared" si="14"/>
        <v>201995</v>
      </c>
      <c r="AT9" s="3257"/>
      <c r="AU9" s="481">
        <v>10458</v>
      </c>
      <c r="AV9" s="4642"/>
      <c r="AW9" s="4642">
        <f t="shared" si="15"/>
        <v>212453</v>
      </c>
      <c r="AX9" s="3257"/>
      <c r="AY9" s="481">
        <v>8344</v>
      </c>
      <c r="AZ9" s="3631"/>
      <c r="BA9" s="5238">
        <f t="shared" si="16"/>
        <v>31660</v>
      </c>
      <c r="BB9" s="592"/>
      <c r="BC9" s="592">
        <f t="shared" si="17"/>
        <v>98104</v>
      </c>
      <c r="BD9" s="5113"/>
      <c r="BE9" s="5113">
        <f t="shared" si="18"/>
        <v>220797</v>
      </c>
      <c r="BF9" s="5742"/>
      <c r="BG9" s="2258"/>
      <c r="BH9" s="3223"/>
      <c r="BI9" s="3223"/>
      <c r="BJ9" s="3223"/>
      <c r="BK9" s="3223"/>
      <c r="BL9" s="3223"/>
      <c r="BM9" s="3223"/>
      <c r="BN9" s="3223"/>
      <c r="BO9" s="3223"/>
      <c r="BP9" s="3223"/>
      <c r="BQ9" s="3223"/>
      <c r="BR9" s="3223"/>
      <c r="BS9" s="3223"/>
      <c r="BT9" s="3223"/>
      <c r="BU9" s="3223"/>
      <c r="BV9" s="3223"/>
    </row>
    <row r="10" spans="1:76" ht="18.75" x14ac:dyDescent="0.25">
      <c r="B10" s="6345"/>
      <c r="C10" s="3247" t="s">
        <v>811</v>
      </c>
      <c r="D10" s="2385"/>
      <c r="E10" s="3218">
        <v>31290</v>
      </c>
      <c r="F10" s="3218"/>
      <c r="G10" s="3218">
        <v>24998</v>
      </c>
      <c r="H10" s="3220">
        <f t="shared" si="1"/>
        <v>0</v>
      </c>
      <c r="I10" s="3220">
        <f t="shared" si="2"/>
        <v>56288</v>
      </c>
      <c r="J10" s="3218"/>
      <c r="K10" s="3218">
        <v>34925</v>
      </c>
      <c r="L10" s="3219">
        <f t="shared" si="3"/>
        <v>0</v>
      </c>
      <c r="M10" s="3592">
        <f t="shared" si="0"/>
        <v>91213</v>
      </c>
      <c r="N10" s="3257"/>
      <c r="O10" s="3218">
        <v>34155</v>
      </c>
      <c r="P10" s="3220">
        <f t="shared" si="4"/>
        <v>0</v>
      </c>
      <c r="Q10" s="3220">
        <f t="shared" si="5"/>
        <v>125368</v>
      </c>
      <c r="R10" s="3257"/>
      <c r="S10" s="481">
        <v>32082</v>
      </c>
      <c r="T10" s="3224">
        <f t="shared" si="6"/>
        <v>0</v>
      </c>
      <c r="U10" s="3224">
        <f t="shared" si="7"/>
        <v>157450</v>
      </c>
      <c r="V10" s="3302"/>
      <c r="W10" s="3302">
        <v>31945</v>
      </c>
      <c r="X10" s="3631"/>
      <c r="Y10" s="3307">
        <f t="shared" si="8"/>
        <v>98182</v>
      </c>
      <c r="Z10" s="592"/>
      <c r="AA10" s="592">
        <f t="shared" si="9"/>
        <v>189395</v>
      </c>
      <c r="AB10" s="3257"/>
      <c r="AC10" s="481">
        <v>30755</v>
      </c>
      <c r="AD10" s="4061"/>
      <c r="AE10" s="4061">
        <f t="shared" si="10"/>
        <v>220150</v>
      </c>
      <c r="AF10" s="3257"/>
      <c r="AG10" s="481">
        <v>32465</v>
      </c>
      <c r="AH10" s="4163"/>
      <c r="AI10" s="4163">
        <f t="shared" si="11"/>
        <v>252615</v>
      </c>
      <c r="AJ10" s="4275"/>
      <c r="AK10" s="4275">
        <v>28958</v>
      </c>
      <c r="AL10" s="3631"/>
      <c r="AM10" s="4284">
        <f t="shared" si="12"/>
        <v>92178</v>
      </c>
      <c r="AN10" s="4279"/>
      <c r="AO10" s="4279">
        <f t="shared" ref="AO10:AO23" si="27">AI10+AK10</f>
        <v>281573</v>
      </c>
      <c r="AP10" s="3257"/>
      <c r="AQ10" s="481">
        <v>25426</v>
      </c>
      <c r="AR10" s="4402"/>
      <c r="AS10" s="4402">
        <f t="shared" si="14"/>
        <v>306999</v>
      </c>
      <c r="AT10" s="3257"/>
      <c r="AU10" s="481">
        <v>27658</v>
      </c>
      <c r="AV10" s="4642"/>
      <c r="AW10" s="4642">
        <f t="shared" si="15"/>
        <v>334657</v>
      </c>
      <c r="AX10" s="3257"/>
      <c r="AY10" s="481">
        <v>27848</v>
      </c>
      <c r="AZ10" s="3631"/>
      <c r="BA10" s="5238">
        <f t="shared" si="16"/>
        <v>80932</v>
      </c>
      <c r="BB10" s="592"/>
      <c r="BC10" s="592">
        <f t="shared" si="17"/>
        <v>173110</v>
      </c>
      <c r="BD10" s="5113"/>
      <c r="BE10" s="5113">
        <f t="shared" si="18"/>
        <v>362505</v>
      </c>
      <c r="BF10" s="5742"/>
      <c r="BG10" s="2258"/>
      <c r="BH10" s="3223"/>
      <c r="BI10" s="3223"/>
      <c r="BJ10" s="3223"/>
      <c r="BK10" s="3223"/>
      <c r="BL10" s="3223"/>
      <c r="BM10" s="3223"/>
      <c r="BN10" s="3223"/>
      <c r="BO10" s="3223"/>
      <c r="BP10" s="3223"/>
      <c r="BQ10" s="3223"/>
      <c r="BR10" s="3223"/>
      <c r="BS10" s="3223"/>
      <c r="BT10" s="3223"/>
      <c r="BU10" s="3223"/>
      <c r="BV10" s="3223"/>
    </row>
    <row r="11" spans="1:76" ht="18.75" x14ac:dyDescent="0.25">
      <c r="B11" s="6345"/>
      <c r="C11" s="3247" t="s">
        <v>28</v>
      </c>
      <c r="D11" s="2385"/>
      <c r="E11" s="3218">
        <v>21055</v>
      </c>
      <c r="F11" s="3218"/>
      <c r="G11" s="3218">
        <v>17222</v>
      </c>
      <c r="H11" s="3220">
        <f t="shared" si="1"/>
        <v>0</v>
      </c>
      <c r="I11" s="3220">
        <f t="shared" si="2"/>
        <v>38277</v>
      </c>
      <c r="J11" s="3218"/>
      <c r="K11" s="3218">
        <v>15450</v>
      </c>
      <c r="L11" s="3219">
        <f t="shared" si="3"/>
        <v>0</v>
      </c>
      <c r="M11" s="3592">
        <f t="shared" si="0"/>
        <v>53727</v>
      </c>
      <c r="N11" s="3257"/>
      <c r="O11" s="3218">
        <v>17880</v>
      </c>
      <c r="P11" s="3220">
        <f t="shared" si="4"/>
        <v>0</v>
      </c>
      <c r="Q11" s="3220">
        <f t="shared" si="5"/>
        <v>71607</v>
      </c>
      <c r="R11" s="3257"/>
      <c r="S11" s="481">
        <v>16298</v>
      </c>
      <c r="T11" s="3224">
        <f t="shared" si="6"/>
        <v>0</v>
      </c>
      <c r="U11" s="3224">
        <f t="shared" si="7"/>
        <v>87905</v>
      </c>
      <c r="V11" s="3302"/>
      <c r="W11" s="3302">
        <v>16512</v>
      </c>
      <c r="X11" s="3631"/>
      <c r="Y11" s="3307">
        <f t="shared" si="8"/>
        <v>50690</v>
      </c>
      <c r="Z11" s="592"/>
      <c r="AA11" s="592">
        <f t="shared" si="9"/>
        <v>104417</v>
      </c>
      <c r="AB11" s="3257"/>
      <c r="AC11" s="481">
        <v>19575</v>
      </c>
      <c r="AD11" s="4061"/>
      <c r="AE11" s="4061">
        <f t="shared" si="10"/>
        <v>123992</v>
      </c>
      <c r="AF11" s="3257"/>
      <c r="AG11" s="481">
        <v>18118</v>
      </c>
      <c r="AH11" s="4163"/>
      <c r="AI11" s="4163">
        <f t="shared" si="11"/>
        <v>142110</v>
      </c>
      <c r="AJ11" s="4275"/>
      <c r="AK11" s="4275">
        <v>16688</v>
      </c>
      <c r="AL11" s="3631"/>
      <c r="AM11" s="4284">
        <f t="shared" si="12"/>
        <v>54381</v>
      </c>
      <c r="AN11" s="4279"/>
      <c r="AO11" s="4279">
        <f t="shared" si="27"/>
        <v>158798</v>
      </c>
      <c r="AP11" s="3257"/>
      <c r="AQ11" s="481">
        <v>16120</v>
      </c>
      <c r="AR11" s="4402"/>
      <c r="AS11" s="4402">
        <f t="shared" si="14"/>
        <v>174918</v>
      </c>
      <c r="AT11" s="3257"/>
      <c r="AU11" s="481">
        <v>17212</v>
      </c>
      <c r="AV11" s="4642"/>
      <c r="AW11" s="4642">
        <f t="shared" si="15"/>
        <v>192130</v>
      </c>
      <c r="AX11" s="3257"/>
      <c r="AY11" s="481">
        <v>14001</v>
      </c>
      <c r="AZ11" s="3631"/>
      <c r="BA11" s="5238">
        <f t="shared" si="16"/>
        <v>47333</v>
      </c>
      <c r="BB11" s="592"/>
      <c r="BC11" s="592">
        <f t="shared" si="17"/>
        <v>101714</v>
      </c>
      <c r="BD11" s="5113"/>
      <c r="BE11" s="5113">
        <f t="shared" si="18"/>
        <v>206131</v>
      </c>
      <c r="BF11" s="5742"/>
      <c r="BG11" s="2258"/>
      <c r="BH11" s="3223"/>
      <c r="BI11" s="3223"/>
      <c r="BJ11" s="3223"/>
      <c r="BK11" s="3223"/>
      <c r="BL11" s="3223"/>
      <c r="BM11" s="3223"/>
      <c r="BN11" s="3223"/>
      <c r="BO11" s="3223"/>
      <c r="BP11" s="3223"/>
      <c r="BQ11" s="3223"/>
      <c r="BR11" s="3223"/>
      <c r="BS11" s="3223"/>
      <c r="BT11" s="3223"/>
      <c r="BU11" s="3223"/>
      <c r="BV11" s="3223"/>
    </row>
    <row r="12" spans="1:76" ht="18.75" x14ac:dyDescent="0.25">
      <c r="B12" s="6345"/>
      <c r="C12" s="3247" t="s">
        <v>813</v>
      </c>
      <c r="D12" s="2385"/>
      <c r="E12" s="3218">
        <v>8246</v>
      </c>
      <c r="F12" s="3218"/>
      <c r="G12" s="3218">
        <v>7411</v>
      </c>
      <c r="H12" s="3220">
        <f t="shared" si="1"/>
        <v>0</v>
      </c>
      <c r="I12" s="3220">
        <f t="shared" si="2"/>
        <v>15657</v>
      </c>
      <c r="J12" s="3218"/>
      <c r="K12" s="3218">
        <v>323</v>
      </c>
      <c r="L12" s="3219">
        <f t="shared" si="3"/>
        <v>0</v>
      </c>
      <c r="M12" s="3592">
        <f t="shared" si="0"/>
        <v>15980</v>
      </c>
      <c r="N12" s="3257"/>
      <c r="O12" s="3218">
        <v>1369</v>
      </c>
      <c r="P12" s="3220">
        <f t="shared" si="4"/>
        <v>0</v>
      </c>
      <c r="Q12" s="3220">
        <f t="shared" si="5"/>
        <v>17349</v>
      </c>
      <c r="R12" s="3257"/>
      <c r="S12" s="481">
        <v>2087</v>
      </c>
      <c r="T12" s="3224">
        <f t="shared" si="6"/>
        <v>0</v>
      </c>
      <c r="U12" s="3224">
        <f t="shared" si="7"/>
        <v>19436</v>
      </c>
      <c r="V12" s="3302"/>
      <c r="W12" s="3302">
        <v>3688</v>
      </c>
      <c r="X12" s="3631"/>
      <c r="Y12" s="3307">
        <f>O12+S12+W12</f>
        <v>7144</v>
      </c>
      <c r="Z12" s="592"/>
      <c r="AA12" s="592">
        <f>M12+Y12</f>
        <v>23124</v>
      </c>
      <c r="AB12" s="3257"/>
      <c r="AC12" s="481">
        <v>3830</v>
      </c>
      <c r="AD12" s="4061"/>
      <c r="AE12" s="4061">
        <f t="shared" si="10"/>
        <v>26954</v>
      </c>
      <c r="AF12" s="3257"/>
      <c r="AG12" s="481">
        <v>3865</v>
      </c>
      <c r="AH12" s="4163"/>
      <c r="AI12" s="4163">
        <f t="shared" si="11"/>
        <v>30819</v>
      </c>
      <c r="AJ12" s="4275"/>
      <c r="AK12" s="4275">
        <v>3385</v>
      </c>
      <c r="AL12" s="3631"/>
      <c r="AM12" s="4284">
        <f>AC12+AG12+AK12</f>
        <v>11080</v>
      </c>
      <c r="AN12" s="4279"/>
      <c r="AO12" s="4279">
        <f t="shared" si="27"/>
        <v>34204</v>
      </c>
      <c r="AP12" s="3257"/>
      <c r="AQ12" s="481">
        <v>1350</v>
      </c>
      <c r="AR12" s="4402"/>
      <c r="AS12" s="4402">
        <f t="shared" si="14"/>
        <v>35554</v>
      </c>
      <c r="AT12" s="3257"/>
      <c r="AU12" s="481">
        <v>4195</v>
      </c>
      <c r="AV12" s="4642"/>
      <c r="AW12" s="4642">
        <f t="shared" si="15"/>
        <v>39749</v>
      </c>
      <c r="AX12" s="3257"/>
      <c r="AY12" s="481">
        <v>4831</v>
      </c>
      <c r="AZ12" s="3631"/>
      <c r="BA12" s="5238">
        <f>AQ12+AU12+AY12</f>
        <v>10376</v>
      </c>
      <c r="BB12" s="592"/>
      <c r="BC12" s="592">
        <f t="shared" si="17"/>
        <v>21456</v>
      </c>
      <c r="BD12" s="5113"/>
      <c r="BE12" s="5113">
        <f t="shared" si="18"/>
        <v>44580</v>
      </c>
      <c r="BF12" s="5742"/>
      <c r="BG12" s="2258"/>
      <c r="BH12" s="3223"/>
      <c r="BI12" s="3223"/>
      <c r="BJ12" s="3223"/>
      <c r="BK12" s="3223"/>
      <c r="BL12" s="3223"/>
      <c r="BM12" s="3223"/>
      <c r="BN12" s="3223"/>
      <c r="BO12" s="3223"/>
      <c r="BP12" s="3223"/>
      <c r="BQ12" s="3223"/>
      <c r="BR12" s="3223"/>
      <c r="BS12" s="3223"/>
      <c r="BT12" s="3223"/>
      <c r="BU12" s="3223"/>
      <c r="BV12" s="3223"/>
      <c r="BX12" s="2309"/>
    </row>
    <row r="13" spans="1:76" s="2450" customFormat="1" ht="18.75" x14ac:dyDescent="0.25">
      <c r="A13" s="3223"/>
      <c r="B13" s="6345"/>
      <c r="C13" s="3247" t="s">
        <v>43</v>
      </c>
      <c r="D13" s="2385"/>
      <c r="E13" s="3218">
        <v>2834</v>
      </c>
      <c r="F13" s="3218"/>
      <c r="G13" s="3218">
        <v>2175</v>
      </c>
      <c r="H13" s="3220">
        <f t="shared" si="1"/>
        <v>0</v>
      </c>
      <c r="I13" s="3220">
        <f t="shared" si="2"/>
        <v>5009</v>
      </c>
      <c r="J13" s="3218"/>
      <c r="K13" s="3218">
        <v>2977</v>
      </c>
      <c r="L13" s="3219">
        <f t="shared" si="3"/>
        <v>0</v>
      </c>
      <c r="M13" s="3592">
        <f t="shared" si="0"/>
        <v>7986</v>
      </c>
      <c r="N13" s="3257"/>
      <c r="O13" s="3218">
        <v>2812</v>
      </c>
      <c r="P13" s="3220">
        <f t="shared" si="4"/>
        <v>0</v>
      </c>
      <c r="Q13" s="3220">
        <f t="shared" si="5"/>
        <v>10798</v>
      </c>
      <c r="R13" s="3257"/>
      <c r="S13" s="481">
        <v>3256</v>
      </c>
      <c r="T13" s="3224">
        <f t="shared" si="6"/>
        <v>0</v>
      </c>
      <c r="U13" s="3224">
        <f t="shared" si="7"/>
        <v>14054</v>
      </c>
      <c r="V13" s="3302"/>
      <c r="W13" s="3302">
        <v>2988</v>
      </c>
      <c r="X13" s="3631"/>
      <c r="Y13" s="3307">
        <f t="shared" si="8"/>
        <v>9056</v>
      </c>
      <c r="Z13" s="592"/>
      <c r="AA13" s="592">
        <f t="shared" si="9"/>
        <v>17042</v>
      </c>
      <c r="AB13" s="3257"/>
      <c r="AC13" s="481">
        <v>3640</v>
      </c>
      <c r="AD13" s="4061"/>
      <c r="AE13" s="4061">
        <f t="shared" si="10"/>
        <v>20682</v>
      </c>
      <c r="AF13" s="3257"/>
      <c r="AG13" s="481">
        <v>2468</v>
      </c>
      <c r="AH13" s="4163"/>
      <c r="AI13" s="4163">
        <f t="shared" si="11"/>
        <v>23150</v>
      </c>
      <c r="AJ13" s="4275"/>
      <c r="AK13" s="4275">
        <v>3395</v>
      </c>
      <c r="AL13" s="3631"/>
      <c r="AM13" s="4284">
        <f t="shared" ref="AM13:AM23" si="28">AC13+AG13+AK13</f>
        <v>9503</v>
      </c>
      <c r="AN13" s="4279"/>
      <c r="AO13" s="4279">
        <f t="shared" si="27"/>
        <v>26545</v>
      </c>
      <c r="AP13" s="3257"/>
      <c r="AQ13" s="481">
        <v>3211</v>
      </c>
      <c r="AR13" s="4402"/>
      <c r="AS13" s="4402">
        <f t="shared" si="14"/>
        <v>29756</v>
      </c>
      <c r="AT13" s="3257"/>
      <c r="AU13" s="481">
        <v>4026</v>
      </c>
      <c r="AV13" s="4642"/>
      <c r="AW13" s="4642">
        <f t="shared" si="15"/>
        <v>33782</v>
      </c>
      <c r="AX13" s="3257"/>
      <c r="AY13" s="481">
        <v>3224</v>
      </c>
      <c r="AZ13" s="3631"/>
      <c r="BA13" s="5238">
        <f t="shared" ref="BA13:BA20" si="29">AQ13+AU13+AY13</f>
        <v>10461</v>
      </c>
      <c r="BB13" s="592"/>
      <c r="BC13" s="592">
        <f t="shared" si="17"/>
        <v>19964</v>
      </c>
      <c r="BD13" s="5113"/>
      <c r="BE13" s="5113">
        <f t="shared" si="18"/>
        <v>37006</v>
      </c>
      <c r="BF13" s="5742"/>
      <c r="BG13" s="2258"/>
      <c r="BH13" s="3223"/>
      <c r="BI13" s="3223"/>
      <c r="BJ13" s="3223"/>
      <c r="BK13" s="3223"/>
      <c r="BL13" s="3223"/>
      <c r="BM13" s="3223"/>
      <c r="BN13" s="3223"/>
      <c r="BO13" s="3223"/>
      <c r="BP13" s="3223"/>
      <c r="BQ13" s="3223"/>
      <c r="BR13" s="3223"/>
      <c r="BS13" s="3223"/>
      <c r="BT13" s="3223"/>
      <c r="BU13" s="3223"/>
      <c r="BV13" s="3223"/>
      <c r="BX13" s="2309"/>
    </row>
    <row r="14" spans="1:76" ht="18.75" x14ac:dyDescent="0.25">
      <c r="B14" s="6345"/>
      <c r="C14" s="3247" t="s">
        <v>1724</v>
      </c>
      <c r="D14" s="2385"/>
      <c r="E14" s="3218">
        <v>1288</v>
      </c>
      <c r="F14" s="3218"/>
      <c r="G14" s="3218">
        <v>580</v>
      </c>
      <c r="H14" s="3220">
        <f t="shared" si="1"/>
        <v>0</v>
      </c>
      <c r="I14" s="3220">
        <f t="shared" si="2"/>
        <v>1868</v>
      </c>
      <c r="J14" s="3218"/>
      <c r="K14" s="3218">
        <v>2058</v>
      </c>
      <c r="L14" s="3219">
        <f t="shared" si="3"/>
        <v>0</v>
      </c>
      <c r="M14" s="3592">
        <f t="shared" si="0"/>
        <v>3926</v>
      </c>
      <c r="N14" s="3257"/>
      <c r="O14" s="3218">
        <v>400</v>
      </c>
      <c r="P14" s="3220">
        <f t="shared" si="4"/>
        <v>0</v>
      </c>
      <c r="Q14" s="3220">
        <f t="shared" si="5"/>
        <v>4326</v>
      </c>
      <c r="R14" s="3257"/>
      <c r="S14" s="481">
        <v>780</v>
      </c>
      <c r="T14" s="3224">
        <f t="shared" si="6"/>
        <v>0</v>
      </c>
      <c r="U14" s="3224">
        <f t="shared" si="7"/>
        <v>5106</v>
      </c>
      <c r="V14" s="3302"/>
      <c r="W14" s="3302">
        <v>420</v>
      </c>
      <c r="X14" s="3631"/>
      <c r="Y14" s="3307">
        <f t="shared" si="8"/>
        <v>1600</v>
      </c>
      <c r="Z14" s="592"/>
      <c r="AA14" s="592">
        <f t="shared" si="9"/>
        <v>5526</v>
      </c>
      <c r="AB14" s="3257"/>
      <c r="AC14" s="481">
        <v>609</v>
      </c>
      <c r="AD14" s="4061"/>
      <c r="AE14" s="4061">
        <f t="shared" si="10"/>
        <v>6135</v>
      </c>
      <c r="AF14" s="3257"/>
      <c r="AG14" s="481">
        <v>632</v>
      </c>
      <c r="AH14" s="4163"/>
      <c r="AI14" s="4163">
        <f t="shared" si="11"/>
        <v>6767</v>
      </c>
      <c r="AJ14" s="4275"/>
      <c r="AK14" s="4275">
        <v>1897</v>
      </c>
      <c r="AL14" s="3631"/>
      <c r="AM14" s="4284">
        <f t="shared" si="28"/>
        <v>3138</v>
      </c>
      <c r="AN14" s="4279"/>
      <c r="AO14" s="4279">
        <f t="shared" si="27"/>
        <v>8664</v>
      </c>
      <c r="AP14" s="3257"/>
      <c r="AQ14" s="481">
        <v>700</v>
      </c>
      <c r="AR14" s="4402"/>
      <c r="AS14" s="4402">
        <f t="shared" si="14"/>
        <v>9364</v>
      </c>
      <c r="AT14" s="3257"/>
      <c r="AU14" s="481">
        <v>801</v>
      </c>
      <c r="AV14" s="4642"/>
      <c r="AW14" s="4642">
        <f t="shared" si="15"/>
        <v>10165</v>
      </c>
      <c r="AX14" s="3257"/>
      <c r="AY14" s="481">
        <v>697</v>
      </c>
      <c r="AZ14" s="3631"/>
      <c r="BA14" s="5238">
        <f t="shared" si="29"/>
        <v>2198</v>
      </c>
      <c r="BB14" s="592"/>
      <c r="BC14" s="592">
        <f t="shared" si="17"/>
        <v>5336</v>
      </c>
      <c r="BD14" s="5113"/>
      <c r="BE14" s="5113">
        <f t="shared" si="18"/>
        <v>10862</v>
      </c>
      <c r="BF14" s="5742"/>
      <c r="BG14" s="2258"/>
      <c r="BH14" s="3223"/>
      <c r="BI14" s="3223"/>
      <c r="BJ14" s="3223"/>
      <c r="BK14" s="3223"/>
      <c r="BL14" s="3223"/>
      <c r="BM14" s="3223"/>
      <c r="BN14" s="3223"/>
      <c r="BO14" s="3223"/>
      <c r="BP14" s="3223"/>
      <c r="BQ14" s="3223"/>
      <c r="BR14" s="3223"/>
      <c r="BS14" s="3223"/>
      <c r="BT14" s="3223"/>
      <c r="BU14" s="3223"/>
      <c r="BV14" s="3223"/>
      <c r="BX14" s="346"/>
    </row>
    <row r="15" spans="1:76" ht="18.75" x14ac:dyDescent="0.25">
      <c r="B15" s="6345"/>
      <c r="C15" s="3247" t="s">
        <v>615</v>
      </c>
      <c r="D15" s="2385"/>
      <c r="E15" s="3218">
        <v>530</v>
      </c>
      <c r="F15" s="3218"/>
      <c r="G15" s="3218">
        <v>7905</v>
      </c>
      <c r="H15" s="3220">
        <f t="shared" si="1"/>
        <v>0</v>
      </c>
      <c r="I15" s="3220">
        <f t="shared" si="2"/>
        <v>8435</v>
      </c>
      <c r="J15" s="3218"/>
      <c r="K15" s="3218">
        <v>4538</v>
      </c>
      <c r="L15" s="3219">
        <f t="shared" si="3"/>
        <v>0</v>
      </c>
      <c r="M15" s="3592">
        <f t="shared" si="0"/>
        <v>12973</v>
      </c>
      <c r="N15" s="3257"/>
      <c r="O15" s="3218">
        <v>9365</v>
      </c>
      <c r="P15" s="3220">
        <f t="shared" si="4"/>
        <v>0</v>
      </c>
      <c r="Q15" s="3220">
        <f t="shared" si="5"/>
        <v>22338</v>
      </c>
      <c r="R15" s="3257"/>
      <c r="S15" s="481">
        <v>8074</v>
      </c>
      <c r="T15" s="3224">
        <f t="shared" si="6"/>
        <v>0</v>
      </c>
      <c r="U15" s="3224">
        <f t="shared" si="7"/>
        <v>30412</v>
      </c>
      <c r="V15" s="3302"/>
      <c r="W15" s="3302">
        <v>6011</v>
      </c>
      <c r="X15" s="3631"/>
      <c r="Y15" s="3307">
        <f t="shared" si="8"/>
        <v>23450</v>
      </c>
      <c r="Z15" s="592"/>
      <c r="AA15" s="592">
        <f t="shared" si="9"/>
        <v>36423</v>
      </c>
      <c r="AB15" s="3257"/>
      <c r="AC15" s="481">
        <v>6877</v>
      </c>
      <c r="AD15" s="4061"/>
      <c r="AE15" s="4061">
        <f t="shared" si="10"/>
        <v>43300</v>
      </c>
      <c r="AF15" s="3257"/>
      <c r="AG15" s="481">
        <v>5314</v>
      </c>
      <c r="AH15" s="4163"/>
      <c r="AI15" s="4163">
        <f t="shared" si="11"/>
        <v>48614</v>
      </c>
      <c r="AJ15" s="4275"/>
      <c r="AK15" s="4275">
        <v>5051</v>
      </c>
      <c r="AL15" s="3631"/>
      <c r="AM15" s="4284">
        <f t="shared" si="28"/>
        <v>17242</v>
      </c>
      <c r="AN15" s="4279"/>
      <c r="AO15" s="4279">
        <f t="shared" si="27"/>
        <v>53665</v>
      </c>
      <c r="AP15" s="3257"/>
      <c r="AQ15" s="481">
        <v>5108</v>
      </c>
      <c r="AR15" s="4402"/>
      <c r="AS15" s="4402">
        <f t="shared" si="14"/>
        <v>58773</v>
      </c>
      <c r="AT15" s="3257"/>
      <c r="AU15" s="481">
        <v>7587</v>
      </c>
      <c r="AV15" s="4642"/>
      <c r="AW15" s="4642">
        <f t="shared" si="15"/>
        <v>66360</v>
      </c>
      <c r="AX15" s="3257"/>
      <c r="AY15" s="481">
        <v>8034</v>
      </c>
      <c r="AZ15" s="3631"/>
      <c r="BA15" s="5238">
        <f t="shared" si="29"/>
        <v>20729</v>
      </c>
      <c r="BB15" s="592"/>
      <c r="BC15" s="592">
        <f t="shared" si="17"/>
        <v>37971</v>
      </c>
      <c r="BD15" s="5113"/>
      <c r="BE15" s="5113">
        <f t="shared" si="18"/>
        <v>74394</v>
      </c>
      <c r="BF15" s="5742"/>
      <c r="BG15" s="2258"/>
      <c r="BH15" s="3223"/>
      <c r="BI15" s="3223"/>
      <c r="BJ15" s="3223"/>
      <c r="BK15" s="3223"/>
      <c r="BL15" s="3223"/>
      <c r="BM15" s="3223"/>
      <c r="BN15" s="3223"/>
      <c r="BO15" s="3223"/>
      <c r="BP15" s="3223"/>
      <c r="BQ15" s="3223"/>
      <c r="BR15" s="3223"/>
      <c r="BS15" s="3223"/>
      <c r="BT15" s="3223"/>
      <c r="BU15" s="3223"/>
      <c r="BV15" s="3223"/>
      <c r="BX15" s="346"/>
    </row>
    <row r="16" spans="1:76" ht="18.75" x14ac:dyDescent="0.25">
      <c r="B16" s="6345"/>
      <c r="C16" s="3247" t="s">
        <v>814</v>
      </c>
      <c r="D16" s="2385"/>
      <c r="E16" s="3218">
        <v>6005</v>
      </c>
      <c r="F16" s="3218"/>
      <c r="G16" s="3218">
        <v>4902</v>
      </c>
      <c r="H16" s="3220">
        <f t="shared" si="1"/>
        <v>0</v>
      </c>
      <c r="I16" s="3220">
        <f t="shared" si="2"/>
        <v>10907</v>
      </c>
      <c r="J16" s="3218"/>
      <c r="K16" s="3218">
        <v>5512</v>
      </c>
      <c r="L16" s="3219">
        <f t="shared" si="3"/>
        <v>0</v>
      </c>
      <c r="M16" s="3592">
        <f t="shared" si="0"/>
        <v>16419</v>
      </c>
      <c r="N16" s="3257"/>
      <c r="O16" s="3218">
        <v>5550</v>
      </c>
      <c r="P16" s="3220">
        <f t="shared" si="4"/>
        <v>0</v>
      </c>
      <c r="Q16" s="3220">
        <f t="shared" si="5"/>
        <v>21969</v>
      </c>
      <c r="R16" s="3257"/>
      <c r="S16" s="481">
        <v>6233</v>
      </c>
      <c r="T16" s="3224">
        <f t="shared" si="6"/>
        <v>0</v>
      </c>
      <c r="U16" s="3224">
        <f t="shared" si="7"/>
        <v>28202</v>
      </c>
      <c r="V16" s="3302"/>
      <c r="W16" s="3302">
        <v>4421</v>
      </c>
      <c r="X16" s="3631"/>
      <c r="Y16" s="3307">
        <f t="shared" si="8"/>
        <v>16204</v>
      </c>
      <c r="Z16" s="592"/>
      <c r="AA16" s="592">
        <f t="shared" si="9"/>
        <v>32623</v>
      </c>
      <c r="AB16" s="3257"/>
      <c r="AC16" s="481">
        <v>5430</v>
      </c>
      <c r="AD16" s="4061"/>
      <c r="AE16" s="4061">
        <f t="shared" si="10"/>
        <v>38053</v>
      </c>
      <c r="AF16" s="3257"/>
      <c r="AG16" s="481">
        <v>5793</v>
      </c>
      <c r="AH16" s="4163"/>
      <c r="AI16" s="4163">
        <f t="shared" si="11"/>
        <v>43846</v>
      </c>
      <c r="AJ16" s="4275"/>
      <c r="AK16" s="4275">
        <v>4801</v>
      </c>
      <c r="AL16" s="3631"/>
      <c r="AM16" s="4284">
        <f t="shared" si="28"/>
        <v>16024</v>
      </c>
      <c r="AN16" s="4279"/>
      <c r="AO16" s="4279">
        <f t="shared" si="27"/>
        <v>48647</v>
      </c>
      <c r="AP16" s="3257"/>
      <c r="AQ16" s="481">
        <v>4856</v>
      </c>
      <c r="AR16" s="4402"/>
      <c r="AS16" s="4402">
        <f t="shared" si="14"/>
        <v>53503</v>
      </c>
      <c r="AT16" s="3257"/>
      <c r="AU16" s="481">
        <v>5098</v>
      </c>
      <c r="AV16" s="4642"/>
      <c r="AW16" s="4642">
        <f t="shared" si="15"/>
        <v>58601</v>
      </c>
      <c r="AX16" s="3257"/>
      <c r="AY16" s="481">
        <v>4050</v>
      </c>
      <c r="AZ16" s="3631"/>
      <c r="BA16" s="5238">
        <f t="shared" si="29"/>
        <v>14004</v>
      </c>
      <c r="BB16" s="592"/>
      <c r="BC16" s="592">
        <f t="shared" si="17"/>
        <v>30028</v>
      </c>
      <c r="BD16" s="5113"/>
      <c r="BE16" s="5113">
        <f t="shared" si="18"/>
        <v>62651</v>
      </c>
      <c r="BF16" s="5742"/>
      <c r="BG16" s="2258"/>
      <c r="BH16" s="3223"/>
      <c r="BI16" s="3223"/>
      <c r="BJ16" s="3223"/>
      <c r="BK16" s="3223"/>
      <c r="BL16" s="3223"/>
      <c r="BM16" s="3223"/>
      <c r="BN16" s="3223"/>
      <c r="BO16" s="3223"/>
      <c r="BP16" s="3223"/>
      <c r="BQ16" s="3223"/>
      <c r="BR16" s="3223"/>
      <c r="BS16" s="3223"/>
      <c r="BT16" s="3223"/>
      <c r="BU16" s="3223"/>
      <c r="BV16" s="3223"/>
      <c r="BX16" s="2235"/>
    </row>
    <row r="17" spans="2:85" ht="18.75" x14ac:dyDescent="0.25">
      <c r="B17" s="6345"/>
      <c r="C17" s="3247" t="s">
        <v>101</v>
      </c>
      <c r="D17" s="2385"/>
      <c r="E17" s="3218">
        <v>67042</v>
      </c>
      <c r="F17" s="3218"/>
      <c r="G17" s="3218">
        <v>57569</v>
      </c>
      <c r="H17" s="3220">
        <f t="shared" si="1"/>
        <v>0</v>
      </c>
      <c r="I17" s="3220">
        <f t="shared" si="2"/>
        <v>124611</v>
      </c>
      <c r="J17" s="3218"/>
      <c r="K17" s="3218">
        <v>63412</v>
      </c>
      <c r="L17" s="3219">
        <f t="shared" si="3"/>
        <v>0</v>
      </c>
      <c r="M17" s="3592">
        <f t="shared" si="0"/>
        <v>188023</v>
      </c>
      <c r="N17" s="3257"/>
      <c r="O17" s="3218">
        <v>67912</v>
      </c>
      <c r="P17" s="3220">
        <f t="shared" si="4"/>
        <v>0</v>
      </c>
      <c r="Q17" s="3220">
        <f t="shared" si="5"/>
        <v>255935</v>
      </c>
      <c r="R17" s="3257"/>
      <c r="S17" s="481">
        <v>57996</v>
      </c>
      <c r="T17" s="3224">
        <f t="shared" si="6"/>
        <v>0</v>
      </c>
      <c r="U17" s="3224">
        <f t="shared" si="7"/>
        <v>313931</v>
      </c>
      <c r="V17" s="3302"/>
      <c r="W17" s="3302">
        <v>66552</v>
      </c>
      <c r="X17" s="3631"/>
      <c r="Y17" s="3307">
        <f t="shared" si="8"/>
        <v>192460</v>
      </c>
      <c r="Z17" s="592"/>
      <c r="AA17" s="592">
        <f t="shared" si="9"/>
        <v>380483</v>
      </c>
      <c r="AB17" s="3257"/>
      <c r="AC17" s="481">
        <v>78609</v>
      </c>
      <c r="AD17" s="4061"/>
      <c r="AE17" s="4061">
        <f t="shared" si="10"/>
        <v>459092</v>
      </c>
      <c r="AF17" s="3257"/>
      <c r="AG17" s="481">
        <v>68987</v>
      </c>
      <c r="AH17" s="4163"/>
      <c r="AI17" s="4163">
        <f t="shared" si="11"/>
        <v>528079</v>
      </c>
      <c r="AJ17" s="4275"/>
      <c r="AK17" s="4275">
        <v>66985</v>
      </c>
      <c r="AL17" s="3631"/>
      <c r="AM17" s="4284">
        <f t="shared" si="28"/>
        <v>214581</v>
      </c>
      <c r="AN17" s="4279"/>
      <c r="AO17" s="4279">
        <f t="shared" si="27"/>
        <v>595064</v>
      </c>
      <c r="AP17" s="3257"/>
      <c r="AQ17" s="481">
        <v>59882</v>
      </c>
      <c r="AR17" s="4402"/>
      <c r="AS17" s="4402">
        <f t="shared" si="14"/>
        <v>654946</v>
      </c>
      <c r="AT17" s="3257"/>
      <c r="AU17" s="481">
        <v>59205</v>
      </c>
      <c r="AV17" s="4642"/>
      <c r="AW17" s="4642">
        <f t="shared" si="15"/>
        <v>714151</v>
      </c>
      <c r="AX17" s="3257"/>
      <c r="AY17" s="481">
        <v>64064</v>
      </c>
      <c r="AZ17" s="3631"/>
      <c r="BA17" s="5238">
        <f t="shared" si="29"/>
        <v>183151</v>
      </c>
      <c r="BB17" s="592"/>
      <c r="BC17" s="592">
        <f t="shared" si="17"/>
        <v>397732</v>
      </c>
      <c r="BD17" s="5113"/>
      <c r="BE17" s="5113">
        <f t="shared" si="18"/>
        <v>778215</v>
      </c>
      <c r="BF17" s="5742"/>
      <c r="BG17" s="2258"/>
      <c r="BH17" s="3223"/>
      <c r="BI17" s="3223"/>
      <c r="BJ17" s="3223"/>
      <c r="BK17" s="3223"/>
      <c r="BL17" s="3223"/>
      <c r="BM17" s="3223"/>
      <c r="BN17" s="3223"/>
      <c r="BO17" s="3223"/>
      <c r="BP17" s="3223"/>
      <c r="BQ17" s="3223"/>
      <c r="BR17" s="3223"/>
      <c r="BS17" s="3223"/>
      <c r="BT17" s="3223"/>
      <c r="BU17" s="3223"/>
      <c r="BV17" s="3223"/>
    </row>
    <row r="18" spans="2:85" ht="18.75" x14ac:dyDescent="0.25">
      <c r="B18" s="6345"/>
      <c r="C18" s="3247" t="s">
        <v>1394</v>
      </c>
      <c r="D18" s="2385"/>
      <c r="E18" s="3218">
        <v>402</v>
      </c>
      <c r="F18" s="3218"/>
      <c r="G18" s="3218">
        <v>0</v>
      </c>
      <c r="H18" s="3220">
        <f t="shared" si="1"/>
        <v>0</v>
      </c>
      <c r="I18" s="3220">
        <f t="shared" si="2"/>
        <v>402</v>
      </c>
      <c r="J18" s="3218"/>
      <c r="K18" s="3218">
        <v>809</v>
      </c>
      <c r="L18" s="3219">
        <f t="shared" si="3"/>
        <v>0</v>
      </c>
      <c r="M18" s="3592">
        <f t="shared" si="0"/>
        <v>1211</v>
      </c>
      <c r="N18" s="3257"/>
      <c r="O18" s="3218">
        <v>1093</v>
      </c>
      <c r="P18" s="3220">
        <f t="shared" si="4"/>
        <v>0</v>
      </c>
      <c r="Q18" s="3220">
        <f t="shared" si="5"/>
        <v>2304</v>
      </c>
      <c r="R18" s="3257"/>
      <c r="S18" s="481">
        <v>843</v>
      </c>
      <c r="T18" s="3224">
        <f t="shared" si="6"/>
        <v>0</v>
      </c>
      <c r="U18" s="3224">
        <f t="shared" si="7"/>
        <v>3147</v>
      </c>
      <c r="V18" s="3302"/>
      <c r="W18" s="3302">
        <v>545</v>
      </c>
      <c r="X18" s="3631"/>
      <c r="Y18" s="3307">
        <f t="shared" si="8"/>
        <v>2481</v>
      </c>
      <c r="Z18" s="592"/>
      <c r="AA18" s="592">
        <f t="shared" si="9"/>
        <v>3692</v>
      </c>
      <c r="AB18" s="3257"/>
      <c r="AC18" s="481">
        <v>190</v>
      </c>
      <c r="AD18" s="4061"/>
      <c r="AE18" s="4061">
        <f t="shared" si="10"/>
        <v>3882</v>
      </c>
      <c r="AF18" s="3257"/>
      <c r="AG18" s="481">
        <v>0</v>
      </c>
      <c r="AH18" s="4163"/>
      <c r="AI18" s="4163">
        <f t="shared" si="11"/>
        <v>3882</v>
      </c>
      <c r="AJ18" s="4275"/>
      <c r="AK18" s="4275">
        <v>0</v>
      </c>
      <c r="AL18" s="3631"/>
      <c r="AM18" s="4284">
        <f t="shared" si="28"/>
        <v>190</v>
      </c>
      <c r="AN18" s="4279"/>
      <c r="AO18" s="4279">
        <f t="shared" si="27"/>
        <v>3882</v>
      </c>
      <c r="AP18" s="3257"/>
      <c r="AQ18" s="481">
        <v>0</v>
      </c>
      <c r="AR18" s="4402"/>
      <c r="AS18" s="4402">
        <f t="shared" si="14"/>
        <v>3882</v>
      </c>
      <c r="AT18" s="3257"/>
      <c r="AU18" s="481">
        <v>731</v>
      </c>
      <c r="AV18" s="4642"/>
      <c r="AW18" s="4642">
        <f t="shared" si="15"/>
        <v>4613</v>
      </c>
      <c r="AX18" s="3257"/>
      <c r="AY18" s="481">
        <v>928</v>
      </c>
      <c r="AZ18" s="3631"/>
      <c r="BA18" s="5238">
        <f t="shared" si="29"/>
        <v>1659</v>
      </c>
      <c r="BB18" s="592"/>
      <c r="BC18" s="592">
        <f t="shared" si="17"/>
        <v>1849</v>
      </c>
      <c r="BD18" s="5113"/>
      <c r="BE18" s="5113">
        <f t="shared" si="18"/>
        <v>5541</v>
      </c>
      <c r="BF18" s="5742"/>
      <c r="BG18" s="2258"/>
      <c r="BH18" s="3223"/>
      <c r="BI18" s="3223"/>
      <c r="BJ18" s="3223"/>
      <c r="BK18" s="3223"/>
      <c r="BL18" s="3223"/>
      <c r="BM18" s="3223"/>
      <c r="BN18" s="3223"/>
      <c r="BO18" s="3223"/>
      <c r="BP18" s="3223"/>
      <c r="BQ18" s="3223"/>
      <c r="BR18" s="3223"/>
      <c r="BS18" s="3223"/>
      <c r="BT18" s="3223"/>
      <c r="BU18" s="3223"/>
      <c r="BV18" s="3223"/>
      <c r="BX18" s="2235"/>
    </row>
    <row r="19" spans="2:85" s="183" customFormat="1" ht="18.75" x14ac:dyDescent="0.25">
      <c r="B19" s="6345"/>
      <c r="C19" s="3247" t="s">
        <v>181</v>
      </c>
      <c r="D19" s="2385"/>
      <c r="E19" s="3218">
        <v>0</v>
      </c>
      <c r="F19" s="3218"/>
      <c r="G19" s="3218">
        <v>0</v>
      </c>
      <c r="H19" s="3220">
        <f t="shared" si="1"/>
        <v>0</v>
      </c>
      <c r="I19" s="3220">
        <f t="shared" si="2"/>
        <v>0</v>
      </c>
      <c r="J19" s="3218"/>
      <c r="K19" s="3218">
        <v>398</v>
      </c>
      <c r="L19" s="3219">
        <f t="shared" si="3"/>
        <v>0</v>
      </c>
      <c r="M19" s="3592">
        <f t="shared" si="0"/>
        <v>398</v>
      </c>
      <c r="N19" s="3257"/>
      <c r="O19" s="3218">
        <v>1211</v>
      </c>
      <c r="P19" s="3220">
        <f t="shared" si="4"/>
        <v>0</v>
      </c>
      <c r="Q19" s="3220">
        <f t="shared" si="5"/>
        <v>1609</v>
      </c>
      <c r="R19" s="3257"/>
      <c r="S19" s="481">
        <v>465</v>
      </c>
      <c r="T19" s="3224">
        <f t="shared" si="6"/>
        <v>0</v>
      </c>
      <c r="U19" s="3224">
        <f t="shared" si="7"/>
        <v>2074</v>
      </c>
      <c r="V19" s="3302"/>
      <c r="W19" s="3302">
        <v>145</v>
      </c>
      <c r="X19" s="3631"/>
      <c r="Y19" s="3307">
        <f t="shared" si="8"/>
        <v>1821</v>
      </c>
      <c r="Z19" s="592"/>
      <c r="AA19" s="592">
        <f t="shared" si="9"/>
        <v>2219</v>
      </c>
      <c r="AB19" s="3257"/>
      <c r="AC19" s="481">
        <v>0</v>
      </c>
      <c r="AD19" s="4061"/>
      <c r="AE19" s="4061">
        <f t="shared" si="10"/>
        <v>2219</v>
      </c>
      <c r="AF19" s="3257"/>
      <c r="AG19" s="481">
        <v>999</v>
      </c>
      <c r="AH19" s="4163"/>
      <c r="AI19" s="4163">
        <f t="shared" si="11"/>
        <v>3218</v>
      </c>
      <c r="AJ19" s="4275"/>
      <c r="AK19" s="4275">
        <v>849</v>
      </c>
      <c r="AL19" s="3631"/>
      <c r="AM19" s="4284">
        <f t="shared" si="28"/>
        <v>1848</v>
      </c>
      <c r="AN19" s="4279"/>
      <c r="AO19" s="4279">
        <f t="shared" si="27"/>
        <v>4067</v>
      </c>
      <c r="AP19" s="3257"/>
      <c r="AQ19" s="481">
        <v>505</v>
      </c>
      <c r="AR19" s="4402"/>
      <c r="AS19" s="4402">
        <f t="shared" si="14"/>
        <v>4572</v>
      </c>
      <c r="AT19" s="3257"/>
      <c r="AU19" s="481">
        <v>536</v>
      </c>
      <c r="AV19" s="4642"/>
      <c r="AW19" s="4642">
        <f t="shared" si="15"/>
        <v>5108</v>
      </c>
      <c r="AX19" s="3257"/>
      <c r="AY19" s="481">
        <v>0</v>
      </c>
      <c r="AZ19" s="3631"/>
      <c r="BA19" s="5238">
        <f t="shared" si="29"/>
        <v>1041</v>
      </c>
      <c r="BB19" s="592"/>
      <c r="BC19" s="592">
        <f t="shared" si="17"/>
        <v>2889</v>
      </c>
      <c r="BD19" s="5113"/>
      <c r="BE19" s="5113">
        <f t="shared" si="18"/>
        <v>5108</v>
      </c>
      <c r="BF19" s="5742"/>
      <c r="BG19" s="2258"/>
      <c r="BH19" s="3223"/>
      <c r="BI19" s="3223"/>
      <c r="BJ19" s="3223"/>
      <c r="BK19" s="3223"/>
      <c r="BL19" s="3223"/>
      <c r="BM19" s="3223"/>
      <c r="BN19" s="3223"/>
      <c r="BO19" s="3223"/>
      <c r="BP19" s="3223"/>
      <c r="BQ19" s="3223"/>
      <c r="BR19" s="3223"/>
      <c r="BS19" s="3223"/>
      <c r="BT19" s="3223"/>
      <c r="BU19" s="3223"/>
      <c r="BV19" s="3223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</row>
    <row r="20" spans="2:85" s="183" customFormat="1" ht="18.75" x14ac:dyDescent="0.25">
      <c r="B20" s="6346"/>
      <c r="C20" s="3247" t="s">
        <v>1943</v>
      </c>
      <c r="D20" s="4714"/>
      <c r="E20" s="4715"/>
      <c r="F20" s="4715"/>
      <c r="G20" s="4715"/>
      <c r="H20" s="4716"/>
      <c r="I20" s="4716"/>
      <c r="J20" s="4715"/>
      <c r="K20" s="4715"/>
      <c r="L20" s="4717"/>
      <c r="M20" s="4717"/>
      <c r="N20" s="4718"/>
      <c r="O20" s="4715"/>
      <c r="P20" s="4716"/>
      <c r="Q20" s="4716"/>
      <c r="R20" s="4718"/>
      <c r="S20" s="4719"/>
      <c r="T20" s="4720"/>
      <c r="U20" s="4720"/>
      <c r="V20" s="4715"/>
      <c r="W20" s="4715"/>
      <c r="X20" s="4721"/>
      <c r="Y20" s="4717"/>
      <c r="Z20" s="4722"/>
      <c r="AA20" s="4722"/>
      <c r="AB20" s="4718"/>
      <c r="AC20" s="4719"/>
      <c r="AD20" s="4720"/>
      <c r="AE20" s="4720"/>
      <c r="AF20" s="4718"/>
      <c r="AG20" s="4719"/>
      <c r="AH20" s="4720"/>
      <c r="AI20" s="4720"/>
      <c r="AJ20" s="4715"/>
      <c r="AK20" s="4715"/>
      <c r="AL20" s="4721"/>
      <c r="AM20" s="4699">
        <f t="shared" si="28"/>
        <v>0</v>
      </c>
      <c r="AN20" s="4720"/>
      <c r="AO20" s="4720"/>
      <c r="AP20" s="4718"/>
      <c r="AQ20" s="4719"/>
      <c r="AR20" s="4720"/>
      <c r="AS20" s="4720"/>
      <c r="AT20" s="4718"/>
      <c r="AU20" s="4719">
        <v>766</v>
      </c>
      <c r="AV20" s="4720"/>
      <c r="AW20" s="4698">
        <f t="shared" si="15"/>
        <v>766</v>
      </c>
      <c r="AX20" s="4718"/>
      <c r="AY20" s="4719">
        <v>662</v>
      </c>
      <c r="AZ20" s="4721"/>
      <c r="BA20" s="5238">
        <f t="shared" si="29"/>
        <v>1428</v>
      </c>
      <c r="BB20" s="4722"/>
      <c r="BC20" s="4722">
        <f t="shared" si="17"/>
        <v>1428</v>
      </c>
      <c r="BD20" s="4720"/>
      <c r="BE20" s="5113">
        <f t="shared" si="18"/>
        <v>1428</v>
      </c>
      <c r="BF20" s="5742"/>
      <c r="BG20" s="2235">
        <v>450000</v>
      </c>
      <c r="BH20" s="346">
        <v>420000</v>
      </c>
      <c r="BI20" s="4700"/>
      <c r="BJ20" s="4700"/>
      <c r="BK20" s="4700"/>
      <c r="BL20" s="4700"/>
      <c r="BM20" s="4700"/>
      <c r="BN20" s="4700"/>
      <c r="BO20" s="4700"/>
      <c r="BP20" s="4700"/>
      <c r="BQ20" s="4700"/>
      <c r="BR20" s="4700"/>
      <c r="BS20" s="4700"/>
      <c r="BT20" s="4700"/>
      <c r="BU20" s="4700"/>
      <c r="BV20" s="4700"/>
      <c r="BW20" s="26"/>
      <c r="BX20" s="26"/>
      <c r="BY20" s="26"/>
      <c r="BZ20" s="26"/>
      <c r="CA20" s="26"/>
      <c r="CB20" s="26"/>
      <c r="CC20" s="26"/>
      <c r="CD20" s="26"/>
      <c r="CE20" s="26"/>
      <c r="CF20" s="26"/>
      <c r="CG20" s="26"/>
    </row>
    <row r="21" spans="2:85" s="183" customFormat="1" ht="18.75" x14ac:dyDescent="0.25">
      <c r="B21" s="6341" t="s">
        <v>1033</v>
      </c>
      <c r="C21" s="3249" t="s">
        <v>1769</v>
      </c>
      <c r="D21" s="3243"/>
      <c r="E21" s="4701">
        <f t="shared" ref="E21" si="30">SUM(E8:E20)</f>
        <v>448231</v>
      </c>
      <c r="F21" s="335">
        <f>SUM(F8:F19)</f>
        <v>0</v>
      </c>
      <c r="G21" s="4701">
        <f t="shared" ref="G21" si="31">SUM(G8:G20)</f>
        <v>394173</v>
      </c>
      <c r="H21" s="3220">
        <f t="shared" si="1"/>
        <v>0</v>
      </c>
      <c r="I21" s="3220">
        <f t="shared" si="2"/>
        <v>842404</v>
      </c>
      <c r="J21" s="335">
        <f>SUM(J8:J19)</f>
        <v>0</v>
      </c>
      <c r="K21" s="4701">
        <f t="shared" ref="K21" si="32">SUM(K8:K20)</f>
        <v>398513</v>
      </c>
      <c r="L21" s="3219">
        <f t="shared" si="3"/>
        <v>0</v>
      </c>
      <c r="M21" s="3592">
        <f t="shared" si="0"/>
        <v>1240917</v>
      </c>
      <c r="N21" s="335">
        <f>SUM(N8:N19)</f>
        <v>0</v>
      </c>
      <c r="O21" s="4701">
        <f t="shared" ref="O21" si="33">SUM(O8:O20)</f>
        <v>476303</v>
      </c>
      <c r="P21" s="3220">
        <f t="shared" si="4"/>
        <v>0</v>
      </c>
      <c r="Q21" s="3220">
        <f t="shared" si="5"/>
        <v>1717220</v>
      </c>
      <c r="R21" s="335">
        <f>SUM(R8:R19)</f>
        <v>0</v>
      </c>
      <c r="S21" s="4701">
        <f t="shared" ref="S21" si="34">SUM(S8:S20)</f>
        <v>439737</v>
      </c>
      <c r="T21" s="3224">
        <f t="shared" si="6"/>
        <v>0</v>
      </c>
      <c r="U21" s="3224">
        <f t="shared" si="7"/>
        <v>2156957</v>
      </c>
      <c r="V21" s="3308">
        <f>SUM(V8:V19)</f>
        <v>0</v>
      </c>
      <c r="W21" s="4701">
        <f t="shared" ref="W21" si="35">SUM(W8:W20)</f>
        <v>430371</v>
      </c>
      <c r="X21" s="3630"/>
      <c r="Y21" s="3307">
        <f t="shared" si="8"/>
        <v>1346411</v>
      </c>
      <c r="Z21" s="592"/>
      <c r="AA21" s="592">
        <f t="shared" si="9"/>
        <v>2587328</v>
      </c>
      <c r="AB21" s="4063">
        <f>SUM(AB8:AB19)</f>
        <v>0</v>
      </c>
      <c r="AC21" s="4701">
        <f t="shared" ref="AC21:AJ21" si="36">SUM(AC8:AC20)</f>
        <v>509156</v>
      </c>
      <c r="AD21" s="4701">
        <f t="shared" si="36"/>
        <v>0</v>
      </c>
      <c r="AE21" s="4701">
        <f t="shared" si="36"/>
        <v>3096484</v>
      </c>
      <c r="AF21" s="4701">
        <f t="shared" si="36"/>
        <v>0</v>
      </c>
      <c r="AG21" s="4701">
        <f t="shared" si="36"/>
        <v>459205</v>
      </c>
      <c r="AH21" s="4701">
        <f t="shared" si="36"/>
        <v>0</v>
      </c>
      <c r="AI21" s="4701">
        <f t="shared" si="36"/>
        <v>3555689</v>
      </c>
      <c r="AJ21" s="4701">
        <f t="shared" si="36"/>
        <v>0</v>
      </c>
      <c r="AK21" s="4285">
        <f>SUM(AK8:AK20)</f>
        <v>444044</v>
      </c>
      <c r="AL21" s="3630"/>
      <c r="AM21" s="4284">
        <f t="shared" si="28"/>
        <v>1412405</v>
      </c>
      <c r="AN21" s="4279"/>
      <c r="AO21" s="4279">
        <f t="shared" si="27"/>
        <v>3999733</v>
      </c>
      <c r="AP21" s="4404">
        <f>SUM(AP8:AP19)</f>
        <v>0</v>
      </c>
      <c r="AQ21" s="4701">
        <f t="shared" ref="AQ21:AT21" si="37">SUM(AQ8:AQ20)</f>
        <v>411605</v>
      </c>
      <c r="AR21" s="4701">
        <f t="shared" si="37"/>
        <v>0</v>
      </c>
      <c r="AS21" s="4701">
        <f t="shared" si="37"/>
        <v>4411338</v>
      </c>
      <c r="AT21" s="4701">
        <f t="shared" si="37"/>
        <v>0</v>
      </c>
      <c r="AU21" s="4646">
        <f>SUM(AU8:AU20)</f>
        <v>419968</v>
      </c>
      <c r="AV21" s="4642"/>
      <c r="AW21" s="4642">
        <f t="shared" si="15"/>
        <v>4831306</v>
      </c>
      <c r="AX21" s="5118">
        <f t="shared" ref="AX21" si="38">SUM(AX8:AX20)</f>
        <v>0</v>
      </c>
      <c r="AY21" s="5118">
        <f>SUM(AY8:AY20)</f>
        <v>418882</v>
      </c>
      <c r="AZ21" s="3630"/>
      <c r="BA21" s="5238">
        <f t="shared" ref="BA21:BA23" si="39">AQ21+AU21+AY21</f>
        <v>1250455</v>
      </c>
      <c r="BB21" s="592"/>
      <c r="BC21" s="592">
        <f t="shared" si="17"/>
        <v>2662860</v>
      </c>
      <c r="BD21" s="5113"/>
      <c r="BE21" s="5113">
        <f t="shared" si="18"/>
        <v>5250188</v>
      </c>
      <c r="BF21" s="5742"/>
      <c r="BG21" s="2235">
        <v>15000</v>
      </c>
      <c r="BH21" s="346">
        <v>14000</v>
      </c>
      <c r="BI21" s="3223"/>
      <c r="BJ21" s="3223"/>
      <c r="BK21" s="3223"/>
      <c r="BL21" s="3223"/>
      <c r="BM21" s="3223"/>
      <c r="BN21" s="3223"/>
      <c r="BO21" s="3223"/>
      <c r="BP21" s="3223"/>
      <c r="BQ21" s="3223"/>
      <c r="BR21" s="3223"/>
      <c r="BS21" s="3223"/>
      <c r="BT21" s="3223"/>
      <c r="BU21" s="3223"/>
      <c r="BV21" s="3223"/>
      <c r="BW21" s="26"/>
      <c r="BX21" s="26"/>
      <c r="BY21" s="26"/>
      <c r="BZ21" s="26"/>
      <c r="CA21" s="26"/>
      <c r="CB21" s="26"/>
      <c r="CC21" s="26"/>
      <c r="CD21" s="26"/>
      <c r="CE21" s="26"/>
      <c r="CF21" s="26"/>
      <c r="CG21" s="26"/>
    </row>
    <row r="22" spans="2:85" ht="18.75" x14ac:dyDescent="0.25">
      <c r="B22" s="6342"/>
      <c r="C22" s="3249" t="s">
        <v>1770</v>
      </c>
      <c r="D22" s="3243"/>
      <c r="E22" s="335">
        <f>+E45+E46+E47</f>
        <v>32121</v>
      </c>
      <c r="F22" s="3243"/>
      <c r="G22" s="335">
        <f>+G45+G46+G47</f>
        <v>21183</v>
      </c>
      <c r="H22" s="3220">
        <f t="shared" si="1"/>
        <v>0</v>
      </c>
      <c r="I22" s="3220">
        <f t="shared" si="2"/>
        <v>53304</v>
      </c>
      <c r="J22" s="3243"/>
      <c r="K22" s="335">
        <f>+K45+K46+K47</f>
        <v>11820</v>
      </c>
      <c r="L22" s="3219">
        <f t="shared" si="3"/>
        <v>0</v>
      </c>
      <c r="M22" s="3592">
        <f t="shared" si="0"/>
        <v>65124</v>
      </c>
      <c r="N22" s="220"/>
      <c r="O22" s="335">
        <f>+O45+O46+O47</f>
        <v>23864</v>
      </c>
      <c r="P22" s="3220">
        <f t="shared" si="4"/>
        <v>0</v>
      </c>
      <c r="Q22" s="3220">
        <f t="shared" si="5"/>
        <v>88988</v>
      </c>
      <c r="R22" s="220"/>
      <c r="S22" s="335">
        <f>+S45+S46+S47</f>
        <v>27799</v>
      </c>
      <c r="T22" s="3224">
        <f t="shared" si="6"/>
        <v>0</v>
      </c>
      <c r="U22" s="3224">
        <f t="shared" si="7"/>
        <v>116787</v>
      </c>
      <c r="V22" s="3243"/>
      <c r="W22" s="3308">
        <f>+W45+W46+W47</f>
        <v>18326</v>
      </c>
      <c r="X22" s="3630"/>
      <c r="Y22" s="3307">
        <f t="shared" si="8"/>
        <v>69989</v>
      </c>
      <c r="Z22" s="592"/>
      <c r="AA22" s="592">
        <f>M22+Y22</f>
        <v>135113</v>
      </c>
      <c r="AB22" s="220"/>
      <c r="AC22" s="4078">
        <f>+AC45+AC46+AC47</f>
        <v>23393</v>
      </c>
      <c r="AD22" s="4061"/>
      <c r="AE22" s="4061">
        <f t="shared" si="10"/>
        <v>158506</v>
      </c>
      <c r="AF22" s="220"/>
      <c r="AG22" s="4165">
        <f>+AG45+AG46+AG47</f>
        <v>27188</v>
      </c>
      <c r="AH22" s="4163"/>
      <c r="AI22" s="4163">
        <f t="shared" si="11"/>
        <v>185694</v>
      </c>
      <c r="AJ22" s="3243"/>
      <c r="AK22" s="4285">
        <f>+AK45+AK46+AK47</f>
        <v>32170</v>
      </c>
      <c r="AL22" s="3630"/>
      <c r="AM22" s="4284">
        <f t="shared" si="28"/>
        <v>82751</v>
      </c>
      <c r="AN22" s="4279"/>
      <c r="AO22" s="4279">
        <f t="shared" si="27"/>
        <v>217864</v>
      </c>
      <c r="AP22" s="220"/>
      <c r="AQ22" s="4404">
        <f>+AQ45+AQ46+AQ47</f>
        <v>24232</v>
      </c>
      <c r="AR22" s="4402"/>
      <c r="AS22" s="4402">
        <f t="shared" si="14"/>
        <v>242096</v>
      </c>
      <c r="AT22" s="220"/>
      <c r="AU22" s="4646">
        <f>+AU45+AU46+AU47</f>
        <v>36018</v>
      </c>
      <c r="AV22" s="4642"/>
      <c r="AW22" s="4642">
        <f t="shared" si="15"/>
        <v>278114</v>
      </c>
      <c r="AX22" s="220"/>
      <c r="AY22" s="5118">
        <f>+AY45+AY46+AY47</f>
        <v>38748</v>
      </c>
      <c r="AZ22" s="3630"/>
      <c r="BA22" s="5238">
        <f t="shared" si="39"/>
        <v>98998</v>
      </c>
      <c r="BB22" s="592"/>
      <c r="BC22" s="592">
        <f t="shared" si="17"/>
        <v>181749</v>
      </c>
      <c r="BD22" s="5113"/>
      <c r="BE22" s="5113">
        <f t="shared" si="18"/>
        <v>316862</v>
      </c>
      <c r="BF22" s="5742"/>
      <c r="BG22" s="2258"/>
      <c r="BH22" s="3223"/>
      <c r="BI22" s="3223"/>
      <c r="BJ22" s="3223"/>
      <c r="BK22" s="3223"/>
      <c r="BL22" s="3223"/>
      <c r="BM22" s="3223"/>
      <c r="BN22" s="3223"/>
      <c r="BO22" s="3223"/>
      <c r="BP22" s="3223"/>
      <c r="BQ22" s="3223"/>
      <c r="BR22" s="3223"/>
      <c r="BS22" s="3223"/>
      <c r="BT22" s="3223"/>
      <c r="BU22" s="3223"/>
      <c r="BV22" s="3223"/>
      <c r="BW22" s="26"/>
      <c r="BX22" s="26"/>
      <c r="BY22" s="26"/>
      <c r="BZ22" s="26"/>
      <c r="CA22" s="26"/>
      <c r="CB22" s="26"/>
      <c r="CC22" s="26"/>
      <c r="CD22" s="26"/>
      <c r="CE22" s="26"/>
      <c r="CF22" s="26"/>
      <c r="CG22" s="26"/>
    </row>
    <row r="23" spans="2:85" ht="18.75" x14ac:dyDescent="0.25">
      <c r="B23" s="6343"/>
      <c r="C23" s="3249" t="s">
        <v>1771</v>
      </c>
      <c r="D23" s="3243"/>
      <c r="E23" s="335">
        <f>SUM(E21:E22)</f>
        <v>480352</v>
      </c>
      <c r="F23" s="3243"/>
      <c r="G23" s="335">
        <f t="shared" ref="G23:O23" si="40">SUM(G21:G22)</f>
        <v>415356</v>
      </c>
      <c r="H23" s="3220">
        <f t="shared" si="1"/>
        <v>0</v>
      </c>
      <c r="I23" s="3220">
        <f t="shared" si="2"/>
        <v>895708</v>
      </c>
      <c r="J23" s="335">
        <f t="shared" si="40"/>
        <v>0</v>
      </c>
      <c r="K23" s="335">
        <f t="shared" si="40"/>
        <v>410333</v>
      </c>
      <c r="L23" s="3219">
        <f t="shared" si="3"/>
        <v>0</v>
      </c>
      <c r="M23" s="3592">
        <f t="shared" si="0"/>
        <v>1306041</v>
      </c>
      <c r="N23" s="335">
        <f t="shared" si="40"/>
        <v>0</v>
      </c>
      <c r="O23" s="335">
        <f t="shared" si="40"/>
        <v>500167</v>
      </c>
      <c r="P23" s="3220">
        <f t="shared" si="4"/>
        <v>0</v>
      </c>
      <c r="Q23" s="3220">
        <f t="shared" si="5"/>
        <v>1806208</v>
      </c>
      <c r="R23" s="220"/>
      <c r="S23" s="335">
        <f>SUM(S21:S22)</f>
        <v>467536</v>
      </c>
      <c r="T23" s="3224">
        <f t="shared" si="6"/>
        <v>0</v>
      </c>
      <c r="U23" s="3224">
        <f t="shared" si="7"/>
        <v>2273744</v>
      </c>
      <c r="V23" s="3308">
        <f t="shared" ref="V23:W23" si="41">SUM(V21:V22)</f>
        <v>0</v>
      </c>
      <c r="W23" s="3308">
        <f t="shared" si="41"/>
        <v>448697</v>
      </c>
      <c r="X23" s="3630"/>
      <c r="Y23" s="3307">
        <f t="shared" si="8"/>
        <v>1416400</v>
      </c>
      <c r="Z23" s="592"/>
      <c r="AA23" s="592">
        <f>M23+Y23</f>
        <v>2722441</v>
      </c>
      <c r="AB23" s="220"/>
      <c r="AC23" s="4078">
        <f t="shared" ref="AC23" si="42">SUM(AC21:AC22)</f>
        <v>532549</v>
      </c>
      <c r="AD23" s="4061"/>
      <c r="AE23" s="4061">
        <f t="shared" si="10"/>
        <v>3254990</v>
      </c>
      <c r="AF23" s="220"/>
      <c r="AG23" s="4165">
        <f t="shared" ref="AG23" si="43">SUM(AG21:AG22)</f>
        <v>486393</v>
      </c>
      <c r="AH23" s="4163"/>
      <c r="AI23" s="4163">
        <f t="shared" si="11"/>
        <v>3741383</v>
      </c>
      <c r="AJ23" s="4285">
        <f t="shared" ref="AJ23:AK23" si="44">SUM(AJ21:AJ22)</f>
        <v>0</v>
      </c>
      <c r="AK23" s="4285">
        <f t="shared" si="44"/>
        <v>476214</v>
      </c>
      <c r="AL23" s="3630"/>
      <c r="AM23" s="4284">
        <f t="shared" si="28"/>
        <v>1495156</v>
      </c>
      <c r="AN23" s="4279"/>
      <c r="AO23" s="4279">
        <f t="shared" si="27"/>
        <v>4217597</v>
      </c>
      <c r="AP23" s="220"/>
      <c r="AQ23" s="4404">
        <f t="shared" ref="AQ23" si="45">SUM(AQ21:AQ22)</f>
        <v>435837</v>
      </c>
      <c r="AR23" s="4402"/>
      <c r="AS23" s="4402">
        <f t="shared" si="14"/>
        <v>4653434</v>
      </c>
      <c r="AT23" s="220"/>
      <c r="AU23" s="4646">
        <f t="shared" ref="AU23" si="46">SUM(AU21:AU22)</f>
        <v>455986</v>
      </c>
      <c r="AV23" s="4642"/>
      <c r="AW23" s="4642">
        <f t="shared" si="15"/>
        <v>5109420</v>
      </c>
      <c r="AX23" s="220"/>
      <c r="AY23" s="5118">
        <f t="shared" ref="AY23" si="47">SUM(AY21:AY22)</f>
        <v>457630</v>
      </c>
      <c r="AZ23" s="3630"/>
      <c r="BA23" s="5238">
        <f t="shared" si="39"/>
        <v>1349453</v>
      </c>
      <c r="BB23" s="592"/>
      <c r="BC23" s="592">
        <f t="shared" si="17"/>
        <v>2844609</v>
      </c>
      <c r="BD23" s="5113"/>
      <c r="BE23" s="5113">
        <f t="shared" si="18"/>
        <v>5567050</v>
      </c>
      <c r="BF23" s="5742"/>
      <c r="BG23" s="2258"/>
      <c r="BH23" s="3223"/>
      <c r="BI23" s="3223"/>
      <c r="BJ23" s="3223"/>
      <c r="BK23" s="3223"/>
      <c r="BL23" s="3223"/>
      <c r="BM23" s="3223"/>
      <c r="BN23" s="3223"/>
      <c r="BO23" s="3223"/>
      <c r="BP23" s="3223"/>
      <c r="BQ23" s="3223"/>
      <c r="BR23" s="3223"/>
      <c r="BS23" s="3223"/>
      <c r="BT23" s="3223"/>
      <c r="BU23" s="3223"/>
      <c r="BV23" s="3223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</row>
    <row r="24" spans="2:85" ht="18.75" x14ac:dyDescent="0.3">
      <c r="B24" s="3266"/>
      <c r="C24" s="3250"/>
      <c r="D24" s="1160"/>
      <c r="E24" s="3535"/>
      <c r="F24" s="3535"/>
      <c r="G24" s="3535"/>
      <c r="H24" s="3535"/>
      <c r="I24" s="3535"/>
      <c r="J24" s="3535"/>
      <c r="K24" s="3535"/>
      <c r="L24" s="3535"/>
      <c r="M24" s="3535"/>
      <c r="N24" s="3535"/>
      <c r="O24" s="3535"/>
      <c r="P24" s="3535"/>
      <c r="Q24" s="3535"/>
      <c r="R24" s="3535"/>
      <c r="S24" s="3535"/>
      <c r="T24" s="3535"/>
      <c r="U24" s="3535"/>
      <c r="V24" s="3535"/>
      <c r="W24" s="3535"/>
      <c r="X24" s="3535"/>
      <c r="Y24" s="3535"/>
      <c r="Z24" s="3535"/>
      <c r="AA24" s="3535"/>
      <c r="AB24" s="3535"/>
      <c r="AC24" s="3535"/>
      <c r="AD24" s="3535"/>
      <c r="AE24" s="3535"/>
      <c r="AF24" s="3535"/>
      <c r="AG24" s="3535"/>
      <c r="AH24" s="3535"/>
      <c r="AI24" s="3535"/>
      <c r="AJ24" s="3535"/>
      <c r="AK24" s="3535"/>
      <c r="AL24" s="3535"/>
      <c r="AM24" s="3535"/>
      <c r="AN24" s="3535"/>
      <c r="AO24" s="3535"/>
      <c r="AP24" s="3535"/>
      <c r="AQ24" s="3535"/>
      <c r="AR24" s="3535"/>
      <c r="AS24" s="3535"/>
      <c r="AT24" s="3535"/>
      <c r="AU24" s="3535"/>
      <c r="AV24" s="3535"/>
      <c r="AW24" s="3535"/>
      <c r="AX24" s="3535"/>
      <c r="AY24" s="3535"/>
      <c r="AZ24" s="3535"/>
      <c r="BA24" s="3535"/>
      <c r="BB24" s="3535"/>
      <c r="BC24" s="5273"/>
      <c r="BD24" s="3535"/>
      <c r="BE24" s="3535"/>
      <c r="BF24" s="5742"/>
      <c r="BG24" s="2258"/>
      <c r="BH24" s="3223"/>
      <c r="BI24" s="3223"/>
      <c r="BJ24" s="3223"/>
      <c r="BK24" s="3223"/>
      <c r="BL24" s="3223"/>
      <c r="BM24" s="3223"/>
      <c r="BN24" s="3223"/>
      <c r="BO24" s="3223"/>
      <c r="BP24" s="3223"/>
      <c r="BQ24" s="3223"/>
      <c r="BR24" s="3223"/>
      <c r="BS24" s="3223"/>
      <c r="BT24" s="3223"/>
      <c r="BU24" s="3223"/>
      <c r="BV24" s="3223"/>
      <c r="BW24" s="26"/>
      <c r="BX24" s="26"/>
      <c r="BY24" s="26"/>
      <c r="BZ24" s="26"/>
      <c r="CA24" s="26"/>
      <c r="CB24" s="26"/>
      <c r="CC24" s="26"/>
      <c r="CD24" s="26"/>
      <c r="CE24" s="26"/>
      <c r="CF24" s="26"/>
      <c r="CG24" s="26"/>
    </row>
    <row r="25" spans="2:85" s="4111" customFormat="1" ht="18.75" x14ac:dyDescent="0.3">
      <c r="B25" s="4116"/>
      <c r="C25" s="3250"/>
      <c r="D25" s="1160"/>
      <c r="E25" s="3535"/>
      <c r="F25" s="3535"/>
      <c r="G25" s="3535"/>
      <c r="H25" s="3535"/>
      <c r="I25" s="3535"/>
      <c r="J25" s="3535"/>
      <c r="K25" s="3535"/>
      <c r="L25" s="3535"/>
      <c r="M25" s="3535"/>
      <c r="N25" s="3535"/>
      <c r="O25" s="3535"/>
      <c r="P25" s="3535"/>
      <c r="Q25" s="3535"/>
      <c r="R25" s="3535"/>
      <c r="S25" s="3535"/>
      <c r="T25" s="3535"/>
      <c r="U25" s="3535"/>
      <c r="V25" s="3535"/>
      <c r="W25" s="3535"/>
      <c r="X25" s="3535"/>
      <c r="Y25" s="3535"/>
      <c r="Z25" s="3535"/>
      <c r="AA25" s="3535"/>
      <c r="AB25" s="3535"/>
      <c r="AC25" s="3535"/>
      <c r="AD25" s="3535"/>
      <c r="AE25" s="3535"/>
      <c r="AF25" s="3535"/>
      <c r="AG25" s="3535"/>
      <c r="AH25" s="3535"/>
      <c r="AI25" s="3535"/>
      <c r="AJ25" s="3535"/>
      <c r="AK25" s="3535"/>
      <c r="AL25" s="3535"/>
      <c r="AM25" s="3535"/>
      <c r="AN25" s="3535"/>
      <c r="AO25" s="3535"/>
      <c r="AP25" s="3535"/>
      <c r="AQ25" s="3535"/>
      <c r="AR25" s="3535"/>
      <c r="AS25" s="3535"/>
      <c r="AT25" s="3535"/>
      <c r="AU25" s="5835"/>
      <c r="AV25" s="3535"/>
      <c r="AW25" s="3535"/>
      <c r="AX25" s="3535"/>
      <c r="AY25" s="5835"/>
      <c r="AZ25" s="3535"/>
      <c r="BA25" s="3535"/>
      <c r="BB25" s="3535"/>
      <c r="BC25" s="5273"/>
      <c r="BD25" s="3535"/>
      <c r="BE25" s="3535"/>
      <c r="BF25" s="5742"/>
      <c r="BG25" s="2258"/>
      <c r="BW25" s="26"/>
      <c r="BX25" s="26"/>
      <c r="BY25" s="26"/>
      <c r="BZ25" s="26"/>
      <c r="CA25" s="26"/>
      <c r="CB25" s="26"/>
      <c r="CC25" s="26"/>
      <c r="CD25" s="26"/>
      <c r="CE25" s="26"/>
      <c r="CF25" s="26"/>
      <c r="CG25" s="26"/>
    </row>
    <row r="26" spans="2:85" ht="18.75" x14ac:dyDescent="0.3">
      <c r="B26" s="6344" t="s">
        <v>1772</v>
      </c>
      <c r="C26" s="3251" t="s">
        <v>1773</v>
      </c>
      <c r="D26" s="3244"/>
      <c r="E26" s="3535"/>
      <c r="F26" s="3535"/>
      <c r="G26" s="3535"/>
      <c r="H26" s="3535"/>
      <c r="I26" s="3535"/>
      <c r="J26" s="3535"/>
      <c r="K26" s="3535"/>
      <c r="L26" s="3535"/>
      <c r="M26" s="3535"/>
      <c r="N26" s="3535"/>
      <c r="O26" s="3535"/>
      <c r="P26" s="3535"/>
      <c r="Q26" s="3535"/>
      <c r="R26" s="3535"/>
      <c r="S26" s="3535"/>
      <c r="T26" s="3535"/>
      <c r="U26" s="3535"/>
      <c r="V26" s="3535"/>
      <c r="W26" s="3535"/>
      <c r="X26" s="3535"/>
      <c r="Y26" s="3535"/>
      <c r="Z26" s="3535"/>
      <c r="AA26" s="3535"/>
      <c r="AB26" s="3535"/>
      <c r="AC26" s="3535"/>
      <c r="AD26" s="3535"/>
      <c r="AE26" s="3535"/>
      <c r="AF26" s="3535"/>
      <c r="AG26" s="3535"/>
      <c r="AH26" s="3535"/>
      <c r="AI26" s="3535"/>
      <c r="AJ26" s="3535"/>
      <c r="AK26" s="3535"/>
      <c r="AL26" s="3535"/>
      <c r="AM26" s="3535"/>
      <c r="AN26" s="3535"/>
      <c r="AO26" s="3535"/>
      <c r="AP26" s="3535"/>
      <c r="AQ26" s="3535"/>
      <c r="AR26" s="3535"/>
      <c r="AS26" s="3535"/>
      <c r="AT26" s="3535"/>
      <c r="AU26" s="3535"/>
      <c r="AV26" s="3535"/>
      <c r="AW26" s="3535"/>
      <c r="AX26" s="3535"/>
      <c r="AY26" s="3535"/>
      <c r="AZ26" s="3535"/>
      <c r="BA26" s="3535"/>
      <c r="BB26" s="3535"/>
      <c r="BC26" s="5273"/>
      <c r="BD26" s="3535"/>
      <c r="BE26" s="3535"/>
      <c r="BF26" s="5742"/>
      <c r="BG26" s="2258"/>
      <c r="BH26" s="3223"/>
      <c r="BI26" s="3223"/>
      <c r="BJ26" s="3223"/>
      <c r="BK26" s="3223"/>
      <c r="BL26" s="3223"/>
      <c r="BM26" s="3223"/>
      <c r="BN26" s="3223"/>
      <c r="BO26" s="3223"/>
      <c r="BP26" s="3223"/>
      <c r="BQ26" s="3223"/>
      <c r="BR26" s="3223"/>
      <c r="BS26" s="3223"/>
      <c r="BT26" s="3223"/>
      <c r="BU26" s="3223"/>
      <c r="BV26" s="3223"/>
    </row>
    <row r="27" spans="2:85" s="183" customFormat="1" ht="18.75" x14ac:dyDescent="0.25">
      <c r="B27" s="6345"/>
      <c r="C27" s="3247" t="s">
        <v>1056</v>
      </c>
      <c r="D27" s="2385"/>
      <c r="E27" s="3218">
        <v>67042</v>
      </c>
      <c r="F27" s="3218"/>
      <c r="G27" s="3218">
        <v>57569</v>
      </c>
      <c r="H27" s="3220">
        <f t="shared" si="1"/>
        <v>0</v>
      </c>
      <c r="I27" s="3220">
        <f t="shared" si="2"/>
        <v>124611</v>
      </c>
      <c r="J27" s="3218"/>
      <c r="K27" s="3218">
        <v>63412</v>
      </c>
      <c r="L27" s="3219">
        <f t="shared" si="3"/>
        <v>0</v>
      </c>
      <c r="M27" s="3592">
        <f>E27+G27+K27</f>
        <v>188023</v>
      </c>
      <c r="N27" s="3257"/>
      <c r="O27" s="3218">
        <v>67912</v>
      </c>
      <c r="P27" s="3220">
        <f t="shared" si="4"/>
        <v>0</v>
      </c>
      <c r="Q27" s="3220">
        <f t="shared" si="5"/>
        <v>255935</v>
      </c>
      <c r="R27" s="3257"/>
      <c r="S27" s="481">
        <v>57796</v>
      </c>
      <c r="T27" s="3224">
        <f t="shared" si="6"/>
        <v>0</v>
      </c>
      <c r="U27" s="3224">
        <f t="shared" si="7"/>
        <v>313731</v>
      </c>
      <c r="V27" s="3302"/>
      <c r="W27" s="3302">
        <v>67514</v>
      </c>
      <c r="X27" s="3631"/>
      <c r="Y27" s="3307">
        <f t="shared" ref="Y27:Y30" si="48">O27+S27+W27</f>
        <v>193222</v>
      </c>
      <c r="Z27" s="592"/>
      <c r="AA27" s="592">
        <f t="shared" ref="AA27:AA30" si="49">M27+Y27</f>
        <v>381245</v>
      </c>
      <c r="AB27" s="3257"/>
      <c r="AC27" s="481">
        <v>69694</v>
      </c>
      <c r="AD27" s="4061"/>
      <c r="AE27" s="4061">
        <f t="shared" ref="AE27:AE30" si="50">+AA27+AC27</f>
        <v>450939</v>
      </c>
      <c r="AF27" s="3257"/>
      <c r="AG27" s="481">
        <v>67807</v>
      </c>
      <c r="AH27" s="4163"/>
      <c r="AI27" s="4163">
        <f t="shared" ref="AI27:AI30" si="51">+AE27+AG27</f>
        <v>518746</v>
      </c>
      <c r="AJ27" s="4275"/>
      <c r="AK27" s="4275">
        <v>65985</v>
      </c>
      <c r="AL27" s="3631"/>
      <c r="AM27" s="4284">
        <f t="shared" ref="AM27:AM30" si="52">AC27+AG27+AK27</f>
        <v>203486</v>
      </c>
      <c r="AN27" s="4279"/>
      <c r="AO27" s="4279">
        <f t="shared" ref="AO27:AO30" si="53">AI27+AK27</f>
        <v>584731</v>
      </c>
      <c r="AP27" s="3257"/>
      <c r="AQ27" s="481">
        <v>63599</v>
      </c>
      <c r="AR27" s="4402"/>
      <c r="AS27" s="4402">
        <f t="shared" ref="AS27:AS30" si="54">+AO27+AQ27</f>
        <v>648330</v>
      </c>
      <c r="AT27" s="3257"/>
      <c r="AU27" s="481">
        <v>60856</v>
      </c>
      <c r="AV27" s="4642"/>
      <c r="AW27" s="4642">
        <f t="shared" ref="AW27:AW30" si="55">+AS27+AU27</f>
        <v>709186</v>
      </c>
      <c r="AX27" s="3257"/>
      <c r="AY27" s="481">
        <v>67154</v>
      </c>
      <c r="AZ27" s="3631"/>
      <c r="BA27" s="5238">
        <f t="shared" ref="BA27:BA30" si="56">AQ27+AU27+AY27</f>
        <v>191609</v>
      </c>
      <c r="BB27" s="592"/>
      <c r="BC27" s="592">
        <f t="shared" si="17"/>
        <v>395095</v>
      </c>
      <c r="BD27" s="5113"/>
      <c r="BE27" s="5113">
        <f t="shared" ref="BE27:BE30" si="57">+AW27+AY27</f>
        <v>776340</v>
      </c>
      <c r="BF27" s="5742"/>
      <c r="BG27" s="2258"/>
      <c r="BH27" s="3223"/>
      <c r="BI27" s="3223"/>
      <c r="BJ27" s="3223"/>
      <c r="BK27" s="3223"/>
      <c r="BL27" s="3223"/>
      <c r="BM27" s="3223"/>
      <c r="BN27" s="3223"/>
      <c r="BO27" s="3223"/>
      <c r="BP27" s="3223"/>
      <c r="BQ27" s="3223"/>
      <c r="BR27" s="3223"/>
      <c r="BS27" s="3223"/>
      <c r="BT27" s="3223"/>
      <c r="BU27" s="3223"/>
      <c r="BV27" s="3223"/>
    </row>
    <row r="28" spans="2:85" s="183" customFormat="1" ht="18.75" x14ac:dyDescent="0.25">
      <c r="B28" s="6345"/>
      <c r="C28" s="3247" t="s">
        <v>1057</v>
      </c>
      <c r="D28" s="2385"/>
      <c r="E28" s="3218">
        <v>12382</v>
      </c>
      <c r="F28" s="2385"/>
      <c r="G28" s="3218">
        <v>6899</v>
      </c>
      <c r="H28" s="3220">
        <f t="shared" si="1"/>
        <v>0</v>
      </c>
      <c r="I28" s="3220">
        <f t="shared" si="2"/>
        <v>19281</v>
      </c>
      <c r="J28" s="2385"/>
      <c r="K28" s="3218">
        <v>11620</v>
      </c>
      <c r="L28" s="3219">
        <f t="shared" si="3"/>
        <v>0</v>
      </c>
      <c r="M28" s="3592">
        <f>E28+G28+K28</f>
        <v>30901</v>
      </c>
      <c r="N28" s="3258"/>
      <c r="O28" s="3218">
        <v>8879</v>
      </c>
      <c r="P28" s="3220">
        <f t="shared" si="4"/>
        <v>0</v>
      </c>
      <c r="Q28" s="3220">
        <f t="shared" si="5"/>
        <v>39780</v>
      </c>
      <c r="R28" s="3258"/>
      <c r="S28" s="481">
        <v>11009</v>
      </c>
      <c r="T28" s="3224">
        <f t="shared" si="6"/>
        <v>0</v>
      </c>
      <c r="U28" s="3224">
        <f t="shared" si="7"/>
        <v>50789</v>
      </c>
      <c r="V28" s="2385"/>
      <c r="W28" s="3302">
        <v>8841</v>
      </c>
      <c r="X28" s="3631"/>
      <c r="Y28" s="3307">
        <f t="shared" si="48"/>
        <v>28729</v>
      </c>
      <c r="Z28" s="592"/>
      <c r="AA28" s="592">
        <f t="shared" si="49"/>
        <v>59630</v>
      </c>
      <c r="AB28" s="3258"/>
      <c r="AC28" s="481">
        <v>9473</v>
      </c>
      <c r="AD28" s="4061"/>
      <c r="AE28" s="4061">
        <f t="shared" si="50"/>
        <v>69103</v>
      </c>
      <c r="AF28" s="3258"/>
      <c r="AG28" s="481">
        <v>14961</v>
      </c>
      <c r="AH28" s="4163"/>
      <c r="AI28" s="4163">
        <f t="shared" si="51"/>
        <v>84064</v>
      </c>
      <c r="AJ28" s="2385"/>
      <c r="AK28" s="4275">
        <v>9634</v>
      </c>
      <c r="AL28" s="3631"/>
      <c r="AM28" s="4284">
        <f t="shared" si="52"/>
        <v>34068</v>
      </c>
      <c r="AN28" s="4279"/>
      <c r="AO28" s="4279">
        <f t="shared" si="53"/>
        <v>93698</v>
      </c>
      <c r="AP28" s="3258"/>
      <c r="AQ28" s="481">
        <v>10322</v>
      </c>
      <c r="AR28" s="4402"/>
      <c r="AS28" s="4402">
        <f t="shared" si="54"/>
        <v>104020</v>
      </c>
      <c r="AT28" s="3258"/>
      <c r="AU28" s="481">
        <v>10255</v>
      </c>
      <c r="AV28" s="4642"/>
      <c r="AW28" s="4642">
        <f t="shared" si="55"/>
        <v>114275</v>
      </c>
      <c r="AX28" s="3258"/>
      <c r="AY28" s="481">
        <v>10290</v>
      </c>
      <c r="AZ28" s="3631"/>
      <c r="BA28" s="5238">
        <f t="shared" si="56"/>
        <v>30867</v>
      </c>
      <c r="BB28" s="592"/>
      <c r="BC28" s="592">
        <f t="shared" si="17"/>
        <v>64935</v>
      </c>
      <c r="BD28" s="5113"/>
      <c r="BE28" s="5113">
        <f t="shared" si="57"/>
        <v>124565</v>
      </c>
      <c r="BF28" s="5742"/>
      <c r="BG28" s="2258"/>
      <c r="BH28" s="3223"/>
      <c r="BI28" s="3223"/>
      <c r="BJ28" s="3223"/>
      <c r="BK28" s="3223"/>
      <c r="BL28" s="3223"/>
      <c r="BM28" s="3223"/>
      <c r="BN28" s="3223"/>
      <c r="BO28" s="3223"/>
      <c r="BP28" s="3223"/>
      <c r="BQ28" s="3223"/>
      <c r="BR28" s="3223"/>
      <c r="BS28" s="3223"/>
      <c r="BT28" s="3223"/>
      <c r="BU28" s="3223"/>
      <c r="BV28" s="3223"/>
    </row>
    <row r="29" spans="2:85" ht="18.75" x14ac:dyDescent="0.25">
      <c r="B29" s="6345"/>
      <c r="C29" s="3247" t="s">
        <v>1058</v>
      </c>
      <c r="D29" s="2385"/>
      <c r="E29" s="3218">
        <v>9904</v>
      </c>
      <c r="F29" s="2385"/>
      <c r="G29" s="3218">
        <v>13122</v>
      </c>
      <c r="H29" s="3220">
        <f t="shared" si="1"/>
        <v>0</v>
      </c>
      <c r="I29" s="3220">
        <f t="shared" si="2"/>
        <v>23026</v>
      </c>
      <c r="J29" s="2385"/>
      <c r="K29" s="3218">
        <v>11494</v>
      </c>
      <c r="L29" s="3219">
        <f t="shared" si="3"/>
        <v>0</v>
      </c>
      <c r="M29" s="3592">
        <f>E29+G29+K29</f>
        <v>34520</v>
      </c>
      <c r="N29" s="3258"/>
      <c r="O29" s="3218">
        <v>8470</v>
      </c>
      <c r="P29" s="3220">
        <f t="shared" si="4"/>
        <v>0</v>
      </c>
      <c r="Q29" s="3220">
        <f t="shared" si="5"/>
        <v>42990</v>
      </c>
      <c r="R29" s="3258"/>
      <c r="S29" s="481">
        <v>6528</v>
      </c>
      <c r="T29" s="3224">
        <f t="shared" si="6"/>
        <v>0</v>
      </c>
      <c r="U29" s="3224">
        <f t="shared" si="7"/>
        <v>49518</v>
      </c>
      <c r="V29" s="2385"/>
      <c r="W29" s="3302">
        <v>9455</v>
      </c>
      <c r="X29" s="3631"/>
      <c r="Y29" s="3307">
        <f t="shared" si="48"/>
        <v>24453</v>
      </c>
      <c r="Z29" s="592"/>
      <c r="AA29" s="592">
        <f t="shared" si="49"/>
        <v>58973</v>
      </c>
      <c r="AB29" s="3258"/>
      <c r="AC29" s="481">
        <v>6218</v>
      </c>
      <c r="AD29" s="4061"/>
      <c r="AE29" s="4061">
        <f t="shared" si="50"/>
        <v>65191</v>
      </c>
      <c r="AF29" s="3258"/>
      <c r="AG29" s="481">
        <v>8533</v>
      </c>
      <c r="AH29" s="4163"/>
      <c r="AI29" s="4163">
        <f t="shared" si="51"/>
        <v>73724</v>
      </c>
      <c r="AJ29" s="2385"/>
      <c r="AK29" s="4275">
        <v>13626</v>
      </c>
      <c r="AL29" s="3631"/>
      <c r="AM29" s="4284">
        <f t="shared" si="52"/>
        <v>28377</v>
      </c>
      <c r="AN29" s="4279"/>
      <c r="AO29" s="4279">
        <f t="shared" si="53"/>
        <v>87350</v>
      </c>
      <c r="AP29" s="3258"/>
      <c r="AQ29" s="481">
        <v>17112</v>
      </c>
      <c r="AR29" s="4402"/>
      <c r="AS29" s="4402">
        <f t="shared" si="54"/>
        <v>104462</v>
      </c>
      <c r="AT29" s="3258"/>
      <c r="AU29" s="481">
        <v>10415</v>
      </c>
      <c r="AV29" s="4642"/>
      <c r="AW29" s="4642">
        <f t="shared" si="55"/>
        <v>114877</v>
      </c>
      <c r="AX29" s="3258"/>
      <c r="AY29" s="481">
        <v>8855</v>
      </c>
      <c r="AZ29" s="3631"/>
      <c r="BA29" s="5238">
        <f t="shared" si="56"/>
        <v>36382</v>
      </c>
      <c r="BB29" s="592"/>
      <c r="BC29" s="592">
        <f t="shared" si="17"/>
        <v>64759</v>
      </c>
      <c r="BD29" s="5113"/>
      <c r="BE29" s="5113">
        <f t="shared" si="57"/>
        <v>123732</v>
      </c>
      <c r="BF29" s="5742"/>
      <c r="BG29" s="2258"/>
      <c r="BH29" s="3223"/>
      <c r="BI29" s="3223"/>
      <c r="BJ29" s="3223"/>
      <c r="BK29" s="3223"/>
      <c r="BL29" s="3223"/>
      <c r="BM29" s="3223"/>
      <c r="BN29" s="3223"/>
      <c r="BO29" s="3223"/>
      <c r="BP29" s="3223"/>
      <c r="BQ29" s="3223"/>
      <c r="BR29" s="3223"/>
      <c r="BS29" s="3223"/>
      <c r="BT29" s="3223"/>
      <c r="BU29" s="3223"/>
      <c r="BV29" s="3223"/>
    </row>
    <row r="30" spans="2:85" ht="18.75" x14ac:dyDescent="0.25">
      <c r="B30" s="6345"/>
      <c r="C30" s="3247" t="s">
        <v>1394</v>
      </c>
      <c r="D30" s="2385"/>
      <c r="E30" s="3218">
        <v>402</v>
      </c>
      <c r="F30" s="2385"/>
      <c r="G30" s="3218">
        <v>0</v>
      </c>
      <c r="H30" s="3220">
        <f t="shared" si="1"/>
        <v>0</v>
      </c>
      <c r="I30" s="3220">
        <f t="shared" si="2"/>
        <v>402</v>
      </c>
      <c r="J30" s="2385"/>
      <c r="K30" s="3218">
        <v>809</v>
      </c>
      <c r="L30" s="3219">
        <f t="shared" si="3"/>
        <v>0</v>
      </c>
      <c r="M30" s="3592">
        <f>E30+G30+K30</f>
        <v>1211</v>
      </c>
      <c r="N30" s="3258"/>
      <c r="O30" s="3218">
        <v>1093</v>
      </c>
      <c r="P30" s="3220">
        <f t="shared" si="4"/>
        <v>0</v>
      </c>
      <c r="Q30" s="3220">
        <f t="shared" si="5"/>
        <v>2304</v>
      </c>
      <c r="R30" s="3258"/>
      <c r="S30" s="481">
        <v>793</v>
      </c>
      <c r="T30" s="3224">
        <f t="shared" si="6"/>
        <v>0</v>
      </c>
      <c r="U30" s="3224">
        <f t="shared" si="7"/>
        <v>3097</v>
      </c>
      <c r="V30" s="2385"/>
      <c r="W30" s="3302">
        <v>545</v>
      </c>
      <c r="X30" s="3631"/>
      <c r="Y30" s="3307">
        <f t="shared" si="48"/>
        <v>2431</v>
      </c>
      <c r="Z30" s="592"/>
      <c r="AA30" s="592">
        <f t="shared" si="49"/>
        <v>3642</v>
      </c>
      <c r="AB30" s="3258"/>
      <c r="AC30" s="481">
        <v>190</v>
      </c>
      <c r="AD30" s="4061"/>
      <c r="AE30" s="4061">
        <f t="shared" si="50"/>
        <v>3832</v>
      </c>
      <c r="AF30" s="3258"/>
      <c r="AG30" s="481">
        <v>0</v>
      </c>
      <c r="AH30" s="4163"/>
      <c r="AI30" s="4163">
        <f t="shared" si="51"/>
        <v>3832</v>
      </c>
      <c r="AJ30" s="2385"/>
      <c r="AK30" s="4275">
        <v>0</v>
      </c>
      <c r="AL30" s="3631"/>
      <c r="AM30" s="4284">
        <f t="shared" si="52"/>
        <v>190</v>
      </c>
      <c r="AN30" s="4279"/>
      <c r="AO30" s="4279">
        <f t="shared" si="53"/>
        <v>3832</v>
      </c>
      <c r="AP30" s="3258"/>
      <c r="AQ30" s="481">
        <v>493</v>
      </c>
      <c r="AR30" s="4402"/>
      <c r="AS30" s="4402">
        <f t="shared" si="54"/>
        <v>4325</v>
      </c>
      <c r="AT30" s="3258"/>
      <c r="AU30" s="481">
        <v>531</v>
      </c>
      <c r="AV30" s="4642"/>
      <c r="AW30" s="4642">
        <f t="shared" si="55"/>
        <v>4856</v>
      </c>
      <c r="AX30" s="3258"/>
      <c r="AY30" s="481">
        <v>702</v>
      </c>
      <c r="AZ30" s="3631"/>
      <c r="BA30" s="5238">
        <f t="shared" si="56"/>
        <v>1726</v>
      </c>
      <c r="BB30" s="592"/>
      <c r="BC30" s="592">
        <f t="shared" si="17"/>
        <v>1916</v>
      </c>
      <c r="BD30" s="5113"/>
      <c r="BE30" s="5113">
        <f t="shared" si="57"/>
        <v>5558</v>
      </c>
      <c r="BF30" s="5742"/>
      <c r="BG30" s="2258"/>
      <c r="BH30" s="3223"/>
      <c r="BI30" s="3223"/>
      <c r="BJ30" s="3223"/>
      <c r="BK30" s="3223"/>
      <c r="BL30" s="3223"/>
      <c r="BM30" s="3223"/>
      <c r="BN30" s="3223"/>
      <c r="BO30" s="3223"/>
      <c r="BP30" s="3223"/>
      <c r="BQ30" s="3223"/>
      <c r="BR30" s="3223"/>
      <c r="BS30" s="3223"/>
      <c r="BT30" s="3223"/>
      <c r="BU30" s="3223"/>
      <c r="BV30" s="3223"/>
    </row>
    <row r="31" spans="2:85" ht="18.75" x14ac:dyDescent="0.25">
      <c r="B31" s="6345"/>
      <c r="C31" s="3247"/>
      <c r="D31" s="2385"/>
      <c r="E31" s="2385"/>
      <c r="F31" s="2385"/>
      <c r="G31" s="2385"/>
      <c r="H31" s="3220"/>
      <c r="I31" s="3220"/>
      <c r="J31" s="2385"/>
      <c r="K31" s="2385"/>
      <c r="L31" s="3219"/>
      <c r="M31" s="3219"/>
      <c r="N31" s="220"/>
      <c r="O31" s="220"/>
      <c r="P31" s="3220"/>
      <c r="Q31" s="3220"/>
      <c r="R31" s="220"/>
      <c r="S31" s="335"/>
      <c r="T31" s="3224"/>
      <c r="U31" s="3224"/>
      <c r="V31" s="2385"/>
      <c r="W31" s="2385"/>
      <c r="X31" s="3634"/>
      <c r="Y31" s="3307"/>
      <c r="Z31" s="592"/>
      <c r="AA31" s="592"/>
      <c r="AB31" s="220"/>
      <c r="AC31" s="4063"/>
      <c r="AD31" s="4061"/>
      <c r="AE31" s="4061"/>
      <c r="AF31" s="220"/>
      <c r="AG31" s="4165"/>
      <c r="AH31" s="4163"/>
      <c r="AI31" s="4163"/>
      <c r="AJ31" s="2385"/>
      <c r="AK31" s="2385"/>
      <c r="AL31" s="3634"/>
      <c r="AM31" s="4284"/>
      <c r="AN31" s="4279"/>
      <c r="AO31" s="4279"/>
      <c r="AP31" s="220"/>
      <c r="AQ31" s="4404"/>
      <c r="AR31" s="4402"/>
      <c r="AS31" s="4402"/>
      <c r="AT31" s="220"/>
      <c r="AU31" s="4646"/>
      <c r="AV31" s="4642"/>
      <c r="AW31" s="4642"/>
      <c r="AX31" s="220"/>
      <c r="AY31" s="5118"/>
      <c r="AZ31" s="3634"/>
      <c r="BA31" s="5238"/>
      <c r="BB31" s="592"/>
      <c r="BC31" s="592"/>
      <c r="BD31" s="5113"/>
      <c r="BE31" s="5113"/>
      <c r="BF31" s="5742"/>
      <c r="BG31" s="2258"/>
      <c r="BH31" s="3223"/>
      <c r="BI31" s="3223"/>
      <c r="BJ31" s="3223"/>
      <c r="BK31" s="3223"/>
      <c r="BL31" s="3223"/>
      <c r="BM31" s="3223"/>
      <c r="BN31" s="3223"/>
      <c r="BO31" s="3223"/>
      <c r="BP31" s="3223"/>
      <c r="BQ31" s="3223"/>
      <c r="BR31" s="3223"/>
      <c r="BS31" s="3223"/>
      <c r="BT31" s="3223"/>
      <c r="BU31" s="3223"/>
      <c r="BV31" s="3223"/>
    </row>
    <row r="32" spans="2:85" ht="18.75" x14ac:dyDescent="0.3">
      <c r="B32" s="6345"/>
      <c r="C32" s="3251" t="s">
        <v>1774</v>
      </c>
      <c r="D32" s="3244"/>
      <c r="E32" s="3244"/>
      <c r="F32" s="3244"/>
      <c r="G32" s="3244"/>
      <c r="H32" s="3220"/>
      <c r="I32" s="3220"/>
      <c r="J32" s="3244"/>
      <c r="K32" s="3244"/>
      <c r="L32" s="3219"/>
      <c r="M32" s="3219"/>
      <c r="N32" s="220"/>
      <c r="O32" s="220"/>
      <c r="P32" s="3220"/>
      <c r="Q32" s="3220"/>
      <c r="R32" s="220"/>
      <c r="S32" s="335"/>
      <c r="T32" s="3224"/>
      <c r="U32" s="3224"/>
      <c r="V32" s="3244"/>
      <c r="W32" s="3244"/>
      <c r="X32" s="3633"/>
      <c r="Y32" s="3307"/>
      <c r="Z32" s="592"/>
      <c r="AA32" s="592"/>
      <c r="AB32" s="220"/>
      <c r="AC32" s="4063"/>
      <c r="AD32" s="4061"/>
      <c r="AE32" s="4061"/>
      <c r="AF32" s="220"/>
      <c r="AG32" s="4165"/>
      <c r="AH32" s="4163"/>
      <c r="AI32" s="4163"/>
      <c r="AJ32" s="3244"/>
      <c r="AK32" s="3244"/>
      <c r="AL32" s="3633"/>
      <c r="AM32" s="4284"/>
      <c r="AN32" s="4279"/>
      <c r="AO32" s="4279"/>
      <c r="AP32" s="220"/>
      <c r="AQ32" s="4404"/>
      <c r="AR32" s="4402"/>
      <c r="AS32" s="4402"/>
      <c r="AT32" s="220"/>
      <c r="AU32" s="4646"/>
      <c r="AV32" s="4642"/>
      <c r="AW32" s="4642"/>
      <c r="AX32" s="220"/>
      <c r="AY32" s="5118"/>
      <c r="AZ32" s="3633"/>
      <c r="BA32" s="5238"/>
      <c r="BB32" s="592"/>
      <c r="BC32" s="592"/>
      <c r="BD32" s="5113"/>
      <c r="BE32" s="5113"/>
      <c r="BF32" s="5742"/>
      <c r="BG32" s="2258"/>
      <c r="BH32" s="3223"/>
      <c r="BI32" s="3223"/>
      <c r="BJ32" s="3223"/>
      <c r="BK32" s="3223"/>
      <c r="BL32" s="3223"/>
      <c r="BM32" s="3223"/>
      <c r="BN32" s="3223"/>
      <c r="BO32" s="3223"/>
      <c r="BP32" s="3223"/>
      <c r="BQ32" s="3223"/>
      <c r="BR32" s="3223"/>
      <c r="BS32" s="3223"/>
      <c r="BT32" s="3223"/>
      <c r="BU32" s="3223"/>
      <c r="BV32" s="3223"/>
    </row>
    <row r="33" spans="2:74" s="183" customFormat="1" ht="18.75" x14ac:dyDescent="0.25">
      <c r="B33" s="6345"/>
      <c r="C33" s="3247" t="s">
        <v>1775</v>
      </c>
      <c r="D33" s="2385"/>
      <c r="E33" s="3232">
        <f>+'COKE OVENS'!F44+'COKE OVENS'!F47</f>
        <v>7800.8931386433096</v>
      </c>
      <c r="F33" s="3259"/>
      <c r="G33" s="3232">
        <f>+'COKE OVENS'!H44+'COKE OVENS'!H47</f>
        <v>8240.651282669347</v>
      </c>
      <c r="H33" s="3220">
        <f t="shared" si="1"/>
        <v>0</v>
      </c>
      <c r="I33" s="3220">
        <f t="shared" si="2"/>
        <v>16041.544421312658</v>
      </c>
      <c r="J33" s="3259"/>
      <c r="K33" s="3232">
        <f>+'COKE OVENS'!L44+'COKE OVENS'!L47</f>
        <v>7386.9647379540384</v>
      </c>
      <c r="L33" s="3219">
        <f t="shared" si="3"/>
        <v>0</v>
      </c>
      <c r="M33" s="3592">
        <f>E33+G33+K33</f>
        <v>23428.509159266694</v>
      </c>
      <c r="N33" s="3260"/>
      <c r="O33" s="3232">
        <f>+'COKE OVENS'!P44+'COKE OVENS'!P47</f>
        <v>7661.7569492156863</v>
      </c>
      <c r="P33" s="3220">
        <f t="shared" si="4"/>
        <v>0</v>
      </c>
      <c r="Q33" s="3220">
        <f t="shared" si="5"/>
        <v>31090.266108482381</v>
      </c>
      <c r="R33" s="220"/>
      <c r="S33" s="3232">
        <f>+'COKE OVENS'!T44+'COKE OVENS'!T47</f>
        <v>7676.5217971451857</v>
      </c>
      <c r="T33" s="3224">
        <f t="shared" si="6"/>
        <v>0</v>
      </c>
      <c r="U33" s="3229">
        <f t="shared" si="7"/>
        <v>38766.787905627571</v>
      </c>
      <c r="V33" s="3259"/>
      <c r="W33" s="3303">
        <f>+'COKE OVENS'!X44+'COKE OVENS'!X47</f>
        <v>7522.831765058625</v>
      </c>
      <c r="X33" s="3635"/>
      <c r="Y33" s="3590">
        <f t="shared" ref="Y33" si="58">O33+S33+W33</f>
        <v>22861.110511419498</v>
      </c>
      <c r="Z33" s="595"/>
      <c r="AA33" s="595">
        <f>M33+Y33</f>
        <v>46289.619670686196</v>
      </c>
      <c r="AB33" s="220"/>
      <c r="AC33" s="4075">
        <f>+'COKE OVENS'!AD44+'COKE OVENS'!AD47</f>
        <v>7769.5917498004319</v>
      </c>
      <c r="AD33" s="4061"/>
      <c r="AE33" s="4059">
        <f t="shared" ref="AE33" si="59">+AA33+AC33</f>
        <v>54059.21142048663</v>
      </c>
      <c r="AF33" s="220"/>
      <c r="AG33" s="4218">
        <f>+'COKE OVENS'!AH44+'COKE OVENS'!AH47</f>
        <v>6830.4583372243915</v>
      </c>
      <c r="AH33" s="4163"/>
      <c r="AI33" s="4159">
        <f t="shared" ref="AI33" si="60">+AE33+AG33</f>
        <v>60889.669757711024</v>
      </c>
      <c r="AJ33" s="3259"/>
      <c r="AK33" s="4276">
        <f>+'COKE OVENS'!AL44+'COKE OVENS'!AL47</f>
        <v>7800.861777329992</v>
      </c>
      <c r="AL33" s="3635"/>
      <c r="AM33" s="4282">
        <f t="shared" ref="AM33" si="61">AC33+AG33+AK33</f>
        <v>22400.911864354814</v>
      </c>
      <c r="AN33" s="4279"/>
      <c r="AO33" s="4273">
        <f t="shared" ref="AO33" si="62">AI33+AK33</f>
        <v>68690.531535041024</v>
      </c>
      <c r="AP33" s="220"/>
      <c r="AQ33" s="4480">
        <f>+'COKE OVENS'!AR44+'COKE OVENS'!AR47</f>
        <v>7577.2716249564055</v>
      </c>
      <c r="AR33" s="4402"/>
      <c r="AS33" s="4400">
        <f t="shared" ref="AS33" si="63">+AO33+AQ33</f>
        <v>76267.803159997435</v>
      </c>
      <c r="AT33" s="220"/>
      <c r="AU33" s="4643">
        <f>+'COKE OVENS'!AV44+'COKE OVENS'!AV47</f>
        <v>6908.3158627693365</v>
      </c>
      <c r="AV33" s="4642"/>
      <c r="AW33" s="4641">
        <f t="shared" ref="AW33" si="64">+AS33+AU33</f>
        <v>83176.119022766768</v>
      </c>
      <c r="AX33" s="220"/>
      <c r="AY33" s="5234">
        <f>+'COKE OVENS'!AZ44+'COKE OVENS'!AZ47</f>
        <v>7580.3048477416742</v>
      </c>
      <c r="AZ33" s="3635"/>
      <c r="BA33" s="5239">
        <f t="shared" ref="BA33" si="65">AQ33+AU33+AY33</f>
        <v>22065.892335467415</v>
      </c>
      <c r="BB33" s="595"/>
      <c r="BC33" s="595">
        <f t="shared" si="17"/>
        <v>44466.804199822232</v>
      </c>
      <c r="BD33" s="5113"/>
      <c r="BE33" s="5112">
        <f t="shared" ref="BE33" si="66">+AW33+AY33</f>
        <v>90756.423870508443</v>
      </c>
      <c r="BF33" s="5742"/>
      <c r="BG33" s="2258"/>
      <c r="BH33" s="3223"/>
      <c r="BI33" s="3223"/>
      <c r="BJ33" s="3223"/>
      <c r="BK33" s="3223"/>
      <c r="BL33" s="3223"/>
      <c r="BM33" s="3223"/>
      <c r="BN33" s="3223"/>
      <c r="BO33" s="3223"/>
      <c r="BP33" s="3223"/>
      <c r="BQ33" s="3223"/>
      <c r="BR33" s="3223"/>
      <c r="BS33" s="3223"/>
      <c r="BT33" s="3223"/>
      <c r="BU33" s="3223"/>
      <c r="BV33" s="3223"/>
    </row>
    <row r="34" spans="2:74" s="183" customFormat="1" ht="18.75" x14ac:dyDescent="0.25">
      <c r="B34" s="6345"/>
      <c r="C34" s="3247"/>
      <c r="D34" s="2385"/>
      <c r="E34" s="2385"/>
      <c r="F34" s="2385"/>
      <c r="G34" s="2385"/>
      <c r="H34" s="3220"/>
      <c r="I34" s="3220"/>
      <c r="J34" s="2385"/>
      <c r="K34" s="2385"/>
      <c r="L34" s="3219"/>
      <c r="M34" s="3219"/>
      <c r="N34" s="220"/>
      <c r="O34" s="220"/>
      <c r="P34" s="3220"/>
      <c r="Q34" s="3220"/>
      <c r="R34" s="220"/>
      <c r="S34" s="335"/>
      <c r="T34" s="3224"/>
      <c r="U34" s="3224"/>
      <c r="V34" s="2385"/>
      <c r="W34" s="2385"/>
      <c r="X34" s="3634"/>
      <c r="Y34" s="3307"/>
      <c r="Z34" s="592"/>
      <c r="AA34" s="592"/>
      <c r="AB34" s="220"/>
      <c r="AC34" s="4063"/>
      <c r="AD34" s="4061"/>
      <c r="AE34" s="4061"/>
      <c r="AF34" s="220"/>
      <c r="AG34" s="4165"/>
      <c r="AH34" s="4163"/>
      <c r="AI34" s="4163"/>
      <c r="AJ34" s="2385"/>
      <c r="AK34" s="2385"/>
      <c r="AL34" s="3634"/>
      <c r="AM34" s="4284"/>
      <c r="AN34" s="4279"/>
      <c r="AO34" s="4279"/>
      <c r="AP34" s="220"/>
      <c r="AQ34" s="4404"/>
      <c r="AR34" s="4402"/>
      <c r="AS34" s="4402"/>
      <c r="AT34" s="220"/>
      <c r="AU34" s="4646"/>
      <c r="AV34" s="4642"/>
      <c r="AW34" s="4642"/>
      <c r="AX34" s="220"/>
      <c r="AY34" s="5118"/>
      <c r="AZ34" s="3634"/>
      <c r="BA34" s="5238"/>
      <c r="BB34" s="592"/>
      <c r="BC34" s="592"/>
      <c r="BD34" s="5113"/>
      <c r="BE34" s="5113"/>
      <c r="BF34" s="5742"/>
      <c r="BG34" s="2258"/>
      <c r="BH34" s="3223"/>
      <c r="BI34" s="3223"/>
      <c r="BJ34" s="3223"/>
      <c r="BK34" s="3223"/>
      <c r="BL34" s="3223"/>
      <c r="BM34" s="3223"/>
      <c r="BN34" s="3223"/>
      <c r="BO34" s="3223"/>
      <c r="BP34" s="3223"/>
      <c r="BQ34" s="3223"/>
      <c r="BR34" s="3223"/>
      <c r="BS34" s="3223"/>
      <c r="BT34" s="3223"/>
      <c r="BU34" s="3223"/>
      <c r="BV34" s="3223"/>
    </row>
    <row r="35" spans="2:74" s="183" customFormat="1" ht="18.75" x14ac:dyDescent="0.3">
      <c r="B35" s="6345"/>
      <c r="C35" s="3251" t="s">
        <v>1776</v>
      </c>
      <c r="D35" s="3244"/>
      <c r="E35" s="3244"/>
      <c r="F35" s="3244"/>
      <c r="G35" s="3244"/>
      <c r="H35" s="3220"/>
      <c r="I35" s="3220"/>
      <c r="J35" s="3244"/>
      <c r="K35" s="3244"/>
      <c r="L35" s="3219"/>
      <c r="M35" s="3219"/>
      <c r="N35" s="220"/>
      <c r="O35" s="220"/>
      <c r="P35" s="3220"/>
      <c r="Q35" s="3220"/>
      <c r="R35" s="220"/>
      <c r="S35" s="335"/>
      <c r="T35" s="3224"/>
      <c r="U35" s="3224"/>
      <c r="V35" s="3244"/>
      <c r="W35" s="3244"/>
      <c r="X35" s="3633"/>
      <c r="Y35" s="3307"/>
      <c r="Z35" s="592"/>
      <c r="AA35" s="592"/>
      <c r="AB35" s="220"/>
      <c r="AC35" s="4063"/>
      <c r="AD35" s="4061"/>
      <c r="AE35" s="4061"/>
      <c r="AF35" s="220"/>
      <c r="AG35" s="4165"/>
      <c r="AH35" s="4163"/>
      <c r="AI35" s="4163"/>
      <c r="AJ35" s="3244"/>
      <c r="AK35" s="3244"/>
      <c r="AL35" s="3633"/>
      <c r="AM35" s="4284"/>
      <c r="AN35" s="4279"/>
      <c r="AO35" s="4279"/>
      <c r="AP35" s="220"/>
      <c r="AQ35" s="4404"/>
      <c r="AR35" s="4402"/>
      <c r="AS35" s="4402"/>
      <c r="AT35" s="220"/>
      <c r="AU35" s="4646"/>
      <c r="AV35" s="4642"/>
      <c r="AW35" s="4642"/>
      <c r="AX35" s="220"/>
      <c r="AY35" s="5118"/>
      <c r="AZ35" s="3633"/>
      <c r="BA35" s="5238"/>
      <c r="BB35" s="592"/>
      <c r="BC35" s="592"/>
      <c r="BD35" s="5113"/>
      <c r="BE35" s="5113"/>
      <c r="BF35" s="5742"/>
      <c r="BG35" s="2258"/>
      <c r="BH35" s="3223"/>
      <c r="BI35" s="3223"/>
      <c r="BJ35" s="3223"/>
      <c r="BK35" s="3223"/>
      <c r="BL35" s="3223"/>
      <c r="BM35" s="3223"/>
      <c r="BN35" s="3223"/>
      <c r="BO35" s="3223"/>
      <c r="BP35" s="3223"/>
      <c r="BQ35" s="3223"/>
      <c r="BR35" s="3223"/>
      <c r="BS35" s="3223"/>
      <c r="BT35" s="3223"/>
      <c r="BU35" s="3223"/>
      <c r="BV35" s="3223"/>
    </row>
    <row r="36" spans="2:74" s="183" customFormat="1" ht="18.75" x14ac:dyDescent="0.25">
      <c r="B36" s="6345"/>
      <c r="C36" s="3247" t="s">
        <v>1777</v>
      </c>
      <c r="D36" s="2385"/>
      <c r="E36" s="3218">
        <v>4905</v>
      </c>
      <c r="F36" s="2385"/>
      <c r="G36" s="3218">
        <v>6522</v>
      </c>
      <c r="H36" s="3220">
        <f t="shared" si="1"/>
        <v>0</v>
      </c>
      <c r="I36" s="3220">
        <f t="shared" si="2"/>
        <v>11427</v>
      </c>
      <c r="J36" s="2385"/>
      <c r="K36" s="3218">
        <v>5584</v>
      </c>
      <c r="L36" s="3219">
        <f t="shared" si="3"/>
        <v>0</v>
      </c>
      <c r="M36" s="3592">
        <f>E36+G36+K36</f>
        <v>17011</v>
      </c>
      <c r="N36" s="3258"/>
      <c r="O36" s="3218">
        <v>4699</v>
      </c>
      <c r="P36" s="3220">
        <f t="shared" si="4"/>
        <v>0</v>
      </c>
      <c r="Q36" s="3220">
        <f t="shared" si="5"/>
        <v>21710</v>
      </c>
      <c r="R36" s="3258"/>
      <c r="S36" s="481">
        <v>2522</v>
      </c>
      <c r="T36" s="3224">
        <f t="shared" si="6"/>
        <v>0</v>
      </c>
      <c r="U36" s="3224">
        <f t="shared" si="7"/>
        <v>24232</v>
      </c>
      <c r="V36" s="2385"/>
      <c r="W36" s="3302">
        <v>6988</v>
      </c>
      <c r="X36" s="3631"/>
      <c r="Y36" s="3307">
        <f t="shared" ref="Y36:Y38" si="67">O36+S36+W36</f>
        <v>14209</v>
      </c>
      <c r="Z36" s="592"/>
      <c r="AA36" s="592">
        <f t="shared" ref="AA36:AA38" si="68">M36+Y36</f>
        <v>31220</v>
      </c>
      <c r="AB36" s="3258"/>
      <c r="AC36" s="481">
        <v>2120</v>
      </c>
      <c r="AD36" s="4061"/>
      <c r="AE36" s="4061">
        <f t="shared" ref="AE36:AE38" si="69">+AA36+AC36</f>
        <v>33340</v>
      </c>
      <c r="AF36" s="3258"/>
      <c r="AG36" s="481">
        <v>2185</v>
      </c>
      <c r="AH36" s="4163"/>
      <c r="AI36" s="4163">
        <f t="shared" ref="AI36:AI38" si="70">+AE36+AG36</f>
        <v>35525</v>
      </c>
      <c r="AJ36" s="2385"/>
      <c r="AK36" s="4275">
        <v>5931</v>
      </c>
      <c r="AL36" s="3631"/>
      <c r="AM36" s="4284">
        <f t="shared" ref="AM36:AM38" si="71">AC36+AG36+AK36</f>
        <v>10236</v>
      </c>
      <c r="AN36" s="4279"/>
      <c r="AO36" s="4279">
        <f t="shared" ref="AO36:AO38" si="72">AI36+AK36</f>
        <v>41456</v>
      </c>
      <c r="AP36" s="3258"/>
      <c r="AQ36" s="481">
        <v>2355</v>
      </c>
      <c r="AR36" s="4402"/>
      <c r="AS36" s="4402">
        <f t="shared" ref="AS36:AS38" si="73">+AO36+AQ36</f>
        <v>43811</v>
      </c>
      <c r="AT36" s="3258"/>
      <c r="AU36" s="481">
        <v>3055</v>
      </c>
      <c r="AV36" s="4642"/>
      <c r="AW36" s="4642">
        <f t="shared" ref="AW36:AW38" si="74">+AS36+AU36</f>
        <v>46866</v>
      </c>
      <c r="AX36" s="3258"/>
      <c r="AY36" s="481">
        <v>7495</v>
      </c>
      <c r="AZ36" s="3631"/>
      <c r="BA36" s="5238">
        <f t="shared" ref="BA36:BA38" si="75">AQ36+AU36+AY36</f>
        <v>12905</v>
      </c>
      <c r="BB36" s="592"/>
      <c r="BC36" s="592">
        <f t="shared" si="17"/>
        <v>23141</v>
      </c>
      <c r="BD36" s="5113"/>
      <c r="BE36" s="5113">
        <f t="shared" ref="BE36:BE38" si="76">+AW36+AY36</f>
        <v>54361</v>
      </c>
      <c r="BF36" s="5742"/>
      <c r="BG36" s="2258"/>
      <c r="BH36" s="3223"/>
      <c r="BI36" s="3223"/>
      <c r="BJ36" s="3223"/>
      <c r="BK36" s="3223"/>
      <c r="BL36" s="3223"/>
      <c r="BM36" s="3223"/>
      <c r="BN36" s="3223"/>
      <c r="BO36" s="3223"/>
      <c r="BP36" s="3223"/>
      <c r="BQ36" s="3223"/>
      <c r="BR36" s="3223"/>
      <c r="BS36" s="3223"/>
      <c r="BT36" s="3223"/>
      <c r="BU36" s="3223"/>
      <c r="BV36" s="3223"/>
    </row>
    <row r="37" spans="2:74" ht="18.75" x14ac:dyDescent="0.3">
      <c r="B37" s="6345"/>
      <c r="C37" s="3252" t="s">
        <v>1778</v>
      </c>
      <c r="D37" s="2207"/>
      <c r="E37" s="3218">
        <v>14376</v>
      </c>
      <c r="F37" s="2385"/>
      <c r="G37" s="3218">
        <v>7818</v>
      </c>
      <c r="H37" s="3220">
        <f t="shared" si="1"/>
        <v>0</v>
      </c>
      <c r="I37" s="3220">
        <f t="shared" si="2"/>
        <v>22194</v>
      </c>
      <c r="J37" s="2385"/>
      <c r="K37" s="3218">
        <v>10311</v>
      </c>
      <c r="L37" s="3219">
        <f t="shared" si="3"/>
        <v>0</v>
      </c>
      <c r="M37" s="3592">
        <f>E37+G37+K37</f>
        <v>32505</v>
      </c>
      <c r="N37" s="3258"/>
      <c r="O37" s="3218">
        <v>14413</v>
      </c>
      <c r="P37" s="3220">
        <f t="shared" si="4"/>
        <v>0</v>
      </c>
      <c r="Q37" s="3220">
        <f t="shared" si="5"/>
        <v>46918</v>
      </c>
      <c r="R37" s="3258"/>
      <c r="S37" s="481">
        <v>11358</v>
      </c>
      <c r="T37" s="3224">
        <f t="shared" si="6"/>
        <v>0</v>
      </c>
      <c r="U37" s="3224">
        <f t="shared" si="7"/>
        <v>58276</v>
      </c>
      <c r="V37" s="2385"/>
      <c r="W37" s="3302">
        <v>13552</v>
      </c>
      <c r="X37" s="3631"/>
      <c r="Y37" s="3307">
        <f t="shared" si="67"/>
        <v>39323</v>
      </c>
      <c r="Z37" s="592"/>
      <c r="AA37" s="592">
        <f t="shared" si="68"/>
        <v>71828</v>
      </c>
      <c r="AB37" s="3258"/>
      <c r="AC37" s="481">
        <v>8800</v>
      </c>
      <c r="AD37" s="4061"/>
      <c r="AE37" s="4061">
        <f t="shared" si="69"/>
        <v>80628</v>
      </c>
      <c r="AF37" s="3258"/>
      <c r="AG37" s="481">
        <v>11707</v>
      </c>
      <c r="AH37" s="4163"/>
      <c r="AI37" s="4163">
        <f t="shared" si="70"/>
        <v>92335</v>
      </c>
      <c r="AJ37" s="2385"/>
      <c r="AK37" s="4275">
        <v>8121</v>
      </c>
      <c r="AL37" s="3631"/>
      <c r="AM37" s="4284">
        <f t="shared" si="71"/>
        <v>28628</v>
      </c>
      <c r="AN37" s="4279"/>
      <c r="AO37" s="4279">
        <f t="shared" si="72"/>
        <v>100456</v>
      </c>
      <c r="AP37" s="3258"/>
      <c r="AQ37" s="481">
        <v>5789</v>
      </c>
      <c r="AR37" s="4402"/>
      <c r="AS37" s="4402">
        <f t="shared" si="73"/>
        <v>106245</v>
      </c>
      <c r="AT37" s="3258"/>
      <c r="AU37" s="481">
        <v>11425</v>
      </c>
      <c r="AV37" s="4642"/>
      <c r="AW37" s="4642">
        <f t="shared" si="74"/>
        <v>117670</v>
      </c>
      <c r="AX37" s="3258"/>
      <c r="AY37" s="481">
        <v>8767</v>
      </c>
      <c r="AZ37" s="3631"/>
      <c r="BA37" s="5238">
        <f t="shared" si="75"/>
        <v>25981</v>
      </c>
      <c r="BB37" s="592"/>
      <c r="BC37" s="592">
        <f t="shared" si="17"/>
        <v>54609</v>
      </c>
      <c r="BD37" s="5113"/>
      <c r="BE37" s="5113">
        <f t="shared" si="76"/>
        <v>126437</v>
      </c>
      <c r="BF37" s="5742"/>
      <c r="BG37" s="2258"/>
      <c r="BH37" s="3223"/>
      <c r="BI37" s="3223"/>
      <c r="BJ37" s="3223"/>
      <c r="BK37" s="3223"/>
      <c r="BL37" s="3223"/>
      <c r="BM37" s="3223"/>
      <c r="BN37" s="3223"/>
      <c r="BO37" s="3223"/>
      <c r="BP37" s="3223"/>
      <c r="BQ37" s="3223"/>
      <c r="BR37" s="3223"/>
      <c r="BS37" s="3223"/>
      <c r="BT37" s="3223"/>
      <c r="BU37" s="3223"/>
      <c r="BV37" s="3223"/>
    </row>
    <row r="38" spans="2:74" ht="18.75" x14ac:dyDescent="0.25">
      <c r="B38" s="6345"/>
      <c r="C38" s="3253" t="s">
        <v>1779</v>
      </c>
      <c r="D38" s="1523"/>
      <c r="E38" s="3218">
        <v>6263</v>
      </c>
      <c r="F38" s="2385"/>
      <c r="G38" s="3218">
        <v>0</v>
      </c>
      <c r="H38" s="3220">
        <f t="shared" si="1"/>
        <v>0</v>
      </c>
      <c r="I38" s="3220">
        <f t="shared" si="2"/>
        <v>6263</v>
      </c>
      <c r="J38" s="2385"/>
      <c r="K38" s="3218">
        <v>4532</v>
      </c>
      <c r="L38" s="3219">
        <f t="shared" si="3"/>
        <v>0</v>
      </c>
      <c r="M38" s="3592">
        <f>E38+G38+K38</f>
        <v>10795</v>
      </c>
      <c r="N38" s="3258"/>
      <c r="O38" s="3218">
        <v>6595</v>
      </c>
      <c r="P38" s="3220">
        <f t="shared" si="4"/>
        <v>0</v>
      </c>
      <c r="Q38" s="3220">
        <f t="shared" si="5"/>
        <v>17390</v>
      </c>
      <c r="R38" s="3258"/>
      <c r="S38" s="481">
        <v>4825</v>
      </c>
      <c r="T38" s="3224">
        <f t="shared" si="6"/>
        <v>0</v>
      </c>
      <c r="U38" s="3224">
        <f t="shared" si="7"/>
        <v>22215</v>
      </c>
      <c r="V38" s="2385"/>
      <c r="W38" s="3302">
        <v>5007</v>
      </c>
      <c r="X38" s="3631"/>
      <c r="Y38" s="3307">
        <f t="shared" si="67"/>
        <v>16427</v>
      </c>
      <c r="Z38" s="592"/>
      <c r="AA38" s="592">
        <f t="shared" si="68"/>
        <v>27222</v>
      </c>
      <c r="AB38" s="3258"/>
      <c r="AC38" s="481">
        <v>1840</v>
      </c>
      <c r="AD38" s="4061"/>
      <c r="AE38" s="4061">
        <f t="shared" si="69"/>
        <v>29062</v>
      </c>
      <c r="AF38" s="3258"/>
      <c r="AG38" s="481">
        <v>3836</v>
      </c>
      <c r="AH38" s="4163"/>
      <c r="AI38" s="4163">
        <f t="shared" si="70"/>
        <v>32898</v>
      </c>
      <c r="AJ38" s="2385"/>
      <c r="AK38" s="4275">
        <v>4122</v>
      </c>
      <c r="AL38" s="3631"/>
      <c r="AM38" s="4284">
        <f t="shared" si="71"/>
        <v>9798</v>
      </c>
      <c r="AN38" s="4279"/>
      <c r="AO38" s="4279">
        <f t="shared" si="72"/>
        <v>37020</v>
      </c>
      <c r="AP38" s="3258"/>
      <c r="AQ38" s="481">
        <v>3896</v>
      </c>
      <c r="AR38" s="4402"/>
      <c r="AS38" s="4402">
        <f t="shared" si="73"/>
        <v>40916</v>
      </c>
      <c r="AT38" s="3258"/>
      <c r="AU38" s="481">
        <v>2778</v>
      </c>
      <c r="AV38" s="4642"/>
      <c r="AW38" s="4642">
        <f t="shared" si="74"/>
        <v>43694</v>
      </c>
      <c r="AX38" s="3258"/>
      <c r="AY38" s="481">
        <v>6118</v>
      </c>
      <c r="AZ38" s="3631"/>
      <c r="BA38" s="5238">
        <f t="shared" si="75"/>
        <v>12792</v>
      </c>
      <c r="BB38" s="592"/>
      <c r="BC38" s="592">
        <f t="shared" si="17"/>
        <v>22590</v>
      </c>
      <c r="BD38" s="5113"/>
      <c r="BE38" s="5113">
        <f t="shared" si="76"/>
        <v>49812</v>
      </c>
      <c r="BF38" s="5742"/>
      <c r="BG38" s="2258"/>
      <c r="BH38" s="3223"/>
      <c r="BI38" s="3223"/>
      <c r="BJ38" s="3223"/>
      <c r="BK38" s="3223"/>
      <c r="BL38" s="3223"/>
      <c r="BM38" s="3223"/>
      <c r="BN38" s="3223"/>
      <c r="BO38" s="3223"/>
      <c r="BP38" s="3223"/>
      <c r="BQ38" s="3223"/>
      <c r="BR38" s="3223"/>
      <c r="BS38" s="3223"/>
      <c r="BT38" s="3223"/>
      <c r="BU38" s="3223"/>
      <c r="BV38" s="3223"/>
    </row>
    <row r="39" spans="2:74" ht="18.75" x14ac:dyDescent="0.25">
      <c r="B39" s="6345"/>
      <c r="C39" s="3253"/>
      <c r="D39" s="1523"/>
      <c r="E39" s="1523"/>
      <c r="F39" s="1523"/>
      <c r="G39" s="1523"/>
      <c r="H39" s="3220"/>
      <c r="I39" s="3220"/>
      <c r="J39" s="1523"/>
      <c r="K39" s="1523"/>
      <c r="L39" s="3219"/>
      <c r="M39" s="3219"/>
      <c r="N39" s="220"/>
      <c r="O39" s="220"/>
      <c r="P39" s="3220"/>
      <c r="Q39" s="3220"/>
      <c r="R39" s="220"/>
      <c r="S39" s="335"/>
      <c r="T39" s="3224"/>
      <c r="U39" s="3224"/>
      <c r="V39" s="1523"/>
      <c r="W39" s="1523"/>
      <c r="X39" s="3634"/>
      <c r="Y39" s="3307"/>
      <c r="Z39" s="592"/>
      <c r="AA39" s="592"/>
      <c r="AB39" s="220"/>
      <c r="AC39" s="4063"/>
      <c r="AD39" s="4061"/>
      <c r="AE39" s="4061"/>
      <c r="AF39" s="220"/>
      <c r="AG39" s="4165"/>
      <c r="AH39" s="4163"/>
      <c r="AI39" s="4163"/>
      <c r="AJ39" s="1523"/>
      <c r="AK39" s="1523"/>
      <c r="AL39" s="3634"/>
      <c r="AM39" s="4284"/>
      <c r="AN39" s="4279"/>
      <c r="AO39" s="4279"/>
      <c r="AP39" s="220"/>
      <c r="AQ39" s="4404"/>
      <c r="AR39" s="4402"/>
      <c r="AS39" s="4402"/>
      <c r="AT39" s="220"/>
      <c r="AU39" s="4646"/>
      <c r="AV39" s="4642"/>
      <c r="AW39" s="4642"/>
      <c r="AX39" s="220"/>
      <c r="AY39" s="5118"/>
      <c r="AZ39" s="3634"/>
      <c r="BA39" s="5238"/>
      <c r="BB39" s="592"/>
      <c r="BC39" s="592"/>
      <c r="BD39" s="5113"/>
      <c r="BE39" s="5113"/>
      <c r="BF39" s="5742"/>
      <c r="BG39" s="2258"/>
      <c r="BH39" s="3223"/>
      <c r="BI39" s="3223"/>
      <c r="BJ39" s="3223"/>
      <c r="BK39" s="3223"/>
      <c r="BL39" s="3223"/>
      <c r="BM39" s="3223"/>
      <c r="BN39" s="3223"/>
      <c r="BO39" s="3223"/>
      <c r="BP39" s="3223"/>
      <c r="BQ39" s="3223"/>
      <c r="BR39" s="3223"/>
      <c r="BS39" s="3223"/>
      <c r="BT39" s="3223"/>
      <c r="BU39" s="3223"/>
      <c r="BV39" s="3223"/>
    </row>
    <row r="40" spans="2:74" ht="18.75" x14ac:dyDescent="0.3">
      <c r="B40" s="6345"/>
      <c r="C40" s="3251" t="s">
        <v>1780</v>
      </c>
      <c r="D40" s="3244"/>
      <c r="E40" s="3244"/>
      <c r="F40" s="3244"/>
      <c r="G40" s="3244"/>
      <c r="H40" s="3220"/>
      <c r="I40" s="3220"/>
      <c r="J40" s="3244"/>
      <c r="K40" s="3244"/>
      <c r="L40" s="3219"/>
      <c r="M40" s="3219"/>
      <c r="N40" s="220"/>
      <c r="O40" s="220"/>
      <c r="P40" s="3220"/>
      <c r="Q40" s="3220"/>
      <c r="R40" s="220"/>
      <c r="S40" s="335"/>
      <c r="T40" s="3224"/>
      <c r="U40" s="3224"/>
      <c r="V40" s="3244"/>
      <c r="W40" s="3244"/>
      <c r="X40" s="3633"/>
      <c r="Y40" s="3307"/>
      <c r="Z40" s="592"/>
      <c r="AA40" s="592"/>
      <c r="AB40" s="220"/>
      <c r="AC40" s="4063"/>
      <c r="AD40" s="4061"/>
      <c r="AE40" s="4061"/>
      <c r="AF40" s="220"/>
      <c r="AG40" s="4165"/>
      <c r="AH40" s="4163"/>
      <c r="AI40" s="4163"/>
      <c r="AJ40" s="3244"/>
      <c r="AK40" s="3244"/>
      <c r="AL40" s="3633"/>
      <c r="AM40" s="4284"/>
      <c r="AN40" s="4279"/>
      <c r="AO40" s="4279"/>
      <c r="AP40" s="220"/>
      <c r="AQ40" s="4404"/>
      <c r="AR40" s="4402"/>
      <c r="AS40" s="4402"/>
      <c r="AT40" s="220"/>
      <c r="AU40" s="4646"/>
      <c r="AV40" s="4642"/>
      <c r="AW40" s="4642"/>
      <c r="AX40" s="220"/>
      <c r="AY40" s="5118"/>
      <c r="AZ40" s="3633"/>
      <c r="BA40" s="5238"/>
      <c r="BB40" s="592"/>
      <c r="BC40" s="592"/>
      <c r="BD40" s="5113"/>
      <c r="BE40" s="5113"/>
      <c r="BF40" s="5742"/>
      <c r="BG40" s="2258"/>
      <c r="BH40" s="3223"/>
      <c r="BI40" s="3223"/>
      <c r="BJ40" s="3223"/>
      <c r="BK40" s="3223"/>
      <c r="BL40" s="3223"/>
      <c r="BM40" s="3223"/>
      <c r="BN40" s="3223"/>
      <c r="BO40" s="3223"/>
      <c r="BP40" s="3223"/>
      <c r="BQ40" s="3223"/>
      <c r="BR40" s="3223"/>
      <c r="BS40" s="3223"/>
      <c r="BT40" s="3223"/>
      <c r="BU40" s="3223"/>
      <c r="BV40" s="3223"/>
    </row>
    <row r="41" spans="2:74" ht="18.75" x14ac:dyDescent="0.3">
      <c r="B41" s="6345"/>
      <c r="C41" s="3254" t="s">
        <v>1248</v>
      </c>
      <c r="D41" s="3245"/>
      <c r="E41" s="481">
        <v>7363</v>
      </c>
      <c r="F41" s="481"/>
      <c r="G41" s="481">
        <v>6761</v>
      </c>
      <c r="H41" s="3220">
        <f t="shared" si="1"/>
        <v>0</v>
      </c>
      <c r="I41" s="3220">
        <f t="shared" si="2"/>
        <v>14124</v>
      </c>
      <c r="J41" s="481"/>
      <c r="K41" s="481">
        <v>5508</v>
      </c>
      <c r="L41" s="3219">
        <f t="shared" si="3"/>
        <v>0</v>
      </c>
      <c r="M41" s="3592">
        <f>E41+G41+K41</f>
        <v>19632</v>
      </c>
      <c r="N41" s="340"/>
      <c r="O41" s="481">
        <v>12388</v>
      </c>
      <c r="P41" s="3220">
        <f t="shared" si="4"/>
        <v>0</v>
      </c>
      <c r="Q41" s="3220">
        <f t="shared" si="5"/>
        <v>32020</v>
      </c>
      <c r="R41" s="340"/>
      <c r="S41" s="481">
        <v>15774</v>
      </c>
      <c r="T41" s="3224">
        <f t="shared" si="6"/>
        <v>0</v>
      </c>
      <c r="U41" s="3224">
        <f t="shared" si="7"/>
        <v>47794</v>
      </c>
      <c r="V41" s="481"/>
      <c r="W41" s="481">
        <v>12968</v>
      </c>
      <c r="X41" s="3631"/>
      <c r="Y41" s="3307">
        <f t="shared" ref="Y41:Y42" si="77">O41+S41+W41</f>
        <v>41130</v>
      </c>
      <c r="Z41" s="592"/>
      <c r="AA41" s="592">
        <f t="shared" ref="AA41:AA42" si="78">M41+Y41</f>
        <v>60762</v>
      </c>
      <c r="AB41" s="340"/>
      <c r="AC41" s="481">
        <v>15397</v>
      </c>
      <c r="AD41" s="4061"/>
      <c r="AE41" s="4061">
        <f t="shared" ref="AE41:AE42" si="79">+AA41+AC41</f>
        <v>76159</v>
      </c>
      <c r="AF41" s="340"/>
      <c r="AG41" s="481">
        <v>6915</v>
      </c>
      <c r="AH41" s="4163"/>
      <c r="AI41" s="4163">
        <f t="shared" ref="AI41:AI42" si="80">+AE41+AG41</f>
        <v>83074</v>
      </c>
      <c r="AJ41" s="481"/>
      <c r="AK41" s="481">
        <v>12101</v>
      </c>
      <c r="AL41" s="3631"/>
      <c r="AM41" s="4284">
        <f t="shared" ref="AM41:AM42" si="81">AC41+AG41+AK41</f>
        <v>34413</v>
      </c>
      <c r="AN41" s="4279"/>
      <c r="AO41" s="4279">
        <f t="shared" ref="AO41:AO50" si="82">AI41+AK41</f>
        <v>95175</v>
      </c>
      <c r="AP41" s="340"/>
      <c r="AQ41" s="481">
        <v>14056</v>
      </c>
      <c r="AR41" s="4402"/>
      <c r="AS41" s="4402">
        <f t="shared" ref="AS41:AS42" si="83">+AO41+AQ41</f>
        <v>109231</v>
      </c>
      <c r="AT41" s="340"/>
      <c r="AU41" s="481">
        <v>12885</v>
      </c>
      <c r="AV41" s="4642"/>
      <c r="AW41" s="4642">
        <f t="shared" ref="AW41:AW42" si="84">+AS41+AU41</f>
        <v>122116</v>
      </c>
      <c r="AX41" s="340"/>
      <c r="AY41" s="481">
        <v>9790</v>
      </c>
      <c r="AZ41" s="3631"/>
      <c r="BA41" s="5238">
        <f t="shared" ref="BA41:BA42" si="85">AQ41+AU41+AY41</f>
        <v>36731</v>
      </c>
      <c r="BB41" s="592"/>
      <c r="BC41" s="592">
        <f t="shared" si="17"/>
        <v>71144</v>
      </c>
      <c r="BD41" s="5113"/>
      <c r="BE41" s="5113">
        <f t="shared" ref="BE41:BE42" si="86">+AW41+AY41</f>
        <v>131906</v>
      </c>
      <c r="BF41" s="5742"/>
      <c r="BG41" s="2258"/>
      <c r="BH41" s="3223"/>
      <c r="BI41" s="3223"/>
      <c r="BJ41" s="3223"/>
      <c r="BK41" s="3223"/>
      <c r="BL41" s="3223"/>
      <c r="BM41" s="3223"/>
      <c r="BN41" s="3223"/>
      <c r="BO41" s="3223"/>
      <c r="BP41" s="3223"/>
      <c r="BQ41" s="3223"/>
      <c r="BR41" s="3223"/>
      <c r="BS41" s="3223"/>
      <c r="BT41" s="3223"/>
      <c r="BU41" s="3223"/>
      <c r="BV41" s="3223"/>
    </row>
    <row r="42" spans="2:74" ht="18.75" x14ac:dyDescent="0.3">
      <c r="B42" s="6346"/>
      <c r="C42" s="3254" t="s">
        <v>1249</v>
      </c>
      <c r="D42" s="3245"/>
      <c r="E42" s="481">
        <v>1700</v>
      </c>
      <c r="F42" s="481"/>
      <c r="G42" s="481">
        <v>0</v>
      </c>
      <c r="H42" s="3220">
        <f t="shared" si="1"/>
        <v>0</v>
      </c>
      <c r="I42" s="3220">
        <f t="shared" si="2"/>
        <v>1700</v>
      </c>
      <c r="J42" s="481"/>
      <c r="K42" s="481">
        <v>2354</v>
      </c>
      <c r="L42" s="3219">
        <f t="shared" si="3"/>
        <v>0</v>
      </c>
      <c r="M42" s="3592">
        <f>E42+G42+K42</f>
        <v>4054</v>
      </c>
      <c r="N42" s="340"/>
      <c r="O42" s="481">
        <v>3440</v>
      </c>
      <c r="P42" s="3220">
        <f t="shared" si="4"/>
        <v>0</v>
      </c>
      <c r="Q42" s="3220">
        <f t="shared" si="5"/>
        <v>7494</v>
      </c>
      <c r="R42" s="340"/>
      <c r="S42" s="481">
        <v>3473</v>
      </c>
      <c r="T42" s="3224">
        <f t="shared" si="6"/>
        <v>0</v>
      </c>
      <c r="U42" s="3224">
        <f t="shared" si="7"/>
        <v>10967</v>
      </c>
      <c r="V42" s="481"/>
      <c r="W42" s="481">
        <v>1140</v>
      </c>
      <c r="X42" s="3631"/>
      <c r="Y42" s="3307">
        <f t="shared" si="77"/>
        <v>8053</v>
      </c>
      <c r="Z42" s="592"/>
      <c r="AA42" s="592">
        <f t="shared" si="78"/>
        <v>12107</v>
      </c>
      <c r="AB42" s="340"/>
      <c r="AC42" s="481">
        <v>447</v>
      </c>
      <c r="AD42" s="4061"/>
      <c r="AE42" s="4061">
        <f t="shared" si="79"/>
        <v>12554</v>
      </c>
      <c r="AF42" s="340"/>
      <c r="AG42" s="481">
        <v>938</v>
      </c>
      <c r="AH42" s="4163"/>
      <c r="AI42" s="4163">
        <f t="shared" si="80"/>
        <v>13492</v>
      </c>
      <c r="AJ42" s="481"/>
      <c r="AK42" s="481">
        <v>656</v>
      </c>
      <c r="AL42" s="3631"/>
      <c r="AM42" s="4284">
        <f t="shared" si="81"/>
        <v>2041</v>
      </c>
      <c r="AN42" s="4279"/>
      <c r="AO42" s="4279">
        <f t="shared" si="82"/>
        <v>14148</v>
      </c>
      <c r="AP42" s="340"/>
      <c r="AQ42" s="481">
        <v>1743</v>
      </c>
      <c r="AR42" s="4402"/>
      <c r="AS42" s="4402">
        <f t="shared" si="83"/>
        <v>15891</v>
      </c>
      <c r="AT42" s="340"/>
      <c r="AU42" s="481">
        <v>5924</v>
      </c>
      <c r="AV42" s="4642"/>
      <c r="AW42" s="4642">
        <f t="shared" si="84"/>
        <v>21815</v>
      </c>
      <c r="AX42" s="340"/>
      <c r="AY42" s="481">
        <v>2576</v>
      </c>
      <c r="AZ42" s="3631"/>
      <c r="BA42" s="5238">
        <f t="shared" si="85"/>
        <v>10243</v>
      </c>
      <c r="BB42" s="592"/>
      <c r="BC42" s="592">
        <f t="shared" si="17"/>
        <v>12284</v>
      </c>
      <c r="BD42" s="5113"/>
      <c r="BE42" s="5113">
        <f t="shared" si="86"/>
        <v>24391</v>
      </c>
      <c r="BF42" s="5742"/>
      <c r="BG42" s="2258"/>
      <c r="BH42" s="3223"/>
      <c r="BI42" s="3223"/>
      <c r="BJ42" s="3223"/>
      <c r="BK42" s="3223"/>
      <c r="BL42" s="3223"/>
      <c r="BM42" s="3223"/>
      <c r="BN42" s="3223"/>
      <c r="BO42" s="3223"/>
      <c r="BP42" s="3223"/>
      <c r="BQ42" s="3223"/>
      <c r="BR42" s="3223"/>
      <c r="BS42" s="3223"/>
      <c r="BT42" s="3223"/>
      <c r="BU42" s="3223"/>
      <c r="BV42" s="3223"/>
    </row>
    <row r="43" spans="2:74" ht="18.75" x14ac:dyDescent="0.3">
      <c r="B43" s="3246"/>
      <c r="C43" s="3254"/>
      <c r="D43" s="3245"/>
      <c r="E43" s="3245"/>
      <c r="F43" s="3245"/>
      <c r="G43" s="3245"/>
      <c r="H43" s="3220"/>
      <c r="I43" s="3220"/>
      <c r="J43" s="3245"/>
      <c r="K43" s="3245"/>
      <c r="L43" s="3219"/>
      <c r="M43" s="3219"/>
      <c r="N43" s="220"/>
      <c r="O43" s="220"/>
      <c r="P43" s="3220"/>
      <c r="Q43" s="3220"/>
      <c r="R43" s="220"/>
      <c r="S43" s="335"/>
      <c r="T43" s="3224"/>
      <c r="U43" s="3224"/>
      <c r="V43" s="3245"/>
      <c r="W43" s="3245"/>
      <c r="X43" s="3636"/>
      <c r="Y43" s="3307"/>
      <c r="Z43" s="592"/>
      <c r="AA43" s="592"/>
      <c r="AB43" s="220"/>
      <c r="AC43" s="4063"/>
      <c r="AD43" s="4061"/>
      <c r="AE43" s="4061"/>
      <c r="AF43" s="220"/>
      <c r="AG43" s="4165"/>
      <c r="AH43" s="4163"/>
      <c r="AI43" s="4163"/>
      <c r="AJ43" s="3245"/>
      <c r="AK43" s="3245"/>
      <c r="AL43" s="3636"/>
      <c r="AM43" s="4284"/>
      <c r="AN43" s="4279"/>
      <c r="AO43" s="4279"/>
      <c r="AP43" s="220"/>
      <c r="AQ43" s="4404"/>
      <c r="AR43" s="4402"/>
      <c r="AS43" s="4402"/>
      <c r="AT43" s="220"/>
      <c r="AU43" s="4646"/>
      <c r="AV43" s="4642"/>
      <c r="AW43" s="4642"/>
      <c r="AX43" s="220"/>
      <c r="AY43" s="5118"/>
      <c r="AZ43" s="3636"/>
      <c r="BA43" s="5238"/>
      <c r="BB43" s="592"/>
      <c r="BC43" s="592"/>
      <c r="BD43" s="5113"/>
      <c r="BE43" s="5113"/>
      <c r="BF43" s="5742"/>
      <c r="BG43" s="2258"/>
      <c r="BH43" s="3223"/>
      <c r="BI43" s="3223"/>
      <c r="BJ43" s="3223"/>
      <c r="BK43" s="3223"/>
      <c r="BL43" s="3223"/>
      <c r="BM43" s="3223"/>
      <c r="BN43" s="3223"/>
      <c r="BO43" s="3223"/>
      <c r="BP43" s="3223"/>
      <c r="BQ43" s="3223"/>
      <c r="BR43" s="3223"/>
      <c r="BS43" s="3223"/>
      <c r="BT43" s="3223"/>
      <c r="BU43" s="3223"/>
      <c r="BV43" s="3223"/>
    </row>
    <row r="44" spans="2:74" ht="18.75" x14ac:dyDescent="0.3">
      <c r="B44" s="6347" t="s">
        <v>1781</v>
      </c>
      <c r="C44" s="3255" t="s">
        <v>1782</v>
      </c>
      <c r="D44" s="3241"/>
      <c r="E44" s="3221">
        <f>+E45+E46+E47</f>
        <v>32121</v>
      </c>
      <c r="F44" s="3241"/>
      <c r="G44" s="3221">
        <f t="shared" ref="G44:S44" si="87">+G45+G46+G47</f>
        <v>21183</v>
      </c>
      <c r="H44" s="3220">
        <f t="shared" si="1"/>
        <v>0</v>
      </c>
      <c r="I44" s="3220">
        <f t="shared" si="2"/>
        <v>53304</v>
      </c>
      <c r="J44" s="3221">
        <f t="shared" si="87"/>
        <v>0</v>
      </c>
      <c r="K44" s="3221">
        <f t="shared" si="87"/>
        <v>11820</v>
      </c>
      <c r="L44" s="3219">
        <f t="shared" si="3"/>
        <v>0</v>
      </c>
      <c r="M44" s="3592">
        <f t="shared" ref="M44:M50" si="88">E44+G44+K44</f>
        <v>65124</v>
      </c>
      <c r="N44" s="3221">
        <f t="shared" si="87"/>
        <v>0</v>
      </c>
      <c r="O44" s="3221">
        <f t="shared" si="87"/>
        <v>23864</v>
      </c>
      <c r="P44" s="3220">
        <f t="shared" si="4"/>
        <v>0</v>
      </c>
      <c r="Q44" s="3220">
        <f t="shared" si="5"/>
        <v>88988</v>
      </c>
      <c r="R44" s="3221">
        <f t="shared" si="87"/>
        <v>0</v>
      </c>
      <c r="S44" s="3221">
        <f t="shared" si="87"/>
        <v>27799</v>
      </c>
      <c r="T44" s="3224">
        <f t="shared" si="6"/>
        <v>0</v>
      </c>
      <c r="U44" s="3224">
        <f t="shared" si="7"/>
        <v>116787</v>
      </c>
      <c r="V44" s="3304">
        <f t="shared" ref="V44:W44" si="89">+V45+V46+V47</f>
        <v>0</v>
      </c>
      <c r="W44" s="3304">
        <f t="shared" si="89"/>
        <v>18326</v>
      </c>
      <c r="X44" s="3630"/>
      <c r="Y44" s="3307">
        <f t="shared" ref="Y44:Y50" si="90">O44+S44+W44</f>
        <v>69989</v>
      </c>
      <c r="Z44" s="592"/>
      <c r="AA44" s="592">
        <f t="shared" ref="AA44:AA50" si="91">M44+Y44</f>
        <v>135113</v>
      </c>
      <c r="AB44" s="4060">
        <f t="shared" ref="AB44:AC44" si="92">+AB45+AB46+AB47</f>
        <v>0</v>
      </c>
      <c r="AC44" s="4076">
        <f t="shared" si="92"/>
        <v>23393</v>
      </c>
      <c r="AD44" s="4061"/>
      <c r="AE44" s="4061">
        <f t="shared" ref="AE44:AE50" si="93">+AA44+AC44</f>
        <v>158506</v>
      </c>
      <c r="AF44" s="4162">
        <f t="shared" ref="AF44:AG44" si="94">+AF45+AF46+AF47</f>
        <v>0</v>
      </c>
      <c r="AG44" s="4162">
        <f t="shared" si="94"/>
        <v>27188</v>
      </c>
      <c r="AH44" s="4163"/>
      <c r="AI44" s="4163">
        <f t="shared" ref="AI44:AI50" si="95">+AE44+AG44</f>
        <v>185694</v>
      </c>
      <c r="AJ44" s="4278">
        <f t="shared" ref="AJ44:AK44" si="96">+AJ45+AJ46+AJ47</f>
        <v>0</v>
      </c>
      <c r="AK44" s="4278">
        <f t="shared" si="96"/>
        <v>32170</v>
      </c>
      <c r="AL44" s="3630"/>
      <c r="AM44" s="4284">
        <f t="shared" ref="AM44:AM50" si="97">AC44+AG44+AK44</f>
        <v>82751</v>
      </c>
      <c r="AN44" s="4279"/>
      <c r="AO44" s="4279">
        <f t="shared" si="82"/>
        <v>217864</v>
      </c>
      <c r="AP44" s="4401">
        <f t="shared" ref="AP44:AQ44" si="98">+AP45+AP46+AP47</f>
        <v>0</v>
      </c>
      <c r="AQ44" s="4401">
        <f t="shared" si="98"/>
        <v>24232</v>
      </c>
      <c r="AR44" s="4402"/>
      <c r="AS44" s="4402">
        <f t="shared" ref="AS44:AS50" si="99">+AO44+AQ44</f>
        <v>242096</v>
      </c>
      <c r="AT44" s="4644">
        <f t="shared" ref="AT44:AU44" si="100">+AT45+AT46+AT47</f>
        <v>0</v>
      </c>
      <c r="AU44" s="4644">
        <f t="shared" si="100"/>
        <v>36018</v>
      </c>
      <c r="AV44" s="4642"/>
      <c r="AW44" s="4642">
        <f t="shared" ref="AW44:AW50" si="101">+AS44+AU44</f>
        <v>278114</v>
      </c>
      <c r="AX44" s="5116">
        <f t="shared" ref="AX44:AY44" si="102">+AX45+AX46+AX47</f>
        <v>0</v>
      </c>
      <c r="AY44" s="5116">
        <f t="shared" si="102"/>
        <v>38748</v>
      </c>
      <c r="AZ44" s="3630"/>
      <c r="BA44" s="5238">
        <f t="shared" ref="BA44:BA50" si="103">AQ44+AU44+AY44</f>
        <v>98998</v>
      </c>
      <c r="BB44" s="592"/>
      <c r="BC44" s="592">
        <f t="shared" si="17"/>
        <v>181749</v>
      </c>
      <c r="BD44" s="5113"/>
      <c r="BE44" s="5113">
        <f t="shared" ref="BE44:BE50" si="104">+AW44+AY44</f>
        <v>316862</v>
      </c>
      <c r="BF44" s="5742"/>
      <c r="BG44" s="2258"/>
      <c r="BH44" s="3223"/>
      <c r="BI44" s="3223"/>
      <c r="BJ44" s="3223"/>
      <c r="BK44" s="3223"/>
      <c r="BL44" s="3223"/>
      <c r="BM44" s="3223"/>
      <c r="BN44" s="3223"/>
      <c r="BO44" s="3223"/>
      <c r="BP44" s="3223"/>
      <c r="BQ44" s="3223"/>
      <c r="BR44" s="3223"/>
      <c r="BS44" s="3223"/>
      <c r="BT44" s="3223"/>
      <c r="BU44" s="3223"/>
      <c r="BV44" s="3223"/>
    </row>
    <row r="45" spans="2:74" ht="18.75" x14ac:dyDescent="0.25">
      <c r="B45" s="6348"/>
      <c r="C45" s="3247" t="s">
        <v>816</v>
      </c>
      <c r="D45" s="2385"/>
      <c r="E45" s="245">
        <f>+SINTER!F38</f>
        <v>20686</v>
      </c>
      <c r="F45" s="2385"/>
      <c r="G45" s="245">
        <f>+SINTER!H38</f>
        <v>10173</v>
      </c>
      <c r="H45" s="3220">
        <f t="shared" si="1"/>
        <v>0</v>
      </c>
      <c r="I45" s="3220">
        <f t="shared" si="2"/>
        <v>30859</v>
      </c>
      <c r="J45" s="2385"/>
      <c r="K45" s="245">
        <f>+SINTER!L38</f>
        <v>4414</v>
      </c>
      <c r="L45" s="3219">
        <f t="shared" si="3"/>
        <v>0</v>
      </c>
      <c r="M45" s="3592">
        <f t="shared" si="88"/>
        <v>35273</v>
      </c>
      <c r="N45" s="3258"/>
      <c r="O45" s="245">
        <f>+SINTER!P38</f>
        <v>13150</v>
      </c>
      <c r="P45" s="3220">
        <f t="shared" si="4"/>
        <v>0</v>
      </c>
      <c r="Q45" s="3220">
        <f t="shared" si="5"/>
        <v>48423</v>
      </c>
      <c r="R45" s="3258"/>
      <c r="S45" s="245">
        <f>+SINTER!T38</f>
        <v>10198</v>
      </c>
      <c r="T45" s="3224">
        <f t="shared" si="6"/>
        <v>0</v>
      </c>
      <c r="U45" s="3224">
        <f t="shared" si="7"/>
        <v>58621</v>
      </c>
      <c r="V45" s="2385"/>
      <c r="W45" s="245">
        <f>+SINTER!X38</f>
        <v>10449</v>
      </c>
      <c r="X45" s="3631"/>
      <c r="Y45" s="3307">
        <f t="shared" si="90"/>
        <v>33797</v>
      </c>
      <c r="Z45" s="592"/>
      <c r="AA45" s="592">
        <f t="shared" si="91"/>
        <v>69070</v>
      </c>
      <c r="AB45" s="3258"/>
      <c r="AC45" s="245">
        <f>+SINTER!AD38</f>
        <v>9252</v>
      </c>
      <c r="AD45" s="4061"/>
      <c r="AE45" s="4061">
        <f t="shared" si="93"/>
        <v>78322</v>
      </c>
      <c r="AF45" s="3258"/>
      <c r="AG45" s="245">
        <f>+SINTER!AH38</f>
        <v>8035</v>
      </c>
      <c r="AH45" s="4163"/>
      <c r="AI45" s="4163">
        <f t="shared" si="95"/>
        <v>86357</v>
      </c>
      <c r="AJ45" s="2385"/>
      <c r="AK45" s="245">
        <f>+SINTER!AL38</f>
        <v>10935</v>
      </c>
      <c r="AL45" s="3631"/>
      <c r="AM45" s="4284">
        <f t="shared" si="97"/>
        <v>28222</v>
      </c>
      <c r="AN45" s="4279"/>
      <c r="AO45" s="4279">
        <f t="shared" si="82"/>
        <v>97292</v>
      </c>
      <c r="AP45" s="3258"/>
      <c r="AQ45" s="245">
        <f>+SINTER!AR38</f>
        <v>8843</v>
      </c>
      <c r="AR45" s="4402"/>
      <c r="AS45" s="4402">
        <f t="shared" si="99"/>
        <v>106135</v>
      </c>
      <c r="AT45" s="3258"/>
      <c r="AU45" s="245">
        <f>+SINTER!AV38</f>
        <v>20185</v>
      </c>
      <c r="AV45" s="4642"/>
      <c r="AW45" s="4642">
        <f t="shared" si="101"/>
        <v>126320</v>
      </c>
      <c r="AX45" s="3258"/>
      <c r="AY45" s="245">
        <f>+SINTER!AZ38</f>
        <v>20948</v>
      </c>
      <c r="AZ45" s="3631"/>
      <c r="BA45" s="5238">
        <f t="shared" si="103"/>
        <v>49976</v>
      </c>
      <c r="BB45" s="592"/>
      <c r="BC45" s="592">
        <f t="shared" si="17"/>
        <v>78198</v>
      </c>
      <c r="BD45" s="5113"/>
      <c r="BE45" s="5113">
        <f t="shared" si="104"/>
        <v>147268</v>
      </c>
      <c r="BF45" s="5742"/>
      <c r="BG45" s="2258"/>
      <c r="BH45" s="3223"/>
      <c r="BI45" s="3223"/>
      <c r="BJ45" s="3223"/>
      <c r="BK45" s="3223"/>
      <c r="BL45" s="3223"/>
      <c r="BM45" s="3223"/>
      <c r="BN45" s="3223"/>
      <c r="BO45" s="3223"/>
      <c r="BP45" s="3223"/>
      <c r="BQ45" s="3223"/>
      <c r="BR45" s="3223"/>
      <c r="BS45" s="3223"/>
      <c r="BT45" s="3223"/>
      <c r="BU45" s="3223"/>
      <c r="BV45" s="3223"/>
    </row>
    <row r="46" spans="2:74" ht="18.75" x14ac:dyDescent="0.25">
      <c r="B46" s="6348"/>
      <c r="C46" s="3247" t="s">
        <v>815</v>
      </c>
      <c r="D46" s="2385"/>
      <c r="E46" s="245">
        <f>+SINTER!F39</f>
        <v>236</v>
      </c>
      <c r="F46" s="2385"/>
      <c r="G46" s="245">
        <f>+SINTER!H39</f>
        <v>3018</v>
      </c>
      <c r="H46" s="3220">
        <f t="shared" si="1"/>
        <v>0</v>
      </c>
      <c r="I46" s="3220">
        <f t="shared" si="2"/>
        <v>3254</v>
      </c>
      <c r="J46" s="2385"/>
      <c r="K46" s="245">
        <f>+SINTER!L39</f>
        <v>1926</v>
      </c>
      <c r="L46" s="3219">
        <f t="shared" si="3"/>
        <v>0</v>
      </c>
      <c r="M46" s="3592">
        <f t="shared" si="88"/>
        <v>5180</v>
      </c>
      <c r="N46" s="3258"/>
      <c r="O46" s="245">
        <f>+SINTER!P39</f>
        <v>1942</v>
      </c>
      <c r="P46" s="3220">
        <f t="shared" si="4"/>
        <v>0</v>
      </c>
      <c r="Q46" s="3220">
        <f t="shared" si="5"/>
        <v>7122</v>
      </c>
      <c r="R46" s="3258"/>
      <c r="S46" s="245">
        <f>+SINTER!T39</f>
        <v>8233</v>
      </c>
      <c r="T46" s="3224">
        <f t="shared" si="6"/>
        <v>0</v>
      </c>
      <c r="U46" s="3224">
        <f t="shared" si="7"/>
        <v>15355</v>
      </c>
      <c r="V46" s="2385"/>
      <c r="W46" s="245">
        <f>+SINTER!X39</f>
        <v>827</v>
      </c>
      <c r="X46" s="3631"/>
      <c r="Y46" s="3307">
        <f t="shared" si="90"/>
        <v>11002</v>
      </c>
      <c r="Z46" s="592"/>
      <c r="AA46" s="592">
        <f t="shared" si="91"/>
        <v>16182</v>
      </c>
      <c r="AB46" s="3258"/>
      <c r="AC46" s="245">
        <f>+SINTER!AD39</f>
        <v>4822</v>
      </c>
      <c r="AD46" s="4061"/>
      <c r="AE46" s="4061">
        <f t="shared" si="93"/>
        <v>21004</v>
      </c>
      <c r="AF46" s="3258"/>
      <c r="AG46" s="245">
        <f>+SINTER!AH39</f>
        <v>9204</v>
      </c>
      <c r="AH46" s="4163"/>
      <c r="AI46" s="4163">
        <f t="shared" si="95"/>
        <v>30208</v>
      </c>
      <c r="AJ46" s="2385"/>
      <c r="AK46" s="245">
        <f>+SINTER!AL39</f>
        <v>8197</v>
      </c>
      <c r="AL46" s="3631"/>
      <c r="AM46" s="4284">
        <f t="shared" si="97"/>
        <v>22223</v>
      </c>
      <c r="AN46" s="4279"/>
      <c r="AO46" s="4279">
        <f t="shared" si="82"/>
        <v>38405</v>
      </c>
      <c r="AP46" s="3258"/>
      <c r="AQ46" s="245">
        <f>+SINTER!AR39</f>
        <v>5083</v>
      </c>
      <c r="AR46" s="4402"/>
      <c r="AS46" s="4402">
        <f t="shared" si="99"/>
        <v>43488</v>
      </c>
      <c r="AT46" s="3258"/>
      <c r="AU46" s="245">
        <f>+SINTER!AV39</f>
        <v>4544</v>
      </c>
      <c r="AV46" s="4642"/>
      <c r="AW46" s="4642">
        <f t="shared" si="101"/>
        <v>48032</v>
      </c>
      <c r="AX46" s="3258"/>
      <c r="AY46" s="245">
        <f>+SINTER!AZ39</f>
        <v>4472</v>
      </c>
      <c r="AZ46" s="3631"/>
      <c r="BA46" s="5238">
        <f t="shared" si="103"/>
        <v>14099</v>
      </c>
      <c r="BB46" s="592"/>
      <c r="BC46" s="592">
        <f t="shared" si="17"/>
        <v>36322</v>
      </c>
      <c r="BD46" s="5113"/>
      <c r="BE46" s="5113">
        <f t="shared" si="104"/>
        <v>52504</v>
      </c>
      <c r="BF46" s="5742"/>
      <c r="BG46" s="2258"/>
      <c r="BH46" s="3223"/>
      <c r="BI46" s="3223"/>
      <c r="BJ46" s="3223"/>
      <c r="BK46" s="3223"/>
      <c r="BL46" s="3223"/>
      <c r="BM46" s="3223"/>
      <c r="BN46" s="3223"/>
      <c r="BO46" s="3223"/>
      <c r="BP46" s="3223"/>
      <c r="BQ46" s="3223"/>
      <c r="BR46" s="3223"/>
      <c r="BS46" s="3223"/>
      <c r="BT46" s="3223"/>
      <c r="BU46" s="3223"/>
      <c r="BV46" s="3223"/>
    </row>
    <row r="47" spans="2:74" ht="18.75" x14ac:dyDescent="0.25">
      <c r="B47" s="6349"/>
      <c r="C47" s="3247" t="s">
        <v>1041</v>
      </c>
      <c r="D47" s="2385"/>
      <c r="E47" s="245">
        <f>+SINTER!F41</f>
        <v>11199</v>
      </c>
      <c r="F47" s="2385"/>
      <c r="G47" s="245">
        <f>+SINTER!H41</f>
        <v>7992</v>
      </c>
      <c r="H47" s="3220">
        <f t="shared" si="1"/>
        <v>0</v>
      </c>
      <c r="I47" s="3220">
        <f t="shared" si="2"/>
        <v>19191</v>
      </c>
      <c r="J47" s="2385"/>
      <c r="K47" s="245">
        <f>+SINTER!L41</f>
        <v>5480</v>
      </c>
      <c r="L47" s="3219">
        <f t="shared" si="3"/>
        <v>0</v>
      </c>
      <c r="M47" s="3592">
        <f t="shared" si="88"/>
        <v>24671</v>
      </c>
      <c r="N47" s="3258"/>
      <c r="O47" s="245">
        <f>+SINTER!P41</f>
        <v>8772</v>
      </c>
      <c r="P47" s="3220">
        <f t="shared" si="4"/>
        <v>0</v>
      </c>
      <c r="Q47" s="3220">
        <f t="shared" si="5"/>
        <v>33443</v>
      </c>
      <c r="R47" s="3258"/>
      <c r="S47" s="245">
        <f>+SINTER!T41</f>
        <v>9368</v>
      </c>
      <c r="T47" s="3224">
        <f t="shared" si="6"/>
        <v>0</v>
      </c>
      <c r="U47" s="3224">
        <f t="shared" si="7"/>
        <v>42811</v>
      </c>
      <c r="V47" s="2385"/>
      <c r="W47" s="245">
        <f>+SINTER!X41</f>
        <v>7050</v>
      </c>
      <c r="X47" s="3631"/>
      <c r="Y47" s="3307">
        <f t="shared" si="90"/>
        <v>25190</v>
      </c>
      <c r="Z47" s="592"/>
      <c r="AA47" s="592">
        <f t="shared" si="91"/>
        <v>49861</v>
      </c>
      <c r="AB47" s="3258"/>
      <c r="AC47" s="245">
        <f>+SINTER!AD41</f>
        <v>9319</v>
      </c>
      <c r="AD47" s="4061"/>
      <c r="AE47" s="4061">
        <f t="shared" si="93"/>
        <v>59180</v>
      </c>
      <c r="AF47" s="3258"/>
      <c r="AG47" s="245">
        <f>+SINTER!AH41</f>
        <v>9949</v>
      </c>
      <c r="AH47" s="4163"/>
      <c r="AI47" s="4163">
        <f t="shared" si="95"/>
        <v>69129</v>
      </c>
      <c r="AJ47" s="2385"/>
      <c r="AK47" s="245">
        <f>+SINTER!AL41</f>
        <v>13038</v>
      </c>
      <c r="AL47" s="3631"/>
      <c r="AM47" s="4284">
        <f t="shared" si="97"/>
        <v>32306</v>
      </c>
      <c r="AN47" s="4279"/>
      <c r="AO47" s="4279">
        <f t="shared" si="82"/>
        <v>82167</v>
      </c>
      <c r="AP47" s="3258"/>
      <c r="AQ47" s="245">
        <f>+SINTER!AR41</f>
        <v>10306</v>
      </c>
      <c r="AR47" s="4402"/>
      <c r="AS47" s="4402">
        <f t="shared" si="99"/>
        <v>92473</v>
      </c>
      <c r="AT47" s="3258"/>
      <c r="AU47" s="245">
        <f>+SINTER!AV41</f>
        <v>11289</v>
      </c>
      <c r="AV47" s="4642"/>
      <c r="AW47" s="4642">
        <f t="shared" si="101"/>
        <v>103762</v>
      </c>
      <c r="AX47" s="3258"/>
      <c r="AY47" s="245">
        <f>+SINTER!AZ41</f>
        <v>13328</v>
      </c>
      <c r="AZ47" s="3631"/>
      <c r="BA47" s="5238">
        <f t="shared" si="103"/>
        <v>34923</v>
      </c>
      <c r="BB47" s="592"/>
      <c r="BC47" s="592">
        <f t="shared" si="17"/>
        <v>67229</v>
      </c>
      <c r="BD47" s="5113"/>
      <c r="BE47" s="5113">
        <f t="shared" si="104"/>
        <v>117090</v>
      </c>
      <c r="BF47" s="5742"/>
      <c r="BG47" s="2258"/>
      <c r="BH47" s="3223"/>
      <c r="BI47" s="3223"/>
      <c r="BJ47" s="3223"/>
      <c r="BK47" s="3223"/>
      <c r="BL47" s="3223"/>
      <c r="BM47" s="3223"/>
      <c r="BN47" s="3223"/>
      <c r="BO47" s="3223"/>
      <c r="BP47" s="3223"/>
      <c r="BQ47" s="3223"/>
      <c r="BR47" s="3223"/>
      <c r="BS47" s="3223"/>
      <c r="BT47" s="3223"/>
      <c r="BU47" s="3223"/>
      <c r="BV47" s="3223"/>
    </row>
    <row r="48" spans="2:74" ht="18.75" x14ac:dyDescent="0.25">
      <c r="B48" s="6347" t="s">
        <v>1034</v>
      </c>
      <c r="C48" s="3249" t="s">
        <v>1783</v>
      </c>
      <c r="D48" s="3243"/>
      <c r="E48" s="748">
        <f>+SINTER!F19</f>
        <v>456311.38052477402</v>
      </c>
      <c r="F48" s="3243"/>
      <c r="G48" s="748">
        <f>+SINTER!H19</f>
        <v>381035.95874146628</v>
      </c>
      <c r="H48" s="3220">
        <f t="shared" si="1"/>
        <v>0</v>
      </c>
      <c r="I48" s="3220">
        <f t="shared" si="2"/>
        <v>837347.33926624036</v>
      </c>
      <c r="J48" s="3243"/>
      <c r="K48" s="748">
        <f>+SINTER!L19</f>
        <v>406413.69159155496</v>
      </c>
      <c r="L48" s="3219">
        <f t="shared" si="3"/>
        <v>0</v>
      </c>
      <c r="M48" s="3592">
        <f t="shared" si="88"/>
        <v>1243761.0308577954</v>
      </c>
      <c r="N48" s="220"/>
      <c r="O48" s="748">
        <f>+SINTER!P19</f>
        <v>465993.20082174585</v>
      </c>
      <c r="P48" s="3220">
        <f t="shared" si="4"/>
        <v>0</v>
      </c>
      <c r="Q48" s="3220">
        <f t="shared" si="5"/>
        <v>1709754.2316795413</v>
      </c>
      <c r="R48" s="220"/>
      <c r="S48" s="748">
        <f>+SINTER!T19</f>
        <v>460987.03500000003</v>
      </c>
      <c r="T48" s="3224">
        <f t="shared" si="6"/>
        <v>0</v>
      </c>
      <c r="U48" s="3267">
        <f t="shared" si="7"/>
        <v>2170741.2666795412</v>
      </c>
      <c r="V48" s="3243"/>
      <c r="W48" s="748">
        <f>+SINTER!X19</f>
        <v>452052</v>
      </c>
      <c r="X48" s="3637"/>
      <c r="Y48" s="3590">
        <f t="shared" si="90"/>
        <v>1379032.2358217458</v>
      </c>
      <c r="Z48" s="595"/>
      <c r="AA48" s="595">
        <f t="shared" si="91"/>
        <v>2622793.2666795412</v>
      </c>
      <c r="AB48" s="220"/>
      <c r="AC48" s="748">
        <f>+SINTER!AD19</f>
        <v>479931</v>
      </c>
      <c r="AD48" s="4061"/>
      <c r="AE48" s="4059">
        <f t="shared" si="93"/>
        <v>3102724.2666795412</v>
      </c>
      <c r="AF48" s="220"/>
      <c r="AG48" s="748">
        <f>+SINTER!AH19</f>
        <v>444154</v>
      </c>
      <c r="AH48" s="4163"/>
      <c r="AI48" s="4159">
        <f t="shared" si="95"/>
        <v>3546878.2666795412</v>
      </c>
      <c r="AJ48" s="3243"/>
      <c r="AK48" s="748">
        <f>+SINTER!AL19</f>
        <v>448831</v>
      </c>
      <c r="AL48" s="3637"/>
      <c r="AM48" s="4282">
        <f t="shared" si="97"/>
        <v>1372916</v>
      </c>
      <c r="AN48" s="4279"/>
      <c r="AO48" s="4279">
        <f t="shared" si="82"/>
        <v>3995709.2666795412</v>
      </c>
      <c r="AP48" s="220"/>
      <c r="AQ48" s="2256">
        <f>+SINTER!AR19</f>
        <v>414523</v>
      </c>
      <c r="AR48" s="4402"/>
      <c r="AS48" s="4400">
        <f t="shared" si="99"/>
        <v>4410232.2666795412</v>
      </c>
      <c r="AT48" s="220"/>
      <c r="AU48" s="2256">
        <f>+SINTER!AV19</f>
        <v>429228</v>
      </c>
      <c r="AV48" s="4642"/>
      <c r="AW48" s="4641">
        <f t="shared" si="101"/>
        <v>4839460.2666795412</v>
      </c>
      <c r="AX48" s="220"/>
      <c r="AY48" s="2256">
        <f>+SINTER!AZ19</f>
        <v>416266</v>
      </c>
      <c r="AZ48" s="3637"/>
      <c r="BA48" s="5239">
        <f t="shared" si="103"/>
        <v>1260017</v>
      </c>
      <c r="BB48" s="595"/>
      <c r="BC48" s="595">
        <f t="shared" si="17"/>
        <v>2632933</v>
      </c>
      <c r="BD48" s="5113"/>
      <c r="BE48" s="5112">
        <f t="shared" si="104"/>
        <v>5255726.2666795412</v>
      </c>
      <c r="BF48" s="5742"/>
      <c r="BG48" s="2258"/>
      <c r="BH48" s="3223"/>
      <c r="BI48" s="3223"/>
      <c r="BJ48" s="3223"/>
      <c r="BK48" s="3223"/>
      <c r="BL48" s="3223"/>
      <c r="BM48" s="3223"/>
      <c r="BN48" s="3223"/>
      <c r="BO48" s="3223"/>
      <c r="BP48" s="3223"/>
      <c r="BQ48" s="3223"/>
      <c r="BR48" s="3223"/>
      <c r="BS48" s="3223"/>
      <c r="BT48" s="3223"/>
      <c r="BU48" s="3223"/>
      <c r="BV48" s="3223"/>
    </row>
    <row r="49" spans="1:74" ht="18.75" x14ac:dyDescent="0.25">
      <c r="B49" s="6348"/>
      <c r="C49" s="3249" t="s">
        <v>1784</v>
      </c>
      <c r="D49" s="3243"/>
      <c r="E49" s="335">
        <f t="shared" ref="E49:O49" si="105">SUM(E45:E47)</f>
        <v>32121</v>
      </c>
      <c r="F49" s="335">
        <f t="shared" si="105"/>
        <v>0</v>
      </c>
      <c r="G49" s="335">
        <f t="shared" si="105"/>
        <v>21183</v>
      </c>
      <c r="H49" s="3220">
        <f t="shared" si="1"/>
        <v>0</v>
      </c>
      <c r="I49" s="3220">
        <f t="shared" si="2"/>
        <v>53304</v>
      </c>
      <c r="J49" s="335">
        <f t="shared" si="105"/>
        <v>0</v>
      </c>
      <c r="K49" s="335">
        <f t="shared" si="105"/>
        <v>11820</v>
      </c>
      <c r="L49" s="3219">
        <f t="shared" si="3"/>
        <v>0</v>
      </c>
      <c r="M49" s="3592">
        <f t="shared" si="88"/>
        <v>65124</v>
      </c>
      <c r="N49" s="335">
        <f t="shared" si="105"/>
        <v>0</v>
      </c>
      <c r="O49" s="335">
        <f t="shared" si="105"/>
        <v>23864</v>
      </c>
      <c r="P49" s="3220">
        <f t="shared" si="4"/>
        <v>0</v>
      </c>
      <c r="Q49" s="3220">
        <f t="shared" si="5"/>
        <v>88988</v>
      </c>
      <c r="R49" s="220"/>
      <c r="S49" s="335">
        <f>SUM(S45:S47)</f>
        <v>27799</v>
      </c>
      <c r="T49" s="3224">
        <f t="shared" si="6"/>
        <v>0</v>
      </c>
      <c r="U49" s="3224">
        <f t="shared" si="7"/>
        <v>116787</v>
      </c>
      <c r="V49" s="3308">
        <f t="shared" ref="V49:W49" si="106">SUM(V45:V47)</f>
        <v>0</v>
      </c>
      <c r="W49" s="3308">
        <f t="shared" si="106"/>
        <v>18326</v>
      </c>
      <c r="X49" s="3630"/>
      <c r="Y49" s="3307">
        <f t="shared" si="90"/>
        <v>69989</v>
      </c>
      <c r="Z49" s="592"/>
      <c r="AA49" s="592">
        <f t="shared" si="91"/>
        <v>135113</v>
      </c>
      <c r="AB49" s="220"/>
      <c r="AC49" s="4078">
        <f t="shared" ref="AC49" si="107">SUM(AC45:AC47)</f>
        <v>23393</v>
      </c>
      <c r="AD49" s="4061"/>
      <c r="AE49" s="4061">
        <f t="shared" si="93"/>
        <v>158506</v>
      </c>
      <c r="AF49" s="220"/>
      <c r="AG49" s="4165">
        <f t="shared" ref="AG49" si="108">SUM(AG45:AG47)</f>
        <v>27188</v>
      </c>
      <c r="AH49" s="4163"/>
      <c r="AI49" s="4163">
        <f t="shared" si="95"/>
        <v>185694</v>
      </c>
      <c r="AJ49" s="4285">
        <f t="shared" ref="AJ49:AK49" si="109">SUM(AJ45:AJ47)</f>
        <v>0</v>
      </c>
      <c r="AK49" s="4285">
        <f t="shared" si="109"/>
        <v>32170</v>
      </c>
      <c r="AL49" s="3630"/>
      <c r="AM49" s="4284">
        <f t="shared" si="97"/>
        <v>82751</v>
      </c>
      <c r="AN49" s="4279"/>
      <c r="AO49" s="4279">
        <f t="shared" si="82"/>
        <v>217864</v>
      </c>
      <c r="AP49" s="220"/>
      <c r="AQ49" s="4404">
        <f t="shared" ref="AQ49" si="110">SUM(AQ45:AQ47)</f>
        <v>24232</v>
      </c>
      <c r="AR49" s="4402"/>
      <c r="AS49" s="4402">
        <f t="shared" si="99"/>
        <v>242096</v>
      </c>
      <c r="AT49" s="220"/>
      <c r="AU49" s="4646">
        <f t="shared" ref="AU49" si="111">SUM(AU45:AU47)</f>
        <v>36018</v>
      </c>
      <c r="AV49" s="4642"/>
      <c r="AW49" s="4642">
        <f t="shared" si="101"/>
        <v>278114</v>
      </c>
      <c r="AX49" s="220"/>
      <c r="AY49" s="5118">
        <f t="shared" ref="AY49" si="112">SUM(AY45:AY47)</f>
        <v>38748</v>
      </c>
      <c r="AZ49" s="3630"/>
      <c r="BA49" s="5238">
        <f t="shared" si="103"/>
        <v>98998</v>
      </c>
      <c r="BB49" s="592"/>
      <c r="BC49" s="592">
        <f t="shared" si="17"/>
        <v>181749</v>
      </c>
      <c r="BD49" s="5113"/>
      <c r="BE49" s="5113">
        <f t="shared" si="104"/>
        <v>316862</v>
      </c>
      <c r="BF49" s="5742"/>
      <c r="BG49" s="2258"/>
      <c r="BH49" s="3223"/>
      <c r="BI49" s="3223"/>
      <c r="BJ49" s="3223"/>
      <c r="BK49" s="3223"/>
      <c r="BL49" s="3223"/>
      <c r="BM49" s="3223"/>
      <c r="BN49" s="3223"/>
      <c r="BO49" s="3223"/>
      <c r="BP49" s="3223"/>
      <c r="BQ49" s="3223"/>
      <c r="BR49" s="3223"/>
      <c r="BS49" s="3223"/>
      <c r="BT49" s="3223"/>
      <c r="BU49" s="3223"/>
      <c r="BV49" s="3223"/>
    </row>
    <row r="50" spans="1:74" s="2767" customFormat="1" ht="18.75" x14ac:dyDescent="0.25">
      <c r="A50" s="3223"/>
      <c r="B50" s="6349"/>
      <c r="C50" s="3249" t="s">
        <v>1785</v>
      </c>
      <c r="D50" s="3243"/>
      <c r="E50" s="335">
        <f t="shared" ref="E50:O50" si="113">SUM(E48:E49)</f>
        <v>488432.38052477402</v>
      </c>
      <c r="F50" s="335">
        <f t="shared" si="113"/>
        <v>0</v>
      </c>
      <c r="G50" s="335">
        <f t="shared" si="113"/>
        <v>402218.95874146628</v>
      </c>
      <c r="H50" s="3220">
        <f t="shared" si="1"/>
        <v>0</v>
      </c>
      <c r="I50" s="3220">
        <f t="shared" si="2"/>
        <v>890651.33926624036</v>
      </c>
      <c r="J50" s="335">
        <f t="shared" si="113"/>
        <v>0</v>
      </c>
      <c r="K50" s="335">
        <f t="shared" si="113"/>
        <v>418233.69159155496</v>
      </c>
      <c r="L50" s="3219">
        <f t="shared" si="3"/>
        <v>0</v>
      </c>
      <c r="M50" s="3592">
        <f t="shared" si="88"/>
        <v>1308885.0308577954</v>
      </c>
      <c r="N50" s="335">
        <f t="shared" si="113"/>
        <v>0</v>
      </c>
      <c r="O50" s="335">
        <f t="shared" si="113"/>
        <v>489857.20082174585</v>
      </c>
      <c r="P50" s="3220">
        <f t="shared" si="4"/>
        <v>0</v>
      </c>
      <c r="Q50" s="3220">
        <f t="shared" si="5"/>
        <v>1798742.2316795413</v>
      </c>
      <c r="R50" s="220"/>
      <c r="S50" s="748">
        <f>SUM(S48:S49)</f>
        <v>488786.03500000003</v>
      </c>
      <c r="T50" s="3224">
        <f t="shared" si="6"/>
        <v>0</v>
      </c>
      <c r="U50" s="3267">
        <f t="shared" si="7"/>
        <v>2287528.2666795412</v>
      </c>
      <c r="V50" s="3308">
        <f t="shared" ref="V50:W50" si="114">SUM(V48:V49)</f>
        <v>0</v>
      </c>
      <c r="W50" s="3308">
        <f t="shared" si="114"/>
        <v>470378</v>
      </c>
      <c r="X50" s="3630"/>
      <c r="Y50" s="3590">
        <f t="shared" si="90"/>
        <v>1449021.2358217458</v>
      </c>
      <c r="Z50" s="595"/>
      <c r="AA50" s="595">
        <f t="shared" si="91"/>
        <v>2757906.2666795412</v>
      </c>
      <c r="AB50" s="220"/>
      <c r="AC50" s="4078">
        <f t="shared" ref="AC50" si="115">SUM(AC48:AC49)</f>
        <v>503324</v>
      </c>
      <c r="AD50" s="4061"/>
      <c r="AE50" s="4059">
        <f t="shared" si="93"/>
        <v>3261230.2666795412</v>
      </c>
      <c r="AF50" s="220"/>
      <c r="AG50" s="4165">
        <f t="shared" ref="AG50" si="116">SUM(AG48:AG49)</f>
        <v>471342</v>
      </c>
      <c r="AH50" s="4163"/>
      <c r="AI50" s="4159">
        <f t="shared" si="95"/>
        <v>3732572.2666795412</v>
      </c>
      <c r="AJ50" s="4285">
        <f t="shared" ref="AJ50:AK50" si="117">SUM(AJ48:AJ49)</f>
        <v>0</v>
      </c>
      <c r="AK50" s="4285">
        <f t="shared" si="117"/>
        <v>481001</v>
      </c>
      <c r="AL50" s="3630"/>
      <c r="AM50" s="4282">
        <f t="shared" si="97"/>
        <v>1455667</v>
      </c>
      <c r="AN50" s="4279"/>
      <c r="AO50" s="4279">
        <f t="shared" si="82"/>
        <v>4213573.2666795412</v>
      </c>
      <c r="AP50" s="220"/>
      <c r="AQ50" s="4404">
        <f t="shared" ref="AQ50" si="118">SUM(AQ48:AQ49)</f>
        <v>438755</v>
      </c>
      <c r="AR50" s="4402"/>
      <c r="AS50" s="4400">
        <f t="shared" si="99"/>
        <v>4652328.2666795412</v>
      </c>
      <c r="AT50" s="220"/>
      <c r="AU50" s="4646">
        <f t="shared" ref="AU50" si="119">SUM(AU48:AU49)</f>
        <v>465246</v>
      </c>
      <c r="AV50" s="4642"/>
      <c r="AW50" s="4641">
        <f t="shared" si="101"/>
        <v>5117574.2666795412</v>
      </c>
      <c r="AX50" s="220"/>
      <c r="AY50" s="5118">
        <f t="shared" ref="AY50" si="120">SUM(AY48:AY49)</f>
        <v>455014</v>
      </c>
      <c r="AZ50" s="3630"/>
      <c r="BA50" s="5239">
        <f t="shared" si="103"/>
        <v>1359015</v>
      </c>
      <c r="BB50" s="595"/>
      <c r="BC50" s="595">
        <f t="shared" si="17"/>
        <v>2814682</v>
      </c>
      <c r="BD50" s="5113"/>
      <c r="BE50" s="5112">
        <f t="shared" si="104"/>
        <v>5572588.2666795412</v>
      </c>
      <c r="BF50" s="5742"/>
      <c r="BG50" s="2258"/>
      <c r="BH50" s="3223"/>
      <c r="BI50" s="3223"/>
      <c r="BJ50" s="3223"/>
      <c r="BK50" s="3223"/>
      <c r="BL50" s="3223"/>
      <c r="BM50" s="3223"/>
      <c r="BN50" s="3223"/>
      <c r="BO50" s="3223"/>
      <c r="BP50" s="3223"/>
      <c r="BQ50" s="3223"/>
      <c r="BR50" s="3223"/>
      <c r="BS50" s="3223"/>
      <c r="BT50" s="3223"/>
      <c r="BU50" s="3223"/>
      <c r="BV50" s="3223"/>
    </row>
    <row r="51" spans="1:74" s="2767" customFormat="1" ht="18.75" x14ac:dyDescent="0.3">
      <c r="A51" s="3223"/>
      <c r="B51" s="3266"/>
      <c r="C51" s="3254"/>
      <c r="D51" s="3245"/>
      <c r="E51" s="5380"/>
      <c r="F51" s="5380"/>
      <c r="G51" s="5380"/>
      <c r="H51" s="5380"/>
      <c r="I51" s="5380"/>
      <c r="J51" s="5380"/>
      <c r="K51" s="5380"/>
      <c r="L51" s="5380"/>
      <c r="M51" s="5380"/>
      <c r="N51" s="5380"/>
      <c r="O51" s="5380"/>
      <c r="P51" s="5380"/>
      <c r="Q51" s="5380"/>
      <c r="R51" s="5380"/>
      <c r="S51" s="748"/>
      <c r="T51" s="748"/>
      <c r="U51" s="748"/>
      <c r="V51" s="748"/>
      <c r="W51" s="748"/>
      <c r="X51" s="748"/>
      <c r="Y51" s="748"/>
      <c r="Z51" s="748"/>
      <c r="AA51" s="748"/>
      <c r="AB51" s="748"/>
      <c r="AC51" s="748"/>
      <c r="AD51" s="748"/>
      <c r="AE51" s="748"/>
      <c r="AF51" s="748"/>
      <c r="AG51" s="748"/>
      <c r="AH51" s="748"/>
      <c r="AI51" s="748"/>
      <c r="AJ51" s="748"/>
      <c r="AK51" s="748"/>
      <c r="AL51" s="748"/>
      <c r="AM51" s="748"/>
      <c r="AN51" s="748"/>
      <c r="AO51" s="748"/>
      <c r="AP51" s="748"/>
      <c r="AQ51" s="748"/>
      <c r="AR51" s="748"/>
      <c r="AS51" s="748"/>
      <c r="AT51" s="748"/>
      <c r="AU51" s="748"/>
      <c r="AV51" s="748"/>
      <c r="AW51" s="748"/>
      <c r="AX51" s="748"/>
      <c r="AY51" s="748"/>
      <c r="AZ51" s="748"/>
      <c r="BA51" s="748"/>
      <c r="BB51" s="748"/>
      <c r="BC51" s="748"/>
      <c r="BD51" s="748"/>
      <c r="BE51" s="748"/>
      <c r="BF51" s="5742"/>
      <c r="BG51" s="2258"/>
      <c r="BH51" s="183"/>
      <c r="BI51" s="183"/>
      <c r="BJ51" s="183"/>
      <c r="BK51" s="3223"/>
      <c r="BL51" s="3223"/>
      <c r="BM51" s="3223"/>
      <c r="BN51" s="3223"/>
      <c r="BO51" s="3223"/>
      <c r="BP51" s="3223"/>
      <c r="BQ51" s="3223"/>
      <c r="BR51" s="3223"/>
      <c r="BS51" s="3223"/>
      <c r="BT51" s="3223"/>
      <c r="BU51" s="3223"/>
      <c r="BV51" s="3223"/>
    </row>
    <row r="52" spans="1:74" ht="18.75" x14ac:dyDescent="0.3">
      <c r="B52" s="6340" t="s">
        <v>1786</v>
      </c>
      <c r="C52" s="3251" t="s">
        <v>1615</v>
      </c>
      <c r="D52" s="3244"/>
      <c r="E52" s="5381"/>
      <c r="F52" s="5381"/>
      <c r="G52" s="5381"/>
      <c r="H52" s="5381"/>
      <c r="I52" s="5381"/>
      <c r="J52" s="5381"/>
      <c r="K52" s="5381"/>
      <c r="L52" s="5381"/>
      <c r="M52" s="5381"/>
      <c r="N52" s="5381"/>
      <c r="O52" s="5381"/>
      <c r="P52" s="5381">
        <f t="shared" ref="P52:R52" si="121">+P49-P51</f>
        <v>0</v>
      </c>
      <c r="Q52" s="5381">
        <f t="shared" si="121"/>
        <v>88988</v>
      </c>
      <c r="R52" s="5381">
        <f t="shared" si="121"/>
        <v>0</v>
      </c>
      <c r="BF52" s="5742"/>
      <c r="BG52" s="2258"/>
      <c r="BH52" s="3223"/>
      <c r="BI52" s="3223"/>
      <c r="BJ52" s="3223"/>
      <c r="BK52" s="3223"/>
      <c r="BL52" s="3223"/>
      <c r="BM52" s="3223"/>
      <c r="BN52" s="3223"/>
      <c r="BO52" s="3223"/>
      <c r="BP52" s="3223"/>
      <c r="BQ52" s="3223"/>
      <c r="BR52" s="3223"/>
      <c r="BS52" s="3223"/>
      <c r="BT52" s="3223"/>
      <c r="BU52" s="3223"/>
      <c r="BV52" s="3223"/>
    </row>
    <row r="53" spans="1:74" ht="18.75" x14ac:dyDescent="0.25">
      <c r="B53" s="6340"/>
      <c r="C53" s="3247" t="s">
        <v>1787</v>
      </c>
      <c r="D53" s="2385"/>
      <c r="E53" s="3218">
        <v>101241</v>
      </c>
      <c r="F53" s="2385"/>
      <c r="G53" s="3218">
        <v>90291</v>
      </c>
      <c r="H53" s="3220">
        <f t="shared" si="1"/>
        <v>0</v>
      </c>
      <c r="I53" s="3220">
        <f t="shared" si="2"/>
        <v>191532</v>
      </c>
      <c r="J53" s="2385"/>
      <c r="K53" s="3218">
        <v>69371</v>
      </c>
      <c r="L53" s="3219">
        <f t="shared" si="3"/>
        <v>0</v>
      </c>
      <c r="M53" s="3592">
        <f t="shared" ref="M53:M60" si="122">E53+G53+K53</f>
        <v>260903</v>
      </c>
      <c r="N53" s="3258"/>
      <c r="O53" s="3218">
        <v>51169</v>
      </c>
      <c r="P53" s="3220">
        <f t="shared" si="4"/>
        <v>0</v>
      </c>
      <c r="Q53" s="3220">
        <f t="shared" si="5"/>
        <v>312072</v>
      </c>
      <c r="R53" s="3258"/>
      <c r="S53" s="481">
        <v>57558</v>
      </c>
      <c r="T53" s="3224">
        <f t="shared" si="6"/>
        <v>0</v>
      </c>
      <c r="U53" s="3224">
        <f t="shared" si="7"/>
        <v>369630</v>
      </c>
      <c r="V53" s="2385"/>
      <c r="W53" s="3302">
        <v>58778</v>
      </c>
      <c r="X53" s="3631"/>
      <c r="Y53" s="3307">
        <f t="shared" ref="Y53:Y60" si="123">O53+S53+W53</f>
        <v>167505</v>
      </c>
      <c r="Z53" s="592"/>
      <c r="AA53" s="592">
        <f t="shared" ref="AA53:AA60" si="124">M53+Y53</f>
        <v>428408</v>
      </c>
      <c r="AB53" s="3258"/>
      <c r="AC53" s="481">
        <v>106519</v>
      </c>
      <c r="AD53" s="4061"/>
      <c r="AE53" s="4061">
        <f t="shared" ref="AE53:AE60" si="125">+AA53+AC53</f>
        <v>534927</v>
      </c>
      <c r="AF53" s="3258"/>
      <c r="AG53" s="481">
        <v>92322</v>
      </c>
      <c r="AH53" s="4163"/>
      <c r="AI53" s="4163">
        <f t="shared" ref="AI53:AI60" si="126">+AE53+AG53</f>
        <v>627249</v>
      </c>
      <c r="AJ53" s="2385"/>
      <c r="AK53" s="4275">
        <v>99856</v>
      </c>
      <c r="AL53" s="3631"/>
      <c r="AM53" s="4284">
        <f t="shared" ref="AM53:AM60" si="127">AC53+AG53+AK53</f>
        <v>298697</v>
      </c>
      <c r="AN53" s="4279"/>
      <c r="AO53" s="4279">
        <f t="shared" ref="AO53:AO62" si="128">AI53+AK53</f>
        <v>727105</v>
      </c>
      <c r="AP53" s="3258"/>
      <c r="AQ53" s="481">
        <v>94303</v>
      </c>
      <c r="AR53" s="4402"/>
      <c r="AS53" s="4402">
        <f t="shared" ref="AS53:AS60" si="129">+AO53+AQ53</f>
        <v>821408</v>
      </c>
      <c r="AT53" s="3258"/>
      <c r="AU53" s="481">
        <v>89586</v>
      </c>
      <c r="AV53" s="4642"/>
      <c r="AW53" s="4642">
        <f t="shared" ref="AW53:AW60" si="130">+AS53+AU53</f>
        <v>910994</v>
      </c>
      <c r="AX53" s="3258"/>
      <c r="AY53" s="481">
        <v>65914</v>
      </c>
      <c r="AZ53" s="3631"/>
      <c r="BA53" s="5238">
        <f t="shared" ref="BA53:BA60" si="131">AQ53+AU53+AY53</f>
        <v>249803</v>
      </c>
      <c r="BB53" s="592"/>
      <c r="BC53" s="592">
        <f t="shared" si="17"/>
        <v>548500</v>
      </c>
      <c r="BD53" s="5113"/>
      <c r="BE53" s="5113">
        <f t="shared" ref="BE53:BE60" si="132">+AW53+AY53</f>
        <v>976908</v>
      </c>
      <c r="BF53" s="5742"/>
      <c r="BG53" s="2258"/>
      <c r="BH53" s="3223"/>
      <c r="BI53" s="3223"/>
      <c r="BJ53" s="3223"/>
      <c r="BK53" s="3223"/>
      <c r="BL53" s="3223"/>
      <c r="BM53" s="3223"/>
      <c r="BN53" s="3223"/>
      <c r="BO53" s="3223"/>
      <c r="BP53" s="3223"/>
      <c r="BQ53" s="3223"/>
      <c r="BR53" s="3223"/>
      <c r="BS53" s="3223"/>
      <c r="BT53" s="3223"/>
      <c r="BU53" s="3223"/>
      <c r="BV53" s="3223"/>
    </row>
    <row r="54" spans="1:74" ht="18.75" x14ac:dyDescent="0.25">
      <c r="B54" s="6340"/>
      <c r="C54" s="3247" t="s">
        <v>1788</v>
      </c>
      <c r="D54" s="2385"/>
      <c r="E54" s="3218">
        <v>1215</v>
      </c>
      <c r="F54" s="2385"/>
      <c r="G54" s="3218">
        <v>4093</v>
      </c>
      <c r="H54" s="3220">
        <f t="shared" si="1"/>
        <v>0</v>
      </c>
      <c r="I54" s="3220">
        <f t="shared" si="2"/>
        <v>5308</v>
      </c>
      <c r="J54" s="2385"/>
      <c r="K54" s="3218">
        <v>4658</v>
      </c>
      <c r="L54" s="3219">
        <f t="shared" si="3"/>
        <v>0</v>
      </c>
      <c r="M54" s="3592">
        <f t="shared" si="122"/>
        <v>9966</v>
      </c>
      <c r="N54" s="3258"/>
      <c r="O54" s="3218">
        <v>3390</v>
      </c>
      <c r="P54" s="3220">
        <f t="shared" si="4"/>
        <v>0</v>
      </c>
      <c r="Q54" s="3220">
        <f t="shared" si="5"/>
        <v>13356</v>
      </c>
      <c r="R54" s="3258"/>
      <c r="S54" s="481">
        <v>2944</v>
      </c>
      <c r="T54" s="3224">
        <f t="shared" si="6"/>
        <v>0</v>
      </c>
      <c r="U54" s="3224">
        <f t="shared" si="7"/>
        <v>16300</v>
      </c>
      <c r="V54" s="2385"/>
      <c r="W54" s="3302">
        <v>2391</v>
      </c>
      <c r="X54" s="3631"/>
      <c r="Y54" s="3307">
        <f t="shared" si="123"/>
        <v>8725</v>
      </c>
      <c r="Z54" s="592"/>
      <c r="AA54" s="592">
        <f t="shared" si="124"/>
        <v>18691</v>
      </c>
      <c r="AB54" s="3258"/>
      <c r="AC54" s="481">
        <v>2825</v>
      </c>
      <c r="AD54" s="4061"/>
      <c r="AE54" s="4061">
        <f t="shared" si="125"/>
        <v>21516</v>
      </c>
      <c r="AF54" s="3258"/>
      <c r="AG54" s="481">
        <v>3130</v>
      </c>
      <c r="AH54" s="4163"/>
      <c r="AI54" s="4163">
        <f t="shared" si="126"/>
        <v>24646</v>
      </c>
      <c r="AJ54" s="2385"/>
      <c r="AK54" s="4275">
        <v>3121</v>
      </c>
      <c r="AL54" s="3631"/>
      <c r="AM54" s="4284">
        <f t="shared" si="127"/>
        <v>9076</v>
      </c>
      <c r="AN54" s="4279"/>
      <c r="AO54" s="4279">
        <f t="shared" si="128"/>
        <v>27767</v>
      </c>
      <c r="AP54" s="3258"/>
      <c r="AQ54" s="481">
        <v>3476</v>
      </c>
      <c r="AR54" s="4402"/>
      <c r="AS54" s="4402">
        <f t="shared" si="129"/>
        <v>31243</v>
      </c>
      <c r="AT54" s="3258"/>
      <c r="AU54" s="481">
        <v>3490</v>
      </c>
      <c r="AV54" s="4642"/>
      <c r="AW54" s="4642">
        <f t="shared" si="130"/>
        <v>34733</v>
      </c>
      <c r="AX54" s="3258"/>
      <c r="AY54" s="481">
        <v>2750</v>
      </c>
      <c r="AZ54" s="3631"/>
      <c r="BA54" s="5238">
        <f t="shared" si="131"/>
        <v>9716</v>
      </c>
      <c r="BB54" s="592"/>
      <c r="BC54" s="592">
        <f t="shared" si="17"/>
        <v>18792</v>
      </c>
      <c r="BD54" s="5113"/>
      <c r="BE54" s="5113">
        <f t="shared" si="132"/>
        <v>37483</v>
      </c>
      <c r="BF54" s="5742"/>
      <c r="BG54" s="2258"/>
      <c r="BH54" s="3223"/>
      <c r="BI54" s="3223"/>
      <c r="BJ54" s="3223"/>
      <c r="BK54" s="3223"/>
      <c r="BL54" s="3223"/>
      <c r="BM54" s="3223"/>
      <c r="BN54" s="3223"/>
      <c r="BO54" s="3223"/>
      <c r="BP54" s="3223"/>
      <c r="BQ54" s="3223"/>
      <c r="BR54" s="3223"/>
      <c r="BS54" s="3223"/>
      <c r="BT54" s="3223"/>
      <c r="BU54" s="3223"/>
      <c r="BV54" s="3223"/>
    </row>
    <row r="55" spans="1:74" ht="18.75" x14ac:dyDescent="0.25">
      <c r="B55" s="6340"/>
      <c r="C55" s="3247" t="s">
        <v>1789</v>
      </c>
      <c r="D55" s="2385"/>
      <c r="E55" s="3218">
        <v>2436</v>
      </c>
      <c r="F55" s="2385"/>
      <c r="G55" s="3218">
        <v>0</v>
      </c>
      <c r="H55" s="3220">
        <f t="shared" si="1"/>
        <v>0</v>
      </c>
      <c r="I55" s="3220">
        <f t="shared" si="2"/>
        <v>2436</v>
      </c>
      <c r="J55" s="2385"/>
      <c r="K55" s="3218">
        <v>3273</v>
      </c>
      <c r="L55" s="3219">
        <f t="shared" si="3"/>
        <v>0</v>
      </c>
      <c r="M55" s="3592">
        <f t="shared" si="122"/>
        <v>5709</v>
      </c>
      <c r="N55" s="3258"/>
      <c r="O55" s="3218">
        <v>80</v>
      </c>
      <c r="P55" s="3220">
        <f t="shared" si="4"/>
        <v>0</v>
      </c>
      <c r="Q55" s="3220">
        <f t="shared" si="5"/>
        <v>5789</v>
      </c>
      <c r="R55" s="3258"/>
      <c r="S55" s="481">
        <v>0</v>
      </c>
      <c r="T55" s="3224">
        <f t="shared" si="6"/>
        <v>0</v>
      </c>
      <c r="U55" s="3224">
        <f t="shared" si="7"/>
        <v>5789</v>
      </c>
      <c r="V55" s="2385"/>
      <c r="W55" s="3302">
        <v>0</v>
      </c>
      <c r="X55" s="3631"/>
      <c r="Y55" s="3307">
        <f t="shared" si="123"/>
        <v>80</v>
      </c>
      <c r="Z55" s="592"/>
      <c r="AA55" s="592">
        <f t="shared" si="124"/>
        <v>5789</v>
      </c>
      <c r="AB55" s="3258"/>
      <c r="AC55" s="481">
        <v>0</v>
      </c>
      <c r="AD55" s="4061"/>
      <c r="AE55" s="4061">
        <f t="shared" si="125"/>
        <v>5789</v>
      </c>
      <c r="AF55" s="3258"/>
      <c r="AG55" s="481">
        <v>0</v>
      </c>
      <c r="AH55" s="4163"/>
      <c r="AI55" s="4163">
        <f t="shared" si="126"/>
        <v>5789</v>
      </c>
      <c r="AJ55" s="2385"/>
      <c r="AK55" s="4275">
        <v>0</v>
      </c>
      <c r="AL55" s="3631"/>
      <c r="AM55" s="4284">
        <f t="shared" si="127"/>
        <v>0</v>
      </c>
      <c r="AN55" s="4279"/>
      <c r="AO55" s="4279">
        <f t="shared" si="128"/>
        <v>5789</v>
      </c>
      <c r="AP55" s="3258"/>
      <c r="AQ55" s="481">
        <v>1923</v>
      </c>
      <c r="AR55" s="4402"/>
      <c r="AS55" s="4402">
        <f t="shared" si="129"/>
        <v>7712</v>
      </c>
      <c r="AT55" s="3258"/>
      <c r="AU55" s="481">
        <v>142</v>
      </c>
      <c r="AV55" s="4642"/>
      <c r="AW55" s="4642">
        <f t="shared" si="130"/>
        <v>7854</v>
      </c>
      <c r="AX55" s="3258"/>
      <c r="AY55" s="481">
        <v>0</v>
      </c>
      <c r="AZ55" s="3631"/>
      <c r="BA55" s="5238">
        <f t="shared" si="131"/>
        <v>2065</v>
      </c>
      <c r="BB55" s="592"/>
      <c r="BC55" s="592">
        <f t="shared" si="17"/>
        <v>2065</v>
      </c>
      <c r="BD55" s="5113"/>
      <c r="BE55" s="5113">
        <f t="shared" si="132"/>
        <v>7854</v>
      </c>
      <c r="BF55" s="5742"/>
      <c r="BG55" s="2258"/>
      <c r="BH55" s="3223"/>
      <c r="BI55" s="3223"/>
      <c r="BJ55" s="3223"/>
      <c r="BK55" s="3223"/>
      <c r="BL55" s="3223"/>
      <c r="BM55" s="3223"/>
      <c r="BN55" s="3223"/>
      <c r="BO55" s="3223"/>
      <c r="BP55" s="3223"/>
      <c r="BQ55" s="3223"/>
      <c r="BR55" s="3223"/>
      <c r="BS55" s="3223"/>
      <c r="BT55" s="3223"/>
      <c r="BU55" s="3223"/>
      <c r="BV55" s="3223"/>
    </row>
    <row r="56" spans="1:74" ht="18.75" x14ac:dyDescent="0.25">
      <c r="B56" s="6340"/>
      <c r="C56" s="3247" t="s">
        <v>1790</v>
      </c>
      <c r="D56" s="2385"/>
      <c r="E56" s="3218">
        <v>23270</v>
      </c>
      <c r="F56" s="2385"/>
      <c r="G56" s="3218">
        <v>0</v>
      </c>
      <c r="H56" s="3220">
        <f t="shared" si="1"/>
        <v>0</v>
      </c>
      <c r="I56" s="3220">
        <f t="shared" si="2"/>
        <v>23270</v>
      </c>
      <c r="J56" s="2385"/>
      <c r="K56" s="3218">
        <v>40490</v>
      </c>
      <c r="L56" s="3219">
        <f t="shared" si="3"/>
        <v>0</v>
      </c>
      <c r="M56" s="3592">
        <f t="shared" si="122"/>
        <v>63760</v>
      </c>
      <c r="N56" s="3258"/>
      <c r="O56" s="3218">
        <v>64997</v>
      </c>
      <c r="P56" s="3220">
        <f t="shared" si="4"/>
        <v>0</v>
      </c>
      <c r="Q56" s="3220">
        <f t="shared" si="5"/>
        <v>128757</v>
      </c>
      <c r="R56" s="3258"/>
      <c r="S56" s="481">
        <v>47487</v>
      </c>
      <c r="T56" s="3224">
        <f t="shared" si="6"/>
        <v>0</v>
      </c>
      <c r="U56" s="3224">
        <f t="shared" si="7"/>
        <v>176244</v>
      </c>
      <c r="V56" s="2385"/>
      <c r="W56" s="3302">
        <v>38378</v>
      </c>
      <c r="X56" s="3631"/>
      <c r="Y56" s="3307">
        <f t="shared" si="123"/>
        <v>150862</v>
      </c>
      <c r="Z56" s="592"/>
      <c r="AA56" s="592">
        <f t="shared" si="124"/>
        <v>214622</v>
      </c>
      <c r="AB56" s="3258"/>
      <c r="AC56" s="481">
        <v>8176</v>
      </c>
      <c r="AD56" s="4061"/>
      <c r="AE56" s="4061">
        <f t="shared" si="125"/>
        <v>222798</v>
      </c>
      <c r="AF56" s="3258"/>
      <c r="AG56" s="481">
        <v>190</v>
      </c>
      <c r="AH56" s="4163"/>
      <c r="AI56" s="4163">
        <f t="shared" si="126"/>
        <v>222988</v>
      </c>
      <c r="AJ56" s="2385"/>
      <c r="AK56" s="4275">
        <v>440</v>
      </c>
      <c r="AL56" s="3631"/>
      <c r="AM56" s="4284">
        <f t="shared" si="127"/>
        <v>8806</v>
      </c>
      <c r="AN56" s="4279"/>
      <c r="AO56" s="4279">
        <f t="shared" si="128"/>
        <v>223428</v>
      </c>
      <c r="AP56" s="3258"/>
      <c r="AQ56" s="481">
        <v>11446</v>
      </c>
      <c r="AR56" s="4402"/>
      <c r="AS56" s="4402">
        <f t="shared" si="129"/>
        <v>234874</v>
      </c>
      <c r="AT56" s="3258"/>
      <c r="AU56" s="481">
        <v>19592</v>
      </c>
      <c r="AV56" s="4642"/>
      <c r="AW56" s="4642">
        <f t="shared" si="130"/>
        <v>254466</v>
      </c>
      <c r="AX56" s="3258"/>
      <c r="AY56" s="481">
        <v>60988</v>
      </c>
      <c r="AZ56" s="3631"/>
      <c r="BA56" s="5238">
        <f t="shared" si="131"/>
        <v>92026</v>
      </c>
      <c r="BB56" s="592"/>
      <c r="BC56" s="592">
        <f t="shared" si="17"/>
        <v>100832</v>
      </c>
      <c r="BD56" s="5113"/>
      <c r="BE56" s="5113">
        <f t="shared" si="132"/>
        <v>315454</v>
      </c>
      <c r="BF56" s="5742"/>
      <c r="BG56" s="2258"/>
      <c r="BH56" s="3223"/>
      <c r="BI56" s="3223"/>
      <c r="BJ56" s="3223"/>
      <c r="BK56" s="3223"/>
      <c r="BL56" s="3223"/>
      <c r="BM56" s="3223"/>
      <c r="BN56" s="3223"/>
      <c r="BO56" s="3223"/>
      <c r="BP56" s="3223"/>
      <c r="BQ56" s="3223"/>
      <c r="BR56" s="3223"/>
      <c r="BS56" s="3223"/>
      <c r="BT56" s="3223"/>
      <c r="BU56" s="3223"/>
      <c r="BV56" s="3223"/>
    </row>
    <row r="57" spans="1:74" ht="18.75" x14ac:dyDescent="0.25">
      <c r="B57" s="6340"/>
      <c r="C57" s="3247" t="s">
        <v>1791</v>
      </c>
      <c r="D57" s="2385"/>
      <c r="E57" s="3218">
        <v>3268</v>
      </c>
      <c r="F57" s="2385"/>
      <c r="G57" s="3218">
        <v>1700</v>
      </c>
      <c r="H57" s="3220">
        <f t="shared" si="1"/>
        <v>0</v>
      </c>
      <c r="I57" s="3220">
        <f t="shared" si="2"/>
        <v>4968</v>
      </c>
      <c r="J57" s="2385"/>
      <c r="K57" s="3218">
        <v>7520</v>
      </c>
      <c r="L57" s="3219">
        <f t="shared" si="3"/>
        <v>0</v>
      </c>
      <c r="M57" s="3592">
        <f t="shared" si="122"/>
        <v>12488</v>
      </c>
      <c r="N57" s="3258"/>
      <c r="O57" s="3218">
        <v>4020</v>
      </c>
      <c r="P57" s="3220">
        <f t="shared" si="4"/>
        <v>0</v>
      </c>
      <c r="Q57" s="3220">
        <f t="shared" si="5"/>
        <v>16508</v>
      </c>
      <c r="R57" s="3258"/>
      <c r="S57" s="481">
        <v>0</v>
      </c>
      <c r="T57" s="3224">
        <f t="shared" si="6"/>
        <v>0</v>
      </c>
      <c r="U57" s="3224">
        <f t="shared" si="7"/>
        <v>16508</v>
      </c>
      <c r="V57" s="2385"/>
      <c r="W57" s="3302">
        <v>0</v>
      </c>
      <c r="X57" s="3631"/>
      <c r="Y57" s="3307">
        <f t="shared" si="123"/>
        <v>4020</v>
      </c>
      <c r="Z57" s="592"/>
      <c r="AA57" s="592">
        <f t="shared" si="124"/>
        <v>16508</v>
      </c>
      <c r="AB57" s="3258"/>
      <c r="AC57" s="481">
        <v>0</v>
      </c>
      <c r="AD57" s="4061"/>
      <c r="AE57" s="4061">
        <f t="shared" si="125"/>
        <v>16508</v>
      </c>
      <c r="AF57" s="3258"/>
      <c r="AG57" s="481">
        <v>7293</v>
      </c>
      <c r="AH57" s="4163"/>
      <c r="AI57" s="4163">
        <f t="shared" si="126"/>
        <v>23801</v>
      </c>
      <c r="AJ57" s="2385"/>
      <c r="AK57" s="4275">
        <v>11747</v>
      </c>
      <c r="AL57" s="3631"/>
      <c r="AM57" s="4284">
        <f t="shared" si="127"/>
        <v>19040</v>
      </c>
      <c r="AN57" s="4279"/>
      <c r="AO57" s="4279">
        <f t="shared" si="128"/>
        <v>35548</v>
      </c>
      <c r="AP57" s="3258"/>
      <c r="AQ57" s="481">
        <v>12498</v>
      </c>
      <c r="AR57" s="4402"/>
      <c r="AS57" s="4402">
        <f t="shared" si="129"/>
        <v>48046</v>
      </c>
      <c r="AT57" s="3258"/>
      <c r="AU57" s="481">
        <v>8353</v>
      </c>
      <c r="AV57" s="4642"/>
      <c r="AW57" s="4642">
        <f t="shared" si="130"/>
        <v>56399</v>
      </c>
      <c r="AX57" s="3258"/>
      <c r="AY57" s="481">
        <v>9394</v>
      </c>
      <c r="AZ57" s="3631"/>
      <c r="BA57" s="5238">
        <f t="shared" si="131"/>
        <v>30245</v>
      </c>
      <c r="BB57" s="592"/>
      <c r="BC57" s="592">
        <f t="shared" si="17"/>
        <v>49285</v>
      </c>
      <c r="BD57" s="5113"/>
      <c r="BE57" s="5113">
        <f t="shared" si="132"/>
        <v>65793</v>
      </c>
      <c r="BF57" s="5742"/>
      <c r="BG57" s="2258"/>
      <c r="BH57" s="3223"/>
      <c r="BI57" s="3223"/>
      <c r="BJ57" s="3223"/>
      <c r="BK57" s="3223"/>
      <c r="BL57" s="3223"/>
      <c r="BM57" s="3223"/>
      <c r="BN57" s="3223"/>
      <c r="BO57" s="3223"/>
      <c r="BP57" s="3223"/>
      <c r="BQ57" s="3223"/>
      <c r="BR57" s="3223"/>
      <c r="BS57" s="3223"/>
      <c r="BT57" s="3223"/>
      <c r="BU57" s="3223"/>
      <c r="BV57" s="3223"/>
    </row>
    <row r="58" spans="1:74" ht="18.75" x14ac:dyDescent="0.25">
      <c r="B58" s="6340"/>
      <c r="C58" s="3247" t="s">
        <v>1792</v>
      </c>
      <c r="D58" s="2385"/>
      <c r="E58" s="3218">
        <v>600</v>
      </c>
      <c r="F58" s="2385"/>
      <c r="G58" s="4371">
        <v>3500</v>
      </c>
      <c r="H58" s="3220">
        <f t="shared" si="1"/>
        <v>0</v>
      </c>
      <c r="I58" s="3220">
        <f t="shared" si="2"/>
        <v>4100</v>
      </c>
      <c r="J58" s="2385"/>
      <c r="K58" s="4371">
        <v>1500</v>
      </c>
      <c r="L58" s="3219">
        <f t="shared" si="3"/>
        <v>0</v>
      </c>
      <c r="M58" s="3592">
        <f t="shared" si="122"/>
        <v>5600</v>
      </c>
      <c r="N58" s="3258"/>
      <c r="O58" s="3218">
        <v>0</v>
      </c>
      <c r="P58" s="3220">
        <f t="shared" si="4"/>
        <v>0</v>
      </c>
      <c r="Q58" s="3220">
        <f t="shared" si="5"/>
        <v>5600</v>
      </c>
      <c r="R58" s="3258"/>
      <c r="S58" s="481">
        <v>150</v>
      </c>
      <c r="T58" s="3224">
        <f t="shared" si="6"/>
        <v>0</v>
      </c>
      <c r="U58" s="3224">
        <f t="shared" si="7"/>
        <v>5750</v>
      </c>
      <c r="V58" s="2385"/>
      <c r="W58" s="3302">
        <v>0</v>
      </c>
      <c r="X58" s="3631"/>
      <c r="Y58" s="3307">
        <f t="shared" si="123"/>
        <v>150</v>
      </c>
      <c r="Z58" s="592"/>
      <c r="AA58" s="592">
        <f t="shared" si="124"/>
        <v>5750</v>
      </c>
      <c r="AB58" s="3258"/>
      <c r="AC58" s="481">
        <v>3804</v>
      </c>
      <c r="AD58" s="4061"/>
      <c r="AE58" s="4061">
        <f t="shared" si="125"/>
        <v>9554</v>
      </c>
      <c r="AF58" s="3258"/>
      <c r="AG58" s="481">
        <v>1149</v>
      </c>
      <c r="AH58" s="4163"/>
      <c r="AI58" s="4163">
        <f t="shared" si="126"/>
        <v>10703</v>
      </c>
      <c r="AJ58" s="2385"/>
      <c r="AK58" s="4371">
        <v>1672</v>
      </c>
      <c r="AL58" s="3631"/>
      <c r="AM58" s="4284">
        <f t="shared" si="127"/>
        <v>6625</v>
      </c>
      <c r="AN58" s="4279"/>
      <c r="AO58" s="4279">
        <f t="shared" si="128"/>
        <v>12375</v>
      </c>
      <c r="AP58" s="3258"/>
      <c r="AQ58" s="481">
        <v>2332</v>
      </c>
      <c r="AR58" s="4402"/>
      <c r="AS58" s="4402">
        <f t="shared" si="129"/>
        <v>14707</v>
      </c>
      <c r="AT58" s="3258"/>
      <c r="AU58" s="481">
        <v>0</v>
      </c>
      <c r="AV58" s="4642"/>
      <c r="AW58" s="4642">
        <f t="shared" si="130"/>
        <v>14707</v>
      </c>
      <c r="AX58" s="3258"/>
      <c r="AY58" s="481">
        <v>0</v>
      </c>
      <c r="AZ58" s="3631"/>
      <c r="BA58" s="5238">
        <f t="shared" si="131"/>
        <v>2332</v>
      </c>
      <c r="BB58" s="592"/>
      <c r="BC58" s="592">
        <f t="shared" si="17"/>
        <v>8957</v>
      </c>
      <c r="BD58" s="5113"/>
      <c r="BE58" s="5113">
        <f t="shared" si="132"/>
        <v>14707</v>
      </c>
      <c r="BF58" s="5742"/>
      <c r="BG58" s="2258"/>
      <c r="BH58" s="3223"/>
      <c r="BI58" s="3223"/>
      <c r="BJ58" s="3223"/>
      <c r="BK58" s="3223"/>
      <c r="BL58" s="3223"/>
      <c r="BM58" s="3223"/>
      <c r="BN58" s="3223"/>
      <c r="BO58" s="3223"/>
      <c r="BP58" s="3223"/>
      <c r="BQ58" s="3223"/>
      <c r="BR58" s="3223"/>
      <c r="BS58" s="3223"/>
      <c r="BT58" s="3223"/>
      <c r="BU58" s="3223"/>
      <c r="BV58" s="3223"/>
    </row>
    <row r="59" spans="1:74" ht="18.75" x14ac:dyDescent="0.25">
      <c r="B59" s="6340"/>
      <c r="C59" s="3247" t="s">
        <v>1793</v>
      </c>
      <c r="D59" s="2385"/>
      <c r="E59" s="3218">
        <v>47185</v>
      </c>
      <c r="F59" s="2385"/>
      <c r="G59" s="3218">
        <v>42340</v>
      </c>
      <c r="H59" s="3220">
        <f t="shared" si="1"/>
        <v>0</v>
      </c>
      <c r="I59" s="3220">
        <f t="shared" si="2"/>
        <v>89525</v>
      </c>
      <c r="J59" s="2385"/>
      <c r="K59" s="3218">
        <v>49291</v>
      </c>
      <c r="L59" s="3219">
        <f t="shared" si="3"/>
        <v>0</v>
      </c>
      <c r="M59" s="3592">
        <f t="shared" si="122"/>
        <v>138816</v>
      </c>
      <c r="N59" s="3258"/>
      <c r="O59" s="3218">
        <v>60768</v>
      </c>
      <c r="P59" s="3220">
        <f t="shared" si="4"/>
        <v>0</v>
      </c>
      <c r="Q59" s="3220">
        <f t="shared" si="5"/>
        <v>199584</v>
      </c>
      <c r="R59" s="3258"/>
      <c r="S59" s="481">
        <v>56778</v>
      </c>
      <c r="T59" s="3224">
        <f t="shared" si="6"/>
        <v>0</v>
      </c>
      <c r="U59" s="3224">
        <f t="shared" si="7"/>
        <v>256362</v>
      </c>
      <c r="V59" s="2385"/>
      <c r="W59" s="3302">
        <v>53902</v>
      </c>
      <c r="X59" s="3631"/>
      <c r="Y59" s="3307">
        <f t="shared" si="123"/>
        <v>171448</v>
      </c>
      <c r="Z59" s="592"/>
      <c r="AA59" s="592">
        <f t="shared" si="124"/>
        <v>310264</v>
      </c>
      <c r="AB59" s="3258"/>
      <c r="AC59" s="481">
        <v>60129</v>
      </c>
      <c r="AD59" s="4061"/>
      <c r="AE59" s="4061">
        <f t="shared" si="125"/>
        <v>370393</v>
      </c>
      <c r="AF59" s="3258"/>
      <c r="AG59" s="481">
        <v>46651</v>
      </c>
      <c r="AH59" s="4163"/>
      <c r="AI59" s="4163">
        <f t="shared" si="126"/>
        <v>417044</v>
      </c>
      <c r="AJ59" s="2385"/>
      <c r="AK59" s="4275">
        <v>56951</v>
      </c>
      <c r="AL59" s="3631"/>
      <c r="AM59" s="4284">
        <f t="shared" si="127"/>
        <v>163731</v>
      </c>
      <c r="AN59" s="4279"/>
      <c r="AO59" s="4279">
        <f t="shared" si="128"/>
        <v>473995</v>
      </c>
      <c r="AP59" s="3258"/>
      <c r="AQ59" s="481">
        <v>56580</v>
      </c>
      <c r="AR59" s="4402"/>
      <c r="AS59" s="4402">
        <f t="shared" si="129"/>
        <v>530575</v>
      </c>
      <c r="AT59" s="3258"/>
      <c r="AU59" s="481">
        <v>52834</v>
      </c>
      <c r="AV59" s="4642"/>
      <c r="AW59" s="4642">
        <f t="shared" si="130"/>
        <v>583409</v>
      </c>
      <c r="AX59" s="3258"/>
      <c r="AY59" s="481">
        <v>49099</v>
      </c>
      <c r="AZ59" s="3631"/>
      <c r="BA59" s="5238">
        <f t="shared" si="131"/>
        <v>158513</v>
      </c>
      <c r="BB59" s="592"/>
      <c r="BC59" s="592">
        <f t="shared" si="17"/>
        <v>322244</v>
      </c>
      <c r="BD59" s="5113"/>
      <c r="BE59" s="5113">
        <f t="shared" si="132"/>
        <v>632508</v>
      </c>
      <c r="BF59" s="5742"/>
      <c r="BG59" s="2258"/>
      <c r="BH59" s="3223"/>
      <c r="BI59" s="3223"/>
      <c r="BJ59" s="3223"/>
      <c r="BK59" s="3223"/>
      <c r="BL59" s="3223"/>
      <c r="BM59" s="3223"/>
      <c r="BN59" s="3223"/>
      <c r="BO59" s="3223"/>
      <c r="BP59" s="3223"/>
      <c r="BQ59" s="3223"/>
      <c r="BR59" s="3223"/>
      <c r="BS59" s="3223"/>
      <c r="BT59" s="3223"/>
      <c r="BU59" s="3223"/>
      <c r="BV59" s="3223"/>
    </row>
    <row r="60" spans="1:74" ht="18.75" x14ac:dyDescent="0.25">
      <c r="B60" s="6340"/>
      <c r="C60" s="3247" t="s">
        <v>1794</v>
      </c>
      <c r="D60" s="2385"/>
      <c r="E60" s="3218">
        <v>8100</v>
      </c>
      <c r="F60" s="2385"/>
      <c r="G60" s="3218">
        <v>0</v>
      </c>
      <c r="H60" s="3220">
        <f t="shared" si="1"/>
        <v>0</v>
      </c>
      <c r="I60" s="3220">
        <f t="shared" si="2"/>
        <v>8100</v>
      </c>
      <c r="J60" s="2385"/>
      <c r="K60" s="3218">
        <v>8701</v>
      </c>
      <c r="L60" s="3219">
        <f t="shared" si="3"/>
        <v>0</v>
      </c>
      <c r="M60" s="3592">
        <f t="shared" si="122"/>
        <v>16801</v>
      </c>
      <c r="N60" s="3258"/>
      <c r="O60" s="3218">
        <v>11229</v>
      </c>
      <c r="P60" s="3220">
        <f t="shared" si="4"/>
        <v>0</v>
      </c>
      <c r="Q60" s="3220">
        <f t="shared" si="5"/>
        <v>28030</v>
      </c>
      <c r="R60" s="3258"/>
      <c r="S60" s="481">
        <v>13441</v>
      </c>
      <c r="T60" s="3224">
        <f t="shared" si="6"/>
        <v>0</v>
      </c>
      <c r="U60" s="3224">
        <f t="shared" si="7"/>
        <v>41471</v>
      </c>
      <c r="V60" s="2385"/>
      <c r="W60" s="3302">
        <v>10367</v>
      </c>
      <c r="X60" s="3631"/>
      <c r="Y60" s="3307">
        <f t="shared" si="123"/>
        <v>35037</v>
      </c>
      <c r="Z60" s="592"/>
      <c r="AA60" s="592">
        <f t="shared" si="124"/>
        <v>51838</v>
      </c>
      <c r="AB60" s="3258"/>
      <c r="AC60" s="481">
        <v>3439</v>
      </c>
      <c r="AD60" s="4061"/>
      <c r="AE60" s="4061">
        <f t="shared" si="125"/>
        <v>55277</v>
      </c>
      <c r="AF60" s="3258"/>
      <c r="AG60" s="481">
        <v>5597</v>
      </c>
      <c r="AH60" s="4163"/>
      <c r="AI60" s="4163">
        <f t="shared" si="126"/>
        <v>60874</v>
      </c>
      <c r="AJ60" s="2385"/>
      <c r="AK60" s="4275">
        <v>5964</v>
      </c>
      <c r="AL60" s="3631"/>
      <c r="AM60" s="4284">
        <f t="shared" si="127"/>
        <v>15000</v>
      </c>
      <c r="AN60" s="4279"/>
      <c r="AO60" s="4279">
        <f t="shared" si="128"/>
        <v>66838</v>
      </c>
      <c r="AP60" s="3258"/>
      <c r="AQ60" s="481">
        <v>7704</v>
      </c>
      <c r="AR60" s="4402"/>
      <c r="AS60" s="4402">
        <f t="shared" si="129"/>
        <v>74542</v>
      </c>
      <c r="AT60" s="3258"/>
      <c r="AU60" s="481">
        <v>10611</v>
      </c>
      <c r="AV60" s="4642"/>
      <c r="AW60" s="4642">
        <f t="shared" si="130"/>
        <v>85153</v>
      </c>
      <c r="AX60" s="3258"/>
      <c r="AY60" s="481">
        <v>13522</v>
      </c>
      <c r="AZ60" s="3631"/>
      <c r="BA60" s="5238">
        <f t="shared" si="131"/>
        <v>31837</v>
      </c>
      <c r="BB60" s="592"/>
      <c r="BC60" s="592">
        <f t="shared" si="17"/>
        <v>46837</v>
      </c>
      <c r="BD60" s="5113"/>
      <c r="BE60" s="5113">
        <f t="shared" si="132"/>
        <v>98675</v>
      </c>
      <c r="BF60" s="5742"/>
      <c r="BG60" s="2258"/>
      <c r="BH60" s="3223"/>
      <c r="BI60" s="3223"/>
      <c r="BJ60" s="3223"/>
      <c r="BK60" s="3223"/>
      <c r="BL60" s="3223"/>
      <c r="BM60" s="3223"/>
      <c r="BN60" s="3223"/>
      <c r="BO60" s="3223"/>
      <c r="BP60" s="3223"/>
      <c r="BQ60" s="3223"/>
      <c r="BR60" s="3223"/>
      <c r="BS60" s="3223"/>
      <c r="BT60" s="3223"/>
      <c r="BU60" s="3223"/>
      <c r="BV60" s="3223"/>
    </row>
    <row r="61" spans="1:74" ht="18.75" x14ac:dyDescent="0.25">
      <c r="B61" s="220"/>
      <c r="C61" s="3240"/>
      <c r="D61" s="220"/>
      <c r="E61" s="3218"/>
      <c r="F61" s="2385"/>
      <c r="G61" s="3218"/>
      <c r="H61" s="3220"/>
      <c r="I61" s="3220"/>
      <c r="J61" s="2385"/>
      <c r="K61" s="3218"/>
      <c r="L61" s="3219"/>
      <c r="M61" s="3219"/>
      <c r="N61" s="3258"/>
      <c r="O61" s="3218"/>
      <c r="P61" s="3220"/>
      <c r="Q61" s="3220"/>
      <c r="R61" s="3258"/>
      <c r="S61" s="481"/>
      <c r="T61" s="3224"/>
      <c r="U61" s="3224"/>
      <c r="V61" s="2385"/>
      <c r="W61" s="3302"/>
      <c r="X61" s="3631"/>
      <c r="Y61" s="3307"/>
      <c r="Z61" s="592"/>
      <c r="AA61" s="592"/>
      <c r="AB61" s="3258"/>
      <c r="AC61" s="481"/>
      <c r="AD61" s="4061"/>
      <c r="AE61" s="4061"/>
      <c r="AF61" s="3258"/>
      <c r="AG61" s="481"/>
      <c r="AH61" s="4163"/>
      <c r="AI61" s="4163"/>
      <c r="AJ61" s="2385"/>
      <c r="AK61" s="4275"/>
      <c r="AL61" s="3631"/>
      <c r="AM61" s="4284"/>
      <c r="AN61" s="4279"/>
      <c r="AO61" s="4279"/>
      <c r="AP61" s="3258"/>
      <c r="AQ61" s="481"/>
      <c r="AR61" s="4402"/>
      <c r="AS61" s="4402"/>
      <c r="AT61" s="3258"/>
      <c r="AU61" s="481"/>
      <c r="AV61" s="4642"/>
      <c r="AW61" s="4642"/>
      <c r="AX61" s="3258"/>
      <c r="AY61" s="481"/>
      <c r="AZ61" s="3631"/>
      <c r="BA61" s="5238"/>
      <c r="BB61" s="592"/>
      <c r="BC61" s="592">
        <f t="shared" si="17"/>
        <v>0</v>
      </c>
      <c r="BD61" s="5113"/>
      <c r="BE61" s="5113"/>
      <c r="BF61" s="5742"/>
      <c r="BG61" s="2258"/>
      <c r="BH61" s="3223"/>
      <c r="BI61" s="3223"/>
      <c r="BJ61" s="3223"/>
      <c r="BK61" s="3223"/>
      <c r="BL61" s="3223"/>
      <c r="BM61" s="3223"/>
      <c r="BN61" s="3223"/>
      <c r="BO61" s="3223"/>
      <c r="BP61" s="3223"/>
      <c r="BQ61" s="3223"/>
      <c r="BR61" s="3223"/>
      <c r="BS61" s="3223"/>
      <c r="BT61" s="3223"/>
      <c r="BU61" s="3223"/>
      <c r="BV61" s="3223"/>
    </row>
    <row r="62" spans="1:74" ht="18.75" x14ac:dyDescent="0.3">
      <c r="B62" s="1308" t="s">
        <v>1757</v>
      </c>
      <c r="C62" s="3240"/>
      <c r="D62" s="220"/>
      <c r="E62" s="3218">
        <v>9514</v>
      </c>
      <c r="F62" s="2385"/>
      <c r="G62" s="3218">
        <v>9716</v>
      </c>
      <c r="H62" s="3220">
        <f t="shared" si="1"/>
        <v>0</v>
      </c>
      <c r="I62" s="3220">
        <f t="shared" si="2"/>
        <v>19230</v>
      </c>
      <c r="J62" s="2385"/>
      <c r="K62" s="3218">
        <v>8745</v>
      </c>
      <c r="L62" s="3219">
        <f t="shared" si="3"/>
        <v>0</v>
      </c>
      <c r="M62" s="3219">
        <f>E62+G62+K62</f>
        <v>27975</v>
      </c>
      <c r="N62" s="3258"/>
      <c r="O62" s="3218">
        <v>10385</v>
      </c>
      <c r="P62" s="3220">
        <f t="shared" si="4"/>
        <v>0</v>
      </c>
      <c r="Q62" s="3220">
        <f t="shared" si="5"/>
        <v>38360</v>
      </c>
      <c r="R62" s="3258"/>
      <c r="S62" s="481">
        <v>9942</v>
      </c>
      <c r="T62" s="3224">
        <f t="shared" si="6"/>
        <v>0</v>
      </c>
      <c r="U62" s="3224">
        <f t="shared" si="7"/>
        <v>48302</v>
      </c>
      <c r="V62" s="2385"/>
      <c r="W62" s="3302">
        <v>9238</v>
      </c>
      <c r="X62" s="3631"/>
      <c r="Y62" s="3307">
        <f t="shared" ref="Y62" si="133">O62+S62+W62</f>
        <v>29565</v>
      </c>
      <c r="Z62" s="592"/>
      <c r="AA62" s="592">
        <f>M62+Y62</f>
        <v>57540</v>
      </c>
      <c r="AB62" s="3258"/>
      <c r="AC62" s="481">
        <v>10491</v>
      </c>
      <c r="AD62" s="4061"/>
      <c r="AE62" s="4061">
        <f t="shared" ref="AE62" si="134">+AA62+AC62</f>
        <v>68031</v>
      </c>
      <c r="AF62" s="3258"/>
      <c r="AG62" s="481">
        <v>10184</v>
      </c>
      <c r="AH62" s="4163"/>
      <c r="AI62" s="4163">
        <f t="shared" ref="AI62" si="135">+AE62+AG62</f>
        <v>78215</v>
      </c>
      <c r="AJ62" s="2385"/>
      <c r="AK62" s="4275">
        <v>10344</v>
      </c>
      <c r="AL62" s="3631"/>
      <c r="AM62" s="4284">
        <f t="shared" ref="AM62" si="136">AC62+AG62+AK62</f>
        <v>31019</v>
      </c>
      <c r="AN62" s="4279"/>
      <c r="AO62" s="4279">
        <f t="shared" si="128"/>
        <v>88559</v>
      </c>
      <c r="AP62" s="3258"/>
      <c r="AQ62" s="481">
        <v>9505</v>
      </c>
      <c r="AR62" s="4402"/>
      <c r="AS62" s="4402">
        <f t="shared" ref="AS62" si="137">+AO62+AQ62</f>
        <v>98064</v>
      </c>
      <c r="AT62" s="3258"/>
      <c r="AU62" s="481">
        <v>8768</v>
      </c>
      <c r="AV62" s="4642"/>
      <c r="AW62" s="4642">
        <f t="shared" ref="AW62" si="138">+AS62+AU62</f>
        <v>106832</v>
      </c>
      <c r="AX62" s="3258"/>
      <c r="AY62" s="481">
        <v>10158</v>
      </c>
      <c r="AZ62" s="3631"/>
      <c r="BA62" s="5238">
        <f t="shared" ref="BA62" si="139">AQ62+AU62+AY62</f>
        <v>28431</v>
      </c>
      <c r="BB62" s="592"/>
      <c r="BC62" s="592">
        <f t="shared" si="17"/>
        <v>59450</v>
      </c>
      <c r="BD62" s="5113"/>
      <c r="BE62" s="5113">
        <f t="shared" ref="BE62" si="140">+AW62+AY62</f>
        <v>116990</v>
      </c>
      <c r="BF62" s="5742"/>
      <c r="BG62" s="2258"/>
      <c r="BH62" s="3223"/>
      <c r="BI62" s="3223"/>
      <c r="BJ62" s="3223"/>
      <c r="BK62" s="3223"/>
      <c r="BL62" s="3223"/>
      <c r="BM62" s="3223"/>
      <c r="BN62" s="3223"/>
      <c r="BO62" s="3223"/>
      <c r="BP62" s="3223"/>
      <c r="BQ62" s="3223"/>
      <c r="BR62" s="3223"/>
      <c r="BS62" s="3223"/>
      <c r="BT62" s="3223"/>
      <c r="BU62" s="3223"/>
      <c r="BV62" s="3223"/>
    </row>
    <row r="63" spans="1:74" x14ac:dyDescent="0.25">
      <c r="C63" s="3223"/>
      <c r="D63" s="3223"/>
      <c r="E63" s="3223"/>
      <c r="F63" s="3223"/>
      <c r="G63" s="3223"/>
      <c r="H63" s="3223"/>
      <c r="I63" s="3223"/>
      <c r="J63" s="3223"/>
      <c r="K63" s="3223"/>
      <c r="L63" s="3223"/>
      <c r="M63" s="3223"/>
      <c r="N63" s="3223"/>
      <c r="O63" s="3223"/>
      <c r="P63" s="3223"/>
      <c r="Q63" s="3223"/>
      <c r="R63" s="3223"/>
      <c r="S63" s="3223"/>
      <c r="T63" s="3223"/>
      <c r="U63" s="3223"/>
      <c r="V63" s="3305"/>
      <c r="W63" s="3305"/>
      <c r="Y63" s="3305"/>
      <c r="AA63" s="3305"/>
      <c r="AB63" s="4062"/>
      <c r="AC63" s="4062"/>
      <c r="AD63" s="4062"/>
      <c r="AE63" s="4062"/>
      <c r="AF63" s="4164"/>
      <c r="AG63" s="4164"/>
      <c r="AH63" s="4164"/>
      <c r="AI63" s="4164"/>
      <c r="AJ63" s="4280"/>
      <c r="AK63" s="4280"/>
      <c r="AL63" s="4280"/>
      <c r="AM63" s="4280"/>
      <c r="AN63" s="4280"/>
      <c r="AO63" s="4280"/>
      <c r="AP63" s="4403"/>
      <c r="AQ63" s="4403"/>
      <c r="AR63" s="4403"/>
      <c r="AS63" s="4403"/>
      <c r="AT63" s="4645"/>
      <c r="AU63" s="4645"/>
      <c r="AV63" s="4645"/>
      <c r="AW63" s="4645"/>
      <c r="AX63" s="5117"/>
      <c r="AY63" s="5117"/>
      <c r="BC63" s="545"/>
      <c r="BD63" s="5117"/>
      <c r="BE63" s="5117"/>
      <c r="BF63" s="5742"/>
      <c r="BG63" s="2258"/>
      <c r="BH63" s="3223"/>
      <c r="BI63" s="3223"/>
      <c r="BJ63" s="3223"/>
      <c r="BK63" s="3223"/>
      <c r="BL63" s="3223"/>
      <c r="BM63" s="3223"/>
      <c r="BN63" s="3223"/>
      <c r="BO63" s="3223"/>
      <c r="BP63" s="3223"/>
      <c r="BQ63" s="3223"/>
      <c r="BR63" s="3223"/>
      <c r="BS63" s="3223"/>
      <c r="BT63" s="3223"/>
      <c r="BU63" s="3223"/>
      <c r="BV63" s="3223"/>
    </row>
    <row r="64" spans="1:74" ht="18.75" x14ac:dyDescent="0.3">
      <c r="C64" s="1308" t="s">
        <v>1795</v>
      </c>
      <c r="D64" s="3223"/>
      <c r="E64" s="3230">
        <v>86.8</v>
      </c>
      <c r="F64" s="2385"/>
      <c r="G64" s="3230">
        <v>86.6</v>
      </c>
      <c r="H64" s="3231"/>
      <c r="I64" s="3231"/>
      <c r="J64" s="2385"/>
      <c r="K64" s="3230">
        <v>86.6</v>
      </c>
      <c r="L64" s="3234"/>
      <c r="M64" s="484">
        <f>+AVERAGE(E64,G64,K64)</f>
        <v>86.666666666666671</v>
      </c>
      <c r="N64" s="3258"/>
      <c r="O64" s="3230">
        <v>86.6</v>
      </c>
      <c r="P64" s="3231"/>
      <c r="Q64" s="3231"/>
      <c r="R64" s="3258"/>
      <c r="S64" s="481">
        <v>86.6</v>
      </c>
      <c r="T64" s="3233"/>
      <c r="U64" s="3233">
        <v>86.7</v>
      </c>
      <c r="V64" s="2385"/>
      <c r="W64" s="3302">
        <v>86.1</v>
      </c>
      <c r="X64" s="3631"/>
      <c r="Y64" s="484">
        <f>AVERAGE(O64,S64,W64)</f>
        <v>86.433333333333323</v>
      </c>
      <c r="Z64" s="594"/>
      <c r="AA64" s="594">
        <f>+AVERAGE(E64,G64,K64,O64,S64,W64)</f>
        <v>86.550000000000011</v>
      </c>
      <c r="AB64" s="3258"/>
      <c r="AC64" s="481">
        <v>86.78</v>
      </c>
      <c r="AD64" s="4061"/>
      <c r="AE64" s="4061">
        <v>86.7</v>
      </c>
      <c r="AF64" s="3258"/>
      <c r="AG64" s="481">
        <v>86.68</v>
      </c>
      <c r="AH64" s="4163"/>
      <c r="AI64" s="4163">
        <v>86.68</v>
      </c>
      <c r="AJ64" s="2385"/>
      <c r="AK64" s="4275">
        <v>86.64</v>
      </c>
      <c r="AL64" s="3631"/>
      <c r="AM64" s="484">
        <f>AVERAGE(AC64,AG64,AK64)</f>
        <v>86.7</v>
      </c>
      <c r="AN64" s="4279"/>
      <c r="AO64" s="2480">
        <v>86.69</v>
      </c>
      <c r="AP64" s="3258"/>
      <c r="AQ64" s="481">
        <v>87.05</v>
      </c>
      <c r="AR64" s="4402"/>
      <c r="AS64" s="2480">
        <v>86.72699999999999</v>
      </c>
      <c r="AT64" s="3258"/>
      <c r="AU64" s="481">
        <v>86.2</v>
      </c>
      <c r="AV64" s="4642"/>
      <c r="AW64" s="2480">
        <v>86.674299999999988</v>
      </c>
      <c r="AX64" s="3258"/>
      <c r="AY64" s="481">
        <v>84.82</v>
      </c>
      <c r="AZ64" s="3631"/>
      <c r="BA64" s="484">
        <f>AVERAGE(AQ64,AU64,AY64)</f>
        <v>86.023333333333326</v>
      </c>
      <c r="BB64" s="594"/>
      <c r="BC64" s="594">
        <f>+AVERAGE(AC64,AG64,AK64,AQ64,AU64,AY64)</f>
        <v>86.361666666666679</v>
      </c>
      <c r="BD64" s="5113"/>
      <c r="BE64" s="2480">
        <v>86.084999999999994</v>
      </c>
      <c r="BF64" s="5742"/>
      <c r="BG64" s="2258"/>
      <c r="BH64" s="3223"/>
      <c r="BI64" s="3223"/>
      <c r="BJ64" s="3223"/>
      <c r="BK64" s="3223"/>
      <c r="BL64" s="3223"/>
      <c r="BM64" s="3223"/>
      <c r="BN64" s="3223"/>
      <c r="BO64" s="3223"/>
      <c r="BP64" s="3223"/>
      <c r="BQ64" s="3223"/>
      <c r="BR64" s="3223"/>
      <c r="BS64" s="3223"/>
      <c r="BT64" s="3223"/>
      <c r="BU64" s="3223"/>
      <c r="BV64" s="3223"/>
    </row>
    <row r="65" spans="1:78" ht="18.75" x14ac:dyDescent="0.3">
      <c r="C65" s="1308" t="s">
        <v>1796</v>
      </c>
      <c r="D65" s="3223"/>
      <c r="E65" s="3230">
        <v>86.9</v>
      </c>
      <c r="F65" s="2385"/>
      <c r="G65" s="3230">
        <v>86.6</v>
      </c>
      <c r="H65" s="3231"/>
      <c r="I65" s="3231"/>
      <c r="J65" s="2385"/>
      <c r="K65" s="3230">
        <v>86.2</v>
      </c>
      <c r="L65" s="3234"/>
      <c r="M65" s="484">
        <f>+AVERAGE(E65,G65,K65)</f>
        <v>86.566666666666663</v>
      </c>
      <c r="N65" s="3258"/>
      <c r="O65" s="3230">
        <v>86.7</v>
      </c>
      <c r="P65" s="3231"/>
      <c r="Q65" s="3231"/>
      <c r="R65" s="3258"/>
      <c r="S65" s="481">
        <v>86.7</v>
      </c>
      <c r="T65" s="3233"/>
      <c r="U65" s="3233">
        <v>86.6</v>
      </c>
      <c r="V65" s="2385"/>
      <c r="W65" s="3302">
        <v>86.4</v>
      </c>
      <c r="X65" s="3631"/>
      <c r="Y65" s="484">
        <f>AVERAGE(O65,S65,W65)</f>
        <v>86.600000000000009</v>
      </c>
      <c r="Z65" s="594"/>
      <c r="AA65" s="594">
        <f>+AVERAGE(E65,G65,K65,O65,S65,W65)</f>
        <v>86.583333333333329</v>
      </c>
      <c r="AB65" s="3258"/>
      <c r="AC65" s="481">
        <v>87.01</v>
      </c>
      <c r="AD65" s="4061"/>
      <c r="AE65" s="4061">
        <v>86.6</v>
      </c>
      <c r="AF65" s="3258"/>
      <c r="AG65" s="481">
        <v>86.73</v>
      </c>
      <c r="AH65" s="4163"/>
      <c r="AI65" s="4163">
        <v>86.73</v>
      </c>
      <c r="AJ65" s="2385"/>
      <c r="AK65" s="4275">
        <v>86.88</v>
      </c>
      <c r="AL65" s="3631"/>
      <c r="AM65" s="484">
        <f>AVERAGE(AC65,AG65,AK65)</f>
        <v>86.873333333333335</v>
      </c>
      <c r="AN65" s="4279"/>
      <c r="AO65" s="2480">
        <v>86.65</v>
      </c>
      <c r="AP65" s="3258"/>
      <c r="AQ65" s="481">
        <v>87.03</v>
      </c>
      <c r="AR65" s="4402"/>
      <c r="AS65" s="2480">
        <v>86.683999999999997</v>
      </c>
      <c r="AT65" s="3258"/>
      <c r="AU65" s="481">
        <v>86.9</v>
      </c>
      <c r="AV65" s="4642"/>
      <c r="AW65" s="2480">
        <v>86.70559999999999</v>
      </c>
      <c r="AX65" s="3258"/>
      <c r="AY65" s="481">
        <v>87.26</v>
      </c>
      <c r="AZ65" s="3631"/>
      <c r="BA65" s="484">
        <f>AVERAGE(AQ65,AU65,AY65)</f>
        <v>87.063333333333333</v>
      </c>
      <c r="BB65" s="594"/>
      <c r="BC65" s="594">
        <f>+AVERAGE(AC65,AG65,AK65,AQ65,AU65,AY65)</f>
        <v>86.96833333333332</v>
      </c>
      <c r="BD65" s="5113"/>
      <c r="BE65" s="2480">
        <v>86.93</v>
      </c>
      <c r="BF65" s="5742"/>
      <c r="BG65" s="2258"/>
      <c r="BH65" s="3223"/>
      <c r="BI65" s="3223"/>
      <c r="BJ65" s="3223"/>
      <c r="BK65" s="3223"/>
      <c r="BL65" s="3223"/>
      <c r="BM65" s="3223"/>
      <c r="BN65" s="3223"/>
      <c r="BO65" s="3223"/>
      <c r="BP65" s="3223"/>
      <c r="BQ65" s="3223"/>
      <c r="BR65" s="3223"/>
      <c r="BS65" s="3223"/>
      <c r="BT65" s="3223"/>
      <c r="BU65" s="3223"/>
      <c r="BV65" s="3223"/>
    </row>
    <row r="66" spans="1:78" x14ac:dyDescent="0.25">
      <c r="C66" s="3223"/>
      <c r="D66" s="3223"/>
      <c r="E66" s="3223"/>
      <c r="F66" s="3223"/>
      <c r="G66" s="3223"/>
      <c r="H66" s="3223"/>
      <c r="I66" s="3223"/>
      <c r="J66" s="3223"/>
      <c r="K66" s="3223"/>
      <c r="L66" s="3223"/>
      <c r="M66" s="3223"/>
      <c r="N66" s="3223"/>
      <c r="O66" s="3223"/>
      <c r="P66" s="3223"/>
      <c r="Q66" s="3223"/>
      <c r="R66" s="3223"/>
      <c r="S66" s="3223"/>
      <c r="T66" s="3223"/>
      <c r="U66" s="3223"/>
      <c r="V66" s="3223"/>
      <c r="W66" s="3223"/>
      <c r="Y66" s="3223"/>
      <c r="AA66" s="3223"/>
      <c r="AB66" s="3223"/>
      <c r="AC66" s="3223"/>
      <c r="AD66" s="3223"/>
      <c r="AE66" s="3223"/>
      <c r="AF66" s="3223"/>
      <c r="AG66" s="3223"/>
      <c r="AH66" s="3223"/>
      <c r="AI66" s="3223"/>
      <c r="AJ66" s="3223"/>
      <c r="AK66" s="3223"/>
      <c r="AL66" s="3223"/>
      <c r="AM66" s="3223"/>
      <c r="AN66" s="3223"/>
      <c r="AO66" s="3223"/>
      <c r="AP66" s="3223"/>
      <c r="AQ66" s="3223"/>
      <c r="AR66" s="3223"/>
      <c r="AS66" s="3223"/>
      <c r="AT66" s="3223"/>
      <c r="AU66" s="3223"/>
      <c r="AV66" s="3223"/>
      <c r="AW66" s="3223"/>
      <c r="AX66" s="3223"/>
      <c r="AY66" s="3223"/>
      <c r="BD66" s="3223"/>
      <c r="BE66" s="3223"/>
      <c r="BF66" s="3223"/>
      <c r="BG66" s="3223"/>
      <c r="BH66" s="3223"/>
      <c r="BI66" s="3223"/>
      <c r="BJ66" s="3223"/>
      <c r="BK66" s="3223"/>
      <c r="BL66" s="3223"/>
      <c r="BM66" s="3223"/>
      <c r="BN66" s="3223"/>
      <c r="BO66" s="3223"/>
      <c r="BP66" s="3223"/>
      <c r="BQ66" s="3223"/>
      <c r="BR66" s="3223"/>
      <c r="BS66" s="3223"/>
      <c r="BT66" s="3223"/>
      <c r="BU66" s="3223"/>
      <c r="BV66" s="3223"/>
    </row>
    <row r="67" spans="1:78" x14ac:dyDescent="0.25">
      <c r="C67" s="3223"/>
      <c r="D67" s="3223"/>
      <c r="E67" s="3223"/>
      <c r="F67" s="3223"/>
      <c r="G67" s="3223"/>
      <c r="H67" s="3223"/>
      <c r="I67" s="3223"/>
      <c r="J67" s="3223"/>
      <c r="K67" s="3223"/>
      <c r="L67" s="3223"/>
      <c r="M67" s="3223"/>
      <c r="N67" s="3223"/>
      <c r="O67" s="3223"/>
      <c r="P67" s="3223"/>
      <c r="Q67" s="3223"/>
      <c r="R67" s="3223"/>
      <c r="S67" s="3223"/>
      <c r="T67" s="3223"/>
      <c r="U67" s="3223"/>
      <c r="V67" s="3223"/>
      <c r="W67" s="3223"/>
      <c r="Y67" s="3223"/>
      <c r="AA67" s="3223"/>
      <c r="AB67" s="3223"/>
      <c r="AC67" s="3223"/>
      <c r="AD67" s="3223"/>
      <c r="AE67" s="3223"/>
      <c r="AF67" s="3223"/>
      <c r="AG67" s="3223"/>
      <c r="AH67" s="3223"/>
      <c r="AI67" s="3223"/>
      <c r="AJ67" s="3223"/>
      <c r="AK67" s="3223"/>
      <c r="AL67" s="3223"/>
      <c r="AM67" s="3223"/>
      <c r="AN67" s="3223"/>
      <c r="AO67" s="3223"/>
      <c r="AP67" s="3223"/>
      <c r="AQ67" s="3223"/>
      <c r="AR67" s="3223"/>
      <c r="AS67" s="3223"/>
      <c r="AT67" s="3223"/>
      <c r="AU67" s="3223"/>
      <c r="AV67" s="3223"/>
      <c r="AW67" s="3223"/>
      <c r="AX67" s="3223"/>
      <c r="AY67" s="3223"/>
      <c r="BD67" s="3223"/>
      <c r="BE67" s="3223"/>
      <c r="BF67" s="3223"/>
      <c r="BG67" s="3223"/>
      <c r="BH67" s="3223"/>
      <c r="BI67" s="3223"/>
      <c r="BJ67" s="3223"/>
      <c r="BK67" s="3223"/>
      <c r="BL67" s="3223"/>
      <c r="BM67" s="3223"/>
      <c r="BN67" s="3223"/>
      <c r="BO67" s="3223"/>
      <c r="BP67" s="3223"/>
      <c r="BQ67" s="3223"/>
      <c r="BR67" s="3223"/>
      <c r="BS67" s="3223"/>
      <c r="BT67" s="3223"/>
      <c r="BU67" s="3223"/>
      <c r="BV67" s="3223"/>
    </row>
    <row r="68" spans="1:78" x14ac:dyDescent="0.25">
      <c r="C68" s="3223"/>
      <c r="D68" s="3223"/>
      <c r="E68" s="3223"/>
      <c r="F68" s="3223"/>
      <c r="G68" s="3223"/>
      <c r="H68" s="3223"/>
      <c r="I68" s="3223"/>
      <c r="J68" s="3223"/>
      <c r="K68" s="3223"/>
      <c r="L68" s="3223"/>
      <c r="M68" s="3223"/>
      <c r="N68" s="3223"/>
      <c r="O68" s="3223"/>
      <c r="P68" s="3223"/>
      <c r="Q68" s="3223"/>
      <c r="R68" s="3223"/>
      <c r="S68" s="3223"/>
      <c r="T68" s="3223"/>
      <c r="U68" s="3223"/>
      <c r="V68" s="3223"/>
      <c r="W68" s="3223"/>
      <c r="Y68" s="3223"/>
      <c r="AA68" s="3223"/>
      <c r="AB68" s="3223"/>
      <c r="AC68" s="3223"/>
      <c r="AD68" s="3223"/>
      <c r="AE68" s="3223"/>
      <c r="AF68" s="3223"/>
      <c r="AG68" s="3223"/>
      <c r="AH68" s="3223"/>
      <c r="AI68" s="3223"/>
      <c r="AJ68" s="3223"/>
      <c r="AK68" s="3223"/>
      <c r="AL68" s="3223"/>
      <c r="AM68" s="3223"/>
      <c r="AN68" s="3223"/>
      <c r="AO68" s="3223"/>
      <c r="AP68" s="3223"/>
      <c r="AQ68" s="3223"/>
      <c r="AR68" s="3223"/>
      <c r="AS68" s="3223"/>
      <c r="AT68" s="3223"/>
      <c r="AU68" s="3223"/>
      <c r="AV68" s="3223"/>
      <c r="AW68" s="3223"/>
      <c r="AX68" s="3223"/>
      <c r="AY68" s="3223"/>
      <c r="BD68" s="3223"/>
      <c r="BE68" s="3223"/>
      <c r="BF68" s="3223"/>
      <c r="BG68" s="3223"/>
      <c r="BH68" s="3223"/>
      <c r="BI68" s="3223"/>
      <c r="BJ68" s="3223"/>
      <c r="BK68" s="3223"/>
      <c r="BL68" s="3223"/>
      <c r="BM68" s="3223"/>
      <c r="BN68" s="3223"/>
      <c r="BO68" s="3223"/>
      <c r="BP68" s="3223"/>
      <c r="BQ68" s="3223"/>
      <c r="BR68" s="3223"/>
      <c r="BS68" s="3223"/>
      <c r="BT68" s="3223"/>
      <c r="BU68" s="3223"/>
      <c r="BV68" s="3223"/>
    </row>
    <row r="69" spans="1:78" x14ac:dyDescent="0.25">
      <c r="C69" s="3223"/>
      <c r="D69" s="3223"/>
      <c r="E69" s="3223"/>
      <c r="F69" s="3223"/>
      <c r="G69" s="3223"/>
      <c r="H69" s="3223"/>
      <c r="I69" s="3223"/>
      <c r="J69" s="3223"/>
      <c r="K69" s="3223"/>
      <c r="L69" s="3223"/>
      <c r="M69" s="3223"/>
      <c r="N69" s="3223"/>
      <c r="O69" s="3223"/>
      <c r="P69" s="3223"/>
      <c r="Q69" s="3223"/>
      <c r="R69" s="3223"/>
      <c r="S69" s="3223"/>
      <c r="T69" s="3223"/>
      <c r="U69" s="3223"/>
      <c r="V69" s="3223"/>
      <c r="W69" s="3223"/>
      <c r="Y69" s="3223"/>
      <c r="AA69" s="3223"/>
      <c r="AB69" s="3223"/>
      <c r="AC69" s="3223"/>
      <c r="AD69" s="3223"/>
      <c r="AE69" s="3223"/>
      <c r="AF69" s="3223"/>
      <c r="AG69" s="3223"/>
      <c r="AH69" s="3223"/>
      <c r="AI69" s="3223"/>
      <c r="AJ69" s="3223"/>
      <c r="AK69" s="3223"/>
      <c r="AL69" s="3223"/>
      <c r="AM69" s="3223"/>
      <c r="AN69" s="3223"/>
      <c r="AO69" s="3223"/>
      <c r="AP69" s="3223"/>
      <c r="AQ69" s="3223"/>
      <c r="AR69" s="3223"/>
      <c r="AS69" s="3223"/>
      <c r="AT69" s="3223"/>
      <c r="AU69" s="3223"/>
      <c r="AV69" s="3223"/>
      <c r="AW69" s="3223"/>
      <c r="AX69" s="3223"/>
      <c r="AY69" s="3223"/>
      <c r="BD69" s="3223"/>
      <c r="BE69" s="3223"/>
      <c r="BF69" s="3223"/>
      <c r="BG69" s="3223"/>
      <c r="BH69" s="3223"/>
      <c r="BI69" s="3223"/>
      <c r="BJ69" s="3223"/>
      <c r="BK69" s="3223"/>
      <c r="BL69" s="3223"/>
      <c r="BM69" s="3223"/>
      <c r="BN69" s="3223"/>
      <c r="BO69" s="3223"/>
      <c r="BP69" s="3223"/>
      <c r="BQ69" s="3223"/>
      <c r="BR69" s="3223"/>
      <c r="BS69" s="3223"/>
      <c r="BT69" s="3223"/>
      <c r="BU69" s="3223"/>
      <c r="BV69" s="3223"/>
    </row>
    <row r="70" spans="1:78" x14ac:dyDescent="0.25">
      <c r="C70" s="3223"/>
      <c r="D70" s="3223"/>
      <c r="E70" s="3223"/>
      <c r="F70" s="3223"/>
      <c r="G70" s="3223"/>
      <c r="H70" s="3223"/>
      <c r="I70" s="3223"/>
      <c r="J70" s="3223"/>
      <c r="K70" s="3223"/>
      <c r="L70" s="3223"/>
      <c r="M70" s="3223"/>
      <c r="N70" s="3223"/>
      <c r="O70" s="3223"/>
      <c r="P70" s="3223"/>
      <c r="Q70" s="3223"/>
      <c r="R70" s="3223"/>
      <c r="S70" s="3223"/>
      <c r="T70" s="3223"/>
      <c r="U70" s="3223"/>
      <c r="V70" s="3223"/>
      <c r="W70" s="3223"/>
      <c r="Y70" s="3223"/>
      <c r="AA70" s="3223"/>
      <c r="AB70" s="3223"/>
      <c r="AC70" s="3223"/>
      <c r="AD70" s="3223"/>
      <c r="AE70" s="3223"/>
      <c r="AF70" s="3223"/>
      <c r="AG70" s="3223"/>
      <c r="AH70" s="3223"/>
      <c r="AI70" s="3223"/>
      <c r="AJ70" s="3223"/>
      <c r="AK70" s="3223"/>
      <c r="AL70" s="3223"/>
      <c r="AM70" s="3223"/>
      <c r="AN70" s="3223"/>
      <c r="AO70" s="3223"/>
      <c r="AP70" s="3223"/>
      <c r="AQ70" s="3223"/>
      <c r="AR70" s="3223"/>
      <c r="AS70" s="3223"/>
      <c r="AT70" s="3223"/>
      <c r="AU70" s="3223"/>
      <c r="AV70" s="3223"/>
      <c r="AW70" s="3223"/>
      <c r="AX70" s="3223"/>
      <c r="AY70" s="3223"/>
      <c r="BD70" s="3223"/>
      <c r="BE70" s="3223"/>
      <c r="BF70" s="3223"/>
      <c r="BG70" s="3223"/>
      <c r="BH70" s="3223"/>
      <c r="BI70" s="3223"/>
      <c r="BJ70" s="3223"/>
      <c r="BK70" s="3223"/>
      <c r="BL70" s="3223"/>
      <c r="BM70" s="3223"/>
      <c r="BN70" s="3223"/>
      <c r="BO70" s="3223"/>
      <c r="BP70" s="3223"/>
      <c r="BQ70" s="3223"/>
      <c r="BR70" s="3223"/>
      <c r="BS70" s="3223"/>
      <c r="BT70" s="3223"/>
      <c r="BU70" s="3223"/>
      <c r="BV70" s="3223"/>
    </row>
    <row r="71" spans="1:78" x14ac:dyDescent="0.25">
      <c r="C71" s="3223"/>
      <c r="D71" s="3223"/>
      <c r="E71" s="3223"/>
      <c r="F71" s="3223"/>
      <c r="G71" s="3223"/>
      <c r="H71" s="3223"/>
      <c r="I71" s="3223"/>
      <c r="J71" s="3223"/>
      <c r="K71" s="3223"/>
      <c r="L71" s="3223"/>
      <c r="M71" s="3223"/>
      <c r="N71" s="3223"/>
      <c r="O71" s="3223"/>
      <c r="P71" s="3223"/>
      <c r="Q71" s="3223"/>
      <c r="R71" s="3223"/>
      <c r="S71" s="3223"/>
      <c r="T71" s="3223"/>
      <c r="U71" s="3223"/>
      <c r="V71" s="3223"/>
      <c r="W71" s="3223"/>
      <c r="Y71" s="3223"/>
      <c r="AA71" s="3223"/>
      <c r="AB71" s="3223"/>
      <c r="AC71" s="3223"/>
      <c r="AD71" s="3223"/>
      <c r="AE71" s="3223"/>
      <c r="AF71" s="3223"/>
      <c r="AG71" s="3223"/>
      <c r="AH71" s="3223"/>
      <c r="AI71" s="3223"/>
      <c r="AJ71" s="3223"/>
      <c r="AK71" s="3223"/>
      <c r="AL71" s="3223"/>
      <c r="AM71" s="3223"/>
      <c r="AN71" s="3223"/>
      <c r="AO71" s="3223"/>
      <c r="AP71" s="3223"/>
      <c r="AQ71" s="3223"/>
      <c r="AR71" s="3223"/>
      <c r="AS71" s="3223"/>
      <c r="AT71" s="3223"/>
      <c r="AU71" s="3223"/>
      <c r="AV71" s="3223"/>
      <c r="AW71" s="3223"/>
      <c r="AX71" s="3223"/>
      <c r="AY71" s="3223"/>
      <c r="BD71" s="3223"/>
      <c r="BE71" s="3223"/>
      <c r="BF71" s="3223"/>
      <c r="BG71" s="3223"/>
      <c r="BH71" s="3223"/>
      <c r="BI71" s="3223"/>
      <c r="BJ71" s="3223"/>
      <c r="BK71" s="3223"/>
      <c r="BL71" s="3223"/>
      <c r="BM71" s="3223"/>
      <c r="BN71" s="3223"/>
      <c r="BO71" s="3223"/>
      <c r="BP71" s="3223"/>
      <c r="BQ71" s="3223"/>
      <c r="BR71" s="3223"/>
      <c r="BS71" s="3223"/>
      <c r="BT71" s="3223"/>
      <c r="BU71" s="3223"/>
      <c r="BV71" s="3223"/>
    </row>
    <row r="72" spans="1:78" x14ac:dyDescent="0.25">
      <c r="C72" s="3223"/>
      <c r="D72" s="3223"/>
      <c r="E72" s="3223"/>
      <c r="F72" s="3223"/>
      <c r="G72" s="3223"/>
      <c r="H72" s="3223"/>
      <c r="I72" s="3223"/>
      <c r="J72" s="3223"/>
      <c r="K72" s="3223"/>
      <c r="L72" s="3223"/>
      <c r="M72" s="3223"/>
      <c r="N72" s="3223"/>
      <c r="O72" s="3223"/>
      <c r="P72" s="3223"/>
      <c r="Q72" s="3223"/>
      <c r="R72" s="3223"/>
      <c r="S72" s="3223"/>
      <c r="T72" s="3223"/>
      <c r="U72" s="3223"/>
      <c r="V72" s="3223"/>
      <c r="W72" s="3223"/>
      <c r="Y72" s="3223"/>
      <c r="AA72" s="3223"/>
      <c r="AB72" s="3223"/>
      <c r="AC72" s="3223"/>
      <c r="AD72" s="3223"/>
      <c r="AE72" s="3223"/>
      <c r="AF72" s="3223"/>
      <c r="AG72" s="3223"/>
      <c r="AH72" s="3223"/>
      <c r="AI72" s="3223"/>
      <c r="AJ72" s="3223"/>
      <c r="AK72" s="3223"/>
      <c r="AL72" s="3223"/>
      <c r="AM72" s="3223"/>
      <c r="AN72" s="3223"/>
      <c r="AO72" s="3223"/>
      <c r="AP72" s="3223"/>
      <c r="AQ72" s="3223"/>
      <c r="AR72" s="3223"/>
      <c r="AS72" s="3223"/>
      <c r="AT72" s="3223"/>
      <c r="AU72" s="3223"/>
      <c r="AV72" s="3223"/>
      <c r="AW72" s="3223"/>
      <c r="AX72" s="3223"/>
      <c r="AY72" s="3223"/>
      <c r="BD72" s="3223"/>
      <c r="BE72" s="3223"/>
      <c r="BF72" s="3223"/>
      <c r="BG72" s="3223"/>
      <c r="BH72" s="3223"/>
      <c r="BI72" s="3223"/>
      <c r="BJ72" s="3223"/>
      <c r="BK72" s="3223"/>
      <c r="BL72" s="3223"/>
      <c r="BM72" s="3223"/>
      <c r="BN72" s="3223"/>
      <c r="BO72" s="3223"/>
      <c r="BP72" s="3223"/>
      <c r="BQ72" s="3223"/>
      <c r="BR72" s="3223"/>
      <c r="BS72" s="3223"/>
      <c r="BT72" s="3223"/>
      <c r="BU72" s="3223"/>
      <c r="BV72" s="3223"/>
    </row>
    <row r="73" spans="1:78" x14ac:dyDescent="0.25">
      <c r="C73" s="3223"/>
      <c r="D73" s="3223"/>
      <c r="E73" s="3223"/>
      <c r="F73" s="3223"/>
      <c r="G73" s="3223"/>
      <c r="H73" s="3223"/>
      <c r="I73" s="3223"/>
      <c r="J73" s="3223"/>
      <c r="K73" s="3223"/>
      <c r="L73" s="3223"/>
      <c r="M73" s="3223"/>
      <c r="N73" s="3223"/>
      <c r="O73" s="3223"/>
      <c r="P73" s="3223"/>
      <c r="Q73" s="3223"/>
      <c r="R73" s="3223"/>
      <c r="S73" s="3223"/>
      <c r="T73" s="3223"/>
      <c r="U73" s="3223"/>
      <c r="V73" s="3223"/>
      <c r="W73" s="3223"/>
      <c r="Y73" s="3223"/>
      <c r="AA73" s="3223"/>
      <c r="AB73" s="3223"/>
      <c r="AC73" s="3223"/>
      <c r="AD73" s="3223"/>
      <c r="AE73" s="3223"/>
      <c r="AF73" s="3223"/>
      <c r="AG73" s="3223"/>
      <c r="AH73" s="3223"/>
      <c r="AI73" s="3223"/>
      <c r="AJ73" s="3223"/>
      <c r="AK73" s="3223"/>
      <c r="AL73" s="3223"/>
      <c r="AM73" s="3223"/>
      <c r="AN73" s="3223"/>
      <c r="AO73" s="3223"/>
      <c r="AP73" s="3223"/>
      <c r="AQ73" s="3223"/>
      <c r="AR73" s="3223"/>
      <c r="AS73" s="3223"/>
      <c r="AT73" s="3223"/>
      <c r="AU73" s="3223"/>
      <c r="AV73" s="3223"/>
      <c r="AW73" s="3223"/>
      <c r="AX73" s="3223"/>
      <c r="AY73" s="3223"/>
      <c r="BD73" s="3223"/>
      <c r="BE73" s="3223"/>
      <c r="BF73" s="3223"/>
      <c r="BG73" s="3223"/>
      <c r="BH73" s="3223"/>
      <c r="BI73" s="3223"/>
      <c r="BJ73" s="3223"/>
      <c r="BK73" s="3223"/>
      <c r="BL73" s="3223"/>
      <c r="BM73" s="3223"/>
      <c r="BN73" s="3223"/>
      <c r="BO73" s="3223"/>
      <c r="BP73" s="3223"/>
      <c r="BQ73" s="3223"/>
      <c r="BR73" s="3223"/>
      <c r="BS73" s="3223"/>
      <c r="BT73" s="3223"/>
      <c r="BU73" s="3223"/>
      <c r="BV73" s="3223"/>
    </row>
    <row r="74" spans="1:78" s="2552" customFormat="1" x14ac:dyDescent="0.25">
      <c r="A74" s="3223"/>
      <c r="C74" s="3223"/>
      <c r="D74" s="3223"/>
      <c r="E74" s="3223"/>
      <c r="F74" s="3223"/>
      <c r="G74" s="3223"/>
      <c r="H74" s="3223"/>
      <c r="I74" s="3223"/>
      <c r="J74" s="3223"/>
      <c r="K74" s="3223"/>
      <c r="L74" s="3223"/>
      <c r="M74" s="3223"/>
      <c r="N74" s="3223"/>
      <c r="O74" s="3223"/>
      <c r="P74" s="3223"/>
      <c r="Q74" s="3223"/>
      <c r="R74" s="3223"/>
      <c r="S74" s="3223"/>
      <c r="T74" s="3223"/>
      <c r="U74" s="3223"/>
      <c r="V74" s="3223"/>
      <c r="W74" s="3223"/>
      <c r="X74" s="3589"/>
      <c r="Y74" s="3223"/>
      <c r="Z74" s="4077"/>
      <c r="AA74" s="3223"/>
      <c r="AB74" s="3223"/>
      <c r="AC74" s="3223"/>
      <c r="AD74" s="3223"/>
      <c r="AE74" s="3223"/>
      <c r="AF74" s="3223"/>
      <c r="AG74" s="3223"/>
      <c r="AH74" s="3223"/>
      <c r="AI74" s="3223"/>
      <c r="AJ74" s="3223"/>
      <c r="AK74" s="3223"/>
      <c r="AL74" s="3223"/>
      <c r="AM74" s="3223"/>
      <c r="AN74" s="3223"/>
      <c r="AO74" s="3223"/>
      <c r="AP74" s="3223"/>
      <c r="AQ74" s="3223"/>
      <c r="AR74" s="3223"/>
      <c r="AS74" s="3223"/>
      <c r="AT74" s="3223"/>
      <c r="AU74" s="3223"/>
      <c r="AV74" s="3223"/>
      <c r="AW74" s="3223"/>
      <c r="AX74" s="3223"/>
      <c r="AY74" s="3223"/>
      <c r="AZ74" s="5241"/>
      <c r="BA74" s="5241"/>
      <c r="BB74" s="5241"/>
      <c r="BC74" s="5241"/>
      <c r="BD74" s="3223"/>
      <c r="BE74" s="3223"/>
      <c r="BF74" s="3223"/>
      <c r="BG74" s="3223"/>
      <c r="BH74" s="3223"/>
      <c r="BI74" s="3223"/>
      <c r="BJ74" s="3223"/>
      <c r="BK74" s="3223"/>
      <c r="BL74" s="3223"/>
      <c r="BM74" s="3223"/>
      <c r="BN74" s="3223"/>
      <c r="BO74" s="3223"/>
      <c r="BP74" s="3223"/>
      <c r="BQ74" s="3223"/>
      <c r="BR74" s="3223"/>
      <c r="BS74" s="3223"/>
      <c r="BT74" s="3223"/>
      <c r="BU74" s="3223"/>
      <c r="BV74" s="3223"/>
      <c r="BW74" s="26"/>
      <c r="BZ74" s="2554"/>
    </row>
    <row r="75" spans="1:78" x14ac:dyDescent="0.25">
      <c r="C75" s="3223"/>
      <c r="D75" s="3223"/>
      <c r="E75" s="3223"/>
      <c r="F75" s="3223"/>
      <c r="G75" s="3223"/>
      <c r="H75" s="3223"/>
      <c r="I75" s="3223"/>
      <c r="J75" s="3223"/>
      <c r="K75" s="3223"/>
      <c r="L75" s="3223"/>
      <c r="M75" s="3223"/>
      <c r="N75" s="3223"/>
      <c r="O75" s="3223"/>
      <c r="P75" s="3223"/>
      <c r="Q75" s="3223"/>
      <c r="R75" s="3223"/>
      <c r="S75" s="3223"/>
      <c r="T75" s="3223"/>
      <c r="U75" s="3223"/>
      <c r="V75" s="3223"/>
      <c r="W75" s="3223"/>
      <c r="Y75" s="3223"/>
      <c r="AA75" s="3223"/>
      <c r="AB75" s="3223"/>
      <c r="AC75" s="3223"/>
      <c r="AD75" s="3223"/>
      <c r="AE75" s="3223"/>
      <c r="AF75" s="3223"/>
      <c r="AG75" s="3223"/>
      <c r="AH75" s="3223"/>
      <c r="AI75" s="3223"/>
      <c r="AJ75" s="3223"/>
      <c r="AK75" s="3223"/>
      <c r="AL75" s="3223"/>
      <c r="AM75" s="3223"/>
      <c r="AN75" s="3223"/>
      <c r="AO75" s="3223"/>
      <c r="AP75" s="3223"/>
      <c r="AQ75" s="3223"/>
      <c r="AR75" s="3223"/>
      <c r="AS75" s="3223"/>
      <c r="AT75" s="3223"/>
      <c r="AU75" s="3223"/>
      <c r="AV75" s="3223"/>
      <c r="AW75" s="3223"/>
      <c r="AX75" s="3223"/>
      <c r="AY75" s="3223"/>
      <c r="BD75" s="3223"/>
      <c r="BE75" s="3223"/>
      <c r="BF75" s="3223"/>
      <c r="BG75" s="3223"/>
      <c r="BH75" s="3223"/>
      <c r="BI75" s="3223"/>
      <c r="BJ75" s="3223"/>
      <c r="BK75" s="3223"/>
      <c r="BL75" s="3223"/>
      <c r="BM75" s="3223"/>
      <c r="BN75" s="3223"/>
      <c r="BO75" s="3223"/>
      <c r="BP75" s="3223"/>
      <c r="BQ75" s="3223"/>
      <c r="BR75" s="3223"/>
      <c r="BS75" s="3223"/>
      <c r="BT75" s="3223"/>
      <c r="BU75" s="3223"/>
      <c r="BV75" s="3223"/>
      <c r="BW75" s="26"/>
    </row>
    <row r="76" spans="1:78" x14ac:dyDescent="0.25">
      <c r="C76" s="3223"/>
      <c r="D76" s="3223"/>
      <c r="E76" s="3223"/>
      <c r="F76" s="3223"/>
      <c r="G76" s="3223"/>
      <c r="H76" s="3223"/>
      <c r="I76" s="3223"/>
      <c r="J76" s="3223"/>
      <c r="K76" s="3223"/>
      <c r="L76" s="3223"/>
      <c r="M76" s="3223"/>
      <c r="N76" s="3223"/>
      <c r="O76" s="3223"/>
      <c r="P76" s="3223"/>
      <c r="Q76" s="3223"/>
      <c r="R76" s="3223"/>
      <c r="S76" s="3223"/>
      <c r="T76" s="3223"/>
      <c r="U76" s="3223"/>
      <c r="V76" s="3223"/>
      <c r="W76" s="3223"/>
      <c r="Y76" s="3223"/>
      <c r="AA76" s="3223"/>
      <c r="AB76" s="3223"/>
      <c r="AC76" s="3223"/>
      <c r="AD76" s="3223"/>
      <c r="AE76" s="3223"/>
      <c r="AF76" s="3223"/>
      <c r="AG76" s="3223"/>
      <c r="AH76" s="3223"/>
      <c r="AI76" s="3223"/>
      <c r="AJ76" s="3223"/>
      <c r="AK76" s="3223"/>
      <c r="AL76" s="3223"/>
      <c r="AM76" s="3223"/>
      <c r="AN76" s="3223"/>
      <c r="AO76" s="3223"/>
      <c r="AP76" s="3223"/>
      <c r="AQ76" s="3223"/>
      <c r="AR76" s="3223"/>
      <c r="AS76" s="3223"/>
      <c r="AT76" s="3223"/>
      <c r="AU76" s="3223"/>
      <c r="AV76" s="3223"/>
      <c r="AW76" s="3223"/>
      <c r="AX76" s="3223"/>
      <c r="AY76" s="3223"/>
      <c r="BD76" s="3223"/>
      <c r="BE76" s="3223"/>
      <c r="BF76" s="3223"/>
      <c r="BG76" s="3223"/>
      <c r="BH76" s="3223"/>
      <c r="BI76" s="3223"/>
      <c r="BJ76" s="3223"/>
      <c r="BK76" s="3223"/>
      <c r="BL76" s="3223"/>
      <c r="BM76" s="3223"/>
      <c r="BN76" s="3223"/>
      <c r="BO76" s="3223"/>
      <c r="BP76" s="3223"/>
      <c r="BQ76" s="3223"/>
      <c r="BR76" s="3223"/>
      <c r="BS76" s="3223"/>
      <c r="BT76" s="3223"/>
      <c r="BU76" s="3223"/>
      <c r="BV76" s="3223"/>
    </row>
    <row r="77" spans="1:78" x14ac:dyDescent="0.25">
      <c r="C77" s="3223"/>
      <c r="D77" s="3223"/>
      <c r="E77" s="3223"/>
      <c r="F77" s="3223"/>
      <c r="G77" s="3223"/>
      <c r="H77" s="3223"/>
      <c r="I77" s="3223"/>
      <c r="J77" s="3223"/>
      <c r="K77" s="3223"/>
      <c r="L77" s="3223"/>
      <c r="M77" s="3223"/>
      <c r="N77" s="3223"/>
      <c r="O77" s="3223"/>
      <c r="P77" s="3223"/>
      <c r="Q77" s="3223"/>
      <c r="R77" s="3223"/>
      <c r="S77" s="3223"/>
      <c r="T77" s="3223"/>
      <c r="U77" s="3223"/>
      <c r="V77" s="3223"/>
      <c r="W77" s="3223"/>
      <c r="Y77" s="3223"/>
      <c r="AA77" s="3223"/>
      <c r="AB77" s="3223"/>
      <c r="AC77" s="3223"/>
      <c r="AD77" s="3223"/>
      <c r="AE77" s="3223"/>
      <c r="AF77" s="3223"/>
      <c r="AG77" s="3223"/>
      <c r="AH77" s="3223"/>
      <c r="AI77" s="3223"/>
      <c r="AJ77" s="3223"/>
      <c r="AK77" s="3223"/>
      <c r="AL77" s="3223"/>
      <c r="AM77" s="3223"/>
      <c r="AN77" s="3223"/>
      <c r="AO77" s="3223"/>
      <c r="AP77" s="3223"/>
      <c r="AQ77" s="3223"/>
      <c r="AR77" s="3223"/>
      <c r="AS77" s="3223"/>
      <c r="AT77" s="3223"/>
      <c r="AU77" s="3223"/>
      <c r="AV77" s="3223"/>
      <c r="AW77" s="3223"/>
      <c r="AX77" s="3223"/>
      <c r="AY77" s="3223"/>
      <c r="BD77" s="3223"/>
      <c r="BE77" s="3223"/>
      <c r="BF77" s="3223"/>
      <c r="BG77" s="3223"/>
      <c r="BH77" s="3223"/>
      <c r="BI77" s="3223"/>
      <c r="BJ77" s="3223"/>
      <c r="BK77" s="3223"/>
      <c r="BL77" s="3223"/>
      <c r="BM77" s="3223"/>
      <c r="BN77" s="3223"/>
      <c r="BO77" s="3223"/>
      <c r="BP77" s="3223"/>
      <c r="BQ77" s="3223"/>
      <c r="BR77" s="3223"/>
      <c r="BS77" s="3223"/>
      <c r="BT77" s="3223"/>
      <c r="BU77" s="3223"/>
      <c r="BV77" s="3223"/>
    </row>
    <row r="78" spans="1:78" x14ac:dyDescent="0.25">
      <c r="C78" s="3223"/>
      <c r="D78" s="3223"/>
      <c r="E78" s="3223"/>
      <c r="F78" s="3223"/>
      <c r="G78" s="3223"/>
      <c r="H78" s="3223"/>
      <c r="I78" s="3223"/>
      <c r="J78" s="3223"/>
      <c r="K78" s="3223"/>
      <c r="L78" s="3223"/>
      <c r="M78" s="3223"/>
      <c r="N78" s="3223"/>
      <c r="O78" s="3223"/>
      <c r="P78" s="3223"/>
      <c r="Q78" s="3223"/>
      <c r="R78" s="3223"/>
      <c r="S78" s="3223"/>
      <c r="T78" s="3223"/>
      <c r="U78" s="3223"/>
      <c r="V78" s="3223"/>
      <c r="W78" s="3223"/>
      <c r="Y78" s="3223"/>
      <c r="AA78" s="3223"/>
      <c r="AB78" s="3223"/>
      <c r="AC78" s="3223"/>
      <c r="AD78" s="3223"/>
      <c r="AE78" s="3223"/>
      <c r="AF78" s="3223"/>
      <c r="AG78" s="3223"/>
      <c r="AH78" s="3223"/>
      <c r="AI78" s="3223"/>
      <c r="AJ78" s="3223"/>
      <c r="AK78" s="3223"/>
      <c r="AL78" s="3223"/>
      <c r="AM78" s="3223"/>
      <c r="AN78" s="3223"/>
      <c r="AO78" s="3223"/>
      <c r="AP78" s="3223"/>
      <c r="AQ78" s="3223"/>
      <c r="AR78" s="3223"/>
      <c r="AS78" s="3223"/>
      <c r="AT78" s="3223"/>
      <c r="AU78" s="3223"/>
      <c r="AV78" s="3223"/>
      <c r="AW78" s="3223"/>
      <c r="AX78" s="3223"/>
      <c r="AY78" s="3223"/>
      <c r="BD78" s="3223"/>
      <c r="BE78" s="3223"/>
      <c r="BF78" s="3223"/>
      <c r="BG78" s="3223"/>
      <c r="BH78" s="3223"/>
      <c r="BI78" s="3223"/>
      <c r="BJ78" s="3223"/>
      <c r="BK78" s="3223"/>
      <c r="BL78" s="3223"/>
      <c r="BM78" s="3223"/>
      <c r="BN78" s="3223"/>
      <c r="BO78" s="3223"/>
      <c r="BP78" s="3223"/>
      <c r="BQ78" s="3223"/>
      <c r="BR78" s="3223"/>
      <c r="BS78" s="3223"/>
      <c r="BT78" s="3223"/>
      <c r="BU78" s="3223"/>
      <c r="BV78" s="3223"/>
    </row>
    <row r="79" spans="1:78" x14ac:dyDescent="0.25">
      <c r="C79" s="3223"/>
      <c r="D79" s="3223"/>
      <c r="E79" s="3223"/>
      <c r="F79" s="3223"/>
      <c r="G79" s="3223"/>
      <c r="H79" s="3223"/>
      <c r="I79" s="3223"/>
      <c r="J79" s="3223"/>
      <c r="K79" s="3223"/>
      <c r="L79" s="3223"/>
      <c r="M79" s="3223"/>
      <c r="N79" s="3223"/>
      <c r="O79" s="3223"/>
      <c r="P79" s="3223"/>
      <c r="Q79" s="3223"/>
      <c r="R79" s="3223"/>
      <c r="S79" s="3223"/>
      <c r="T79" s="3223"/>
      <c r="U79" s="3223"/>
      <c r="V79" s="3223"/>
      <c r="W79" s="3223"/>
      <c r="Y79" s="3223"/>
      <c r="AA79" s="3223"/>
      <c r="AB79" s="3223"/>
      <c r="AC79" s="3223"/>
      <c r="AD79" s="3223"/>
      <c r="AE79" s="3223"/>
      <c r="AF79" s="3223"/>
      <c r="AG79" s="3223"/>
      <c r="AH79" s="3223"/>
      <c r="AI79" s="3223"/>
      <c r="AJ79" s="3223"/>
      <c r="AK79" s="3223"/>
      <c r="AL79" s="3223"/>
      <c r="AM79" s="3223"/>
      <c r="AN79" s="3223"/>
      <c r="AO79" s="3223"/>
      <c r="AP79" s="3223"/>
      <c r="AQ79" s="3223"/>
      <c r="AR79" s="3223"/>
      <c r="AS79" s="3223"/>
      <c r="AT79" s="3223"/>
      <c r="AU79" s="3223"/>
      <c r="AV79" s="3223"/>
      <c r="AW79" s="3223"/>
      <c r="AX79" s="3223"/>
      <c r="AY79" s="3223"/>
      <c r="BD79" s="3223"/>
      <c r="BE79" s="3223"/>
      <c r="BF79" s="3223"/>
      <c r="BG79" s="3223"/>
      <c r="BH79" s="3223"/>
      <c r="BI79" s="3223"/>
      <c r="BJ79" s="3223"/>
      <c r="BK79" s="3223"/>
      <c r="BL79" s="3223"/>
      <c r="BM79" s="3223"/>
      <c r="BN79" s="3223"/>
      <c r="BO79" s="3223"/>
      <c r="BP79" s="3223"/>
      <c r="BQ79" s="3223"/>
      <c r="BR79" s="3223"/>
      <c r="BS79" s="3223"/>
      <c r="BT79" s="3223"/>
      <c r="BU79" s="3223"/>
      <c r="BV79" s="3223"/>
      <c r="BZ79" s="26"/>
    </row>
    <row r="80" spans="1:78" x14ac:dyDescent="0.25">
      <c r="C80" s="3223"/>
      <c r="D80" s="3223"/>
      <c r="E80" s="3223"/>
      <c r="F80" s="3223"/>
      <c r="G80" s="3223"/>
      <c r="H80" s="3223"/>
      <c r="I80" s="3223"/>
      <c r="J80" s="3223"/>
      <c r="K80" s="3223"/>
      <c r="L80" s="3223"/>
      <c r="M80" s="3223"/>
      <c r="N80" s="3223"/>
      <c r="O80" s="3223"/>
      <c r="P80" s="3223"/>
      <c r="Q80" s="3223"/>
      <c r="R80" s="3223"/>
      <c r="S80" s="3223"/>
      <c r="T80" s="3223"/>
      <c r="U80" s="3223"/>
      <c r="V80" s="3223"/>
      <c r="W80" s="3223"/>
      <c r="Y80" s="3223"/>
      <c r="AA80" s="3223"/>
      <c r="AB80" s="3223"/>
      <c r="AC80" s="3223"/>
      <c r="AD80" s="3223"/>
      <c r="AE80" s="3223"/>
      <c r="AF80" s="3223"/>
      <c r="AG80" s="3223"/>
      <c r="AH80" s="3223"/>
      <c r="AI80" s="3223"/>
      <c r="AJ80" s="3223"/>
      <c r="AK80" s="3223"/>
      <c r="AL80" s="3223"/>
      <c r="AM80" s="3223"/>
      <c r="AN80" s="3223"/>
      <c r="AO80" s="3223"/>
      <c r="AP80" s="3223"/>
      <c r="AQ80" s="3223"/>
      <c r="AR80" s="3223"/>
      <c r="AS80" s="3223"/>
      <c r="AT80" s="3223"/>
      <c r="AU80" s="3223"/>
      <c r="AV80" s="3223"/>
      <c r="AW80" s="3223"/>
      <c r="AX80" s="3223"/>
      <c r="AY80" s="3223"/>
      <c r="BD80" s="3223"/>
      <c r="BE80" s="3223"/>
      <c r="BF80" s="3223"/>
      <c r="BG80" s="3223"/>
      <c r="BH80" s="3223"/>
      <c r="BI80" s="3223"/>
      <c r="BJ80" s="3223"/>
      <c r="BK80" s="3223"/>
      <c r="BL80" s="3223"/>
      <c r="BM80" s="3223"/>
      <c r="BN80" s="3223"/>
      <c r="BO80" s="3223"/>
      <c r="BP80" s="3223"/>
      <c r="BQ80" s="3223"/>
      <c r="BR80" s="3223"/>
      <c r="BS80" s="3223"/>
      <c r="BT80" s="3223"/>
      <c r="BU80" s="3223"/>
      <c r="BV80" s="3223"/>
    </row>
    <row r="81" spans="3:75" x14ac:dyDescent="0.25">
      <c r="C81" s="3223"/>
      <c r="D81" s="3223"/>
      <c r="E81" s="3223"/>
      <c r="F81" s="3223"/>
      <c r="G81" s="3223"/>
      <c r="H81" s="3223"/>
      <c r="I81" s="3223"/>
      <c r="J81" s="3223"/>
      <c r="K81" s="3223"/>
      <c r="L81" s="3223"/>
      <c r="M81" s="3223"/>
      <c r="N81" s="3223"/>
      <c r="O81" s="3223"/>
      <c r="P81" s="3223"/>
      <c r="Q81" s="3223"/>
      <c r="R81" s="3223"/>
      <c r="S81" s="3223"/>
      <c r="T81" s="3223"/>
      <c r="U81" s="3223"/>
      <c r="V81" s="3223"/>
      <c r="W81" s="3223"/>
      <c r="Y81" s="3223"/>
      <c r="AA81" s="3223"/>
      <c r="AB81" s="3223"/>
      <c r="AC81" s="3223"/>
      <c r="AD81" s="3223"/>
      <c r="AE81" s="3223"/>
      <c r="AF81" s="3223"/>
      <c r="AG81" s="3223"/>
      <c r="AH81" s="3223"/>
      <c r="AI81" s="3223"/>
      <c r="AJ81" s="3223"/>
      <c r="AK81" s="3223"/>
      <c r="AL81" s="3223"/>
      <c r="AM81" s="3223"/>
      <c r="AN81" s="3223"/>
      <c r="AO81" s="3223"/>
      <c r="AP81" s="3223"/>
      <c r="AQ81" s="3223"/>
      <c r="AR81" s="3223"/>
      <c r="AS81" s="3223"/>
      <c r="AT81" s="3223"/>
      <c r="AU81" s="3223"/>
      <c r="AV81" s="3223"/>
      <c r="AW81" s="3223"/>
      <c r="AX81" s="3223"/>
      <c r="AY81" s="3223"/>
      <c r="BD81" s="3223"/>
      <c r="BE81" s="3223"/>
      <c r="BF81" s="3223"/>
      <c r="BG81" s="3223"/>
      <c r="BH81" s="3223"/>
      <c r="BI81" s="3223"/>
      <c r="BJ81" s="3223"/>
      <c r="BK81" s="3223"/>
      <c r="BL81" s="3223"/>
      <c r="BM81" s="3223"/>
      <c r="BN81" s="3223"/>
      <c r="BO81" s="3223"/>
      <c r="BP81" s="3223"/>
      <c r="BQ81" s="3223"/>
      <c r="BR81" s="3223"/>
      <c r="BS81" s="3223"/>
      <c r="BT81" s="3223"/>
      <c r="BU81" s="3223"/>
      <c r="BV81" s="3223"/>
    </row>
    <row r="82" spans="3:75" x14ac:dyDescent="0.25">
      <c r="C82" s="3223"/>
      <c r="D82" s="3223"/>
      <c r="E82" s="3223"/>
      <c r="F82" s="3223"/>
      <c r="G82" s="3223"/>
      <c r="H82" s="3223"/>
      <c r="I82" s="3223"/>
      <c r="J82" s="3223"/>
      <c r="K82" s="3223"/>
      <c r="L82" s="3223"/>
      <c r="M82" s="3223"/>
      <c r="N82" s="3223"/>
      <c r="O82" s="3223"/>
      <c r="P82" s="3223"/>
      <c r="Q82" s="3223"/>
      <c r="R82" s="3223"/>
      <c r="S82" s="3223"/>
      <c r="T82" s="3223"/>
      <c r="U82" s="3223"/>
      <c r="V82" s="3223"/>
      <c r="W82" s="3223"/>
      <c r="Y82" s="3223"/>
      <c r="AA82" s="3223"/>
      <c r="AB82" s="3223"/>
      <c r="AC82" s="3223"/>
      <c r="AD82" s="3223"/>
      <c r="AE82" s="3223"/>
      <c r="AF82" s="3223"/>
      <c r="AG82" s="3223"/>
      <c r="AH82" s="3223"/>
      <c r="AI82" s="3223"/>
      <c r="AJ82" s="3223"/>
      <c r="AK82" s="3223"/>
      <c r="AL82" s="3223"/>
      <c r="AM82" s="3223"/>
      <c r="AN82" s="3223"/>
      <c r="AO82" s="3223"/>
      <c r="AP82" s="3223"/>
      <c r="AQ82" s="3223"/>
      <c r="AR82" s="3223"/>
      <c r="AS82" s="3223"/>
      <c r="AT82" s="3223"/>
      <c r="AU82" s="3223"/>
      <c r="AV82" s="3223"/>
      <c r="AW82" s="3223"/>
      <c r="AX82" s="3223"/>
      <c r="AY82" s="3223"/>
      <c r="BD82" s="3223"/>
      <c r="BE82" s="3223"/>
      <c r="BF82" s="3223"/>
      <c r="BG82" s="3223"/>
      <c r="BH82" s="3223"/>
      <c r="BI82" s="3223"/>
      <c r="BJ82" s="3223"/>
      <c r="BK82" s="3223"/>
      <c r="BL82" s="3223"/>
      <c r="BM82" s="3223"/>
      <c r="BN82" s="3223"/>
      <c r="BO82" s="3223"/>
      <c r="BP82" s="3223"/>
      <c r="BQ82" s="3223"/>
      <c r="BR82" s="3223"/>
      <c r="BS82" s="3223"/>
      <c r="BT82" s="3223"/>
      <c r="BU82" s="3223"/>
      <c r="BV82" s="3223"/>
    </row>
    <row r="84" spans="3:75" x14ac:dyDescent="0.25">
      <c r="BW84" s="26"/>
    </row>
  </sheetData>
  <mergeCells count="33">
    <mergeCell ref="B52:B60"/>
    <mergeCell ref="D3:E3"/>
    <mergeCell ref="F3:G3"/>
    <mergeCell ref="H3:I3"/>
    <mergeCell ref="B21:B23"/>
    <mergeCell ref="B26:B42"/>
    <mergeCell ref="B44:B47"/>
    <mergeCell ref="B4:B20"/>
    <mergeCell ref="B48:B50"/>
    <mergeCell ref="X3:Y3"/>
    <mergeCell ref="V3:W3"/>
    <mergeCell ref="T3:U3"/>
    <mergeCell ref="Z3:AA3"/>
    <mergeCell ref="AF3:AG3"/>
    <mergeCell ref="AB3:AC3"/>
    <mergeCell ref="J3:K3"/>
    <mergeCell ref="L3:M3"/>
    <mergeCell ref="N3:O3"/>
    <mergeCell ref="P3:Q3"/>
    <mergeCell ref="R3:S3"/>
    <mergeCell ref="AX3:AY3"/>
    <mergeCell ref="BD3:BE3"/>
    <mergeCell ref="AT3:AU3"/>
    <mergeCell ref="AV3:AW3"/>
    <mergeCell ref="AD3:AE3"/>
    <mergeCell ref="AH3:AI3"/>
    <mergeCell ref="AP3:AQ3"/>
    <mergeCell ref="AR3:AS3"/>
    <mergeCell ref="AJ3:AK3"/>
    <mergeCell ref="AL3:AM3"/>
    <mergeCell ref="AN3:AO3"/>
    <mergeCell ref="AZ3:BA3"/>
    <mergeCell ref="BB3:BC3"/>
  </mergeCells>
  <printOptions horizontalCentered="1" verticalCentered="1"/>
  <pageMargins left="0" right="0" top="0" bottom="0" header="0" footer="0"/>
  <pageSetup paperSize="9" scale="80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>
    <tabColor theme="9" tint="-0.499984740745262"/>
    <pageSetUpPr fitToPage="1"/>
  </sheetPr>
  <dimension ref="B1:BJ152"/>
  <sheetViews>
    <sheetView zoomScale="90" zoomScaleNormal="90" workbookViewId="0">
      <pane xSplit="3" ySplit="4" topLeftCell="AG59" activePane="bottomRight" state="frozen"/>
      <selection pane="topRight" activeCell="D1" sqref="D1"/>
      <selection pane="bottomLeft" activeCell="A5" sqref="A5"/>
      <selection pane="bottomRight" activeCell="A89" sqref="A89:XFD89"/>
    </sheetView>
  </sheetViews>
  <sheetFormatPr defaultColWidth="8.85546875" defaultRowHeight="15" x14ac:dyDescent="0.25"/>
  <cols>
    <col min="1" max="1" width="2.140625" customWidth="1"/>
    <col min="2" max="2" width="68.7109375" bestFit="1" customWidth="1"/>
    <col min="3" max="3" width="13.42578125" bestFit="1" customWidth="1"/>
    <col min="4" max="4" width="13.7109375" style="122" bestFit="1" customWidth="1"/>
    <col min="5" max="5" width="9.85546875" style="116" customWidth="1"/>
    <col min="6" max="6" width="9.85546875" style="122" bestFit="1" customWidth="1"/>
    <col min="7" max="7" width="8.7109375" style="116" customWidth="1"/>
    <col min="8" max="8" width="9.85546875" style="122" bestFit="1" customWidth="1"/>
    <col min="9" max="9" width="10" style="116" hidden="1" customWidth="1"/>
    <col min="10" max="10" width="10" style="122" hidden="1" customWidth="1"/>
    <col min="11" max="11" width="8.7109375" style="239" customWidth="1"/>
    <col min="12" max="12" width="9.85546875" style="122" bestFit="1" customWidth="1"/>
    <col min="13" max="13" width="10.5703125" style="116" customWidth="1"/>
    <col min="14" max="14" width="10" bestFit="1" customWidth="1"/>
    <col min="15" max="15" width="9.85546875" style="239" customWidth="1"/>
    <col min="16" max="16" width="9.85546875" bestFit="1" customWidth="1"/>
    <col min="17" max="17" width="10" style="116" hidden="1" customWidth="1"/>
    <col min="18" max="18" width="10" hidden="1" customWidth="1"/>
    <col min="19" max="19" width="9.85546875" style="116" customWidth="1"/>
    <col min="20" max="20" width="9.85546875" style="2637" bestFit="1" customWidth="1"/>
    <col min="21" max="21" width="10" style="116" hidden="1" customWidth="1"/>
    <col min="22" max="22" width="13" hidden="1" customWidth="1"/>
    <col min="23" max="23" width="9.85546875" style="116" customWidth="1"/>
    <col min="24" max="24" width="9.85546875" bestFit="1" customWidth="1"/>
    <col min="25" max="25" width="13" style="116" customWidth="1"/>
    <col min="26" max="26" width="15.140625" bestFit="1" customWidth="1"/>
    <col min="27" max="27" width="13" style="116" customWidth="1"/>
    <col min="28" max="28" width="15.140625" bestFit="1" customWidth="1"/>
    <col min="29" max="29" width="8.85546875" customWidth="1"/>
    <col min="30" max="30" width="10" bestFit="1" customWidth="1"/>
    <col min="31" max="32" width="8.85546875" hidden="1" customWidth="1"/>
    <col min="33" max="33" width="8.85546875" customWidth="1"/>
    <col min="35" max="36" width="8.85546875" hidden="1" customWidth="1"/>
    <col min="37" max="37" width="8.85546875" customWidth="1"/>
    <col min="39" max="39" width="8.85546875" customWidth="1"/>
    <col min="41" max="41" width="8.85546875" hidden="1" customWidth="1"/>
    <col min="42" max="42" width="10" hidden="1" customWidth="1"/>
    <col min="43" max="43" width="8.85546875" customWidth="1"/>
    <col min="45" max="45" width="10" hidden="1" customWidth="1"/>
    <col min="46" max="46" width="12" hidden="1" customWidth="1"/>
    <col min="47" max="48" width="9" bestFit="1" customWidth="1"/>
    <col min="49" max="49" width="10" hidden="1" customWidth="1"/>
    <col min="50" max="50" width="12" hidden="1" customWidth="1"/>
    <col min="53" max="54" width="8.85546875" style="5055"/>
    <col min="55" max="56" width="10" style="5055" bestFit="1" customWidth="1"/>
    <col min="57" max="57" width="10.7109375" customWidth="1"/>
    <col min="58" max="58" width="12" bestFit="1" customWidth="1"/>
    <col min="59" max="59" width="11.140625" bestFit="1" customWidth="1"/>
    <col min="60" max="60" width="15" bestFit="1" customWidth="1"/>
  </cols>
  <sheetData>
    <row r="1" spans="2:62" s="183" customFormat="1" ht="22.5" x14ac:dyDescent="0.3">
      <c r="B1" s="1596" t="s">
        <v>114</v>
      </c>
      <c r="C1" s="1597"/>
      <c r="D1" s="1888">
        <f>+D68/24</f>
        <v>337.74500000000006</v>
      </c>
      <c r="E1" s="1598">
        <f>+E68/24</f>
        <v>28.42</v>
      </c>
      <c r="F1" s="1598">
        <f t="shared" ref="F1:R1" si="0">+F68/24</f>
        <v>27.99291666666667</v>
      </c>
      <c r="G1" s="1598">
        <f t="shared" si="0"/>
        <v>24.25</v>
      </c>
      <c r="H1" s="1598">
        <f t="shared" si="0"/>
        <v>22.602500000000003</v>
      </c>
      <c r="I1" s="1598">
        <f t="shared" si="0"/>
        <v>52.669999999999995</v>
      </c>
      <c r="J1" s="1598">
        <f t="shared" si="0"/>
        <v>50.595416666666665</v>
      </c>
      <c r="K1" s="1599">
        <f t="shared" si="0"/>
        <v>24.25</v>
      </c>
      <c r="L1" s="1598">
        <f t="shared" si="0"/>
        <v>24.318333333333332</v>
      </c>
      <c r="M1" s="1598">
        <f t="shared" si="0"/>
        <v>76.92</v>
      </c>
      <c r="N1" s="1598">
        <f t="shared" si="0"/>
        <v>74.913749999999993</v>
      </c>
      <c r="O1" s="1599">
        <f t="shared" si="0"/>
        <v>29.400000000000002</v>
      </c>
      <c r="P1" s="1598">
        <f t="shared" si="0"/>
        <v>28.08583333333333</v>
      </c>
      <c r="Q1" s="1598">
        <f t="shared" si="0"/>
        <v>106.32</v>
      </c>
      <c r="R1" s="1598">
        <f t="shared" si="0"/>
        <v>102.99958333333332</v>
      </c>
      <c r="S1" s="1598">
        <f>+S68/24</f>
        <v>29.400000000000002</v>
      </c>
      <c r="T1" s="2681">
        <f>+T68/24</f>
        <v>27.290000000000003</v>
      </c>
      <c r="U1" s="1598">
        <f>+U68/24</f>
        <v>135.72</v>
      </c>
      <c r="V1" s="1598">
        <f>+V68/24</f>
        <v>130.28958333333333</v>
      </c>
      <c r="W1" s="1598">
        <f t="shared" ref="W1:AF1" si="1">+W68/24</f>
        <v>28.42</v>
      </c>
      <c r="X1" s="1598">
        <f t="shared" si="1"/>
        <v>27.02416666666667</v>
      </c>
      <c r="Y1" s="1598">
        <f>+O1+S1+W1</f>
        <v>87.22</v>
      </c>
      <c r="Z1" s="1598">
        <f>+P1+T1+X1</f>
        <v>82.4</v>
      </c>
      <c r="AA1" s="1598">
        <f t="shared" si="1"/>
        <v>164.14000000000001</v>
      </c>
      <c r="AB1" s="1598">
        <f t="shared" si="1"/>
        <v>157.31375</v>
      </c>
      <c r="AC1" s="1598">
        <f t="shared" si="1"/>
        <v>29.400000000000002</v>
      </c>
      <c r="AD1" s="1598">
        <f t="shared" si="1"/>
        <v>28.35083333333333</v>
      </c>
      <c r="AE1" s="1598">
        <f t="shared" si="1"/>
        <v>193.54</v>
      </c>
      <c r="AF1" s="1598">
        <f t="shared" si="1"/>
        <v>185.66458333333333</v>
      </c>
      <c r="AG1" s="1598">
        <f t="shared" ref="AG1:AL1" si="2">+AG68/24</f>
        <v>28.564999999999998</v>
      </c>
      <c r="AH1" s="1598">
        <f t="shared" si="2"/>
        <v>27.487500000000001</v>
      </c>
      <c r="AI1" s="1598">
        <f t="shared" si="2"/>
        <v>222.10500000000002</v>
      </c>
      <c r="AJ1" s="1598">
        <f t="shared" si="2"/>
        <v>213.15208333333331</v>
      </c>
      <c r="AK1" s="1598">
        <f t="shared" si="2"/>
        <v>29.400000000000002</v>
      </c>
      <c r="AL1" s="1598">
        <f t="shared" si="2"/>
        <v>29.152083333333334</v>
      </c>
      <c r="AM1" s="1598">
        <f>+AC1+AG1+AK1</f>
        <v>87.365000000000009</v>
      </c>
      <c r="AN1" s="1598">
        <f>+AD1+AH1+AL1</f>
        <v>84.990416666666661</v>
      </c>
      <c r="AO1" s="1598">
        <f>AI1+AK1</f>
        <v>251.50500000000002</v>
      </c>
      <c r="AP1" s="1598">
        <f>AJ1+AL1</f>
        <v>242.30416666666665</v>
      </c>
      <c r="AQ1" s="1598">
        <f t="shared" ref="AQ1:AT1" si="3">+AQ68/24</f>
        <v>29.400000000000002</v>
      </c>
      <c r="AR1" s="1598">
        <f t="shared" si="3"/>
        <v>28.681666666666668</v>
      </c>
      <c r="AS1" s="1598">
        <f t="shared" si="3"/>
        <v>280.90500000000003</v>
      </c>
      <c r="AT1" s="1598">
        <f t="shared" si="3"/>
        <v>270.98583333333329</v>
      </c>
      <c r="AU1" s="1598">
        <f t="shared" ref="AU1:AX1" si="4">+AU68/24</f>
        <v>27.439999999999998</v>
      </c>
      <c r="AV1" s="1598">
        <f t="shared" si="4"/>
        <v>27.894166666666667</v>
      </c>
      <c r="AW1" s="1598">
        <f t="shared" si="4"/>
        <v>308.34500000000003</v>
      </c>
      <c r="AX1" s="1598">
        <f t="shared" si="4"/>
        <v>298.87999999999994</v>
      </c>
      <c r="AY1" s="1598">
        <f t="shared" ref="AY1:BF1" si="5">+AY68/24</f>
        <v>29.400000000000002</v>
      </c>
      <c r="AZ1" s="1598">
        <f t="shared" si="5"/>
        <v>26.708333333333332</v>
      </c>
      <c r="BA1" s="1598">
        <f>+AQ1+AU1+AY1</f>
        <v>86.240000000000009</v>
      </c>
      <c r="BB1" s="1598">
        <f>+AR1+AV1+AZ1</f>
        <v>83.284166666666664</v>
      </c>
      <c r="BC1" s="1598">
        <f t="shared" ref="BC1:BD1" si="6">+BC68/24</f>
        <v>173.60499999999999</v>
      </c>
      <c r="BD1" s="1598">
        <f t="shared" si="6"/>
        <v>168.27458333333334</v>
      </c>
      <c r="BE1" s="1598">
        <f t="shared" si="5"/>
        <v>337.74500000000006</v>
      </c>
      <c r="BF1" s="1598">
        <f t="shared" si="5"/>
        <v>325.58833333333331</v>
      </c>
    </row>
    <row r="2" spans="2:62" x14ac:dyDescent="0.25">
      <c r="B2" s="4"/>
      <c r="C2" s="4"/>
      <c r="D2" s="126">
        <v>366</v>
      </c>
      <c r="E2" s="38">
        <v>30</v>
      </c>
      <c r="F2" s="38">
        <v>30</v>
      </c>
      <c r="G2" s="38">
        <v>31</v>
      </c>
      <c r="H2" s="38">
        <v>31</v>
      </c>
      <c r="I2" s="38">
        <f>+E2+G2</f>
        <v>61</v>
      </c>
      <c r="J2" s="38">
        <f>+F2+H2</f>
        <v>61</v>
      </c>
      <c r="K2" s="534">
        <v>30</v>
      </c>
      <c r="L2" s="38">
        <v>30</v>
      </c>
      <c r="M2" s="38">
        <f>+I2+K2</f>
        <v>91</v>
      </c>
      <c r="N2" s="38">
        <f>+J2+L2</f>
        <v>91</v>
      </c>
      <c r="O2" s="534">
        <v>31</v>
      </c>
      <c r="P2" s="38">
        <v>31</v>
      </c>
      <c r="Q2" s="38">
        <f>+M2+O2</f>
        <v>122</v>
      </c>
      <c r="R2" s="38">
        <f>+N2+P2</f>
        <v>122</v>
      </c>
      <c r="S2" s="38">
        <v>31</v>
      </c>
      <c r="T2" s="2682">
        <v>31</v>
      </c>
      <c r="U2" s="38">
        <f>+Q2+S2</f>
        <v>153</v>
      </c>
      <c r="V2" s="38">
        <f>+R2+T2</f>
        <v>153</v>
      </c>
      <c r="W2" s="38">
        <v>30</v>
      </c>
      <c r="X2" s="38">
        <v>30</v>
      </c>
      <c r="Y2" s="38">
        <f>+O2+S2+W2</f>
        <v>92</v>
      </c>
      <c r="Z2" s="38">
        <f>+P2+T2+X2</f>
        <v>92</v>
      </c>
      <c r="AA2" s="38">
        <f>+U2+W2</f>
        <v>183</v>
      </c>
      <c r="AB2" s="38">
        <f>+V2+X2</f>
        <v>183</v>
      </c>
      <c r="AC2" s="38">
        <v>31</v>
      </c>
      <c r="AD2" s="38">
        <v>31</v>
      </c>
      <c r="AE2" s="38">
        <f>+AA2+AC2</f>
        <v>214</v>
      </c>
      <c r="AF2" s="38">
        <f>+AB2+AD2</f>
        <v>214</v>
      </c>
      <c r="AG2" s="38">
        <v>30</v>
      </c>
      <c r="AH2" s="38">
        <v>30</v>
      </c>
      <c r="AI2" s="38">
        <f>+AE2+AG2</f>
        <v>244</v>
      </c>
      <c r="AJ2" s="38">
        <f>+AF2+AH2</f>
        <v>244</v>
      </c>
      <c r="AK2" s="38">
        <v>31</v>
      </c>
      <c r="AL2" s="38">
        <v>31</v>
      </c>
      <c r="AM2" s="38">
        <f>+AC2+AG2+AK2</f>
        <v>92</v>
      </c>
      <c r="AN2" s="38">
        <f>+AD2+AH2+AL2</f>
        <v>92</v>
      </c>
      <c r="AO2" s="1598">
        <f>AI2+AK2</f>
        <v>275</v>
      </c>
      <c r="AP2" s="1598">
        <f>AJ2+AL2</f>
        <v>275</v>
      </c>
      <c r="AQ2" s="38">
        <v>31</v>
      </c>
      <c r="AR2" s="38">
        <v>31</v>
      </c>
      <c r="AS2" s="38">
        <f>+AO2+AQ2</f>
        <v>306</v>
      </c>
      <c r="AT2" s="38">
        <f>+AP2+AR2</f>
        <v>306</v>
      </c>
      <c r="AU2" s="38">
        <v>29</v>
      </c>
      <c r="AV2" s="38">
        <v>29</v>
      </c>
      <c r="AW2" s="38">
        <f>+AS2+AU2</f>
        <v>335</v>
      </c>
      <c r="AX2" s="38">
        <f>+AT2+AV2</f>
        <v>335</v>
      </c>
      <c r="AY2" s="38">
        <v>31</v>
      </c>
      <c r="AZ2" s="38">
        <v>31</v>
      </c>
      <c r="BA2" s="38">
        <f>+AQ2+AU2+AY2</f>
        <v>91</v>
      </c>
      <c r="BB2" s="38">
        <f>+AR2+AV2+AZ2</f>
        <v>91</v>
      </c>
      <c r="BC2" s="38">
        <f>+AM2+BA2</f>
        <v>183</v>
      </c>
      <c r="BD2" s="38">
        <f>+AN2+BB2</f>
        <v>183</v>
      </c>
      <c r="BE2" s="38">
        <f>+AW2+AY2</f>
        <v>366</v>
      </c>
      <c r="BF2" s="38">
        <f>+AX2+AZ2</f>
        <v>366</v>
      </c>
    </row>
    <row r="3" spans="2:62" x14ac:dyDescent="0.25">
      <c r="B3" s="6355" t="s">
        <v>175</v>
      </c>
      <c r="C3" s="6351" t="s">
        <v>176</v>
      </c>
      <c r="D3" s="6356" t="s">
        <v>1469</v>
      </c>
      <c r="E3" s="6351" t="s">
        <v>1470</v>
      </c>
      <c r="F3" s="6351"/>
      <c r="G3" s="6351" t="s">
        <v>1526</v>
      </c>
      <c r="H3" s="6351"/>
      <c r="I3" s="6350" t="s">
        <v>15</v>
      </c>
      <c r="J3" s="6350"/>
      <c r="K3" s="6351" t="s">
        <v>1620</v>
      </c>
      <c r="L3" s="6351"/>
      <c r="M3" s="6352" t="s">
        <v>658</v>
      </c>
      <c r="N3" s="6352"/>
      <c r="O3" s="6351" t="s">
        <v>1688</v>
      </c>
      <c r="P3" s="6351"/>
      <c r="Q3" s="6350" t="s">
        <v>18</v>
      </c>
      <c r="R3" s="6350"/>
      <c r="S3" s="6351" t="s">
        <v>1731</v>
      </c>
      <c r="T3" s="6351"/>
      <c r="U3" s="6350" t="s">
        <v>19</v>
      </c>
      <c r="V3" s="6350"/>
      <c r="W3" s="6351" t="s">
        <v>1766</v>
      </c>
      <c r="X3" s="6351"/>
      <c r="Y3" s="6352" t="s">
        <v>682</v>
      </c>
      <c r="Z3" s="6352"/>
      <c r="AA3" s="6353" t="s">
        <v>679</v>
      </c>
      <c r="AB3" s="6353"/>
      <c r="AC3" s="6351" t="s">
        <v>1831</v>
      </c>
      <c r="AD3" s="6351"/>
      <c r="AE3" s="6350" t="s">
        <v>26</v>
      </c>
      <c r="AF3" s="6350"/>
      <c r="AG3" s="6351" t="s">
        <v>1863</v>
      </c>
      <c r="AH3" s="6351"/>
      <c r="AI3" s="6350" t="s">
        <v>29</v>
      </c>
      <c r="AJ3" s="6350"/>
      <c r="AK3" s="6351" t="s">
        <v>1888</v>
      </c>
      <c r="AL3" s="6351"/>
      <c r="AM3" s="6352" t="s">
        <v>684</v>
      </c>
      <c r="AN3" s="6352"/>
      <c r="AO3" s="6350" t="s">
        <v>1890</v>
      </c>
      <c r="AP3" s="6350"/>
      <c r="AQ3" s="6351" t="s">
        <v>1918</v>
      </c>
      <c r="AR3" s="6351"/>
      <c r="AS3" s="6350" t="s">
        <v>30</v>
      </c>
      <c r="AT3" s="6350"/>
      <c r="AU3" s="6351" t="s">
        <v>1940</v>
      </c>
      <c r="AV3" s="6351"/>
      <c r="AW3" s="6350" t="s">
        <v>32</v>
      </c>
      <c r="AX3" s="6350"/>
      <c r="AY3" s="6351" t="s">
        <v>1965</v>
      </c>
      <c r="AZ3" s="6351"/>
      <c r="BA3" s="6352" t="s">
        <v>685</v>
      </c>
      <c r="BB3" s="6352"/>
      <c r="BC3" s="6353" t="s">
        <v>693</v>
      </c>
      <c r="BD3" s="6353"/>
      <c r="BE3" s="6350" t="s">
        <v>1513</v>
      </c>
      <c r="BF3" s="6350"/>
    </row>
    <row r="4" spans="2:62" x14ac:dyDescent="0.25">
      <c r="B4" s="6355"/>
      <c r="C4" s="6351"/>
      <c r="D4" s="6356"/>
      <c r="E4" s="669" t="s">
        <v>177</v>
      </c>
      <c r="F4" s="669" t="s">
        <v>178</v>
      </c>
      <c r="G4" s="669" t="s">
        <v>177</v>
      </c>
      <c r="H4" s="669" t="s">
        <v>178</v>
      </c>
      <c r="I4" s="225" t="s">
        <v>177</v>
      </c>
      <c r="J4" s="225" t="s">
        <v>178</v>
      </c>
      <c r="K4" s="2076" t="s">
        <v>177</v>
      </c>
      <c r="L4" s="669" t="s">
        <v>178</v>
      </c>
      <c r="M4" s="226" t="s">
        <v>177</v>
      </c>
      <c r="N4" s="226" t="s">
        <v>178</v>
      </c>
      <c r="O4" s="2076" t="s">
        <v>177</v>
      </c>
      <c r="P4" s="669" t="s">
        <v>178</v>
      </c>
      <c r="Q4" s="225" t="s">
        <v>177</v>
      </c>
      <c r="R4" s="225" t="s">
        <v>178</v>
      </c>
      <c r="S4" s="669" t="s">
        <v>177</v>
      </c>
      <c r="T4" s="2683" t="s">
        <v>178</v>
      </c>
      <c r="U4" s="225" t="s">
        <v>177</v>
      </c>
      <c r="V4" s="225" t="s">
        <v>178</v>
      </c>
      <c r="W4" s="669" t="s">
        <v>177</v>
      </c>
      <c r="X4" s="669" t="s">
        <v>178</v>
      </c>
      <c r="Y4" s="226" t="s">
        <v>177</v>
      </c>
      <c r="Z4" s="226" t="s">
        <v>178</v>
      </c>
      <c r="AA4" s="1600" t="s">
        <v>177</v>
      </c>
      <c r="AB4" s="1600" t="s">
        <v>178</v>
      </c>
      <c r="AC4" s="4068" t="s">
        <v>177</v>
      </c>
      <c r="AD4" s="4068" t="s">
        <v>178</v>
      </c>
      <c r="AE4" s="4069" t="s">
        <v>177</v>
      </c>
      <c r="AF4" s="4069" t="s">
        <v>178</v>
      </c>
      <c r="AG4" s="4190" t="s">
        <v>177</v>
      </c>
      <c r="AH4" s="4190" t="s">
        <v>178</v>
      </c>
      <c r="AI4" s="4191" t="s">
        <v>177</v>
      </c>
      <c r="AJ4" s="4191" t="s">
        <v>178</v>
      </c>
      <c r="AK4" s="4306" t="s">
        <v>177</v>
      </c>
      <c r="AL4" s="4306" t="s">
        <v>178</v>
      </c>
      <c r="AM4" s="4308" t="s">
        <v>177</v>
      </c>
      <c r="AN4" s="4308" t="s">
        <v>178</v>
      </c>
      <c r="AO4" s="4307" t="s">
        <v>177</v>
      </c>
      <c r="AP4" s="4307" t="s">
        <v>178</v>
      </c>
      <c r="AQ4" s="4417" t="s">
        <v>177</v>
      </c>
      <c r="AR4" s="4417" t="s">
        <v>178</v>
      </c>
      <c r="AS4" s="4418" t="s">
        <v>177</v>
      </c>
      <c r="AT4" s="4418" t="s">
        <v>178</v>
      </c>
      <c r="AU4" s="4664" t="s">
        <v>177</v>
      </c>
      <c r="AV4" s="4664" t="s">
        <v>178</v>
      </c>
      <c r="AW4" s="4665" t="s">
        <v>177</v>
      </c>
      <c r="AX4" s="4665" t="s">
        <v>178</v>
      </c>
      <c r="AY4" s="5056" t="s">
        <v>177</v>
      </c>
      <c r="AZ4" s="5056" t="s">
        <v>178</v>
      </c>
      <c r="BA4" s="5058" t="s">
        <v>177</v>
      </c>
      <c r="BB4" s="5058" t="s">
        <v>178</v>
      </c>
      <c r="BC4" s="5059" t="s">
        <v>177</v>
      </c>
      <c r="BD4" s="5059" t="s">
        <v>178</v>
      </c>
      <c r="BE4" s="5057" t="s">
        <v>177</v>
      </c>
      <c r="BF4" s="5057" t="s">
        <v>178</v>
      </c>
    </row>
    <row r="5" spans="2:62" s="183" customFormat="1" ht="18.75" x14ac:dyDescent="0.25">
      <c r="B5" s="1601" t="s">
        <v>980</v>
      </c>
      <c r="C5" s="1601"/>
      <c r="D5" s="299"/>
      <c r="E5" s="1601"/>
      <c r="F5" s="1601"/>
      <c r="G5" s="1601"/>
      <c r="H5" s="1601"/>
      <c r="I5" s="1601"/>
      <c r="J5" s="1601"/>
      <c r="K5" s="1601"/>
      <c r="L5" s="1601"/>
      <c r="M5" s="1601"/>
      <c r="N5" s="1601"/>
      <c r="O5" s="1601"/>
      <c r="P5" s="1601"/>
      <c r="Q5" s="1601"/>
      <c r="R5" s="1601"/>
      <c r="S5" s="1601"/>
      <c r="T5" s="2684"/>
      <c r="U5" s="1601"/>
      <c r="V5" s="1601"/>
      <c r="W5" s="1601"/>
      <c r="X5" s="1601"/>
      <c r="Y5" s="1601"/>
      <c r="Z5" s="1601"/>
      <c r="AA5" s="1601"/>
      <c r="AB5" s="1601"/>
      <c r="AC5" s="1601"/>
      <c r="AD5" s="1601"/>
      <c r="AE5" s="1601"/>
      <c r="AF5" s="1601"/>
      <c r="AG5" s="1601"/>
      <c r="AH5" s="1601"/>
      <c r="AI5" s="1601"/>
      <c r="AJ5" s="1601"/>
      <c r="AK5" s="1601"/>
      <c r="AL5" s="1601"/>
      <c r="AM5" s="1601"/>
      <c r="AN5" s="1601"/>
      <c r="AO5" s="1601"/>
      <c r="AP5" s="1601"/>
      <c r="AQ5" s="1601"/>
      <c r="AR5" s="1601"/>
      <c r="AS5" s="1601"/>
      <c r="AT5" s="1601"/>
      <c r="AU5" s="1601"/>
      <c r="AV5" s="1601"/>
      <c r="AW5" s="1601"/>
      <c r="AX5" s="1601"/>
      <c r="AY5" s="1601"/>
      <c r="AZ5" s="1601"/>
      <c r="BA5" s="1601"/>
      <c r="BB5" s="1601"/>
      <c r="BC5" s="1601"/>
      <c r="BD5" s="1601"/>
      <c r="BE5" s="1601"/>
      <c r="BF5" s="1601"/>
    </row>
    <row r="6" spans="2:62" x14ac:dyDescent="0.25">
      <c r="B6" s="1602" t="s">
        <v>39</v>
      </c>
      <c r="C6" s="91" t="s">
        <v>52</v>
      </c>
      <c r="D6" s="1494">
        <v>3517074.0766788055</v>
      </c>
      <c r="E6" s="1603">
        <v>295109.17666199984</v>
      </c>
      <c r="F6" s="1603">
        <v>298935</v>
      </c>
      <c r="G6" s="1603">
        <v>239825.22171088948</v>
      </c>
      <c r="H6" s="1603">
        <v>240458</v>
      </c>
      <c r="I6" s="1604">
        <f>+E6+G6</f>
        <v>534934.39837288926</v>
      </c>
      <c r="J6" s="1604">
        <f>+F6+H6</f>
        <v>539393</v>
      </c>
      <c r="K6" s="1603">
        <v>244600.27055660987</v>
      </c>
      <c r="L6" s="1603">
        <v>257838</v>
      </c>
      <c r="M6" s="1606">
        <f>+K6+G6+E6</f>
        <v>779534.66892949911</v>
      </c>
      <c r="N6" s="1606">
        <f>+L6+H6+F6</f>
        <v>797231</v>
      </c>
      <c r="O6" s="1603">
        <v>301827.88882683055</v>
      </c>
      <c r="P6" s="1603">
        <v>305581</v>
      </c>
      <c r="Q6" s="1604">
        <f>+M6+O6</f>
        <v>1081362.5577563297</v>
      </c>
      <c r="R6" s="1604">
        <f>+N6+P6</f>
        <v>1102812</v>
      </c>
      <c r="S6" s="185">
        <v>301827.88882683055</v>
      </c>
      <c r="T6" s="2685">
        <v>296752.03500000003</v>
      </c>
      <c r="U6" s="1604">
        <f>+Q6+S6</f>
        <v>1383190.4465831602</v>
      </c>
      <c r="V6" s="1604">
        <f>+R6+T6</f>
        <v>1399564.0350000001</v>
      </c>
      <c r="W6" s="185">
        <v>293445.56607674697</v>
      </c>
      <c r="X6" s="2685">
        <v>296438</v>
      </c>
      <c r="Y6" s="1606">
        <f>+O6+S6+W6</f>
        <v>897101.343730408</v>
      </c>
      <c r="Z6" s="1606">
        <f>+P6+T6+X6</f>
        <v>898771.03500000003</v>
      </c>
      <c r="AA6" s="1522">
        <f>M6+Y6</f>
        <v>1676636.0126599071</v>
      </c>
      <c r="AB6" s="1522">
        <f>N6+Z6</f>
        <v>1696002.0350000001</v>
      </c>
      <c r="AC6" s="1603">
        <v>307083.92344783357</v>
      </c>
      <c r="AD6" s="1603">
        <v>310785</v>
      </c>
      <c r="AE6" s="1604">
        <f>+AA6+AC6</f>
        <v>1983719.9361077407</v>
      </c>
      <c r="AF6" s="1604">
        <f>+AB6+AD6</f>
        <v>2006787.0350000001</v>
      </c>
      <c r="AG6" s="1603">
        <v>300630.41414824716</v>
      </c>
      <c r="AH6" s="1603">
        <v>292016</v>
      </c>
      <c r="AI6" s="1604">
        <f>+AE6+AG6</f>
        <v>2284350.3502559881</v>
      </c>
      <c r="AJ6" s="1604">
        <f>+AF6+AH6</f>
        <v>2298803.0350000001</v>
      </c>
      <c r="AK6" s="185">
        <v>311407.68625549763</v>
      </c>
      <c r="AL6" s="2685">
        <v>295510</v>
      </c>
      <c r="AM6" s="1606">
        <f>+AC6+AG6+AK6</f>
        <v>919122.02385157836</v>
      </c>
      <c r="AN6" s="1606">
        <f>+AD6+AH6+AL6</f>
        <v>898311</v>
      </c>
      <c r="AO6" s="1604">
        <f>AI6+AK6</f>
        <v>2595758.0365114855</v>
      </c>
      <c r="AP6" s="1604">
        <f>AJ6+AL6</f>
        <v>2594313.0350000001</v>
      </c>
      <c r="AQ6" s="1603">
        <v>314533.97438457824</v>
      </c>
      <c r="AR6" s="1603">
        <v>279696</v>
      </c>
      <c r="AS6" s="1604">
        <f>+AO6+AQ6</f>
        <v>2910292.0108960639</v>
      </c>
      <c r="AT6" s="1604">
        <f>+AP6+AR6</f>
        <v>2874009.0350000001</v>
      </c>
      <c r="AU6" s="1603">
        <v>291050.6167195802</v>
      </c>
      <c r="AV6" s="1603">
        <v>287726</v>
      </c>
      <c r="AW6" s="1604">
        <f>+AS6+AU6</f>
        <v>3201342.6276156441</v>
      </c>
      <c r="AX6" s="1604">
        <f>+AT6+AV6</f>
        <v>3161735.0350000001</v>
      </c>
      <c r="AY6" s="1603">
        <v>315731.44906316156</v>
      </c>
      <c r="AZ6" s="1603">
        <v>279929</v>
      </c>
      <c r="BA6" s="1606">
        <f>+AQ6+AU6+AY6</f>
        <v>921316.04016732005</v>
      </c>
      <c r="BB6" s="1606">
        <f>+AR6+AV6+AZ6</f>
        <v>847351</v>
      </c>
      <c r="BC6" s="1522">
        <f>AM6+BA6</f>
        <v>1840438.0640188984</v>
      </c>
      <c r="BD6" s="1522">
        <f t="shared" ref="BD6:BD18" si="7">AN6+BB6</f>
        <v>1745662</v>
      </c>
      <c r="BE6" s="1604">
        <f>+AW6+AY6</f>
        <v>3517074.0766788055</v>
      </c>
      <c r="BF6" s="1604">
        <f>+AX6+AZ6</f>
        <v>3441664.0350000001</v>
      </c>
      <c r="BG6" s="26"/>
      <c r="BH6" s="26"/>
      <c r="BI6" s="26"/>
      <c r="BJ6" s="26"/>
    </row>
    <row r="7" spans="2:62" x14ac:dyDescent="0.25">
      <c r="B7" s="1602" t="s">
        <v>40</v>
      </c>
      <c r="C7" s="91" t="s">
        <v>52</v>
      </c>
      <c r="D7" s="1494">
        <v>359999.99298471463</v>
      </c>
      <c r="E7" s="1603">
        <v>30206.728437283095</v>
      </c>
      <c r="F7" s="1603">
        <v>18680</v>
      </c>
      <c r="G7" s="1603">
        <v>24547.983992138856</v>
      </c>
      <c r="H7" s="1603">
        <v>21689</v>
      </c>
      <c r="I7" s="1604">
        <f t="shared" ref="I7:I18" si="8">+E7+G7</f>
        <v>54754.712429421954</v>
      </c>
      <c r="J7" s="1604">
        <f t="shared" ref="J7:J18" si="9">+F7+H7</f>
        <v>40369</v>
      </c>
      <c r="K7" s="1603">
        <v>25036.747524974158</v>
      </c>
      <c r="L7" s="1603">
        <v>16309</v>
      </c>
      <c r="M7" s="1606">
        <f t="shared" ref="M7:M18" si="10">+K7+G7+E7</f>
        <v>79791.459954396109</v>
      </c>
      <c r="N7" s="1606">
        <f t="shared" ref="N7:N18" si="11">+L7+H7+F7</f>
        <v>56678</v>
      </c>
      <c r="O7" s="1603">
        <v>30894.441086909577</v>
      </c>
      <c r="P7" s="1603">
        <v>21496</v>
      </c>
      <c r="Q7" s="1604">
        <f t="shared" ref="Q7:Q18" si="12">+M7+O7</f>
        <v>110685.90104130568</v>
      </c>
      <c r="R7" s="1604">
        <f t="shared" ref="R7:R18" si="13">+N7+P7</f>
        <v>78174</v>
      </c>
      <c r="S7" s="185">
        <v>30894.441086909577</v>
      </c>
      <c r="T7" s="2685">
        <v>28397</v>
      </c>
      <c r="U7" s="1604">
        <f t="shared" ref="U7:U18" si="14">+Q7+S7</f>
        <v>141580.34212821527</v>
      </c>
      <c r="V7" s="1604">
        <f t="shared" ref="V7:V18" si="15">+R7+T7</f>
        <v>106571</v>
      </c>
      <c r="W7" s="185">
        <v>30036.444904447791</v>
      </c>
      <c r="X7" s="2685">
        <v>17766</v>
      </c>
      <c r="Y7" s="1606">
        <f t="shared" ref="Y7:Y18" si="16">+O7+S7+W7</f>
        <v>91825.327078266942</v>
      </c>
      <c r="Z7" s="1606">
        <f t="shared" ref="Z7:Z18" si="17">+P7+T7+X7</f>
        <v>67659</v>
      </c>
      <c r="AA7" s="1522">
        <f t="shared" ref="AA7:AA18" si="18">M7+Y7</f>
        <v>171616.78703266307</v>
      </c>
      <c r="AB7" s="1522">
        <f t="shared" ref="AB7:AB18" si="19">N7+Z7</f>
        <v>124337</v>
      </c>
      <c r="AC7" s="1603">
        <v>31432.437269371359</v>
      </c>
      <c r="AD7" s="1603">
        <v>27988</v>
      </c>
      <c r="AE7" s="1604">
        <f t="shared" ref="AE7:AE18" si="20">+AA7+AC7</f>
        <v>203049.22430203442</v>
      </c>
      <c r="AF7" s="1604">
        <f t="shared" ref="AF7:AF13" si="21">+AB7+AD7</f>
        <v>152325</v>
      </c>
      <c r="AG7" s="1603">
        <v>30771.870203700742</v>
      </c>
      <c r="AH7" s="1603">
        <v>17706</v>
      </c>
      <c r="AI7" s="1604">
        <f t="shared" ref="AI7:AI18" si="22">+AE7+AG7</f>
        <v>233821.09450573515</v>
      </c>
      <c r="AJ7" s="1604">
        <f t="shared" ref="AJ7:AJ18" si="23">+AF7+AH7</f>
        <v>170031</v>
      </c>
      <c r="AK7" s="185">
        <v>31875.008152580191</v>
      </c>
      <c r="AL7" s="2685">
        <v>18670</v>
      </c>
      <c r="AM7" s="1606">
        <f t="shared" ref="AM7:AM18" si="24">+AC7+AG7+AK7</f>
        <v>94079.315625652293</v>
      </c>
      <c r="AN7" s="1606">
        <f t="shared" ref="AN7:AN18" si="25">+AD7+AH7+AL7</f>
        <v>64364</v>
      </c>
      <c r="AO7" s="1604">
        <f t="shared" ref="AO7:AO18" si="26">AI7+AK7</f>
        <v>265696.10265831533</v>
      </c>
      <c r="AP7" s="1604">
        <f t="shared" ref="AP7:AP18" si="27">AJ7+AL7</f>
        <v>188701</v>
      </c>
      <c r="AQ7" s="1603">
        <v>32195.008152580191</v>
      </c>
      <c r="AR7" s="1603">
        <v>12772</v>
      </c>
      <c r="AS7" s="1604">
        <f t="shared" ref="AS7:AS18" si="28">+AO7+AQ7</f>
        <v>297891.11081089551</v>
      </c>
      <c r="AT7" s="1604">
        <f t="shared" ref="AT7:AT18" si="29">+AP7+AR7</f>
        <v>201473</v>
      </c>
      <c r="AU7" s="1603">
        <v>29791.303138030133</v>
      </c>
      <c r="AV7" s="1603">
        <v>10720</v>
      </c>
      <c r="AW7" s="1604">
        <f t="shared" ref="AW7:AW18" si="30">+AS7+AU7</f>
        <v>327682.41394892562</v>
      </c>
      <c r="AX7" s="1604">
        <f t="shared" ref="AX7:AX18" si="31">+AT7+AV7</f>
        <v>212193</v>
      </c>
      <c r="AY7" s="1603">
        <v>32317.579035789015</v>
      </c>
      <c r="AZ7" s="1603">
        <v>8630</v>
      </c>
      <c r="BA7" s="1606">
        <f t="shared" ref="BA7:BA18" si="32">+AQ7+AU7+AY7</f>
        <v>94303.890326399327</v>
      </c>
      <c r="BB7" s="1606">
        <f t="shared" ref="BB7:BB18" si="33">+AR7+AV7+AZ7</f>
        <v>32122</v>
      </c>
      <c r="BC7" s="1522">
        <f t="shared" ref="BC7:BC18" si="34">AM7+BA7</f>
        <v>188383.20595205162</v>
      </c>
      <c r="BD7" s="1522">
        <f t="shared" si="7"/>
        <v>96486</v>
      </c>
      <c r="BE7" s="1604">
        <f t="shared" ref="BE7:BE18" si="35">+AW7+AY7</f>
        <v>359999.99298471463</v>
      </c>
      <c r="BF7" s="1604">
        <f t="shared" ref="BF7:BF18" si="36">+AX7+AZ7</f>
        <v>220823</v>
      </c>
      <c r="BG7" s="26"/>
      <c r="BH7" s="26"/>
      <c r="BI7" s="26"/>
      <c r="BJ7" s="26"/>
    </row>
    <row r="8" spans="2:62" x14ac:dyDescent="0.25">
      <c r="B8" s="1602" t="s">
        <v>41</v>
      </c>
      <c r="C8" s="91" t="s">
        <v>52</v>
      </c>
      <c r="D8" s="1494">
        <v>403071.83161565993</v>
      </c>
      <c r="E8" s="1603">
        <v>33820.78220998605</v>
      </c>
      <c r="F8" s="1603">
        <v>32106</v>
      </c>
      <c r="G8" s="1603">
        <v>27485.002952773462</v>
      </c>
      <c r="H8" s="1603">
        <v>24145</v>
      </c>
      <c r="I8" s="1604">
        <f t="shared" si="8"/>
        <v>61305.785162759508</v>
      </c>
      <c r="J8" s="1604">
        <f t="shared" si="9"/>
        <v>56251</v>
      </c>
      <c r="K8" s="1603">
        <v>28032.244109012132</v>
      </c>
      <c r="L8" s="1603">
        <v>35294</v>
      </c>
      <c r="M8" s="1606">
        <f t="shared" si="10"/>
        <v>89338.029271771637</v>
      </c>
      <c r="N8" s="1606">
        <f t="shared" si="11"/>
        <v>91545</v>
      </c>
      <c r="O8" s="1603">
        <v>34590.775550852508</v>
      </c>
      <c r="P8" s="1603">
        <v>33392</v>
      </c>
      <c r="Q8" s="1604">
        <f t="shared" si="12"/>
        <v>123928.80482262414</v>
      </c>
      <c r="R8" s="1604">
        <f t="shared" si="13"/>
        <v>124937</v>
      </c>
      <c r="S8" s="185">
        <v>34590.775550852508</v>
      </c>
      <c r="T8" s="2685">
        <v>33617</v>
      </c>
      <c r="U8" s="1604">
        <f t="shared" si="14"/>
        <v>158519.58037347664</v>
      </c>
      <c r="V8" s="1604">
        <f t="shared" si="15"/>
        <v>158554</v>
      </c>
      <c r="W8" s="185">
        <v>33630.12527439875</v>
      </c>
      <c r="X8" s="2685">
        <v>33779</v>
      </c>
      <c r="Y8" s="1606">
        <f t="shared" si="16"/>
        <v>102811.67637610377</v>
      </c>
      <c r="Z8" s="1606">
        <f t="shared" si="17"/>
        <v>100788</v>
      </c>
      <c r="AA8" s="1522">
        <f t="shared" si="18"/>
        <v>192149.70564787541</v>
      </c>
      <c r="AB8" s="1522">
        <f t="shared" si="19"/>
        <v>192333</v>
      </c>
      <c r="AC8" s="1603">
        <v>35193.139747777124</v>
      </c>
      <c r="AD8" s="1603">
        <v>28970</v>
      </c>
      <c r="AE8" s="1604">
        <f t="shared" si="20"/>
        <v>227342.84539565252</v>
      </c>
      <c r="AF8" s="1604">
        <f t="shared" si="21"/>
        <v>221303</v>
      </c>
      <c r="AG8" s="1603">
        <v>34453.539797073397</v>
      </c>
      <c r="AH8" s="1603">
        <v>31397</v>
      </c>
      <c r="AI8" s="1604">
        <f t="shared" si="22"/>
        <v>261796.38519272592</v>
      </c>
      <c r="AJ8" s="1604">
        <f t="shared" si="23"/>
        <v>252700</v>
      </c>
      <c r="AK8" s="185">
        <v>35688.661581085376</v>
      </c>
      <c r="AL8" s="2685">
        <v>29345</v>
      </c>
      <c r="AM8" s="1606">
        <f t="shared" si="24"/>
        <v>105335.3411259359</v>
      </c>
      <c r="AN8" s="1606">
        <f t="shared" si="25"/>
        <v>89712</v>
      </c>
      <c r="AO8" s="1604">
        <f t="shared" si="26"/>
        <v>297485.04677381128</v>
      </c>
      <c r="AP8" s="1604">
        <f t="shared" si="27"/>
        <v>282045</v>
      </c>
      <c r="AQ8" s="1603">
        <v>36046.947660614511</v>
      </c>
      <c r="AR8" s="1603">
        <v>25277</v>
      </c>
      <c r="AS8" s="1604">
        <f t="shared" si="28"/>
        <v>333531.99443442578</v>
      </c>
      <c r="AT8" s="1604">
        <f t="shared" si="29"/>
        <v>307322</v>
      </c>
      <c r="AU8" s="1603">
        <v>33355.653766840536</v>
      </c>
      <c r="AV8" s="1603">
        <v>28351</v>
      </c>
      <c r="AW8" s="1604">
        <f t="shared" si="30"/>
        <v>366887.6482012663</v>
      </c>
      <c r="AX8" s="1604">
        <f t="shared" si="31"/>
        <v>335673</v>
      </c>
      <c r="AY8" s="1603">
        <v>36184.183414393621</v>
      </c>
      <c r="AZ8" s="1603">
        <v>27801</v>
      </c>
      <c r="BA8" s="1606">
        <f t="shared" si="32"/>
        <v>105586.78484184868</v>
      </c>
      <c r="BB8" s="1606">
        <f t="shared" si="33"/>
        <v>81429</v>
      </c>
      <c r="BC8" s="1522">
        <f t="shared" si="34"/>
        <v>210922.12596778458</v>
      </c>
      <c r="BD8" s="1522">
        <f t="shared" si="7"/>
        <v>171141</v>
      </c>
      <c r="BE8" s="1604">
        <f t="shared" si="35"/>
        <v>403071.83161565993</v>
      </c>
      <c r="BF8" s="1604">
        <f t="shared" si="36"/>
        <v>363474</v>
      </c>
      <c r="BG8" s="26"/>
      <c r="BH8" s="26"/>
      <c r="BI8" s="26"/>
      <c r="BJ8" s="26"/>
    </row>
    <row r="9" spans="2:62" x14ac:dyDescent="0.25">
      <c r="B9" s="1602" t="s">
        <v>42</v>
      </c>
      <c r="C9" s="91" t="s">
        <v>52</v>
      </c>
      <c r="D9" s="1494">
        <v>269999.99473853601</v>
      </c>
      <c r="E9" s="1603">
        <v>22655.046327962322</v>
      </c>
      <c r="F9" s="1603">
        <v>17990</v>
      </c>
      <c r="G9" s="1603">
        <v>18410.98799410414</v>
      </c>
      <c r="H9" s="1603">
        <v>15972</v>
      </c>
      <c r="I9" s="1604">
        <f t="shared" si="8"/>
        <v>41066.034322066465</v>
      </c>
      <c r="J9" s="1604">
        <f t="shared" si="9"/>
        <v>33962</v>
      </c>
      <c r="K9" s="1603">
        <v>18777.56064373062</v>
      </c>
      <c r="L9" s="1603">
        <v>16225</v>
      </c>
      <c r="M9" s="1606">
        <f t="shared" si="10"/>
        <v>59843.594965797078</v>
      </c>
      <c r="N9" s="1606">
        <f t="shared" si="11"/>
        <v>50187</v>
      </c>
      <c r="O9" s="1603">
        <v>23170.830815182184</v>
      </c>
      <c r="P9" s="1603">
        <v>17790</v>
      </c>
      <c r="Q9" s="1604">
        <f t="shared" si="12"/>
        <v>83014.425780979262</v>
      </c>
      <c r="R9" s="1604">
        <f t="shared" si="13"/>
        <v>67977</v>
      </c>
      <c r="S9" s="185">
        <v>23170.830815182184</v>
      </c>
      <c r="T9" s="2685">
        <v>17396</v>
      </c>
      <c r="U9" s="1604">
        <f t="shared" si="14"/>
        <v>106185.25659616145</v>
      </c>
      <c r="V9" s="1604">
        <f t="shared" si="15"/>
        <v>85373</v>
      </c>
      <c r="W9" s="185">
        <v>22527.333678335843</v>
      </c>
      <c r="X9" s="2685">
        <v>17498</v>
      </c>
      <c r="Y9" s="1606">
        <f t="shared" si="16"/>
        <v>68868.995308700207</v>
      </c>
      <c r="Z9" s="1606">
        <f t="shared" si="17"/>
        <v>52684</v>
      </c>
      <c r="AA9" s="1522">
        <f t="shared" si="18"/>
        <v>128712.59027449728</v>
      </c>
      <c r="AB9" s="1522">
        <f t="shared" si="19"/>
        <v>102871</v>
      </c>
      <c r="AC9" s="1603">
        <v>23574.327952028521</v>
      </c>
      <c r="AD9" s="1603">
        <v>18757</v>
      </c>
      <c r="AE9" s="1604">
        <f t="shared" si="20"/>
        <v>152286.9182265258</v>
      </c>
      <c r="AF9" s="1604">
        <f t="shared" si="21"/>
        <v>121628</v>
      </c>
      <c r="AG9" s="1603">
        <v>23078.90265277556</v>
      </c>
      <c r="AH9" s="1603">
        <v>17840</v>
      </c>
      <c r="AI9" s="1604">
        <f t="shared" si="22"/>
        <v>175365.82087930135</v>
      </c>
      <c r="AJ9" s="1604">
        <f t="shared" si="23"/>
        <v>139468</v>
      </c>
      <c r="AK9" s="185">
        <v>23906.256114435142</v>
      </c>
      <c r="AL9" s="2685">
        <v>17799</v>
      </c>
      <c r="AM9" s="1606">
        <f t="shared" si="24"/>
        <v>70559.486719239212</v>
      </c>
      <c r="AN9" s="1606">
        <f t="shared" si="25"/>
        <v>54396</v>
      </c>
      <c r="AO9" s="1604">
        <f t="shared" si="26"/>
        <v>199272.0769937365</v>
      </c>
      <c r="AP9" s="1604">
        <f t="shared" si="27"/>
        <v>157267</v>
      </c>
      <c r="AQ9" s="1603">
        <v>24146.256114435142</v>
      </c>
      <c r="AR9" s="1603">
        <v>16408</v>
      </c>
      <c r="AS9" s="1604">
        <f t="shared" si="28"/>
        <v>223418.33310817165</v>
      </c>
      <c r="AT9" s="1604">
        <f t="shared" si="29"/>
        <v>173675</v>
      </c>
      <c r="AU9" s="1603">
        <v>22343.477353522598</v>
      </c>
      <c r="AV9" s="1603">
        <v>17981</v>
      </c>
      <c r="AW9" s="1604">
        <f t="shared" si="30"/>
        <v>245761.81046169426</v>
      </c>
      <c r="AX9" s="1604">
        <f t="shared" si="31"/>
        <v>191656</v>
      </c>
      <c r="AY9" s="1603">
        <v>24238.184276841759</v>
      </c>
      <c r="AZ9" s="1603">
        <v>14497</v>
      </c>
      <c r="BA9" s="1606">
        <f t="shared" si="32"/>
        <v>70727.917744799503</v>
      </c>
      <c r="BB9" s="1606">
        <f t="shared" si="33"/>
        <v>48886</v>
      </c>
      <c r="BC9" s="1522">
        <f t="shared" si="34"/>
        <v>141287.40446403873</v>
      </c>
      <c r="BD9" s="1522">
        <f t="shared" si="7"/>
        <v>103282</v>
      </c>
      <c r="BE9" s="1604">
        <f t="shared" si="35"/>
        <v>269999.99473853601</v>
      </c>
      <c r="BF9" s="1604">
        <f t="shared" si="36"/>
        <v>206153</v>
      </c>
      <c r="BG9" s="26"/>
      <c r="BH9" s="26"/>
      <c r="BI9" s="26"/>
      <c r="BJ9" s="26"/>
    </row>
    <row r="10" spans="2:62" ht="15" customHeight="1" x14ac:dyDescent="0.25">
      <c r="B10" s="1602" t="s">
        <v>1623</v>
      </c>
      <c r="C10" s="91" t="s">
        <v>52</v>
      </c>
      <c r="D10" s="1494"/>
      <c r="E10" s="1603"/>
      <c r="F10" s="1603"/>
      <c r="G10" s="1603"/>
      <c r="H10" s="1603"/>
      <c r="I10" s="1604">
        <f t="shared" si="8"/>
        <v>0</v>
      </c>
      <c r="J10" s="1604">
        <f t="shared" si="9"/>
        <v>0</v>
      </c>
      <c r="K10" s="1603"/>
      <c r="L10" s="1603">
        <v>398</v>
      </c>
      <c r="M10" s="1606">
        <f t="shared" si="10"/>
        <v>0</v>
      </c>
      <c r="N10" s="1606">
        <f t="shared" si="11"/>
        <v>398</v>
      </c>
      <c r="O10" s="1603"/>
      <c r="P10" s="1603">
        <v>1211</v>
      </c>
      <c r="Q10" s="1604">
        <f t="shared" si="12"/>
        <v>0</v>
      </c>
      <c r="R10" s="1604">
        <f t="shared" si="13"/>
        <v>1609</v>
      </c>
      <c r="S10" s="185">
        <v>0</v>
      </c>
      <c r="T10" s="2685">
        <v>465</v>
      </c>
      <c r="U10" s="1604">
        <f t="shared" si="14"/>
        <v>0</v>
      </c>
      <c r="V10" s="1604">
        <f t="shared" si="15"/>
        <v>2074</v>
      </c>
      <c r="W10" s="185">
        <v>0</v>
      </c>
      <c r="X10" s="2685">
        <v>145</v>
      </c>
      <c r="Y10" s="1606">
        <f t="shared" si="16"/>
        <v>0</v>
      </c>
      <c r="Z10" s="1606">
        <f t="shared" si="17"/>
        <v>1821</v>
      </c>
      <c r="AA10" s="1522">
        <f t="shared" si="18"/>
        <v>0</v>
      </c>
      <c r="AB10" s="1522">
        <f t="shared" si="19"/>
        <v>2219</v>
      </c>
      <c r="AC10" s="1603">
        <v>0</v>
      </c>
      <c r="AD10" s="1603">
        <v>0</v>
      </c>
      <c r="AE10" s="1604">
        <f t="shared" si="20"/>
        <v>0</v>
      </c>
      <c r="AF10" s="1604">
        <f t="shared" si="21"/>
        <v>2219</v>
      </c>
      <c r="AG10" s="1603">
        <v>0</v>
      </c>
      <c r="AH10" s="1603">
        <v>999</v>
      </c>
      <c r="AI10" s="1604">
        <f t="shared" si="22"/>
        <v>0</v>
      </c>
      <c r="AJ10" s="1604">
        <f t="shared" si="23"/>
        <v>3218</v>
      </c>
      <c r="AK10" s="185">
        <v>0</v>
      </c>
      <c r="AL10" s="2685">
        <v>849</v>
      </c>
      <c r="AM10" s="1606">
        <f t="shared" si="24"/>
        <v>0</v>
      </c>
      <c r="AN10" s="1606">
        <f t="shared" si="25"/>
        <v>1848</v>
      </c>
      <c r="AO10" s="1604">
        <f t="shared" si="26"/>
        <v>0</v>
      </c>
      <c r="AP10" s="1604">
        <f t="shared" si="27"/>
        <v>4067</v>
      </c>
      <c r="AQ10" s="1603">
        <v>0</v>
      </c>
      <c r="AR10" s="1603">
        <v>505</v>
      </c>
      <c r="AS10" s="1604">
        <f t="shared" si="28"/>
        <v>0</v>
      </c>
      <c r="AT10" s="1604">
        <f t="shared" si="29"/>
        <v>4572</v>
      </c>
      <c r="AU10" s="1603">
        <v>0</v>
      </c>
      <c r="AV10" s="1603">
        <v>536</v>
      </c>
      <c r="AW10" s="1604">
        <f t="shared" si="30"/>
        <v>0</v>
      </c>
      <c r="AX10" s="1604">
        <f t="shared" si="31"/>
        <v>5108</v>
      </c>
      <c r="AY10" s="1603">
        <v>0</v>
      </c>
      <c r="AZ10" s="1603">
        <v>0</v>
      </c>
      <c r="BA10" s="1606">
        <f t="shared" si="32"/>
        <v>0</v>
      </c>
      <c r="BB10" s="1606">
        <f t="shared" si="33"/>
        <v>1041</v>
      </c>
      <c r="BC10" s="1522">
        <f t="shared" si="34"/>
        <v>0</v>
      </c>
      <c r="BD10" s="1522">
        <f t="shared" si="7"/>
        <v>2889</v>
      </c>
      <c r="BE10" s="1604">
        <f t="shared" si="35"/>
        <v>0</v>
      </c>
      <c r="BF10" s="1604">
        <f t="shared" si="36"/>
        <v>5108</v>
      </c>
      <c r="BG10" s="26"/>
      <c r="BH10" s="26"/>
      <c r="BI10" s="26"/>
      <c r="BJ10" s="26"/>
    </row>
    <row r="11" spans="2:62" x14ac:dyDescent="0.25">
      <c r="B11" s="1602" t="s">
        <v>564</v>
      </c>
      <c r="C11" s="91" t="s">
        <v>52</v>
      </c>
      <c r="D11" s="1494">
        <v>40499.999210780399</v>
      </c>
      <c r="E11" s="1603">
        <v>3398.2569491943486</v>
      </c>
      <c r="F11" s="1603">
        <v>6162</v>
      </c>
      <c r="G11" s="1603">
        <v>2761.6481991156211</v>
      </c>
      <c r="H11" s="1603">
        <v>4735</v>
      </c>
      <c r="I11" s="1604">
        <f t="shared" si="8"/>
        <v>6159.9051483099702</v>
      </c>
      <c r="J11" s="1604">
        <f t="shared" si="9"/>
        <v>10897</v>
      </c>
      <c r="K11" s="1603">
        <v>2816.6340965595928</v>
      </c>
      <c r="L11" s="1603">
        <v>5512</v>
      </c>
      <c r="M11" s="1606">
        <f t="shared" si="10"/>
        <v>8976.539244869562</v>
      </c>
      <c r="N11" s="1606">
        <f t="shared" si="11"/>
        <v>16409</v>
      </c>
      <c r="O11" s="1603">
        <v>3475.6246222773275</v>
      </c>
      <c r="P11" s="1603">
        <v>5426</v>
      </c>
      <c r="Q11" s="1604">
        <f t="shared" si="12"/>
        <v>12452.16386714689</v>
      </c>
      <c r="R11" s="1604">
        <f t="shared" si="13"/>
        <v>21835</v>
      </c>
      <c r="S11" s="185">
        <v>3475.6246222773275</v>
      </c>
      <c r="T11" s="2685">
        <v>6531</v>
      </c>
      <c r="U11" s="1604">
        <f t="shared" si="14"/>
        <v>15927.788489424218</v>
      </c>
      <c r="V11" s="1604">
        <f t="shared" si="15"/>
        <v>28366</v>
      </c>
      <c r="W11" s="185">
        <v>3379.1000517503762</v>
      </c>
      <c r="X11" s="2685">
        <v>4675</v>
      </c>
      <c r="Y11" s="1606">
        <f t="shared" si="16"/>
        <v>10330.34929630503</v>
      </c>
      <c r="Z11" s="1606">
        <f t="shared" si="17"/>
        <v>16632</v>
      </c>
      <c r="AA11" s="1522">
        <f t="shared" si="18"/>
        <v>19306.888541174594</v>
      </c>
      <c r="AB11" s="1522">
        <f t="shared" si="19"/>
        <v>33041</v>
      </c>
      <c r="AC11" s="1603">
        <v>3536.1491928042783</v>
      </c>
      <c r="AD11" s="1603">
        <v>5115</v>
      </c>
      <c r="AE11" s="1604">
        <f t="shared" si="20"/>
        <v>22843.037733978872</v>
      </c>
      <c r="AF11" s="1604">
        <f t="shared" si="21"/>
        <v>38156</v>
      </c>
      <c r="AG11" s="1603">
        <v>3461.8353979163339</v>
      </c>
      <c r="AH11" s="1603">
        <v>5603</v>
      </c>
      <c r="AI11" s="1604">
        <f t="shared" si="22"/>
        <v>26304.873131895205</v>
      </c>
      <c r="AJ11" s="1604">
        <f t="shared" si="23"/>
        <v>43759</v>
      </c>
      <c r="AK11" s="185">
        <v>3585.9384171652714</v>
      </c>
      <c r="AL11" s="2685">
        <v>4865</v>
      </c>
      <c r="AM11" s="1606">
        <f t="shared" si="24"/>
        <v>10583.923007885884</v>
      </c>
      <c r="AN11" s="1606">
        <f t="shared" si="25"/>
        <v>15583</v>
      </c>
      <c r="AO11" s="1604">
        <f t="shared" si="26"/>
        <v>29890.811549060476</v>
      </c>
      <c r="AP11" s="1604">
        <f t="shared" si="27"/>
        <v>48624</v>
      </c>
      <c r="AQ11" s="1603">
        <v>3621.9384171652714</v>
      </c>
      <c r="AR11" s="1603">
        <v>4823</v>
      </c>
      <c r="AS11" s="1604">
        <f t="shared" si="28"/>
        <v>33512.749966225747</v>
      </c>
      <c r="AT11" s="1604">
        <f t="shared" si="29"/>
        <v>53447</v>
      </c>
      <c r="AU11" s="1603">
        <v>3351.52160302839</v>
      </c>
      <c r="AV11" s="1603">
        <v>5226</v>
      </c>
      <c r="AW11" s="1604">
        <f t="shared" si="30"/>
        <v>36864.271569254139</v>
      </c>
      <c r="AX11" s="1604">
        <f t="shared" si="31"/>
        <v>58673</v>
      </c>
      <c r="AY11" s="1603">
        <v>3635.7276415262636</v>
      </c>
      <c r="AZ11" s="1603">
        <v>4043</v>
      </c>
      <c r="BA11" s="1606">
        <f t="shared" si="32"/>
        <v>10609.187661719925</v>
      </c>
      <c r="BB11" s="1606">
        <f t="shared" si="33"/>
        <v>14092</v>
      </c>
      <c r="BC11" s="1522">
        <f t="shared" si="34"/>
        <v>21193.110669605809</v>
      </c>
      <c r="BD11" s="1522">
        <f t="shared" si="7"/>
        <v>29675</v>
      </c>
      <c r="BE11" s="1604">
        <f t="shared" si="35"/>
        <v>40499.999210780399</v>
      </c>
      <c r="BF11" s="1604">
        <f t="shared" si="36"/>
        <v>62716</v>
      </c>
      <c r="BG11" s="26"/>
      <c r="BH11" s="26"/>
      <c r="BI11" s="26"/>
      <c r="BJ11" s="26"/>
    </row>
    <row r="12" spans="2:62" x14ac:dyDescent="0.25">
      <c r="B12" s="1602" t="s">
        <v>43</v>
      </c>
      <c r="C12" s="91" t="s">
        <v>52</v>
      </c>
      <c r="D12" s="1494">
        <v>26999.999473853601</v>
      </c>
      <c r="E12" s="1603">
        <v>2265.5046327962323</v>
      </c>
      <c r="F12" s="1603">
        <v>2920.0762754026382</v>
      </c>
      <c r="G12" s="1603">
        <v>1841.0987994104139</v>
      </c>
      <c r="H12" s="1603">
        <v>2100.7569011576138</v>
      </c>
      <c r="I12" s="1604">
        <f t="shared" si="8"/>
        <v>4106.6034322066462</v>
      </c>
      <c r="J12" s="1604">
        <f t="shared" si="9"/>
        <v>5020.8331765602525</v>
      </c>
      <c r="K12" s="1603">
        <v>1877.7560643730619</v>
      </c>
      <c r="L12" s="1603">
        <v>2929</v>
      </c>
      <c r="M12" s="1606">
        <f t="shared" si="10"/>
        <v>5984.3594965797074</v>
      </c>
      <c r="N12" s="1606">
        <f t="shared" si="11"/>
        <v>7949.8331765602525</v>
      </c>
      <c r="O12" s="1603">
        <v>2317.083081518218</v>
      </c>
      <c r="P12" s="1603">
        <v>2749.1421889007629</v>
      </c>
      <c r="Q12" s="1604">
        <f t="shared" si="12"/>
        <v>8301.4425780979254</v>
      </c>
      <c r="R12" s="1604">
        <f t="shared" si="13"/>
        <v>10698.975365461016</v>
      </c>
      <c r="S12" s="185">
        <v>2317.083081518218</v>
      </c>
      <c r="T12" s="2685">
        <f>4192-780</f>
        <v>3412</v>
      </c>
      <c r="U12" s="1604">
        <f t="shared" si="14"/>
        <v>10618.525659616143</v>
      </c>
      <c r="V12" s="1604">
        <f t="shared" si="15"/>
        <v>14110.975365461016</v>
      </c>
      <c r="W12" s="185">
        <v>2252.733367833584</v>
      </c>
      <c r="X12" s="2685">
        <f>3604-X13</f>
        <v>3184</v>
      </c>
      <c r="Y12" s="1606">
        <f t="shared" si="16"/>
        <v>6886.8995308700196</v>
      </c>
      <c r="Z12" s="1606">
        <f t="shared" si="17"/>
        <v>9345.1421889007634</v>
      </c>
      <c r="AA12" s="1522">
        <f t="shared" si="18"/>
        <v>12871.259027449727</v>
      </c>
      <c r="AB12" s="1522">
        <f t="shared" si="19"/>
        <v>17294.975365461018</v>
      </c>
      <c r="AC12" s="1603">
        <v>2357.432795202852</v>
      </c>
      <c r="AD12" s="1603">
        <v>4003</v>
      </c>
      <c r="AE12" s="1604">
        <f t="shared" si="20"/>
        <v>15228.69182265258</v>
      </c>
      <c r="AF12" s="1604">
        <f t="shared" si="21"/>
        <v>21297.975365461018</v>
      </c>
      <c r="AG12" s="1603">
        <v>2307.890265277556</v>
      </c>
      <c r="AH12" s="1603">
        <v>2387</v>
      </c>
      <c r="AI12" s="1604">
        <f t="shared" si="22"/>
        <v>17536.582087930135</v>
      </c>
      <c r="AJ12" s="1604">
        <f t="shared" si="23"/>
        <v>23684.975365461018</v>
      </c>
      <c r="AK12" s="185">
        <v>2390.6256114435146</v>
      </c>
      <c r="AL12" s="2685">
        <v>3440</v>
      </c>
      <c r="AM12" s="1606">
        <f t="shared" si="24"/>
        <v>7055.948671923923</v>
      </c>
      <c r="AN12" s="1606">
        <f t="shared" si="25"/>
        <v>9830</v>
      </c>
      <c r="AO12" s="1604">
        <f t="shared" si="26"/>
        <v>19927.207699373648</v>
      </c>
      <c r="AP12" s="1604">
        <f t="shared" si="27"/>
        <v>27124.975365461018</v>
      </c>
      <c r="AQ12" s="1603">
        <v>2414.6256114435146</v>
      </c>
      <c r="AR12" s="1603">
        <v>3189</v>
      </c>
      <c r="AS12" s="1604">
        <f t="shared" si="28"/>
        <v>22341.833310817165</v>
      </c>
      <c r="AT12" s="1604">
        <f t="shared" si="29"/>
        <v>30313.975365461018</v>
      </c>
      <c r="AU12" s="1603">
        <v>2234.3477353522599</v>
      </c>
      <c r="AV12" s="1603">
        <v>3773</v>
      </c>
      <c r="AW12" s="1604">
        <f t="shared" si="30"/>
        <v>24576.181046169426</v>
      </c>
      <c r="AX12" s="1604">
        <f t="shared" si="31"/>
        <v>34086.975365461018</v>
      </c>
      <c r="AY12" s="1603">
        <v>2423.8184276841757</v>
      </c>
      <c r="AZ12" s="1603">
        <v>2919</v>
      </c>
      <c r="BA12" s="1606">
        <f t="shared" si="32"/>
        <v>7072.7917744799497</v>
      </c>
      <c r="BB12" s="1606">
        <f t="shared" si="33"/>
        <v>9881</v>
      </c>
      <c r="BC12" s="1522">
        <f t="shared" si="34"/>
        <v>14128.740446403874</v>
      </c>
      <c r="BD12" s="1522">
        <f t="shared" si="7"/>
        <v>19711</v>
      </c>
      <c r="BE12" s="1604">
        <f t="shared" si="35"/>
        <v>26999.999473853601</v>
      </c>
      <c r="BF12" s="1604">
        <f t="shared" si="36"/>
        <v>37005.975365461018</v>
      </c>
      <c r="BG12" s="26"/>
      <c r="BH12" s="26"/>
      <c r="BI12" s="26"/>
      <c r="BJ12" s="26"/>
    </row>
    <row r="13" spans="2:62" s="2450" customFormat="1" x14ac:dyDescent="0.25">
      <c r="B13" s="1602" t="s">
        <v>1713</v>
      </c>
      <c r="C13" s="91" t="s">
        <v>52</v>
      </c>
      <c r="D13" s="2449">
        <v>0</v>
      </c>
      <c r="E13" s="1603">
        <v>0</v>
      </c>
      <c r="F13" s="1603">
        <v>1310.3042493714179</v>
      </c>
      <c r="G13" s="1603">
        <v>0</v>
      </c>
      <c r="H13" s="1603">
        <v>560.201840308697</v>
      </c>
      <c r="I13" s="1604">
        <f t="shared" si="8"/>
        <v>0</v>
      </c>
      <c r="J13" s="1604">
        <f t="shared" si="9"/>
        <v>1870.5060896801149</v>
      </c>
      <c r="K13" s="1603">
        <v>0</v>
      </c>
      <c r="L13" s="1603">
        <v>2079.6915915549434</v>
      </c>
      <c r="M13" s="1606">
        <f t="shared" ref="M13" si="37">+K13+G13+E13</f>
        <v>0</v>
      </c>
      <c r="N13" s="1606">
        <f t="shared" si="11"/>
        <v>3950.1976812350581</v>
      </c>
      <c r="O13" s="1603">
        <v>0</v>
      </c>
      <c r="P13" s="1603">
        <v>391.0586328450587</v>
      </c>
      <c r="Q13" s="1604">
        <f t="shared" ref="Q13" si="38">+M13+O13</f>
        <v>0</v>
      </c>
      <c r="R13" s="1604">
        <f t="shared" ref="R13" si="39">+N13+P13</f>
        <v>4341.2563140801167</v>
      </c>
      <c r="S13" s="185">
        <v>0</v>
      </c>
      <c r="T13" s="2685">
        <v>780</v>
      </c>
      <c r="U13" s="1604">
        <f t="shared" si="14"/>
        <v>0</v>
      </c>
      <c r="V13" s="1604">
        <f t="shared" si="15"/>
        <v>5121.2563140801167</v>
      </c>
      <c r="W13" s="185"/>
      <c r="X13" s="2685">
        <v>420</v>
      </c>
      <c r="Y13" s="1606">
        <f t="shared" si="16"/>
        <v>0</v>
      </c>
      <c r="Z13" s="1606">
        <f t="shared" si="17"/>
        <v>1591.0586328450586</v>
      </c>
      <c r="AA13" s="1522">
        <f t="shared" si="18"/>
        <v>0</v>
      </c>
      <c r="AB13" s="1522">
        <f t="shared" si="19"/>
        <v>5541.2563140801167</v>
      </c>
      <c r="AC13" s="1603">
        <v>0</v>
      </c>
      <c r="AD13" s="1603">
        <v>0</v>
      </c>
      <c r="AE13" s="1604">
        <f t="shared" si="20"/>
        <v>0</v>
      </c>
      <c r="AF13" s="1604">
        <f t="shared" si="21"/>
        <v>5541.2563140801167</v>
      </c>
      <c r="AG13" s="1603">
        <v>0</v>
      </c>
      <c r="AH13" s="1603">
        <v>611</v>
      </c>
      <c r="AI13" s="1604">
        <f t="shared" si="22"/>
        <v>0</v>
      </c>
      <c r="AJ13" s="1604">
        <f t="shared" si="23"/>
        <v>6152.2563140801167</v>
      </c>
      <c r="AK13" s="185">
        <v>0</v>
      </c>
      <c r="AL13" s="2685">
        <v>1922</v>
      </c>
      <c r="AM13" s="1606">
        <f t="shared" si="24"/>
        <v>0</v>
      </c>
      <c r="AN13" s="1606">
        <f t="shared" si="25"/>
        <v>2533</v>
      </c>
      <c r="AO13" s="1604">
        <f t="shared" si="26"/>
        <v>0</v>
      </c>
      <c r="AP13" s="1604">
        <f t="shared" si="27"/>
        <v>8074.2563140801167</v>
      </c>
      <c r="AQ13" s="1603">
        <v>0</v>
      </c>
      <c r="AR13" s="1603">
        <v>995</v>
      </c>
      <c r="AS13" s="1604">
        <f t="shared" si="28"/>
        <v>0</v>
      </c>
      <c r="AT13" s="1604">
        <f t="shared" si="29"/>
        <v>9069.2563140801176</v>
      </c>
      <c r="AU13" s="1603">
        <v>0</v>
      </c>
      <c r="AV13" s="1603">
        <v>821</v>
      </c>
      <c r="AW13" s="1604">
        <f t="shared" si="30"/>
        <v>0</v>
      </c>
      <c r="AX13" s="1604">
        <f t="shared" si="31"/>
        <v>9890.2563140801176</v>
      </c>
      <c r="AY13" s="1603">
        <v>0</v>
      </c>
      <c r="AZ13" s="1603">
        <v>972</v>
      </c>
      <c r="BA13" s="1606">
        <f t="shared" si="32"/>
        <v>0</v>
      </c>
      <c r="BB13" s="1606">
        <f t="shared" si="33"/>
        <v>2788</v>
      </c>
      <c r="BC13" s="1522">
        <f t="shared" si="34"/>
        <v>0</v>
      </c>
      <c r="BD13" s="1522">
        <f t="shared" si="7"/>
        <v>5321</v>
      </c>
      <c r="BE13" s="1604">
        <f t="shared" si="35"/>
        <v>0</v>
      </c>
      <c r="BF13" s="1604">
        <f t="shared" si="36"/>
        <v>10862.256314080118</v>
      </c>
      <c r="BG13" s="26"/>
      <c r="BH13" s="26"/>
      <c r="BI13" s="26"/>
      <c r="BJ13" s="26"/>
    </row>
    <row r="14" spans="2:62" x14ac:dyDescent="0.25">
      <c r="B14" s="1602" t="s">
        <v>44</v>
      </c>
      <c r="C14" s="91" t="s">
        <v>52</v>
      </c>
      <c r="D14" s="1494">
        <v>133449.4577646442</v>
      </c>
      <c r="E14" s="1603">
        <v>11197.421137089976</v>
      </c>
      <c r="F14" s="1603">
        <v>8461</v>
      </c>
      <c r="G14" s="1603">
        <v>9099.7644911209463</v>
      </c>
      <c r="H14" s="1603">
        <v>7158</v>
      </c>
      <c r="I14" s="1604">
        <f t="shared" si="8"/>
        <v>20297.185628210922</v>
      </c>
      <c r="J14" s="1604">
        <f t="shared" si="9"/>
        <v>15619</v>
      </c>
      <c r="K14" s="1603">
        <v>9280.9456847405036</v>
      </c>
      <c r="L14" s="1603">
        <v>323</v>
      </c>
      <c r="M14" s="1606">
        <f t="shared" si="10"/>
        <v>29578.131312951427</v>
      </c>
      <c r="N14" s="1606">
        <f t="shared" si="11"/>
        <v>15942</v>
      </c>
      <c r="O14" s="1603">
        <v>11452.351364809278</v>
      </c>
      <c r="P14" s="1603">
        <v>1338</v>
      </c>
      <c r="Q14" s="1604">
        <f t="shared" si="12"/>
        <v>41030.482677760709</v>
      </c>
      <c r="R14" s="1604">
        <f t="shared" si="13"/>
        <v>17280</v>
      </c>
      <c r="S14" s="185">
        <v>11452.351364809278</v>
      </c>
      <c r="T14" s="2685">
        <v>2187</v>
      </c>
      <c r="U14" s="1604">
        <f t="shared" si="14"/>
        <v>52482.834042569986</v>
      </c>
      <c r="V14" s="1604">
        <f t="shared" si="15"/>
        <v>19467</v>
      </c>
      <c r="W14" s="185">
        <v>11134.29823274013</v>
      </c>
      <c r="X14" s="2685">
        <v>3900</v>
      </c>
      <c r="Y14" s="1606">
        <f t="shared" si="16"/>
        <v>34039.000962358681</v>
      </c>
      <c r="Z14" s="1606">
        <f t="shared" si="17"/>
        <v>7425</v>
      </c>
      <c r="AA14" s="1522">
        <f t="shared" si="18"/>
        <v>63617.132275310112</v>
      </c>
      <c r="AB14" s="1522">
        <f t="shared" si="19"/>
        <v>23367</v>
      </c>
      <c r="AC14" s="1603">
        <v>11651.782754331616</v>
      </c>
      <c r="AD14" s="1603">
        <v>3608</v>
      </c>
      <c r="AE14" s="1604">
        <f t="shared" si="20"/>
        <v>75268.915029641736</v>
      </c>
      <c r="AF14" s="1604">
        <f t="shared" ref="AF14:AF18" si="40">+AB14+AD14</f>
        <v>26975</v>
      </c>
      <c r="AG14" s="1603">
        <v>11406.915203085113</v>
      </c>
      <c r="AH14" s="1603">
        <v>3738</v>
      </c>
      <c r="AI14" s="1604">
        <f t="shared" si="22"/>
        <v>86675.830232726847</v>
      </c>
      <c r="AJ14" s="1604">
        <f t="shared" si="23"/>
        <v>30713</v>
      </c>
      <c r="AK14" s="185">
        <v>11815.840658602592</v>
      </c>
      <c r="AL14" s="2685">
        <v>3431</v>
      </c>
      <c r="AM14" s="1606">
        <f t="shared" si="24"/>
        <v>34874.538616019316</v>
      </c>
      <c r="AN14" s="1606">
        <f t="shared" si="25"/>
        <v>10777</v>
      </c>
      <c r="AO14" s="1604">
        <f t="shared" si="26"/>
        <v>98491.670891329442</v>
      </c>
      <c r="AP14" s="1604">
        <f t="shared" si="27"/>
        <v>34144</v>
      </c>
      <c r="AQ14" s="1603">
        <v>11934.462401149402</v>
      </c>
      <c r="AR14" s="1603">
        <v>1341</v>
      </c>
      <c r="AS14" s="1604">
        <f t="shared" si="28"/>
        <v>110426.13329247884</v>
      </c>
      <c r="AT14" s="1604">
        <f t="shared" si="29"/>
        <v>35485</v>
      </c>
      <c r="AU14" s="1603">
        <v>11043.4259092918</v>
      </c>
      <c r="AV14" s="1603">
        <v>4300</v>
      </c>
      <c r="AW14" s="1604">
        <f t="shared" si="30"/>
        <v>121469.55920177064</v>
      </c>
      <c r="AX14" s="1604">
        <f t="shared" si="31"/>
        <v>39785</v>
      </c>
      <c r="AY14" s="1603">
        <v>11979.898562873565</v>
      </c>
      <c r="AZ14" s="1603">
        <v>4892</v>
      </c>
      <c r="BA14" s="1606">
        <f t="shared" si="32"/>
        <v>34957.786873314762</v>
      </c>
      <c r="BB14" s="1606">
        <f t="shared" si="33"/>
        <v>10533</v>
      </c>
      <c r="BC14" s="1522">
        <f t="shared" si="34"/>
        <v>69832.325489334078</v>
      </c>
      <c r="BD14" s="1522">
        <f t="shared" si="7"/>
        <v>21310</v>
      </c>
      <c r="BE14" s="1604">
        <f t="shared" si="35"/>
        <v>133449.4577646442</v>
      </c>
      <c r="BF14" s="1604">
        <f t="shared" si="36"/>
        <v>44677</v>
      </c>
      <c r="BG14" s="26"/>
      <c r="BH14" s="26"/>
      <c r="BI14" s="26"/>
      <c r="BJ14" s="26"/>
    </row>
    <row r="15" spans="2:62" ht="15" customHeight="1" x14ac:dyDescent="0.25">
      <c r="B15" s="1602" t="s">
        <v>615</v>
      </c>
      <c r="C15" s="91" t="s">
        <v>52</v>
      </c>
      <c r="D15" s="1494">
        <v>67499.998684634003</v>
      </c>
      <c r="E15" s="1603">
        <v>5663.7615819905805</v>
      </c>
      <c r="F15" s="1603">
        <v>544</v>
      </c>
      <c r="G15" s="1603">
        <v>4602.746998526035</v>
      </c>
      <c r="H15" s="1603">
        <v>7635</v>
      </c>
      <c r="I15" s="1604">
        <f t="shared" si="8"/>
        <v>10266.508580516616</v>
      </c>
      <c r="J15" s="1604">
        <f t="shared" si="9"/>
        <v>8179</v>
      </c>
      <c r="K15" s="1603">
        <v>4694.3901609326549</v>
      </c>
      <c r="L15" s="1603">
        <v>4587</v>
      </c>
      <c r="M15" s="1606">
        <f t="shared" si="10"/>
        <v>14960.898741449269</v>
      </c>
      <c r="N15" s="1606">
        <f t="shared" si="11"/>
        <v>12766</v>
      </c>
      <c r="O15" s="1603">
        <v>5792.707703795546</v>
      </c>
      <c r="P15" s="1603">
        <v>9156</v>
      </c>
      <c r="Q15" s="1604">
        <f t="shared" si="12"/>
        <v>20753.606445244815</v>
      </c>
      <c r="R15" s="1604">
        <f t="shared" si="13"/>
        <v>21922</v>
      </c>
      <c r="S15" s="185">
        <v>5792.707703795546</v>
      </c>
      <c r="T15" s="2685">
        <v>8460</v>
      </c>
      <c r="U15" s="1604">
        <f t="shared" si="14"/>
        <v>26546.314149040361</v>
      </c>
      <c r="V15" s="1604">
        <f t="shared" si="15"/>
        <v>30382</v>
      </c>
      <c r="W15" s="185">
        <v>5631.8334195839607</v>
      </c>
      <c r="X15" s="2685">
        <v>6356</v>
      </c>
      <c r="Y15" s="1606">
        <f t="shared" si="16"/>
        <v>17217.248827175052</v>
      </c>
      <c r="Z15" s="1606">
        <f t="shared" si="17"/>
        <v>23972</v>
      </c>
      <c r="AA15" s="1522">
        <f t="shared" si="18"/>
        <v>32178.147568624321</v>
      </c>
      <c r="AB15" s="1522">
        <f t="shared" si="19"/>
        <v>36738</v>
      </c>
      <c r="AC15" s="1603">
        <v>5893.5819880071303</v>
      </c>
      <c r="AD15" s="1603">
        <v>6478</v>
      </c>
      <c r="AE15" s="1604">
        <f t="shared" si="20"/>
        <v>38071.72955663145</v>
      </c>
      <c r="AF15" s="1604">
        <f t="shared" si="40"/>
        <v>43216</v>
      </c>
      <c r="AG15" s="1603">
        <v>5769.7256631938899</v>
      </c>
      <c r="AH15" s="1603">
        <v>5139</v>
      </c>
      <c r="AI15" s="1604">
        <f t="shared" si="22"/>
        <v>43841.455219825337</v>
      </c>
      <c r="AJ15" s="1604">
        <f t="shared" si="23"/>
        <v>48355</v>
      </c>
      <c r="AK15" s="185">
        <v>5976.5640286087855</v>
      </c>
      <c r="AL15" s="2685">
        <v>5119</v>
      </c>
      <c r="AM15" s="1606">
        <f t="shared" si="24"/>
        <v>17639.871679809803</v>
      </c>
      <c r="AN15" s="1606">
        <f t="shared" si="25"/>
        <v>16736</v>
      </c>
      <c r="AO15" s="1604">
        <f t="shared" si="26"/>
        <v>49818.019248434124</v>
      </c>
      <c r="AP15" s="1604">
        <f t="shared" si="27"/>
        <v>53474</v>
      </c>
      <c r="AQ15" s="1603">
        <v>6036.5640286087855</v>
      </c>
      <c r="AR15" s="1603">
        <v>4874</v>
      </c>
      <c r="AS15" s="1604">
        <f t="shared" si="28"/>
        <v>55854.583277042912</v>
      </c>
      <c r="AT15" s="1604">
        <f t="shared" si="29"/>
        <v>58348</v>
      </c>
      <c r="AU15" s="1603">
        <v>5585.8693383806494</v>
      </c>
      <c r="AV15" s="185">
        <v>7824</v>
      </c>
      <c r="AW15" s="1604">
        <f t="shared" si="30"/>
        <v>61440.452615423565</v>
      </c>
      <c r="AX15" s="1604">
        <f t="shared" si="31"/>
        <v>66172</v>
      </c>
      <c r="AY15" s="1603">
        <v>6059.5460692104398</v>
      </c>
      <c r="AZ15" s="185">
        <v>8222</v>
      </c>
      <c r="BA15" s="1606">
        <f t="shared" si="32"/>
        <v>17681.979436199876</v>
      </c>
      <c r="BB15" s="1606">
        <f t="shared" si="33"/>
        <v>20920</v>
      </c>
      <c r="BC15" s="1522">
        <f t="shared" si="34"/>
        <v>35321.851116009682</v>
      </c>
      <c r="BD15" s="1522">
        <f t="shared" si="7"/>
        <v>37656</v>
      </c>
      <c r="BE15" s="1604">
        <f t="shared" si="35"/>
        <v>67499.998684634003</v>
      </c>
      <c r="BF15" s="1604">
        <f t="shared" si="36"/>
        <v>74394</v>
      </c>
      <c r="BG15" s="26"/>
      <c r="BH15" s="26"/>
      <c r="BI15" s="26"/>
      <c r="BJ15" s="26"/>
    </row>
    <row r="16" spans="2:62" s="5797" customFormat="1" ht="15" customHeight="1" x14ac:dyDescent="0.25">
      <c r="B16" s="5827" t="s">
        <v>1943</v>
      </c>
      <c r="C16" s="91" t="s">
        <v>52</v>
      </c>
      <c r="D16" s="5281">
        <v>0</v>
      </c>
      <c r="E16" s="5828">
        <v>0</v>
      </c>
      <c r="F16" s="5828">
        <v>0</v>
      </c>
      <c r="G16" s="5828">
        <v>0</v>
      </c>
      <c r="H16" s="5828">
        <v>0</v>
      </c>
      <c r="I16" s="1604">
        <f t="shared" ref="I16" si="41">+E16+G16</f>
        <v>0</v>
      </c>
      <c r="J16" s="1604">
        <f t="shared" ref="J16" si="42">+F16+H16</f>
        <v>0</v>
      </c>
      <c r="K16" s="5828">
        <v>0</v>
      </c>
      <c r="L16" s="5828">
        <v>0</v>
      </c>
      <c r="M16" s="1606">
        <f t="shared" ref="M16" si="43">+K16+G16+E16</f>
        <v>0</v>
      </c>
      <c r="N16" s="1606">
        <f t="shared" ref="N16" si="44">+L16+H16+F16</f>
        <v>0</v>
      </c>
      <c r="O16" s="5828">
        <v>0</v>
      </c>
      <c r="P16" s="5828">
        <v>0</v>
      </c>
      <c r="Q16" s="1604">
        <f t="shared" ref="Q16" si="45">+M16+O16</f>
        <v>0</v>
      </c>
      <c r="R16" s="1604">
        <f t="shared" ref="R16" si="46">+N16+P16</f>
        <v>0</v>
      </c>
      <c r="S16" s="5831">
        <v>0</v>
      </c>
      <c r="T16" s="5832">
        <v>0</v>
      </c>
      <c r="U16" s="1604">
        <f t="shared" ref="U16" si="47">+Q16+S16</f>
        <v>0</v>
      </c>
      <c r="V16" s="1604">
        <f t="shared" ref="V16" si="48">+R16+T16</f>
        <v>0</v>
      </c>
      <c r="W16" s="5831">
        <v>0</v>
      </c>
      <c r="X16" s="5832">
        <v>0</v>
      </c>
      <c r="Y16" s="1606">
        <f t="shared" ref="Y16" si="49">+O16+S16+W16</f>
        <v>0</v>
      </c>
      <c r="Z16" s="1606">
        <f t="shared" ref="Z16" si="50">+P16+T16+X16</f>
        <v>0</v>
      </c>
      <c r="AA16" s="1522">
        <f t="shared" ref="AA16" si="51">M16+Y16</f>
        <v>0</v>
      </c>
      <c r="AB16" s="1522">
        <f t="shared" ref="AB16" si="52">N16+Z16</f>
        <v>0</v>
      </c>
      <c r="AC16" s="5828">
        <v>0</v>
      </c>
      <c r="AD16" s="5828">
        <v>0</v>
      </c>
      <c r="AE16" s="1604">
        <f t="shared" ref="AE16" si="53">+AA16+AC16</f>
        <v>0</v>
      </c>
      <c r="AF16" s="1604">
        <f t="shared" ref="AF16" si="54">+AB16+AD16</f>
        <v>0</v>
      </c>
      <c r="AG16" s="5828">
        <v>0</v>
      </c>
      <c r="AH16" s="5828">
        <v>0</v>
      </c>
      <c r="AI16" s="1604">
        <f t="shared" ref="AI16" si="55">+AE16+AG16</f>
        <v>0</v>
      </c>
      <c r="AJ16" s="1604">
        <f t="shared" ref="AJ16" si="56">+AF16+AH16</f>
        <v>0</v>
      </c>
      <c r="AK16" s="5831">
        <v>0</v>
      </c>
      <c r="AL16" s="5832">
        <v>0</v>
      </c>
      <c r="AM16" s="1606">
        <f t="shared" ref="AM16" si="57">+AC16+AG16+AK16</f>
        <v>0</v>
      </c>
      <c r="AN16" s="1606">
        <f t="shared" ref="AN16" si="58">+AD16+AH16+AL16</f>
        <v>0</v>
      </c>
      <c r="AO16" s="1604">
        <f t="shared" ref="AO16" si="59">AI16+AK16</f>
        <v>0</v>
      </c>
      <c r="AP16" s="1604">
        <f t="shared" ref="AP16" si="60">AJ16+AL16</f>
        <v>0</v>
      </c>
      <c r="AQ16" s="5828">
        <v>0</v>
      </c>
      <c r="AR16" s="5828">
        <v>0</v>
      </c>
      <c r="AS16" s="1604">
        <f t="shared" ref="AS16" si="61">+AO16+AQ16</f>
        <v>0</v>
      </c>
      <c r="AT16" s="1604">
        <f t="shared" ref="AT16" si="62">+AP16+AR16</f>
        <v>0</v>
      </c>
      <c r="AU16" s="5828">
        <v>0</v>
      </c>
      <c r="AV16" s="5831">
        <v>766</v>
      </c>
      <c r="AW16" s="1604"/>
      <c r="AX16" s="1604">
        <v>766</v>
      </c>
      <c r="AY16" s="5828">
        <v>0</v>
      </c>
      <c r="AZ16" s="5831">
        <v>662</v>
      </c>
      <c r="BA16" s="1606">
        <f t="shared" ref="BA16" si="63">+AQ16+AU16+AY16</f>
        <v>0</v>
      </c>
      <c r="BB16" s="1606">
        <f t="shared" ref="BB16" si="64">+AR16+AV16+AZ16</f>
        <v>1428</v>
      </c>
      <c r="BC16" s="1522">
        <f t="shared" ref="BC16" si="65">AM16+BA16</f>
        <v>0</v>
      </c>
      <c r="BD16" s="1522">
        <f t="shared" ref="BD16" si="66">AN16+BB16</f>
        <v>1428</v>
      </c>
      <c r="BE16" s="1604">
        <f t="shared" ref="BE16" si="67">+AW16+AY16</f>
        <v>0</v>
      </c>
      <c r="BF16" s="1604">
        <f t="shared" ref="BF16" si="68">+AX16+AZ16</f>
        <v>1428</v>
      </c>
      <c r="BG16" s="26"/>
      <c r="BH16" s="26"/>
      <c r="BI16" s="26"/>
      <c r="BJ16" s="26"/>
    </row>
    <row r="17" spans="2:62" ht="15.95" customHeight="1" x14ac:dyDescent="0.25">
      <c r="B17" s="1602" t="s">
        <v>101</v>
      </c>
      <c r="C17" s="91" t="s">
        <v>52</v>
      </c>
      <c r="D17" s="1494">
        <v>729296.7550925191</v>
      </c>
      <c r="E17" s="1603">
        <v>61469.297929226595</v>
      </c>
      <c r="F17" s="1603">
        <v>68791</v>
      </c>
      <c r="G17" s="1603">
        <v>51311.235983295104</v>
      </c>
      <c r="H17" s="1603">
        <v>56583</v>
      </c>
      <c r="I17" s="1604">
        <f t="shared" si="8"/>
        <v>112780.5339125217</v>
      </c>
      <c r="J17" s="1604">
        <f t="shared" si="9"/>
        <v>125374</v>
      </c>
      <c r="K17" s="1603">
        <v>52353.08849057008</v>
      </c>
      <c r="L17" s="1603">
        <v>64101</v>
      </c>
      <c r="M17" s="1606">
        <f t="shared" si="10"/>
        <v>165133.62240309178</v>
      </c>
      <c r="N17" s="1606">
        <f t="shared" si="11"/>
        <v>189475</v>
      </c>
      <c r="O17" s="1603">
        <v>62250.687309682893</v>
      </c>
      <c r="P17" s="1603">
        <v>66394</v>
      </c>
      <c r="Q17" s="1604">
        <f t="shared" si="12"/>
        <v>227384.30971277467</v>
      </c>
      <c r="R17" s="1604">
        <f t="shared" si="13"/>
        <v>255869</v>
      </c>
      <c r="S17" s="185">
        <v>62250.687309682893</v>
      </c>
      <c r="T17" s="2685">
        <v>62159</v>
      </c>
      <c r="U17" s="1604">
        <f t="shared" si="14"/>
        <v>289634.99702245754</v>
      </c>
      <c r="V17" s="1604">
        <f t="shared" si="15"/>
        <v>318028</v>
      </c>
      <c r="W17" s="185">
        <v>60427.44542195159</v>
      </c>
      <c r="X17" s="2685">
        <v>67315</v>
      </c>
      <c r="Y17" s="1606">
        <f t="shared" si="16"/>
        <v>184928.82004131738</v>
      </c>
      <c r="Z17" s="1606">
        <f t="shared" si="17"/>
        <v>195868</v>
      </c>
      <c r="AA17" s="1522">
        <f t="shared" si="18"/>
        <v>350062.44244440913</v>
      </c>
      <c r="AB17" s="1522">
        <f t="shared" si="19"/>
        <v>385343</v>
      </c>
      <c r="AC17" s="1603">
        <v>64073.929197414138</v>
      </c>
      <c r="AD17" s="1603">
        <v>74048</v>
      </c>
      <c r="AE17" s="1604">
        <f t="shared" si="20"/>
        <v>414136.37164182327</v>
      </c>
      <c r="AF17" s="1604">
        <f t="shared" si="40"/>
        <v>459391</v>
      </c>
      <c r="AG17" s="1603">
        <v>61990.224182864127</v>
      </c>
      <c r="AH17" s="1603">
        <v>66718</v>
      </c>
      <c r="AI17" s="1604">
        <f t="shared" si="22"/>
        <v>476126.59582468739</v>
      </c>
      <c r="AJ17" s="1604">
        <f t="shared" si="23"/>
        <v>526109</v>
      </c>
      <c r="AK17" s="185">
        <v>64334.392324232962</v>
      </c>
      <c r="AL17" s="2685">
        <v>67881</v>
      </c>
      <c r="AM17" s="1606">
        <f t="shared" si="24"/>
        <v>190398.54570451123</v>
      </c>
      <c r="AN17" s="1606">
        <f t="shared" si="25"/>
        <v>208647</v>
      </c>
      <c r="AO17" s="1604">
        <f t="shared" si="26"/>
        <v>540460.98814892035</v>
      </c>
      <c r="AP17" s="1604">
        <f t="shared" si="27"/>
        <v>593990</v>
      </c>
      <c r="AQ17" s="1603">
        <v>64334.392324232962</v>
      </c>
      <c r="AR17" s="1603">
        <v>64153</v>
      </c>
      <c r="AS17" s="1604">
        <f t="shared" si="28"/>
        <v>604795.38047315332</v>
      </c>
      <c r="AT17" s="1604">
        <f t="shared" si="29"/>
        <v>658143</v>
      </c>
      <c r="AU17" s="1603">
        <v>59906.519168314058</v>
      </c>
      <c r="AV17" s="1603">
        <v>60660</v>
      </c>
      <c r="AW17" s="1604">
        <f t="shared" si="30"/>
        <v>664701.89964146737</v>
      </c>
      <c r="AX17" s="1604">
        <f t="shared" si="31"/>
        <v>718803</v>
      </c>
      <c r="AY17" s="1603">
        <v>64594.85545105167</v>
      </c>
      <c r="AZ17" s="1603">
        <v>63077</v>
      </c>
      <c r="BA17" s="1606">
        <f t="shared" si="32"/>
        <v>188835.76694359869</v>
      </c>
      <c r="BB17" s="1606">
        <f t="shared" si="33"/>
        <v>187890</v>
      </c>
      <c r="BC17" s="1522">
        <f t="shared" si="34"/>
        <v>379234.31264810992</v>
      </c>
      <c r="BD17" s="1522">
        <f t="shared" si="7"/>
        <v>396537</v>
      </c>
      <c r="BE17" s="1604">
        <f t="shared" si="35"/>
        <v>729296.7550925191</v>
      </c>
      <c r="BF17" s="1604">
        <f t="shared" si="36"/>
        <v>781880</v>
      </c>
      <c r="BG17" s="26"/>
      <c r="BH17" s="26"/>
      <c r="BI17" s="26"/>
      <c r="BJ17" s="26"/>
    </row>
    <row r="18" spans="2:62" ht="15.95" customHeight="1" x14ac:dyDescent="0.25">
      <c r="B18" s="1602" t="s">
        <v>1411</v>
      </c>
      <c r="C18" s="91" t="s">
        <v>52</v>
      </c>
      <c r="D18" s="1494"/>
      <c r="E18" s="1603"/>
      <c r="F18" s="1603">
        <v>412</v>
      </c>
      <c r="G18" s="1603"/>
      <c r="H18" s="1603">
        <v>0</v>
      </c>
      <c r="I18" s="1604">
        <f t="shared" si="8"/>
        <v>0</v>
      </c>
      <c r="J18" s="1604">
        <f t="shared" si="9"/>
        <v>412</v>
      </c>
      <c r="K18" s="1603"/>
      <c r="L18" s="1603">
        <v>818</v>
      </c>
      <c r="M18" s="1606">
        <f t="shared" si="10"/>
        <v>0</v>
      </c>
      <c r="N18" s="1606">
        <f t="shared" si="11"/>
        <v>1230</v>
      </c>
      <c r="O18" s="1603"/>
      <c r="P18" s="1603">
        <v>1069</v>
      </c>
      <c r="Q18" s="1604">
        <f t="shared" si="12"/>
        <v>0</v>
      </c>
      <c r="R18" s="1604">
        <f t="shared" si="13"/>
        <v>2299</v>
      </c>
      <c r="S18" s="185"/>
      <c r="T18" s="2685">
        <v>831</v>
      </c>
      <c r="U18" s="1604">
        <f t="shared" si="14"/>
        <v>0</v>
      </c>
      <c r="V18" s="1604">
        <f t="shared" si="15"/>
        <v>3130</v>
      </c>
      <c r="W18" s="185">
        <v>0</v>
      </c>
      <c r="X18" s="2685">
        <v>576</v>
      </c>
      <c r="Y18" s="1606">
        <f t="shared" si="16"/>
        <v>0</v>
      </c>
      <c r="Z18" s="1606">
        <f t="shared" si="17"/>
        <v>2476</v>
      </c>
      <c r="AA18" s="1522">
        <f t="shared" si="18"/>
        <v>0</v>
      </c>
      <c r="AB18" s="1522">
        <f t="shared" si="19"/>
        <v>3706</v>
      </c>
      <c r="AC18" s="1603">
        <v>0</v>
      </c>
      <c r="AD18" s="1603">
        <v>179</v>
      </c>
      <c r="AE18" s="1604">
        <f t="shared" si="20"/>
        <v>0</v>
      </c>
      <c r="AF18" s="1604">
        <f t="shared" si="40"/>
        <v>3885</v>
      </c>
      <c r="AG18" s="1603">
        <v>0</v>
      </c>
      <c r="AH18" s="1603">
        <v>0</v>
      </c>
      <c r="AI18" s="1604">
        <f t="shared" si="22"/>
        <v>0</v>
      </c>
      <c r="AJ18" s="1604">
        <f t="shared" si="23"/>
        <v>3885</v>
      </c>
      <c r="AK18" s="185">
        <v>0</v>
      </c>
      <c r="AL18" s="2685">
        <v>0</v>
      </c>
      <c r="AM18" s="1606">
        <f t="shared" si="24"/>
        <v>0</v>
      </c>
      <c r="AN18" s="1606">
        <f t="shared" si="25"/>
        <v>179</v>
      </c>
      <c r="AO18" s="1604">
        <f t="shared" si="26"/>
        <v>0</v>
      </c>
      <c r="AP18" s="1604">
        <f t="shared" si="27"/>
        <v>3885</v>
      </c>
      <c r="AQ18" s="1603">
        <v>0</v>
      </c>
      <c r="AR18" s="1603">
        <v>490</v>
      </c>
      <c r="AS18" s="1604">
        <f t="shared" si="28"/>
        <v>0</v>
      </c>
      <c r="AT18" s="1604">
        <f t="shared" si="29"/>
        <v>4375</v>
      </c>
      <c r="AU18" s="1603">
        <v>0</v>
      </c>
      <c r="AV18" s="1603">
        <v>544</v>
      </c>
      <c r="AW18" s="1604">
        <f t="shared" si="30"/>
        <v>0</v>
      </c>
      <c r="AX18" s="1604">
        <f t="shared" si="31"/>
        <v>4919</v>
      </c>
      <c r="AY18" s="1603">
        <v>0</v>
      </c>
      <c r="AZ18" s="1603">
        <v>622</v>
      </c>
      <c r="BA18" s="1606">
        <f t="shared" si="32"/>
        <v>0</v>
      </c>
      <c r="BB18" s="1606">
        <f t="shared" si="33"/>
        <v>1656</v>
      </c>
      <c r="BC18" s="1522">
        <f t="shared" si="34"/>
        <v>0</v>
      </c>
      <c r="BD18" s="1522">
        <f t="shared" si="7"/>
        <v>1835</v>
      </c>
      <c r="BE18" s="1604">
        <f t="shared" si="35"/>
        <v>0</v>
      </c>
      <c r="BF18" s="1604">
        <f t="shared" si="36"/>
        <v>5541</v>
      </c>
      <c r="BG18" s="26"/>
      <c r="BH18" s="26"/>
      <c r="BI18" s="26"/>
      <c r="BJ18" s="26"/>
    </row>
    <row r="19" spans="2:62" ht="15.75" x14ac:dyDescent="0.25">
      <c r="B19" s="1608" t="s">
        <v>23</v>
      </c>
      <c r="C19" s="1609" t="s">
        <v>52</v>
      </c>
      <c r="D19" s="236">
        <f>SUM(D6:D18)</f>
        <v>5547892.1062441487</v>
      </c>
      <c r="E19" s="236">
        <f t="shared" ref="E19:AD19" si="69">SUM(E6:E18)</f>
        <v>465785.97586752899</v>
      </c>
      <c r="F19" s="236">
        <f t="shared" si="69"/>
        <v>456311.38052477402</v>
      </c>
      <c r="G19" s="236">
        <f t="shared" ref="G19:H19" si="70">SUM(G6:G18)</f>
        <v>379885.69112137414</v>
      </c>
      <c r="H19" s="236">
        <f t="shared" si="70"/>
        <v>381035.95874146628</v>
      </c>
      <c r="I19" s="236">
        <f t="shared" si="69"/>
        <v>845671.66698890307</v>
      </c>
      <c r="J19" s="236">
        <f t="shared" si="69"/>
        <v>837347.33926624036</v>
      </c>
      <c r="K19" s="236">
        <f t="shared" si="69"/>
        <v>387469.63733150269</v>
      </c>
      <c r="L19" s="236">
        <f t="shared" si="69"/>
        <v>406413.69159155496</v>
      </c>
      <c r="M19" s="236">
        <f t="shared" si="69"/>
        <v>1233141.3043204057</v>
      </c>
      <c r="N19" s="236">
        <f t="shared" si="69"/>
        <v>1243761.0308577954</v>
      </c>
      <c r="O19" s="236">
        <f t="shared" ref="O19:P19" si="71">SUM(O6:O18)</f>
        <v>475772.39036185812</v>
      </c>
      <c r="P19" s="236">
        <f t="shared" si="71"/>
        <v>465993.20082174585</v>
      </c>
      <c r="Q19" s="236">
        <f t="shared" si="69"/>
        <v>1708913.6946822638</v>
      </c>
      <c r="R19" s="236">
        <f t="shared" si="69"/>
        <v>1709754.2316795413</v>
      </c>
      <c r="S19" s="236">
        <f t="shared" si="69"/>
        <v>475772.39036185812</v>
      </c>
      <c r="T19" s="2659">
        <f t="shared" si="69"/>
        <v>460987.03500000003</v>
      </c>
      <c r="U19" s="236">
        <f t="shared" ref="U19:X19" si="72">SUM(U6:U18)</f>
        <v>2184686.0850441218</v>
      </c>
      <c r="V19" s="236">
        <f t="shared" si="72"/>
        <v>2170741.2666795412</v>
      </c>
      <c r="W19" s="236">
        <f t="shared" si="72"/>
        <v>462464.880427789</v>
      </c>
      <c r="X19" s="2659">
        <f t="shared" si="72"/>
        <v>452052</v>
      </c>
      <c r="Y19" s="236">
        <f t="shared" si="69"/>
        <v>1414009.6611515051</v>
      </c>
      <c r="Z19" s="236">
        <f t="shared" si="69"/>
        <v>1379032.2358217461</v>
      </c>
      <c r="AA19" s="236">
        <f t="shared" si="69"/>
        <v>2647150.9654719112</v>
      </c>
      <c r="AB19" s="236">
        <f t="shared" si="69"/>
        <v>2622793.2666795412</v>
      </c>
      <c r="AC19" s="236">
        <f t="shared" si="69"/>
        <v>484796.70434477058</v>
      </c>
      <c r="AD19" s="236">
        <f t="shared" si="69"/>
        <v>479931</v>
      </c>
      <c r="AE19" s="236">
        <f t="shared" ref="AE19:AH19" si="73">SUM(AE6:AE18)</f>
        <v>3131947.6698166812</v>
      </c>
      <c r="AF19" s="236">
        <f t="shared" si="73"/>
        <v>3102724.2666795412</v>
      </c>
      <c r="AG19" s="236">
        <f t="shared" si="73"/>
        <v>473871.31751413387</v>
      </c>
      <c r="AH19" s="236">
        <f t="shared" si="73"/>
        <v>444154</v>
      </c>
      <c r="AI19" s="236">
        <f t="shared" ref="AI19:AN19" si="74">SUM(AI6:AI18)</f>
        <v>3605818.9873308153</v>
      </c>
      <c r="AJ19" s="236">
        <f t="shared" si="74"/>
        <v>3546878.2666795412</v>
      </c>
      <c r="AK19" s="236">
        <f t="shared" si="74"/>
        <v>490980.97314365144</v>
      </c>
      <c r="AL19" s="2659">
        <f t="shared" si="74"/>
        <v>448831</v>
      </c>
      <c r="AM19" s="236">
        <f t="shared" si="74"/>
        <v>1449648.9950025561</v>
      </c>
      <c r="AN19" s="236">
        <f t="shared" si="74"/>
        <v>1372916</v>
      </c>
      <c r="AO19" s="236">
        <f t="shared" ref="AO19:AT19" si="75">SUM(AO6:AO18)</f>
        <v>4096799.9604744674</v>
      </c>
      <c r="AP19" s="236">
        <f t="shared" si="75"/>
        <v>3995709.2666795412</v>
      </c>
      <c r="AQ19" s="236">
        <f t="shared" si="75"/>
        <v>495264.16909480799</v>
      </c>
      <c r="AR19" s="236">
        <f t="shared" si="75"/>
        <v>414523</v>
      </c>
      <c r="AS19" s="236">
        <f t="shared" si="75"/>
        <v>4592064.1295692753</v>
      </c>
      <c r="AT19" s="236">
        <f t="shared" si="75"/>
        <v>4410232.2666795412</v>
      </c>
      <c r="AU19" s="236">
        <f t="shared" ref="AU19:AX19" si="76">SUM(AU6:AU18)</f>
        <v>458662.73473234056</v>
      </c>
      <c r="AV19" s="236">
        <f t="shared" si="76"/>
        <v>429228</v>
      </c>
      <c r="AW19" s="236">
        <f t="shared" si="76"/>
        <v>5050726.8643016154</v>
      </c>
      <c r="AX19" s="236">
        <f t="shared" si="76"/>
        <v>4839460.2666795412</v>
      </c>
      <c r="AY19" s="236">
        <f t="shared" ref="AY19:BF19" si="77">SUM(AY6:AY18)</f>
        <v>497165.24194253207</v>
      </c>
      <c r="AZ19" s="236">
        <f t="shared" si="77"/>
        <v>416266</v>
      </c>
      <c r="BA19" s="236">
        <f t="shared" si="77"/>
        <v>1451092.1457696809</v>
      </c>
      <c r="BB19" s="236">
        <f t="shared" si="77"/>
        <v>1260017</v>
      </c>
      <c r="BC19" s="236">
        <f t="shared" si="77"/>
        <v>2900741.140772237</v>
      </c>
      <c r="BD19" s="236">
        <f t="shared" si="77"/>
        <v>2632933</v>
      </c>
      <c r="BE19" s="236">
        <f t="shared" si="77"/>
        <v>5547892.1062441487</v>
      </c>
      <c r="BF19" s="236">
        <f t="shared" si="77"/>
        <v>5255726.2666795412</v>
      </c>
      <c r="BG19" s="26"/>
      <c r="BH19" s="26"/>
      <c r="BI19" s="26"/>
      <c r="BJ19" s="26"/>
    </row>
    <row r="20" spans="2:62" s="183" customFormat="1" ht="18.75" x14ac:dyDescent="0.25">
      <c r="B20" s="1601" t="s">
        <v>981</v>
      </c>
      <c r="C20" s="1601"/>
      <c r="D20" s="299"/>
      <c r="E20" s="1601"/>
      <c r="F20" s="1601"/>
      <c r="G20" s="4149"/>
      <c r="H20" s="1601"/>
      <c r="I20" s="1601"/>
      <c r="J20" s="1601"/>
      <c r="K20" s="1601"/>
      <c r="L20" s="1601"/>
      <c r="M20" s="4149"/>
      <c r="N20" s="1601"/>
      <c r="O20" s="1601"/>
      <c r="P20" s="1601"/>
      <c r="Q20" s="1601"/>
      <c r="R20" s="1601"/>
      <c r="S20" s="1601"/>
      <c r="T20" s="2684"/>
      <c r="U20" s="1601"/>
      <c r="V20" s="1601"/>
      <c r="W20" s="1601"/>
      <c r="X20" s="2684"/>
      <c r="Y20" s="1601"/>
      <c r="Z20" s="1601"/>
      <c r="AA20" s="1601"/>
      <c r="AB20" s="1601"/>
      <c r="AC20" s="1601"/>
      <c r="AD20" s="1601"/>
      <c r="AE20" s="1601"/>
      <c r="AF20" s="1601"/>
      <c r="AG20" s="1601"/>
      <c r="AH20" s="1601"/>
      <c r="AI20" s="1601"/>
      <c r="AJ20" s="1601"/>
      <c r="AK20" s="1601"/>
      <c r="AL20" s="2684"/>
      <c r="AM20" s="1601"/>
      <c r="AN20" s="1601"/>
      <c r="AO20" s="1601"/>
      <c r="AP20" s="1601"/>
      <c r="AQ20" s="1601"/>
      <c r="AR20" s="1601"/>
      <c r="AS20" s="1601"/>
      <c r="AT20" s="1601"/>
      <c r="AU20" s="1601"/>
      <c r="AV20" s="5834"/>
      <c r="AW20" s="1601"/>
      <c r="AX20" s="1601"/>
      <c r="AY20" s="1601"/>
      <c r="AZ20" s="5834"/>
      <c r="BA20" s="1601"/>
      <c r="BB20" s="1601"/>
      <c r="BC20" s="1601"/>
      <c r="BD20" s="1601"/>
      <c r="BE20" s="1601"/>
      <c r="BF20" s="1601"/>
      <c r="BG20" s="26"/>
      <c r="BH20" s="26"/>
      <c r="BI20" s="26"/>
      <c r="BJ20" s="26"/>
    </row>
    <row r="21" spans="2:62" x14ac:dyDescent="0.25">
      <c r="B21" s="1602" t="s">
        <v>39</v>
      </c>
      <c r="C21" s="91" t="s">
        <v>224</v>
      </c>
      <c r="D21" s="1411">
        <f t="shared" ref="D21:H27" si="78">+D6/D$61*1000</f>
        <v>781.5720322701535</v>
      </c>
      <c r="E21" s="1411">
        <f t="shared" si="78"/>
        <v>781.5720322701535</v>
      </c>
      <c r="F21" s="1603">
        <f t="shared" si="78"/>
        <v>778.13207694510243</v>
      </c>
      <c r="G21" s="1411">
        <f t="shared" si="78"/>
        <v>781.5720322701535</v>
      </c>
      <c r="H21" s="1603">
        <f t="shared" si="78"/>
        <v>771.76731885174343</v>
      </c>
      <c r="I21" s="1604">
        <f>+$D$21</f>
        <v>781.5720322701535</v>
      </c>
      <c r="J21" s="1604">
        <f>+J6/J$61*1000</f>
        <v>775.28178710951534</v>
      </c>
      <c r="K21" s="1411">
        <f t="shared" ref="K21:L21" si="79">+K6/K$61*1000</f>
        <v>781.5720322701535</v>
      </c>
      <c r="L21" s="1603">
        <f t="shared" si="79"/>
        <v>781.63518962015348</v>
      </c>
      <c r="M21" s="1606">
        <f>+$D$21</f>
        <v>781.5720322701535</v>
      </c>
      <c r="N21" s="1606">
        <f t="shared" ref="N21:P30" si="80">+N6/N$61*1000</f>
        <v>777.32525487320697</v>
      </c>
      <c r="O21" s="1411">
        <f t="shared" si="80"/>
        <v>781.5720322701535</v>
      </c>
      <c r="P21" s="1617">
        <f t="shared" si="80"/>
        <v>789.64559349845592</v>
      </c>
      <c r="Q21" s="1604">
        <f>+$D$21</f>
        <v>781.5720322701535</v>
      </c>
      <c r="R21" s="1604">
        <f t="shared" ref="R21:S28" si="81">+R6/R$61*1000</f>
        <v>780.70045653631303</v>
      </c>
      <c r="S21" s="3217">
        <f t="shared" si="81"/>
        <v>781.5720322701535</v>
      </c>
      <c r="T21" s="1617">
        <f t="shared" ref="T21" si="82">+T6/T$61*1000</f>
        <v>795</v>
      </c>
      <c r="U21" s="1604">
        <f>+$D$21</f>
        <v>781.5720322701535</v>
      </c>
      <c r="V21" s="1604">
        <f>+V6/V$61*1000</f>
        <v>783.68927735899558</v>
      </c>
      <c r="W21" s="3288">
        <f>+W6/W$61*1000</f>
        <v>781.57203227015361</v>
      </c>
      <c r="X21" s="1617">
        <f>+X6/X$61*1000</f>
        <v>792.98390160127974</v>
      </c>
      <c r="Y21" s="1606">
        <f>+$D$21</f>
        <v>781.5720322701535</v>
      </c>
      <c r="Z21" s="1606">
        <f t="shared" ref="Z21:Z33" si="83">+Z6/Z$61*1000</f>
        <v>792.50834594262869</v>
      </c>
      <c r="AA21" s="1522">
        <f>+$D$21</f>
        <v>781.5720322701535</v>
      </c>
      <c r="AB21" s="1522">
        <f t="shared" ref="AB21:AD24" si="84">+AB6/AB$61*1000</f>
        <v>785.29810500756594</v>
      </c>
      <c r="AC21" s="3616">
        <f t="shared" si="84"/>
        <v>781.57203227015339</v>
      </c>
      <c r="AD21" s="1603">
        <f t="shared" si="84"/>
        <v>785.89220012390797</v>
      </c>
      <c r="AE21" s="1604">
        <f>+$D$21</f>
        <v>781.5720322701535</v>
      </c>
      <c r="AF21" s="1604">
        <f>+AF6/AF$61*1000</f>
        <v>785.39005192264881</v>
      </c>
      <c r="AG21" s="3616">
        <f t="shared" ref="AG21:AH21" si="85">+AG6/AG$61*1000</f>
        <v>781.5720322701535</v>
      </c>
      <c r="AH21" s="1603">
        <f t="shared" si="85"/>
        <v>784.12291795892179</v>
      </c>
      <c r="AI21" s="1604">
        <f>+$D$21</f>
        <v>781.5720322701535</v>
      </c>
      <c r="AJ21" s="1604">
        <f t="shared" ref="AJ21:AL22" si="86">+AJ6/AJ$61*1000</f>
        <v>785.22886139232776</v>
      </c>
      <c r="AK21" s="3616">
        <f t="shared" si="86"/>
        <v>781.5720322701535</v>
      </c>
      <c r="AL21" s="1603">
        <f t="shared" si="86"/>
        <v>780.36452749272473</v>
      </c>
      <c r="AM21" s="1606">
        <f>+$D$21</f>
        <v>781.5720322701535</v>
      </c>
      <c r="AN21" s="1606">
        <f t="shared" ref="AN21:AN33" si="87">+AN6/AN$61*1000</f>
        <v>783.49183810882755</v>
      </c>
      <c r="AO21" s="1604">
        <f>+$D$21</f>
        <v>781.5720322701535</v>
      </c>
      <c r="AP21" s="1604">
        <f t="shared" ref="AP21:AP33" si="88">+AP6/AP$61*1000</f>
        <v>784.67172225851721</v>
      </c>
      <c r="AQ21" s="3616">
        <f t="shared" ref="AQ21:AR21" si="89">+AQ6/AQ$61*1000</f>
        <v>781.5720322701535</v>
      </c>
      <c r="AR21" s="1603">
        <f t="shared" si="89"/>
        <v>778.1437792121078</v>
      </c>
      <c r="AS21" s="1604">
        <f>+$D$21</f>
        <v>781.5720322701535</v>
      </c>
      <c r="AT21" s="1604">
        <f t="shared" ref="AT21:AT33" si="90">+AT6/AT$61*1000</f>
        <v>784.03162169092775</v>
      </c>
      <c r="AU21" s="3616">
        <f t="shared" ref="AU21:AV21" si="91">+AU6/AU$61*1000</f>
        <v>781.57203227015361</v>
      </c>
      <c r="AV21" s="1603">
        <f t="shared" si="91"/>
        <v>772.4022034426107</v>
      </c>
      <c r="AW21" s="1604">
        <f>+$D$21</f>
        <v>781.5720322701535</v>
      </c>
      <c r="AX21" s="1604">
        <f t="shared" ref="AX21:AX33" si="92">+AX6/AX$61*1000</f>
        <v>782.95885060329044</v>
      </c>
      <c r="AY21" s="3616">
        <f t="shared" ref="AY21:AZ21" si="93">+AY6/AY$61*1000</f>
        <v>781.5720322701535</v>
      </c>
      <c r="AZ21" s="1603">
        <f t="shared" si="93"/>
        <v>777.02584543811781</v>
      </c>
      <c r="BA21" s="1606">
        <f>+$D$21</f>
        <v>781.5720322701535</v>
      </c>
      <c r="BB21" s="1606">
        <f t="shared" ref="BB21:BB33" si="94">+BB6/BB$61*1000</f>
        <v>775.81681094666294</v>
      </c>
      <c r="BC21" s="1522">
        <f>+$D$21</f>
        <v>781.5720322701535</v>
      </c>
      <c r="BD21" s="1522">
        <f t="shared" ref="BD21" si="95">+BD6/BD$61*1000</f>
        <v>779.74747549193683</v>
      </c>
      <c r="BE21" s="1604">
        <f>+$D$21</f>
        <v>781.5720322701535</v>
      </c>
      <c r="BF21" s="1604">
        <f t="shared" ref="BF21:BF33" si="96">+BF6/BF$61*1000</f>
        <v>782.47290462879494</v>
      </c>
      <c r="BG21" s="26"/>
      <c r="BH21" s="26"/>
      <c r="BI21" s="26"/>
      <c r="BJ21" s="26"/>
    </row>
    <row r="22" spans="2:62" x14ac:dyDescent="0.25">
      <c r="B22" s="1602" t="s">
        <v>40</v>
      </c>
      <c r="C22" s="91" t="s">
        <v>224</v>
      </c>
      <c r="D22" s="1411">
        <f t="shared" si="78"/>
        <v>79.999999999999986</v>
      </c>
      <c r="E22" s="1411">
        <f t="shared" si="78"/>
        <v>80</v>
      </c>
      <c r="F22" s="1603">
        <f t="shared" si="78"/>
        <v>48.624306947445142</v>
      </c>
      <c r="G22" s="1411">
        <f t="shared" si="78"/>
        <v>80</v>
      </c>
      <c r="H22" s="1603">
        <f t="shared" si="78"/>
        <v>69.612412057720945</v>
      </c>
      <c r="I22" s="1604">
        <f>+$D$22</f>
        <v>79.999999999999986</v>
      </c>
      <c r="J22" s="1604">
        <f>+J7/J$61*1000</f>
        <v>58.02327887796843</v>
      </c>
      <c r="K22" s="1411">
        <f t="shared" ref="K22:L22" si="97">+K7/K$61*1000</f>
        <v>80</v>
      </c>
      <c r="L22" s="1603">
        <f t="shared" si="97"/>
        <v>49.440688756176677</v>
      </c>
      <c r="M22" s="1606">
        <f>+$D$22</f>
        <v>79.999999999999986</v>
      </c>
      <c r="N22" s="1606">
        <f t="shared" si="80"/>
        <v>55.262829463108709</v>
      </c>
      <c r="O22" s="1411">
        <f t="shared" si="80"/>
        <v>80.000000000000014</v>
      </c>
      <c r="P22" s="1617">
        <f t="shared" si="80"/>
        <v>55.54737263718232</v>
      </c>
      <c r="Q22" s="1604">
        <f>+$D$22</f>
        <v>79.999999999999986</v>
      </c>
      <c r="R22" s="1604">
        <f t="shared" si="81"/>
        <v>55.340781102553954</v>
      </c>
      <c r="S22" s="3217">
        <f t="shared" si="81"/>
        <v>80.000000000000014</v>
      </c>
      <c r="T22" s="1617">
        <f t="shared" ref="T22" si="98">+T7/T$61*1000</f>
        <v>76.075687231597243</v>
      </c>
      <c r="U22" s="1604">
        <f>+$D$22</f>
        <v>79.999999999999986</v>
      </c>
      <c r="V22" s="1604">
        <f t="shared" ref="V22:W22" si="99">+V7/V$61*1000</f>
        <v>59.674690038334347</v>
      </c>
      <c r="W22" s="3288">
        <f t="shared" si="99"/>
        <v>80</v>
      </c>
      <c r="X22" s="1617">
        <f t="shared" ref="X22:X33" si="100">+X7/X$61*1000</f>
        <v>47.524784257916785</v>
      </c>
      <c r="Y22" s="1606">
        <f>+$D$22</f>
        <v>79.999999999999986</v>
      </c>
      <c r="Z22" s="1606">
        <f t="shared" si="83"/>
        <v>59.659601934248258</v>
      </c>
      <c r="AA22" s="1522">
        <f>+$D$22</f>
        <v>79.999999999999986</v>
      </c>
      <c r="AB22" s="1522">
        <f t="shared" si="84"/>
        <v>57.571635214650982</v>
      </c>
      <c r="AC22" s="3616">
        <f t="shared" si="84"/>
        <v>80</v>
      </c>
      <c r="AD22" s="1603">
        <f t="shared" si="84"/>
        <v>70.77417152394078</v>
      </c>
      <c r="AE22" s="1604">
        <f>+$D$22</f>
        <v>79.999999999999986</v>
      </c>
      <c r="AF22" s="1604">
        <f>+AF7/AF$61*1000</f>
        <v>59.61496540120784</v>
      </c>
      <c r="AG22" s="3616">
        <f t="shared" ref="AG22:AH22" si="101">+AG7/AG$61*1000</f>
        <v>79.999999999999986</v>
      </c>
      <c r="AH22" s="1603">
        <f t="shared" si="101"/>
        <v>47.544245470729919</v>
      </c>
      <c r="AI22" s="1604">
        <f>+$D$22</f>
        <v>79.999999999999986</v>
      </c>
      <c r="AJ22" s="1604">
        <f t="shared" si="86"/>
        <v>58.079464181409897</v>
      </c>
      <c r="AK22" s="3616">
        <f t="shared" si="86"/>
        <v>80</v>
      </c>
      <c r="AL22" s="1603">
        <f t="shared" si="86"/>
        <v>49.302581057457182</v>
      </c>
      <c r="AM22" s="1606">
        <f>+$D$22</f>
        <v>79.999999999999986</v>
      </c>
      <c r="AN22" s="1606">
        <f t="shared" si="87"/>
        <v>56.137204896785832</v>
      </c>
      <c r="AO22" s="1604">
        <f>+$D$22</f>
        <v>79.999999999999986</v>
      </c>
      <c r="AP22" s="1604">
        <f t="shared" si="88"/>
        <v>57.074199090205191</v>
      </c>
      <c r="AQ22" s="3616">
        <f t="shared" ref="AQ22:AR22" si="102">+AQ7/AQ$61*1000</f>
        <v>80</v>
      </c>
      <c r="AR22" s="1603">
        <f t="shared" si="102"/>
        <v>35.533051413309593</v>
      </c>
      <c r="AS22" s="1604">
        <f>+$D$22</f>
        <v>79.999999999999986</v>
      </c>
      <c r="AT22" s="1604">
        <f t="shared" si="90"/>
        <v>54.961971585081081</v>
      </c>
      <c r="AU22" s="3616">
        <f t="shared" ref="AU22:AV22" si="103">+AU7/AU$61*1000</f>
        <v>80</v>
      </c>
      <c r="AV22" s="1603">
        <f t="shared" si="103"/>
        <v>28.777905440956971</v>
      </c>
      <c r="AW22" s="1604">
        <f>+$D$22</f>
        <v>79.999999999999986</v>
      </c>
      <c r="AX22" s="1604">
        <f t="shared" si="92"/>
        <v>52.546587726970614</v>
      </c>
      <c r="AY22" s="3616">
        <f t="shared" ref="AY22:AZ22" si="104">+AY7/AY$61*1000</f>
        <v>80</v>
      </c>
      <c r="AZ22" s="1603">
        <f t="shared" si="104"/>
        <v>23.955120927560046</v>
      </c>
      <c r="BA22" s="1606">
        <f>+$D$22</f>
        <v>79.999999999999986</v>
      </c>
      <c r="BB22" s="1606">
        <f t="shared" si="94"/>
        <v>29.410229764558849</v>
      </c>
      <c r="BC22" s="1522">
        <f>+$D$22</f>
        <v>79.999999999999986</v>
      </c>
      <c r="BD22" s="1522">
        <f t="shared" ref="BD22" si="105">+BD7/BD$61*1000</f>
        <v>43.098099701038926</v>
      </c>
      <c r="BE22" s="1604">
        <f>+$D$22</f>
        <v>79.999999999999986</v>
      </c>
      <c r="BF22" s="1604">
        <f t="shared" si="96"/>
        <v>50.204788283131876</v>
      </c>
      <c r="BG22" s="26"/>
      <c r="BH22" s="26"/>
      <c r="BI22" s="26"/>
      <c r="BJ22" s="26"/>
    </row>
    <row r="23" spans="2:62" x14ac:dyDescent="0.25">
      <c r="B23" s="1602" t="s">
        <v>41</v>
      </c>
      <c r="C23" s="91" t="s">
        <v>224</v>
      </c>
      <c r="D23" s="1411">
        <f t="shared" si="78"/>
        <v>89.571519882284903</v>
      </c>
      <c r="E23" s="1411">
        <f t="shared" si="78"/>
        <v>89.571519882284917</v>
      </c>
      <c r="F23" s="1603">
        <f t="shared" si="78"/>
        <v>83.572376812348708</v>
      </c>
      <c r="G23" s="1411">
        <f t="shared" si="78"/>
        <v>89.571519882284903</v>
      </c>
      <c r="H23" s="1603">
        <f t="shared" si="78"/>
        <v>77.495121450213119</v>
      </c>
      <c r="I23" s="1604">
        <f>+$D$23</f>
        <v>89.571519882284903</v>
      </c>
      <c r="J23" s="1604">
        <f>+J8/J$61*1000</f>
        <v>80.850837527919992</v>
      </c>
      <c r="K23" s="1411">
        <f t="shared" ref="K23:L23" si="106">+K8/K$61*1000</f>
        <v>89.571519882284917</v>
      </c>
      <c r="L23" s="1603">
        <f t="shared" si="106"/>
        <v>106.99366417073394</v>
      </c>
      <c r="M23" s="1606">
        <f>+$D$23</f>
        <v>89.571519882284903</v>
      </c>
      <c r="N23" s="1606">
        <f t="shared" si="80"/>
        <v>89.259249147822558</v>
      </c>
      <c r="O23" s="1411">
        <f t="shared" si="80"/>
        <v>89.571519882284917</v>
      </c>
      <c r="P23" s="1617">
        <f t="shared" si="80"/>
        <v>86.287582206028659</v>
      </c>
      <c r="Q23" s="1604">
        <f>+$D$23</f>
        <v>89.571519882284903</v>
      </c>
      <c r="R23" s="1604">
        <f t="shared" si="81"/>
        <v>88.445150160024866</v>
      </c>
      <c r="S23" s="3217">
        <f t="shared" si="81"/>
        <v>89.571519882284917</v>
      </c>
      <c r="T23" s="1617">
        <f t="shared" ref="T23" si="107">+T8/T$61*1000</f>
        <v>90.060090068127082</v>
      </c>
      <c r="U23" s="1604">
        <f>+$D$23</f>
        <v>89.571519882284903</v>
      </c>
      <c r="V23" s="1604">
        <f t="shared" ref="V23:W23" si="108">+V8/V$61*1000</f>
        <v>88.782697022061001</v>
      </c>
      <c r="W23" s="3288">
        <f t="shared" si="108"/>
        <v>89.571519882284903</v>
      </c>
      <c r="X23" s="1617">
        <f t="shared" si="100"/>
        <v>90.360221065415459</v>
      </c>
      <c r="Y23" s="1606">
        <f>+$D$23</f>
        <v>89.571519882284903</v>
      </c>
      <c r="Z23" s="1606">
        <f t="shared" si="83"/>
        <v>88.871723787655938</v>
      </c>
      <c r="AA23" s="1522">
        <f>+$D$23</f>
        <v>89.571519882284903</v>
      </c>
      <c r="AB23" s="1522">
        <f t="shared" si="84"/>
        <v>89.055754246438838</v>
      </c>
      <c r="AC23" s="3616">
        <f t="shared" si="84"/>
        <v>89.571519882284903</v>
      </c>
      <c r="AD23" s="1603">
        <f t="shared" si="84"/>
        <v>73.257387060474642</v>
      </c>
      <c r="AE23" s="1604">
        <f>+$D$23</f>
        <v>89.571519882284903</v>
      </c>
      <c r="AF23" s="1604">
        <f>+AF8/AF$61*1000</f>
        <v>86.610672497511885</v>
      </c>
      <c r="AG23" s="3616">
        <f t="shared" ref="AG23:AH23" si="109">+AG8/AG$61*1000</f>
        <v>89.571519882284903</v>
      </c>
      <c r="AH23" s="1603">
        <f t="shared" si="109"/>
        <v>84.30739156469599</v>
      </c>
      <c r="AI23" s="1604">
        <f>+$D$23</f>
        <v>89.571519882284903</v>
      </c>
      <c r="AJ23" s="1604">
        <f t="shared" ref="AJ23:AJ28" si="110">+AJ8/AJ$61*1000</f>
        <v>86.317675004218543</v>
      </c>
      <c r="AK23" s="3616">
        <f t="shared" ref="AK23" si="111">+AK8/AK$61*1000</f>
        <v>89.571519882284903</v>
      </c>
      <c r="AL23" s="1603">
        <f t="shared" ref="AL23:AL33" si="112">+AL8/AL$61*1000</f>
        <v>77.492460692612795</v>
      </c>
      <c r="AM23" s="1606">
        <f>+$D$23</f>
        <v>89.571519882284903</v>
      </c>
      <c r="AN23" s="1606">
        <f t="shared" si="87"/>
        <v>78.245306781748354</v>
      </c>
      <c r="AO23" s="1604">
        <f>+$D$23</f>
        <v>89.571519882284903</v>
      </c>
      <c r="AP23" s="1604">
        <f t="shared" si="88"/>
        <v>85.306874274099883</v>
      </c>
      <c r="AQ23" s="3616">
        <f t="shared" ref="AQ23:AR23" si="113">+AQ8/AQ$61*1000</f>
        <v>89.571519882284903</v>
      </c>
      <c r="AR23" s="1603">
        <f t="shared" si="113"/>
        <v>70.323280658802588</v>
      </c>
      <c r="AS23" s="1604">
        <f>+$D$23</f>
        <v>89.571519882284903</v>
      </c>
      <c r="AT23" s="1604">
        <f t="shared" si="90"/>
        <v>83.837650858776556</v>
      </c>
      <c r="AU23" s="3616">
        <f t="shared" ref="AU23:AV23" si="114">+AU8/AU$61*1000</f>
        <v>89.571519882284903</v>
      </c>
      <c r="AV23" s="1603">
        <f t="shared" si="114"/>
        <v>76.108432570575658</v>
      </c>
      <c r="AW23" s="1604">
        <f>+$D$23</f>
        <v>89.571519882284903</v>
      </c>
      <c r="AX23" s="1604">
        <f t="shared" si="92"/>
        <v>83.124658881656828</v>
      </c>
      <c r="AY23" s="3616">
        <f t="shared" ref="AY23:AZ23" si="115">+AY8/AY$61*1000</f>
        <v>89.571519882284917</v>
      </c>
      <c r="AZ23" s="1603">
        <f t="shared" si="115"/>
        <v>77.169909259223274</v>
      </c>
      <c r="BA23" s="1606">
        <f>+$D$23</f>
        <v>89.571519882284903</v>
      </c>
      <c r="BB23" s="1606">
        <f t="shared" si="94"/>
        <v>74.554685246817215</v>
      </c>
      <c r="BC23" s="1522">
        <f>+$D$23</f>
        <v>89.571519882284903</v>
      </c>
      <c r="BD23" s="1522">
        <f t="shared" ref="BD23" si="116">+BD8/BD$61*1000</f>
        <v>76.444788683700267</v>
      </c>
      <c r="BE23" s="1604">
        <f>+$D$23</f>
        <v>89.571519882284903</v>
      </c>
      <c r="BF23" s="1604">
        <f t="shared" si="96"/>
        <v>82.636931915711116</v>
      </c>
      <c r="BG23" s="26"/>
      <c r="BH23" s="26"/>
      <c r="BI23" s="26"/>
      <c r="BJ23" s="26"/>
    </row>
    <row r="24" spans="2:62" x14ac:dyDescent="0.25">
      <c r="B24" s="1602" t="s">
        <v>42</v>
      </c>
      <c r="C24" s="91" t="s">
        <v>224</v>
      </c>
      <c r="D24" s="1411">
        <f t="shared" si="78"/>
        <v>60.000000000000007</v>
      </c>
      <c r="E24" s="1411">
        <f t="shared" si="78"/>
        <v>60.000000000000007</v>
      </c>
      <c r="F24" s="1603">
        <f t="shared" si="78"/>
        <v>46.828227086966706</v>
      </c>
      <c r="G24" s="1411">
        <f t="shared" si="78"/>
        <v>60</v>
      </c>
      <c r="H24" s="1603">
        <f t="shared" si="78"/>
        <v>51.263287629024802</v>
      </c>
      <c r="I24" s="1604">
        <f>+$D$24</f>
        <v>60.000000000000007</v>
      </c>
      <c r="J24" s="1604">
        <f>+J9/J$61*1000</f>
        <v>48.814352529256709</v>
      </c>
      <c r="K24" s="1411">
        <f t="shared" ref="K24:L30" si="117">+K9/K$61*1000</f>
        <v>60</v>
      </c>
      <c r="L24" s="1603">
        <f t="shared" si="117"/>
        <v>49.186042986631094</v>
      </c>
      <c r="M24" s="1606">
        <f>+$D$24</f>
        <v>60.000000000000007</v>
      </c>
      <c r="N24" s="1606">
        <f t="shared" si="80"/>
        <v>48.933900671601627</v>
      </c>
      <c r="O24" s="1411">
        <f t="shared" si="80"/>
        <v>60.000000000000014</v>
      </c>
      <c r="P24" s="1617">
        <f t="shared" si="80"/>
        <v>45.970774061010118</v>
      </c>
      <c r="Q24" s="1604">
        <f>+$D$24</f>
        <v>60.000000000000007</v>
      </c>
      <c r="R24" s="1604">
        <f t="shared" si="81"/>
        <v>48.122141338658764</v>
      </c>
      <c r="S24" s="3217">
        <f t="shared" si="81"/>
        <v>60.000000000000014</v>
      </c>
      <c r="T24" s="1617">
        <f t="shared" ref="T24" si="118">+T9/T$61*1000</f>
        <v>46.603960104266854</v>
      </c>
      <c r="U24" s="1604">
        <f>+$D$24</f>
        <v>60.000000000000007</v>
      </c>
      <c r="V24" s="1604">
        <f>+V9/V$61*1000</f>
        <v>47.804818502620016</v>
      </c>
      <c r="W24" s="3288">
        <f>+W9/W$61*1000</f>
        <v>60.000000000000007</v>
      </c>
      <c r="X24" s="1617">
        <f t="shared" si="100"/>
        <v>46.807873181640652</v>
      </c>
      <c r="Y24" s="1606">
        <f>+$D$24</f>
        <v>60.000000000000007</v>
      </c>
      <c r="Z24" s="1606">
        <f t="shared" si="83"/>
        <v>46.455112672429912</v>
      </c>
      <c r="AA24" s="1522">
        <f>+$D$24</f>
        <v>60.000000000000007</v>
      </c>
      <c r="AB24" s="1522">
        <f t="shared" si="84"/>
        <v>47.632254969690123</v>
      </c>
      <c r="AC24" s="3616">
        <f t="shared" si="84"/>
        <v>60</v>
      </c>
      <c r="AD24" s="1603">
        <f t="shared" si="84"/>
        <v>47.431439733977314</v>
      </c>
      <c r="AE24" s="1604">
        <f>+$D$24</f>
        <v>60.000000000000007</v>
      </c>
      <c r="AF24" s="1604">
        <f>+AF9/AF$61*1000</f>
        <v>47.601175196573813</v>
      </c>
      <c r="AG24" s="3616">
        <f t="shared" ref="AG24:AH28" si="119">+AG9/AG$61*1000</f>
        <v>60</v>
      </c>
      <c r="AH24" s="1603">
        <f t="shared" si="119"/>
        <v>47.904062984176086</v>
      </c>
      <c r="AI24" s="1604">
        <f>+$D$24</f>
        <v>60.000000000000007</v>
      </c>
      <c r="AJ24" s="1604">
        <f t="shared" si="110"/>
        <v>47.639705174073406</v>
      </c>
      <c r="AK24" s="3616">
        <f t="shared" ref="AK24" si="120">+AK9/AK$61*1000</f>
        <v>60</v>
      </c>
      <c r="AL24" s="1603">
        <f t="shared" si="112"/>
        <v>47.002498138279613</v>
      </c>
      <c r="AM24" s="1606">
        <f>+$D$24</f>
        <v>60.000000000000007</v>
      </c>
      <c r="AN24" s="1606">
        <f t="shared" si="87"/>
        <v>47.443281921036018</v>
      </c>
      <c r="AO24" s="1604">
        <f>+$D$24</f>
        <v>60.000000000000007</v>
      </c>
      <c r="AP24" s="1604">
        <f t="shared" si="88"/>
        <v>47.566722319008903</v>
      </c>
      <c r="AQ24" s="3616">
        <f t="shared" ref="AQ24:AR30" si="121">+AQ9/AQ$61*1000</f>
        <v>60</v>
      </c>
      <c r="AR24" s="1603">
        <f t="shared" si="121"/>
        <v>45.648787002003118</v>
      </c>
      <c r="AS24" s="1604">
        <f>+$D$24</f>
        <v>60.000000000000007</v>
      </c>
      <c r="AT24" s="1604">
        <f t="shared" si="90"/>
        <v>47.378658257131008</v>
      </c>
      <c r="AU24" s="3616">
        <f t="shared" ref="AU24:AV24" si="122">+AU9/AU$61*1000</f>
        <v>59.999999999999993</v>
      </c>
      <c r="AV24" s="1603">
        <f t="shared" si="122"/>
        <v>48.270104266217096</v>
      </c>
      <c r="AW24" s="1604">
        <f>+$D$24</f>
        <v>60.000000000000007</v>
      </c>
      <c r="AX24" s="1604">
        <f t="shared" si="92"/>
        <v>47.460890874818112</v>
      </c>
      <c r="AY24" s="3616">
        <f t="shared" ref="AY24:AZ30" si="123">+AY9/AY$61*1000</f>
        <v>60</v>
      </c>
      <c r="AZ24" s="1603">
        <f t="shared" si="123"/>
        <v>40.240717043666052</v>
      </c>
      <c r="BA24" s="1606">
        <f>+$D$24</f>
        <v>60.000000000000007</v>
      </c>
      <c r="BB24" s="1606">
        <f t="shared" si="94"/>
        <v>44.75899670849337</v>
      </c>
      <c r="BC24" s="1522">
        <f>+$D$24</f>
        <v>60.000000000000007</v>
      </c>
      <c r="BD24" s="1522">
        <f t="shared" ref="BD24:BD33" si="124">+BD9/BD$61*1000</f>
        <v>46.133718190439048</v>
      </c>
      <c r="BE24" s="1604">
        <f>+$D$24</f>
        <v>60.000000000000007</v>
      </c>
      <c r="BF24" s="1604">
        <f t="shared" si="96"/>
        <v>46.869518659435322</v>
      </c>
      <c r="BG24" s="26"/>
      <c r="BH24" s="26"/>
      <c r="BI24" s="26"/>
      <c r="BJ24" s="26"/>
    </row>
    <row r="25" spans="2:62" x14ac:dyDescent="0.25">
      <c r="B25" s="1602" t="s">
        <v>1623</v>
      </c>
      <c r="C25" s="91" t="s">
        <v>224</v>
      </c>
      <c r="D25" s="3616">
        <f t="shared" si="78"/>
        <v>0</v>
      </c>
      <c r="E25" s="3616">
        <f t="shared" si="78"/>
        <v>0</v>
      </c>
      <c r="F25" s="1603">
        <f t="shared" si="78"/>
        <v>0</v>
      </c>
      <c r="G25" s="3616">
        <f t="shared" si="78"/>
        <v>0</v>
      </c>
      <c r="H25" s="1603">
        <f t="shared" si="78"/>
        <v>0</v>
      </c>
      <c r="I25" s="1604"/>
      <c r="J25" s="1604"/>
      <c r="K25" s="3616">
        <f t="shared" si="117"/>
        <v>0</v>
      </c>
      <c r="L25" s="1617">
        <f t="shared" si="117"/>
        <v>1.2065359080850031</v>
      </c>
      <c r="M25" s="1606"/>
      <c r="N25" s="1618">
        <f t="shared" si="80"/>
        <v>0.38806249561235873</v>
      </c>
      <c r="O25" s="3616">
        <f t="shared" si="80"/>
        <v>0</v>
      </c>
      <c r="P25" s="1617">
        <f t="shared" si="80"/>
        <v>3.1293202578911328</v>
      </c>
      <c r="Q25" s="1604">
        <f>+$D$25</f>
        <v>0</v>
      </c>
      <c r="R25" s="1620">
        <f t="shared" si="81"/>
        <v>1.1390400490445587</v>
      </c>
      <c r="S25" s="3616">
        <f t="shared" si="81"/>
        <v>0</v>
      </c>
      <c r="T25" s="1617">
        <f>+T10/T$61*1000</f>
        <v>1.245737034288577</v>
      </c>
      <c r="U25" s="1604">
        <f>+$D$25</f>
        <v>0</v>
      </c>
      <c r="V25" s="1620">
        <f t="shared" ref="V25" si="125">+V10/V$61*1000</f>
        <v>1.1613413324403958</v>
      </c>
      <c r="W25" s="3616">
        <f t="shared" ref="W25:W30" si="126">+W10/W$61*1000</f>
        <v>0</v>
      </c>
      <c r="X25" s="1617">
        <f t="shared" si="100"/>
        <v>0.38788099276133814</v>
      </c>
      <c r="Y25" s="1606"/>
      <c r="Z25" s="1606">
        <f t="shared" si="83"/>
        <v>1.6057011649930693</v>
      </c>
      <c r="AA25" s="1522"/>
      <c r="AB25" s="1522">
        <f t="shared" ref="AB25:AB33" si="127">+AB10/AB$61*1000</f>
        <v>1.0274613231886769</v>
      </c>
      <c r="AC25" s="3616"/>
      <c r="AD25" s="1603">
        <f>+AD10/AD$61*1000</f>
        <v>0</v>
      </c>
      <c r="AE25" s="1604"/>
      <c r="AF25" s="1604">
        <f>+AF10/AF$61*1000</f>
        <v>0.86844318546056254</v>
      </c>
      <c r="AG25" s="3616">
        <f t="shared" si="119"/>
        <v>0</v>
      </c>
      <c r="AH25" s="1603">
        <f t="shared" si="119"/>
        <v>2.6825201189008916</v>
      </c>
      <c r="AI25" s="1604"/>
      <c r="AJ25" s="1604">
        <f t="shared" si="110"/>
        <v>1.0992096484510299</v>
      </c>
      <c r="AK25" s="3616">
        <f t="shared" ref="AK25:AK30" si="128">+AK10/AK$61*1000</f>
        <v>0</v>
      </c>
      <c r="AL25" s="1603">
        <f t="shared" si="112"/>
        <v>2.2419866801168262</v>
      </c>
      <c r="AM25" s="1606"/>
      <c r="AN25" s="1606">
        <f t="shared" si="87"/>
        <v>1.6117947089873255</v>
      </c>
      <c r="AO25" s="1604"/>
      <c r="AP25" s="1604">
        <f t="shared" si="88"/>
        <v>1.2300982384823849</v>
      </c>
      <c r="AQ25" s="3616">
        <f t="shared" si="121"/>
        <v>0</v>
      </c>
      <c r="AR25" s="1603">
        <f t="shared" si="121"/>
        <v>1.4049632762074338</v>
      </c>
      <c r="AS25" s="1604"/>
      <c r="AT25" s="1604">
        <f t="shared" si="90"/>
        <v>1.2472447131228039</v>
      </c>
      <c r="AU25" s="3616">
        <f t="shared" ref="AU25" si="129">+AU10/AU$61*1000</f>
        <v>0</v>
      </c>
      <c r="AV25" s="1603">
        <f t="shared" ref="AV25:AV33" si="130">+AV10/AV$61*1000</f>
        <v>1.4388952720478485</v>
      </c>
      <c r="AW25" s="1604"/>
      <c r="AX25" s="1604">
        <f t="shared" si="92"/>
        <v>1.2649237727416356</v>
      </c>
      <c r="AY25" s="3616">
        <f t="shared" si="123"/>
        <v>0</v>
      </c>
      <c r="AZ25" s="1603">
        <f t="shared" si="123"/>
        <v>0</v>
      </c>
      <c r="BA25" s="1606"/>
      <c r="BB25" s="1606">
        <f t="shared" si="94"/>
        <v>0.95311777550917642</v>
      </c>
      <c r="BC25" s="1522"/>
      <c r="BD25" s="1522">
        <f t="shared" si="124"/>
        <v>1.2904505320595885</v>
      </c>
      <c r="BE25" s="1604"/>
      <c r="BF25" s="1620">
        <f t="shared" si="96"/>
        <v>1.1613195117820048</v>
      </c>
      <c r="BG25" s="26"/>
      <c r="BH25" s="26"/>
      <c r="BI25" s="26"/>
      <c r="BJ25" s="26"/>
    </row>
    <row r="26" spans="2:62" x14ac:dyDescent="0.25">
      <c r="B26" s="1602" t="s">
        <v>564</v>
      </c>
      <c r="C26" s="91" t="s">
        <v>224</v>
      </c>
      <c r="D26" s="1411">
        <f t="shared" si="78"/>
        <v>9</v>
      </c>
      <c r="E26" s="1411">
        <f t="shared" si="78"/>
        <v>9.0000000000000018</v>
      </c>
      <c r="F26" s="1603">
        <f t="shared" si="78"/>
        <v>16.03977405835958</v>
      </c>
      <c r="G26" s="1411">
        <f t="shared" si="78"/>
        <v>9</v>
      </c>
      <c r="H26" s="1603">
        <f t="shared" si="78"/>
        <v>15.197324500590563</v>
      </c>
      <c r="I26" s="1604">
        <f>+$D$26</f>
        <v>9</v>
      </c>
      <c r="J26" s="1604">
        <f t="shared" ref="J26:J33" si="131">+J11/J$61*1000</f>
        <v>15.662505138428546</v>
      </c>
      <c r="K26" s="1411">
        <f t="shared" si="117"/>
        <v>9</v>
      </c>
      <c r="L26" s="1603">
        <f t="shared" si="117"/>
        <v>16.709612877800346</v>
      </c>
      <c r="M26" s="1606">
        <f>+$D$26</f>
        <v>9</v>
      </c>
      <c r="N26" s="1606">
        <f t="shared" si="80"/>
        <v>15.999290177143706</v>
      </c>
      <c r="O26" s="1411">
        <f t="shared" si="80"/>
        <v>9.0000000000000036</v>
      </c>
      <c r="P26" s="1617">
        <f t="shared" si="80"/>
        <v>14.021215292582399</v>
      </c>
      <c r="Q26" s="1604">
        <f>+$D$26</f>
        <v>9</v>
      </c>
      <c r="R26" s="1604">
        <f t="shared" si="81"/>
        <v>15.457389354187653</v>
      </c>
      <c r="S26" s="3217">
        <f t="shared" si="81"/>
        <v>9.0000000000000036</v>
      </c>
      <c r="T26" s="1617">
        <f>+T11/T$61*1000</f>
        <v>17.496577571911175</v>
      </c>
      <c r="U26" s="1604">
        <f>+$D$26</f>
        <v>9</v>
      </c>
      <c r="V26" s="1604">
        <f t="shared" ref="V26" si="132">+V11/V$61*1000</f>
        <v>15.883610528449502</v>
      </c>
      <c r="W26" s="3288">
        <f t="shared" si="126"/>
        <v>9</v>
      </c>
      <c r="X26" s="1617">
        <f t="shared" si="100"/>
        <v>12.505818214891422</v>
      </c>
      <c r="Y26" s="1606">
        <f>+$D$26</f>
        <v>9</v>
      </c>
      <c r="Z26" s="1606">
        <f t="shared" si="83"/>
        <v>14.665580327383156</v>
      </c>
      <c r="AA26" s="1522">
        <f>+$D$26</f>
        <v>9</v>
      </c>
      <c r="AB26" s="1522">
        <f t="shared" si="127"/>
        <v>15.298940774888271</v>
      </c>
      <c r="AC26" s="3616">
        <f>+AC11/AC$61*1000</f>
        <v>9.0000000000000018</v>
      </c>
      <c r="AD26" s="1603">
        <f>+AD11/AD$61*1000</f>
        <v>12.934467891416217</v>
      </c>
      <c r="AE26" s="1604">
        <f>+$D$26</f>
        <v>9</v>
      </c>
      <c r="AF26" s="1604">
        <f t="shared" ref="AF26" si="133">+AF11/AF$61*1000</f>
        <v>14.932996027234442</v>
      </c>
      <c r="AG26" s="3616">
        <f t="shared" si="119"/>
        <v>9</v>
      </c>
      <c r="AH26" s="1603">
        <f t="shared" si="119"/>
        <v>15.045205431633331</v>
      </c>
      <c r="AI26" s="1604">
        <f>+$D$26</f>
        <v>9</v>
      </c>
      <c r="AJ26" s="1604">
        <f t="shared" si="110"/>
        <v>14.947270045546492</v>
      </c>
      <c r="AK26" s="3616">
        <f t="shared" si="128"/>
        <v>9</v>
      </c>
      <c r="AL26" s="1603">
        <f t="shared" si="112"/>
        <v>12.847191046841413</v>
      </c>
      <c r="AM26" s="1606">
        <f>+$D$26</f>
        <v>9</v>
      </c>
      <c r="AN26" s="1606">
        <f t="shared" si="87"/>
        <v>13.591232115881759</v>
      </c>
      <c r="AO26" s="1604">
        <f>+$D$26</f>
        <v>9</v>
      </c>
      <c r="AP26" s="1604">
        <f t="shared" si="88"/>
        <v>14.706736353077817</v>
      </c>
      <c r="AQ26" s="3616">
        <f t="shared" si="121"/>
        <v>9</v>
      </c>
      <c r="AR26" s="1603">
        <f t="shared" si="121"/>
        <v>13.418094814155353</v>
      </c>
      <c r="AS26" s="1604">
        <f>+$D$26</f>
        <v>9</v>
      </c>
      <c r="AT26" s="1604">
        <f t="shared" si="90"/>
        <v>14.58037799262347</v>
      </c>
      <c r="AU26" s="3616">
        <f>+AU11/AU$61*1000</f>
        <v>9</v>
      </c>
      <c r="AV26" s="1603">
        <f t="shared" si="130"/>
        <v>14.029228902466524</v>
      </c>
      <c r="AW26" s="1604">
        <f>+$D$26</f>
        <v>9</v>
      </c>
      <c r="AX26" s="1604">
        <f t="shared" si="92"/>
        <v>14.529536514892323</v>
      </c>
      <c r="AY26" s="3616">
        <f t="shared" si="123"/>
        <v>9</v>
      </c>
      <c r="AZ26" s="1603">
        <f t="shared" si="123"/>
        <v>11.222543906155883</v>
      </c>
      <c r="BA26" s="1606">
        <f>+$D$26</f>
        <v>9</v>
      </c>
      <c r="BB26" s="1606">
        <f t="shared" si="94"/>
        <v>12.902339762224125</v>
      </c>
      <c r="BC26" s="1522">
        <f>+$D$26</f>
        <v>9</v>
      </c>
      <c r="BD26" s="1522">
        <f t="shared" si="124"/>
        <v>13.255146950110174</v>
      </c>
      <c r="BE26" s="1604">
        <f>+$D$26</f>
        <v>9</v>
      </c>
      <c r="BF26" s="1604">
        <f t="shared" si="96"/>
        <v>14.258675509185633</v>
      </c>
      <c r="BG26" s="26"/>
      <c r="BH26" s="26"/>
      <c r="BI26" s="26"/>
      <c r="BJ26" s="26"/>
    </row>
    <row r="27" spans="2:62" x14ac:dyDescent="0.25">
      <c r="B27" s="1602" t="s">
        <v>43</v>
      </c>
      <c r="C27" s="91" t="s">
        <v>224</v>
      </c>
      <c r="D27" s="1411">
        <f t="shared" si="78"/>
        <v>6</v>
      </c>
      <c r="E27" s="1411">
        <f t="shared" si="78"/>
        <v>6</v>
      </c>
      <c r="F27" s="1603">
        <f t="shared" si="78"/>
        <v>7.6010002743645737</v>
      </c>
      <c r="G27" s="1411">
        <f t="shared" si="78"/>
        <v>5.9999999999999991</v>
      </c>
      <c r="H27" s="1603">
        <f t="shared" si="78"/>
        <v>6.7425310081831702</v>
      </c>
      <c r="I27" s="1604">
        <f>+$D$27</f>
        <v>6</v>
      </c>
      <c r="J27" s="1620">
        <f t="shared" si="131"/>
        <v>7.2165573485424863</v>
      </c>
      <c r="K27" s="1411">
        <f t="shared" si="117"/>
        <v>6</v>
      </c>
      <c r="L27" s="1603">
        <f t="shared" si="117"/>
        <v>8.879255464273804</v>
      </c>
      <c r="M27" s="1618">
        <f>+$D$27</f>
        <v>6</v>
      </c>
      <c r="N27" s="1618">
        <f t="shared" si="80"/>
        <v>7.7513369401957197</v>
      </c>
      <c r="O27" s="1411">
        <f t="shared" si="80"/>
        <v>6.0000000000000009</v>
      </c>
      <c r="P27" s="1617">
        <f t="shared" si="80"/>
        <v>7.1040019352190988</v>
      </c>
      <c r="Q27" s="1620">
        <f>+$D$27</f>
        <v>6</v>
      </c>
      <c r="R27" s="1620">
        <f t="shared" si="81"/>
        <v>7.5739971566197886</v>
      </c>
      <c r="S27" s="3217">
        <f t="shared" si="81"/>
        <v>6.0000000000000009</v>
      </c>
      <c r="T27" s="1617">
        <f>+T12/T$61*1000</f>
        <v>9.140762926865861</v>
      </c>
      <c r="U27" s="1620">
        <f>+$D$27</f>
        <v>6</v>
      </c>
      <c r="V27" s="1620">
        <f t="shared" ref="V27" si="134">+V12/V$61*1000</f>
        <v>7.9014748953510594</v>
      </c>
      <c r="W27" s="3288">
        <f t="shared" si="126"/>
        <v>5.9999999999999991</v>
      </c>
      <c r="X27" s="1617">
        <f t="shared" si="100"/>
        <v>8.5173315927731075</v>
      </c>
      <c r="Y27" s="1618">
        <f>+$D$27</f>
        <v>6</v>
      </c>
      <c r="Z27" s="1618">
        <f t="shared" si="83"/>
        <v>8.2402557384644908</v>
      </c>
      <c r="AA27" s="1522">
        <f>+$D$27</f>
        <v>6</v>
      </c>
      <c r="AB27" s="1522">
        <f t="shared" si="127"/>
        <v>8.0080749317314766</v>
      </c>
      <c r="AC27" s="3616">
        <f>+AC12/AC$61*1000</f>
        <v>6</v>
      </c>
      <c r="AD27" s="1603">
        <f>+AD12/AD$61*1000</f>
        <v>10.122517100555056</v>
      </c>
      <c r="AE27" s="1604">
        <f>+$D$27</f>
        <v>6</v>
      </c>
      <c r="AF27" s="1620">
        <f t="shared" ref="AF27" si="135">+AF12/AF$61*1000</f>
        <v>8.3353229248497325</v>
      </c>
      <c r="AG27" s="3616">
        <f t="shared" si="119"/>
        <v>6</v>
      </c>
      <c r="AH27" s="1603">
        <f t="shared" si="119"/>
        <v>6.4095851089253539</v>
      </c>
      <c r="AI27" s="1604">
        <f>+$D$27</f>
        <v>6</v>
      </c>
      <c r="AJ27" s="1620">
        <f t="shared" si="110"/>
        <v>8.0903522203355216</v>
      </c>
      <c r="AK27" s="3616">
        <f t="shared" si="128"/>
        <v>6</v>
      </c>
      <c r="AL27" s="1603">
        <f t="shared" si="112"/>
        <v>9.0841391985887885</v>
      </c>
      <c r="AM27" s="1618">
        <f>+$D$27</f>
        <v>6</v>
      </c>
      <c r="AN27" s="1618">
        <f t="shared" si="87"/>
        <v>8.5735616825462184</v>
      </c>
      <c r="AO27" s="1604">
        <f>+$D$27</f>
        <v>6</v>
      </c>
      <c r="AP27" s="1620">
        <f t="shared" si="88"/>
        <v>8.2041761534132487</v>
      </c>
      <c r="AQ27" s="3616">
        <f t="shared" si="121"/>
        <v>6</v>
      </c>
      <c r="AR27" s="1603">
        <f t="shared" si="121"/>
        <v>8.8721344313376367</v>
      </c>
      <c r="AS27" s="1604">
        <f>+$D$27</f>
        <v>6</v>
      </c>
      <c r="AT27" s="1620">
        <f t="shared" si="90"/>
        <v>8.2696731208018761</v>
      </c>
      <c r="AU27" s="3616">
        <f>+AU12/AU$61*1000</f>
        <v>5.9999999999999991</v>
      </c>
      <c r="AV27" s="1603">
        <f t="shared" si="130"/>
        <v>10.128641532530844</v>
      </c>
      <c r="AW27" s="1604">
        <f>+$D$27</f>
        <v>6</v>
      </c>
      <c r="AX27" s="1620">
        <f t="shared" si="92"/>
        <v>8.441156123850849</v>
      </c>
      <c r="AY27" s="3616">
        <f t="shared" si="123"/>
        <v>5.9999999999999991</v>
      </c>
      <c r="AZ27" s="1603">
        <f t="shared" si="123"/>
        <v>8.1025490136208322</v>
      </c>
      <c r="BA27" s="1618">
        <f>+$D$27</f>
        <v>6</v>
      </c>
      <c r="BB27" s="1618">
        <f t="shared" si="94"/>
        <v>9.0468364455390695</v>
      </c>
      <c r="BC27" s="1522">
        <f>+$D$27</f>
        <v>6</v>
      </c>
      <c r="BD27" s="1522">
        <f t="shared" si="124"/>
        <v>8.8044549800714957</v>
      </c>
      <c r="BE27" s="1604">
        <f>+$D$27</f>
        <v>6</v>
      </c>
      <c r="BF27" s="1620">
        <f t="shared" si="96"/>
        <v>8.413422326631574</v>
      </c>
      <c r="BG27" s="26"/>
      <c r="BH27" s="26"/>
      <c r="BI27" s="26"/>
      <c r="BJ27" s="26"/>
    </row>
    <row r="28" spans="2:62" s="2450" customFormat="1" x14ac:dyDescent="0.25">
      <c r="B28" s="1602" t="s">
        <v>1713</v>
      </c>
      <c r="C28" s="91" t="s">
        <v>224</v>
      </c>
      <c r="D28" s="2448">
        <v>0</v>
      </c>
      <c r="E28" s="2452">
        <f t="shared" ref="E28:H30" si="136">+E13/E$61*1000</f>
        <v>0</v>
      </c>
      <c r="F28" s="1603">
        <f t="shared" si="136"/>
        <v>3.4107406860801674</v>
      </c>
      <c r="G28" s="2452">
        <f t="shared" si="136"/>
        <v>0</v>
      </c>
      <c r="H28" s="1603">
        <f t="shared" si="136"/>
        <v>1.798008268848845</v>
      </c>
      <c r="I28" s="1604">
        <f>+$D$27</f>
        <v>6</v>
      </c>
      <c r="J28" s="1620">
        <f t="shared" si="131"/>
        <v>2.6885208076605198</v>
      </c>
      <c r="K28" s="2452">
        <f t="shared" si="117"/>
        <v>0</v>
      </c>
      <c r="L28" s="1603">
        <f t="shared" si="117"/>
        <v>6.3045793541544963</v>
      </c>
      <c r="M28" s="1618">
        <f>+$D$28</f>
        <v>0</v>
      </c>
      <c r="N28" s="1618">
        <f t="shared" si="80"/>
        <v>3.8515667596538425</v>
      </c>
      <c r="O28" s="2452">
        <f t="shared" si="80"/>
        <v>0</v>
      </c>
      <c r="P28" s="1617">
        <f t="shared" si="80"/>
        <v>1.0105265910695729</v>
      </c>
      <c r="Q28" s="1620">
        <f>+$D$28</f>
        <v>0</v>
      </c>
      <c r="R28" s="1620">
        <f t="shared" si="81"/>
        <v>3.0732534523957833</v>
      </c>
      <c r="S28" s="3217">
        <f t="shared" si="81"/>
        <v>0</v>
      </c>
      <c r="T28" s="1617">
        <f>+T13/T$61*1000</f>
        <v>2.0896234123550328</v>
      </c>
      <c r="U28" s="1620">
        <f>+$D$28</f>
        <v>0</v>
      </c>
      <c r="V28" s="1620">
        <f t="shared" ref="V28" si="137">+V13/V$61*1000</f>
        <v>2.8676598994998037</v>
      </c>
      <c r="W28" s="3288">
        <f t="shared" si="126"/>
        <v>0</v>
      </c>
      <c r="X28" s="1617">
        <f t="shared" si="100"/>
        <v>1.1235173583431863</v>
      </c>
      <c r="Y28" s="1618"/>
      <c r="Z28" s="1618">
        <f t="shared" si="83"/>
        <v>1.4029460188531526</v>
      </c>
      <c r="AA28" s="1522"/>
      <c r="AB28" s="1522">
        <f t="shared" si="127"/>
        <v>2.5657623004021484</v>
      </c>
      <c r="AC28" s="3616">
        <f>+AC13/AC$61*1000</f>
        <v>0</v>
      </c>
      <c r="AD28" s="1603">
        <f>+AD13/AD$61*1000</f>
        <v>0</v>
      </c>
      <c r="AE28" s="1604">
        <f>+$D$28</f>
        <v>0</v>
      </c>
      <c r="AF28" s="1620">
        <f t="shared" ref="AF28" si="138">+AF13/AF$61*1000</f>
        <v>2.1686643915516863</v>
      </c>
      <c r="AG28" s="3616">
        <f t="shared" si="119"/>
        <v>0</v>
      </c>
      <c r="AH28" s="1603">
        <f t="shared" si="119"/>
        <v>1.6406604531015465</v>
      </c>
      <c r="AI28" s="1604">
        <f>+$D$28</f>
        <v>0</v>
      </c>
      <c r="AJ28" s="1620">
        <f t="shared" si="110"/>
        <v>2.1014976694159833</v>
      </c>
      <c r="AK28" s="3616">
        <f t="shared" si="128"/>
        <v>0</v>
      </c>
      <c r="AL28" s="1603">
        <f t="shared" si="112"/>
        <v>5.0754987033975745</v>
      </c>
      <c r="AM28" s="1618"/>
      <c r="AN28" s="1618">
        <f t="shared" si="87"/>
        <v>2.2092402585849</v>
      </c>
      <c r="AO28" s="1604">
        <f>+$D$28</f>
        <v>0</v>
      </c>
      <c r="AP28" s="1620">
        <f t="shared" si="88"/>
        <v>2.4421264984030553</v>
      </c>
      <c r="AQ28" s="3616">
        <f t="shared" si="121"/>
        <v>0</v>
      </c>
      <c r="AR28" s="1603">
        <f t="shared" si="121"/>
        <v>2.7681949699532606</v>
      </c>
      <c r="AS28" s="1604">
        <f>+$D$28</f>
        <v>0</v>
      </c>
      <c r="AT28" s="1620">
        <f t="shared" si="90"/>
        <v>2.4740992978329035</v>
      </c>
      <c r="AU28" s="3616">
        <f>+AU13/AU$61*1000</f>
        <v>0</v>
      </c>
      <c r="AV28" s="1603">
        <f t="shared" si="130"/>
        <v>2.2039795118494099</v>
      </c>
      <c r="AW28" s="1604">
        <f>+$D$28</f>
        <v>0</v>
      </c>
      <c r="AX28" s="1620">
        <f t="shared" si="92"/>
        <v>2.4491817404440104</v>
      </c>
      <c r="AY28" s="3616">
        <f t="shared" si="123"/>
        <v>0</v>
      </c>
      <c r="AZ28" s="1603">
        <f t="shared" si="123"/>
        <v>2.6980738750392081</v>
      </c>
      <c r="BA28" s="1618"/>
      <c r="BB28" s="1618">
        <f t="shared" si="94"/>
        <v>2.5526343497786588</v>
      </c>
      <c r="BC28" s="1522"/>
      <c r="BD28" s="1522">
        <f t="shared" si="124"/>
        <v>2.376769567701305</v>
      </c>
      <c r="BE28" s="1604">
        <f>+$D$28</f>
        <v>0</v>
      </c>
      <c r="BF28" s="1620">
        <f t="shared" si="96"/>
        <v>2.46956738440065</v>
      </c>
      <c r="BG28" s="26"/>
      <c r="BH28" s="26"/>
      <c r="BI28" s="26"/>
      <c r="BJ28" s="26"/>
    </row>
    <row r="29" spans="2:62" x14ac:dyDescent="0.25">
      <c r="B29" s="1602" t="s">
        <v>44</v>
      </c>
      <c r="C29" s="91" t="s">
        <v>224</v>
      </c>
      <c r="D29" s="1411">
        <f>+D14/D$61*1000</f>
        <v>29.655435636702443</v>
      </c>
      <c r="E29" s="1411">
        <f t="shared" si="136"/>
        <v>29.655435636702439</v>
      </c>
      <c r="F29" s="1603">
        <f t="shared" si="136"/>
        <v>22.024103912330478</v>
      </c>
      <c r="G29" s="1411">
        <f t="shared" si="136"/>
        <v>29.655435636702446</v>
      </c>
      <c r="H29" s="1603">
        <f t="shared" si="136"/>
        <v>22.974118009551688</v>
      </c>
      <c r="I29" s="1604">
        <f>+$D$29</f>
        <v>29.655435636702443</v>
      </c>
      <c r="J29" s="1620">
        <f t="shared" si="131"/>
        <v>22.449542787658572</v>
      </c>
      <c r="K29" s="1411">
        <f t="shared" si="117"/>
        <v>29.655435636702439</v>
      </c>
      <c r="L29" s="1603">
        <f t="shared" si="117"/>
        <v>0.97917361384787949</v>
      </c>
      <c r="M29" s="1618">
        <f>+$D$29</f>
        <v>29.655435636702443</v>
      </c>
      <c r="N29" s="1618">
        <f t="shared" si="80"/>
        <v>15.543950515206591</v>
      </c>
      <c r="O29" s="1411">
        <f t="shared" si="80"/>
        <v>29.655435636702443</v>
      </c>
      <c r="P29" s="1617">
        <f t="shared" si="80"/>
        <v>3.4574983526493277</v>
      </c>
      <c r="Q29" s="1620">
        <f>+$D$29</f>
        <v>29.655435636702443</v>
      </c>
      <c r="R29" s="1620">
        <f>+R14/R$61*1000</f>
        <v>12.232822900863873</v>
      </c>
      <c r="S29" s="3217">
        <f t="shared" ref="S29" si="139">+S14/S$61*1000</f>
        <v>29.655435636702443</v>
      </c>
      <c r="T29" s="1617">
        <f t="shared" ref="T29" si="140">+T14/T$61*1000</f>
        <v>5.8589825677185328</v>
      </c>
      <c r="U29" s="1620">
        <f>+$D$29</f>
        <v>29.655435636702443</v>
      </c>
      <c r="V29" s="1620">
        <f>+V14/V$61*1000</f>
        <v>10.900593885543485</v>
      </c>
      <c r="W29" s="3288">
        <f t="shared" si="126"/>
        <v>29.655435636702439</v>
      </c>
      <c r="X29" s="1617">
        <f t="shared" si="100"/>
        <v>10.432661184615302</v>
      </c>
      <c r="Y29" s="1618">
        <f>+$D$29</f>
        <v>29.655435636702443</v>
      </c>
      <c r="Z29" s="1618">
        <f t="shared" si="83"/>
        <v>6.5471340747246236</v>
      </c>
      <c r="AA29" s="1522">
        <f>+$D$29</f>
        <v>29.655435636702443</v>
      </c>
      <c r="AB29" s="1522">
        <f t="shared" si="127"/>
        <v>10.819598350135111</v>
      </c>
      <c r="AC29" s="3616">
        <f t="shared" ref="AC29:AD29" si="141">+AC14/AC$61*1000</f>
        <v>29.655435636702439</v>
      </c>
      <c r="AD29" s="1603">
        <f t="shared" si="141"/>
        <v>9.1236676739452012</v>
      </c>
      <c r="AE29" s="1604">
        <f>+$D$29</f>
        <v>29.655435636702443</v>
      </c>
      <c r="AF29" s="1620">
        <f t="shared" ref="AF29:AH29" si="142">+AF14/AF$61*1000</f>
        <v>10.557122545199944</v>
      </c>
      <c r="AG29" s="3616">
        <f t="shared" si="142"/>
        <v>29.655435636702439</v>
      </c>
      <c r="AH29" s="1603">
        <f t="shared" si="142"/>
        <v>10.037297501953486</v>
      </c>
      <c r="AI29" s="1604">
        <f>+$D$29</f>
        <v>29.655435636702443</v>
      </c>
      <c r="AJ29" s="1620">
        <f t="shared" ref="AJ29" si="143">+AJ14/AJ$61*1000</f>
        <v>10.490996250116993</v>
      </c>
      <c r="AK29" s="3616">
        <f t="shared" si="128"/>
        <v>29.655435636702439</v>
      </c>
      <c r="AL29" s="1603">
        <f t="shared" si="112"/>
        <v>9.0603725553366683</v>
      </c>
      <c r="AM29" s="1618">
        <f>+$D$29</f>
        <v>29.655435636702443</v>
      </c>
      <c r="AN29" s="1618">
        <f t="shared" si="87"/>
        <v>9.3995192525738123</v>
      </c>
      <c r="AO29" s="1604">
        <f>+$D$29</f>
        <v>29.655435636702443</v>
      </c>
      <c r="AP29" s="1620">
        <f t="shared" si="88"/>
        <v>10.327138985675571</v>
      </c>
      <c r="AQ29" s="3616">
        <f t="shared" si="121"/>
        <v>29.655435636702439</v>
      </c>
      <c r="AR29" s="1603">
        <f t="shared" si="121"/>
        <v>3.7308034720676608</v>
      </c>
      <c r="AS29" s="1604">
        <f>+$D$29</f>
        <v>29.655435636702443</v>
      </c>
      <c r="AT29" s="1620">
        <f t="shared" si="90"/>
        <v>9.6803321621090763</v>
      </c>
      <c r="AU29" s="3616">
        <f>+AU14/AU$61*1000</f>
        <v>29.655435636702439</v>
      </c>
      <c r="AV29" s="1603">
        <f t="shared" si="130"/>
        <v>11.543376249637591</v>
      </c>
      <c r="AW29" s="1604">
        <f>+$D$29</f>
        <v>29.655435636702443</v>
      </c>
      <c r="AX29" s="1620">
        <f t="shared" si="92"/>
        <v>9.8521911312697679</v>
      </c>
      <c r="AY29" s="3616">
        <f t="shared" si="123"/>
        <v>29.655435636702443</v>
      </c>
      <c r="AZ29" s="1603">
        <f t="shared" si="123"/>
        <v>13.579194852563587</v>
      </c>
      <c r="BA29" s="1618">
        <f>+$D$29</f>
        <v>29.655435636702443</v>
      </c>
      <c r="BB29" s="1618">
        <f t="shared" si="94"/>
        <v>9.6437939764055294</v>
      </c>
      <c r="BC29" s="1522">
        <f>+$D$29</f>
        <v>29.655435636702443</v>
      </c>
      <c r="BD29" s="1522">
        <f t="shared" si="124"/>
        <v>9.5186918789165222</v>
      </c>
      <c r="BE29" s="1604">
        <f>+$D$29</f>
        <v>29.655435636702443</v>
      </c>
      <c r="BF29" s="1620">
        <f t="shared" si="96"/>
        <v>10.157453372726042</v>
      </c>
      <c r="BG29" s="26"/>
      <c r="BH29" s="26"/>
      <c r="BI29" s="26"/>
      <c r="BJ29" s="26"/>
    </row>
    <row r="30" spans="2:62" ht="15" customHeight="1" x14ac:dyDescent="0.25">
      <c r="B30" s="1602" t="s">
        <v>615</v>
      </c>
      <c r="C30" s="91" t="s">
        <v>224</v>
      </c>
      <c r="D30" s="1411">
        <f>+D15/D$61*1000</f>
        <v>15.000000000000002</v>
      </c>
      <c r="E30" s="1411">
        <f t="shared" si="136"/>
        <v>15.000000000000002</v>
      </c>
      <c r="F30" s="1603">
        <f t="shared" si="136"/>
        <v>1.4160397740583595</v>
      </c>
      <c r="G30" s="1411">
        <f t="shared" si="136"/>
        <v>15</v>
      </c>
      <c r="H30" s="1603">
        <f t="shared" si="136"/>
        <v>24.50508396240949</v>
      </c>
      <c r="I30" s="1604">
        <f>+$D$30</f>
        <v>15.000000000000002</v>
      </c>
      <c r="J30" s="1604">
        <f t="shared" si="131"/>
        <v>11.755862120510882</v>
      </c>
      <c r="K30" s="1411">
        <f t="shared" si="117"/>
        <v>15</v>
      </c>
      <c r="L30" s="1603">
        <f t="shared" si="117"/>
        <v>13.905477915542487</v>
      </c>
      <c r="M30" s="1606">
        <f>+$D$30</f>
        <v>15.000000000000002</v>
      </c>
      <c r="N30" s="1606">
        <f t="shared" si="80"/>
        <v>12.447250801475807</v>
      </c>
      <c r="O30" s="1411">
        <f t="shared" si="80"/>
        <v>15.000000000000004</v>
      </c>
      <c r="P30" s="1617">
        <f t="shared" si="80"/>
        <v>23.659831776425445</v>
      </c>
      <c r="Q30" s="1604">
        <f>+$D$30</f>
        <v>15.000000000000002</v>
      </c>
      <c r="R30" s="1604">
        <f>+R15/R$61*1000</f>
        <v>15.518978219487142</v>
      </c>
      <c r="S30" s="3217">
        <f t="shared" ref="S30" si="144">+S15/S$61*1000</f>
        <v>15.000000000000004</v>
      </c>
      <c r="T30" s="1617">
        <f t="shared" ref="T30:T31" si="145">+T15/T$61*1000</f>
        <v>22.664377010927659</v>
      </c>
      <c r="U30" s="1604">
        <f>+$D$30</f>
        <v>15.000000000000002</v>
      </c>
      <c r="V30" s="1604">
        <f>+V15/V$61*1000</f>
        <v>17.012474620156272</v>
      </c>
      <c r="W30" s="3288">
        <f t="shared" si="126"/>
        <v>15.000000000000002</v>
      </c>
      <c r="X30" s="1617">
        <f t="shared" si="100"/>
        <v>17.002562689593553</v>
      </c>
      <c r="Y30" s="1606">
        <f>+$D$30</f>
        <v>15.000000000000002</v>
      </c>
      <c r="Z30" s="1606">
        <f t="shared" si="83"/>
        <v>21.137764045696791</v>
      </c>
      <c r="AA30" s="1522">
        <f>+$D$30</f>
        <v>15.000000000000002</v>
      </c>
      <c r="AB30" s="1522">
        <f t="shared" si="127"/>
        <v>17.010758941552776</v>
      </c>
      <c r="AC30" s="3616">
        <f t="shared" ref="AC30:AD31" si="146">+AC15/AC$61*1000</f>
        <v>15</v>
      </c>
      <c r="AD30" s="1603">
        <f t="shared" si="146"/>
        <v>16.381130596401611</v>
      </c>
      <c r="AE30" s="1604">
        <f>+$D$30</f>
        <v>15.000000000000002</v>
      </c>
      <c r="AF30" s="1604">
        <f t="shared" ref="AF30:AH31" si="147">+AF15/AF$61*1000</f>
        <v>16.913312619587053</v>
      </c>
      <c r="AG30" s="3616">
        <f t="shared" si="147"/>
        <v>15</v>
      </c>
      <c r="AH30" s="1603">
        <f t="shared" si="147"/>
        <v>13.799270161192876</v>
      </c>
      <c r="AI30" s="1604">
        <f>+$D$30</f>
        <v>15.000000000000002</v>
      </c>
      <c r="AJ30" s="1604">
        <f t="shared" ref="AJ30:AJ31" si="148">+AJ15/AJ$61*1000</f>
        <v>16.517179164341066</v>
      </c>
      <c r="AK30" s="3616">
        <f t="shared" si="128"/>
        <v>15</v>
      </c>
      <c r="AL30" s="1603">
        <f t="shared" si="112"/>
        <v>13.517938534179075</v>
      </c>
      <c r="AM30" s="1606">
        <f>+$D$30</f>
        <v>15.000000000000002</v>
      </c>
      <c r="AN30" s="1606">
        <f t="shared" si="87"/>
        <v>14.59685944243067</v>
      </c>
      <c r="AO30" s="1604">
        <f>+$D$30</f>
        <v>15.000000000000002</v>
      </c>
      <c r="AP30" s="1604">
        <f t="shared" si="88"/>
        <v>16.173659504452189</v>
      </c>
      <c r="AQ30" s="3616">
        <f t="shared" si="121"/>
        <v>15</v>
      </c>
      <c r="AR30" s="1603">
        <f t="shared" si="121"/>
        <v>13.559982194524816</v>
      </c>
      <c r="AS30" s="1604">
        <f>+$D$30</f>
        <v>15.000000000000002</v>
      </c>
      <c r="AT30" s="1604">
        <f t="shared" si="90"/>
        <v>15.917374129765829</v>
      </c>
      <c r="AU30" s="3616">
        <f>+AU15/AU$61*1000</f>
        <v>14.999999999999998</v>
      </c>
      <c r="AV30" s="1603">
        <f t="shared" si="130"/>
        <v>21.00357576213128</v>
      </c>
      <c r="AW30" s="1604">
        <f>+$D$30</f>
        <v>15.000000000000002</v>
      </c>
      <c r="AX30" s="1604">
        <f t="shared" si="92"/>
        <v>16.386557535211338</v>
      </c>
      <c r="AY30" s="3616">
        <f t="shared" si="123"/>
        <v>15</v>
      </c>
      <c r="AZ30" s="1603">
        <f t="shared" si="123"/>
        <v>22.822596091123838</v>
      </c>
      <c r="BA30" s="1606">
        <f>+$D$30</f>
        <v>15.000000000000002</v>
      </c>
      <c r="BB30" s="1606">
        <f t="shared" si="94"/>
        <v>19.153913413690653</v>
      </c>
      <c r="BC30" s="1522">
        <f>+$D$30</f>
        <v>15.000000000000002</v>
      </c>
      <c r="BD30" s="1522">
        <f t="shared" si="124"/>
        <v>16.820077963044604</v>
      </c>
      <c r="BE30" s="1604">
        <f>+$D$30</f>
        <v>15.000000000000002</v>
      </c>
      <c r="BF30" s="1604">
        <f t="shared" si="96"/>
        <v>16.913704729739713</v>
      </c>
      <c r="BG30" s="26"/>
      <c r="BH30" s="26"/>
      <c r="BI30" s="26"/>
      <c r="BJ30" s="26"/>
    </row>
    <row r="31" spans="2:62" s="5797" customFormat="1" ht="15" customHeight="1" x14ac:dyDescent="0.25">
      <c r="B31" s="5827" t="s">
        <v>1943</v>
      </c>
      <c r="C31" s="91" t="s">
        <v>224</v>
      </c>
      <c r="D31" s="5720"/>
      <c r="E31" s="5720"/>
      <c r="F31" s="1603">
        <f>+F16/F$61*1000</f>
        <v>0</v>
      </c>
      <c r="G31" s="5720"/>
      <c r="H31" s="1603">
        <f>+H16/H$61*1000</f>
        <v>0</v>
      </c>
      <c r="I31" s="5829"/>
      <c r="J31" s="1604">
        <f t="shared" si="131"/>
        <v>0</v>
      </c>
      <c r="K31" s="5720"/>
      <c r="L31" s="1603">
        <f>+L16/L$61*1000</f>
        <v>0</v>
      </c>
      <c r="M31" s="5830"/>
      <c r="N31" s="1606">
        <f>+N16/N$61*1000</f>
        <v>0</v>
      </c>
      <c r="O31" s="5720"/>
      <c r="P31" s="1617">
        <f>+P16/P$61*1000</f>
        <v>0</v>
      </c>
      <c r="Q31" s="5829"/>
      <c r="R31" s="1604">
        <f>+R16/R$61*1000</f>
        <v>0</v>
      </c>
      <c r="S31" s="5720"/>
      <c r="T31" s="1617">
        <f t="shared" si="145"/>
        <v>0</v>
      </c>
      <c r="U31" s="5829"/>
      <c r="V31" s="1604">
        <f>+V16/V$61*1000</f>
        <v>0</v>
      </c>
      <c r="W31" s="5720"/>
      <c r="X31" s="1617">
        <f t="shared" si="100"/>
        <v>0</v>
      </c>
      <c r="Y31" s="5830"/>
      <c r="Z31" s="1606">
        <f t="shared" si="83"/>
        <v>0</v>
      </c>
      <c r="AA31" s="5833"/>
      <c r="AB31" s="1522">
        <f t="shared" si="127"/>
        <v>0</v>
      </c>
      <c r="AC31" s="5720"/>
      <c r="AD31" s="1603">
        <f t="shared" si="146"/>
        <v>0</v>
      </c>
      <c r="AE31" s="5829"/>
      <c r="AF31" s="1604">
        <f t="shared" si="147"/>
        <v>0</v>
      </c>
      <c r="AG31" s="5720"/>
      <c r="AH31" s="1603">
        <f t="shared" si="147"/>
        <v>0</v>
      </c>
      <c r="AI31" s="5829"/>
      <c r="AJ31" s="1604">
        <f t="shared" si="148"/>
        <v>0</v>
      </c>
      <c r="AK31" s="5720"/>
      <c r="AL31" s="1603">
        <f t="shared" si="112"/>
        <v>0</v>
      </c>
      <c r="AM31" s="5830"/>
      <c r="AN31" s="1606">
        <f t="shared" si="87"/>
        <v>0</v>
      </c>
      <c r="AO31" s="5829"/>
      <c r="AP31" s="1604">
        <f t="shared" si="88"/>
        <v>0</v>
      </c>
      <c r="AQ31" s="5720"/>
      <c r="AR31" s="1603">
        <f>+AR16/AR$61*1000</f>
        <v>0</v>
      </c>
      <c r="AS31" s="5829"/>
      <c r="AT31" s="1604">
        <f t="shared" si="90"/>
        <v>0</v>
      </c>
      <c r="AU31" s="5720"/>
      <c r="AV31" s="1617">
        <f t="shared" si="130"/>
        <v>2.0563316760982313</v>
      </c>
      <c r="AW31" s="5829"/>
      <c r="AX31" s="1604">
        <f t="shared" si="92"/>
        <v>0.1896890387470816</v>
      </c>
      <c r="AY31" s="5720"/>
      <c r="AZ31" s="1617">
        <f>+AZ16/AZ$61*1000</f>
        <v>1.8375770630411068</v>
      </c>
      <c r="BA31" s="5830"/>
      <c r="BB31" s="1606">
        <f t="shared" si="94"/>
        <v>1.3074468620817521</v>
      </c>
      <c r="BC31" s="5833"/>
      <c r="BD31" s="1522">
        <f t="shared" si="124"/>
        <v>0.63785509165146848</v>
      </c>
      <c r="BE31" s="5829"/>
      <c r="BF31" s="1604">
        <f t="shared" si="96"/>
        <v>0.32466019240890814</v>
      </c>
      <c r="BG31" s="26"/>
      <c r="BH31" s="26"/>
      <c r="BI31" s="26"/>
      <c r="BJ31" s="26"/>
    </row>
    <row r="32" spans="2:62" x14ac:dyDescent="0.25">
      <c r="B32" s="1602" t="s">
        <v>101</v>
      </c>
      <c r="C32" s="91" t="s">
        <v>224</v>
      </c>
      <c r="D32" s="227">
        <f>+D17/D$61*1000</f>
        <v>162.06594873427889</v>
      </c>
      <c r="E32" s="1411">
        <f>+E17/E$61*1000</f>
        <v>162.79630694029672</v>
      </c>
      <c r="F32" s="1603">
        <f>+F17/F$61*1000</f>
        <v>179.06395606111877</v>
      </c>
      <c r="G32" s="1411">
        <f>+G17/G$61*1000</f>
        <v>167.21938876846852</v>
      </c>
      <c r="H32" s="1603">
        <f>+H17/H$61*1000</f>
        <v>181.60722538900015</v>
      </c>
      <c r="I32" s="1604">
        <f>+$D$32</f>
        <v>162.06594873427889</v>
      </c>
      <c r="J32" s="1604">
        <f t="shared" si="131"/>
        <v>180.20289246814175</v>
      </c>
      <c r="K32" s="1411">
        <f>+K17/K$61*1000</f>
        <v>167.28399226248655</v>
      </c>
      <c r="L32" s="1603">
        <f>+L17/L$61*1000</f>
        <v>194.3220056385849</v>
      </c>
      <c r="M32" s="1606">
        <f>+$D$32</f>
        <v>162.06594873427889</v>
      </c>
      <c r="N32" s="1606">
        <f>+N17/N$61*1000</f>
        <v>184.74407375917502</v>
      </c>
      <c r="O32" s="1411">
        <f>+O17/O$61*1000</f>
        <v>161.19582713165684</v>
      </c>
      <c r="P32" s="1617">
        <f>+P17/P$61*1000</f>
        <v>171.56737341240617</v>
      </c>
      <c r="Q32" s="1604">
        <f>+$D$32</f>
        <v>162.06594873427889</v>
      </c>
      <c r="R32" s="1604">
        <f>+R17/R$61*1000</f>
        <v>181.13426868177882</v>
      </c>
      <c r="S32" s="3217">
        <f t="shared" ref="S32" si="149">+S17/S$61*1000</f>
        <v>161.19582713165684</v>
      </c>
      <c r="T32" s="1617">
        <f t="shared" ref="T32" si="150">+T17/T$61*1000</f>
        <v>166.52423293407236</v>
      </c>
      <c r="U32" s="1604">
        <f>+$D$32</f>
        <v>162.06594873427889</v>
      </c>
      <c r="V32" s="1604">
        <f>+V17/V$61*1000</f>
        <v>178.08055027644852</v>
      </c>
      <c r="W32" s="3288">
        <f>+W17/W$61*1000</f>
        <v>160.94433442888177</v>
      </c>
      <c r="X32" s="1617">
        <f t="shared" si="100"/>
        <v>180.0704070877895</v>
      </c>
      <c r="Y32" s="1606">
        <f>+$D$32</f>
        <v>162.06594873427889</v>
      </c>
      <c r="Z32" s="1606">
        <f t="shared" si="83"/>
        <v>172.71031070008925</v>
      </c>
      <c r="AA32" s="1522">
        <f>+$D$32</f>
        <v>162.06594873427889</v>
      </c>
      <c r="AB32" s="1522">
        <f t="shared" si="127"/>
        <v>178.42497911739267</v>
      </c>
      <c r="AC32" s="3616">
        <f t="shared" ref="AC32:AD32" si="151">+AC17/AC$61*1000</f>
        <v>163.07721516676546</v>
      </c>
      <c r="AD32" s="1603">
        <f t="shared" si="151"/>
        <v>187.24760086482658</v>
      </c>
      <c r="AE32" s="1604">
        <f>+$D$32</f>
        <v>162.06594873427889</v>
      </c>
      <c r="AF32" s="1604">
        <f t="shared" ref="AF32:AH32" si="152">+AF17/AF$61*1000</f>
        <v>179.79043867143457</v>
      </c>
      <c r="AG32" s="3616">
        <f t="shared" si="152"/>
        <v>161.16075824447989</v>
      </c>
      <c r="AH32" s="1603">
        <f t="shared" si="152"/>
        <v>179.15152882165134</v>
      </c>
      <c r="AI32" s="1604">
        <f>+$D$32</f>
        <v>162.06594873427889</v>
      </c>
      <c r="AJ32" s="1604">
        <f t="shared" ref="AJ32" si="153">+AJ17/AJ$61*1000</f>
        <v>179.70916374671313</v>
      </c>
      <c r="AK32" s="3616">
        <f>+AK17/AK$61*1000</f>
        <v>161.46666884921322</v>
      </c>
      <c r="AL32" s="1603">
        <f t="shared" si="112"/>
        <v>179.25594562192023</v>
      </c>
      <c r="AM32" s="1606">
        <f>+$D$32</f>
        <v>162.06594873427889</v>
      </c>
      <c r="AN32" s="1606">
        <f t="shared" si="87"/>
        <v>181.97842567428489</v>
      </c>
      <c r="AO32" s="1604">
        <f>+$D$32</f>
        <v>162.06594873427889</v>
      </c>
      <c r="AP32" s="1604">
        <f t="shared" si="88"/>
        <v>179.65725416182735</v>
      </c>
      <c r="AQ32" s="3616">
        <f>+AQ17/AQ$61*1000</f>
        <v>159.86178234671956</v>
      </c>
      <c r="AR32" s="1603">
        <f>+AR17/AR$61*1000</f>
        <v>178.48041397729801</v>
      </c>
      <c r="AS32" s="1604">
        <f>+$D$32</f>
        <v>162.06594873427889</v>
      </c>
      <c r="AT32" s="1604">
        <f t="shared" si="90"/>
        <v>179.54185853647891</v>
      </c>
      <c r="AU32" s="3616">
        <f>+AU17/AU$61*1000</f>
        <v>160.86981866017214</v>
      </c>
      <c r="AV32" s="1603">
        <f t="shared" si="130"/>
        <v>162.84214030302704</v>
      </c>
      <c r="AW32" s="1604">
        <f>+$D$32</f>
        <v>162.06594873427889</v>
      </c>
      <c r="AX32" s="1604">
        <f t="shared" si="92"/>
        <v>178.00137091190405</v>
      </c>
      <c r="AY32" s="3616">
        <f>+AY17/AY$61*1000</f>
        <v>159.90023356518947</v>
      </c>
      <c r="AZ32" s="1603">
        <f>+AZ17/AZ$61*1000</f>
        <v>175.08889487227174</v>
      </c>
      <c r="BA32" s="1606">
        <f>+$D$32</f>
        <v>162.06594873427889</v>
      </c>
      <c r="BB32" s="1606">
        <f t="shared" si="94"/>
        <v>172.02814489953806</v>
      </c>
      <c r="BC32" s="1522">
        <f>+$D$32</f>
        <v>162.06594873427889</v>
      </c>
      <c r="BD32" s="1522">
        <f t="shared" si="124"/>
        <v>177.12405075504086</v>
      </c>
      <c r="BE32" s="1604">
        <f>+$D$32</f>
        <v>162.06594873427889</v>
      </c>
      <c r="BF32" s="1604">
        <f t="shared" si="96"/>
        <v>177.76282299767306</v>
      </c>
      <c r="BG32" s="26"/>
      <c r="BH32" s="26"/>
      <c r="BI32" s="26"/>
      <c r="BJ32" s="26"/>
    </row>
    <row r="33" spans="2:62" x14ac:dyDescent="0.25">
      <c r="B33" s="1602" t="s">
        <v>1411</v>
      </c>
      <c r="C33" s="91" t="s">
        <v>224</v>
      </c>
      <c r="D33" s="1411"/>
      <c r="E33" s="1603"/>
      <c r="F33" s="1603">
        <f>+F18/F$61*1000</f>
        <v>1.0724418877059636</v>
      </c>
      <c r="G33" s="1603"/>
      <c r="H33" s="1603">
        <f>+H18/H$61*1000</f>
        <v>0</v>
      </c>
      <c r="I33" s="1604"/>
      <c r="J33" s="1604">
        <f t="shared" si="131"/>
        <v>0.59217694017000655</v>
      </c>
      <c r="K33" s="1603"/>
      <c r="L33" s="1603">
        <f>+L18/L$61*1000</f>
        <v>2.4797647558128961</v>
      </c>
      <c r="M33" s="1606"/>
      <c r="N33" s="1606">
        <f>+N18/N$61*1000</f>
        <v>1.1992886170934705</v>
      </c>
      <c r="O33" s="1603"/>
      <c r="P33" s="1617">
        <f>+P18/P$61*1000</f>
        <v>2.7623809708386631</v>
      </c>
      <c r="Q33" s="1604">
        <f>+$D$33</f>
        <v>0</v>
      </c>
      <c r="R33" s="1604">
        <f>+R18/R$61*1000</f>
        <v>1.6275034634887755</v>
      </c>
      <c r="S33" s="1603"/>
      <c r="T33" s="1617">
        <f>+T18/T$61*1000</f>
        <v>2.2262526354705536</v>
      </c>
      <c r="U33" s="1604">
        <f>+$D$33</f>
        <v>0</v>
      </c>
      <c r="V33" s="1604">
        <f>+V18/V$61*1000</f>
        <v>1.752651094762989</v>
      </c>
      <c r="W33" s="1603"/>
      <c r="X33" s="1617">
        <f t="shared" si="100"/>
        <v>1.5408238057277985</v>
      </c>
      <c r="Y33" s="1606"/>
      <c r="Z33" s="1606">
        <f t="shared" si="83"/>
        <v>2.1832597938071605</v>
      </c>
      <c r="AA33" s="1522"/>
      <c r="AB33" s="1522">
        <f t="shared" si="127"/>
        <v>1.7159854275517064</v>
      </c>
      <c r="AC33" s="1603"/>
      <c r="AD33" s="1603">
        <f>+AD18/AD$61*1000</f>
        <v>0.45264315788142773</v>
      </c>
      <c r="AE33" s="1604"/>
      <c r="AF33" s="1604">
        <f>+AF18/AF$61*1000</f>
        <v>1.5204604666580828</v>
      </c>
      <c r="AG33" s="1603"/>
      <c r="AH33" s="1603">
        <f>+AH18/AH$61*1000</f>
        <v>0</v>
      </c>
      <c r="AI33" s="1604"/>
      <c r="AJ33" s="1604">
        <f>+AJ18/AJ$61*1000</f>
        <v>1.3270445880149939</v>
      </c>
      <c r="AK33" s="1603">
        <v>0</v>
      </c>
      <c r="AL33" s="1603">
        <f t="shared" si="112"/>
        <v>0</v>
      </c>
      <c r="AM33" s="1606"/>
      <c r="AN33" s="1606">
        <f t="shared" si="87"/>
        <v>0.15612080785104507</v>
      </c>
      <c r="AO33" s="1604"/>
      <c r="AP33" s="1604">
        <f t="shared" si="88"/>
        <v>1.1750508130081301</v>
      </c>
      <c r="AQ33" s="1603">
        <v>0</v>
      </c>
      <c r="AR33" s="1603">
        <f>+AR18/AR$61*1000</f>
        <v>1.3632316937458266</v>
      </c>
      <c r="AS33" s="1604"/>
      <c r="AT33" s="1604">
        <f t="shared" si="90"/>
        <v>1.1935029789834355</v>
      </c>
      <c r="AU33" s="1603">
        <v>0</v>
      </c>
      <c r="AV33" s="1603">
        <f t="shared" si="130"/>
        <v>1.4603713208843838</v>
      </c>
      <c r="AW33" s="1604"/>
      <c r="AX33" s="1604">
        <f t="shared" si="92"/>
        <v>1.2181206026069118</v>
      </c>
      <c r="AY33" s="1603">
        <v>0</v>
      </c>
      <c r="AZ33" s="1603">
        <f>+AZ18/AZ$61*1000</f>
        <v>1.7265452163316743</v>
      </c>
      <c r="BA33" s="1606"/>
      <c r="BB33" s="1606">
        <f t="shared" si="94"/>
        <v>1.5161988820779981</v>
      </c>
      <c r="BC33" s="1522"/>
      <c r="BD33" s="1522">
        <f t="shared" si="124"/>
        <v>0.81965272631683794</v>
      </c>
      <c r="BE33" s="1604"/>
      <c r="BF33" s="1604">
        <f t="shared" si="96"/>
        <v>1.2597633936538937</v>
      </c>
      <c r="BG33" s="26"/>
      <c r="BH33" s="26"/>
      <c r="BI33" s="26"/>
      <c r="BJ33" s="26"/>
    </row>
    <row r="34" spans="2:62" ht="15.75" x14ac:dyDescent="0.25">
      <c r="B34" s="1608" t="s">
        <v>23</v>
      </c>
      <c r="C34" s="1609" t="s">
        <v>224</v>
      </c>
      <c r="D34" s="236">
        <f t="shared" ref="D34:AB34" si="154">SUM(D21:D33)</f>
        <v>1232.8649365234196</v>
      </c>
      <c r="E34" s="236">
        <f t="shared" si="154"/>
        <v>1233.5952947294375</v>
      </c>
      <c r="F34" s="236">
        <f t="shared" si="154"/>
        <v>1187.7850444458809</v>
      </c>
      <c r="G34" s="236">
        <f t="shared" si="154"/>
        <v>1238.0183765576091</v>
      </c>
      <c r="H34" s="236">
        <f t="shared" si="154"/>
        <v>1222.9624311272862</v>
      </c>
      <c r="I34" s="236">
        <f t="shared" si="154"/>
        <v>1238.8649365234196</v>
      </c>
      <c r="J34" s="236">
        <f t="shared" si="154"/>
        <v>1203.5383136557732</v>
      </c>
      <c r="K34" s="236">
        <f t="shared" ref="K34:L34" si="155">SUM(K21:K33)</f>
        <v>1238.0829800516271</v>
      </c>
      <c r="L34" s="236">
        <f t="shared" si="155"/>
        <v>1232.0419910617973</v>
      </c>
      <c r="M34" s="236">
        <f t="shared" si="154"/>
        <v>1232.8649365234196</v>
      </c>
      <c r="N34" s="236">
        <f t="shared" si="154"/>
        <v>1212.7060542212964</v>
      </c>
      <c r="O34" s="236">
        <f t="shared" ref="O34:P34" si="156">SUM(O21:O33)</f>
        <v>1231.9948149207976</v>
      </c>
      <c r="P34" s="236">
        <f t="shared" si="156"/>
        <v>1204.1634709917587</v>
      </c>
      <c r="Q34" s="236">
        <f t="shared" si="154"/>
        <v>1232.8649365234196</v>
      </c>
      <c r="R34" s="236">
        <f t="shared" si="154"/>
        <v>1210.365782415417</v>
      </c>
      <c r="S34" s="236">
        <f t="shared" si="154"/>
        <v>1231.9948149207976</v>
      </c>
      <c r="T34" s="236">
        <f t="shared" ref="T34" si="157">SUM(T21:T33)</f>
        <v>1234.9862834976009</v>
      </c>
      <c r="U34" s="236">
        <f t="shared" ref="U34:V34" si="158">SUM(U21:U33)</f>
        <v>1232.8649365234196</v>
      </c>
      <c r="V34" s="236">
        <f t="shared" si="158"/>
        <v>1215.511839454663</v>
      </c>
      <c r="W34" s="236">
        <f t="shared" ref="W34" si="159">SUM(W21:W33)</f>
        <v>1231.7433222180225</v>
      </c>
      <c r="X34" s="236">
        <f t="shared" ref="X34" si="160">SUM(X21:X33)</f>
        <v>1209.2577830327477</v>
      </c>
      <c r="Y34" s="236">
        <f t="shared" si="154"/>
        <v>1232.8649365234196</v>
      </c>
      <c r="Z34" s="236">
        <f t="shared" si="154"/>
        <v>1215.9877362009743</v>
      </c>
      <c r="AA34" s="236">
        <f t="shared" si="154"/>
        <v>1232.8649365234196</v>
      </c>
      <c r="AB34" s="236">
        <f t="shared" si="154"/>
        <v>1214.4293106051889</v>
      </c>
      <c r="AC34" s="236">
        <f t="shared" ref="AC34:AF34" si="161">SUM(AC21:AC33)</f>
        <v>1233.8762029559059</v>
      </c>
      <c r="AD34" s="236">
        <f t="shared" si="161"/>
        <v>1213.617225727327</v>
      </c>
      <c r="AE34" s="236">
        <f t="shared" si="161"/>
        <v>1232.8649365234196</v>
      </c>
      <c r="AF34" s="236">
        <f t="shared" si="161"/>
        <v>1214.3036258499185</v>
      </c>
      <c r="AG34" s="236">
        <f t="shared" ref="AG34:AL34" si="162">SUM(AG21:AG33)</f>
        <v>1231.9597460336206</v>
      </c>
      <c r="AH34" s="236">
        <f t="shared" si="162"/>
        <v>1192.6446855758827</v>
      </c>
      <c r="AI34" s="236">
        <f t="shared" si="162"/>
        <v>1232.8649365234196</v>
      </c>
      <c r="AJ34" s="236">
        <f t="shared" si="162"/>
        <v>1211.5484190849647</v>
      </c>
      <c r="AK34" s="236">
        <f t="shared" si="162"/>
        <v>1232.2656566383539</v>
      </c>
      <c r="AL34" s="236">
        <f t="shared" si="162"/>
        <v>1185.245139721455</v>
      </c>
      <c r="AM34" s="236">
        <f t="shared" ref="AM34:AN34" si="163">SUM(AM21:AM33)</f>
        <v>1232.8649365234196</v>
      </c>
      <c r="AN34" s="236">
        <f t="shared" si="163"/>
        <v>1197.4343856515384</v>
      </c>
      <c r="AO34" s="236">
        <f t="shared" ref="AO34:AT34" si="164">SUM(AO21:AO33)</f>
        <v>1232.8649365234196</v>
      </c>
      <c r="AP34" s="236">
        <f t="shared" si="164"/>
        <v>1208.5357586501707</v>
      </c>
      <c r="AQ34" s="236">
        <f t="shared" si="164"/>
        <v>1230.6607701358603</v>
      </c>
      <c r="AR34" s="236">
        <f t="shared" si="164"/>
        <v>1153.2467171155131</v>
      </c>
      <c r="AS34" s="236">
        <f t="shared" si="164"/>
        <v>1232.8649365234196</v>
      </c>
      <c r="AT34" s="236">
        <f t="shared" si="164"/>
        <v>1203.1143653236345</v>
      </c>
      <c r="AU34" s="236">
        <f t="shared" ref="AU34:AX34" si="165">SUM(AU21:AU33)</f>
        <v>1231.6688064493128</v>
      </c>
      <c r="AV34" s="236">
        <f t="shared" si="165"/>
        <v>1152.2651862510338</v>
      </c>
      <c r="AW34" s="236">
        <f t="shared" si="165"/>
        <v>1232.8649365234196</v>
      </c>
      <c r="AX34" s="236">
        <f t="shared" si="165"/>
        <v>1198.4237154584041</v>
      </c>
      <c r="AY34" s="236">
        <f t="shared" ref="AY34:BF34" si="166">SUM(AY21:AY33)</f>
        <v>1230.6992213543301</v>
      </c>
      <c r="AZ34" s="236">
        <f t="shared" si="166"/>
        <v>1155.4695675587152</v>
      </c>
      <c r="BA34" s="236">
        <f t="shared" ref="BA34:BD34" si="167">SUM(BA21:BA33)</f>
        <v>1232.8649365234196</v>
      </c>
      <c r="BB34" s="236">
        <f t="shared" si="167"/>
        <v>1153.6451490333775</v>
      </c>
      <c r="BC34" s="236">
        <f t="shared" si="167"/>
        <v>1232.8649365234196</v>
      </c>
      <c r="BD34" s="236">
        <f t="shared" si="167"/>
        <v>1176.071232512028</v>
      </c>
      <c r="BE34" s="236">
        <f t="shared" si="166"/>
        <v>1232.8649365234196</v>
      </c>
      <c r="BF34" s="236">
        <f t="shared" si="166"/>
        <v>1194.9055329052749</v>
      </c>
      <c r="BG34" s="26"/>
      <c r="BH34" s="26"/>
      <c r="BI34" s="26"/>
      <c r="BJ34" s="26"/>
    </row>
    <row r="35" spans="2:62" s="4095" customFormat="1" ht="15.75" x14ac:dyDescent="0.25">
      <c r="B35" s="1608"/>
      <c r="C35" s="1609"/>
      <c r="D35" s="236"/>
      <c r="E35" s="236"/>
      <c r="F35" s="236">
        <v>6.3226327496313283E-3</v>
      </c>
      <c r="G35" s="236"/>
      <c r="H35" s="236"/>
      <c r="I35" s="236"/>
      <c r="J35" s="236"/>
      <c r="K35" s="236"/>
      <c r="L35" s="236">
        <v>7.4144548246258529E-3</v>
      </c>
      <c r="M35" s="236"/>
      <c r="N35" s="236"/>
      <c r="O35" s="236"/>
      <c r="P35" s="236"/>
      <c r="Q35" s="236"/>
      <c r="R35" s="236"/>
      <c r="S35" s="236"/>
      <c r="T35" s="236"/>
      <c r="U35" s="236"/>
      <c r="V35" s="236"/>
      <c r="W35" s="236"/>
      <c r="X35" s="236"/>
      <c r="Y35" s="236"/>
      <c r="Z35" s="236"/>
      <c r="AA35" s="236"/>
      <c r="AB35" s="236"/>
      <c r="AC35" s="236"/>
      <c r="AD35" s="236"/>
      <c r="AE35" s="236"/>
      <c r="AF35" s="236"/>
      <c r="AG35" s="236"/>
      <c r="AH35" s="236"/>
      <c r="AI35" s="236"/>
      <c r="AJ35" s="236"/>
      <c r="AK35" s="236"/>
      <c r="AL35" s="236"/>
      <c r="AM35" s="236"/>
      <c r="AN35" s="236"/>
      <c r="AO35" s="236"/>
      <c r="AP35" s="236"/>
      <c r="AQ35" s="236"/>
      <c r="AR35" s="236"/>
      <c r="AS35" s="236"/>
      <c r="AT35" s="236"/>
      <c r="AU35" s="236"/>
      <c r="AV35" s="236"/>
      <c r="AW35" s="236"/>
      <c r="AX35" s="236"/>
      <c r="AY35" s="236"/>
      <c r="AZ35" s="236"/>
      <c r="BA35" s="236"/>
      <c r="BB35" s="236"/>
      <c r="BC35" s="236"/>
      <c r="BD35" s="236"/>
      <c r="BE35" s="236"/>
      <c r="BF35" s="236"/>
      <c r="BG35" s="26"/>
      <c r="BH35" s="26"/>
      <c r="BI35" s="26"/>
      <c r="BJ35" s="26"/>
    </row>
    <row r="36" spans="2:62" s="183" customFormat="1" ht="18.75" x14ac:dyDescent="0.25">
      <c r="B36" s="1601" t="s">
        <v>982</v>
      </c>
      <c r="C36" s="1601"/>
      <c r="D36" s="299"/>
      <c r="E36" s="1601"/>
      <c r="F36" s="1601">
        <v>2.8735183421048521E-3</v>
      </c>
      <c r="G36" s="1601"/>
      <c r="H36" s="1601"/>
      <c r="I36" s="1601"/>
      <c r="J36" s="1601"/>
      <c r="K36" s="1601"/>
      <c r="L36" s="1601">
        <v>5.125612371205914E-3</v>
      </c>
      <c r="M36" s="1601"/>
      <c r="N36" s="1601"/>
      <c r="O36" s="1601"/>
      <c r="P36" s="1601"/>
      <c r="Q36" s="1601"/>
      <c r="R36" s="1601"/>
      <c r="S36" s="1601"/>
      <c r="T36" s="2684"/>
      <c r="U36" s="1601"/>
      <c r="V36" s="1601"/>
      <c r="W36" s="1601"/>
      <c r="X36" s="2684"/>
      <c r="Y36" s="1601"/>
      <c r="Z36" s="1601"/>
      <c r="AA36" s="1601"/>
      <c r="AB36" s="1601"/>
      <c r="AC36" s="1601"/>
      <c r="AD36" s="1601"/>
      <c r="AE36" s="1601"/>
      <c r="AF36" s="1601"/>
      <c r="AG36" s="1601"/>
      <c r="AH36" s="1601"/>
      <c r="AI36" s="1601"/>
      <c r="AJ36" s="1601"/>
      <c r="AK36" s="1601"/>
      <c r="AL36" s="2684"/>
      <c r="AM36" s="1601"/>
      <c r="AN36" s="1601"/>
      <c r="AO36" s="1601"/>
      <c r="AP36" s="1601"/>
      <c r="AQ36" s="4149"/>
      <c r="AR36" s="1601"/>
      <c r="AS36" s="1601"/>
      <c r="AT36" s="1601"/>
      <c r="AU36" s="4149"/>
      <c r="AV36" s="4149"/>
      <c r="AW36" s="1601"/>
      <c r="AX36" s="1601"/>
      <c r="AY36" s="4149"/>
      <c r="AZ36" s="4149"/>
      <c r="BA36" s="1601"/>
      <c r="BB36" s="1601"/>
      <c r="BC36" s="1601"/>
      <c r="BD36" s="1601"/>
      <c r="BE36" s="1601"/>
      <c r="BF36" s="1601"/>
      <c r="BG36" s="26"/>
      <c r="BH36" s="26"/>
      <c r="BI36" s="26"/>
      <c r="BJ36" s="26"/>
    </row>
    <row r="37" spans="2:62" x14ac:dyDescent="0.25">
      <c r="B37" s="1602" t="s">
        <v>45</v>
      </c>
      <c r="C37" s="91" t="s">
        <v>52</v>
      </c>
      <c r="D37" s="1411">
        <f>+D19</f>
        <v>5547892.1062441487</v>
      </c>
      <c r="E37" s="1603">
        <f>+E19</f>
        <v>465785.97586752899</v>
      </c>
      <c r="F37" s="2685">
        <f>+F19</f>
        <v>456311.38052477402</v>
      </c>
      <c r="G37" s="1603">
        <f>+G19</f>
        <v>379885.69112137414</v>
      </c>
      <c r="H37" s="2685">
        <f>+H19</f>
        <v>381035.95874146628</v>
      </c>
      <c r="I37" s="1604">
        <f>+E37+G37</f>
        <v>845671.66698890319</v>
      </c>
      <c r="J37" s="1605">
        <f>+F37+H37</f>
        <v>837347.33926624036</v>
      </c>
      <c r="K37" s="1603">
        <f>+K19</f>
        <v>387469.63733150269</v>
      </c>
      <c r="L37" s="2685">
        <f>+L19</f>
        <v>406413.69159155496</v>
      </c>
      <c r="M37" s="1606">
        <f t="shared" ref="M37:M45" si="168">+K37+G37+E37</f>
        <v>1233141.3043204057</v>
      </c>
      <c r="N37" s="1606">
        <f t="shared" ref="N37:N45" si="169">+L37+H37+F37</f>
        <v>1243761.0308577954</v>
      </c>
      <c r="O37" s="1603">
        <f>+O19</f>
        <v>475772.39036185812</v>
      </c>
      <c r="P37" s="2685">
        <f>+P19</f>
        <v>465993.20082174585</v>
      </c>
      <c r="Q37" s="1604">
        <f>+M37+O37</f>
        <v>1708913.6946822638</v>
      </c>
      <c r="R37" s="1605">
        <f>+N37+P37</f>
        <v>1709754.2316795413</v>
      </c>
      <c r="S37" s="1603">
        <f>+S19</f>
        <v>475772.39036185812</v>
      </c>
      <c r="T37" s="2685">
        <v>460691.03500000003</v>
      </c>
      <c r="U37" s="1604">
        <f>+Q37+S37</f>
        <v>2184686.0850441218</v>
      </c>
      <c r="V37" s="1605">
        <f>+R37+T37</f>
        <v>2170445.2666795412</v>
      </c>
      <c r="W37" s="1603">
        <f>+W19</f>
        <v>462464.880427789</v>
      </c>
      <c r="X37" s="2685">
        <v>451742</v>
      </c>
      <c r="Y37" s="1606">
        <f t="shared" ref="Y37:Y45" si="170">+O37+S37+W37</f>
        <v>1414009.6611515053</v>
      </c>
      <c r="Z37" s="1606">
        <f t="shared" ref="Z37:Z45" si="171">+P37+T37+X37</f>
        <v>1378426.2358217458</v>
      </c>
      <c r="AA37" s="1522">
        <f>M37+Y37</f>
        <v>2647150.9654719112</v>
      </c>
      <c r="AB37" s="1522">
        <f>N37+Z37</f>
        <v>2622187.2666795412</v>
      </c>
      <c r="AC37" s="1603">
        <f>+AC19</f>
        <v>484796.70434477058</v>
      </c>
      <c r="AD37" s="2685">
        <f>+AD19</f>
        <v>479931</v>
      </c>
      <c r="AE37" s="1604">
        <f>+AA37+AC37</f>
        <v>3131947.6698166816</v>
      </c>
      <c r="AF37" s="1605">
        <f>+AB37+AD37</f>
        <v>3102118.2666795412</v>
      </c>
      <c r="AG37" s="1603">
        <f>+AG19</f>
        <v>473871.31751413387</v>
      </c>
      <c r="AH37" s="2685">
        <f>+AH19</f>
        <v>444154</v>
      </c>
      <c r="AI37" s="1604">
        <f>+AE37+AG37</f>
        <v>3605818.9873308158</v>
      </c>
      <c r="AJ37" s="1605">
        <f>+AF37+AH37</f>
        <v>3546272.2666795412</v>
      </c>
      <c r="AK37" s="1603">
        <f>+AK19</f>
        <v>490980.97314365144</v>
      </c>
      <c r="AL37" s="2685">
        <f>+AL19</f>
        <v>448831</v>
      </c>
      <c r="AM37" s="1606">
        <f t="shared" ref="AM37:AM45" si="172">+AC37+AG37+AK37</f>
        <v>1449648.9950025559</v>
      </c>
      <c r="AN37" s="1606">
        <f t="shared" ref="AN37:AN45" si="173">+AD37+AH37+AL37</f>
        <v>1372916</v>
      </c>
      <c r="AO37" s="1604">
        <f t="shared" ref="AO37:AP37" si="174">AI37+AK37</f>
        <v>4096799.9604744674</v>
      </c>
      <c r="AP37" s="1604">
        <f t="shared" si="174"/>
        <v>3995103.2666795412</v>
      </c>
      <c r="AQ37" s="1603">
        <f>+AQ19</f>
        <v>495264.16909480799</v>
      </c>
      <c r="AR37" s="2685">
        <f>+AR19</f>
        <v>414523</v>
      </c>
      <c r="AS37" s="1604">
        <f>+AO37+AQ37</f>
        <v>4592064.1295692753</v>
      </c>
      <c r="AT37" s="1605">
        <f>+AP37+AR37</f>
        <v>4409626.2666795412</v>
      </c>
      <c r="AU37" s="1603">
        <f>+AU19</f>
        <v>458662.73473234056</v>
      </c>
      <c r="AV37" s="2685">
        <f>+AV19</f>
        <v>429228</v>
      </c>
      <c r="AW37" s="1604">
        <f>+AS37+AU37</f>
        <v>5050726.8643016163</v>
      </c>
      <c r="AX37" s="1605">
        <f>+AT37+AV37</f>
        <v>4838854.2666795412</v>
      </c>
      <c r="AY37" s="1603">
        <f>+AY19</f>
        <v>497165.24194253207</v>
      </c>
      <c r="AZ37" s="2685">
        <f>+AZ19</f>
        <v>416266</v>
      </c>
      <c r="BA37" s="1606">
        <f t="shared" ref="BA37:BA45" si="175">+AQ37+AU37+AY37</f>
        <v>1451092.1457696806</v>
      </c>
      <c r="BB37" s="1606">
        <f t="shared" ref="BB37:BB45" si="176">+AR37+AV37+AZ37</f>
        <v>1260017</v>
      </c>
      <c r="BC37" s="1522">
        <f t="shared" ref="BC37:BC45" si="177">AM37+BA37</f>
        <v>2900741.1407722365</v>
      </c>
      <c r="BD37" s="1522">
        <f t="shared" ref="BD37:BD45" si="178">AN37+BB37</f>
        <v>2632933</v>
      </c>
      <c r="BE37" s="1604">
        <f>+AW37+AY37</f>
        <v>5547892.1062441487</v>
      </c>
      <c r="BF37" s="1604">
        <f>+AX37+AZ37</f>
        <v>5255120.2666795412</v>
      </c>
      <c r="BG37" s="26"/>
      <c r="BH37" s="26"/>
      <c r="BI37" s="26"/>
      <c r="BJ37" s="26"/>
    </row>
    <row r="38" spans="2:62" x14ac:dyDescent="0.25">
      <c r="B38" s="1602" t="s">
        <v>72</v>
      </c>
      <c r="C38" s="91" t="s">
        <v>52</v>
      </c>
      <c r="D38" s="1494">
        <v>76499.998509251876</v>
      </c>
      <c r="E38" s="1603">
        <v>6418.9297929226577</v>
      </c>
      <c r="F38" s="185">
        <v>20686</v>
      </c>
      <c r="G38" s="1603">
        <v>5216.4465983295067</v>
      </c>
      <c r="H38" s="185">
        <v>10173</v>
      </c>
      <c r="I38" s="1604">
        <f t="shared" ref="I38:I45" si="179">+E38+G38</f>
        <v>11635.376391252164</v>
      </c>
      <c r="J38" s="1605">
        <f t="shared" ref="J38:J45" si="180">+F38+H38</f>
        <v>30859</v>
      </c>
      <c r="K38" s="1603">
        <v>5320.3088490570099</v>
      </c>
      <c r="L38" s="185">
        <v>4414</v>
      </c>
      <c r="M38" s="1606">
        <f t="shared" si="168"/>
        <v>16955.685240309176</v>
      </c>
      <c r="N38" s="1606">
        <f t="shared" si="169"/>
        <v>35273</v>
      </c>
      <c r="O38" s="1603">
        <v>6565.0687309682844</v>
      </c>
      <c r="P38" s="185">
        <v>13150</v>
      </c>
      <c r="Q38" s="1604">
        <f t="shared" ref="Q38:Q45" si="181">+M38+O38</f>
        <v>23520.75397127746</v>
      </c>
      <c r="R38" s="1605">
        <f t="shared" ref="R38:R45" si="182">+N38+P38</f>
        <v>48423</v>
      </c>
      <c r="S38" s="1603">
        <v>6565.0687309682844</v>
      </c>
      <c r="T38" s="2685">
        <v>10198</v>
      </c>
      <c r="U38" s="1604">
        <f t="shared" ref="U38:U45" si="183">+Q38+S38</f>
        <v>30085.822702245743</v>
      </c>
      <c r="V38" s="1605">
        <f t="shared" ref="V38:V45" si="184">+R38+T38</f>
        <v>58621</v>
      </c>
      <c r="W38" s="1603">
        <v>6382.7445421951552</v>
      </c>
      <c r="X38" s="2685">
        <v>10449</v>
      </c>
      <c r="Y38" s="1606">
        <f t="shared" si="170"/>
        <v>19512.882004131723</v>
      </c>
      <c r="Z38" s="1606">
        <f t="shared" si="171"/>
        <v>33797</v>
      </c>
      <c r="AA38" s="1522">
        <f t="shared" ref="AA38:AA45" si="185">M38+Y38</f>
        <v>36468.567244440899</v>
      </c>
      <c r="AB38" s="1522">
        <f t="shared" ref="AB38:AB45" si="186">N38+Z38</f>
        <v>69070</v>
      </c>
      <c r="AC38" s="1603">
        <v>6679.3929197414145</v>
      </c>
      <c r="AD38" s="185">
        <v>9252</v>
      </c>
      <c r="AE38" s="1604">
        <f t="shared" ref="AE38:AE45" si="187">+AA38+AC38</f>
        <v>43147.96016418231</v>
      </c>
      <c r="AF38" s="1605">
        <f t="shared" ref="AF38:AF45" si="188">+AB38+AD38</f>
        <v>78322</v>
      </c>
      <c r="AG38" s="1603">
        <v>6539.0224182864085</v>
      </c>
      <c r="AH38" s="185">
        <v>8035</v>
      </c>
      <c r="AI38" s="1604">
        <f t="shared" ref="AI38:AI45" si="189">+AE38+AG38</f>
        <v>49686.982582468721</v>
      </c>
      <c r="AJ38" s="1605">
        <f t="shared" ref="AJ38:AJ45" si="190">+AF38+AH38</f>
        <v>86357</v>
      </c>
      <c r="AK38" s="1603">
        <v>6773.4392324232904</v>
      </c>
      <c r="AL38" s="2685">
        <v>10935</v>
      </c>
      <c r="AM38" s="1606">
        <f t="shared" si="172"/>
        <v>19991.854570451113</v>
      </c>
      <c r="AN38" s="1606">
        <f t="shared" si="173"/>
        <v>28222</v>
      </c>
      <c r="AO38" s="1604">
        <f t="shared" ref="AO38:AO45" si="191">AI38+AK38</f>
        <v>56460.421814892012</v>
      </c>
      <c r="AP38" s="1604">
        <f t="shared" ref="AP38:AP45" si="192">AJ38+AL38</f>
        <v>97292</v>
      </c>
      <c r="AQ38" s="1603">
        <v>6841.4392324232904</v>
      </c>
      <c r="AR38" s="185">
        <v>8843</v>
      </c>
      <c r="AS38" s="1604">
        <f t="shared" ref="AS38:AS45" si="193">+AO38+AQ38</f>
        <v>63301.861047315302</v>
      </c>
      <c r="AT38" s="1605">
        <f t="shared" ref="AT38:AT45" si="194">+AP38+AR38</f>
        <v>106135</v>
      </c>
      <c r="AU38" s="1603">
        <v>6330.6519168314044</v>
      </c>
      <c r="AV38" s="185">
        <v>20185</v>
      </c>
      <c r="AW38" s="1604">
        <f t="shared" ref="AW38:AW45" si="195">+AS38+AU38</f>
        <v>69632.512964146707</v>
      </c>
      <c r="AX38" s="1605">
        <f t="shared" ref="AX38:AX45" si="196">+AT38+AV38</f>
        <v>126320</v>
      </c>
      <c r="AY38" s="1603">
        <v>6867.4855451051644</v>
      </c>
      <c r="AZ38" s="185">
        <v>20948</v>
      </c>
      <c r="BA38" s="1606">
        <f t="shared" si="175"/>
        <v>20039.576694359857</v>
      </c>
      <c r="BB38" s="1606">
        <f t="shared" si="176"/>
        <v>49976</v>
      </c>
      <c r="BC38" s="1522">
        <f t="shared" si="177"/>
        <v>40031.43126481097</v>
      </c>
      <c r="BD38" s="1522">
        <f t="shared" si="178"/>
        <v>78198</v>
      </c>
      <c r="BE38" s="1604">
        <f t="shared" ref="BE38:BE45" si="197">+AW38+AY38</f>
        <v>76499.998509251876</v>
      </c>
      <c r="BF38" s="1604">
        <f t="shared" ref="BF38:BF45" si="198">+AX38+AZ38</f>
        <v>147268</v>
      </c>
      <c r="BG38" s="26"/>
      <c r="BH38" s="26"/>
      <c r="BI38" s="26"/>
      <c r="BJ38" s="26"/>
    </row>
    <row r="39" spans="2:62" x14ac:dyDescent="0.25">
      <c r="B39" s="1602" t="s">
        <v>696</v>
      </c>
      <c r="C39" s="91" t="s">
        <v>52</v>
      </c>
      <c r="D39" s="1494">
        <v>0</v>
      </c>
      <c r="E39" s="1603">
        <v>0</v>
      </c>
      <c r="F39" s="185">
        <v>236</v>
      </c>
      <c r="G39" s="1603">
        <v>0</v>
      </c>
      <c r="H39" s="185">
        <v>3018</v>
      </c>
      <c r="I39" s="1604">
        <f t="shared" si="179"/>
        <v>0</v>
      </c>
      <c r="J39" s="1605">
        <f t="shared" si="180"/>
        <v>3254</v>
      </c>
      <c r="K39" s="1603">
        <v>0</v>
      </c>
      <c r="L39" s="185">
        <v>1926</v>
      </c>
      <c r="M39" s="1606">
        <f t="shared" si="168"/>
        <v>0</v>
      </c>
      <c r="N39" s="1606">
        <f t="shared" si="169"/>
        <v>5180</v>
      </c>
      <c r="O39" s="1603">
        <v>0</v>
      </c>
      <c r="P39" s="185">
        <v>1942</v>
      </c>
      <c r="Q39" s="1604">
        <f t="shared" si="181"/>
        <v>0</v>
      </c>
      <c r="R39" s="1605">
        <f t="shared" si="182"/>
        <v>7122</v>
      </c>
      <c r="S39" s="1603">
        <v>0</v>
      </c>
      <c r="T39" s="2685">
        <v>8233</v>
      </c>
      <c r="U39" s="1604">
        <f t="shared" si="183"/>
        <v>0</v>
      </c>
      <c r="V39" s="1605">
        <f t="shared" si="184"/>
        <v>15355</v>
      </c>
      <c r="W39" s="1603">
        <v>0</v>
      </c>
      <c r="X39" s="2685">
        <v>827</v>
      </c>
      <c r="Y39" s="1606">
        <f t="shared" si="170"/>
        <v>0</v>
      </c>
      <c r="Z39" s="1606">
        <f t="shared" si="171"/>
        <v>11002</v>
      </c>
      <c r="AA39" s="1522">
        <f t="shared" si="185"/>
        <v>0</v>
      </c>
      <c r="AB39" s="1522">
        <f t="shared" si="186"/>
        <v>16182</v>
      </c>
      <c r="AC39" s="1603">
        <v>0</v>
      </c>
      <c r="AD39" s="185">
        <v>4822</v>
      </c>
      <c r="AE39" s="1604">
        <f t="shared" si="187"/>
        <v>0</v>
      </c>
      <c r="AF39" s="1605">
        <f t="shared" si="188"/>
        <v>21004</v>
      </c>
      <c r="AG39" s="1603">
        <v>0</v>
      </c>
      <c r="AH39" s="185">
        <v>9204</v>
      </c>
      <c r="AI39" s="1604">
        <f t="shared" si="189"/>
        <v>0</v>
      </c>
      <c r="AJ39" s="1605">
        <f t="shared" si="190"/>
        <v>30208</v>
      </c>
      <c r="AK39" s="1603">
        <v>0</v>
      </c>
      <c r="AL39" s="2685">
        <v>8197</v>
      </c>
      <c r="AM39" s="1606">
        <f t="shared" si="172"/>
        <v>0</v>
      </c>
      <c r="AN39" s="1606">
        <f t="shared" si="173"/>
        <v>22223</v>
      </c>
      <c r="AO39" s="1604">
        <f t="shared" si="191"/>
        <v>0</v>
      </c>
      <c r="AP39" s="1604">
        <f t="shared" si="192"/>
        <v>38405</v>
      </c>
      <c r="AQ39" s="1603">
        <v>0</v>
      </c>
      <c r="AR39" s="185">
        <v>5083</v>
      </c>
      <c r="AS39" s="1604">
        <f t="shared" si="193"/>
        <v>0</v>
      </c>
      <c r="AT39" s="1605">
        <f t="shared" si="194"/>
        <v>43488</v>
      </c>
      <c r="AU39" s="1603">
        <v>0</v>
      </c>
      <c r="AV39" s="185">
        <v>4544</v>
      </c>
      <c r="AW39" s="1604">
        <f t="shared" si="195"/>
        <v>0</v>
      </c>
      <c r="AX39" s="1605">
        <f t="shared" si="196"/>
        <v>48032</v>
      </c>
      <c r="AY39" s="1603">
        <v>0</v>
      </c>
      <c r="AZ39" s="185">
        <v>4472</v>
      </c>
      <c r="BA39" s="1606">
        <f t="shared" si="175"/>
        <v>0</v>
      </c>
      <c r="BB39" s="1606">
        <f t="shared" si="176"/>
        <v>14099</v>
      </c>
      <c r="BC39" s="1522">
        <f t="shared" si="177"/>
        <v>0</v>
      </c>
      <c r="BD39" s="1522">
        <f t="shared" si="178"/>
        <v>36322</v>
      </c>
      <c r="BE39" s="1604">
        <f t="shared" si="197"/>
        <v>0</v>
      </c>
      <c r="BF39" s="1604">
        <f t="shared" si="198"/>
        <v>52504</v>
      </c>
      <c r="BG39" s="26"/>
      <c r="BH39" s="26"/>
      <c r="BI39" s="26"/>
      <c r="BJ39" s="26"/>
    </row>
    <row r="40" spans="2:62" x14ac:dyDescent="0.25">
      <c r="B40" s="1602" t="s">
        <v>46</v>
      </c>
      <c r="C40" s="91" t="s">
        <v>52</v>
      </c>
      <c r="D40" s="1494">
        <v>98756.690856313449</v>
      </c>
      <c r="E40" s="1603">
        <v>8286.4350005363449</v>
      </c>
      <c r="F40" s="185">
        <v>7755</v>
      </c>
      <c r="G40" s="1603">
        <v>6734.1047597195948</v>
      </c>
      <c r="H40" s="185">
        <v>6336</v>
      </c>
      <c r="I40" s="1604">
        <f t="shared" si="179"/>
        <v>15020.539760255939</v>
      </c>
      <c r="J40" s="1605">
        <f t="shared" si="180"/>
        <v>14091</v>
      </c>
      <c r="K40" s="1603">
        <v>6868.1843987603243</v>
      </c>
      <c r="L40" s="185">
        <v>7350</v>
      </c>
      <c r="M40" s="1606">
        <f t="shared" si="168"/>
        <v>21888.724159016263</v>
      </c>
      <c r="N40" s="1606">
        <f t="shared" si="169"/>
        <v>21441</v>
      </c>
      <c r="O40" s="1603">
        <v>8475.091186260277</v>
      </c>
      <c r="P40" s="185">
        <v>8456</v>
      </c>
      <c r="Q40" s="1604">
        <f t="shared" si="181"/>
        <v>30363.81534527654</v>
      </c>
      <c r="R40" s="1605">
        <f t="shared" si="182"/>
        <v>29897</v>
      </c>
      <c r="S40" s="1603">
        <v>8475.091186260277</v>
      </c>
      <c r="T40" s="2685">
        <v>8319</v>
      </c>
      <c r="U40" s="1604">
        <f t="shared" si="183"/>
        <v>38838.906531536821</v>
      </c>
      <c r="V40" s="1605">
        <f t="shared" si="184"/>
        <v>38216</v>
      </c>
      <c r="W40" s="1603">
        <v>8239.722115709008</v>
      </c>
      <c r="X40" s="2685">
        <v>7387</v>
      </c>
      <c r="Y40" s="1606">
        <f t="shared" si="170"/>
        <v>25189.904488229564</v>
      </c>
      <c r="Z40" s="1606">
        <f t="shared" si="171"/>
        <v>24162</v>
      </c>
      <c r="AA40" s="1522">
        <f t="shared" si="185"/>
        <v>47078.628647245831</v>
      </c>
      <c r="AB40" s="1522">
        <f t="shared" si="186"/>
        <v>45603</v>
      </c>
      <c r="AC40" s="1603">
        <v>8622.6765298953014</v>
      </c>
      <c r="AD40" s="185">
        <v>8609</v>
      </c>
      <c r="AE40" s="1604">
        <f t="shared" si="187"/>
        <v>55701.305177141134</v>
      </c>
      <c r="AF40" s="1605">
        <f t="shared" si="188"/>
        <v>54212</v>
      </c>
      <c r="AG40" s="1603">
        <v>8441.4670333243812</v>
      </c>
      <c r="AH40" s="185">
        <v>8240</v>
      </c>
      <c r="AI40" s="1604">
        <f t="shared" si="189"/>
        <v>64142.772210465511</v>
      </c>
      <c r="AJ40" s="1605">
        <f t="shared" si="190"/>
        <v>62452</v>
      </c>
      <c r="AK40" s="1603">
        <v>8744.0844097474419</v>
      </c>
      <c r="AL40" s="2685">
        <v>7058</v>
      </c>
      <c r="AM40" s="1606">
        <f t="shared" si="172"/>
        <v>25808.227972967121</v>
      </c>
      <c r="AN40" s="1606">
        <f t="shared" si="173"/>
        <v>23907</v>
      </c>
      <c r="AO40" s="1604">
        <f t="shared" si="191"/>
        <v>72886.856620212959</v>
      </c>
      <c r="AP40" s="1604">
        <f t="shared" si="192"/>
        <v>69510</v>
      </c>
      <c r="AQ40" s="1603">
        <v>8831.8681366636883</v>
      </c>
      <c r="AR40" s="185">
        <v>8710</v>
      </c>
      <c r="AS40" s="1604">
        <f t="shared" si="193"/>
        <v>81718.724756876647</v>
      </c>
      <c r="AT40" s="1605">
        <f t="shared" si="194"/>
        <v>78220</v>
      </c>
      <c r="AU40" s="1603">
        <v>8172.4738098372163</v>
      </c>
      <c r="AV40" s="185">
        <v>7959</v>
      </c>
      <c r="AW40" s="1604">
        <f t="shared" si="195"/>
        <v>89891.198566713865</v>
      </c>
      <c r="AX40" s="1605">
        <f t="shared" si="196"/>
        <v>86179</v>
      </c>
      <c r="AY40" s="1603">
        <v>8865.4922895995824</v>
      </c>
      <c r="AZ40" s="185">
        <v>8471</v>
      </c>
      <c r="BA40" s="1606">
        <f t="shared" si="175"/>
        <v>25869.834236100491</v>
      </c>
      <c r="BB40" s="1606">
        <f t="shared" si="176"/>
        <v>25140</v>
      </c>
      <c r="BC40" s="1522">
        <f t="shared" si="177"/>
        <v>51678.062209067612</v>
      </c>
      <c r="BD40" s="1522">
        <f t="shared" si="178"/>
        <v>49047</v>
      </c>
      <c r="BE40" s="1604">
        <f t="shared" si="197"/>
        <v>98756.690856313449</v>
      </c>
      <c r="BF40" s="1604">
        <f t="shared" si="198"/>
        <v>94650</v>
      </c>
      <c r="BG40" s="26"/>
      <c r="BH40" s="26"/>
      <c r="BI40" s="26"/>
      <c r="BJ40" s="26"/>
    </row>
    <row r="41" spans="2:62" x14ac:dyDescent="0.25">
      <c r="B41" s="1602" t="s">
        <v>73</v>
      </c>
      <c r="C41" s="91" t="s">
        <v>52</v>
      </c>
      <c r="D41" s="1494">
        <v>67499.998684634003</v>
      </c>
      <c r="E41" s="1603">
        <v>5663.7615819905805</v>
      </c>
      <c r="F41" s="185">
        <v>11199</v>
      </c>
      <c r="G41" s="1603">
        <v>4602.746998526035</v>
      </c>
      <c r="H41" s="185">
        <v>7992</v>
      </c>
      <c r="I41" s="1604">
        <f t="shared" si="179"/>
        <v>10266.508580516616</v>
      </c>
      <c r="J41" s="1605">
        <f t="shared" si="180"/>
        <v>19191</v>
      </c>
      <c r="K41" s="1603">
        <v>4694.3901609326549</v>
      </c>
      <c r="L41" s="185">
        <v>5480</v>
      </c>
      <c r="M41" s="1606">
        <f t="shared" si="168"/>
        <v>14960.898741449269</v>
      </c>
      <c r="N41" s="1606">
        <f t="shared" si="169"/>
        <v>24671</v>
      </c>
      <c r="O41" s="1603">
        <v>5792.707703795546</v>
      </c>
      <c r="P41" s="185">
        <v>8772</v>
      </c>
      <c r="Q41" s="1604">
        <f t="shared" si="181"/>
        <v>20753.606445244815</v>
      </c>
      <c r="R41" s="1605">
        <f t="shared" si="182"/>
        <v>33443</v>
      </c>
      <c r="S41" s="1603">
        <v>5792.707703795546</v>
      </c>
      <c r="T41" s="2685">
        <v>9368</v>
      </c>
      <c r="U41" s="1604">
        <f t="shared" si="183"/>
        <v>26546.314149040361</v>
      </c>
      <c r="V41" s="1605">
        <f t="shared" si="184"/>
        <v>42811</v>
      </c>
      <c r="W41" s="1603">
        <v>5631.8334195839607</v>
      </c>
      <c r="X41" s="2685">
        <v>7050</v>
      </c>
      <c r="Y41" s="1606">
        <f t="shared" si="170"/>
        <v>17217.248827175052</v>
      </c>
      <c r="Z41" s="1606">
        <f t="shared" si="171"/>
        <v>25190</v>
      </c>
      <c r="AA41" s="1522">
        <f t="shared" si="185"/>
        <v>32178.147568624321</v>
      </c>
      <c r="AB41" s="1522">
        <f t="shared" si="186"/>
        <v>49861</v>
      </c>
      <c r="AC41" s="1603">
        <v>5893.5819880071303</v>
      </c>
      <c r="AD41" s="185">
        <v>9319</v>
      </c>
      <c r="AE41" s="1604">
        <f t="shared" si="187"/>
        <v>38071.72955663145</v>
      </c>
      <c r="AF41" s="1605">
        <f t="shared" si="188"/>
        <v>59180</v>
      </c>
      <c r="AG41" s="1603">
        <v>5769.7256631938899</v>
      </c>
      <c r="AH41" s="185">
        <v>9949</v>
      </c>
      <c r="AI41" s="1604">
        <f t="shared" si="189"/>
        <v>43841.455219825337</v>
      </c>
      <c r="AJ41" s="1605">
        <f t="shared" si="190"/>
        <v>69129</v>
      </c>
      <c r="AK41" s="1603">
        <v>5976.5640286087855</v>
      </c>
      <c r="AL41" s="2685">
        <v>13038</v>
      </c>
      <c r="AM41" s="1606">
        <f t="shared" si="172"/>
        <v>17639.871679809803</v>
      </c>
      <c r="AN41" s="1606">
        <f t="shared" si="173"/>
        <v>32306</v>
      </c>
      <c r="AO41" s="1604">
        <f t="shared" si="191"/>
        <v>49818.019248434124</v>
      </c>
      <c r="AP41" s="1604">
        <f t="shared" si="192"/>
        <v>82167</v>
      </c>
      <c r="AQ41" s="1603">
        <v>6036.5640286087855</v>
      </c>
      <c r="AR41" s="185">
        <v>10306</v>
      </c>
      <c r="AS41" s="1604">
        <f t="shared" si="193"/>
        <v>55854.583277042912</v>
      </c>
      <c r="AT41" s="1605">
        <f t="shared" si="194"/>
        <v>92473</v>
      </c>
      <c r="AU41" s="1603">
        <v>5585.8693383806494</v>
      </c>
      <c r="AV41" s="185">
        <v>11289</v>
      </c>
      <c r="AW41" s="1604">
        <f t="shared" si="195"/>
        <v>61440.452615423565</v>
      </c>
      <c r="AX41" s="1605">
        <f t="shared" si="196"/>
        <v>103762</v>
      </c>
      <c r="AY41" s="1603">
        <v>6059.5460692104398</v>
      </c>
      <c r="AZ41" s="185">
        <v>13328</v>
      </c>
      <c r="BA41" s="1606">
        <f t="shared" si="175"/>
        <v>17681.979436199876</v>
      </c>
      <c r="BB41" s="1606">
        <f t="shared" si="176"/>
        <v>34923</v>
      </c>
      <c r="BC41" s="1522">
        <f t="shared" si="177"/>
        <v>35321.851116009682</v>
      </c>
      <c r="BD41" s="1522">
        <f t="shared" si="178"/>
        <v>67229</v>
      </c>
      <c r="BE41" s="1604">
        <f t="shared" si="197"/>
        <v>67499.998684634003</v>
      </c>
      <c r="BF41" s="1604">
        <f t="shared" si="198"/>
        <v>117090</v>
      </c>
      <c r="BG41" s="26"/>
      <c r="BH41" s="26"/>
      <c r="BI41" s="26"/>
      <c r="BJ41" s="26"/>
    </row>
    <row r="42" spans="2:62" x14ac:dyDescent="0.25">
      <c r="B42" s="1602" t="s">
        <v>69</v>
      </c>
      <c r="C42" s="91" t="s">
        <v>52</v>
      </c>
      <c r="D42" s="1494">
        <v>382499.99254625931</v>
      </c>
      <c r="E42" s="1603">
        <v>32094.64896461329</v>
      </c>
      <c r="F42" s="185">
        <v>30733.600000000002</v>
      </c>
      <c r="G42" s="1603">
        <v>26082.232991647536</v>
      </c>
      <c r="H42" s="185">
        <v>24925.440000000002</v>
      </c>
      <c r="I42" s="1604">
        <f t="shared" si="179"/>
        <v>58176.881956260826</v>
      </c>
      <c r="J42" s="1605">
        <f t="shared" si="180"/>
        <v>55659.040000000008</v>
      </c>
      <c r="K42" s="1603">
        <v>26601.544245285044</v>
      </c>
      <c r="L42" s="185">
        <v>26389.600000000002</v>
      </c>
      <c r="M42" s="1606">
        <f t="shared" si="168"/>
        <v>84778.426201545866</v>
      </c>
      <c r="N42" s="1606">
        <f t="shared" si="169"/>
        <v>82048.640000000014</v>
      </c>
      <c r="O42" s="1603">
        <v>32825.343654841425</v>
      </c>
      <c r="P42" s="185">
        <v>30958.799999999999</v>
      </c>
      <c r="Q42" s="1604">
        <f t="shared" si="181"/>
        <v>117603.76985638728</v>
      </c>
      <c r="R42" s="1604">
        <f t="shared" si="182"/>
        <v>113007.44000000002</v>
      </c>
      <c r="S42" s="1603">
        <v>32825.343654841425</v>
      </c>
      <c r="T42" s="2685">
        <v>29861.84</v>
      </c>
      <c r="U42" s="1604">
        <f t="shared" si="183"/>
        <v>150429.1135112287</v>
      </c>
      <c r="V42" s="1604">
        <f t="shared" si="184"/>
        <v>142869.28000000003</v>
      </c>
      <c r="W42" s="1603">
        <v>31913.722710975777</v>
      </c>
      <c r="X42" s="2685">
        <v>29906.080000000002</v>
      </c>
      <c r="Y42" s="1606">
        <f t="shared" si="170"/>
        <v>97564.41002065863</v>
      </c>
      <c r="Z42" s="1606">
        <f t="shared" si="171"/>
        <v>90726.720000000001</v>
      </c>
      <c r="AA42" s="1522">
        <f t="shared" si="185"/>
        <v>182342.8362222045</v>
      </c>
      <c r="AB42" s="1522">
        <f t="shared" si="186"/>
        <v>172775.36000000002</v>
      </c>
      <c r="AC42" s="1603">
        <v>33396.964598707069</v>
      </c>
      <c r="AD42" s="185">
        <v>31636.400000000001</v>
      </c>
      <c r="AE42" s="1604">
        <f t="shared" si="187"/>
        <v>215739.80082091157</v>
      </c>
      <c r="AF42" s="1604">
        <f t="shared" si="188"/>
        <v>204411.76</v>
      </c>
      <c r="AG42" s="1603">
        <v>32695.112091432042</v>
      </c>
      <c r="AH42" s="185">
        <v>29792.880000000001</v>
      </c>
      <c r="AI42" s="1604">
        <f t="shared" si="189"/>
        <v>248434.9129123436</v>
      </c>
      <c r="AJ42" s="1604">
        <f t="shared" si="190"/>
        <v>234204.64</v>
      </c>
      <c r="AK42" s="1603">
        <v>33867.196162116452</v>
      </c>
      <c r="AL42" s="2685">
        <v>30294.560000000001</v>
      </c>
      <c r="AM42" s="1606">
        <f t="shared" si="172"/>
        <v>99959.272852255555</v>
      </c>
      <c r="AN42" s="1606">
        <f t="shared" si="173"/>
        <v>91723.839999999997</v>
      </c>
      <c r="AO42" s="1604">
        <f t="shared" si="191"/>
        <v>282302.10907446005</v>
      </c>
      <c r="AP42" s="1604">
        <f t="shared" si="192"/>
        <v>264499.20000000001</v>
      </c>
      <c r="AQ42" s="1603">
        <v>34207.196162116452</v>
      </c>
      <c r="AR42" s="185">
        <v>28755.200000000001</v>
      </c>
      <c r="AS42" s="1604">
        <f t="shared" si="193"/>
        <v>316509.30523657647</v>
      </c>
      <c r="AT42" s="1604">
        <f t="shared" si="194"/>
        <v>293254.40000000002</v>
      </c>
      <c r="AU42" s="1603">
        <v>31653.259584157015</v>
      </c>
      <c r="AV42" s="185">
        <v>29800.639999999999</v>
      </c>
      <c r="AW42" s="1604">
        <f t="shared" si="195"/>
        <v>348162.5648207335</v>
      </c>
      <c r="AX42" s="1604">
        <f t="shared" si="196"/>
        <v>323055.04000000004</v>
      </c>
      <c r="AY42" s="1603">
        <v>34337.427725525828</v>
      </c>
      <c r="AZ42" s="185">
        <v>28820.560000000001</v>
      </c>
      <c r="BA42" s="1606">
        <f t="shared" si="175"/>
        <v>100197.88347179929</v>
      </c>
      <c r="BB42" s="1606">
        <f t="shared" si="176"/>
        <v>87376.4</v>
      </c>
      <c r="BC42" s="1522">
        <f t="shared" si="177"/>
        <v>200157.15632405484</v>
      </c>
      <c r="BD42" s="1522">
        <f t="shared" si="178"/>
        <v>179100.24</v>
      </c>
      <c r="BE42" s="1604">
        <f t="shared" si="197"/>
        <v>382499.99254625931</v>
      </c>
      <c r="BF42" s="1604">
        <f t="shared" si="198"/>
        <v>351875.60000000003</v>
      </c>
      <c r="BG42" s="26"/>
      <c r="BH42" s="26"/>
      <c r="BI42" s="26"/>
      <c r="BJ42" s="26"/>
    </row>
    <row r="43" spans="2:62" x14ac:dyDescent="0.25">
      <c r="B43" s="1602" t="s">
        <v>100</v>
      </c>
      <c r="C43" s="91" t="s">
        <v>52</v>
      </c>
      <c r="D43" s="1494">
        <v>674999.98684634012</v>
      </c>
      <c r="E43" s="1603">
        <v>56637.615819905805</v>
      </c>
      <c r="F43" s="1603">
        <v>74954</v>
      </c>
      <c r="G43" s="1603">
        <v>46027.469985260352</v>
      </c>
      <c r="H43" s="1603">
        <v>52861</v>
      </c>
      <c r="I43" s="1604">
        <f t="shared" si="179"/>
        <v>102665.08580516616</v>
      </c>
      <c r="J43" s="1605">
        <f t="shared" si="180"/>
        <v>127815</v>
      </c>
      <c r="K43" s="1603">
        <v>46943.901609326545</v>
      </c>
      <c r="L43" s="1603">
        <v>58770</v>
      </c>
      <c r="M43" s="1606">
        <f t="shared" si="168"/>
        <v>149608.9874144927</v>
      </c>
      <c r="N43" s="1606">
        <f t="shared" si="169"/>
        <v>186585</v>
      </c>
      <c r="O43" s="1603">
        <v>57927.077037955452</v>
      </c>
      <c r="P43" s="1603">
        <v>65171</v>
      </c>
      <c r="Q43" s="1604">
        <f t="shared" si="181"/>
        <v>207536.06445244816</v>
      </c>
      <c r="R43" s="1604">
        <f t="shared" si="182"/>
        <v>251756</v>
      </c>
      <c r="S43" s="1603">
        <v>57927.077037955452</v>
      </c>
      <c r="T43" s="2685">
        <v>61851</v>
      </c>
      <c r="U43" s="1604">
        <f t="shared" si="183"/>
        <v>265463.14149040362</v>
      </c>
      <c r="V43" s="1604">
        <f t="shared" si="184"/>
        <v>313607</v>
      </c>
      <c r="W43" s="1603">
        <v>56318.334195839605</v>
      </c>
      <c r="X43" s="2685">
        <v>60466</v>
      </c>
      <c r="Y43" s="1606">
        <f t="shared" si="170"/>
        <v>172172.48827175051</v>
      </c>
      <c r="Z43" s="1606">
        <f t="shared" si="171"/>
        <v>187488</v>
      </c>
      <c r="AA43" s="1522">
        <f t="shared" si="185"/>
        <v>321781.47568624321</v>
      </c>
      <c r="AB43" s="1522">
        <f t="shared" si="186"/>
        <v>374073</v>
      </c>
      <c r="AC43" s="1603">
        <v>58935.819880071307</v>
      </c>
      <c r="AD43" s="1603">
        <v>67060</v>
      </c>
      <c r="AE43" s="1604">
        <f t="shared" si="187"/>
        <v>380717.29556631454</v>
      </c>
      <c r="AF43" s="1605">
        <f t="shared" si="188"/>
        <v>441133</v>
      </c>
      <c r="AG43" s="1603">
        <v>57697.256631938901</v>
      </c>
      <c r="AH43" s="1603">
        <v>66456</v>
      </c>
      <c r="AI43" s="1604">
        <f t="shared" si="189"/>
        <v>438414.55219825346</v>
      </c>
      <c r="AJ43" s="1605">
        <f t="shared" si="190"/>
        <v>507589</v>
      </c>
      <c r="AK43" s="1603">
        <v>59765.640286087859</v>
      </c>
      <c r="AL43" s="2685">
        <v>69863</v>
      </c>
      <c r="AM43" s="1606">
        <f t="shared" si="172"/>
        <v>176398.71679809806</v>
      </c>
      <c r="AN43" s="1606">
        <f t="shared" si="173"/>
        <v>203379</v>
      </c>
      <c r="AO43" s="1604">
        <f t="shared" si="191"/>
        <v>498180.19248434133</v>
      </c>
      <c r="AP43" s="1604">
        <f t="shared" si="192"/>
        <v>577452</v>
      </c>
      <c r="AQ43" s="1603">
        <v>60365.640286087859</v>
      </c>
      <c r="AR43" s="1603">
        <v>71286</v>
      </c>
      <c r="AS43" s="1604">
        <f t="shared" si="193"/>
        <v>558545.8327704292</v>
      </c>
      <c r="AT43" s="1605">
        <f t="shared" si="194"/>
        <v>648738</v>
      </c>
      <c r="AU43" s="1603">
        <v>55858.693383806502</v>
      </c>
      <c r="AV43" s="1603">
        <v>68596</v>
      </c>
      <c r="AW43" s="1604">
        <f t="shared" si="195"/>
        <v>614404.5261542357</v>
      </c>
      <c r="AX43" s="1605">
        <f t="shared" si="196"/>
        <v>717334</v>
      </c>
      <c r="AY43" s="1603">
        <v>60595.460692104396</v>
      </c>
      <c r="AZ43" s="1603">
        <v>67496</v>
      </c>
      <c r="BA43" s="1606">
        <f t="shared" si="175"/>
        <v>176819.79436199876</v>
      </c>
      <c r="BB43" s="1606">
        <f t="shared" si="176"/>
        <v>207378</v>
      </c>
      <c r="BC43" s="1522">
        <f t="shared" si="177"/>
        <v>353218.51116009685</v>
      </c>
      <c r="BD43" s="1522">
        <f t="shared" si="178"/>
        <v>410757</v>
      </c>
      <c r="BE43" s="1604">
        <f t="shared" si="197"/>
        <v>674999.98684634012</v>
      </c>
      <c r="BF43" s="1604">
        <f t="shared" si="198"/>
        <v>784830</v>
      </c>
      <c r="BG43" s="26"/>
      <c r="BH43" s="26"/>
      <c r="BI43" s="26"/>
      <c r="BJ43" s="26"/>
    </row>
    <row r="44" spans="2:62" x14ac:dyDescent="0.25">
      <c r="B44" s="1602" t="s">
        <v>711</v>
      </c>
      <c r="C44" s="91" t="s">
        <v>52</v>
      </c>
      <c r="D44" s="1494">
        <v>35999.99929847147</v>
      </c>
      <c r="E44" s="1603">
        <v>3020.6728437283095</v>
      </c>
      <c r="F44" s="1603">
        <v>1500</v>
      </c>
      <c r="G44" s="1603">
        <v>2454.7983992138852</v>
      </c>
      <c r="H44" s="1603">
        <v>0</v>
      </c>
      <c r="I44" s="1604">
        <f t="shared" si="179"/>
        <v>5475.4712429421943</v>
      </c>
      <c r="J44" s="1605">
        <f t="shared" si="180"/>
        <v>1500</v>
      </c>
      <c r="K44" s="1603">
        <v>2503.6747524974162</v>
      </c>
      <c r="L44" s="1603">
        <v>1500</v>
      </c>
      <c r="M44" s="1606">
        <f t="shared" si="168"/>
        <v>7979.1459954396105</v>
      </c>
      <c r="N44" s="1606">
        <f t="shared" si="169"/>
        <v>3000</v>
      </c>
      <c r="O44" s="1603">
        <v>3089.4441086909574</v>
      </c>
      <c r="P44" s="1603">
        <v>3000</v>
      </c>
      <c r="Q44" s="1604">
        <f t="shared" si="181"/>
        <v>11068.590104130568</v>
      </c>
      <c r="R44" s="1604">
        <f t="shared" si="182"/>
        <v>6000</v>
      </c>
      <c r="S44" s="1603">
        <v>3089.4441086909574</v>
      </c>
      <c r="T44" s="2685">
        <v>0</v>
      </c>
      <c r="U44" s="1604">
        <f t="shared" si="183"/>
        <v>14158.034212821525</v>
      </c>
      <c r="V44" s="1604">
        <f t="shared" si="184"/>
        <v>6000</v>
      </c>
      <c r="W44" s="1603">
        <v>3003.644490444779</v>
      </c>
      <c r="X44" s="2685">
        <v>2000</v>
      </c>
      <c r="Y44" s="1606">
        <f t="shared" si="170"/>
        <v>9182.5327078266928</v>
      </c>
      <c r="Z44" s="1606">
        <f t="shared" si="171"/>
        <v>5000</v>
      </c>
      <c r="AA44" s="1522">
        <f t="shared" si="185"/>
        <v>17161.678703266305</v>
      </c>
      <c r="AB44" s="1522">
        <f t="shared" si="186"/>
        <v>8000</v>
      </c>
      <c r="AC44" s="1603">
        <v>3143.2437269371362</v>
      </c>
      <c r="AD44" s="1603">
        <v>2000</v>
      </c>
      <c r="AE44" s="1604">
        <f t="shared" si="187"/>
        <v>20304.922430203442</v>
      </c>
      <c r="AF44" s="1605">
        <f t="shared" si="188"/>
        <v>10000</v>
      </c>
      <c r="AG44" s="1603">
        <v>3077.1870203700746</v>
      </c>
      <c r="AH44" s="1603">
        <v>2000</v>
      </c>
      <c r="AI44" s="1604">
        <f t="shared" si="189"/>
        <v>23382.109450573516</v>
      </c>
      <c r="AJ44" s="1605">
        <f t="shared" si="190"/>
        <v>12000</v>
      </c>
      <c r="AK44" s="1603">
        <v>3187.500815258019</v>
      </c>
      <c r="AL44" s="2685">
        <v>2000</v>
      </c>
      <c r="AM44" s="1606">
        <f t="shared" si="172"/>
        <v>9407.9315625652307</v>
      </c>
      <c r="AN44" s="1606">
        <f t="shared" si="173"/>
        <v>6000</v>
      </c>
      <c r="AO44" s="1604">
        <f t="shared" si="191"/>
        <v>26569.610265831536</v>
      </c>
      <c r="AP44" s="1604">
        <f t="shared" si="192"/>
        <v>14000</v>
      </c>
      <c r="AQ44" s="1603">
        <v>3219.500815258019</v>
      </c>
      <c r="AR44" s="1603">
        <v>2200</v>
      </c>
      <c r="AS44" s="1604">
        <f t="shared" si="193"/>
        <v>29789.111081089555</v>
      </c>
      <c r="AT44" s="1605">
        <f t="shared" si="194"/>
        <v>16200</v>
      </c>
      <c r="AU44" s="1603">
        <v>2979.1303138030135</v>
      </c>
      <c r="AV44" s="1603">
        <v>2000</v>
      </c>
      <c r="AW44" s="1604">
        <f t="shared" si="195"/>
        <v>32768.241394892568</v>
      </c>
      <c r="AX44" s="1605">
        <f t="shared" si="196"/>
        <v>18200</v>
      </c>
      <c r="AY44" s="1603">
        <v>3231.7579035789013</v>
      </c>
      <c r="AZ44" s="1603">
        <v>3000</v>
      </c>
      <c r="BA44" s="1606">
        <f t="shared" si="175"/>
        <v>9430.3890326399342</v>
      </c>
      <c r="BB44" s="1606">
        <f t="shared" si="176"/>
        <v>7200</v>
      </c>
      <c r="BC44" s="1522">
        <f t="shared" si="177"/>
        <v>18838.320595205165</v>
      </c>
      <c r="BD44" s="1522">
        <f t="shared" si="178"/>
        <v>13200</v>
      </c>
      <c r="BE44" s="1604">
        <f t="shared" si="197"/>
        <v>35999.99929847147</v>
      </c>
      <c r="BF44" s="1604">
        <f t="shared" si="198"/>
        <v>21200</v>
      </c>
      <c r="BG44" s="26"/>
      <c r="BH44" s="26"/>
      <c r="BI44" s="26"/>
      <c r="BJ44" s="26"/>
    </row>
    <row r="45" spans="2:62" x14ac:dyDescent="0.25">
      <c r="B45" s="1602" t="s">
        <v>70</v>
      </c>
      <c r="C45" s="91" t="s">
        <v>52</v>
      </c>
      <c r="D45" s="1494">
        <v>202499.99605390202</v>
      </c>
      <c r="E45" s="1603">
        <v>16991.284745971738</v>
      </c>
      <c r="F45" s="1603">
        <v>15366.800000000001</v>
      </c>
      <c r="G45" s="1603">
        <v>13808.240995578104</v>
      </c>
      <c r="H45" s="1603">
        <v>12462.720000000001</v>
      </c>
      <c r="I45" s="1604">
        <f t="shared" si="179"/>
        <v>30799.525741549842</v>
      </c>
      <c r="J45" s="1605">
        <f t="shared" si="180"/>
        <v>27829.520000000004</v>
      </c>
      <c r="K45" s="1603">
        <v>14083.170482797965</v>
      </c>
      <c r="L45" s="1603">
        <v>13194.800000000001</v>
      </c>
      <c r="M45" s="1606">
        <f t="shared" si="168"/>
        <v>44882.696224347805</v>
      </c>
      <c r="N45" s="1606">
        <f t="shared" si="169"/>
        <v>41024.320000000007</v>
      </c>
      <c r="O45" s="1603">
        <v>17378.123111386634</v>
      </c>
      <c r="P45" s="1603">
        <v>15479.4</v>
      </c>
      <c r="Q45" s="1604">
        <f t="shared" si="181"/>
        <v>62260.819335734443</v>
      </c>
      <c r="R45" s="1604">
        <f t="shared" si="182"/>
        <v>56503.720000000008</v>
      </c>
      <c r="S45" s="1603">
        <v>17378.123111386634</v>
      </c>
      <c r="T45" s="2685">
        <v>14930.92</v>
      </c>
      <c r="U45" s="1604">
        <f t="shared" si="183"/>
        <v>79638.94244712108</v>
      </c>
      <c r="V45" s="1604">
        <f t="shared" si="184"/>
        <v>71434.640000000014</v>
      </c>
      <c r="W45" s="1603">
        <v>16895.500258751879</v>
      </c>
      <c r="X45" s="2685">
        <v>14953.04</v>
      </c>
      <c r="Y45" s="1606">
        <f t="shared" si="170"/>
        <v>51651.746481525144</v>
      </c>
      <c r="Z45" s="1606">
        <f t="shared" si="171"/>
        <v>45363.360000000001</v>
      </c>
      <c r="AA45" s="1522">
        <f t="shared" si="185"/>
        <v>96534.442705872949</v>
      </c>
      <c r="AB45" s="1522">
        <f t="shared" si="186"/>
        <v>86387.680000000008</v>
      </c>
      <c r="AC45" s="1603">
        <v>17680.745964021393</v>
      </c>
      <c r="AD45" s="1603">
        <v>15818.2</v>
      </c>
      <c r="AE45" s="1604">
        <f t="shared" si="187"/>
        <v>114215.18866989434</v>
      </c>
      <c r="AF45" s="1605">
        <f t="shared" si="188"/>
        <v>102205.88</v>
      </c>
      <c r="AG45" s="1603">
        <v>17309.176989581672</v>
      </c>
      <c r="AH45" s="1603">
        <v>14896.44</v>
      </c>
      <c r="AI45" s="1604">
        <f t="shared" si="189"/>
        <v>131524.36565947603</v>
      </c>
      <c r="AJ45" s="1605">
        <f t="shared" si="190"/>
        <v>117102.32</v>
      </c>
      <c r="AK45" s="1603">
        <v>17929.692085826355</v>
      </c>
      <c r="AL45" s="2685">
        <v>15147.28</v>
      </c>
      <c r="AM45" s="1606">
        <f t="shared" si="172"/>
        <v>52919.615039429416</v>
      </c>
      <c r="AN45" s="1606">
        <f t="shared" si="173"/>
        <v>45861.919999999998</v>
      </c>
      <c r="AO45" s="1604">
        <f t="shared" si="191"/>
        <v>149454.05774530239</v>
      </c>
      <c r="AP45" s="1604">
        <f t="shared" si="192"/>
        <v>132249.60000000001</v>
      </c>
      <c r="AQ45" s="1603">
        <v>18109.692085826355</v>
      </c>
      <c r="AR45" s="1603">
        <v>14377.6</v>
      </c>
      <c r="AS45" s="1604">
        <f t="shared" si="193"/>
        <v>167563.74983112875</v>
      </c>
      <c r="AT45" s="1604">
        <f t="shared" si="194"/>
        <v>146627.20000000001</v>
      </c>
      <c r="AU45" s="1603">
        <v>16757.608015141952</v>
      </c>
      <c r="AV45" s="1603">
        <v>14900.32</v>
      </c>
      <c r="AW45" s="1604">
        <f t="shared" si="195"/>
        <v>184321.35784627069</v>
      </c>
      <c r="AX45" s="1604">
        <f t="shared" si="196"/>
        <v>161527.52000000002</v>
      </c>
      <c r="AY45" s="1603">
        <v>18178.63820763132</v>
      </c>
      <c r="AZ45" s="1603">
        <v>14410.28</v>
      </c>
      <c r="BA45" s="1606">
        <f t="shared" si="175"/>
        <v>53045.938308599623</v>
      </c>
      <c r="BB45" s="1606">
        <f t="shared" si="176"/>
        <v>43688.2</v>
      </c>
      <c r="BC45" s="1522">
        <f t="shared" si="177"/>
        <v>105965.55334802903</v>
      </c>
      <c r="BD45" s="1522">
        <f t="shared" si="178"/>
        <v>89550.12</v>
      </c>
      <c r="BE45" s="1604">
        <f t="shared" si="197"/>
        <v>202499.99605390202</v>
      </c>
      <c r="BF45" s="1604">
        <f t="shared" si="198"/>
        <v>175937.80000000002</v>
      </c>
      <c r="BG45" s="26"/>
      <c r="BH45" s="26"/>
      <c r="BI45" s="26"/>
      <c r="BJ45" s="26"/>
    </row>
    <row r="46" spans="2:62" ht="15.75" x14ac:dyDescent="0.25">
      <c r="B46" s="1608" t="s">
        <v>23</v>
      </c>
      <c r="C46" s="1609" t="s">
        <v>52</v>
      </c>
      <c r="D46" s="236">
        <f t="shared" ref="D46:T46" si="199">SUM(D37:D45)</f>
        <v>7086648.7690393208</v>
      </c>
      <c r="E46" s="1610">
        <f t="shared" si="199"/>
        <v>594899.32461719774</v>
      </c>
      <c r="F46" s="1610">
        <f t="shared" si="199"/>
        <v>618741.78052477411</v>
      </c>
      <c r="G46" s="1610">
        <f t="shared" ref="G46:H46" si="200">SUM(G37:G45)</f>
        <v>484811.73184964916</v>
      </c>
      <c r="H46" s="1610">
        <f t="shared" si="200"/>
        <v>498804.11874146631</v>
      </c>
      <c r="I46" s="1611">
        <f t="shared" si="199"/>
        <v>1079711.0564668472</v>
      </c>
      <c r="J46" s="1611">
        <f t="shared" si="199"/>
        <v>1117545.8992662404</v>
      </c>
      <c r="K46" s="1610">
        <f t="shared" ref="K46:L46" si="201">SUM(K37:K45)</f>
        <v>494484.81183015963</v>
      </c>
      <c r="L46" s="1610">
        <f t="shared" si="201"/>
        <v>525438.09159155493</v>
      </c>
      <c r="M46" s="1613">
        <f t="shared" si="199"/>
        <v>1574195.8682970065</v>
      </c>
      <c r="N46" s="1613">
        <f t="shared" si="199"/>
        <v>1642983.9908577956</v>
      </c>
      <c r="O46" s="1610">
        <f t="shared" ref="O46:P46" si="202">SUM(O37:O45)</f>
        <v>607825.24589575664</v>
      </c>
      <c r="P46" s="1610">
        <f t="shared" si="202"/>
        <v>612922.40082174586</v>
      </c>
      <c r="Q46" s="1611">
        <f t="shared" si="199"/>
        <v>2182021.1141927629</v>
      </c>
      <c r="R46" s="1611">
        <f t="shared" si="199"/>
        <v>2255906.3916795417</v>
      </c>
      <c r="S46" s="1610">
        <f t="shared" ref="S46" si="203">SUM(S37:S45)</f>
        <v>607825.24589575664</v>
      </c>
      <c r="T46" s="2687">
        <f t="shared" si="199"/>
        <v>603452.79500000004</v>
      </c>
      <c r="U46" s="1611">
        <f t="shared" ref="U46:W46" si="204">SUM(U37:U45)</f>
        <v>2789846.3600885202</v>
      </c>
      <c r="V46" s="1611">
        <f t="shared" si="204"/>
        <v>2859359.1866795416</v>
      </c>
      <c r="W46" s="1610">
        <f t="shared" si="204"/>
        <v>590850.38216128922</v>
      </c>
      <c r="X46" s="2687">
        <f t="shared" ref="X46" si="205">SUM(X37:X45)</f>
        <v>584780.12000000011</v>
      </c>
      <c r="Y46" s="1613">
        <f t="shared" ref="Y46:AD46" si="206">SUM(Y37:Y45)</f>
        <v>1806500.8739528027</v>
      </c>
      <c r="Z46" s="1613">
        <f t="shared" si="206"/>
        <v>1801155.3158217459</v>
      </c>
      <c r="AA46" s="1614">
        <f t="shared" si="206"/>
        <v>3380696.7422498092</v>
      </c>
      <c r="AB46" s="1614">
        <f t="shared" si="206"/>
        <v>3444139.3066795412</v>
      </c>
      <c r="AC46" s="1610">
        <f t="shared" si="206"/>
        <v>619149.12995215133</v>
      </c>
      <c r="AD46" s="1610">
        <f t="shared" si="206"/>
        <v>628447.6</v>
      </c>
      <c r="AE46" s="1611">
        <f t="shared" ref="AE46:AH46" si="207">SUM(AE37:AE45)</f>
        <v>3999845.8722019601</v>
      </c>
      <c r="AF46" s="1611">
        <f t="shared" si="207"/>
        <v>4072586.9066795409</v>
      </c>
      <c r="AG46" s="1610">
        <f t="shared" si="207"/>
        <v>605400.26536226121</v>
      </c>
      <c r="AH46" s="1610">
        <f t="shared" si="207"/>
        <v>592727.31999999995</v>
      </c>
      <c r="AI46" s="1611">
        <f t="shared" ref="AI46:AN46" si="208">SUM(AI37:AI45)</f>
        <v>4605246.1375642214</v>
      </c>
      <c r="AJ46" s="1611">
        <f t="shared" si="208"/>
        <v>4665314.2266795412</v>
      </c>
      <c r="AK46" s="1610">
        <f t="shared" si="208"/>
        <v>627225.09016371961</v>
      </c>
      <c r="AL46" s="2687">
        <f t="shared" si="208"/>
        <v>605363.84000000008</v>
      </c>
      <c r="AM46" s="1613">
        <f t="shared" si="208"/>
        <v>1851774.4854781323</v>
      </c>
      <c r="AN46" s="1613">
        <f t="shared" si="208"/>
        <v>1826538.76</v>
      </c>
      <c r="AO46" s="1611">
        <f t="shared" ref="AO46:AT46" si="209">SUM(AO37:AO45)</f>
        <v>5232471.2277279422</v>
      </c>
      <c r="AP46" s="1611">
        <f t="shared" si="209"/>
        <v>5270678.066679541</v>
      </c>
      <c r="AQ46" s="1610">
        <f t="shared" si="209"/>
        <v>632876.06984179234</v>
      </c>
      <c r="AR46" s="1610">
        <f t="shared" si="209"/>
        <v>564083.79999999993</v>
      </c>
      <c r="AS46" s="1611">
        <f t="shared" si="209"/>
        <v>5865347.297569735</v>
      </c>
      <c r="AT46" s="1611">
        <f t="shared" si="209"/>
        <v>5834761.8666795418</v>
      </c>
      <c r="AU46" s="1610">
        <f t="shared" ref="AU46:AX46" si="210">SUM(AU37:AU45)</f>
        <v>586000.42109429813</v>
      </c>
      <c r="AV46" s="1610">
        <f t="shared" si="210"/>
        <v>588501.96</v>
      </c>
      <c r="AW46" s="1611">
        <f t="shared" si="210"/>
        <v>6451347.7186640333</v>
      </c>
      <c r="AX46" s="1611">
        <f t="shared" si="210"/>
        <v>6423263.8266795408</v>
      </c>
      <c r="AY46" s="1610">
        <f t="shared" ref="AY46:BF46" si="211">SUM(AY37:AY45)</f>
        <v>635301.05037528777</v>
      </c>
      <c r="AZ46" s="1610">
        <f t="shared" si="211"/>
        <v>577211.84000000008</v>
      </c>
      <c r="BA46" s="1613">
        <f t="shared" si="211"/>
        <v>1854177.5413113786</v>
      </c>
      <c r="BB46" s="1613">
        <f t="shared" si="211"/>
        <v>1729797.5999999999</v>
      </c>
      <c r="BC46" s="1614">
        <f t="shared" si="211"/>
        <v>3705952.0267895111</v>
      </c>
      <c r="BD46" s="1614">
        <f t="shared" si="211"/>
        <v>3556336.3600000003</v>
      </c>
      <c r="BE46" s="1611">
        <f t="shared" si="211"/>
        <v>7086648.7690393208</v>
      </c>
      <c r="BF46" s="1611">
        <f t="shared" si="211"/>
        <v>7000475.6666795406</v>
      </c>
      <c r="BG46" s="26"/>
      <c r="BH46" s="26"/>
      <c r="BI46" s="26"/>
      <c r="BJ46" s="26"/>
    </row>
    <row r="47" spans="2:62" s="183" customFormat="1" ht="18.75" x14ac:dyDescent="0.25">
      <c r="B47" s="1601" t="s">
        <v>983</v>
      </c>
      <c r="C47" s="1601"/>
      <c r="D47" s="299"/>
      <c r="E47" s="1601"/>
      <c r="F47" s="1601"/>
      <c r="G47" s="1601"/>
      <c r="H47" s="1601"/>
      <c r="I47" s="1601"/>
      <c r="J47" s="1601"/>
      <c r="K47" s="1601"/>
      <c r="L47" s="1601"/>
      <c r="M47" s="1601"/>
      <c r="N47" s="1601"/>
      <c r="O47" s="1601"/>
      <c r="P47" s="1601"/>
      <c r="Q47" s="1601"/>
      <c r="R47" s="1601"/>
      <c r="S47" s="1601"/>
      <c r="T47" s="2684"/>
      <c r="U47" s="1601"/>
      <c r="V47" s="1601"/>
      <c r="W47" s="1601"/>
      <c r="X47" s="2684"/>
      <c r="Y47" s="1601"/>
      <c r="Z47" s="1601"/>
      <c r="AA47" s="1601"/>
      <c r="AB47" s="1601"/>
      <c r="AC47" s="1601"/>
      <c r="AD47" s="1601"/>
      <c r="AE47" s="1601"/>
      <c r="AF47" s="1601"/>
      <c r="AG47" s="1601"/>
      <c r="AH47" s="1601"/>
      <c r="AI47" s="1601"/>
      <c r="AJ47" s="1601"/>
      <c r="AK47" s="1601"/>
      <c r="AL47" s="2684"/>
      <c r="AM47" s="1601"/>
      <c r="AN47" s="1601"/>
      <c r="AO47" s="1601"/>
      <c r="AP47" s="1601"/>
      <c r="AQ47" s="1601"/>
      <c r="AR47" s="1601"/>
      <c r="AS47" s="1601"/>
      <c r="AT47" s="1601"/>
      <c r="AU47" s="1601"/>
      <c r="AV47" s="1601"/>
      <c r="AW47" s="1601"/>
      <c r="AX47" s="1601"/>
      <c r="AY47" s="1601"/>
      <c r="AZ47" s="1601"/>
      <c r="BA47" s="1601"/>
      <c r="BB47" s="1601"/>
      <c r="BC47" s="1601"/>
      <c r="BD47" s="1601"/>
      <c r="BE47" s="1601"/>
      <c r="BF47" s="1601"/>
      <c r="BG47" s="26"/>
      <c r="BH47" s="26"/>
      <c r="BI47" s="26"/>
      <c r="BJ47" s="26"/>
    </row>
    <row r="48" spans="2:62" x14ac:dyDescent="0.25">
      <c r="B48" s="1602" t="s">
        <v>45</v>
      </c>
      <c r="C48" s="91" t="s">
        <v>224</v>
      </c>
      <c r="D48" s="1494">
        <f>+D34</f>
        <v>1232.8649365234196</v>
      </c>
      <c r="E48" s="1603">
        <f t="shared" ref="E48:AD48" si="212">+E34</f>
        <v>1233.5952947294375</v>
      </c>
      <c r="F48" s="1603">
        <f t="shared" si="212"/>
        <v>1187.7850444458809</v>
      </c>
      <c r="G48" s="1603">
        <f t="shared" ref="G48:H48" si="213">+G34</f>
        <v>1238.0183765576091</v>
      </c>
      <c r="H48" s="1603">
        <f t="shared" si="213"/>
        <v>1222.9624311272862</v>
      </c>
      <c r="I48" s="1604">
        <f t="shared" si="212"/>
        <v>1238.8649365234196</v>
      </c>
      <c r="J48" s="1604">
        <f t="shared" si="212"/>
        <v>1203.5383136557732</v>
      </c>
      <c r="K48" s="1603">
        <f t="shared" si="212"/>
        <v>1238.0829800516271</v>
      </c>
      <c r="L48" s="1603">
        <f t="shared" ref="L48" si="214">+L34</f>
        <v>1232.0419910617973</v>
      </c>
      <c r="M48" s="1606">
        <f t="shared" si="212"/>
        <v>1232.8649365234196</v>
      </c>
      <c r="N48" s="1606">
        <f t="shared" si="212"/>
        <v>1212.7060542212964</v>
      </c>
      <c r="O48" s="1603">
        <f t="shared" ref="O48:P48" si="215">+O34</f>
        <v>1231.9948149207976</v>
      </c>
      <c r="P48" s="1603">
        <f t="shared" si="215"/>
        <v>1204.1634709917587</v>
      </c>
      <c r="Q48" s="1604">
        <f t="shared" si="212"/>
        <v>1232.8649365234196</v>
      </c>
      <c r="R48" s="1604">
        <f t="shared" si="212"/>
        <v>1210.365782415417</v>
      </c>
      <c r="S48" s="1603">
        <f t="shared" si="212"/>
        <v>1231.9948149207976</v>
      </c>
      <c r="T48" s="1603">
        <f t="shared" ref="T48" si="216">+T34</f>
        <v>1234.9862834976009</v>
      </c>
      <c r="U48" s="1604">
        <f t="shared" ref="U48:X48" si="217">+U34</f>
        <v>1232.8649365234196</v>
      </c>
      <c r="V48" s="1604">
        <f t="shared" si="217"/>
        <v>1215.511839454663</v>
      </c>
      <c r="W48" s="1603">
        <f t="shared" si="217"/>
        <v>1231.7433222180225</v>
      </c>
      <c r="X48" s="1603">
        <f t="shared" si="217"/>
        <v>1209.2577830327477</v>
      </c>
      <c r="Y48" s="1606">
        <f t="shared" si="212"/>
        <v>1232.8649365234196</v>
      </c>
      <c r="Z48" s="1606">
        <f t="shared" ref="Z48" si="218">+Z34</f>
        <v>1215.9877362009743</v>
      </c>
      <c r="AA48" s="1522">
        <f t="shared" si="212"/>
        <v>1232.8649365234196</v>
      </c>
      <c r="AB48" s="1522">
        <f t="shared" si="212"/>
        <v>1214.4293106051889</v>
      </c>
      <c r="AC48" s="1603">
        <f t="shared" si="212"/>
        <v>1233.8762029559059</v>
      </c>
      <c r="AD48" s="1603">
        <f t="shared" si="212"/>
        <v>1213.617225727327</v>
      </c>
      <c r="AE48" s="1604">
        <f t="shared" ref="AE48:AH48" si="219">+AE34</f>
        <v>1232.8649365234196</v>
      </c>
      <c r="AF48" s="1604">
        <f t="shared" si="219"/>
        <v>1214.3036258499185</v>
      </c>
      <c r="AG48" s="1603">
        <f t="shared" si="219"/>
        <v>1231.9597460336206</v>
      </c>
      <c r="AH48" s="1603">
        <f t="shared" si="219"/>
        <v>1192.6446855758827</v>
      </c>
      <c r="AI48" s="1604">
        <f t="shared" ref="AI48:AN48" si="220">+AI34</f>
        <v>1232.8649365234196</v>
      </c>
      <c r="AJ48" s="1604">
        <f t="shared" si="220"/>
        <v>1211.5484190849647</v>
      </c>
      <c r="AK48" s="1603">
        <f t="shared" si="220"/>
        <v>1232.2656566383539</v>
      </c>
      <c r="AL48" s="1603">
        <f t="shared" si="220"/>
        <v>1185.245139721455</v>
      </c>
      <c r="AM48" s="1606">
        <f t="shared" si="220"/>
        <v>1232.8649365234196</v>
      </c>
      <c r="AN48" s="1606">
        <f t="shared" si="220"/>
        <v>1197.4343856515384</v>
      </c>
      <c r="AO48" s="1604">
        <f t="shared" ref="AO48:AT48" si="221">+AO34</f>
        <v>1232.8649365234196</v>
      </c>
      <c r="AP48" s="1604">
        <f t="shared" si="221"/>
        <v>1208.5357586501707</v>
      </c>
      <c r="AQ48" s="1603">
        <f t="shared" si="221"/>
        <v>1230.6607701358603</v>
      </c>
      <c r="AR48" s="1603">
        <f t="shared" si="221"/>
        <v>1153.2467171155131</v>
      </c>
      <c r="AS48" s="1604">
        <f t="shared" si="221"/>
        <v>1232.8649365234196</v>
      </c>
      <c r="AT48" s="1604">
        <f t="shared" si="221"/>
        <v>1203.1143653236345</v>
      </c>
      <c r="AU48" s="1603">
        <f t="shared" ref="AU48:AX48" si="222">+AU34</f>
        <v>1231.6688064493128</v>
      </c>
      <c r="AV48" s="1603">
        <f t="shared" si="222"/>
        <v>1152.2651862510338</v>
      </c>
      <c r="AW48" s="1604">
        <f t="shared" si="222"/>
        <v>1232.8649365234196</v>
      </c>
      <c r="AX48" s="1604">
        <f t="shared" si="222"/>
        <v>1198.4237154584041</v>
      </c>
      <c r="AY48" s="1603">
        <f t="shared" ref="AY48:BF48" si="223">+AY34</f>
        <v>1230.6992213543301</v>
      </c>
      <c r="AZ48" s="1603">
        <f t="shared" si="223"/>
        <v>1155.4695675587152</v>
      </c>
      <c r="BA48" s="1606">
        <f t="shared" si="223"/>
        <v>1232.8649365234196</v>
      </c>
      <c r="BB48" s="1606">
        <f t="shared" si="223"/>
        <v>1153.6451490333775</v>
      </c>
      <c r="BC48" s="1522">
        <f t="shared" si="223"/>
        <v>1232.8649365234196</v>
      </c>
      <c r="BD48" s="1522">
        <f t="shared" si="223"/>
        <v>1176.071232512028</v>
      </c>
      <c r="BE48" s="1604">
        <f t="shared" si="223"/>
        <v>1232.8649365234196</v>
      </c>
      <c r="BF48" s="1604">
        <f t="shared" si="223"/>
        <v>1194.9055329052749</v>
      </c>
      <c r="BG48" s="26"/>
      <c r="BH48" s="26"/>
      <c r="BI48" s="26"/>
      <c r="BJ48" s="26"/>
    </row>
    <row r="49" spans="2:62" x14ac:dyDescent="0.25">
      <c r="B49" s="1602" t="s">
        <v>72</v>
      </c>
      <c r="C49" s="91" t="s">
        <v>224</v>
      </c>
      <c r="D49" s="1494">
        <v>17</v>
      </c>
      <c r="E49" s="1603">
        <f>+$D$49</f>
        <v>17</v>
      </c>
      <c r="F49" s="1617">
        <f t="shared" ref="F49" si="224">+F38/F$61*1000</f>
        <v>53.845953614285342</v>
      </c>
      <c r="G49" s="1603">
        <f>+$D$49</f>
        <v>17</v>
      </c>
      <c r="H49" s="1617">
        <f t="shared" ref="H49" si="225">+H38/H$61*1000</f>
        <v>32.65097827761516</v>
      </c>
      <c r="I49" s="1604">
        <f>+$D$49</f>
        <v>17</v>
      </c>
      <c r="J49" s="1620">
        <f t="shared" ref="J49:J56" si="226">+J38/J$61*1000</f>
        <v>44.354340283267554</v>
      </c>
      <c r="K49" s="1603">
        <f>+$D$49</f>
        <v>17</v>
      </c>
      <c r="L49" s="1617">
        <f t="shared" ref="L49" si="227">+L38/L$61*1000</f>
        <v>13.381028890168855</v>
      </c>
      <c r="M49" s="1618">
        <f>+$D$49</f>
        <v>17</v>
      </c>
      <c r="N49" s="1618">
        <f t="shared" ref="N49:N56" si="228">+N38/N$61*1000</f>
        <v>34.392282431494294</v>
      </c>
      <c r="O49" s="1603">
        <f>+$D$49</f>
        <v>17</v>
      </c>
      <c r="P49" s="1617">
        <f t="shared" ref="P49" si="229">+P38/P$61*1000</f>
        <v>33.980645244647725</v>
      </c>
      <c r="Q49" s="1604">
        <f>+$D$49</f>
        <v>17</v>
      </c>
      <c r="R49" s="1620">
        <f t="shared" ref="R49:R56" si="230">+R38/R$61*1000</f>
        <v>34.279512924104822</v>
      </c>
      <c r="S49" s="1603">
        <f>+$D$49</f>
        <v>17</v>
      </c>
      <c r="T49" s="1617">
        <f t="shared" ref="T49" si="231">+T38/T$61*1000</f>
        <v>27.320486614354643</v>
      </c>
      <c r="U49" s="1604">
        <f>+$D$49</f>
        <v>17</v>
      </c>
      <c r="V49" s="1620">
        <f t="shared" ref="V49:V56" si="232">+V38/V$61*1000</f>
        <v>32.824971190447656</v>
      </c>
      <c r="W49" s="1603">
        <f>+$D$49</f>
        <v>17</v>
      </c>
      <c r="X49" s="1617">
        <f t="shared" ref="X49" si="233">+X38/X$61*1000</f>
        <v>27.951506850780845</v>
      </c>
      <c r="Y49" s="1618">
        <f>+$D$49</f>
        <v>17</v>
      </c>
      <c r="Z49" s="1618">
        <f t="shared" ref="Z49:Z56" si="234">+Z38/Z$61*1000</f>
        <v>29.801143477908163</v>
      </c>
      <c r="AA49" s="1522">
        <f>+$D$49</f>
        <v>17</v>
      </c>
      <c r="AB49" s="1621">
        <f t="shared" ref="AB49:AB56" si="235">+AB38/AB$61*1000</f>
        <v>31.981412164327136</v>
      </c>
      <c r="AC49" s="1603">
        <f>+$D$49</f>
        <v>17</v>
      </c>
      <c r="AD49" s="1617">
        <f t="shared" ref="AD49" si="236">+AD38/AD$61*1000</f>
        <v>23.395835177200944</v>
      </c>
      <c r="AE49" s="1604">
        <f>+$D$49</f>
        <v>17</v>
      </c>
      <c r="AF49" s="1620">
        <f t="shared" ref="AF49:AF56" si="237">+AF38/AF$61*1000</f>
        <v>30.65263955459314</v>
      </c>
      <c r="AG49" s="1603">
        <f>+$D$49</f>
        <v>17</v>
      </c>
      <c r="AH49" s="1617">
        <f t="shared" ref="AH49:AH56" si="238">+AH38/AH$61*1000</f>
        <v>21.575624780148814</v>
      </c>
      <c r="AI49" s="1604">
        <f>+$D$49</f>
        <v>17</v>
      </c>
      <c r="AJ49" s="1620">
        <f t="shared" ref="AJ49:AJ56" si="239">+AJ38/AJ$61*1000</f>
        <v>29.497963831971902</v>
      </c>
      <c r="AK49" s="1603">
        <f>+$D$49</f>
        <v>17</v>
      </c>
      <c r="AL49" s="1617">
        <f t="shared" ref="AL49:AL56" si="240">+AL38/AL$61*1000</f>
        <v>28.876471551328027</v>
      </c>
      <c r="AM49" s="1618">
        <f>+$D$49</f>
        <v>17</v>
      </c>
      <c r="AN49" s="1618">
        <f t="shared" ref="AN49:AN56" si="241">+AN38/AN$61*1000</f>
        <v>24.614756643420076</v>
      </c>
      <c r="AO49" s="1604">
        <f>+$D$49</f>
        <v>17</v>
      </c>
      <c r="AP49" s="1620">
        <f t="shared" ref="AP49:AP56" si="242">+AP38/AP$61*1000</f>
        <v>29.426780874951607</v>
      </c>
      <c r="AQ49" s="1603">
        <f>+$D$49</f>
        <v>17</v>
      </c>
      <c r="AR49" s="1617">
        <f t="shared" ref="AR49:AR56" si="243">+AR38/AR$61*1000</f>
        <v>24.602158913866013</v>
      </c>
      <c r="AS49" s="1604">
        <f>+$D$49</f>
        <v>17</v>
      </c>
      <c r="AT49" s="1620">
        <f t="shared" ref="AT49:AT56" si="244">+AT38/AT$61*1000</f>
        <v>28.95370026843587</v>
      </c>
      <c r="AU49" s="1603">
        <f>+$D$49</f>
        <v>17</v>
      </c>
      <c r="AV49" s="1617">
        <f t="shared" ref="AV49:AV56" si="245">+AV38/AV$61*1000</f>
        <v>54.186755720682513</v>
      </c>
      <c r="AW49" s="1604">
        <f>+$D$49</f>
        <v>17</v>
      </c>
      <c r="AX49" s="1620">
        <f t="shared" ref="AX49:AX56" si="246">+AX38/AX$61*1000</f>
        <v>31.281356885811164</v>
      </c>
      <c r="AY49" s="1603">
        <f>+$D$49</f>
        <v>17</v>
      </c>
      <c r="AZ49" s="1617">
        <f t="shared" ref="AZ49:AZ56" si="247">+AZ38/AZ$61*1000</f>
        <v>58.147378121729766</v>
      </c>
      <c r="BA49" s="1618">
        <f>+$D$49</f>
        <v>17</v>
      </c>
      <c r="BB49" s="1618">
        <f t="shared" ref="BB49:BB56" si="248">+BB38/BB$61*1000</f>
        <v>45.756977856721036</v>
      </c>
      <c r="BC49" s="1522">
        <f>+$D$49</f>
        <v>17</v>
      </c>
      <c r="BD49" s="1621">
        <f t="shared" ref="BD49:BD56" si="249">+BD38/BD$61*1000</f>
        <v>34.929266426443654</v>
      </c>
      <c r="BE49" s="1604">
        <f>+$D$49</f>
        <v>17</v>
      </c>
      <c r="BF49" s="1620">
        <f t="shared" ref="BF49:BF56" si="250">+BF38/BF$61*1000</f>
        <v>33.481832784086194</v>
      </c>
      <c r="BG49" s="26"/>
      <c r="BH49" s="26"/>
      <c r="BI49" s="26"/>
      <c r="BJ49" s="26"/>
    </row>
    <row r="50" spans="2:62" x14ac:dyDescent="0.25">
      <c r="B50" s="1602" t="s">
        <v>696</v>
      </c>
      <c r="C50" s="91" t="s">
        <v>224</v>
      </c>
      <c r="D50" s="1494">
        <v>0</v>
      </c>
      <c r="E50" s="1603">
        <f>+$D$50</f>
        <v>0</v>
      </c>
      <c r="F50" s="1617">
        <f t="shared" ref="F50:H50" si="251">+F39/F$61*1000</f>
        <v>0.61431137256943535</v>
      </c>
      <c r="G50" s="1603">
        <f>+$D$50</f>
        <v>0</v>
      </c>
      <c r="H50" s="1617">
        <f t="shared" si="251"/>
        <v>9.686488984748113</v>
      </c>
      <c r="I50" s="1604">
        <f>+$D$50</f>
        <v>0</v>
      </c>
      <c r="J50" s="1620">
        <f t="shared" si="226"/>
        <v>4.6770479692067992</v>
      </c>
      <c r="K50" s="1603">
        <f>+$D$50</f>
        <v>0</v>
      </c>
      <c r="L50" s="1617">
        <f t="shared" ref="L50" si="252">+L39/L$61*1000</f>
        <v>5.8386637160093366</v>
      </c>
      <c r="M50" s="1618">
        <f>+$D$50</f>
        <v>0</v>
      </c>
      <c r="N50" s="1618">
        <f t="shared" si="228"/>
        <v>5.0506626313367295</v>
      </c>
      <c r="O50" s="1603">
        <f>+$D$50</f>
        <v>0</v>
      </c>
      <c r="P50" s="1617">
        <f t="shared" ref="P50" si="253">+P39/P$61*1000</f>
        <v>5.0182823623654667</v>
      </c>
      <c r="Q50" s="1604">
        <f>+$D$50</f>
        <v>0</v>
      </c>
      <c r="R50" s="1620">
        <f t="shared" si="230"/>
        <v>5.0417919386546588</v>
      </c>
      <c r="S50" s="1603">
        <f>+$D$50</f>
        <v>0</v>
      </c>
      <c r="T50" s="1617">
        <f t="shared" ref="T50" si="254">+T39/T$61*1000</f>
        <v>22.056243017844846</v>
      </c>
      <c r="U50" s="1604">
        <f>+$D$50</f>
        <v>0</v>
      </c>
      <c r="V50" s="1620">
        <f t="shared" si="232"/>
        <v>8.5980695080145981</v>
      </c>
      <c r="W50" s="1603">
        <f>+$D$50</f>
        <v>0</v>
      </c>
      <c r="X50" s="1617">
        <f t="shared" ref="X50" si="255">+X39/X$61*1000</f>
        <v>2.212259179404322</v>
      </c>
      <c r="Y50" s="1618">
        <f>+$D$50</f>
        <v>0</v>
      </c>
      <c r="Z50" s="1618">
        <f t="shared" si="234"/>
        <v>9.7012214262788294</v>
      </c>
      <c r="AA50" s="1522">
        <f>+$D$50</f>
        <v>0</v>
      </c>
      <c r="AB50" s="1621">
        <f t="shared" si="235"/>
        <v>7.4927350751866468</v>
      </c>
      <c r="AC50" s="1603">
        <f>+$D$50</f>
        <v>0</v>
      </c>
      <c r="AD50" s="1617">
        <f t="shared" ref="AD50" si="256">+AD39/AD$61*1000</f>
        <v>12.193549202817008</v>
      </c>
      <c r="AE50" s="1604">
        <f>+$D$50</f>
        <v>0</v>
      </c>
      <c r="AF50" s="1620">
        <f t="shared" si="237"/>
        <v>8.2202706928407636</v>
      </c>
      <c r="AG50" s="1603">
        <f>+$D$50</f>
        <v>0</v>
      </c>
      <c r="AH50" s="1617">
        <f t="shared" si="238"/>
        <v>24.714629804167977</v>
      </c>
      <c r="AI50" s="1604">
        <f>+$D$50</f>
        <v>0</v>
      </c>
      <c r="AJ50" s="1620">
        <f t="shared" si="239"/>
        <v>10.31849753275597</v>
      </c>
      <c r="AK50" s="1603">
        <f>+$D$50</f>
        <v>0</v>
      </c>
      <c r="AL50" s="1617">
        <f t="shared" si="240"/>
        <v>21.646130526404743</v>
      </c>
      <c r="AM50" s="1618">
        <f>+$D$50</f>
        <v>0</v>
      </c>
      <c r="AN50" s="1618">
        <f t="shared" si="241"/>
        <v>19.382529122199855</v>
      </c>
      <c r="AO50" s="1604">
        <f>+$D$50</f>
        <v>0</v>
      </c>
      <c r="AP50" s="1620">
        <f t="shared" si="242"/>
        <v>11.61591415021293</v>
      </c>
      <c r="AQ50" s="1603">
        <f>+$D$50</f>
        <v>0</v>
      </c>
      <c r="AR50" s="1617">
        <f t="shared" si="243"/>
        <v>14.141442243489873</v>
      </c>
      <c r="AS50" s="1604">
        <f>+$D$50</f>
        <v>0</v>
      </c>
      <c r="AT50" s="1620">
        <f t="shared" si="244"/>
        <v>11.863556011435804</v>
      </c>
      <c r="AU50" s="1603">
        <f>+$D$50</f>
        <v>0</v>
      </c>
      <c r="AV50" s="1617">
        <f t="shared" si="245"/>
        <v>12.198395739151911</v>
      </c>
      <c r="AW50" s="1604">
        <f>+$D$50</f>
        <v>0</v>
      </c>
      <c r="AX50" s="1620">
        <f t="shared" si="246"/>
        <v>11.894443745561128</v>
      </c>
      <c r="AY50" s="1603">
        <f>+$D$50</f>
        <v>0</v>
      </c>
      <c r="AZ50" s="1617">
        <f t="shared" si="247"/>
        <v>12.413360462114547</v>
      </c>
      <c r="BA50" s="1618">
        <f>+$D$50</f>
        <v>0</v>
      </c>
      <c r="BB50" s="1618">
        <f t="shared" si="248"/>
        <v>12.908748815469623</v>
      </c>
      <c r="BC50" s="1522">
        <f>+$D$50</f>
        <v>0</v>
      </c>
      <c r="BD50" s="1621">
        <f t="shared" si="249"/>
        <v>16.224210531487842</v>
      </c>
      <c r="BE50" s="1604">
        <f>+$D$50</f>
        <v>0</v>
      </c>
      <c r="BF50" s="1620">
        <f t="shared" si="250"/>
        <v>11.936945897925289</v>
      </c>
      <c r="BG50" s="26"/>
      <c r="BH50" s="26"/>
      <c r="BI50" s="26"/>
      <c r="BJ50" s="26"/>
    </row>
    <row r="51" spans="2:62" x14ac:dyDescent="0.25">
      <c r="B51" s="1602" t="s">
        <v>46</v>
      </c>
      <c r="C51" s="91" t="s">
        <v>224</v>
      </c>
      <c r="D51" s="1494">
        <v>21.945931729061243</v>
      </c>
      <c r="E51" s="1603">
        <f>+$D$51</f>
        <v>21.945931729061243</v>
      </c>
      <c r="F51" s="1617">
        <f t="shared" ref="F51:H51" si="257">+F40/F$61*1000</f>
        <v>20.186375823203267</v>
      </c>
      <c r="G51" s="1603">
        <f>+$D$51</f>
        <v>21.945931729061243</v>
      </c>
      <c r="H51" s="1617">
        <f t="shared" si="257"/>
        <v>20.335849637960255</v>
      </c>
      <c r="I51" s="1604">
        <f>+$D$51</f>
        <v>21.945931729061243</v>
      </c>
      <c r="J51" s="1620">
        <f t="shared" si="226"/>
        <v>20.253313747416414</v>
      </c>
      <c r="K51" s="1603">
        <f>+$D$51</f>
        <v>21.945931729061243</v>
      </c>
      <c r="L51" s="1617">
        <f t="shared" ref="L51" si="258">+L40/L$61*1000</f>
        <v>22.281504835238128</v>
      </c>
      <c r="M51" s="1618">
        <f>+$D$51</f>
        <v>21.945931729061243</v>
      </c>
      <c r="N51" s="1618">
        <f t="shared" si="228"/>
        <v>20.905648161870811</v>
      </c>
      <c r="O51" s="1603">
        <f>+$D$51</f>
        <v>21.945931729061243</v>
      </c>
      <c r="P51" s="1617">
        <f t="shared" ref="P51" si="259">+P40/P$61*1000</f>
        <v>21.850976136025945</v>
      </c>
      <c r="Q51" s="1604">
        <f>+$D$51</f>
        <v>21.945931729061243</v>
      </c>
      <c r="R51" s="1620">
        <f t="shared" si="230"/>
        <v>21.164624205273565</v>
      </c>
      <c r="S51" s="1603">
        <f>+$D$51</f>
        <v>21.945931729061243</v>
      </c>
      <c r="T51" s="1617">
        <f t="shared" ref="T51" si="260">+T40/T$61*1000</f>
        <v>22.286637394078866</v>
      </c>
      <c r="U51" s="1604">
        <f>+$D$51</f>
        <v>21.945931729061243</v>
      </c>
      <c r="V51" s="1620">
        <f t="shared" si="232"/>
        <v>21.39914192890172</v>
      </c>
      <c r="W51" s="1603">
        <f>+$D$51</f>
        <v>21.945931729061243</v>
      </c>
      <c r="X51" s="1617">
        <f t="shared" ref="X51" si="261">+X40/X$61*1000</f>
        <v>19.760530300193139</v>
      </c>
      <c r="Y51" s="1618">
        <f>+$D$51</f>
        <v>21.945931729061243</v>
      </c>
      <c r="Z51" s="1618">
        <f t="shared" si="234"/>
        <v>21.305300136497827</v>
      </c>
      <c r="AA51" s="1522">
        <f>+$D$51</f>
        <v>21.945931729061243</v>
      </c>
      <c r="AB51" s="1621">
        <f t="shared" si="235"/>
        <v>21.115510915445352</v>
      </c>
      <c r="AC51" s="1603">
        <f>+$D$51</f>
        <v>21.945931729061243</v>
      </c>
      <c r="AD51" s="1617">
        <f t="shared" ref="AD51" si="262">+AD40/AD$61*1000</f>
        <v>21.769860034643639</v>
      </c>
      <c r="AE51" s="1604">
        <f>+$D$51</f>
        <v>21.945931729061243</v>
      </c>
      <c r="AF51" s="1620">
        <f t="shared" si="237"/>
        <v>21.216783222256879</v>
      </c>
      <c r="AG51" s="1603">
        <f>+$D$51</f>
        <v>21.945931729061243</v>
      </c>
      <c r="AH51" s="1617">
        <f t="shared" si="238"/>
        <v>22.126091871614964</v>
      </c>
      <c r="AI51" s="1604">
        <f>+$D$51</f>
        <v>21.945931729061243</v>
      </c>
      <c r="AJ51" s="1620">
        <f t="shared" si="239"/>
        <v>21.332455240852617</v>
      </c>
      <c r="AK51" s="1603">
        <f>+$D$51</f>
        <v>21.945931729061243</v>
      </c>
      <c r="AL51" s="1617">
        <f t="shared" si="240"/>
        <v>18.638329785941764</v>
      </c>
      <c r="AM51" s="1618">
        <f>+$D$51</f>
        <v>21.945931729061243</v>
      </c>
      <c r="AN51" s="1618">
        <f t="shared" si="241"/>
        <v>20.851285772597397</v>
      </c>
      <c r="AO51" s="1604">
        <f>+$D$51</f>
        <v>21.945931729061243</v>
      </c>
      <c r="AP51" s="1620">
        <f t="shared" si="242"/>
        <v>21.023882113821138</v>
      </c>
      <c r="AQ51" s="1603">
        <f>+$D$51</f>
        <v>21.945931729061243</v>
      </c>
      <c r="AR51" s="1617">
        <f t="shared" si="243"/>
        <v>24.232138882706433</v>
      </c>
      <c r="AS51" s="1604">
        <f>+$D$51</f>
        <v>21.945931729061243</v>
      </c>
      <c r="AT51" s="1620">
        <f t="shared" si="244"/>
        <v>21.338469260819274</v>
      </c>
      <c r="AU51" s="1603">
        <f>+$D$51</f>
        <v>21.945931729061243</v>
      </c>
      <c r="AV51" s="1617">
        <f t="shared" si="245"/>
        <v>21.365984086247813</v>
      </c>
      <c r="AW51" s="1604">
        <f>+$D$51</f>
        <v>21.945931729061243</v>
      </c>
      <c r="AX51" s="1620">
        <f t="shared" si="246"/>
        <v>21.341007402329957</v>
      </c>
      <c r="AY51" s="1603">
        <f>+$D$51</f>
        <v>21.945931729061243</v>
      </c>
      <c r="AZ51" s="1617">
        <f t="shared" si="247"/>
        <v>23.513769336890054</v>
      </c>
      <c r="BA51" s="1618">
        <f>+$D$51</f>
        <v>21.945931729061243</v>
      </c>
      <c r="BB51" s="1618">
        <f t="shared" si="248"/>
        <v>23.017656941691349</v>
      </c>
      <c r="BC51" s="1522">
        <f>+$D$51</f>
        <v>21.945931729061243</v>
      </c>
      <c r="BD51" s="1621">
        <f t="shared" si="249"/>
        <v>21.908178347499703</v>
      </c>
      <c r="BE51" s="1604">
        <f>+$D$51</f>
        <v>21.945931729061243</v>
      </c>
      <c r="BF51" s="1620">
        <f t="shared" si="250"/>
        <v>21.518968635506411</v>
      </c>
      <c r="BG51" s="26"/>
      <c r="BH51" s="26"/>
      <c r="BI51" s="26"/>
      <c r="BJ51" s="26"/>
    </row>
    <row r="52" spans="2:62" x14ac:dyDescent="0.25">
      <c r="B52" s="1602" t="s">
        <v>73</v>
      </c>
      <c r="C52" s="91" t="s">
        <v>224</v>
      </c>
      <c r="D52" s="1494">
        <v>15</v>
      </c>
      <c r="E52" s="1603">
        <f>+$D$52</f>
        <v>15</v>
      </c>
      <c r="F52" s="1617">
        <f t="shared" ref="F52:H52" si="263">+F41/F$61*1000</f>
        <v>29.151157039852151</v>
      </c>
      <c r="G52" s="1603">
        <f>+$D$52</f>
        <v>15</v>
      </c>
      <c r="H52" s="1617">
        <f t="shared" si="263"/>
        <v>25.650901247881681</v>
      </c>
      <c r="I52" s="1604">
        <f>+$D$52</f>
        <v>15</v>
      </c>
      <c r="J52" s="1620">
        <f t="shared" si="226"/>
        <v>27.583659366025717</v>
      </c>
      <c r="K52" s="1603">
        <f>+$D$52</f>
        <v>15</v>
      </c>
      <c r="L52" s="1617">
        <f t="shared" ref="L52" si="264">+L41/L$61*1000</f>
        <v>16.612604965592507</v>
      </c>
      <c r="M52" s="1618">
        <f>+$D$52</f>
        <v>15</v>
      </c>
      <c r="N52" s="1618">
        <f t="shared" si="228"/>
        <v>24.054999570986187</v>
      </c>
      <c r="O52" s="1603">
        <f>+$D$52</f>
        <v>15</v>
      </c>
      <c r="P52" s="1617">
        <f t="shared" ref="P52" si="265">+P41/P$61*1000</f>
        <v>22.667545253692001</v>
      </c>
      <c r="Q52" s="1604">
        <f>+$D$52</f>
        <v>15</v>
      </c>
      <c r="R52" s="1620">
        <f t="shared" si="230"/>
        <v>23.67490140472167</v>
      </c>
      <c r="S52" s="1603">
        <f>+$D$52</f>
        <v>15</v>
      </c>
      <c r="T52" s="1617">
        <f t="shared" ref="T52" si="266">+T41/T$61*1000</f>
        <v>25.0969129832589</v>
      </c>
      <c r="U52" s="1604">
        <f>+$D$52</f>
        <v>15</v>
      </c>
      <c r="V52" s="1620">
        <f t="shared" si="232"/>
        <v>23.97212332840202</v>
      </c>
      <c r="W52" s="1603">
        <f>+$D$52</f>
        <v>15</v>
      </c>
      <c r="X52" s="1617">
        <f t="shared" ref="X52" si="267">+X41/X$61*1000</f>
        <v>18.8590413721892</v>
      </c>
      <c r="Y52" s="1618">
        <f>+$D$52</f>
        <v>15</v>
      </c>
      <c r="Z52" s="1618">
        <f t="shared" si="234"/>
        <v>22.211758564621316</v>
      </c>
      <c r="AA52" s="1522">
        <f>+$D$52</f>
        <v>15</v>
      </c>
      <c r="AB52" s="1621">
        <f t="shared" si="235"/>
        <v>23.08708834407869</v>
      </c>
      <c r="AC52" s="1603">
        <f>+$D$52</f>
        <v>15</v>
      </c>
      <c r="AD52" s="1617">
        <f t="shared" ref="AD52" si="268">+AD41/AD$61*1000</f>
        <v>23.565260269815781</v>
      </c>
      <c r="AE52" s="1604">
        <f>+$D$52</f>
        <v>15</v>
      </c>
      <c r="AF52" s="1620">
        <f t="shared" si="237"/>
        <v>23.161094058384897</v>
      </c>
      <c r="AG52" s="1603">
        <f>+$D$52</f>
        <v>15</v>
      </c>
      <c r="AH52" s="1617">
        <f t="shared" si="238"/>
        <v>26.715107770715687</v>
      </c>
      <c r="AI52" s="1604">
        <f>+$D$52</f>
        <v>15</v>
      </c>
      <c r="AJ52" s="1620">
        <f t="shared" si="239"/>
        <v>23.613195707822012</v>
      </c>
      <c r="AK52" s="1603">
        <f>+$D$52</f>
        <v>15</v>
      </c>
      <c r="AL52" s="1617">
        <f t="shared" si="240"/>
        <v>34.429943857907162</v>
      </c>
      <c r="AM52" s="1618">
        <f>+$D$52</f>
        <v>15</v>
      </c>
      <c r="AN52" s="1618">
        <f t="shared" si="241"/>
        <v>28.176753175619336</v>
      </c>
      <c r="AO52" s="1604">
        <f>+$D$52</f>
        <v>15</v>
      </c>
      <c r="AP52" s="1620">
        <f t="shared" si="242"/>
        <v>24.852097851335653</v>
      </c>
      <c r="AQ52" s="1603">
        <f>+$D$52</f>
        <v>15</v>
      </c>
      <c r="AR52" s="1617">
        <f t="shared" si="243"/>
        <v>28.672379256621408</v>
      </c>
      <c r="AS52" s="1604">
        <f>+$D$52</f>
        <v>15</v>
      </c>
      <c r="AT52" s="1620">
        <f t="shared" si="244"/>
        <v>25.226697365836625</v>
      </c>
      <c r="AU52" s="1603">
        <f>+$D$52</f>
        <v>15</v>
      </c>
      <c r="AV52" s="1617">
        <f t="shared" si="245"/>
        <v>30.305389414455526</v>
      </c>
      <c r="AW52" s="1604">
        <f>+$D$52</f>
        <v>15</v>
      </c>
      <c r="AX52" s="1620">
        <f t="shared" si="246"/>
        <v>25.695188039784181</v>
      </c>
      <c r="AY52" s="1603">
        <f>+$D$52</f>
        <v>15</v>
      </c>
      <c r="AZ52" s="1617">
        <f t="shared" si="247"/>
        <v>36.995811323582885</v>
      </c>
      <c r="BA52" s="1618">
        <f>+$D$52</f>
        <v>15</v>
      </c>
      <c r="BB52" s="1618">
        <f t="shared" si="248"/>
        <v>31.97476664179344</v>
      </c>
      <c r="BC52" s="1522">
        <f>+$D$52</f>
        <v>15</v>
      </c>
      <c r="BD52" s="1621">
        <f t="shared" si="249"/>
        <v>30.029663835179672</v>
      </c>
      <c r="BE52" s="1604">
        <f>+$D$52</f>
        <v>15</v>
      </c>
      <c r="BF52" s="1620">
        <f t="shared" si="250"/>
        <v>26.620771659074968</v>
      </c>
      <c r="BG52" s="26"/>
      <c r="BH52" s="26"/>
      <c r="BI52" s="26"/>
      <c r="BJ52" s="26"/>
    </row>
    <row r="53" spans="2:62" x14ac:dyDescent="0.25">
      <c r="B53" s="1602" t="s">
        <v>69</v>
      </c>
      <c r="C53" s="91" t="s">
        <v>224</v>
      </c>
      <c r="D53" s="1494">
        <v>84.999999999999972</v>
      </c>
      <c r="E53" s="1603">
        <f>+$D$53</f>
        <v>84.999999999999972</v>
      </c>
      <c r="F53" s="1617">
        <f t="shared" ref="F53:H53" si="269">+F42/F$61*1000</f>
        <v>80</v>
      </c>
      <c r="G53" s="1603">
        <f>+$D$53</f>
        <v>84.999999999999972</v>
      </c>
      <c r="H53" s="1617">
        <f t="shared" si="269"/>
        <v>80</v>
      </c>
      <c r="I53" s="1604">
        <f>+$D$53</f>
        <v>84.999999999999972</v>
      </c>
      <c r="J53" s="1620">
        <f t="shared" si="226"/>
        <v>80.000000000000014</v>
      </c>
      <c r="K53" s="1603">
        <f>+$D$53</f>
        <v>84.999999999999972</v>
      </c>
      <c r="L53" s="1617">
        <f t="shared" ref="L53" si="270">+L42/L$61*1000</f>
        <v>80</v>
      </c>
      <c r="M53" s="1618">
        <f>+$D$53</f>
        <v>84.999999999999972</v>
      </c>
      <c r="N53" s="1618">
        <f t="shared" si="228"/>
        <v>80.000000000000014</v>
      </c>
      <c r="O53" s="1603">
        <f>+$D$53</f>
        <v>84.999999999999972</v>
      </c>
      <c r="P53" s="1617">
        <f t="shared" ref="P53" si="271">+P42/P$61*1000</f>
        <v>80</v>
      </c>
      <c r="Q53" s="1604">
        <f>+$D$53</f>
        <v>84.999999999999972</v>
      </c>
      <c r="R53" s="1620">
        <f t="shared" si="230"/>
        <v>80.000000000000014</v>
      </c>
      <c r="S53" s="1603">
        <f>+$D$53</f>
        <v>84.999999999999972</v>
      </c>
      <c r="T53" s="1617">
        <f t="shared" ref="T53" si="272">+T42/T$61*1000</f>
        <v>80</v>
      </c>
      <c r="U53" s="1604">
        <f>+$D$53</f>
        <v>84.999999999999972</v>
      </c>
      <c r="V53" s="1620">
        <f t="shared" si="232"/>
        <v>80.000000000000014</v>
      </c>
      <c r="W53" s="1603">
        <f>+$D$53</f>
        <v>84.999999999999972</v>
      </c>
      <c r="X53" s="1617">
        <f t="shared" ref="X53" si="273">+X42/X$61*1000</f>
        <v>80</v>
      </c>
      <c r="Y53" s="1618">
        <f>+$D$53</f>
        <v>84.999999999999972</v>
      </c>
      <c r="Z53" s="1618">
        <f t="shared" si="234"/>
        <v>80</v>
      </c>
      <c r="AA53" s="1522">
        <f>+$D$53</f>
        <v>84.999999999999972</v>
      </c>
      <c r="AB53" s="1621">
        <f t="shared" si="235"/>
        <v>80</v>
      </c>
      <c r="AC53" s="1603">
        <f>+$D$53</f>
        <v>84.999999999999972</v>
      </c>
      <c r="AD53" s="1617">
        <f t="shared" ref="AD53" si="274">+AD42/AD$61*1000</f>
        <v>80</v>
      </c>
      <c r="AE53" s="1604">
        <f>+$D$53</f>
        <v>84.999999999999972</v>
      </c>
      <c r="AF53" s="1620">
        <f t="shared" si="237"/>
        <v>80</v>
      </c>
      <c r="AG53" s="1603">
        <f>+$D$53</f>
        <v>84.999999999999972</v>
      </c>
      <c r="AH53" s="1617">
        <f t="shared" si="238"/>
        <v>80</v>
      </c>
      <c r="AI53" s="1604">
        <f>+$D$53</f>
        <v>84.999999999999972</v>
      </c>
      <c r="AJ53" s="1620">
        <f t="shared" si="239"/>
        <v>80</v>
      </c>
      <c r="AK53" s="1603">
        <f>+$D$53</f>
        <v>84.999999999999972</v>
      </c>
      <c r="AL53" s="1617">
        <f t="shared" si="240"/>
        <v>80</v>
      </c>
      <c r="AM53" s="1618">
        <f>+$D$53</f>
        <v>84.999999999999972</v>
      </c>
      <c r="AN53" s="1618">
        <f t="shared" si="241"/>
        <v>80</v>
      </c>
      <c r="AO53" s="1604">
        <f>+$D$53</f>
        <v>84.999999999999972</v>
      </c>
      <c r="AP53" s="1620">
        <f t="shared" si="242"/>
        <v>80</v>
      </c>
      <c r="AQ53" s="1603">
        <f>+$D$53</f>
        <v>84.999999999999972</v>
      </c>
      <c r="AR53" s="1617">
        <f t="shared" si="243"/>
        <v>80</v>
      </c>
      <c r="AS53" s="1604">
        <f>+$D$53</f>
        <v>84.999999999999972</v>
      </c>
      <c r="AT53" s="1620">
        <f t="shared" si="244"/>
        <v>80</v>
      </c>
      <c r="AU53" s="1603">
        <f>+$D$53</f>
        <v>84.999999999999972</v>
      </c>
      <c r="AV53" s="1617">
        <f t="shared" si="245"/>
        <v>80</v>
      </c>
      <c r="AW53" s="1604">
        <f>+$D$53</f>
        <v>84.999999999999972</v>
      </c>
      <c r="AX53" s="1620">
        <f t="shared" si="246"/>
        <v>80.000000000000014</v>
      </c>
      <c r="AY53" s="1603">
        <f>+$D$53</f>
        <v>84.999999999999972</v>
      </c>
      <c r="AZ53" s="1617">
        <f t="shared" si="247"/>
        <v>80</v>
      </c>
      <c r="BA53" s="1618">
        <f>+$D$53</f>
        <v>84.999999999999972</v>
      </c>
      <c r="BB53" s="1618">
        <f t="shared" si="248"/>
        <v>79.999999999999986</v>
      </c>
      <c r="BC53" s="1522">
        <f>+$D$53</f>
        <v>84.999999999999972</v>
      </c>
      <c r="BD53" s="1621">
        <f t="shared" si="249"/>
        <v>80</v>
      </c>
      <c r="BE53" s="1604">
        <f>+$D$53</f>
        <v>84.999999999999972</v>
      </c>
      <c r="BF53" s="1620">
        <f t="shared" si="250"/>
        <v>80</v>
      </c>
      <c r="BG53" s="26"/>
      <c r="BH53" s="26"/>
      <c r="BI53" s="26"/>
      <c r="BJ53" s="26"/>
    </row>
    <row r="54" spans="2:62" x14ac:dyDescent="0.25">
      <c r="B54" s="1602" t="s">
        <v>100</v>
      </c>
      <c r="C54" s="91" t="s">
        <v>224</v>
      </c>
      <c r="D54" s="1494">
        <v>149.99999999999997</v>
      </c>
      <c r="E54" s="1603">
        <f>+$D$54</f>
        <v>149.99999999999997</v>
      </c>
      <c r="F54" s="1617">
        <f t="shared" ref="F54:H54" si="275">+F43/F$61*1000</f>
        <v>195.10633313376891</v>
      </c>
      <c r="G54" s="1603">
        <f>+$D$54</f>
        <v>149.99999999999997</v>
      </c>
      <c r="H54" s="1617">
        <f t="shared" si="275"/>
        <v>169.66119755558978</v>
      </c>
      <c r="I54" s="1604">
        <f>+$D$54</f>
        <v>149.99999999999997</v>
      </c>
      <c r="J54" s="1620">
        <f t="shared" si="226"/>
        <v>183.71139710638201</v>
      </c>
      <c r="K54" s="1603">
        <f>+$D$54</f>
        <v>149.99999999999997</v>
      </c>
      <c r="L54" s="1617">
        <f t="shared" ref="L54" si="276">+L43/L$61*1000</f>
        <v>178.16109376421014</v>
      </c>
      <c r="M54" s="1618">
        <f>+$D$54</f>
        <v>149.99999999999997</v>
      </c>
      <c r="N54" s="1618">
        <f t="shared" si="228"/>
        <v>181.92623302470341</v>
      </c>
      <c r="O54" s="1603">
        <f>+$D$54</f>
        <v>149.99999999999997</v>
      </c>
      <c r="P54" s="1617">
        <f t="shared" ref="P54" si="277">+P43/P$61*1000</f>
        <v>168.40704420067962</v>
      </c>
      <c r="Q54" s="1604">
        <f>+$D$54</f>
        <v>149.99999999999997</v>
      </c>
      <c r="R54" s="1620">
        <f t="shared" si="230"/>
        <v>178.22260198089612</v>
      </c>
      <c r="S54" s="1603">
        <f>+$D$54</f>
        <v>149.99999999999997</v>
      </c>
      <c r="T54" s="1617">
        <f t="shared" ref="T54" si="278">+T43/T$61*1000</f>
        <v>165.69909958662961</v>
      </c>
      <c r="U54" s="1604">
        <f>+$D$54</f>
        <v>149.99999999999997</v>
      </c>
      <c r="V54" s="1620">
        <f t="shared" si="232"/>
        <v>175.60500059914909</v>
      </c>
      <c r="W54" s="1603">
        <f>+$D$54</f>
        <v>149.99999999999997</v>
      </c>
      <c r="X54" s="1617">
        <f t="shared" ref="X54" si="279">+X43/X$61*1000</f>
        <v>161.74904902280741</v>
      </c>
      <c r="Y54" s="1618">
        <f>+$D$54</f>
        <v>149.99999999999997</v>
      </c>
      <c r="Z54" s="1618">
        <f t="shared" si="234"/>
        <v>165.32108732686467</v>
      </c>
      <c r="AA54" s="1522">
        <f>+$D$54</f>
        <v>149.99999999999997</v>
      </c>
      <c r="AB54" s="1621">
        <f t="shared" si="235"/>
        <v>173.20664242864262</v>
      </c>
      <c r="AC54" s="1603">
        <f>+$D$54</f>
        <v>149.99999999999997</v>
      </c>
      <c r="AD54" s="1617">
        <f t="shared" ref="AD54" si="280">+AD43/AD$61*1000</f>
        <v>169.57681657837176</v>
      </c>
      <c r="AE54" s="1604">
        <f>+$D$54</f>
        <v>149.99999999999997</v>
      </c>
      <c r="AF54" s="1620">
        <f t="shared" si="237"/>
        <v>172.64486152851481</v>
      </c>
      <c r="AG54" s="1603">
        <f>+$D$54</f>
        <v>149.99999999999997</v>
      </c>
      <c r="AH54" s="1617">
        <f t="shared" si="238"/>
        <v>178.44800502670435</v>
      </c>
      <c r="AI54" s="1604">
        <f>+$D$54</f>
        <v>149.99999999999997</v>
      </c>
      <c r="AJ54" s="1620">
        <f t="shared" si="239"/>
        <v>173.38307217141386</v>
      </c>
      <c r="AK54" s="1603">
        <f>+$D$54</f>
        <v>149.99999999999997</v>
      </c>
      <c r="AL54" s="1617">
        <f t="shared" si="240"/>
        <v>184.4898886136653</v>
      </c>
      <c r="AM54" s="1618">
        <f>+$D$54</f>
        <v>149.99999999999997</v>
      </c>
      <c r="AN54" s="1618">
        <f t="shared" si="241"/>
        <v>177.3837641337301</v>
      </c>
      <c r="AO54" s="1604">
        <f>+$D$54</f>
        <v>149.99999999999997</v>
      </c>
      <c r="AP54" s="1620">
        <f t="shared" si="242"/>
        <v>174.6551974448316</v>
      </c>
      <c r="AQ54" s="1603">
        <f>+$D$54</f>
        <v>149.99999999999997</v>
      </c>
      <c r="AR54" s="1617">
        <f t="shared" si="243"/>
        <v>198.32517249054087</v>
      </c>
      <c r="AS54" s="1604">
        <f>+$D$54</f>
        <v>149.99999999999997</v>
      </c>
      <c r="AT54" s="1620">
        <f t="shared" si="244"/>
        <v>176.97616813251565</v>
      </c>
      <c r="AU54" s="1603">
        <f>+$D$54</f>
        <v>149.99999999999997</v>
      </c>
      <c r="AV54" s="1617">
        <f t="shared" si="245"/>
        <v>184.14638074886983</v>
      </c>
      <c r="AW54" s="1604">
        <f>+$D$54</f>
        <v>149.99999999999997</v>
      </c>
      <c r="AX54" s="1620">
        <f t="shared" si="246"/>
        <v>177.63759389112147</v>
      </c>
      <c r="AY54" s="1603">
        <f>+$D$54</f>
        <v>149.99999999999997</v>
      </c>
      <c r="AZ54" s="1617">
        <f t="shared" si="247"/>
        <v>187.35513813749628</v>
      </c>
      <c r="BA54" s="1618">
        <f>+$D$54</f>
        <v>149.99999999999997</v>
      </c>
      <c r="BB54" s="1618">
        <f t="shared" si="248"/>
        <v>189.87094913500673</v>
      </c>
      <c r="BC54" s="1522">
        <f>+$D$54</f>
        <v>149.99999999999997</v>
      </c>
      <c r="BD54" s="1621">
        <f t="shared" si="249"/>
        <v>183.47580103745253</v>
      </c>
      <c r="BE54" s="1604">
        <f>+$D$54</f>
        <v>149.99999999999997</v>
      </c>
      <c r="BF54" s="1620">
        <f t="shared" si="250"/>
        <v>178.433514571627</v>
      </c>
      <c r="BG54" s="26"/>
      <c r="BH54" s="26"/>
      <c r="BI54" s="26"/>
      <c r="BJ54" s="26"/>
    </row>
    <row r="55" spans="2:62" x14ac:dyDescent="0.25">
      <c r="B55" s="1602" t="s">
        <v>711</v>
      </c>
      <c r="C55" s="91" t="s">
        <v>224</v>
      </c>
      <c r="D55" s="1494">
        <v>8</v>
      </c>
      <c r="E55" s="1603">
        <f>+$D$55</f>
        <v>8</v>
      </c>
      <c r="F55" s="1617">
        <f t="shared" ref="F55:H55" si="281">+F44/F$61*1000</f>
        <v>3.9045214358226827</v>
      </c>
      <c r="G55" s="1603">
        <f>+$D$55</f>
        <v>8</v>
      </c>
      <c r="H55" s="1617">
        <f t="shared" si="281"/>
        <v>0</v>
      </c>
      <c r="I55" s="1604">
        <f>+$D$55</f>
        <v>8</v>
      </c>
      <c r="J55" s="1620">
        <f t="shared" si="226"/>
        <v>2.1559840054733246</v>
      </c>
      <c r="K55" s="1603">
        <f>+$D$55</f>
        <v>8</v>
      </c>
      <c r="L55" s="1617">
        <f t="shared" ref="L55" si="282">+L44/L$61*1000</f>
        <v>4.547245884742475</v>
      </c>
      <c r="M55" s="1618">
        <f>+$D$55</f>
        <v>8</v>
      </c>
      <c r="N55" s="1618">
        <f t="shared" si="228"/>
        <v>2.9250941880328547</v>
      </c>
      <c r="O55" s="1603">
        <f>+$D$55</f>
        <v>8</v>
      </c>
      <c r="P55" s="1617">
        <f t="shared" ref="P55" si="283">+P44/P$61*1000</f>
        <v>7.7522384588549951</v>
      </c>
      <c r="Q55" s="1604">
        <f>+$D$55</f>
        <v>8</v>
      </c>
      <c r="R55" s="1620">
        <f t="shared" si="230"/>
        <v>4.2475079516888439</v>
      </c>
      <c r="S55" s="1603">
        <f>+$D$55</f>
        <v>8</v>
      </c>
      <c r="T55" s="1617">
        <f t="shared" ref="T55" si="284">+T44/T$61*1000</f>
        <v>0</v>
      </c>
      <c r="U55" s="1604">
        <f>+$D$55</f>
        <v>8</v>
      </c>
      <c r="V55" s="1620">
        <f t="shared" si="232"/>
        <v>3.3597145586510968</v>
      </c>
      <c r="W55" s="1603">
        <f>+$D$55</f>
        <v>8</v>
      </c>
      <c r="X55" s="1617">
        <f t="shared" ref="X55" si="285">+X44/X$61*1000</f>
        <v>5.3500826587770778</v>
      </c>
      <c r="Y55" s="1618">
        <f>+$D$55</f>
        <v>8</v>
      </c>
      <c r="Z55" s="1618">
        <f t="shared" si="234"/>
        <v>4.4088444947640566</v>
      </c>
      <c r="AA55" s="1522">
        <f>+$D$55</f>
        <v>8</v>
      </c>
      <c r="AB55" s="1621">
        <f t="shared" si="235"/>
        <v>3.704231899733851</v>
      </c>
      <c r="AC55" s="1603">
        <f>+$D$55</f>
        <v>8</v>
      </c>
      <c r="AD55" s="1617">
        <f t="shared" ref="AD55" si="286">+AD44/AD$61*1000</f>
        <v>5.0574654511891373</v>
      </c>
      <c r="AE55" s="1604">
        <f>+$D$55</f>
        <v>8</v>
      </c>
      <c r="AF55" s="1620">
        <f t="shared" si="237"/>
        <v>3.9136691548470597</v>
      </c>
      <c r="AG55" s="1603">
        <f>+$D$55</f>
        <v>8</v>
      </c>
      <c r="AH55" s="1617">
        <f t="shared" si="238"/>
        <v>5.3704106484502336</v>
      </c>
      <c r="AI55" s="1604">
        <f>+$D$55</f>
        <v>8</v>
      </c>
      <c r="AJ55" s="1620">
        <f t="shared" si="239"/>
        <v>4.0989794224401361</v>
      </c>
      <c r="AK55" s="1603">
        <f>+$D$55</f>
        <v>8</v>
      </c>
      <c r="AL55" s="1617">
        <f t="shared" si="240"/>
        <v>5.2814762782492961</v>
      </c>
      <c r="AM55" s="1618">
        <f>+$D$55</f>
        <v>8</v>
      </c>
      <c r="AN55" s="1618">
        <f t="shared" si="241"/>
        <v>5.233099704504304</v>
      </c>
      <c r="AO55" s="1604">
        <f>+$D$55</f>
        <v>8</v>
      </c>
      <c r="AP55" s="1620">
        <f t="shared" si="242"/>
        <v>4.2344173441734414</v>
      </c>
      <c r="AQ55" s="1603">
        <f>+$D$55</f>
        <v>8</v>
      </c>
      <c r="AR55" s="1617">
        <f t="shared" si="243"/>
        <v>6.1206320943690189</v>
      </c>
      <c r="AS55" s="1604">
        <f>+$D$55</f>
        <v>8</v>
      </c>
      <c r="AT55" s="1620">
        <f t="shared" si="244"/>
        <v>4.4193710307500931</v>
      </c>
      <c r="AU55" s="1603">
        <f>+$D$55</f>
        <v>8</v>
      </c>
      <c r="AV55" s="1617">
        <f t="shared" si="245"/>
        <v>5.3690122091337633</v>
      </c>
      <c r="AW55" s="1604">
        <f>+$D$55</f>
        <v>8</v>
      </c>
      <c r="AX55" s="1620">
        <f t="shared" si="246"/>
        <v>4.5069719388993281</v>
      </c>
      <c r="AY55" s="1603">
        <f>+$D$55</f>
        <v>8</v>
      </c>
      <c r="AZ55" s="1617">
        <f t="shared" si="247"/>
        <v>8.3273885032074322</v>
      </c>
      <c r="BA55" s="1618">
        <f>+$D$55</f>
        <v>8</v>
      </c>
      <c r="BB55" s="1618">
        <f t="shared" si="248"/>
        <v>6.5921690525130359</v>
      </c>
      <c r="BC55" s="1522">
        <f>+$D$55</f>
        <v>8</v>
      </c>
      <c r="BD55" s="1621">
        <f t="shared" si="249"/>
        <v>5.8961395026606329</v>
      </c>
      <c r="BE55" s="1604">
        <f>+$D$55</f>
        <v>8</v>
      </c>
      <c r="BF55" s="1620">
        <f t="shared" si="250"/>
        <v>4.8198852094319697</v>
      </c>
      <c r="BG55" s="26"/>
      <c r="BH55" s="26"/>
      <c r="BI55" s="26"/>
      <c r="BJ55" s="26"/>
    </row>
    <row r="56" spans="2:62" x14ac:dyDescent="0.25">
      <c r="B56" s="1602" t="s">
        <v>70</v>
      </c>
      <c r="C56" s="91" t="s">
        <v>224</v>
      </c>
      <c r="D56" s="1494">
        <v>45.000000000000007</v>
      </c>
      <c r="E56" s="1603">
        <f>+$D$56</f>
        <v>45.000000000000007</v>
      </c>
      <c r="F56" s="1617">
        <f t="shared" ref="F56:H56" si="287">+F45/F$61*1000</f>
        <v>40</v>
      </c>
      <c r="G56" s="1603">
        <f>+$D$56</f>
        <v>45.000000000000007</v>
      </c>
      <c r="H56" s="1617">
        <f t="shared" si="287"/>
        <v>40</v>
      </c>
      <c r="I56" s="1604">
        <f>+$D$56</f>
        <v>45.000000000000007</v>
      </c>
      <c r="J56" s="1604">
        <f t="shared" si="226"/>
        <v>40.000000000000007</v>
      </c>
      <c r="K56" s="1603">
        <f>+$D$56</f>
        <v>45.000000000000007</v>
      </c>
      <c r="L56" s="1617">
        <f t="shared" ref="L56" si="288">+L45/L$61*1000</f>
        <v>40</v>
      </c>
      <c r="M56" s="1606">
        <f>+$D$56</f>
        <v>45.000000000000007</v>
      </c>
      <c r="N56" s="1618">
        <f t="shared" si="228"/>
        <v>40.000000000000007</v>
      </c>
      <c r="O56" s="1603">
        <f>+$D$56</f>
        <v>45.000000000000007</v>
      </c>
      <c r="P56" s="1617">
        <f t="shared" ref="P56" si="289">+P45/P$61*1000</f>
        <v>40</v>
      </c>
      <c r="Q56" s="1604">
        <f>+$D$56</f>
        <v>45.000000000000007</v>
      </c>
      <c r="R56" s="1604">
        <f t="shared" si="230"/>
        <v>40.000000000000007</v>
      </c>
      <c r="S56" s="1603">
        <f>+$D$56</f>
        <v>45.000000000000007</v>
      </c>
      <c r="T56" s="1617">
        <f t="shared" ref="T56" si="290">+T45/T$61*1000</f>
        <v>40</v>
      </c>
      <c r="U56" s="1604">
        <f>+$D$56</f>
        <v>45.000000000000007</v>
      </c>
      <c r="V56" s="1604">
        <f t="shared" si="232"/>
        <v>40.000000000000007</v>
      </c>
      <c r="W56" s="1603">
        <f>+$D$56</f>
        <v>45.000000000000007</v>
      </c>
      <c r="X56" s="1617">
        <f t="shared" ref="X56" si="291">+X45/X$61*1000</f>
        <v>40</v>
      </c>
      <c r="Y56" s="1606">
        <f>+$D$56</f>
        <v>45.000000000000007</v>
      </c>
      <c r="Z56" s="1618">
        <f t="shared" si="234"/>
        <v>40</v>
      </c>
      <c r="AA56" s="1522">
        <f>+$D$56</f>
        <v>45.000000000000007</v>
      </c>
      <c r="AB56" s="1621">
        <f t="shared" si="235"/>
        <v>40</v>
      </c>
      <c r="AC56" s="1603">
        <f>+$D$56</f>
        <v>45.000000000000007</v>
      </c>
      <c r="AD56" s="1617">
        <f t="shared" ref="AD56" si="292">+AD45/AD$61*1000</f>
        <v>40</v>
      </c>
      <c r="AE56" s="1604">
        <f>+$D$56</f>
        <v>45.000000000000007</v>
      </c>
      <c r="AF56" s="1604">
        <f t="shared" si="237"/>
        <v>40</v>
      </c>
      <c r="AG56" s="1603">
        <f>+$D$56</f>
        <v>45.000000000000007</v>
      </c>
      <c r="AH56" s="1617">
        <f t="shared" si="238"/>
        <v>40</v>
      </c>
      <c r="AI56" s="1604">
        <f>+$D$56</f>
        <v>45.000000000000007</v>
      </c>
      <c r="AJ56" s="1604">
        <f t="shared" si="239"/>
        <v>40</v>
      </c>
      <c r="AK56" s="1603">
        <f>+$D$56</f>
        <v>45.000000000000007</v>
      </c>
      <c r="AL56" s="1617">
        <f t="shared" si="240"/>
        <v>40</v>
      </c>
      <c r="AM56" s="1606">
        <f>+$D$56</f>
        <v>45.000000000000007</v>
      </c>
      <c r="AN56" s="1618">
        <f t="shared" si="241"/>
        <v>40</v>
      </c>
      <c r="AO56" s="1604">
        <f>+$D$56</f>
        <v>45.000000000000007</v>
      </c>
      <c r="AP56" s="1604">
        <f t="shared" si="242"/>
        <v>40</v>
      </c>
      <c r="AQ56" s="1603">
        <f>+$D$56</f>
        <v>45.000000000000007</v>
      </c>
      <c r="AR56" s="1617">
        <f t="shared" si="243"/>
        <v>40</v>
      </c>
      <c r="AS56" s="1604">
        <f>+$D$56</f>
        <v>45.000000000000007</v>
      </c>
      <c r="AT56" s="1604">
        <f t="shared" si="244"/>
        <v>40</v>
      </c>
      <c r="AU56" s="1603">
        <f>+$D$56</f>
        <v>45.000000000000007</v>
      </c>
      <c r="AV56" s="1617">
        <f t="shared" si="245"/>
        <v>40</v>
      </c>
      <c r="AW56" s="1604">
        <f>+$D$56</f>
        <v>45.000000000000007</v>
      </c>
      <c r="AX56" s="1604">
        <f t="shared" si="246"/>
        <v>40.000000000000007</v>
      </c>
      <c r="AY56" s="1603">
        <f>+$D$56</f>
        <v>45.000000000000007</v>
      </c>
      <c r="AZ56" s="1617">
        <f t="shared" si="247"/>
        <v>40</v>
      </c>
      <c r="BA56" s="1606">
        <f>+$D$56</f>
        <v>45.000000000000007</v>
      </c>
      <c r="BB56" s="1618">
        <f t="shared" si="248"/>
        <v>39.999999999999993</v>
      </c>
      <c r="BC56" s="1522">
        <f>+$D$56</f>
        <v>45.000000000000007</v>
      </c>
      <c r="BD56" s="1621">
        <f t="shared" si="249"/>
        <v>40</v>
      </c>
      <c r="BE56" s="1604">
        <f>+$D$56</f>
        <v>45.000000000000007</v>
      </c>
      <c r="BF56" s="1604">
        <f t="shared" si="250"/>
        <v>40</v>
      </c>
      <c r="BG56" s="26"/>
      <c r="BH56" s="26"/>
      <c r="BI56" s="26"/>
      <c r="BJ56" s="26"/>
    </row>
    <row r="57" spans="2:62" ht="15.75" x14ac:dyDescent="0.25">
      <c r="B57" s="1608" t="s">
        <v>23</v>
      </c>
      <c r="C57" s="1609" t="s">
        <v>224</v>
      </c>
      <c r="D57" s="236">
        <f t="shared" ref="D57:AB57" si="293">SUM(D48:D56)</f>
        <v>1574.8108682524808</v>
      </c>
      <c r="E57" s="1610">
        <f t="shared" si="293"/>
        <v>1575.5412264584986</v>
      </c>
      <c r="F57" s="1610">
        <f t="shared" si="293"/>
        <v>1610.5936968653828</v>
      </c>
      <c r="G57" s="1610">
        <f t="shared" ref="G57:H57" si="294">SUM(G48:G56)</f>
        <v>1579.9643082866703</v>
      </c>
      <c r="H57" s="1610">
        <f t="shared" si="294"/>
        <v>1600.9478468310813</v>
      </c>
      <c r="I57" s="1611">
        <f t="shared" si="293"/>
        <v>1580.8108682524808</v>
      </c>
      <c r="J57" s="1611">
        <f t="shared" si="293"/>
        <v>1606.2740561335449</v>
      </c>
      <c r="K57" s="1610">
        <f t="shared" ref="K57:L57" si="295">SUM(K48:K56)</f>
        <v>1580.0289117806883</v>
      </c>
      <c r="L57" s="1610">
        <f t="shared" si="295"/>
        <v>1592.8641331177587</v>
      </c>
      <c r="M57" s="1613">
        <f t="shared" si="293"/>
        <v>1574.8108682524808</v>
      </c>
      <c r="N57" s="1613">
        <f t="shared" si="293"/>
        <v>1601.9609742297207</v>
      </c>
      <c r="O57" s="1610">
        <f t="shared" ref="O57:P57" si="296">SUM(O48:O56)</f>
        <v>1573.9407466498587</v>
      </c>
      <c r="P57" s="1610">
        <f t="shared" si="296"/>
        <v>1583.8402026480244</v>
      </c>
      <c r="Q57" s="1611">
        <f t="shared" si="293"/>
        <v>1574.8108682524808</v>
      </c>
      <c r="R57" s="1611">
        <f t="shared" si="293"/>
        <v>1596.9967228207568</v>
      </c>
      <c r="S57" s="1610">
        <f t="shared" ref="S57" si="297">SUM(S48:S56)</f>
        <v>1573.9407466498587</v>
      </c>
      <c r="T57" s="2687">
        <f t="shared" si="293"/>
        <v>1617.4456630937677</v>
      </c>
      <c r="U57" s="1611">
        <f t="shared" ref="U57:W57" si="298">SUM(U48:U56)</f>
        <v>1574.8108682524808</v>
      </c>
      <c r="V57" s="1611">
        <f t="shared" si="298"/>
        <v>1601.2708605682294</v>
      </c>
      <c r="W57" s="1610">
        <f t="shared" si="298"/>
        <v>1573.6892539470837</v>
      </c>
      <c r="X57" s="2687">
        <f t="shared" ref="X57" si="299">SUM(X48:X56)</f>
        <v>1565.1402524168998</v>
      </c>
      <c r="Y57" s="1613">
        <f t="shared" si="293"/>
        <v>1574.8108682524808</v>
      </c>
      <c r="Z57" s="1613">
        <f t="shared" si="293"/>
        <v>1588.7370916279092</v>
      </c>
      <c r="AA57" s="1614">
        <f t="shared" si="293"/>
        <v>1574.8108682524808</v>
      </c>
      <c r="AB57" s="1614">
        <f t="shared" si="293"/>
        <v>1595.0169314326033</v>
      </c>
      <c r="AC57" s="1610">
        <f t="shared" ref="AC57:AD57" si="300">SUM(AC48:AC56)</f>
        <v>1575.8221346849671</v>
      </c>
      <c r="AD57" s="1610">
        <f t="shared" si="300"/>
        <v>1589.1760124413652</v>
      </c>
      <c r="AE57" s="1611">
        <f t="shared" ref="AE57:AH57" si="301">SUM(AE48:AE56)</f>
        <v>1574.8108682524808</v>
      </c>
      <c r="AF57" s="1611">
        <f t="shared" si="301"/>
        <v>1594.1129440613561</v>
      </c>
      <c r="AG57" s="1610">
        <f t="shared" si="301"/>
        <v>1573.9056777626818</v>
      </c>
      <c r="AH57" s="1610">
        <f t="shared" si="301"/>
        <v>1591.5945554776845</v>
      </c>
      <c r="AI57" s="1611">
        <f t="shared" ref="AI57:AL57" si="302">SUM(AI48:AI56)</f>
        <v>1574.8108682524808</v>
      </c>
      <c r="AJ57" s="1611">
        <f t="shared" si="302"/>
        <v>1593.7925829922215</v>
      </c>
      <c r="AK57" s="1610">
        <f t="shared" si="302"/>
        <v>1574.2115883674151</v>
      </c>
      <c r="AL57" s="2687">
        <f t="shared" si="302"/>
        <v>1598.6073803349511</v>
      </c>
      <c r="AM57" s="1613">
        <f t="shared" ref="AM57:AN57" si="303">SUM(AM48:AM56)</f>
        <v>1574.8108682524808</v>
      </c>
      <c r="AN57" s="1613">
        <f t="shared" si="303"/>
        <v>1593.0765742036094</v>
      </c>
      <c r="AO57" s="1611">
        <f t="shared" ref="AO57:AT57" si="304">SUM(AO48:AO56)</f>
        <v>1574.8108682524808</v>
      </c>
      <c r="AP57" s="1611">
        <f t="shared" si="304"/>
        <v>1594.3440484294972</v>
      </c>
      <c r="AQ57" s="1610">
        <f t="shared" si="304"/>
        <v>1572.6067018649214</v>
      </c>
      <c r="AR57" s="1610">
        <f t="shared" si="304"/>
        <v>1569.3406409971067</v>
      </c>
      <c r="AS57" s="1611">
        <f t="shared" si="304"/>
        <v>1574.8108682524808</v>
      </c>
      <c r="AT57" s="1611">
        <f t="shared" si="304"/>
        <v>1591.8923273934276</v>
      </c>
      <c r="AU57" s="1610">
        <f t="shared" ref="AU57:AX57" si="305">SUM(AU48:AU56)</f>
        <v>1573.614738178374</v>
      </c>
      <c r="AV57" s="1610">
        <f t="shared" si="305"/>
        <v>1579.8371041695752</v>
      </c>
      <c r="AW57" s="1611">
        <f t="shared" si="305"/>
        <v>1574.8108682524808</v>
      </c>
      <c r="AX57" s="1611">
        <f t="shared" si="305"/>
        <v>1590.7802773619114</v>
      </c>
      <c r="AY57" s="1610">
        <f t="shared" ref="AY57:BF57" si="306">SUM(AY48:AY56)</f>
        <v>1572.6451530833913</v>
      </c>
      <c r="AZ57" s="1610">
        <f t="shared" si="306"/>
        <v>1602.2224134437363</v>
      </c>
      <c r="BA57" s="1613">
        <f t="shared" ref="BA57:BD57" si="307">SUM(BA48:BA56)</f>
        <v>1574.8108682524808</v>
      </c>
      <c r="BB57" s="1613">
        <f t="shared" si="307"/>
        <v>1583.7664174765725</v>
      </c>
      <c r="BC57" s="1614">
        <f t="shared" si="307"/>
        <v>1574.8108682524808</v>
      </c>
      <c r="BD57" s="1614">
        <f t="shared" si="307"/>
        <v>1588.5344921927522</v>
      </c>
      <c r="BE57" s="1611">
        <f t="shared" si="306"/>
        <v>1574.8108682524808</v>
      </c>
      <c r="BF57" s="1611">
        <f t="shared" si="306"/>
        <v>1591.7174516629268</v>
      </c>
      <c r="BG57" s="26"/>
      <c r="BH57" s="26"/>
      <c r="BI57" s="26"/>
      <c r="BJ57" s="26"/>
    </row>
    <row r="58" spans="2:62" s="183" customFormat="1" ht="18.75" x14ac:dyDescent="0.25">
      <c r="B58" s="1601" t="s">
        <v>225</v>
      </c>
      <c r="C58" s="1601"/>
      <c r="D58" s="299"/>
      <c r="E58" s="1601"/>
      <c r="F58" s="1601"/>
      <c r="G58" s="1601"/>
      <c r="H58" s="1601"/>
      <c r="I58" s="1601"/>
      <c r="J58" s="1601"/>
      <c r="K58" s="1601"/>
      <c r="L58" s="1601"/>
      <c r="M58" s="1601"/>
      <c r="N58" s="1601"/>
      <c r="O58" s="1601"/>
      <c r="P58" s="1601"/>
      <c r="Q58" s="1601"/>
      <c r="R58" s="1601"/>
      <c r="S58" s="1601"/>
      <c r="T58" s="2684"/>
      <c r="U58" s="1601"/>
      <c r="V58" s="1601"/>
      <c r="W58" s="1601"/>
      <c r="X58" s="2684"/>
      <c r="Y58" s="1601"/>
      <c r="Z58" s="1601"/>
      <c r="AA58" s="1601"/>
      <c r="AB58" s="1601"/>
      <c r="AC58" s="1601"/>
      <c r="AD58" s="1601"/>
      <c r="AE58" s="1601"/>
      <c r="AF58" s="1601"/>
      <c r="AG58" s="1601"/>
      <c r="AH58" s="1601"/>
      <c r="AI58" s="1601"/>
      <c r="AJ58" s="1601"/>
      <c r="AK58" s="1601"/>
      <c r="AL58" s="2684"/>
      <c r="AM58" s="1601"/>
      <c r="AN58" s="1601"/>
      <c r="AO58" s="1601"/>
      <c r="AP58" s="1601"/>
      <c r="AQ58" s="1601"/>
      <c r="AR58" s="1601"/>
      <c r="AS58" s="1601"/>
      <c r="AT58" s="1601"/>
      <c r="AU58" s="1601"/>
      <c r="AV58" s="1601"/>
      <c r="AW58" s="1601"/>
      <c r="AX58" s="1601"/>
      <c r="AY58" s="1601"/>
      <c r="AZ58" s="1601"/>
      <c r="BA58" s="1601"/>
      <c r="BB58" s="1601"/>
      <c r="BC58" s="1601"/>
      <c r="BD58" s="1601"/>
      <c r="BE58" s="1601"/>
      <c r="BF58" s="1601"/>
      <c r="BG58" s="26"/>
      <c r="BH58" s="26"/>
      <c r="BI58" s="26"/>
      <c r="BJ58" s="26"/>
    </row>
    <row r="59" spans="2:62" x14ac:dyDescent="0.25">
      <c r="B59" s="1602" t="s">
        <v>47</v>
      </c>
      <c r="C59" s="91" t="s">
        <v>52</v>
      </c>
      <c r="D59" s="1494">
        <v>2257235.4079533406</v>
      </c>
      <c r="E59" s="1603">
        <v>188792.05273301934</v>
      </c>
      <c r="F59" s="1603">
        <v>189810</v>
      </c>
      <c r="G59" s="1603">
        <v>153424.89995086784</v>
      </c>
      <c r="H59" s="1603">
        <v>146801</v>
      </c>
      <c r="I59" s="1604">
        <f>+E59+G59</f>
        <v>342216.95268388721</v>
      </c>
      <c r="J59" s="1604">
        <f>+F59+H59</f>
        <v>336611</v>
      </c>
      <c r="K59" s="1603">
        <v>162738.85891233204</v>
      </c>
      <c r="L59" s="1603">
        <v>160710</v>
      </c>
      <c r="M59" s="1606">
        <f>+K59+G59+E59</f>
        <v>504955.8115962192</v>
      </c>
      <c r="N59" s="1606">
        <f>+L59+H59+F59</f>
        <v>497321</v>
      </c>
      <c r="O59" s="1603">
        <v>193090.25679318482</v>
      </c>
      <c r="P59" s="1603">
        <v>191456</v>
      </c>
      <c r="Q59" s="1604">
        <f>+M59+O59</f>
        <v>698046.06838940398</v>
      </c>
      <c r="R59" s="1604">
        <f>+N59+P59</f>
        <v>688777</v>
      </c>
      <c r="S59" s="185">
        <v>193090.25679318482</v>
      </c>
      <c r="T59" s="2685">
        <v>193506</v>
      </c>
      <c r="U59" s="1604">
        <f>+Q59+S59</f>
        <v>891136.32518258877</v>
      </c>
      <c r="V59" s="1604">
        <f>+R59+T59</f>
        <v>882283</v>
      </c>
      <c r="W59" s="185">
        <v>187727.78065279868</v>
      </c>
      <c r="X59" s="2685">
        <v>200465</v>
      </c>
      <c r="Y59" s="1606">
        <f>+O59+S59+W59</f>
        <v>573908.29423916829</v>
      </c>
      <c r="Z59" s="1606">
        <f>+P59+T59+X59</f>
        <v>585427</v>
      </c>
      <c r="AA59" s="1522">
        <f>+U59+W59</f>
        <v>1078864.1058353875</v>
      </c>
      <c r="AB59" s="1522">
        <f>+N59+Z59</f>
        <v>1082748</v>
      </c>
      <c r="AC59" s="1603">
        <v>196452.73293357101</v>
      </c>
      <c r="AD59" s="1603">
        <v>196580</v>
      </c>
      <c r="AE59" s="1604">
        <f>+AA59+AC59</f>
        <v>1275316.8387689586</v>
      </c>
      <c r="AF59" s="1604">
        <f>+AB59+AD59</f>
        <v>1279328</v>
      </c>
      <c r="AG59" s="1603">
        <v>193300.45369075975</v>
      </c>
      <c r="AH59" s="1603">
        <v>188663</v>
      </c>
      <c r="AI59" s="1604">
        <f>+AE59+AG59</f>
        <v>1468617.2924597184</v>
      </c>
      <c r="AJ59" s="1604">
        <f>+AF59+AH59</f>
        <v>1467991</v>
      </c>
      <c r="AK59" s="185">
        <v>199218.8009536262</v>
      </c>
      <c r="AL59" s="2685">
        <v>194114</v>
      </c>
      <c r="AM59" s="1606">
        <f>+AC59+AG59+AK59</f>
        <v>588971.98757795698</v>
      </c>
      <c r="AN59" s="1606">
        <f>+AD59+AH59+AL59</f>
        <v>579357</v>
      </c>
      <c r="AO59" s="1604">
        <f>AI59+AK59</f>
        <v>1667836.0934133446</v>
      </c>
      <c r="AP59" s="1604">
        <f>AJ59+AL59</f>
        <v>1662105</v>
      </c>
      <c r="AQ59" s="1603">
        <v>201218.8009536262</v>
      </c>
      <c r="AR59" s="1603">
        <v>183562</v>
      </c>
      <c r="AS59" s="1604">
        <f>+AO59+AQ59</f>
        <v>1869054.8943669708</v>
      </c>
      <c r="AT59" s="1604">
        <f>+AP59+AR59</f>
        <v>1845667</v>
      </c>
      <c r="AU59" s="1603">
        <v>186195.64461268834</v>
      </c>
      <c r="AV59" s="1603">
        <v>185052</v>
      </c>
      <c r="AW59" s="1604">
        <f>+AS59+AU59</f>
        <v>2055250.5389796591</v>
      </c>
      <c r="AX59" s="1604">
        <f>+AT59+AV59</f>
        <v>2030719</v>
      </c>
      <c r="AY59" s="1603">
        <v>201984.86897368132</v>
      </c>
      <c r="AZ59" s="1603">
        <v>189783</v>
      </c>
      <c r="BA59" s="1606">
        <f>+AQ59+AU59+AY59</f>
        <v>589399.31453999586</v>
      </c>
      <c r="BB59" s="1606">
        <f>+AR59+AV59+AZ59</f>
        <v>558397</v>
      </c>
      <c r="BC59" s="1522">
        <f t="shared" ref="BC59:BC60" si="308">AM59+BA59</f>
        <v>1178371.3021179528</v>
      </c>
      <c r="BD59" s="1522">
        <f t="shared" ref="BD59:BD60" si="309">AN59+BB59</f>
        <v>1137754</v>
      </c>
      <c r="BE59" s="1604">
        <f>+AW59+AY59</f>
        <v>2257235.4079533406</v>
      </c>
      <c r="BF59" s="1604">
        <f>+AX59+AZ59</f>
        <v>2220502</v>
      </c>
      <c r="BG59" s="26"/>
      <c r="BH59" s="26"/>
      <c r="BI59" s="26"/>
      <c r="BJ59" s="26"/>
    </row>
    <row r="60" spans="2:62" x14ac:dyDescent="0.25">
      <c r="B60" s="1602" t="s">
        <v>96</v>
      </c>
      <c r="C60" s="91" t="s">
        <v>52</v>
      </c>
      <c r="D60" s="1494">
        <v>2242764.5043555931</v>
      </c>
      <c r="E60" s="1603">
        <v>188792.05273301934</v>
      </c>
      <c r="F60" s="1603">
        <v>194360</v>
      </c>
      <c r="G60" s="1603">
        <v>153424.89995086784</v>
      </c>
      <c r="H60" s="1603">
        <v>164767</v>
      </c>
      <c r="I60" s="1604">
        <f>+E60+G60</f>
        <v>342216.95268388721</v>
      </c>
      <c r="J60" s="1604">
        <f>+F60+H60</f>
        <v>359127</v>
      </c>
      <c r="K60" s="1603">
        <v>150220.48514984496</v>
      </c>
      <c r="L60" s="1603">
        <v>169160</v>
      </c>
      <c r="M60" s="1606">
        <f>+K60+G60+E60</f>
        <v>492437.43783373211</v>
      </c>
      <c r="N60" s="1606">
        <f>+L60+H60+F60</f>
        <v>528287</v>
      </c>
      <c r="O60" s="1603">
        <v>193090.25679318482</v>
      </c>
      <c r="P60" s="1603">
        <v>195529</v>
      </c>
      <c r="Q60" s="1604">
        <f>+M60+O60</f>
        <v>685527.6946269169</v>
      </c>
      <c r="R60" s="1604">
        <f>+N60+P60</f>
        <v>723816</v>
      </c>
      <c r="S60" s="185">
        <v>193090.25679318482</v>
      </c>
      <c r="T60" s="2685">
        <v>179767</v>
      </c>
      <c r="U60" s="1604">
        <f>+Q60+S60</f>
        <v>878617.95142010169</v>
      </c>
      <c r="V60" s="1604">
        <f>+R60+T60</f>
        <v>903583</v>
      </c>
      <c r="W60" s="185">
        <v>187727.78065279868</v>
      </c>
      <c r="X60" s="2685">
        <v>173361</v>
      </c>
      <c r="Y60" s="1606">
        <f>+O60+S60+W60</f>
        <v>573908.29423916829</v>
      </c>
      <c r="Z60" s="1606">
        <f>+P60+T60+X60</f>
        <v>548657</v>
      </c>
      <c r="AA60" s="1522">
        <f>+U60+W60</f>
        <v>1066345.7320729003</v>
      </c>
      <c r="AB60" s="1522">
        <f>+N60+Z60</f>
        <v>1076944</v>
      </c>
      <c r="AC60" s="1603">
        <v>196452.73293357101</v>
      </c>
      <c r="AD60" s="1603">
        <v>198875</v>
      </c>
      <c r="AE60" s="1604">
        <f>+AA60+AC60</f>
        <v>1262798.4650064714</v>
      </c>
      <c r="AF60" s="1604">
        <f>+AB60+AD60</f>
        <v>1275819</v>
      </c>
      <c r="AG60" s="1603">
        <v>191347.9238554996</v>
      </c>
      <c r="AH60" s="1603">
        <v>183748</v>
      </c>
      <c r="AI60" s="1604">
        <f>+AE60+AG60</f>
        <v>1454146.388861971</v>
      </c>
      <c r="AJ60" s="1604">
        <f>+AF60+AH60</f>
        <v>1459567</v>
      </c>
      <c r="AK60" s="185">
        <v>199218.8009536262</v>
      </c>
      <c r="AL60" s="2685">
        <v>184568</v>
      </c>
      <c r="AM60" s="1606">
        <f>+AC60+AG60+AK60</f>
        <v>587019.45774269674</v>
      </c>
      <c r="AN60" s="1606">
        <f>+AD60+AH60+AL60</f>
        <v>567191</v>
      </c>
      <c r="AO60" s="1604">
        <f>AI60+AK60</f>
        <v>1653365.1898155971</v>
      </c>
      <c r="AP60" s="1604">
        <f>AJ60+AL60</f>
        <v>1644135</v>
      </c>
      <c r="AQ60" s="1603">
        <v>201218.8009536262</v>
      </c>
      <c r="AR60" s="1603">
        <v>175878</v>
      </c>
      <c r="AS60" s="1604">
        <f>+AO60+AQ60</f>
        <v>1854583.9907692233</v>
      </c>
      <c r="AT60" s="1604">
        <f>+AP60+AR60</f>
        <v>1820013</v>
      </c>
      <c r="AU60" s="1603">
        <v>186195.64461268834</v>
      </c>
      <c r="AV60" s="1603">
        <v>187456</v>
      </c>
      <c r="AW60" s="1604">
        <f>+AS60+AU60</f>
        <v>2040779.6353819116</v>
      </c>
      <c r="AX60" s="1604">
        <f>+AT60+AV60</f>
        <v>2007469</v>
      </c>
      <c r="AY60" s="1603">
        <v>201984.86897368132</v>
      </c>
      <c r="AZ60" s="1603">
        <v>170474</v>
      </c>
      <c r="BA60" s="1606">
        <f>+AQ60+AU60+AY60</f>
        <v>589399.31453999586</v>
      </c>
      <c r="BB60" s="1606">
        <f>+AR60+AV60+AZ60</f>
        <v>533808</v>
      </c>
      <c r="BC60" s="1522">
        <f t="shared" si="308"/>
        <v>1176418.7722826926</v>
      </c>
      <c r="BD60" s="1522">
        <f t="shared" si="309"/>
        <v>1100999</v>
      </c>
      <c r="BE60" s="1604">
        <f>+AW60+AY60</f>
        <v>2242764.5043555931</v>
      </c>
      <c r="BF60" s="1604">
        <f>+AX60+AZ60</f>
        <v>2177943</v>
      </c>
      <c r="BG60" s="26"/>
      <c r="BH60" s="26"/>
      <c r="BI60" s="26"/>
      <c r="BJ60" s="26"/>
    </row>
    <row r="61" spans="2:62" ht="15.75" x14ac:dyDescent="0.25">
      <c r="B61" s="1608" t="s">
        <v>23</v>
      </c>
      <c r="C61" s="1609" t="s">
        <v>52</v>
      </c>
      <c r="D61" s="236">
        <f t="shared" ref="D61:T61" si="310">SUM(D59:D60)</f>
        <v>4499999.9123089332</v>
      </c>
      <c r="E61" s="1610">
        <f t="shared" si="310"/>
        <v>377584.10546603869</v>
      </c>
      <c r="F61" s="1610">
        <f t="shared" si="310"/>
        <v>384170</v>
      </c>
      <c r="G61" s="1610">
        <f t="shared" ref="G61:H61" si="311">SUM(G59:G60)</f>
        <v>306849.79990173568</v>
      </c>
      <c r="H61" s="1610">
        <f t="shared" si="311"/>
        <v>311568</v>
      </c>
      <c r="I61" s="1611">
        <f t="shared" si="310"/>
        <v>684433.90536777442</v>
      </c>
      <c r="J61" s="1611">
        <f t="shared" si="310"/>
        <v>695738</v>
      </c>
      <c r="K61" s="1610">
        <f t="shared" ref="K61:L61" si="312">SUM(K59:K60)</f>
        <v>312959.344062177</v>
      </c>
      <c r="L61" s="1610">
        <f t="shared" si="312"/>
        <v>329870</v>
      </c>
      <c r="M61" s="1613">
        <f t="shared" si="310"/>
        <v>997393.24942995131</v>
      </c>
      <c r="N61" s="1613">
        <f t="shared" si="310"/>
        <v>1025608</v>
      </c>
      <c r="O61" s="1610">
        <f t="shared" ref="O61:P61" si="313">SUM(O59:O60)</f>
        <v>386180.51358636963</v>
      </c>
      <c r="P61" s="1610">
        <f t="shared" si="313"/>
        <v>386985</v>
      </c>
      <c r="Q61" s="1611">
        <f t="shared" si="310"/>
        <v>1383573.7630163208</v>
      </c>
      <c r="R61" s="1611">
        <f t="shared" si="310"/>
        <v>1412593</v>
      </c>
      <c r="S61" s="2078">
        <f t="shared" si="310"/>
        <v>386180.51358636963</v>
      </c>
      <c r="T61" s="2687">
        <f t="shared" si="310"/>
        <v>373273</v>
      </c>
      <c r="U61" s="1611">
        <f t="shared" ref="U61:V61" si="314">SUM(U59:U60)</f>
        <v>1769754.2766026906</v>
      </c>
      <c r="V61" s="1611">
        <f t="shared" si="314"/>
        <v>1785866</v>
      </c>
      <c r="W61" s="2078">
        <f t="shared" ref="W61:X61" si="315">SUM(W59:W60)</f>
        <v>375455.56130559737</v>
      </c>
      <c r="X61" s="2687">
        <f t="shared" si="315"/>
        <v>373826</v>
      </c>
      <c r="Y61" s="1613">
        <f t="shared" ref="Y61:AD61" si="316">SUM(Y59:Y60)</f>
        <v>1147816.5884783366</v>
      </c>
      <c r="Z61" s="1613">
        <f t="shared" si="316"/>
        <v>1134084</v>
      </c>
      <c r="AA61" s="1614">
        <f t="shared" si="316"/>
        <v>2145209.8379082875</v>
      </c>
      <c r="AB61" s="1614">
        <f t="shared" si="316"/>
        <v>2159692</v>
      </c>
      <c r="AC61" s="1610">
        <f t="shared" si="316"/>
        <v>392905.46586714202</v>
      </c>
      <c r="AD61" s="1610">
        <f t="shared" si="316"/>
        <v>395455</v>
      </c>
      <c r="AE61" s="1611">
        <f t="shared" ref="AE61:AH61" si="317">SUM(AE59:AE60)</f>
        <v>2538115.3037754297</v>
      </c>
      <c r="AF61" s="1611">
        <f t="shared" si="317"/>
        <v>2555147</v>
      </c>
      <c r="AG61" s="1610">
        <f t="shared" si="317"/>
        <v>384648.37754625932</v>
      </c>
      <c r="AH61" s="1610">
        <f t="shared" si="317"/>
        <v>372411</v>
      </c>
      <c r="AI61" s="1611">
        <f t="shared" ref="AI61:AN61" si="318">SUM(AI59:AI60)</f>
        <v>2922763.6813216894</v>
      </c>
      <c r="AJ61" s="1611">
        <f t="shared" si="318"/>
        <v>2927558</v>
      </c>
      <c r="AK61" s="2078">
        <f t="shared" si="318"/>
        <v>398437.60190725239</v>
      </c>
      <c r="AL61" s="2687">
        <f t="shared" si="318"/>
        <v>378682</v>
      </c>
      <c r="AM61" s="1613">
        <f t="shared" si="318"/>
        <v>1175991.4453206537</v>
      </c>
      <c r="AN61" s="1613">
        <f t="shared" si="318"/>
        <v>1146548</v>
      </c>
      <c r="AO61" s="1611">
        <f t="shared" ref="AO61:AT61" si="319">SUM(AO59:AO60)</f>
        <v>3321201.2832289417</v>
      </c>
      <c r="AP61" s="1611">
        <f t="shared" si="319"/>
        <v>3306240</v>
      </c>
      <c r="AQ61" s="1610">
        <f t="shared" si="319"/>
        <v>402437.60190725239</v>
      </c>
      <c r="AR61" s="1610">
        <f t="shared" si="319"/>
        <v>359440</v>
      </c>
      <c r="AS61" s="1611">
        <f t="shared" si="319"/>
        <v>3723638.8851361941</v>
      </c>
      <c r="AT61" s="1611">
        <f t="shared" si="319"/>
        <v>3665680</v>
      </c>
      <c r="AU61" s="1610">
        <f t="shared" ref="AU61:AX61" si="320">SUM(AU59:AU60)</f>
        <v>372391.28922537668</v>
      </c>
      <c r="AV61" s="1610">
        <f t="shared" si="320"/>
        <v>372508</v>
      </c>
      <c r="AW61" s="1611">
        <f t="shared" si="320"/>
        <v>4096030.1743615707</v>
      </c>
      <c r="AX61" s="1611">
        <f t="shared" si="320"/>
        <v>4038188</v>
      </c>
      <c r="AY61" s="1610">
        <f t="shared" ref="AY61:BF61" si="321">SUM(AY59:AY60)</f>
        <v>403969.73794736265</v>
      </c>
      <c r="AZ61" s="1610">
        <f t="shared" si="321"/>
        <v>360257</v>
      </c>
      <c r="BA61" s="1613">
        <f t="shared" si="321"/>
        <v>1178798.6290799917</v>
      </c>
      <c r="BB61" s="1613">
        <f t="shared" si="321"/>
        <v>1092205</v>
      </c>
      <c r="BC61" s="1614">
        <f t="shared" si="321"/>
        <v>2354790.0744006457</v>
      </c>
      <c r="BD61" s="1614">
        <f t="shared" si="321"/>
        <v>2238753</v>
      </c>
      <c r="BE61" s="1611">
        <f t="shared" si="321"/>
        <v>4499999.9123089332</v>
      </c>
      <c r="BF61" s="1611">
        <f t="shared" si="321"/>
        <v>4398445</v>
      </c>
      <c r="BG61" s="26"/>
      <c r="BH61" s="26"/>
      <c r="BI61" s="26"/>
      <c r="BJ61" s="26"/>
    </row>
    <row r="62" spans="2:62" ht="15.75" x14ac:dyDescent="0.25">
      <c r="B62" s="6354" t="s">
        <v>91</v>
      </c>
      <c r="C62" s="1609" t="s">
        <v>52</v>
      </c>
      <c r="D62" s="236">
        <f>+D61*D63/1000</f>
        <v>674999.98684633989</v>
      </c>
      <c r="E62" s="1610">
        <f>+E63*E61/1000</f>
        <v>56637.615819905805</v>
      </c>
      <c r="F62" s="1610">
        <v>57625.5</v>
      </c>
      <c r="G62" s="1610">
        <f>+G63*G61/1000</f>
        <v>46027.469985260352</v>
      </c>
      <c r="H62" s="1610">
        <v>46735.199999999997</v>
      </c>
      <c r="I62" s="1611">
        <f>+E62+G62</f>
        <v>102665.08580516616</v>
      </c>
      <c r="J62" s="1611">
        <f>+F62+H62</f>
        <v>104360.7</v>
      </c>
      <c r="K62" s="1610">
        <f>+K63*K61/1000</f>
        <v>46943.901609326545</v>
      </c>
      <c r="L62" s="1610">
        <v>49480.5</v>
      </c>
      <c r="M62" s="1985">
        <f>+K62+G62+E62</f>
        <v>149608.9874144927</v>
      </c>
      <c r="N62" s="1985">
        <f>+L62+H62+F62</f>
        <v>153841.20000000001</v>
      </c>
      <c r="O62" s="1610">
        <f>+O63*O61/1000</f>
        <v>57927.077037955445</v>
      </c>
      <c r="P62" s="1610">
        <v>58047.75</v>
      </c>
      <c r="Q62" s="1611">
        <f>+M62+O62</f>
        <v>207536.06445244816</v>
      </c>
      <c r="R62" s="1611">
        <f>+N62+P62</f>
        <v>211888.95</v>
      </c>
      <c r="S62" s="2078">
        <f>+S63*S61/1000</f>
        <v>57927.077037955445</v>
      </c>
      <c r="T62" s="2687">
        <v>55990.95</v>
      </c>
      <c r="U62" s="1611">
        <f>+Q62+S62</f>
        <v>265463.14149040362</v>
      </c>
      <c r="V62" s="1611">
        <f>+R62+T62</f>
        <v>267879.90000000002</v>
      </c>
      <c r="W62" s="2078">
        <f>+W63*W61/1000</f>
        <v>56318.334195839605</v>
      </c>
      <c r="X62" s="2687">
        <v>56073.9</v>
      </c>
      <c r="Y62" s="1985">
        <f>+O62+S62+W62</f>
        <v>172172.48827175051</v>
      </c>
      <c r="Z62" s="1985">
        <f>+P62+T62+X62</f>
        <v>170112.6</v>
      </c>
      <c r="AA62" s="1614">
        <f>+U62+W62</f>
        <v>321781.47568624321</v>
      </c>
      <c r="AB62" s="1614">
        <f>+N62+Z62</f>
        <v>323953.80000000005</v>
      </c>
      <c r="AC62" s="1610">
        <f>+AC63*AC61/1000</f>
        <v>58935.819880071307</v>
      </c>
      <c r="AD62" s="1610">
        <v>59318.25</v>
      </c>
      <c r="AE62" s="1611">
        <f>+AA62+AC62</f>
        <v>380717.29556631454</v>
      </c>
      <c r="AF62" s="1611">
        <f>+AB62+AD62</f>
        <v>383272.05000000005</v>
      </c>
      <c r="AG62" s="1610">
        <f>+AG63*AG61/1000</f>
        <v>57697.256631938901</v>
      </c>
      <c r="AH62" s="1610">
        <v>55861.65</v>
      </c>
      <c r="AI62" s="1611">
        <f>+AE62+AG62</f>
        <v>438414.55219825346</v>
      </c>
      <c r="AJ62" s="1611">
        <f>+AF62+AH62</f>
        <v>439133.70000000007</v>
      </c>
      <c r="AK62" s="2078">
        <f>+AK63*AK61/1000</f>
        <v>59765.640286087859</v>
      </c>
      <c r="AL62" s="2687">
        <v>56802.299999999996</v>
      </c>
      <c r="AM62" s="1985">
        <f>+AC62+AG62+AK62</f>
        <v>176398.71679809806</v>
      </c>
      <c r="AN62" s="1985">
        <f>+AD62+AH62+AL62</f>
        <v>171982.19999999998</v>
      </c>
      <c r="AO62" s="1611">
        <f>AI62+AK62</f>
        <v>498180.19248434133</v>
      </c>
      <c r="AP62" s="1611">
        <f>AJ62+AL62</f>
        <v>495936.00000000006</v>
      </c>
      <c r="AQ62" s="1610">
        <f>+AQ63*AQ61/1000</f>
        <v>60365.640286087859</v>
      </c>
      <c r="AR62" s="1610">
        <v>53916</v>
      </c>
      <c r="AS62" s="1611">
        <f>+AO62+AQ62</f>
        <v>558545.8327704292</v>
      </c>
      <c r="AT62" s="1611">
        <f>+AP62+AR62</f>
        <v>549852</v>
      </c>
      <c r="AU62" s="1610">
        <f>+AU63*AU61/1000</f>
        <v>55858.693383806502</v>
      </c>
      <c r="AV62" s="1610">
        <v>55876.2</v>
      </c>
      <c r="AW62" s="1611">
        <f>+AS62+AU62</f>
        <v>614404.5261542357</v>
      </c>
      <c r="AX62" s="1611">
        <f>+AT62+AV62</f>
        <v>605728.19999999995</v>
      </c>
      <c r="AY62" s="1610">
        <f>+AY63*AY61/1000</f>
        <v>60595.460692104396</v>
      </c>
      <c r="AZ62" s="1610">
        <v>54038.549999999996</v>
      </c>
      <c r="BA62" s="1985">
        <f>+AQ62+AU62+AY62</f>
        <v>176819.79436199876</v>
      </c>
      <c r="BB62" s="1985">
        <f>+AR62+AV62+AZ62</f>
        <v>163830.75</v>
      </c>
      <c r="BC62" s="1614">
        <f t="shared" ref="BC62:BD62" si="322">AM62+BA62</f>
        <v>353218.51116009685</v>
      </c>
      <c r="BD62" s="1614">
        <f t="shared" si="322"/>
        <v>335812.94999999995</v>
      </c>
      <c r="BE62" s="1611">
        <f>+AW62+AY62</f>
        <v>674999.98684634012</v>
      </c>
      <c r="BF62" s="1611">
        <f>+AX62+AZ62</f>
        <v>659766.75</v>
      </c>
      <c r="BG62" s="26"/>
      <c r="BH62" s="26"/>
      <c r="BI62" s="26"/>
      <c r="BJ62" s="26"/>
    </row>
    <row r="63" spans="2:62" ht="15.75" x14ac:dyDescent="0.25">
      <c r="B63" s="6354"/>
      <c r="C63" s="1609" t="s">
        <v>224</v>
      </c>
      <c r="D63" s="236">
        <v>150</v>
      </c>
      <c r="E63" s="1609">
        <v>150</v>
      </c>
      <c r="F63" s="1610">
        <f>+F62/F61*1000</f>
        <v>150</v>
      </c>
      <c r="G63" s="1609">
        <v>150</v>
      </c>
      <c r="H63" s="1610">
        <f>+H62/H61*1000</f>
        <v>150</v>
      </c>
      <c r="I63" s="1612">
        <f>+I62/I61*1000</f>
        <v>150</v>
      </c>
      <c r="J63" s="1612">
        <f>+J62/J61*1000</f>
        <v>150</v>
      </c>
      <c r="K63" s="1609">
        <v>150</v>
      </c>
      <c r="L63" s="1610">
        <f>+L62/L61*1000</f>
        <v>150</v>
      </c>
      <c r="M63" s="1984">
        <f>+M62/M61*1000</f>
        <v>150</v>
      </c>
      <c r="N63" s="1984">
        <f>+N62/N61*1000</f>
        <v>150.00000000000003</v>
      </c>
      <c r="O63" s="1609">
        <v>150</v>
      </c>
      <c r="P63" s="1610">
        <f>+P62/P61*1000</f>
        <v>150</v>
      </c>
      <c r="Q63" s="1612">
        <f>+Q62/Q61*1000</f>
        <v>150.00000000000003</v>
      </c>
      <c r="R63" s="1612">
        <f>+R62/R61*1000</f>
        <v>150</v>
      </c>
      <c r="S63" s="1609">
        <v>150</v>
      </c>
      <c r="T63" s="2687">
        <f>+T62/T61*1000</f>
        <v>150</v>
      </c>
      <c r="U63" s="1612">
        <f>+U62/U61*1000</f>
        <v>150.00000000000003</v>
      </c>
      <c r="V63" s="1612">
        <f>+V62/V61*1000</f>
        <v>150.00000000000003</v>
      </c>
      <c r="W63" s="1609">
        <v>150</v>
      </c>
      <c r="X63" s="2687">
        <f>+X62/X61*1000</f>
        <v>150</v>
      </c>
      <c r="Y63" s="1984">
        <f>+Y62/Y61*1000</f>
        <v>150.00000000000003</v>
      </c>
      <c r="Z63" s="1984">
        <f>+Z62/Z61*1000</f>
        <v>150</v>
      </c>
      <c r="AA63" s="1614">
        <f>+AA62/AA61*1000</f>
        <v>150.00000000000006</v>
      </c>
      <c r="AB63" s="1614">
        <f>+AB62/AB61*1000</f>
        <v>150.00000000000003</v>
      </c>
      <c r="AC63" s="1609">
        <v>150</v>
      </c>
      <c r="AD63" s="1610">
        <f>+AD62/AD61*1000</f>
        <v>150</v>
      </c>
      <c r="AE63" s="1612">
        <f>+AE62/AE61*1000</f>
        <v>150.00000000000003</v>
      </c>
      <c r="AF63" s="1612">
        <f>+AF62/AF61*1000</f>
        <v>150.00000000000003</v>
      </c>
      <c r="AG63" s="1609">
        <v>150</v>
      </c>
      <c r="AH63" s="1610">
        <f>+AH62/AH61*1000</f>
        <v>150</v>
      </c>
      <c r="AI63" s="1612">
        <f>+AI62/AI61*1000</f>
        <v>150.00000000000003</v>
      </c>
      <c r="AJ63" s="1612">
        <f>+AJ62/AJ61*1000</f>
        <v>150.00000000000003</v>
      </c>
      <c r="AK63" s="1609">
        <v>150</v>
      </c>
      <c r="AL63" s="2687">
        <f>+AL62/AL61*1000</f>
        <v>150</v>
      </c>
      <c r="AM63" s="1984">
        <f>+AM62/AM61*1000</f>
        <v>150</v>
      </c>
      <c r="AN63" s="1984">
        <f>+AN62/AN61*1000</f>
        <v>150</v>
      </c>
      <c r="AO63" s="1612">
        <f>+AO62/AO61*1000</f>
        <v>150.00000000000003</v>
      </c>
      <c r="AP63" s="1612">
        <f>+AP62/AP61*1000</f>
        <v>150.00000000000003</v>
      </c>
      <c r="AQ63" s="1609">
        <v>150</v>
      </c>
      <c r="AR63" s="1610">
        <f>+AR62/AR61*1000</f>
        <v>150</v>
      </c>
      <c r="AS63" s="1612">
        <f>+AS62/AS61*1000</f>
        <v>150.00000000000003</v>
      </c>
      <c r="AT63" s="1612">
        <f>+AT62/AT61*1000</f>
        <v>150</v>
      </c>
      <c r="AU63" s="1609">
        <v>150</v>
      </c>
      <c r="AV63" s="1610">
        <f>+AV62/AV61*1000</f>
        <v>150</v>
      </c>
      <c r="AW63" s="1612">
        <f>+AW62/AW61*1000</f>
        <v>150.00000000000003</v>
      </c>
      <c r="AX63" s="1612">
        <f>+AX62/AX61*1000</f>
        <v>150</v>
      </c>
      <c r="AY63" s="1609">
        <v>150</v>
      </c>
      <c r="AZ63" s="1610">
        <f t="shared" ref="AZ63:BF63" si="323">+AZ62/AZ61*1000</f>
        <v>150</v>
      </c>
      <c r="BA63" s="1984">
        <f t="shared" si="323"/>
        <v>150</v>
      </c>
      <c r="BB63" s="1984">
        <f t="shared" si="323"/>
        <v>150</v>
      </c>
      <c r="BC63" s="1614">
        <f t="shared" si="323"/>
        <v>150</v>
      </c>
      <c r="BD63" s="1614">
        <f t="shared" si="323"/>
        <v>149.99999999999997</v>
      </c>
      <c r="BE63" s="1612">
        <f t="shared" si="323"/>
        <v>150.00000000000003</v>
      </c>
      <c r="BF63" s="1612">
        <f t="shared" si="323"/>
        <v>150</v>
      </c>
      <c r="BG63" s="26"/>
      <c r="BH63" s="26"/>
      <c r="BI63" s="26"/>
      <c r="BJ63" s="26"/>
    </row>
    <row r="64" spans="2:62" s="183" customFormat="1" ht="18.75" x14ac:dyDescent="0.25">
      <c r="B64" s="1601" t="s">
        <v>48</v>
      </c>
      <c r="C64" s="1601"/>
      <c r="D64" s="299"/>
      <c r="E64" s="1622"/>
      <c r="F64" s="1622"/>
      <c r="G64" s="1622"/>
      <c r="H64" s="1622"/>
      <c r="I64" s="1601"/>
      <c r="J64" s="1601"/>
      <c r="K64" s="1622"/>
      <c r="L64" s="1622"/>
      <c r="M64" s="1601"/>
      <c r="N64" s="1601"/>
      <c r="O64" s="1622"/>
      <c r="P64" s="1622"/>
      <c r="Q64" s="1601"/>
      <c r="R64" s="1601"/>
      <c r="S64" s="1622"/>
      <c r="T64" s="2688"/>
      <c r="U64" s="1601"/>
      <c r="V64" s="1601"/>
      <c r="W64" s="1622"/>
      <c r="X64" s="2688"/>
      <c r="Y64" s="1601"/>
      <c r="Z64" s="1601"/>
      <c r="AA64" s="1601"/>
      <c r="AB64" s="1601"/>
      <c r="AC64" s="1622"/>
      <c r="AD64" s="1622"/>
      <c r="AE64" s="1601"/>
      <c r="AF64" s="1601"/>
      <c r="AG64" s="1622"/>
      <c r="AH64" s="1622"/>
      <c r="AI64" s="1601"/>
      <c r="AJ64" s="1601"/>
      <c r="AK64" s="1622"/>
      <c r="AL64" s="2688"/>
      <c r="AM64" s="1601"/>
      <c r="AN64" s="1601"/>
      <c r="AO64" s="1601"/>
      <c r="AP64" s="1601"/>
      <c r="AQ64" s="1622"/>
      <c r="AR64" s="1622"/>
      <c r="AS64" s="1601"/>
      <c r="AT64" s="1601"/>
      <c r="AU64" s="1622"/>
      <c r="AV64" s="1622"/>
      <c r="AW64" s="1601"/>
      <c r="AX64" s="1601"/>
      <c r="AY64" s="1622"/>
      <c r="AZ64" s="1622"/>
      <c r="BA64" s="1601"/>
      <c r="BB64" s="1601"/>
      <c r="BC64" s="1601"/>
      <c r="BD64" s="1601"/>
      <c r="BE64" s="1601"/>
      <c r="BF64" s="1601"/>
      <c r="BG64" s="26"/>
      <c r="BH64" s="26"/>
      <c r="BI64" s="26"/>
      <c r="BJ64" s="26"/>
    </row>
    <row r="65" spans="2:62" x14ac:dyDescent="0.25">
      <c r="B65" s="1602" t="s">
        <v>90</v>
      </c>
      <c r="C65" s="91" t="s">
        <v>226</v>
      </c>
      <c r="D65" s="193">
        <f>+D2*24</f>
        <v>8784</v>
      </c>
      <c r="E65" s="91">
        <f>+E2*24</f>
        <v>720</v>
      </c>
      <c r="F65" s="91">
        <f>+F2*24</f>
        <v>720</v>
      </c>
      <c r="G65" s="91">
        <f>+G2*24</f>
        <v>744</v>
      </c>
      <c r="H65" s="91">
        <f>+H2*24</f>
        <v>744</v>
      </c>
      <c r="I65" s="1605">
        <f>+E65+G65</f>
        <v>1464</v>
      </c>
      <c r="J65" s="1605">
        <f>+F65+H65</f>
        <v>1464</v>
      </c>
      <c r="K65" s="91">
        <f>+K2*24</f>
        <v>720</v>
      </c>
      <c r="L65" s="91">
        <f>+L2*24</f>
        <v>720</v>
      </c>
      <c r="M65" s="1606">
        <f>+K65+G65+E65</f>
        <v>2184</v>
      </c>
      <c r="N65" s="1606">
        <f>+L65+H65+F65</f>
        <v>2184</v>
      </c>
      <c r="O65" s="91">
        <f>+O2*24</f>
        <v>744</v>
      </c>
      <c r="P65" s="91">
        <f>+P2*24</f>
        <v>744</v>
      </c>
      <c r="Q65" s="1605">
        <f>+M65+O65</f>
        <v>2928</v>
      </c>
      <c r="R65" s="1605">
        <f>+N65+P65</f>
        <v>2928</v>
      </c>
      <c r="S65" s="91">
        <f>+S2*24</f>
        <v>744</v>
      </c>
      <c r="T65" s="2689">
        <f>+T2*24</f>
        <v>744</v>
      </c>
      <c r="U65" s="1605">
        <f>+Q65+S65</f>
        <v>3672</v>
      </c>
      <c r="V65" s="1605">
        <f>+R65+T65</f>
        <v>3672</v>
      </c>
      <c r="W65" s="91">
        <f>+W2*24</f>
        <v>720</v>
      </c>
      <c r="X65" s="2689">
        <f>+X2*24</f>
        <v>720</v>
      </c>
      <c r="Y65" s="1606">
        <f>+O65+S65+W65</f>
        <v>2208</v>
      </c>
      <c r="Z65" s="1606">
        <f>+P65+T65+X65</f>
        <v>2208</v>
      </c>
      <c r="AA65" s="1522">
        <f>M65+Y65</f>
        <v>4392</v>
      </c>
      <c r="AB65" s="1522">
        <f>N65+Z65</f>
        <v>4392</v>
      </c>
      <c r="AC65" s="91">
        <f>+AC2*24</f>
        <v>744</v>
      </c>
      <c r="AD65" s="91">
        <f>+AD2*24</f>
        <v>744</v>
      </c>
      <c r="AE65" s="1605">
        <f>+AA65+AC65</f>
        <v>5136</v>
      </c>
      <c r="AF65" s="1605">
        <f>+AB65+AD65</f>
        <v>5136</v>
      </c>
      <c r="AG65" s="91">
        <f>+AG2*24</f>
        <v>720</v>
      </c>
      <c r="AH65" s="91">
        <f>+AH2*24</f>
        <v>720</v>
      </c>
      <c r="AI65" s="1605">
        <f>+AE65+AG65</f>
        <v>5856</v>
      </c>
      <c r="AJ65" s="1605">
        <f>+AF65+AH65</f>
        <v>5856</v>
      </c>
      <c r="AK65" s="91">
        <f>+AK2*24</f>
        <v>744</v>
      </c>
      <c r="AL65" s="2689">
        <f>+AL2*24</f>
        <v>744</v>
      </c>
      <c r="AM65" s="1606">
        <f>+AC65+AG65+AK65</f>
        <v>2208</v>
      </c>
      <c r="AN65" s="1606">
        <f>+AD65+AH65+AL65</f>
        <v>2208</v>
      </c>
      <c r="AO65" s="1604">
        <f>AI65+AK65</f>
        <v>6600</v>
      </c>
      <c r="AP65" s="1604">
        <f>AJ65+AL65</f>
        <v>6600</v>
      </c>
      <c r="AQ65" s="91">
        <f>+AQ2*24</f>
        <v>744</v>
      </c>
      <c r="AR65" s="91">
        <f>+AR2*24</f>
        <v>744</v>
      </c>
      <c r="AS65" s="1605">
        <f>+AO65+AQ65</f>
        <v>7344</v>
      </c>
      <c r="AT65" s="1605">
        <f>+AP65+AR65</f>
        <v>7344</v>
      </c>
      <c r="AU65" s="91">
        <f>+AU2*24</f>
        <v>696</v>
      </c>
      <c r="AV65" s="91">
        <f>+AV2*24</f>
        <v>696</v>
      </c>
      <c r="AW65" s="1605">
        <f>+AS65+AU65</f>
        <v>8040</v>
      </c>
      <c r="AX65" s="1605">
        <f>+AT65+AV65</f>
        <v>8040</v>
      </c>
      <c r="AY65" s="91">
        <f>+AY2*24</f>
        <v>744</v>
      </c>
      <c r="AZ65" s="91">
        <f>+AZ2*24</f>
        <v>744</v>
      </c>
      <c r="BA65" s="1606">
        <f>+AQ65+AU65+AY65</f>
        <v>2184</v>
      </c>
      <c r="BB65" s="1606">
        <f>+AR65+AV65+AZ65</f>
        <v>2184</v>
      </c>
      <c r="BC65" s="1522">
        <f t="shared" ref="BC65:BC66" si="324">AM65+BA65</f>
        <v>4392</v>
      </c>
      <c r="BD65" s="1522">
        <f t="shared" ref="BD65:BD66" si="325">AN65+BB65</f>
        <v>4392</v>
      </c>
      <c r="BE65" s="1605">
        <f>+AW65+AY65</f>
        <v>8784</v>
      </c>
      <c r="BF65" s="1605">
        <f>+AX65+AZ65</f>
        <v>8784</v>
      </c>
      <c r="BG65" s="26"/>
      <c r="BH65" s="26"/>
      <c r="BI65" s="26"/>
      <c r="BJ65" s="26"/>
    </row>
    <row r="66" spans="2:62" x14ac:dyDescent="0.25">
      <c r="B66" s="1602" t="s">
        <v>227</v>
      </c>
      <c r="C66" s="91" t="s">
        <v>226</v>
      </c>
      <c r="D66" s="193">
        <v>8280</v>
      </c>
      <c r="E66" s="1603">
        <v>696</v>
      </c>
      <c r="F66" s="1603">
        <v>701.25</v>
      </c>
      <c r="G66" s="1603">
        <v>600</v>
      </c>
      <c r="H66" s="1603">
        <v>593.21</v>
      </c>
      <c r="I66" s="1604">
        <f>+E66+G66</f>
        <v>1296</v>
      </c>
      <c r="J66" s="1604">
        <f>+F66+H66</f>
        <v>1294.46</v>
      </c>
      <c r="K66" s="1603">
        <v>600</v>
      </c>
      <c r="L66" s="1603">
        <v>603.25</v>
      </c>
      <c r="M66" s="1606">
        <f>+K66+G66+E66</f>
        <v>1896</v>
      </c>
      <c r="N66" s="1606">
        <f>+L66+H66+F66</f>
        <v>1897.71</v>
      </c>
      <c r="O66" s="1603">
        <v>720</v>
      </c>
      <c r="P66" s="1603">
        <v>706.29</v>
      </c>
      <c r="Q66" s="1604">
        <f>+M66+O66</f>
        <v>2616</v>
      </c>
      <c r="R66" s="1604">
        <f>+N66+P66</f>
        <v>2604</v>
      </c>
      <c r="S66" s="1603">
        <v>720</v>
      </c>
      <c r="T66" s="2685">
        <v>719</v>
      </c>
      <c r="U66" s="1604">
        <f>+Q66+S66</f>
        <v>3336</v>
      </c>
      <c r="V66" s="1604">
        <f>+R66+T66</f>
        <v>3323</v>
      </c>
      <c r="W66" s="1603">
        <v>696</v>
      </c>
      <c r="X66" s="2685">
        <v>664.5</v>
      </c>
      <c r="Y66" s="1606">
        <f>+O66+S66+W66</f>
        <v>2136</v>
      </c>
      <c r="Z66" s="1606">
        <f>+P66+T66+X66</f>
        <v>2089.79</v>
      </c>
      <c r="AA66" s="1522">
        <f>M66+Y66</f>
        <v>4032</v>
      </c>
      <c r="AB66" s="1522">
        <f>N66+Z66</f>
        <v>3987.5</v>
      </c>
      <c r="AC66" s="1603">
        <v>720</v>
      </c>
      <c r="AD66" s="1603">
        <v>726.12</v>
      </c>
      <c r="AE66" s="1604">
        <f>+AA66+AC66</f>
        <v>4752</v>
      </c>
      <c r="AF66" s="1604">
        <f>+AB66+AD66</f>
        <v>4713.62</v>
      </c>
      <c r="AG66" s="1603">
        <v>696</v>
      </c>
      <c r="AH66" s="1603">
        <v>697.54</v>
      </c>
      <c r="AI66" s="1604">
        <f>+AE66+AG66</f>
        <v>5448</v>
      </c>
      <c r="AJ66" s="1604">
        <f>+AF66+AH66</f>
        <v>5411.16</v>
      </c>
      <c r="AK66" s="1603">
        <v>720</v>
      </c>
      <c r="AL66" s="2685">
        <v>728.37</v>
      </c>
      <c r="AM66" s="1606">
        <f>+AC66+AG66+AK66</f>
        <v>2136</v>
      </c>
      <c r="AN66" s="1606">
        <f>+AD66+AH66+AL66</f>
        <v>2152.0299999999997</v>
      </c>
      <c r="AO66" s="1604">
        <f>AI66+AK66</f>
        <v>6168</v>
      </c>
      <c r="AP66" s="1604">
        <f>AJ66+AL66</f>
        <v>6139.53</v>
      </c>
      <c r="AQ66" s="1603">
        <v>720</v>
      </c>
      <c r="AR66" s="1603">
        <v>735.16</v>
      </c>
      <c r="AS66" s="1604">
        <f>+AO66+AQ66</f>
        <v>6888</v>
      </c>
      <c r="AT66" s="1604">
        <f>+AP66+AR66</f>
        <v>6874.69</v>
      </c>
      <c r="AU66" s="1603">
        <v>672</v>
      </c>
      <c r="AV66" s="1603">
        <v>685.46</v>
      </c>
      <c r="AW66" s="1604">
        <f>+AS66+AU66</f>
        <v>7560</v>
      </c>
      <c r="AX66" s="1604">
        <f>+AT66+AV66</f>
        <v>7560.15</v>
      </c>
      <c r="AY66" s="1603">
        <v>720</v>
      </c>
      <c r="AZ66" s="1603">
        <v>694.63</v>
      </c>
      <c r="BA66" s="1606">
        <f>+AQ66+AU66+AY66</f>
        <v>2112</v>
      </c>
      <c r="BB66" s="1606">
        <f>+AR66+AV66+AZ66</f>
        <v>2115.25</v>
      </c>
      <c r="BC66" s="1522">
        <f t="shared" si="324"/>
        <v>4248</v>
      </c>
      <c r="BD66" s="1522">
        <f t="shared" si="325"/>
        <v>4267.28</v>
      </c>
      <c r="BE66" s="1604">
        <f>+AW66+AY66</f>
        <v>8280</v>
      </c>
      <c r="BF66" s="1604">
        <f>+AX66+AZ66</f>
        <v>8254.7799999999988</v>
      </c>
      <c r="BG66" s="26"/>
      <c r="BH66" s="26"/>
      <c r="BI66" s="26"/>
      <c r="BJ66" s="26"/>
    </row>
    <row r="67" spans="2:62" x14ac:dyDescent="0.25">
      <c r="B67" s="1602" t="s">
        <v>228</v>
      </c>
      <c r="C67" s="91" t="s">
        <v>51</v>
      </c>
      <c r="D67" s="131">
        <f t="shared" ref="D67:T67" si="326">+D66/D65*100</f>
        <v>94.262295081967224</v>
      </c>
      <c r="E67" s="1617">
        <f t="shared" si="326"/>
        <v>96.666666666666671</v>
      </c>
      <c r="F67" s="1603">
        <f t="shared" si="326"/>
        <v>97.395833333333343</v>
      </c>
      <c r="G67" s="1617">
        <f t="shared" ref="G67:H67" si="327">+G66/G65*100</f>
        <v>80.645161290322577</v>
      </c>
      <c r="H67" s="1603">
        <f t="shared" si="327"/>
        <v>79.732526881720432</v>
      </c>
      <c r="I67" s="1620">
        <f t="shared" si="326"/>
        <v>88.52459016393442</v>
      </c>
      <c r="J67" s="1620">
        <f t="shared" si="326"/>
        <v>88.419398907103826</v>
      </c>
      <c r="K67" s="1617">
        <f t="shared" si="326"/>
        <v>83.333333333333343</v>
      </c>
      <c r="L67" s="1603">
        <f t="shared" si="326"/>
        <v>83.784722222222214</v>
      </c>
      <c r="M67" s="1618">
        <f t="shared" si="326"/>
        <v>86.813186813186817</v>
      </c>
      <c r="N67" s="1618">
        <f t="shared" si="326"/>
        <v>86.891483516483518</v>
      </c>
      <c r="O67" s="1617">
        <f t="shared" ref="O67:P67" si="328">+O66/O65*100</f>
        <v>96.774193548387103</v>
      </c>
      <c r="P67" s="1603">
        <f t="shared" si="328"/>
        <v>94.931451612903217</v>
      </c>
      <c r="Q67" s="1620">
        <f t="shared" si="326"/>
        <v>89.344262295081961</v>
      </c>
      <c r="R67" s="1620">
        <f t="shared" si="326"/>
        <v>88.934426229508205</v>
      </c>
      <c r="S67" s="1617">
        <f t="shared" si="326"/>
        <v>96.774193548387103</v>
      </c>
      <c r="T67" s="2685">
        <f t="shared" si="326"/>
        <v>96.63978494623656</v>
      </c>
      <c r="U67" s="1620">
        <f t="shared" ref="U67:X67" si="329">+U66/U65*100</f>
        <v>90.849673202614383</v>
      </c>
      <c r="V67" s="1620">
        <f t="shared" si="329"/>
        <v>90.495642701525057</v>
      </c>
      <c r="W67" s="1617">
        <f t="shared" si="329"/>
        <v>96.666666666666671</v>
      </c>
      <c r="X67" s="185">
        <f t="shared" si="329"/>
        <v>92.291666666666671</v>
      </c>
      <c r="Y67" s="1618">
        <f t="shared" ref="Y67:AF67" si="330">+Y66/Y65*100</f>
        <v>96.739130434782609</v>
      </c>
      <c r="Z67" s="1618">
        <f t="shared" si="330"/>
        <v>94.646286231884062</v>
      </c>
      <c r="AA67" s="1522">
        <f t="shared" si="330"/>
        <v>91.803278688524586</v>
      </c>
      <c r="AB67" s="1621">
        <f t="shared" si="330"/>
        <v>90.790072859744981</v>
      </c>
      <c r="AC67" s="1617">
        <f t="shared" si="330"/>
        <v>96.774193548387103</v>
      </c>
      <c r="AD67" s="1603">
        <f t="shared" si="330"/>
        <v>97.596774193548384</v>
      </c>
      <c r="AE67" s="1620">
        <f t="shared" si="330"/>
        <v>92.523364485981304</v>
      </c>
      <c r="AF67" s="1620">
        <f t="shared" si="330"/>
        <v>91.776090342679126</v>
      </c>
      <c r="AG67" s="1617">
        <f t="shared" ref="AG67:AN67" si="331">+AG66/AG65*100</f>
        <v>96.666666666666671</v>
      </c>
      <c r="AH67" s="1603">
        <f t="shared" si="331"/>
        <v>96.880555555555546</v>
      </c>
      <c r="AI67" s="1620">
        <f t="shared" si="331"/>
        <v>93.032786885245898</v>
      </c>
      <c r="AJ67" s="1620">
        <f t="shared" si="331"/>
        <v>92.403688524590166</v>
      </c>
      <c r="AK67" s="1617">
        <f t="shared" si="331"/>
        <v>96.774193548387103</v>
      </c>
      <c r="AL67" s="185">
        <f t="shared" si="331"/>
        <v>97.899193548387103</v>
      </c>
      <c r="AM67" s="1618">
        <f t="shared" si="331"/>
        <v>96.739130434782609</v>
      </c>
      <c r="AN67" s="1618">
        <f t="shared" si="331"/>
        <v>97.465126811594189</v>
      </c>
      <c r="AO67" s="1620">
        <f t="shared" ref="AO67:AT67" si="332">+AO66/AO65*100</f>
        <v>93.454545454545453</v>
      </c>
      <c r="AP67" s="1620">
        <f t="shared" si="332"/>
        <v>93.023181818181811</v>
      </c>
      <c r="AQ67" s="1617">
        <f t="shared" si="332"/>
        <v>96.774193548387103</v>
      </c>
      <c r="AR67" s="1603">
        <f t="shared" si="332"/>
        <v>98.811827956989234</v>
      </c>
      <c r="AS67" s="1620">
        <f t="shared" si="332"/>
        <v>93.790849673202615</v>
      </c>
      <c r="AT67" s="1620">
        <f t="shared" si="332"/>
        <v>93.609613289760347</v>
      </c>
      <c r="AU67" s="1617">
        <f t="shared" ref="AU67:AX67" si="333">+AU66/AU65*100</f>
        <v>96.551724137931032</v>
      </c>
      <c r="AV67" s="1603">
        <f t="shared" si="333"/>
        <v>98.485632183908052</v>
      </c>
      <c r="AW67" s="1620">
        <f t="shared" si="333"/>
        <v>94.029850746268664</v>
      </c>
      <c r="AX67" s="1620">
        <f t="shared" si="333"/>
        <v>94.031716417910445</v>
      </c>
      <c r="AY67" s="1617">
        <f t="shared" ref="AY67:BF67" si="334">+AY66/AY65*100</f>
        <v>96.774193548387103</v>
      </c>
      <c r="AZ67" s="1603">
        <f t="shared" si="334"/>
        <v>93.364247311827953</v>
      </c>
      <c r="BA67" s="1618">
        <f t="shared" si="334"/>
        <v>96.703296703296701</v>
      </c>
      <c r="BB67" s="1618">
        <f t="shared" si="334"/>
        <v>96.852106227106233</v>
      </c>
      <c r="BC67" s="1522">
        <f t="shared" si="334"/>
        <v>96.721311475409834</v>
      </c>
      <c r="BD67" s="1621">
        <f t="shared" si="334"/>
        <v>97.160291438979968</v>
      </c>
      <c r="BE67" s="1620">
        <f t="shared" si="334"/>
        <v>94.262295081967224</v>
      </c>
      <c r="BF67" s="1620">
        <f t="shared" si="334"/>
        <v>93.975182149362467</v>
      </c>
      <c r="BG67" s="26"/>
      <c r="BH67" s="26"/>
      <c r="BI67" s="26"/>
      <c r="BJ67" s="26"/>
    </row>
    <row r="68" spans="2:62" x14ac:dyDescent="0.25">
      <c r="B68" s="1602" t="s">
        <v>229</v>
      </c>
      <c r="C68" s="91" t="s">
        <v>226</v>
      </c>
      <c r="D68" s="1494">
        <v>8105.880000000001</v>
      </c>
      <c r="E68" s="185">
        <v>682.08</v>
      </c>
      <c r="F68" s="1603">
        <v>671.83</v>
      </c>
      <c r="G68" s="185">
        <v>582</v>
      </c>
      <c r="H68" s="1603">
        <v>542.46</v>
      </c>
      <c r="I68" s="1604">
        <f>+E68+G68</f>
        <v>1264.08</v>
      </c>
      <c r="J68" s="1604">
        <f>+F68+H68</f>
        <v>1214.29</v>
      </c>
      <c r="K68" s="185">
        <v>582</v>
      </c>
      <c r="L68" s="1603">
        <v>583.64</v>
      </c>
      <c r="M68" s="1606">
        <f>+K68+G68+E68</f>
        <v>1846.08</v>
      </c>
      <c r="N68" s="1606">
        <f>+L68+H68+F68</f>
        <v>1797.9299999999998</v>
      </c>
      <c r="O68" s="185">
        <v>705.6</v>
      </c>
      <c r="P68" s="1603">
        <v>674.06</v>
      </c>
      <c r="Q68" s="1604">
        <f>+M68+O68</f>
        <v>2551.6799999999998</v>
      </c>
      <c r="R68" s="1604">
        <f>+N68+P68</f>
        <v>2471.9899999999998</v>
      </c>
      <c r="S68" s="185">
        <v>705.6</v>
      </c>
      <c r="T68" s="2685">
        <v>654.96</v>
      </c>
      <c r="U68" s="1604">
        <f>+Q68+S68</f>
        <v>3257.2799999999997</v>
      </c>
      <c r="V68" s="1604">
        <f>+R68+T68</f>
        <v>3126.95</v>
      </c>
      <c r="W68" s="185">
        <v>682.08</v>
      </c>
      <c r="X68" s="2685">
        <v>648.58000000000004</v>
      </c>
      <c r="Y68" s="1606">
        <f>+O68+S68+W68</f>
        <v>2093.2800000000002</v>
      </c>
      <c r="Z68" s="1606">
        <f>+P68+T68+X68</f>
        <v>1977.6</v>
      </c>
      <c r="AA68" s="1522">
        <f>M68+Y68</f>
        <v>3939.36</v>
      </c>
      <c r="AB68" s="1522">
        <f>N68+Z68</f>
        <v>3775.5299999999997</v>
      </c>
      <c r="AC68" s="185">
        <v>705.6</v>
      </c>
      <c r="AD68" s="1603">
        <v>680.42</v>
      </c>
      <c r="AE68" s="1604">
        <f>+AA68+AC68</f>
        <v>4644.96</v>
      </c>
      <c r="AF68" s="1604">
        <f>+AB68+AD68</f>
        <v>4455.95</v>
      </c>
      <c r="AG68" s="185">
        <v>685.56</v>
      </c>
      <c r="AH68" s="1603">
        <v>659.7</v>
      </c>
      <c r="AI68" s="1604">
        <f>+AE68+AG68</f>
        <v>5330.52</v>
      </c>
      <c r="AJ68" s="1604">
        <f>+AF68+AH68</f>
        <v>5115.6499999999996</v>
      </c>
      <c r="AK68" s="185">
        <v>705.6</v>
      </c>
      <c r="AL68" s="2685">
        <v>699.65</v>
      </c>
      <c r="AM68" s="1606">
        <f>+AC68+AG68+AK68</f>
        <v>2096.7599999999998</v>
      </c>
      <c r="AN68" s="1606">
        <f>+AD68+AH68+AL68</f>
        <v>2039.77</v>
      </c>
      <c r="AO68" s="1604">
        <f>AI68+AK68</f>
        <v>6036.1200000000008</v>
      </c>
      <c r="AP68" s="1604">
        <f>AJ68+AL68</f>
        <v>5815.2999999999993</v>
      </c>
      <c r="AQ68" s="185">
        <v>705.6</v>
      </c>
      <c r="AR68" s="1603">
        <v>688.36</v>
      </c>
      <c r="AS68" s="1604">
        <f>+AO68+AQ68</f>
        <v>6741.7200000000012</v>
      </c>
      <c r="AT68" s="1604">
        <f>+AP68+AR68</f>
        <v>6503.6599999999989</v>
      </c>
      <c r="AU68" s="185">
        <v>658.56</v>
      </c>
      <c r="AV68" s="1603">
        <v>669.46</v>
      </c>
      <c r="AW68" s="1604">
        <f>+AS68+AU68</f>
        <v>7400.2800000000007</v>
      </c>
      <c r="AX68" s="1604">
        <f>+AT68+AV68</f>
        <v>7173.119999999999</v>
      </c>
      <c r="AY68" s="185">
        <v>705.6</v>
      </c>
      <c r="AZ68" s="1603">
        <v>641</v>
      </c>
      <c r="BA68" s="1606">
        <f>+AQ68+AU68+AY68</f>
        <v>2069.7599999999998</v>
      </c>
      <c r="BB68" s="1606">
        <f>+AR68+AV68+AZ68</f>
        <v>1998.8200000000002</v>
      </c>
      <c r="BC68" s="1522">
        <f t="shared" ref="BC68" si="335">AM68+BA68</f>
        <v>4166.5199999999995</v>
      </c>
      <c r="BD68" s="1522">
        <f t="shared" ref="BD68" si="336">AN68+BB68</f>
        <v>4038.59</v>
      </c>
      <c r="BE68" s="1604">
        <f>+AW68+AY68</f>
        <v>8105.880000000001</v>
      </c>
      <c r="BF68" s="1604">
        <f>+AX68+AZ68</f>
        <v>7814.119999999999</v>
      </c>
      <c r="BG68" s="26"/>
      <c r="BH68" s="26"/>
      <c r="BI68" s="26"/>
      <c r="BJ68" s="26"/>
    </row>
    <row r="69" spans="2:62" x14ac:dyDescent="0.25">
      <c r="B69" s="1602" t="s">
        <v>230</v>
      </c>
      <c r="C69" s="91" t="s">
        <v>51</v>
      </c>
      <c r="D69" s="1494">
        <f t="shared" ref="D69:T69" si="337">+D68/D66*100</f>
        <v>97.897101449275368</v>
      </c>
      <c r="E69" s="1617">
        <f t="shared" si="337"/>
        <v>98.000000000000014</v>
      </c>
      <c r="F69" s="1617">
        <f t="shared" si="337"/>
        <v>95.804634581105176</v>
      </c>
      <c r="G69" s="1617">
        <f t="shared" ref="G69:H69" si="338">+G68/G66*100</f>
        <v>97</v>
      </c>
      <c r="H69" s="1617">
        <f t="shared" si="338"/>
        <v>91.444850895972763</v>
      </c>
      <c r="I69" s="1620">
        <f t="shared" si="337"/>
        <v>97.537037037037038</v>
      </c>
      <c r="J69" s="1620">
        <f t="shared" si="337"/>
        <v>93.806683868176691</v>
      </c>
      <c r="K69" s="1617">
        <f t="shared" si="337"/>
        <v>97</v>
      </c>
      <c r="L69" s="1617">
        <f t="shared" si="337"/>
        <v>96.749274761707412</v>
      </c>
      <c r="M69" s="1618">
        <f t="shared" si="337"/>
        <v>97.367088607594937</v>
      </c>
      <c r="N69" s="1618">
        <f t="shared" si="337"/>
        <v>94.742083880044873</v>
      </c>
      <c r="O69" s="1617">
        <f t="shared" ref="O69:P69" si="339">+O68/O66*100</f>
        <v>98</v>
      </c>
      <c r="P69" s="1617">
        <f t="shared" si="339"/>
        <v>95.436718628325465</v>
      </c>
      <c r="Q69" s="1620">
        <f t="shared" si="337"/>
        <v>97.541284403669721</v>
      </c>
      <c r="R69" s="1620">
        <f t="shared" si="337"/>
        <v>94.930491551459284</v>
      </c>
      <c r="S69" s="1617">
        <f t="shared" si="337"/>
        <v>98</v>
      </c>
      <c r="T69" s="2686">
        <f t="shared" si="337"/>
        <v>91.093184979137703</v>
      </c>
      <c r="U69" s="1620">
        <f t="shared" ref="U69:X69" si="340">+U68/U66*100</f>
        <v>97.640287769784166</v>
      </c>
      <c r="V69" s="1620">
        <f t="shared" si="340"/>
        <v>94.100210653024376</v>
      </c>
      <c r="W69" s="1617">
        <f t="shared" si="340"/>
        <v>98.000000000000014</v>
      </c>
      <c r="X69" s="2686">
        <f t="shared" si="340"/>
        <v>97.604213694507152</v>
      </c>
      <c r="Y69" s="1618">
        <f t="shared" ref="Y69:AF69" si="341">+Y68/Y66*100</f>
        <v>98.000000000000014</v>
      </c>
      <c r="Z69" s="1618">
        <f t="shared" si="341"/>
        <v>94.631517999416204</v>
      </c>
      <c r="AA69" s="1621">
        <f t="shared" si="341"/>
        <v>97.702380952380949</v>
      </c>
      <c r="AB69" s="1621">
        <f t="shared" si="341"/>
        <v>94.684137931034471</v>
      </c>
      <c r="AC69" s="1617">
        <f t="shared" si="341"/>
        <v>98</v>
      </c>
      <c r="AD69" s="1617">
        <f t="shared" si="341"/>
        <v>93.706274444995302</v>
      </c>
      <c r="AE69" s="1620">
        <f t="shared" si="341"/>
        <v>97.747474747474755</v>
      </c>
      <c r="AF69" s="1620">
        <f t="shared" si="341"/>
        <v>94.53350079132386</v>
      </c>
      <c r="AG69" s="1617">
        <f t="shared" ref="AG69:AN69" si="342">+AG68/AG66*100</f>
        <v>98.499999999999986</v>
      </c>
      <c r="AH69" s="1617">
        <f t="shared" si="342"/>
        <v>94.57522149267426</v>
      </c>
      <c r="AI69" s="1620">
        <f t="shared" si="342"/>
        <v>97.843612334801762</v>
      </c>
      <c r="AJ69" s="1620">
        <f t="shared" si="342"/>
        <v>94.538878909512931</v>
      </c>
      <c r="AK69" s="1617">
        <f t="shared" si="342"/>
        <v>98</v>
      </c>
      <c r="AL69" s="2686">
        <f t="shared" si="342"/>
        <v>96.056949078078446</v>
      </c>
      <c r="AM69" s="1618">
        <f t="shared" si="342"/>
        <v>98.162921348314597</v>
      </c>
      <c r="AN69" s="1618">
        <f t="shared" si="342"/>
        <v>94.783529969377753</v>
      </c>
      <c r="AO69" s="1620">
        <f t="shared" ref="AO69:AT69" si="343">+AO68/AO66*100</f>
        <v>97.861867704280172</v>
      </c>
      <c r="AP69" s="1620">
        <f t="shared" si="343"/>
        <v>94.718976859792193</v>
      </c>
      <c r="AQ69" s="1617">
        <f t="shared" si="343"/>
        <v>98</v>
      </c>
      <c r="AR69" s="1617">
        <f t="shared" si="343"/>
        <v>93.634038848686004</v>
      </c>
      <c r="AS69" s="1620">
        <f t="shared" si="343"/>
        <v>97.876306620209078</v>
      </c>
      <c r="AT69" s="1620">
        <f t="shared" si="343"/>
        <v>94.6029566424086</v>
      </c>
      <c r="AU69" s="1617">
        <f t="shared" ref="AU69:AX69" si="344">+AU68/AU66*100</f>
        <v>97.999999999999986</v>
      </c>
      <c r="AV69" s="1617">
        <f t="shared" si="344"/>
        <v>97.665801067896012</v>
      </c>
      <c r="AW69" s="1620">
        <f t="shared" si="344"/>
        <v>97.887301587301607</v>
      </c>
      <c r="AX69" s="1620">
        <f t="shared" si="344"/>
        <v>94.880657129818843</v>
      </c>
      <c r="AY69" s="1617">
        <f t="shared" ref="AY69:BF69" si="345">+AY68/AY66*100</f>
        <v>98</v>
      </c>
      <c r="AZ69" s="1617">
        <f t="shared" si="345"/>
        <v>92.279342959561205</v>
      </c>
      <c r="BA69" s="1618">
        <f t="shared" si="345"/>
        <v>97.999999999999986</v>
      </c>
      <c r="BB69" s="1618">
        <f t="shared" si="345"/>
        <v>94.49568608911477</v>
      </c>
      <c r="BC69" s="1621">
        <f t="shared" si="345"/>
        <v>98.081920903954796</v>
      </c>
      <c r="BD69" s="1621">
        <f t="shared" si="345"/>
        <v>94.640848503027698</v>
      </c>
      <c r="BE69" s="1620">
        <f t="shared" si="345"/>
        <v>97.897101449275368</v>
      </c>
      <c r="BF69" s="1620">
        <f t="shared" si="345"/>
        <v>94.661759610795201</v>
      </c>
      <c r="BG69" s="26"/>
      <c r="BH69" s="26"/>
      <c r="BI69" s="26"/>
      <c r="BJ69" s="26"/>
    </row>
    <row r="70" spans="2:62" x14ac:dyDescent="0.25">
      <c r="B70" s="1602" t="s">
        <v>231</v>
      </c>
      <c r="C70" s="91" t="s">
        <v>1670</v>
      </c>
      <c r="D70" s="1494">
        <f t="shared" ref="D70:J70" si="346">+D61/D68</f>
        <v>555.15254510416298</v>
      </c>
      <c r="E70" s="1603">
        <f>+E61/E68</f>
        <v>553.57744761030767</v>
      </c>
      <c r="F70" s="1603">
        <f>+F61/F68</f>
        <v>571.8262060342646</v>
      </c>
      <c r="G70" s="1603">
        <f>+G61/G68</f>
        <v>527.2333331644943</v>
      </c>
      <c r="H70" s="1603">
        <f>+H61/H68</f>
        <v>574.36124322530691</v>
      </c>
      <c r="I70" s="1604">
        <f t="shared" si="346"/>
        <v>541.44825119278403</v>
      </c>
      <c r="J70" s="1604">
        <f t="shared" si="346"/>
        <v>572.95868367523406</v>
      </c>
      <c r="K70" s="1603">
        <f>+K61/K68</f>
        <v>537.73083172195356</v>
      </c>
      <c r="L70" s="1603">
        <f>+L61/L68</f>
        <v>565.19429785484203</v>
      </c>
      <c r="M70" s="1606">
        <f t="shared" ref="M70:T70" si="347">+M61/M68</f>
        <v>540.27628782607007</v>
      </c>
      <c r="N70" s="1606">
        <f t="shared" si="347"/>
        <v>570.43822618233196</v>
      </c>
      <c r="O70" s="1603">
        <f>+O61/O68</f>
        <v>547.3079841076667</v>
      </c>
      <c r="P70" s="1603">
        <f>+P61/P68</f>
        <v>574.11061329851941</v>
      </c>
      <c r="Q70" s="1604">
        <f t="shared" si="347"/>
        <v>542.220718513419</v>
      </c>
      <c r="R70" s="1604">
        <f t="shared" si="347"/>
        <v>571.43960938353314</v>
      </c>
      <c r="S70" s="1603">
        <f>+S61/S68</f>
        <v>547.3079841076667</v>
      </c>
      <c r="T70" s="2685">
        <f t="shared" si="347"/>
        <v>569.9172468547697</v>
      </c>
      <c r="U70" s="1604">
        <f t="shared" ref="U70:V70" si="348">+U61/U68</f>
        <v>543.32273449095283</v>
      </c>
      <c r="V70" s="1604">
        <f t="shared" si="348"/>
        <v>571.12074065782951</v>
      </c>
      <c r="W70" s="1603">
        <f>+W61/W68</f>
        <v>550.45678117757063</v>
      </c>
      <c r="X70" s="2685">
        <f t="shared" ref="X70:AB70" si="349">+X61/X68</f>
        <v>576.37608313546514</v>
      </c>
      <c r="Y70" s="1606">
        <f t="shared" si="349"/>
        <v>548.33399663606224</v>
      </c>
      <c r="Z70" s="1606">
        <f t="shared" si="349"/>
        <v>573.46480582524271</v>
      </c>
      <c r="AA70" s="1522">
        <f t="shared" si="349"/>
        <v>544.55795812220447</v>
      </c>
      <c r="AB70" s="1522">
        <f t="shared" si="349"/>
        <v>572.02353047121869</v>
      </c>
      <c r="AC70" s="1603">
        <f>+AC61/AC68</f>
        <v>556.83881216998589</v>
      </c>
      <c r="AD70" s="1603">
        <f>+AD61/AD68</f>
        <v>581.19249875077162</v>
      </c>
      <c r="AE70" s="1604">
        <f t="shared" ref="AE70:AF70" si="350">+AE61/AE68</f>
        <v>546.42350069224051</v>
      </c>
      <c r="AF70" s="1604">
        <f t="shared" si="350"/>
        <v>573.42362459183789</v>
      </c>
      <c r="AG70" s="1603">
        <f>+AG61/AG68</f>
        <v>561.07179174143675</v>
      </c>
      <c r="AH70" s="1603">
        <f>+AH61/AH68</f>
        <v>564.51568894952243</v>
      </c>
      <c r="AI70" s="1604">
        <f t="shared" ref="AI70:AJ70" si="351">+AI61/AI68</f>
        <v>548.30742241313965</v>
      </c>
      <c r="AJ70" s="1604">
        <f t="shared" si="351"/>
        <v>572.27488197980711</v>
      </c>
      <c r="AK70" s="1603">
        <f>+AK61/AK68</f>
        <v>564.67914102501754</v>
      </c>
      <c r="AL70" s="2685">
        <f t="shared" ref="AL70:AP70" si="352">+AL61/AL68</f>
        <v>541.24490816836988</v>
      </c>
      <c r="AM70" s="1606">
        <f t="shared" si="352"/>
        <v>560.86125513680815</v>
      </c>
      <c r="AN70" s="1606">
        <f t="shared" si="352"/>
        <v>562.09670698166951</v>
      </c>
      <c r="AO70" s="1604">
        <f t="shared" si="352"/>
        <v>550.22121548758821</v>
      </c>
      <c r="AP70" s="1604">
        <f t="shared" si="352"/>
        <v>568.54160576410516</v>
      </c>
      <c r="AQ70" s="1603">
        <f>+AQ61/AQ68</f>
        <v>570.34807526538032</v>
      </c>
      <c r="AR70" s="1603">
        <f>+AR61/AR68</f>
        <v>522.16863269219596</v>
      </c>
      <c r="AS70" s="1604">
        <f t="shared" ref="AS70:AT70" si="353">+AS61/AS68</f>
        <v>552.32772721741537</v>
      </c>
      <c r="AT70" s="1604">
        <f t="shared" si="353"/>
        <v>563.63340027000186</v>
      </c>
      <c r="AU70" s="1603">
        <f>+AU61/AU68</f>
        <v>565.46296347390773</v>
      </c>
      <c r="AV70" s="1603">
        <f>+AV61/AV68</f>
        <v>556.43055597048362</v>
      </c>
      <c r="AW70" s="1604">
        <f t="shared" ref="AW70:AX70" si="354">+AW61/AW68</f>
        <v>553.4966480135306</v>
      </c>
      <c r="AX70" s="1604">
        <f t="shared" si="354"/>
        <v>562.96116613133483</v>
      </c>
      <c r="AY70" s="1603">
        <f>+AY61/AY68</f>
        <v>572.51946988004909</v>
      </c>
      <c r="AZ70" s="1603">
        <f>+AZ61/AZ68</f>
        <v>562.02340093603743</v>
      </c>
      <c r="BA70" s="1606">
        <f t="shared" ref="BA70:BD70" si="355">+BA61/BA68</f>
        <v>569.5339696776399</v>
      </c>
      <c r="BB70" s="1606">
        <f t="shared" si="355"/>
        <v>546.42489068550435</v>
      </c>
      <c r="BC70" s="1522">
        <f t="shared" si="355"/>
        <v>565.16951182297123</v>
      </c>
      <c r="BD70" s="1522">
        <f t="shared" si="355"/>
        <v>554.34025241482789</v>
      </c>
      <c r="BE70" s="1604">
        <f t="shared" ref="BE70:BF70" si="356">+BE61/BE68</f>
        <v>555.15254510416298</v>
      </c>
      <c r="BF70" s="1604">
        <f t="shared" si="356"/>
        <v>562.88424032392652</v>
      </c>
      <c r="BG70" s="26"/>
      <c r="BH70" s="26"/>
      <c r="BI70" s="26"/>
      <c r="BJ70" s="26"/>
    </row>
    <row r="71" spans="2:62" x14ac:dyDescent="0.25">
      <c r="B71" s="1602" t="s">
        <v>232</v>
      </c>
      <c r="C71" s="91" t="s">
        <v>51</v>
      </c>
      <c r="D71" s="1494">
        <f t="shared" ref="D71:AD71" si="357">+(1000/(D48+D49+D50+D51+D52))*100</f>
        <v>77.711497833245943</v>
      </c>
      <c r="E71" s="1603">
        <f t="shared" si="357"/>
        <v>77.667415959222723</v>
      </c>
      <c r="F71" s="1603">
        <f t="shared" si="357"/>
        <v>77.424379393465614</v>
      </c>
      <c r="G71" s="1603">
        <f t="shared" ref="G71:H71" si="358">+(1000/(G48+G49+G50+G51+G52))*100</f>
        <v>77.401519034697102</v>
      </c>
      <c r="H71" s="1603">
        <f t="shared" si="358"/>
        <v>76.260976236776088</v>
      </c>
      <c r="I71" s="1604">
        <f t="shared" si="357"/>
        <v>77.350834879019899</v>
      </c>
      <c r="J71" s="1604">
        <f t="shared" si="357"/>
        <v>76.899020837717629</v>
      </c>
      <c r="K71" s="1603">
        <f t="shared" si="357"/>
        <v>77.397648836030228</v>
      </c>
      <c r="L71" s="1603">
        <f t="shared" si="357"/>
        <v>77.510018949829913</v>
      </c>
      <c r="M71" s="1606">
        <f t="shared" si="357"/>
        <v>77.711497833245943</v>
      </c>
      <c r="N71" s="1606">
        <f t="shared" si="357"/>
        <v>77.09448482630134</v>
      </c>
      <c r="O71" s="1603">
        <f t="shared" ref="O71:P71" si="359">+(1000/(O48+O49+O50+O51+O52))*100</f>
        <v>77.764080701634697</v>
      </c>
      <c r="P71" s="1603">
        <f t="shared" si="359"/>
        <v>77.658990241848002</v>
      </c>
      <c r="Q71" s="1604">
        <f t="shared" si="357"/>
        <v>77.711497833245943</v>
      </c>
      <c r="R71" s="1604">
        <f t="shared" si="357"/>
        <v>77.248315333505275</v>
      </c>
      <c r="S71" s="1603">
        <f t="shared" si="357"/>
        <v>77.764080701634697</v>
      </c>
      <c r="T71" s="2685">
        <f t="shared" si="357"/>
        <v>75.089362150596614</v>
      </c>
      <c r="U71" s="1604">
        <f t="shared" ref="U71:X71" si="360">+(1000/(U48+U49+U50+U51+U52))*100</f>
        <v>77.711497833245943</v>
      </c>
      <c r="V71" s="1604">
        <f t="shared" si="360"/>
        <v>76.7868602574124</v>
      </c>
      <c r="W71" s="1603">
        <f t="shared" si="360"/>
        <v>77.7792920746585</v>
      </c>
      <c r="X71" s="2685">
        <f t="shared" si="360"/>
        <v>78.244743754774845</v>
      </c>
      <c r="Y71" s="1606">
        <f t="shared" si="357"/>
        <v>77.711497833245943</v>
      </c>
      <c r="Z71" s="1606">
        <f t="shared" si="357"/>
        <v>76.981869764992595</v>
      </c>
      <c r="AA71" s="1522">
        <f t="shared" si="357"/>
        <v>77.711497833245943</v>
      </c>
      <c r="AB71" s="1522">
        <f t="shared" si="357"/>
        <v>77.035308057245174</v>
      </c>
      <c r="AC71" s="1603">
        <f t="shared" si="357"/>
        <v>77.650474632090763</v>
      </c>
      <c r="AD71" s="1603">
        <f t="shared" si="357"/>
        <v>77.24741323571638</v>
      </c>
      <c r="AE71" s="1604">
        <f t="shared" ref="AE71:AH71" si="361">+(1000/(AE48+AE49+AE50+AE51+AE52))*100</f>
        <v>77.711497833245943</v>
      </c>
      <c r="AF71" s="1604">
        <f t="shared" si="361"/>
        <v>77.068058933778772</v>
      </c>
      <c r="AG71" s="1603">
        <f t="shared" si="361"/>
        <v>77.766201463537925</v>
      </c>
      <c r="AH71" s="1603">
        <f t="shared" si="361"/>
        <v>77.653248036832082</v>
      </c>
      <c r="AI71" s="1604">
        <f t="shared" ref="AI71:AN71" si="362">+(1000/(AI48+AI49+AI50+AI51+AI52))*100</f>
        <v>77.711497833245943</v>
      </c>
      <c r="AJ71" s="1604">
        <f t="shared" si="362"/>
        <v>77.142010018330353</v>
      </c>
      <c r="AK71" s="1603">
        <f t="shared" si="362"/>
        <v>77.747705668652642</v>
      </c>
      <c r="AL71" s="2685">
        <f t="shared" si="362"/>
        <v>77.589389807379845</v>
      </c>
      <c r="AM71" s="1606">
        <f t="shared" si="362"/>
        <v>77.711497833245943</v>
      </c>
      <c r="AN71" s="1606">
        <f t="shared" si="362"/>
        <v>77.49176452140955</v>
      </c>
      <c r="AO71" s="1604">
        <f t="shared" ref="AO71:AT71" si="363">+(1000/(AO48+AO49+AO50+AO51+AO52))*100</f>
        <v>77.711497833245943</v>
      </c>
      <c r="AP71" s="1604">
        <f t="shared" si="363"/>
        <v>77.192989118868141</v>
      </c>
      <c r="AQ71" s="1603">
        <f t="shared" si="363"/>
        <v>77.844837532628077</v>
      </c>
      <c r="AR71" s="1603">
        <f t="shared" si="363"/>
        <v>80.328070351871091</v>
      </c>
      <c r="AS71" s="1604">
        <f t="shared" si="363"/>
        <v>77.711497833245943</v>
      </c>
      <c r="AT71" s="1604">
        <f t="shared" si="363"/>
        <v>77.489538069400339</v>
      </c>
      <c r="AU71" s="1603">
        <f t="shared" ref="AU71:AX71" si="364">+(1000/(AU48+AU49+AU50+AU51+AU52))*100</f>
        <v>77.783800255505</v>
      </c>
      <c r="AV71" s="1603">
        <f t="shared" si="364"/>
        <v>78.720216396699101</v>
      </c>
      <c r="AW71" s="1604">
        <f t="shared" si="364"/>
        <v>77.711497833245943</v>
      </c>
      <c r="AX71" s="1604">
        <f t="shared" si="364"/>
        <v>77.601450204358429</v>
      </c>
      <c r="AY71" s="1603">
        <f t="shared" ref="AY71:BF71" si="365">+(1000/(AY48+AY49+AY50+AY51+AY52))*100</f>
        <v>77.842507528231508</v>
      </c>
      <c r="AZ71" s="1603">
        <f t="shared" si="365"/>
        <v>77.727866058232706</v>
      </c>
      <c r="BA71" s="1606">
        <f t="shared" si="365"/>
        <v>77.711497833245943</v>
      </c>
      <c r="BB71" s="1606">
        <f t="shared" si="365"/>
        <v>78.907709035476529</v>
      </c>
      <c r="BC71" s="1522">
        <f t="shared" si="365"/>
        <v>77.711497833245943</v>
      </c>
      <c r="BD71" s="1522">
        <f t="shared" si="365"/>
        <v>78.176147254157073</v>
      </c>
      <c r="BE71" s="1604">
        <f t="shared" si="365"/>
        <v>77.711497833245943</v>
      </c>
      <c r="BF71" s="1604">
        <f t="shared" si="365"/>
        <v>77.611788900082132</v>
      </c>
      <c r="BG71" s="26"/>
      <c r="BH71" s="26"/>
      <c r="BI71" s="26"/>
      <c r="BJ71" s="26"/>
    </row>
    <row r="72" spans="2:62" x14ac:dyDescent="0.25">
      <c r="B72" s="1602" t="s">
        <v>445</v>
      </c>
      <c r="C72" s="91" t="s">
        <v>51</v>
      </c>
      <c r="D72" s="131">
        <f t="shared" ref="D72:Z72" si="366">+D43/D61*100</f>
        <v>15.000000000000002</v>
      </c>
      <c r="E72" s="1617">
        <f t="shared" si="366"/>
        <v>15</v>
      </c>
      <c r="F72" s="1617">
        <f t="shared" si="366"/>
        <v>19.510633313376889</v>
      </c>
      <c r="G72" s="1617">
        <f t="shared" ref="G72:H72" si="367">+G43/G61*100</f>
        <v>15</v>
      </c>
      <c r="H72" s="1617">
        <f t="shared" si="367"/>
        <v>16.966119755558978</v>
      </c>
      <c r="I72" s="1620">
        <f t="shared" si="366"/>
        <v>15</v>
      </c>
      <c r="J72" s="1620">
        <f t="shared" si="366"/>
        <v>18.3711397106382</v>
      </c>
      <c r="K72" s="1617">
        <f t="shared" si="366"/>
        <v>15</v>
      </c>
      <c r="L72" s="1617">
        <f t="shared" si="366"/>
        <v>17.816109376421014</v>
      </c>
      <c r="M72" s="1618">
        <f t="shared" si="366"/>
        <v>15</v>
      </c>
      <c r="N72" s="1618">
        <f t="shared" si="366"/>
        <v>18.192623302470341</v>
      </c>
      <c r="O72" s="1617">
        <f t="shared" ref="O72:P72" si="368">+O43/O61*100</f>
        <v>15.000000000000002</v>
      </c>
      <c r="P72" s="1617">
        <f t="shared" si="368"/>
        <v>16.840704420067961</v>
      </c>
      <c r="Q72" s="1620">
        <f t="shared" si="366"/>
        <v>15.000000000000002</v>
      </c>
      <c r="R72" s="1620">
        <f t="shared" si="366"/>
        <v>17.822260198089612</v>
      </c>
      <c r="S72" s="1617">
        <f t="shared" si="366"/>
        <v>15.000000000000002</v>
      </c>
      <c r="T72" s="2686">
        <f t="shared" si="366"/>
        <v>16.569909958662961</v>
      </c>
      <c r="U72" s="1620">
        <f t="shared" ref="U72:X72" si="369">+U43/U61*100</f>
        <v>15.000000000000002</v>
      </c>
      <c r="V72" s="1620">
        <f t="shared" si="369"/>
        <v>17.560500059914911</v>
      </c>
      <c r="W72" s="1617">
        <f t="shared" si="369"/>
        <v>15</v>
      </c>
      <c r="X72" s="2686">
        <f t="shared" si="369"/>
        <v>16.174904902280741</v>
      </c>
      <c r="Y72" s="1618">
        <f t="shared" si="366"/>
        <v>15.000000000000002</v>
      </c>
      <c r="Z72" s="1618">
        <f t="shared" si="366"/>
        <v>16.532108732686467</v>
      </c>
      <c r="AA72" s="1621">
        <f t="shared" ref="AA72:AF72" si="370">+AA43/AA61*100</f>
        <v>15.000000000000005</v>
      </c>
      <c r="AB72" s="1621">
        <f t="shared" si="370"/>
        <v>17.320664242864261</v>
      </c>
      <c r="AC72" s="1617">
        <f t="shared" si="370"/>
        <v>15.000000000000002</v>
      </c>
      <c r="AD72" s="1617">
        <f t="shared" si="370"/>
        <v>16.957681657837178</v>
      </c>
      <c r="AE72" s="1620">
        <f t="shared" si="370"/>
        <v>15.000000000000002</v>
      </c>
      <c r="AF72" s="1620">
        <f t="shared" si="370"/>
        <v>17.264486152851479</v>
      </c>
      <c r="AG72" s="1617">
        <f t="shared" ref="AG72:AN72" si="371">+AG43/AG61*100</f>
        <v>15</v>
      </c>
      <c r="AH72" s="1617">
        <f t="shared" si="371"/>
        <v>17.844800502670434</v>
      </c>
      <c r="AI72" s="1620">
        <f t="shared" si="371"/>
        <v>15.000000000000002</v>
      </c>
      <c r="AJ72" s="1620">
        <f t="shared" si="371"/>
        <v>17.338307217141384</v>
      </c>
      <c r="AK72" s="1617">
        <f t="shared" si="371"/>
        <v>15</v>
      </c>
      <c r="AL72" s="2686">
        <f t="shared" si="371"/>
        <v>18.44898886136653</v>
      </c>
      <c r="AM72" s="1618">
        <f t="shared" si="371"/>
        <v>15</v>
      </c>
      <c r="AN72" s="1618">
        <f t="shared" si="371"/>
        <v>17.738376413373011</v>
      </c>
      <c r="AO72" s="1620">
        <f t="shared" ref="AO72:AT72" si="372">+AO43/AO61*100</f>
        <v>15.000000000000002</v>
      </c>
      <c r="AP72" s="1620">
        <f t="shared" si="372"/>
        <v>17.46551974448316</v>
      </c>
      <c r="AQ72" s="1617">
        <f t="shared" si="372"/>
        <v>15</v>
      </c>
      <c r="AR72" s="1617">
        <f t="shared" si="372"/>
        <v>19.832517249054085</v>
      </c>
      <c r="AS72" s="1620">
        <f t="shared" si="372"/>
        <v>15.000000000000002</v>
      </c>
      <c r="AT72" s="1620">
        <f t="shared" si="372"/>
        <v>17.697616813251564</v>
      </c>
      <c r="AU72" s="1617">
        <f t="shared" ref="AU72:AX72" si="373">+AU43/AU61*100</f>
        <v>15</v>
      </c>
      <c r="AV72" s="1617">
        <f t="shared" si="373"/>
        <v>18.414638074886984</v>
      </c>
      <c r="AW72" s="1620">
        <f t="shared" si="373"/>
        <v>15.000000000000002</v>
      </c>
      <c r="AX72" s="1620">
        <f t="shared" si="373"/>
        <v>17.763759389112145</v>
      </c>
      <c r="AY72" s="1617">
        <f t="shared" ref="AY72:BF72" si="374">+AY43/AY61*100</f>
        <v>15</v>
      </c>
      <c r="AZ72" s="1617">
        <f t="shared" si="374"/>
        <v>18.73551381374963</v>
      </c>
      <c r="BA72" s="1618">
        <f t="shared" si="374"/>
        <v>15</v>
      </c>
      <c r="BB72" s="1618">
        <f t="shared" si="374"/>
        <v>18.98709491350067</v>
      </c>
      <c r="BC72" s="1621">
        <f t="shared" si="374"/>
        <v>15</v>
      </c>
      <c r="BD72" s="1621">
        <f t="shared" si="374"/>
        <v>18.347580103745255</v>
      </c>
      <c r="BE72" s="1620">
        <f t="shared" si="374"/>
        <v>15.000000000000002</v>
      </c>
      <c r="BF72" s="1620">
        <f t="shared" si="374"/>
        <v>17.843351457162701</v>
      </c>
      <c r="BG72" s="26"/>
      <c r="BH72" s="26"/>
      <c r="BI72" s="26"/>
      <c r="BJ72" s="26"/>
    </row>
    <row r="73" spans="2:62" s="183" customFormat="1" ht="18.75" x14ac:dyDescent="0.25">
      <c r="B73" s="1601" t="s">
        <v>49</v>
      </c>
      <c r="C73" s="1601"/>
      <c r="D73" s="299"/>
      <c r="E73" s="1622"/>
      <c r="F73" s="1622"/>
      <c r="G73" s="1622"/>
      <c r="H73" s="1622"/>
      <c r="I73" s="1601"/>
      <c r="J73" s="1601"/>
      <c r="K73" s="1622"/>
      <c r="L73" s="1622"/>
      <c r="M73" s="1601"/>
      <c r="N73" s="1601"/>
      <c r="O73" s="1622"/>
      <c r="P73" s="1622"/>
      <c r="Q73" s="1601"/>
      <c r="R73" s="1601"/>
      <c r="S73" s="1622"/>
      <c r="T73" s="2688"/>
      <c r="U73" s="1601"/>
      <c r="V73" s="1601"/>
      <c r="W73" s="1622"/>
      <c r="X73" s="2688"/>
      <c r="Y73" s="1601"/>
      <c r="Z73" s="1601"/>
      <c r="AA73" s="1601"/>
      <c r="AB73" s="1601"/>
      <c r="AC73" s="1622"/>
      <c r="AD73" s="1622"/>
      <c r="AE73" s="1601"/>
      <c r="AF73" s="1601"/>
      <c r="AG73" s="1622"/>
      <c r="AH73" s="1622"/>
      <c r="AI73" s="1601"/>
      <c r="AJ73" s="1601"/>
      <c r="AK73" s="1622"/>
      <c r="AL73" s="2688"/>
      <c r="AM73" s="1601"/>
      <c r="AN73" s="1601"/>
      <c r="AO73" s="1601"/>
      <c r="AP73" s="1601"/>
      <c r="AQ73" s="1622"/>
      <c r="AR73" s="1622"/>
      <c r="AS73" s="1601"/>
      <c r="AT73" s="1601"/>
      <c r="AU73" s="1622"/>
      <c r="AV73" s="1622"/>
      <c r="AW73" s="1601"/>
      <c r="AX73" s="1601"/>
      <c r="AY73" s="1622"/>
      <c r="AZ73" s="1622"/>
      <c r="BA73" s="1601"/>
      <c r="BB73" s="1601"/>
      <c r="BC73" s="1601"/>
      <c r="BD73" s="1601"/>
      <c r="BE73" s="1601"/>
      <c r="BF73" s="1601"/>
      <c r="BG73" s="26"/>
      <c r="BH73" s="26"/>
      <c r="BI73" s="26"/>
      <c r="BJ73" s="26"/>
    </row>
    <row r="74" spans="2:62" x14ac:dyDescent="0.25">
      <c r="B74" s="1602" t="s">
        <v>446</v>
      </c>
      <c r="C74" s="91" t="s">
        <v>51</v>
      </c>
      <c r="D74" s="131">
        <f t="shared" ref="D74:AB74" si="375">+(D61/(3880000/330*D1))*100</f>
        <v>113.31979786662293</v>
      </c>
      <c r="E74" s="1617">
        <f t="shared" si="375"/>
        <v>112.99828312045457</v>
      </c>
      <c r="F74" s="1617">
        <f t="shared" si="375"/>
        <v>116.7232874173035</v>
      </c>
      <c r="G74" s="1617">
        <f t="shared" si="375"/>
        <v>107.62082470780399</v>
      </c>
      <c r="H74" s="1617">
        <f t="shared" si="375"/>
        <v>117.2407486171245</v>
      </c>
      <c r="I74" s="1620">
        <f t="shared" si="375"/>
        <v>110.52242653213528</v>
      </c>
      <c r="J74" s="1620">
        <f t="shared" si="375"/>
        <v>116.95445295638798</v>
      </c>
      <c r="K74" s="1617">
        <f t="shared" ref="K74:L74" si="376">+(K61/(3880000/330*K1))*100</f>
        <v>109.76361307314104</v>
      </c>
      <c r="L74" s="1617">
        <f t="shared" si="376"/>
        <v>115.3695577064523</v>
      </c>
      <c r="M74" s="1618">
        <f t="shared" si="375"/>
        <v>110.28320102016687</v>
      </c>
      <c r="N74" s="1618">
        <f t="shared" si="375"/>
        <v>116.43996781866157</v>
      </c>
      <c r="O74" s="1617">
        <f t="shared" si="375"/>
        <v>111.71853696218351</v>
      </c>
      <c r="P74" s="1617">
        <f t="shared" si="375"/>
        <v>117.18958910629573</v>
      </c>
      <c r="Q74" s="1620">
        <f t="shared" si="375"/>
        <v>110.68010542851232</v>
      </c>
      <c r="R74" s="1620">
        <f t="shared" si="375"/>
        <v>116.64437387416451</v>
      </c>
      <c r="S74" s="1624">
        <f t="shared" si="375"/>
        <v>111.71853696218351</v>
      </c>
      <c r="T74" s="2686">
        <f t="shared" si="375"/>
        <v>116.33362358478803</v>
      </c>
      <c r="U74" s="1620">
        <f t="shared" ref="U74:X74" si="377">+(U61/(3880000/330*U1))*100</f>
        <v>110.90505301980271</v>
      </c>
      <c r="V74" s="1620">
        <f t="shared" si="377"/>
        <v>116.57928520644356</v>
      </c>
      <c r="W74" s="1624">
        <f t="shared" si="377"/>
        <v>112.36128110634947</v>
      </c>
      <c r="X74" s="2686">
        <f t="shared" si="377"/>
        <v>117.65202521734236</v>
      </c>
      <c r="Y74" s="1618">
        <f t="shared" si="375"/>
        <v>111.92797044736118</v>
      </c>
      <c r="Z74" s="1618">
        <f t="shared" si="375"/>
        <v>117.05776448803921</v>
      </c>
      <c r="AA74" s="1621">
        <f t="shared" si="375"/>
        <v>111.15719145174894</v>
      </c>
      <c r="AB74" s="1621">
        <f t="shared" si="375"/>
        <v>116.76356601371265</v>
      </c>
      <c r="AC74" s="1617">
        <f t="shared" ref="AC74:AF74" si="378">+(AC61/(3880000/330*AC1))*100</f>
        <v>113.66400495840946</v>
      </c>
      <c r="AD74" s="1617">
        <f t="shared" si="378"/>
        <v>118.63516984809566</v>
      </c>
      <c r="AE74" s="1620">
        <f t="shared" si="378"/>
        <v>111.53799292480788</v>
      </c>
      <c r="AF74" s="1620">
        <f t="shared" si="378"/>
        <v>117.04935842183907</v>
      </c>
      <c r="AG74" s="1617">
        <f t="shared" ref="AG74:AN74" si="379">+(AG61/(3880000/330*AG1))*100</f>
        <v>114.5280564585613</v>
      </c>
      <c r="AH74" s="1617">
        <f t="shared" si="379"/>
        <v>115.23103753814996</v>
      </c>
      <c r="AI74" s="1620">
        <f t="shared" si="379"/>
        <v>111.92254601835224</v>
      </c>
      <c r="AJ74" s="1620">
        <f t="shared" si="379"/>
        <v>116.81487281649672</v>
      </c>
      <c r="AK74" s="1624">
        <f t="shared" si="379"/>
        <v>115.26440198242626</v>
      </c>
      <c r="AL74" s="2686">
        <f t="shared" si="379"/>
        <v>110.48091939931675</v>
      </c>
      <c r="AM74" s="1618">
        <f t="shared" si="379"/>
        <v>114.48508094545153</v>
      </c>
      <c r="AN74" s="1618">
        <f t="shared" si="379"/>
        <v>114.73726596120677</v>
      </c>
      <c r="AO74" s="1620">
        <f t="shared" ref="AO74:AT74" si="380">+(AO61/(3880000/330*AO1))*100</f>
        <v>112.31319656344584</v>
      </c>
      <c r="AP74" s="1620">
        <f t="shared" si="380"/>
        <v>116.0528226198895</v>
      </c>
      <c r="AQ74" s="1617">
        <f t="shared" si="380"/>
        <v>116.42156587891267</v>
      </c>
      <c r="AR74" s="1617">
        <f t="shared" si="380"/>
        <v>106.58699925057195</v>
      </c>
      <c r="AS74" s="1620">
        <f t="shared" si="380"/>
        <v>112.74318555571983</v>
      </c>
      <c r="AT74" s="1620">
        <f t="shared" si="380"/>
        <v>115.05094149841275</v>
      </c>
      <c r="AU74" s="1617">
        <f t="shared" ref="AU74:AX74" si="381">+(AU61/(3880000/330*AU1))*100</f>
        <v>115.4243987297255</v>
      </c>
      <c r="AV74" s="1617">
        <f t="shared" si="381"/>
        <v>113.58067018778944</v>
      </c>
      <c r="AW74" s="1620">
        <f t="shared" si="381"/>
        <v>112.98179000688565</v>
      </c>
      <c r="AX74" s="1620">
        <f t="shared" si="381"/>
        <v>114.91372257113845</v>
      </c>
      <c r="AY74" s="1617">
        <f t="shared" ref="AY74:BF74" si="382">+(AY61/(3880000/330*AY1))*100</f>
        <v>116.86479900644299</v>
      </c>
      <c r="AZ74" s="1617">
        <f t="shared" si="382"/>
        <v>114.72230245910868</v>
      </c>
      <c r="BA74" s="1618">
        <f t="shared" si="382"/>
        <v>116.25538762492027</v>
      </c>
      <c r="BB74" s="1618">
        <f t="shared" si="382"/>
        <v>111.53827665539163</v>
      </c>
      <c r="BC74" s="1621">
        <f t="shared" si="382"/>
        <v>115.3644982896374</v>
      </c>
      <c r="BD74" s="1621">
        <f t="shared" si="382"/>
        <v>113.15398966818138</v>
      </c>
      <c r="BE74" s="1620">
        <f t="shared" si="382"/>
        <v>113.31979786662293</v>
      </c>
      <c r="BF74" s="1620">
        <f t="shared" si="382"/>
        <v>114.89802018983239</v>
      </c>
      <c r="BG74" s="26"/>
      <c r="BH74" s="26"/>
      <c r="BI74" s="26"/>
      <c r="BJ74" s="26"/>
    </row>
    <row r="75" spans="2:62" x14ac:dyDescent="0.25">
      <c r="B75" s="1602" t="s">
        <v>235</v>
      </c>
      <c r="C75" s="91" t="s">
        <v>233</v>
      </c>
      <c r="D75" s="131">
        <f t="shared" ref="D75:AD75" si="383">+(D61/408)/D68</f>
        <v>1.3606680027062819</v>
      </c>
      <c r="E75" s="1615">
        <f t="shared" si="383"/>
        <v>1.3568074696331072</v>
      </c>
      <c r="F75" s="1615">
        <f t="shared" si="383"/>
        <v>1.4015348187114329</v>
      </c>
      <c r="G75" s="1615">
        <f t="shared" ref="G75:H75" si="384">+(G61/408)/G68</f>
        <v>1.2922385616776821</v>
      </c>
      <c r="H75" s="1615">
        <f t="shared" si="384"/>
        <v>1.407748145160066</v>
      </c>
      <c r="I75" s="1620">
        <f t="shared" si="383"/>
        <v>1.3270790470411375</v>
      </c>
      <c r="J75" s="1616">
        <f t="shared" si="383"/>
        <v>1.4043104992040052</v>
      </c>
      <c r="K75" s="1615">
        <f t="shared" si="383"/>
        <v>1.3179677248087098</v>
      </c>
      <c r="L75" s="1615">
        <f t="shared" si="383"/>
        <v>1.3852801418010834</v>
      </c>
      <c r="M75" s="1626">
        <f t="shared" si="383"/>
        <v>1.324206587808995</v>
      </c>
      <c r="N75" s="1626">
        <f t="shared" si="383"/>
        <v>1.3981329073096371</v>
      </c>
      <c r="O75" s="1615">
        <f t="shared" ref="O75:P75" si="385">+(O61/408)/O68</f>
        <v>1.3414411375187909</v>
      </c>
      <c r="P75" s="1615">
        <f t="shared" si="385"/>
        <v>1.4071338561238222</v>
      </c>
      <c r="Q75" s="1620">
        <f t="shared" si="383"/>
        <v>1.3289723492975956</v>
      </c>
      <c r="R75" s="1616">
        <f t="shared" si="383"/>
        <v>1.4005872779008166</v>
      </c>
      <c r="S75" s="1625">
        <f t="shared" si="383"/>
        <v>1.3414411375187909</v>
      </c>
      <c r="T75" s="2690">
        <f t="shared" si="383"/>
        <v>1.396855997193063</v>
      </c>
      <c r="U75" s="1620">
        <f t="shared" ref="U75:X75" si="386">+(U61/408)/U68</f>
        <v>1.3316733688503744</v>
      </c>
      <c r="V75" s="1616">
        <f t="shared" si="386"/>
        <v>1.3998057369064449</v>
      </c>
      <c r="W75" s="1625">
        <f t="shared" si="386"/>
        <v>1.3491587773960063</v>
      </c>
      <c r="X75" s="2690">
        <f t="shared" si="386"/>
        <v>1.4126864782731989</v>
      </c>
      <c r="Y75" s="1626">
        <f t="shared" si="383"/>
        <v>1.3439558741079958</v>
      </c>
      <c r="Z75" s="1626">
        <f t="shared" si="383"/>
        <v>1.4055509946697125</v>
      </c>
      <c r="AA75" s="1627">
        <f t="shared" si="383"/>
        <v>1.3347008777505014</v>
      </c>
      <c r="AB75" s="1627">
        <f t="shared" si="383"/>
        <v>1.4020184570373007</v>
      </c>
      <c r="AC75" s="1615">
        <f t="shared" si="383"/>
        <v>1.3648010102205537</v>
      </c>
      <c r="AD75" s="1615">
        <f t="shared" si="383"/>
        <v>1.4244914185067932</v>
      </c>
      <c r="AE75" s="1620">
        <f t="shared" ref="AE75:AH75" si="387">+(AE61/408)/AE68</f>
        <v>1.3392732860103935</v>
      </c>
      <c r="AF75" s="1616">
        <f t="shared" si="387"/>
        <v>1.4054500602741125</v>
      </c>
      <c r="AG75" s="1615">
        <f t="shared" si="387"/>
        <v>1.3751759601505802</v>
      </c>
      <c r="AH75" s="1615">
        <f t="shared" si="387"/>
        <v>1.3836168846802022</v>
      </c>
      <c r="AI75" s="1620">
        <f t="shared" ref="AI75:AN75" si="388">+(AI61/408)/AI68</f>
        <v>1.3438907412086756</v>
      </c>
      <c r="AJ75" s="1616">
        <f t="shared" si="388"/>
        <v>1.4026345146563899</v>
      </c>
      <c r="AK75" s="1625">
        <f t="shared" si="388"/>
        <v>1.3840175025122978</v>
      </c>
      <c r="AL75" s="2690">
        <f t="shared" si="388"/>
        <v>1.3265806572754164</v>
      </c>
      <c r="AM75" s="1626">
        <f t="shared" si="388"/>
        <v>1.3746599390608043</v>
      </c>
      <c r="AN75" s="1626">
        <f t="shared" si="388"/>
        <v>1.3776880073080133</v>
      </c>
      <c r="AO75" s="1620">
        <f t="shared" ref="AO75:AT75" si="389">+(AO61/408)/AO68</f>
        <v>1.3485814105087948</v>
      </c>
      <c r="AP75" s="1616">
        <f t="shared" si="389"/>
        <v>1.3934843278531988</v>
      </c>
      <c r="AQ75" s="1615">
        <f t="shared" si="389"/>
        <v>1.397911949179854</v>
      </c>
      <c r="AR75" s="1615">
        <f t="shared" si="389"/>
        <v>1.2798250801279312</v>
      </c>
      <c r="AS75" s="1620">
        <f t="shared" si="389"/>
        <v>1.3537444294544494</v>
      </c>
      <c r="AT75" s="1616">
        <f t="shared" si="389"/>
        <v>1.3814544124264752</v>
      </c>
      <c r="AU75" s="1615">
        <f t="shared" ref="AU75:AX75" si="390">+(AU61/408)/AU68</f>
        <v>1.3859386359654602</v>
      </c>
      <c r="AV75" s="1615">
        <f t="shared" si="390"/>
        <v>1.3638003822805971</v>
      </c>
      <c r="AW75" s="1620">
        <f t="shared" si="390"/>
        <v>1.3566094314057122</v>
      </c>
      <c r="AX75" s="1616">
        <f t="shared" si="390"/>
        <v>1.3798067797336639</v>
      </c>
      <c r="AY75" s="1615">
        <f t="shared" ref="AY75:BF75" si="391">+(AY61/408)/AY68</f>
        <v>1.4032339948040418</v>
      </c>
      <c r="AZ75" s="1615">
        <f t="shared" si="391"/>
        <v>1.3775083356275428</v>
      </c>
      <c r="BA75" s="1626">
        <f t="shared" si="391"/>
        <v>1.3959165923471566</v>
      </c>
      <c r="BB75" s="1626">
        <f t="shared" si="391"/>
        <v>1.3392766928566284</v>
      </c>
      <c r="BC75" s="1627">
        <f t="shared" si="391"/>
        <v>1.3852193917229687</v>
      </c>
      <c r="BD75" s="1627">
        <f t="shared" si="391"/>
        <v>1.3586770892520292</v>
      </c>
      <c r="BE75" s="1620">
        <f t="shared" si="391"/>
        <v>1.3606680027062819</v>
      </c>
      <c r="BF75" s="1616">
        <f t="shared" si="391"/>
        <v>1.3796182360880551</v>
      </c>
      <c r="BG75" s="26"/>
      <c r="BH75" s="26"/>
      <c r="BI75" s="26"/>
      <c r="BJ75" s="26"/>
    </row>
    <row r="76" spans="2:62" x14ac:dyDescent="0.25">
      <c r="B76" s="1602" t="s">
        <v>236</v>
      </c>
      <c r="C76" s="91" t="s">
        <v>218</v>
      </c>
      <c r="D76" s="1411">
        <f>15.2963765103676*D2*24*1000</f>
        <v>134363371.26706898</v>
      </c>
      <c r="E76" s="185">
        <f>+'POWER DISTRIBUTION'!I22</f>
        <v>11274105.407981269</v>
      </c>
      <c r="F76" s="185">
        <f>+'POWER DISTRIBUTION'!J22</f>
        <v>12486170</v>
      </c>
      <c r="G76" s="185">
        <f>+'POWER DISTRIBUTION'!K22</f>
        <v>9162083.1979678888</v>
      </c>
      <c r="H76" s="185">
        <f>+'POWER DISTRIBUTION'!L22</f>
        <v>10289590.000000002</v>
      </c>
      <c r="I76" s="1604">
        <f>+E76+G76</f>
        <v>20436188.605949156</v>
      </c>
      <c r="J76" s="1605">
        <f>+F76+H76</f>
        <v>22775760</v>
      </c>
      <c r="K76" s="185">
        <f>+'POWER DISTRIBUTION'!O22</f>
        <v>9344505.1904787142</v>
      </c>
      <c r="L76" s="185">
        <f>+'POWER DISTRIBUTION'!P22</f>
        <v>10708909.999999993</v>
      </c>
      <c r="M76" s="1606">
        <f>+K76+G76+E76</f>
        <v>29780693.796427872</v>
      </c>
      <c r="N76" s="1606">
        <f>+L76+H76+F76</f>
        <v>33484669.999999993</v>
      </c>
      <c r="O76" s="185">
        <f>+'POWER DISTRIBUTION'!S22</f>
        <v>11530781.496502042</v>
      </c>
      <c r="P76" s="185">
        <f>+'POWER DISTRIBUTION'!T22</f>
        <v>12096100.000000006</v>
      </c>
      <c r="Q76" s="1604">
        <f>+M76+O76</f>
        <v>41311475.292929918</v>
      </c>
      <c r="R76" s="1605">
        <f>+N76+P76</f>
        <v>45580770</v>
      </c>
      <c r="S76" s="185">
        <f>+'POWER DISTRIBUTION'!W22</f>
        <v>11530781.496502042</v>
      </c>
      <c r="T76" s="2685">
        <f>+'POWER DISTRIBUTION'!X22</f>
        <v>11719710.000000024</v>
      </c>
      <c r="U76" s="1604">
        <f>+Q76+S76</f>
        <v>52842256.789431959</v>
      </c>
      <c r="V76" s="1605">
        <f>+R76+T76</f>
        <v>57300480.000000022</v>
      </c>
      <c r="W76" s="185">
        <f>+'POWER DISTRIBUTION'!AA22</f>
        <v>11210550.213567724</v>
      </c>
      <c r="X76" s="2685">
        <f>+'POWER DISTRIBUTION'!AB22</f>
        <v>11455569.999999989</v>
      </c>
      <c r="Y76" s="1606">
        <f>+O76+S76+W76</f>
        <v>34272113.20657181</v>
      </c>
      <c r="Z76" s="1606">
        <f>+P76+T76+X76</f>
        <v>35271380.000000015</v>
      </c>
      <c r="AA76" s="1522">
        <f>M76+Y76</f>
        <v>64052807.002999678</v>
      </c>
      <c r="AB76" s="1522">
        <f>N76+Z76</f>
        <v>68756050</v>
      </c>
      <c r="AC76" s="185">
        <f>+'POWER DISTRIBUTION'!AG22</f>
        <v>11731578.669316009</v>
      </c>
      <c r="AD76" s="185">
        <f>+'POWER DISTRIBUTION'!AH22</f>
        <v>12629509.99999998</v>
      </c>
      <c r="AE76" s="1604">
        <f>+AA76+AC76</f>
        <v>75784385.672315687</v>
      </c>
      <c r="AF76" s="1605">
        <f>+AB76+AD76</f>
        <v>81385559.999999985</v>
      </c>
      <c r="AG76" s="185">
        <f>+'POWER DISTRIBUTION'!AK22</f>
        <v>11485034.170368567</v>
      </c>
      <c r="AH76" s="185">
        <f>+'POWER DISTRIBUTION'!AL22</f>
        <v>11595860.000000024</v>
      </c>
      <c r="AI76" s="1604">
        <f>+AE76+AG76</f>
        <v>87269419.842684254</v>
      </c>
      <c r="AJ76" s="1605">
        <f>+AF76+AH76</f>
        <v>92981420.000000015</v>
      </c>
      <c r="AK76" s="185">
        <f>+'POWER DISTRIBUTION'!AO22</f>
        <v>11896760.105569836</v>
      </c>
      <c r="AL76" s="2685">
        <f>+'POWER DISTRIBUTION'!AP22</f>
        <v>12326569.999999976</v>
      </c>
      <c r="AM76" s="1606">
        <f>+AC76+AG76+AK76</f>
        <v>35113372.945254415</v>
      </c>
      <c r="AN76" s="1606">
        <f>+AD76+AH76+AL76</f>
        <v>36551939.999999978</v>
      </c>
      <c r="AO76" s="1604">
        <f>AI76+AK76</f>
        <v>99166179.948254094</v>
      </c>
      <c r="AP76" s="1604">
        <f>AJ76+AL76</f>
        <v>105307989.99999999</v>
      </c>
      <c r="AQ76" s="185">
        <f>+'POWER DISTRIBUTION'!AU22</f>
        <v>12016194.215690186</v>
      </c>
      <c r="AR76" s="185">
        <f>+'POWER DISTRIBUTION'!AV22</f>
        <v>11978469.99999998</v>
      </c>
      <c r="AS76" s="1604">
        <f>+AO76+AQ76</f>
        <v>111182374.16394427</v>
      </c>
      <c r="AT76" s="1605">
        <f>+AP76+AR76</f>
        <v>117286459.99999997</v>
      </c>
      <c r="AU76" s="185">
        <f>+'POWER DISTRIBUTION'!AY22</f>
        <v>11119055.561300777</v>
      </c>
      <c r="AV76" s="185">
        <f>+'POWER DISTRIBUTION'!AZ22</f>
        <v>11554790.000000034</v>
      </c>
      <c r="AW76" s="1604">
        <f>+AS76+AU76</f>
        <v>122301429.72524506</v>
      </c>
      <c r="AX76" s="1605">
        <f>+AT76+AV76</f>
        <v>128841250</v>
      </c>
      <c r="AY76" s="185">
        <f>+'POWER DISTRIBUTION'!BC22</f>
        <v>12061941.541823661</v>
      </c>
      <c r="AZ76" s="185">
        <f>+'POWER DISTRIBUTION'!BD22</f>
        <v>10230130.000000002</v>
      </c>
      <c r="BA76" s="1606">
        <f>+AQ76+AU76+AY76</f>
        <v>35197191.318814628</v>
      </c>
      <c r="BB76" s="1606">
        <f>+AR76+AV76+AZ76</f>
        <v>33763390.000000015</v>
      </c>
      <c r="BC76" s="1522">
        <f t="shared" ref="BC76:BD76" si="392">AM76+BA76</f>
        <v>70310564.264069051</v>
      </c>
      <c r="BD76" s="1522">
        <f t="shared" si="392"/>
        <v>70315330</v>
      </c>
      <c r="BE76" s="1604">
        <f>+AW76+AY76</f>
        <v>134363371.26706871</v>
      </c>
      <c r="BF76" s="1605">
        <f>+AX76+AZ76</f>
        <v>139071380</v>
      </c>
      <c r="BG76" s="26"/>
      <c r="BH76" s="26"/>
      <c r="BI76" s="26"/>
      <c r="BJ76" s="26"/>
    </row>
    <row r="77" spans="2:62" x14ac:dyDescent="0.25">
      <c r="B77" s="1602" t="s">
        <v>237</v>
      </c>
      <c r="C77" s="91" t="s">
        <v>234</v>
      </c>
      <c r="D77" s="227">
        <f t="shared" ref="D77:AD77" si="393">+D76/D61</f>
        <v>29.858527530087802</v>
      </c>
      <c r="E77" s="1624">
        <f t="shared" si="393"/>
        <v>29.858527530087741</v>
      </c>
      <c r="F77" s="1624">
        <f t="shared" si="393"/>
        <v>32.501678944217403</v>
      </c>
      <c r="G77" s="1624">
        <f t="shared" ref="G77:H77" si="394">+G76/G61</f>
        <v>29.858527530087738</v>
      </c>
      <c r="H77" s="1624">
        <f t="shared" si="394"/>
        <v>33.025182303702572</v>
      </c>
      <c r="I77" s="1620">
        <f t="shared" si="393"/>
        <v>29.858527530087734</v>
      </c>
      <c r="J77" s="1620">
        <f t="shared" si="393"/>
        <v>32.736116181666084</v>
      </c>
      <c r="K77" s="1624">
        <f t="shared" si="393"/>
        <v>29.858527530087745</v>
      </c>
      <c r="L77" s="1624">
        <f t="shared" si="393"/>
        <v>32.464031285051668</v>
      </c>
      <c r="M77" s="1618">
        <f t="shared" si="393"/>
        <v>29.858527530087741</v>
      </c>
      <c r="N77" s="1618">
        <f t="shared" si="393"/>
        <v>32.648604535066021</v>
      </c>
      <c r="O77" s="1624">
        <f t="shared" ref="O77:P77" si="395">+O76/O61</f>
        <v>29.858527530087745</v>
      </c>
      <c r="P77" s="1624">
        <f t="shared" si="395"/>
        <v>31.257283874051982</v>
      </c>
      <c r="Q77" s="1620">
        <f t="shared" si="393"/>
        <v>29.858527530087748</v>
      </c>
      <c r="R77" s="1620">
        <f t="shared" si="393"/>
        <v>32.267447169850058</v>
      </c>
      <c r="S77" s="1624">
        <f t="shared" si="393"/>
        <v>29.858527530087745</v>
      </c>
      <c r="T77" s="2686">
        <f t="shared" si="393"/>
        <v>31.397154361553138</v>
      </c>
      <c r="U77" s="1620">
        <f t="shared" ref="U77:X77" si="396">+U76/U61</f>
        <v>29.858527530087745</v>
      </c>
      <c r="V77" s="1620">
        <f t="shared" si="396"/>
        <v>32.085542812282682</v>
      </c>
      <c r="W77" s="1624">
        <f t="shared" si="396"/>
        <v>29.858527530087741</v>
      </c>
      <c r="X77" s="2686">
        <f t="shared" si="396"/>
        <v>30.644123201703437</v>
      </c>
      <c r="Y77" s="1618">
        <f t="shared" si="393"/>
        <v>29.858527530087745</v>
      </c>
      <c r="Z77" s="1618">
        <f t="shared" si="393"/>
        <v>31.10120590714622</v>
      </c>
      <c r="AA77" s="1621">
        <f t="shared" si="393"/>
        <v>29.858527530087748</v>
      </c>
      <c r="AB77" s="1621">
        <f t="shared" si="393"/>
        <v>31.836044213711954</v>
      </c>
      <c r="AC77" s="1624">
        <f t="shared" si="393"/>
        <v>29.858527530087741</v>
      </c>
      <c r="AD77" s="1624">
        <f t="shared" si="393"/>
        <v>31.936655245223804</v>
      </c>
      <c r="AE77" s="1620">
        <f t="shared" ref="AE77:AH77" si="397">+AE76/AE61</f>
        <v>29.858527530087745</v>
      </c>
      <c r="AF77" s="1620">
        <f t="shared" si="397"/>
        <v>31.851615582195461</v>
      </c>
      <c r="AG77" s="1624">
        <f t="shared" si="397"/>
        <v>29.858527530087741</v>
      </c>
      <c r="AH77" s="1624">
        <f t="shared" si="397"/>
        <v>31.137265010969127</v>
      </c>
      <c r="AI77" s="1620">
        <f t="shared" ref="AI77:AN77" si="398">+AI76/AI61</f>
        <v>29.858527530087741</v>
      </c>
      <c r="AJ77" s="1620">
        <f t="shared" si="398"/>
        <v>31.760743937438647</v>
      </c>
      <c r="AK77" s="1624">
        <f t="shared" si="398"/>
        <v>29.858527530087741</v>
      </c>
      <c r="AL77" s="2686">
        <f t="shared" si="398"/>
        <v>32.551243523589648</v>
      </c>
      <c r="AM77" s="1618">
        <f t="shared" si="398"/>
        <v>29.858527530087745</v>
      </c>
      <c r="AN77" s="1618">
        <f t="shared" si="398"/>
        <v>31.87999106884315</v>
      </c>
      <c r="AO77" s="1620">
        <f t="shared" ref="AO77:AT77" si="399">+AO76/AO61</f>
        <v>29.858527530087741</v>
      </c>
      <c r="AP77" s="1620">
        <f t="shared" si="399"/>
        <v>31.851284238288805</v>
      </c>
      <c r="AQ77" s="1624">
        <f t="shared" si="399"/>
        <v>29.858527530087741</v>
      </c>
      <c r="AR77" s="1624">
        <f t="shared" si="399"/>
        <v>33.325367237925605</v>
      </c>
      <c r="AS77" s="1620">
        <f t="shared" si="399"/>
        <v>29.858527530087741</v>
      </c>
      <c r="AT77" s="1620">
        <f t="shared" si="399"/>
        <v>31.995826149582062</v>
      </c>
      <c r="AU77" s="1624">
        <f t="shared" ref="AU77:AX77" si="400">+AU76/AU61</f>
        <v>29.858527530087745</v>
      </c>
      <c r="AV77" s="1624">
        <f t="shared" si="400"/>
        <v>31.018904291988449</v>
      </c>
      <c r="AW77" s="1620">
        <f t="shared" si="400"/>
        <v>29.858527530087745</v>
      </c>
      <c r="AX77" s="1620">
        <f t="shared" si="400"/>
        <v>31.905708699050169</v>
      </c>
      <c r="AY77" s="1624">
        <f t="shared" ref="AY77:BF77" si="401">+AY76/AY61</f>
        <v>29.858527530087748</v>
      </c>
      <c r="AZ77" s="1624">
        <f t="shared" si="401"/>
        <v>28.396755649439157</v>
      </c>
      <c r="BA77" s="1618">
        <f t="shared" si="401"/>
        <v>29.858527530087748</v>
      </c>
      <c r="BB77" s="1618">
        <f t="shared" si="401"/>
        <v>30.913052036934474</v>
      </c>
      <c r="BC77" s="1621">
        <f t="shared" si="401"/>
        <v>29.858527530087745</v>
      </c>
      <c r="BD77" s="1621">
        <f t="shared" si="401"/>
        <v>31.408257186031687</v>
      </c>
      <c r="BE77" s="1620">
        <f t="shared" si="401"/>
        <v>29.858527530087745</v>
      </c>
      <c r="BF77" s="1620">
        <f t="shared" si="401"/>
        <v>31.618306014966652</v>
      </c>
      <c r="BG77" s="26"/>
      <c r="BH77" s="26"/>
      <c r="BI77" s="26"/>
      <c r="BJ77" s="26"/>
    </row>
    <row r="78" spans="2:62" x14ac:dyDescent="0.25">
      <c r="B78" s="1602" t="s">
        <v>238</v>
      </c>
      <c r="C78" s="91" t="s">
        <v>641</v>
      </c>
      <c r="D78" s="1411">
        <f>1.92391638222341*1000</f>
        <v>1923.91638222341</v>
      </c>
      <c r="E78" s="185">
        <f>+(EMD!D42*1000/E2)/24</f>
        <v>1923.9163822234057</v>
      </c>
      <c r="F78" s="185">
        <f>+(EMD!E42*1000/F2)/24</f>
        <v>1464.5277777777771</v>
      </c>
      <c r="G78" s="185">
        <f>+(EMD!F42*1000/G2)/24</f>
        <v>1513.0660744661527</v>
      </c>
      <c r="H78" s="185">
        <f>+(EMD!G42*1000/H2)/24</f>
        <v>1132.4462365591401</v>
      </c>
      <c r="I78" s="1620">
        <f>+(EMD!H42*1000/I2)/24</f>
        <v>1715.123602871359</v>
      </c>
      <c r="J78" s="1620">
        <f>+(EMD!I42*1000/J2)/24</f>
        <v>1295.7650273224042</v>
      </c>
      <c r="K78" s="185">
        <f>+(EMD!J42*1000/K2)/24</f>
        <v>1594.6317662602712</v>
      </c>
      <c r="L78" s="185">
        <f>+(EMD!K42*1000/L2)/24</f>
        <v>1251.7083333333333</v>
      </c>
      <c r="M78" s="1618">
        <f>(E78*E2+G78*G2+K78*K2)/M2</f>
        <v>1675.4010193731983</v>
      </c>
      <c r="N78" s="1618">
        <f>(F78*F2+H78*H2+L78*L2)/N2</f>
        <v>1281.2408424908424</v>
      </c>
      <c r="O78" s="185">
        <f>+(EMD!N42*1000/O2)/24</f>
        <v>1904.2431636408762</v>
      </c>
      <c r="P78" s="185">
        <f>+(EMD!O42*1000/P2)/24</f>
        <v>1407.3924731182797</v>
      </c>
      <c r="Q78" s="1620">
        <f>+(EMD!P42*1000/Q2)/24</f>
        <v>1733.5494330805589</v>
      </c>
      <c r="R78" s="1620">
        <f>+(EMD!Q42*1000/R2)/24</f>
        <v>1313.2957650273224</v>
      </c>
      <c r="S78" s="185">
        <f>+(EMD!R42*1000/S2)/24</f>
        <v>1904.2431636408762</v>
      </c>
      <c r="T78" s="2685">
        <f>+(EMD!S42*1000/T2)/24</f>
        <v>1487.2983870967746</v>
      </c>
      <c r="U78" s="1620">
        <f>+(EMD!T42*1000/U2)/24</f>
        <v>1768.1344373117342</v>
      </c>
      <c r="V78" s="1620">
        <f>+(EMD!U42*1000/V2)/24</f>
        <v>1348.5511982570806</v>
      </c>
      <c r="W78" s="185">
        <f>+(EMD!V42*1000/W2)/24</f>
        <v>1913.0707430101113</v>
      </c>
      <c r="X78" s="2685">
        <f>+(EMD!W42*1000/X2)/24</f>
        <v>1453.5</v>
      </c>
      <c r="Y78" s="1618">
        <f>+((O78*O2)+(S78*S2)+(W78*W2))/(Y2)</f>
        <v>1907.1217221308441</v>
      </c>
      <c r="Z78" s="1618">
        <f>+((P78*P2)+(T78*T2)+(X78*X2))/(Z2)</f>
        <v>1449.352355072464</v>
      </c>
      <c r="AA78" s="1621">
        <f>+((U78*U2*24)+(W78*W2*24))/(AA2*24)</f>
        <v>1791.8944874262224</v>
      </c>
      <c r="AB78" s="1621">
        <f>+((N78*N2)+(Z78*Z2))/(AB2)</f>
        <v>1365.7559198542806</v>
      </c>
      <c r="AC78" s="185">
        <f>+(EMD!AB42*1000/AC2)/24</f>
        <v>1937.4036778458678</v>
      </c>
      <c r="AD78" s="185">
        <f>+(EMD!AC42*1000/AD2)/24</f>
        <v>1471.6532258064306</v>
      </c>
      <c r="AE78" s="1620">
        <f>+(EMD!AD42*1000/AE2)/24</f>
        <v>1812.9729215524328</v>
      </c>
      <c r="AF78" s="1620">
        <f>+(EMD!AE42*1000/AF2)/24</f>
        <v>1381.0961838006199</v>
      </c>
      <c r="AG78" s="185">
        <f>+(EMD!AF42*1000/AG2)/24</f>
        <v>1959.9111939405063</v>
      </c>
      <c r="AH78" s="185">
        <f>+(EMD!AG42*1000/AH2)/24</f>
        <v>1417.013888888888</v>
      </c>
      <c r="AI78" s="1620">
        <f>+(EMD!AH42*1000/AI2)/24</f>
        <v>1831.0391025837534</v>
      </c>
      <c r="AJ78" s="1620">
        <f>+(EMD!AI42*1000/AJ2)/24</f>
        <v>1385.5122950819643</v>
      </c>
      <c r="AK78" s="185">
        <f>+(EMD!AJ42*1000/AK2)/24</f>
        <v>1964.6824551639663</v>
      </c>
      <c r="AL78" s="2685">
        <f>+(EMD!AK42*1000/AL2)/24</f>
        <v>1474.2876344086028</v>
      </c>
      <c r="AM78" s="1618">
        <f>+(EMD!AL42*1000/AM2)/24</f>
        <v>1953.934847190435</v>
      </c>
      <c r="AN78" s="1618">
        <f>+(EMD!AM42*1000/AN2)/24</f>
        <v>1454.7237318840507</v>
      </c>
      <c r="AO78" s="1620">
        <f>+(EMD!AN42*1000/AO2)/24</f>
        <v>1846.10435323825</v>
      </c>
      <c r="AP78" s="1620">
        <f>+(EMD!AO42*1000/AP2)/24</f>
        <v>1395.5196969696945</v>
      </c>
      <c r="AQ78" s="185">
        <f>+(EMD!AP42*1000/AQ2)/24</f>
        <v>1984.4063210416782</v>
      </c>
      <c r="AR78" s="185">
        <f>+(EMD!AQ42*1000/AR2)/24</f>
        <v>1428.763440860215</v>
      </c>
      <c r="AS78" s="1620">
        <f>+(EMD!AR42*1000/AS2)/24</f>
        <v>1860.1153369046103</v>
      </c>
      <c r="AT78" s="1620">
        <f>+(EMD!AS42*1000/AT2)/24</f>
        <v>1398.8875272331131</v>
      </c>
      <c r="AU78" s="185">
        <f>+(EMD!AT42*1000/AU2)/24</f>
        <v>1962.8868200344614</v>
      </c>
      <c r="AV78" s="185">
        <f>+(EMD!AU42*1000/AV2)/24</f>
        <v>1492.4568965517235</v>
      </c>
      <c r="AW78" s="1620">
        <f>+(EMD!AV42*1000/AW2)/24</f>
        <v>1869.0119727576421</v>
      </c>
      <c r="AX78" s="1620">
        <f>+(EMD!AW42*1000/AX2)/24</f>
        <v>1406.9875621890526</v>
      </c>
      <c r="AY78" s="185">
        <f>+(EMD!AX42*1000/AY2)/24</f>
        <v>1991.9612324820644</v>
      </c>
      <c r="AZ78" s="185">
        <f>+(EMD!AY42*1000/AZ2)/24</f>
        <v>1412.7553763440849</v>
      </c>
      <c r="BA78" s="1618">
        <f>+((AQ78*AQ2)+(AU78*AU2)+(AY78*AY2))/(BA2)</f>
        <v>1980.122109233356</v>
      </c>
      <c r="BB78" s="1618">
        <f>+((AR78*AR2)+(AV78*AV2)+(AZ78*AZ2))/(BB2)</f>
        <v>1443.6080586080577</v>
      </c>
      <c r="BC78" s="1621">
        <f>+((AM78*AM2*24)+(BA78*BA2*24))/(BC2*24)</f>
        <v>1966.9569283156034</v>
      </c>
      <c r="BD78" s="1621">
        <f>+((AN78*AN2)+(BB78*BB2))/(BD2)</f>
        <v>1449.1962659380652</v>
      </c>
      <c r="BE78" s="1620">
        <f>+(EMD!BD42*1000/BE2)/24</f>
        <v>1879.4257078709131</v>
      </c>
      <c r="BF78" s="1620">
        <f>+(EMD!BE42*1000/BF2)/24</f>
        <v>1407.4760928961725</v>
      </c>
      <c r="BG78" s="26"/>
      <c r="BH78" s="26"/>
      <c r="BI78" s="26"/>
      <c r="BJ78" s="26"/>
    </row>
    <row r="79" spans="2:62" x14ac:dyDescent="0.25">
      <c r="B79" s="1602" t="s">
        <v>223</v>
      </c>
      <c r="C79" s="91" t="s">
        <v>1237</v>
      </c>
      <c r="D79" s="193">
        <v>1.6E-2</v>
      </c>
      <c r="E79" s="1628">
        <f>+$D$79</f>
        <v>1.6E-2</v>
      </c>
      <c r="F79" s="1631">
        <v>1.2E-2</v>
      </c>
      <c r="G79" s="1628">
        <f>+$D$79</f>
        <v>1.6E-2</v>
      </c>
      <c r="H79" s="1631">
        <v>1.2E-2</v>
      </c>
      <c r="I79" s="1629">
        <f>+$D$79</f>
        <v>1.6E-2</v>
      </c>
      <c r="J79" s="1629">
        <f>+((F79*F61)+(H79*H61))/J61</f>
        <v>1.2E-2</v>
      </c>
      <c r="K79" s="1628">
        <f>+$D$79</f>
        <v>1.6E-2</v>
      </c>
      <c r="L79" s="1631">
        <v>1.2E-2</v>
      </c>
      <c r="M79" s="1630">
        <f>+$D$79</f>
        <v>1.6E-2</v>
      </c>
      <c r="N79" s="2376">
        <f>+((F79*F61)+(H79*H61)+(L79*L61))/N61</f>
        <v>1.2E-2</v>
      </c>
      <c r="O79" s="1628">
        <f>+$D$79</f>
        <v>1.6E-2</v>
      </c>
      <c r="P79" s="1631">
        <v>1.2E-2</v>
      </c>
      <c r="Q79" s="1629">
        <f>+$D$79</f>
        <v>1.6E-2</v>
      </c>
      <c r="R79" s="1629">
        <f>+((N79*N61)+(P79*P61))/R61</f>
        <v>1.2000000000000002E-2</v>
      </c>
      <c r="S79" s="1628">
        <f>+$D$79</f>
        <v>1.6E-2</v>
      </c>
      <c r="T79" s="2691">
        <v>1.2999999999999999E-2</v>
      </c>
      <c r="U79" s="1629">
        <f>+$D$79</f>
        <v>1.6E-2</v>
      </c>
      <c r="V79" s="1629">
        <f>+((R79*R61)+(T79*T61))/V61</f>
        <v>1.2209015122075229E-2</v>
      </c>
      <c r="W79" s="1628">
        <f>+$D$79</f>
        <v>1.6E-2</v>
      </c>
      <c r="X79" s="2691">
        <v>1.2E-2</v>
      </c>
      <c r="Y79" s="1630">
        <f>+$D$79</f>
        <v>1.6E-2</v>
      </c>
      <c r="Z79" s="1630">
        <f>+((P79*P61)+(T79*T61)+(X79*X61))/Z61</f>
        <v>1.2329140522218812E-2</v>
      </c>
      <c r="AA79" s="2189">
        <f>+$D$79</f>
        <v>1.6E-2</v>
      </c>
      <c r="AB79" s="2189">
        <f>+((N79*N61)+(Z79*Z61))/AB61</f>
        <v>1.2172836219238668E-2</v>
      </c>
      <c r="AC79" s="1628">
        <f>+$D$79</f>
        <v>1.6E-2</v>
      </c>
      <c r="AD79" s="1631">
        <v>1.2E-2</v>
      </c>
      <c r="AE79" s="1629">
        <f>+$D$79</f>
        <v>1.6E-2</v>
      </c>
      <c r="AF79" s="4118">
        <f>+((AB79*AB61)+(AD79*AD61))/AF61</f>
        <v>1.2146086702643721E-2</v>
      </c>
      <c r="AG79" s="1628">
        <f>+$D$79</f>
        <v>1.6E-2</v>
      </c>
      <c r="AH79" s="1631">
        <v>1.2E-2</v>
      </c>
      <c r="AI79" s="1629">
        <f>+$D$79</f>
        <v>1.6E-2</v>
      </c>
      <c r="AJ79" s="4118">
        <f>+((AF79*AF61)+(AH79*AH61))/AJ61</f>
        <v>1.2127503195496041E-2</v>
      </c>
      <c r="AK79" s="1628">
        <f>+$D$79</f>
        <v>1.6E-2</v>
      </c>
      <c r="AL79" s="2691">
        <v>1.2E-2</v>
      </c>
      <c r="AM79" s="1630">
        <f>+$D$79</f>
        <v>1.6E-2</v>
      </c>
      <c r="AN79" s="1630">
        <f>+((AD79*AD61)+(AH79*AH61)+(AL79*AL61))/AN61</f>
        <v>1.2E-2</v>
      </c>
      <c r="AO79" s="1629">
        <f>+$D$79</f>
        <v>1.6E-2</v>
      </c>
      <c r="AP79" s="4118">
        <f>+((AL79*AL61)+(AJ79*AJ61))/AP61</f>
        <v>1.211289954752226E-2</v>
      </c>
      <c r="AQ79" s="1628">
        <f>+$D$79</f>
        <v>1.6E-2</v>
      </c>
      <c r="AR79" s="1631">
        <v>1.2999999999999999E-2</v>
      </c>
      <c r="AS79" s="1629">
        <f>+$D$79</f>
        <v>1.6E-2</v>
      </c>
      <c r="AT79" s="4118">
        <f>+((AP79*AP61)+(AR79*AR61))/AT61</f>
        <v>1.2199884605311975E-2</v>
      </c>
      <c r="AU79" s="1628">
        <f>+$D$79</f>
        <v>1.6E-2</v>
      </c>
      <c r="AV79" s="1631">
        <v>1.2E-2</v>
      </c>
      <c r="AW79" s="1629">
        <f>+$D$79</f>
        <v>1.6E-2</v>
      </c>
      <c r="AX79" s="4118">
        <f>+((AT79*AT61)+(AV79*AV61))/AX61</f>
        <v>1.2181445985179491E-2</v>
      </c>
      <c r="AY79" s="1628">
        <f>+$D$79</f>
        <v>1.6E-2</v>
      </c>
      <c r="AZ79" s="1631">
        <v>1.2E-2</v>
      </c>
      <c r="BA79" s="1630">
        <f>+$D$79</f>
        <v>1.6E-2</v>
      </c>
      <c r="BB79" s="1630">
        <f>+((AR79*AR61)+(AV79*AV61)+(AZ79*AZ61))/BB61</f>
        <v>1.232909572836601E-2</v>
      </c>
      <c r="BC79" s="2189">
        <f>+$D$79</f>
        <v>1.6E-2</v>
      </c>
      <c r="BD79" s="2189">
        <f>+((AN79*AN61)+(BB79*BB61))/BD61</f>
        <v>1.2160553665366388E-2</v>
      </c>
      <c r="BE79" s="1629">
        <f>+$D$79</f>
        <v>1.6E-2</v>
      </c>
      <c r="BF79" s="4118">
        <f>+((AX79*AX61)+(AZ79*AZ61))/BF61</f>
        <v>1.2166584554314082E-2</v>
      </c>
      <c r="BG79" s="26"/>
      <c r="BH79" s="26"/>
      <c r="BI79" s="26"/>
      <c r="BJ79" s="26"/>
    </row>
    <row r="80" spans="2:62" s="183" customFormat="1" ht="18.75" x14ac:dyDescent="0.25">
      <c r="B80" s="1601" t="s">
        <v>444</v>
      </c>
      <c r="C80" s="1601"/>
      <c r="D80" s="2063"/>
      <c r="E80" s="2063"/>
      <c r="F80" s="2063"/>
      <c r="G80" s="2063"/>
      <c r="H80" s="2063"/>
      <c r="I80" s="2063"/>
      <c r="J80" s="2063"/>
      <c r="K80" s="2063"/>
      <c r="L80" s="2063"/>
      <c r="M80" s="2063"/>
      <c r="N80" s="2063"/>
      <c r="O80" s="2063"/>
      <c r="P80" s="2063"/>
      <c r="Q80" s="2063"/>
      <c r="R80" s="2063"/>
      <c r="S80" s="2063"/>
      <c r="T80" s="2692"/>
      <c r="U80" s="2063"/>
      <c r="V80" s="2063"/>
      <c r="W80" s="2063"/>
      <c r="X80" s="2692"/>
      <c r="Y80" s="2063"/>
      <c r="Z80" s="2063"/>
      <c r="AA80" s="1601"/>
      <c r="AB80" s="1601"/>
      <c r="AC80" s="2063"/>
      <c r="AD80" s="2063"/>
      <c r="AE80" s="2063"/>
      <c r="AF80" s="2063"/>
      <c r="AG80" s="2063"/>
      <c r="AH80" s="2063"/>
      <c r="AI80" s="2063"/>
      <c r="AJ80" s="2063"/>
      <c r="AK80" s="2063"/>
      <c r="AL80" s="2692"/>
      <c r="AM80" s="2063"/>
      <c r="AN80" s="2063"/>
      <c r="AO80" s="2063"/>
      <c r="AP80" s="2063"/>
      <c r="AQ80" s="2063"/>
      <c r="AR80" s="2063"/>
      <c r="AS80" s="2063"/>
      <c r="AT80" s="2063"/>
      <c r="AU80" s="2063"/>
      <c r="AV80" s="2063"/>
      <c r="AW80" s="2063"/>
      <c r="AX80" s="2063"/>
      <c r="AY80" s="2063"/>
      <c r="AZ80" s="2063"/>
      <c r="BA80" s="2063"/>
      <c r="BB80" s="2063"/>
      <c r="BC80" s="1601"/>
      <c r="BD80" s="1601"/>
      <c r="BE80" s="2063"/>
      <c r="BF80" s="2063"/>
      <c r="BG80" s="26"/>
      <c r="BH80" s="26"/>
      <c r="BI80" s="26"/>
      <c r="BJ80" s="26"/>
    </row>
    <row r="81" spans="2:62" x14ac:dyDescent="0.25">
      <c r="B81" s="1602" t="s">
        <v>50</v>
      </c>
      <c r="C81" s="91" t="s">
        <v>224</v>
      </c>
      <c r="D81" s="185">
        <f t="shared" ref="D81" si="402">+D21</f>
        <v>781.5720322701535</v>
      </c>
      <c r="E81" s="185">
        <f t="shared" ref="E81:L81" si="403">+E21</f>
        <v>781.5720322701535</v>
      </c>
      <c r="F81" s="185">
        <f t="shared" si="403"/>
        <v>778.13207694510243</v>
      </c>
      <c r="G81" s="185">
        <f t="shared" si="403"/>
        <v>781.5720322701535</v>
      </c>
      <c r="H81" s="185">
        <f t="shared" si="403"/>
        <v>771.76731885174343</v>
      </c>
      <c r="I81" s="185">
        <f t="shared" si="403"/>
        <v>781.5720322701535</v>
      </c>
      <c r="J81" s="185">
        <f t="shared" si="403"/>
        <v>775.28178710951534</v>
      </c>
      <c r="K81" s="185">
        <f t="shared" si="403"/>
        <v>781.5720322701535</v>
      </c>
      <c r="L81" s="185">
        <f t="shared" si="403"/>
        <v>781.63518962015348</v>
      </c>
      <c r="M81" s="1606">
        <f t="shared" ref="M81:AF81" si="404">+M21</f>
        <v>781.5720322701535</v>
      </c>
      <c r="N81" s="1606">
        <f t="shared" si="404"/>
        <v>777.32525487320697</v>
      </c>
      <c r="O81" s="1603">
        <f t="shared" si="404"/>
        <v>781.5720322701535</v>
      </c>
      <c r="P81" s="185">
        <f t="shared" si="404"/>
        <v>789.64559349845592</v>
      </c>
      <c r="Q81" s="1604">
        <f t="shared" si="404"/>
        <v>781.5720322701535</v>
      </c>
      <c r="R81" s="1604">
        <f t="shared" si="404"/>
        <v>780.70045653631303</v>
      </c>
      <c r="S81" s="1603">
        <f t="shared" ref="S81:V81" si="405">+S21</f>
        <v>781.5720322701535</v>
      </c>
      <c r="T81" s="185">
        <f t="shared" si="405"/>
        <v>795</v>
      </c>
      <c r="U81" s="1604">
        <f t="shared" si="405"/>
        <v>781.5720322701535</v>
      </c>
      <c r="V81" s="1604">
        <f t="shared" si="405"/>
        <v>783.68927735899558</v>
      </c>
      <c r="W81" s="1603">
        <f t="shared" ref="W81:Z81" si="406">+W21</f>
        <v>781.57203227015361</v>
      </c>
      <c r="X81" s="185">
        <f t="shared" si="406"/>
        <v>792.98390160127974</v>
      </c>
      <c r="Y81" s="1606">
        <f t="shared" si="406"/>
        <v>781.5720322701535</v>
      </c>
      <c r="Z81" s="1606">
        <f t="shared" si="406"/>
        <v>792.50834594262869</v>
      </c>
      <c r="AA81" s="1522">
        <f t="shared" si="404"/>
        <v>781.5720322701535</v>
      </c>
      <c r="AB81" s="1522">
        <f t="shared" si="404"/>
        <v>785.29810500756594</v>
      </c>
      <c r="AC81" s="185">
        <f t="shared" si="404"/>
        <v>781.57203227015339</v>
      </c>
      <c r="AD81" s="185">
        <f t="shared" si="404"/>
        <v>785.89220012390797</v>
      </c>
      <c r="AE81" s="1604">
        <f t="shared" si="404"/>
        <v>781.5720322701535</v>
      </c>
      <c r="AF81" s="1604">
        <f t="shared" si="404"/>
        <v>785.39005192264881</v>
      </c>
      <c r="AG81" s="185">
        <f t="shared" ref="AG81:AN81" si="407">+AG21</f>
        <v>781.5720322701535</v>
      </c>
      <c r="AH81" s="185">
        <f t="shared" si="407"/>
        <v>784.12291795892179</v>
      </c>
      <c r="AI81" s="1604">
        <f t="shared" si="407"/>
        <v>781.5720322701535</v>
      </c>
      <c r="AJ81" s="1604">
        <f t="shared" si="407"/>
        <v>785.22886139232776</v>
      </c>
      <c r="AK81" s="1603">
        <f t="shared" si="407"/>
        <v>781.5720322701535</v>
      </c>
      <c r="AL81" s="185">
        <f t="shared" si="407"/>
        <v>780.36452749272473</v>
      </c>
      <c r="AM81" s="1606">
        <f t="shared" si="407"/>
        <v>781.5720322701535</v>
      </c>
      <c r="AN81" s="1606">
        <f t="shared" si="407"/>
        <v>783.49183810882755</v>
      </c>
      <c r="AO81" s="1604">
        <f t="shared" ref="AO81:AT81" si="408">+AO21</f>
        <v>781.5720322701535</v>
      </c>
      <c r="AP81" s="1604">
        <f t="shared" si="408"/>
        <v>784.67172225851721</v>
      </c>
      <c r="AQ81" s="185">
        <f t="shared" si="408"/>
        <v>781.5720322701535</v>
      </c>
      <c r="AR81" s="185">
        <f t="shared" si="408"/>
        <v>778.1437792121078</v>
      </c>
      <c r="AS81" s="1604">
        <f t="shared" si="408"/>
        <v>781.5720322701535</v>
      </c>
      <c r="AT81" s="1604">
        <f t="shared" si="408"/>
        <v>784.03162169092775</v>
      </c>
      <c r="AU81" s="185">
        <f t="shared" ref="AU81:AX81" si="409">+AU21</f>
        <v>781.57203227015361</v>
      </c>
      <c r="AV81" s="185">
        <f t="shared" si="409"/>
        <v>772.4022034426107</v>
      </c>
      <c r="AW81" s="1604">
        <f t="shared" si="409"/>
        <v>781.5720322701535</v>
      </c>
      <c r="AX81" s="1604">
        <f t="shared" si="409"/>
        <v>782.95885060329044</v>
      </c>
      <c r="AY81" s="185">
        <f t="shared" ref="AY81:BF81" si="410">+AY21</f>
        <v>781.5720322701535</v>
      </c>
      <c r="AZ81" s="185">
        <f t="shared" si="410"/>
        <v>777.02584543811781</v>
      </c>
      <c r="BA81" s="1606">
        <f t="shared" si="410"/>
        <v>781.5720322701535</v>
      </c>
      <c r="BB81" s="1606">
        <f t="shared" si="410"/>
        <v>775.81681094666294</v>
      </c>
      <c r="BC81" s="1522">
        <f t="shared" si="410"/>
        <v>781.5720322701535</v>
      </c>
      <c r="BD81" s="1522">
        <f t="shared" si="410"/>
        <v>779.74747549193683</v>
      </c>
      <c r="BE81" s="1604">
        <f t="shared" si="410"/>
        <v>781.5720322701535</v>
      </c>
      <c r="BF81" s="1604">
        <f t="shared" si="410"/>
        <v>782.47290462879494</v>
      </c>
      <c r="BG81" s="26"/>
      <c r="BH81" s="26"/>
      <c r="BI81" s="26"/>
      <c r="BJ81" s="26"/>
    </row>
    <row r="82" spans="2:62" x14ac:dyDescent="0.25">
      <c r="B82" s="1602" t="s">
        <v>817</v>
      </c>
      <c r="C82" s="91" t="s">
        <v>224</v>
      </c>
      <c r="D82" s="185">
        <f t="shared" ref="D82" si="411">+D22+D49</f>
        <v>96.999999999999986</v>
      </c>
      <c r="E82" s="185">
        <f t="shared" ref="E82:L82" si="412">+E22+E49</f>
        <v>97</v>
      </c>
      <c r="F82" s="185">
        <f t="shared" si="412"/>
        <v>102.47026056173048</v>
      </c>
      <c r="G82" s="185">
        <f t="shared" si="412"/>
        <v>97</v>
      </c>
      <c r="H82" s="185">
        <f t="shared" si="412"/>
        <v>102.26339033533611</v>
      </c>
      <c r="I82" s="185">
        <f t="shared" si="412"/>
        <v>96.999999999999986</v>
      </c>
      <c r="J82" s="185">
        <f t="shared" si="412"/>
        <v>102.37761916123598</v>
      </c>
      <c r="K82" s="185">
        <f t="shared" si="412"/>
        <v>97</v>
      </c>
      <c r="L82" s="185">
        <f t="shared" si="412"/>
        <v>62.821717646345533</v>
      </c>
      <c r="M82" s="1606">
        <f t="shared" ref="M82:AF82" si="413">+M22+M49</f>
        <v>96.999999999999986</v>
      </c>
      <c r="N82" s="1606">
        <f t="shared" si="413"/>
        <v>89.65511189460301</v>
      </c>
      <c r="O82" s="1603">
        <f t="shared" si="413"/>
        <v>97.000000000000014</v>
      </c>
      <c r="P82" s="185">
        <f t="shared" si="413"/>
        <v>89.528017881830039</v>
      </c>
      <c r="Q82" s="1604">
        <f t="shared" si="413"/>
        <v>96.999999999999986</v>
      </c>
      <c r="R82" s="1604">
        <f t="shared" si="413"/>
        <v>89.620294026658769</v>
      </c>
      <c r="S82" s="1603">
        <f t="shared" ref="S82:V82" si="414">+S22+S49</f>
        <v>97.000000000000014</v>
      </c>
      <c r="T82" s="185">
        <f t="shared" si="414"/>
        <v>103.39617384595189</v>
      </c>
      <c r="U82" s="1604">
        <f t="shared" si="414"/>
        <v>96.999999999999986</v>
      </c>
      <c r="V82" s="1604">
        <f t="shared" si="414"/>
        <v>92.499661228782003</v>
      </c>
      <c r="W82" s="1603">
        <f t="shared" ref="W82:Z82" si="415">+W22+W49</f>
        <v>97</v>
      </c>
      <c r="X82" s="185">
        <f t="shared" si="415"/>
        <v>75.476291108697637</v>
      </c>
      <c r="Y82" s="1606">
        <f t="shared" si="415"/>
        <v>96.999999999999986</v>
      </c>
      <c r="Z82" s="1606">
        <f t="shared" si="415"/>
        <v>89.460745412156427</v>
      </c>
      <c r="AA82" s="1522">
        <f t="shared" si="413"/>
        <v>96.999999999999986</v>
      </c>
      <c r="AB82" s="1522">
        <f t="shared" si="413"/>
        <v>89.553047378978121</v>
      </c>
      <c r="AC82" s="185">
        <f t="shared" si="413"/>
        <v>97</v>
      </c>
      <c r="AD82" s="185">
        <f t="shared" si="413"/>
        <v>94.170006701141716</v>
      </c>
      <c r="AE82" s="1604">
        <f t="shared" si="413"/>
        <v>96.999999999999986</v>
      </c>
      <c r="AF82" s="1604">
        <f t="shared" si="413"/>
        <v>90.267604955800977</v>
      </c>
      <c r="AG82" s="185">
        <f t="shared" ref="AG82:AN82" si="416">+AG22+AG49</f>
        <v>96.999999999999986</v>
      </c>
      <c r="AH82" s="185">
        <f t="shared" si="416"/>
        <v>69.119870250878733</v>
      </c>
      <c r="AI82" s="1604">
        <f t="shared" si="416"/>
        <v>96.999999999999986</v>
      </c>
      <c r="AJ82" s="1604">
        <f t="shared" si="416"/>
        <v>87.577428013381791</v>
      </c>
      <c r="AK82" s="1603">
        <f t="shared" si="416"/>
        <v>97</v>
      </c>
      <c r="AL82" s="185">
        <f t="shared" si="416"/>
        <v>78.179052608785213</v>
      </c>
      <c r="AM82" s="1606">
        <f t="shared" si="416"/>
        <v>96.999999999999986</v>
      </c>
      <c r="AN82" s="1606">
        <f t="shared" si="416"/>
        <v>80.751961540205912</v>
      </c>
      <c r="AO82" s="1604">
        <f t="shared" ref="AO82:AT82" si="417">+AO22+AO49</f>
        <v>96.999999999999986</v>
      </c>
      <c r="AP82" s="1604">
        <f t="shared" si="417"/>
        <v>86.500979965156802</v>
      </c>
      <c r="AQ82" s="185">
        <f t="shared" si="417"/>
        <v>97</v>
      </c>
      <c r="AR82" s="185">
        <f t="shared" si="417"/>
        <v>60.135210327175606</v>
      </c>
      <c r="AS82" s="1604">
        <f t="shared" si="417"/>
        <v>96.999999999999986</v>
      </c>
      <c r="AT82" s="1604">
        <f t="shared" si="417"/>
        <v>83.915671853516955</v>
      </c>
      <c r="AU82" s="185">
        <f t="shared" ref="AU82:AX82" si="418">+AU22+AU49</f>
        <v>97</v>
      </c>
      <c r="AV82" s="185">
        <f t="shared" si="418"/>
        <v>82.964661161639484</v>
      </c>
      <c r="AW82" s="1604">
        <f t="shared" si="418"/>
        <v>96.999999999999986</v>
      </c>
      <c r="AX82" s="1604">
        <f t="shared" si="418"/>
        <v>83.827944612781778</v>
      </c>
      <c r="AY82" s="185">
        <f t="shared" ref="AY82:BF82" si="419">+AY22+AY49</f>
        <v>97</v>
      </c>
      <c r="AZ82" s="185">
        <f t="shared" si="419"/>
        <v>82.102499049289804</v>
      </c>
      <c r="BA82" s="1606">
        <f t="shared" si="419"/>
        <v>96.999999999999986</v>
      </c>
      <c r="BB82" s="1606">
        <f t="shared" si="419"/>
        <v>75.167207621279886</v>
      </c>
      <c r="BC82" s="1522">
        <f t="shared" si="419"/>
        <v>96.999999999999986</v>
      </c>
      <c r="BD82" s="1522">
        <f t="shared" si="419"/>
        <v>78.02736612748258</v>
      </c>
      <c r="BE82" s="1604">
        <f t="shared" si="419"/>
        <v>96.999999999999986</v>
      </c>
      <c r="BF82" s="1604">
        <f t="shared" si="419"/>
        <v>83.68662106721807</v>
      </c>
      <c r="BG82" s="26"/>
      <c r="BH82" s="26"/>
      <c r="BI82" s="26"/>
      <c r="BJ82" s="26"/>
    </row>
    <row r="83" spans="2:62" x14ac:dyDescent="0.25">
      <c r="B83" s="1602" t="s">
        <v>818</v>
      </c>
      <c r="C83" s="91" t="s">
        <v>224</v>
      </c>
      <c r="D83" s="185">
        <f t="shared" ref="D83" si="420">+D23+D50</f>
        <v>89.571519882284903</v>
      </c>
      <c r="E83" s="185">
        <f t="shared" ref="E83:L83" si="421">+E23+E50</f>
        <v>89.571519882284917</v>
      </c>
      <c r="F83" s="185">
        <f t="shared" si="421"/>
        <v>84.18668818491814</v>
      </c>
      <c r="G83" s="185">
        <f t="shared" si="421"/>
        <v>89.571519882284903</v>
      </c>
      <c r="H83" s="185">
        <f t="shared" si="421"/>
        <v>87.181610434961229</v>
      </c>
      <c r="I83" s="185">
        <f t="shared" si="421"/>
        <v>89.571519882284903</v>
      </c>
      <c r="J83" s="185">
        <f t="shared" si="421"/>
        <v>85.527885497126789</v>
      </c>
      <c r="K83" s="185">
        <f t="shared" si="421"/>
        <v>89.571519882284917</v>
      </c>
      <c r="L83" s="185">
        <f t="shared" si="421"/>
        <v>112.83232788674327</v>
      </c>
      <c r="M83" s="1606">
        <f t="shared" ref="M83:AF83" si="422">+M23+M50</f>
        <v>89.571519882284903</v>
      </c>
      <c r="N83" s="1606">
        <f t="shared" si="422"/>
        <v>94.309911779159293</v>
      </c>
      <c r="O83" s="1603">
        <f t="shared" si="422"/>
        <v>89.571519882284917</v>
      </c>
      <c r="P83" s="185">
        <f t="shared" si="422"/>
        <v>91.305864568394128</v>
      </c>
      <c r="Q83" s="1604">
        <f t="shared" si="422"/>
        <v>89.571519882284903</v>
      </c>
      <c r="R83" s="1604">
        <f t="shared" si="422"/>
        <v>93.486942098679521</v>
      </c>
      <c r="S83" s="1603">
        <f t="shared" ref="S83:V83" si="423">+S23+S50</f>
        <v>89.571519882284917</v>
      </c>
      <c r="T83" s="185">
        <f t="shared" si="423"/>
        <v>112.11633308597193</v>
      </c>
      <c r="U83" s="1604">
        <f t="shared" si="423"/>
        <v>89.571519882284903</v>
      </c>
      <c r="V83" s="1604">
        <f t="shared" si="423"/>
        <v>97.380766530075604</v>
      </c>
      <c r="W83" s="1603">
        <f t="shared" ref="W83:Z83" si="424">+W23+W50</f>
        <v>89.571519882284903</v>
      </c>
      <c r="X83" s="185">
        <f t="shared" si="424"/>
        <v>92.572480244819786</v>
      </c>
      <c r="Y83" s="1606">
        <f t="shared" si="424"/>
        <v>89.571519882284903</v>
      </c>
      <c r="Z83" s="1606">
        <f t="shared" si="424"/>
        <v>98.572945213934773</v>
      </c>
      <c r="AA83" s="1522">
        <f t="shared" si="422"/>
        <v>89.571519882284903</v>
      </c>
      <c r="AB83" s="1522">
        <f t="shared" si="422"/>
        <v>96.548489321625482</v>
      </c>
      <c r="AC83" s="185">
        <f t="shared" si="422"/>
        <v>89.571519882284903</v>
      </c>
      <c r="AD83" s="185">
        <f t="shared" si="422"/>
        <v>85.450936263291652</v>
      </c>
      <c r="AE83" s="1604">
        <f t="shared" si="422"/>
        <v>89.571519882284903</v>
      </c>
      <c r="AF83" s="1604">
        <f t="shared" si="422"/>
        <v>94.830943190352656</v>
      </c>
      <c r="AG83" s="185">
        <f t="shared" ref="AG83:AN83" si="425">+AG23+AG50</f>
        <v>89.571519882284903</v>
      </c>
      <c r="AH83" s="185">
        <f t="shared" si="425"/>
        <v>109.02202136886396</v>
      </c>
      <c r="AI83" s="1604">
        <f t="shared" si="425"/>
        <v>89.571519882284903</v>
      </c>
      <c r="AJ83" s="1604">
        <f t="shared" si="425"/>
        <v>96.636172536974513</v>
      </c>
      <c r="AK83" s="1603">
        <f t="shared" si="425"/>
        <v>89.571519882284903</v>
      </c>
      <c r="AL83" s="185">
        <f t="shared" si="425"/>
        <v>99.138591219017542</v>
      </c>
      <c r="AM83" s="1606">
        <f t="shared" si="425"/>
        <v>89.571519882284903</v>
      </c>
      <c r="AN83" s="1606">
        <f t="shared" si="425"/>
        <v>97.62783590394821</v>
      </c>
      <c r="AO83" s="1604">
        <f t="shared" ref="AO83:AT83" si="426">+AO23+AO50</f>
        <v>89.571519882284903</v>
      </c>
      <c r="AP83" s="1604">
        <f t="shared" si="426"/>
        <v>96.922788424312813</v>
      </c>
      <c r="AQ83" s="185">
        <f t="shared" si="426"/>
        <v>89.571519882284903</v>
      </c>
      <c r="AR83" s="185">
        <f t="shared" si="426"/>
        <v>84.464722902292465</v>
      </c>
      <c r="AS83" s="1604">
        <f t="shared" si="426"/>
        <v>89.571519882284903</v>
      </c>
      <c r="AT83" s="1604">
        <f t="shared" si="426"/>
        <v>95.70120687021236</v>
      </c>
      <c r="AU83" s="185">
        <f t="shared" ref="AU83:AX83" si="427">+AU23+AU50</f>
        <v>89.571519882284903</v>
      </c>
      <c r="AV83" s="185">
        <f t="shared" si="427"/>
        <v>88.306828309727564</v>
      </c>
      <c r="AW83" s="1604">
        <f t="shared" si="427"/>
        <v>89.571519882284903</v>
      </c>
      <c r="AX83" s="1604">
        <f t="shared" si="427"/>
        <v>95.019102627217961</v>
      </c>
      <c r="AY83" s="185">
        <f t="shared" ref="AY83:BF83" si="428">+AY23+AY50</f>
        <v>89.571519882284917</v>
      </c>
      <c r="AZ83" s="185">
        <f t="shared" si="428"/>
        <v>89.583269721337814</v>
      </c>
      <c r="BA83" s="1606">
        <f t="shared" si="428"/>
        <v>89.571519882284903</v>
      </c>
      <c r="BB83" s="1606">
        <f t="shared" si="428"/>
        <v>87.463434062286836</v>
      </c>
      <c r="BC83" s="1522">
        <f t="shared" si="428"/>
        <v>89.571519882284903</v>
      </c>
      <c r="BD83" s="1522">
        <f t="shared" si="428"/>
        <v>92.668999215188109</v>
      </c>
      <c r="BE83" s="1604">
        <f t="shared" si="428"/>
        <v>89.571519882284903</v>
      </c>
      <c r="BF83" s="1604">
        <f t="shared" si="428"/>
        <v>94.5738778136364</v>
      </c>
      <c r="BG83" s="26"/>
      <c r="BH83" s="26"/>
      <c r="BI83" s="26"/>
      <c r="BJ83" s="26"/>
    </row>
    <row r="84" spans="2:62" x14ac:dyDescent="0.25">
      <c r="B84" s="1602" t="s">
        <v>101</v>
      </c>
      <c r="C84" s="91" t="s">
        <v>224</v>
      </c>
      <c r="D84" s="185">
        <f t="shared" ref="D84" si="429">+D32</f>
        <v>162.06594873427889</v>
      </c>
      <c r="E84" s="185">
        <f t="shared" ref="E84:L84" si="430">+E32</f>
        <v>162.79630694029672</v>
      </c>
      <c r="F84" s="185">
        <f t="shared" si="430"/>
        <v>179.06395606111877</v>
      </c>
      <c r="G84" s="185">
        <f t="shared" si="430"/>
        <v>167.21938876846852</v>
      </c>
      <c r="H84" s="185">
        <f t="shared" si="430"/>
        <v>181.60722538900015</v>
      </c>
      <c r="I84" s="185">
        <f t="shared" si="430"/>
        <v>162.06594873427889</v>
      </c>
      <c r="J84" s="185">
        <f t="shared" si="430"/>
        <v>180.20289246814175</v>
      </c>
      <c r="K84" s="185">
        <f t="shared" si="430"/>
        <v>167.28399226248655</v>
      </c>
      <c r="L84" s="185">
        <f t="shared" si="430"/>
        <v>194.3220056385849</v>
      </c>
      <c r="M84" s="1606">
        <f t="shared" ref="M84:AF84" si="431">+M32</f>
        <v>162.06594873427889</v>
      </c>
      <c r="N84" s="1606">
        <f t="shared" si="431"/>
        <v>184.74407375917502</v>
      </c>
      <c r="O84" s="1603">
        <f t="shared" ref="O84:P84" si="432">+O32</f>
        <v>161.19582713165684</v>
      </c>
      <c r="P84" s="185">
        <f t="shared" si="432"/>
        <v>171.56737341240617</v>
      </c>
      <c r="Q84" s="1604">
        <f t="shared" si="431"/>
        <v>162.06594873427889</v>
      </c>
      <c r="R84" s="1604">
        <f t="shared" si="431"/>
        <v>181.13426868177882</v>
      </c>
      <c r="S84" s="1603">
        <f t="shared" si="431"/>
        <v>161.19582713165684</v>
      </c>
      <c r="T84" s="185">
        <f t="shared" si="431"/>
        <v>166.52423293407236</v>
      </c>
      <c r="U84" s="1604">
        <f t="shared" ref="U84:Z84" si="433">+U32</f>
        <v>162.06594873427889</v>
      </c>
      <c r="V84" s="1604">
        <f t="shared" si="433"/>
        <v>178.08055027644852</v>
      </c>
      <c r="W84" s="1603">
        <f t="shared" si="433"/>
        <v>160.94433442888177</v>
      </c>
      <c r="X84" s="185">
        <f t="shared" si="433"/>
        <v>180.0704070877895</v>
      </c>
      <c r="Y84" s="1606">
        <f t="shared" si="433"/>
        <v>162.06594873427889</v>
      </c>
      <c r="Z84" s="1606">
        <f t="shared" si="433"/>
        <v>172.71031070008925</v>
      </c>
      <c r="AA84" s="1522">
        <f t="shared" si="431"/>
        <v>162.06594873427889</v>
      </c>
      <c r="AB84" s="1522">
        <f t="shared" si="431"/>
        <v>178.42497911739267</v>
      </c>
      <c r="AC84" s="185">
        <f t="shared" si="431"/>
        <v>163.07721516676546</v>
      </c>
      <c r="AD84" s="185">
        <f t="shared" si="431"/>
        <v>187.24760086482658</v>
      </c>
      <c r="AE84" s="1604">
        <f t="shared" si="431"/>
        <v>162.06594873427889</v>
      </c>
      <c r="AF84" s="1604">
        <f t="shared" si="431"/>
        <v>179.79043867143457</v>
      </c>
      <c r="AG84" s="185">
        <f t="shared" ref="AG84:AN84" si="434">+AG32</f>
        <v>161.16075824447989</v>
      </c>
      <c r="AH84" s="185">
        <f t="shared" si="434"/>
        <v>179.15152882165134</v>
      </c>
      <c r="AI84" s="1604">
        <f t="shared" si="434"/>
        <v>162.06594873427889</v>
      </c>
      <c r="AJ84" s="1604">
        <f t="shared" si="434"/>
        <v>179.70916374671313</v>
      </c>
      <c r="AK84" s="1603">
        <f t="shared" si="434"/>
        <v>161.46666884921322</v>
      </c>
      <c r="AL84" s="185">
        <f t="shared" si="434"/>
        <v>179.25594562192023</v>
      </c>
      <c r="AM84" s="1606">
        <f t="shared" si="434"/>
        <v>162.06594873427889</v>
      </c>
      <c r="AN84" s="1606">
        <f t="shared" si="434"/>
        <v>181.97842567428489</v>
      </c>
      <c r="AO84" s="1604">
        <f t="shared" ref="AO84:AT84" si="435">+AO32</f>
        <v>162.06594873427889</v>
      </c>
      <c r="AP84" s="1604">
        <f t="shared" si="435"/>
        <v>179.65725416182735</v>
      </c>
      <c r="AQ84" s="185">
        <f t="shared" si="435"/>
        <v>159.86178234671956</v>
      </c>
      <c r="AR84" s="185">
        <f t="shared" si="435"/>
        <v>178.48041397729801</v>
      </c>
      <c r="AS84" s="1604">
        <f t="shared" si="435"/>
        <v>162.06594873427889</v>
      </c>
      <c r="AT84" s="1604">
        <f t="shared" si="435"/>
        <v>179.54185853647891</v>
      </c>
      <c r="AU84" s="185">
        <f t="shared" ref="AU84:AX84" si="436">+AU32</f>
        <v>160.86981866017214</v>
      </c>
      <c r="AV84" s="185">
        <f t="shared" si="436"/>
        <v>162.84214030302704</v>
      </c>
      <c r="AW84" s="1604">
        <f t="shared" si="436"/>
        <v>162.06594873427889</v>
      </c>
      <c r="AX84" s="1604">
        <f t="shared" si="436"/>
        <v>178.00137091190405</v>
      </c>
      <c r="AY84" s="185">
        <f t="shared" ref="AY84:BF84" si="437">+AY32</f>
        <v>159.90023356518947</v>
      </c>
      <c r="AZ84" s="185">
        <f t="shared" si="437"/>
        <v>175.08889487227174</v>
      </c>
      <c r="BA84" s="1606">
        <f t="shared" si="437"/>
        <v>162.06594873427889</v>
      </c>
      <c r="BB84" s="1606">
        <f t="shared" si="437"/>
        <v>172.02814489953806</v>
      </c>
      <c r="BC84" s="1522">
        <f t="shared" si="437"/>
        <v>162.06594873427889</v>
      </c>
      <c r="BD84" s="1522">
        <f t="shared" si="437"/>
        <v>177.12405075504086</v>
      </c>
      <c r="BE84" s="1604">
        <f t="shared" si="437"/>
        <v>162.06594873427889</v>
      </c>
      <c r="BF84" s="1604">
        <f t="shared" si="437"/>
        <v>177.76282299767306</v>
      </c>
      <c r="BG84" s="26"/>
      <c r="BH84" s="26"/>
      <c r="BI84" s="26"/>
      <c r="BJ84" s="26"/>
    </row>
    <row r="85" spans="2:62" x14ac:dyDescent="0.25">
      <c r="B85" s="1602" t="s">
        <v>1623</v>
      </c>
      <c r="C85" s="91" t="s">
        <v>224</v>
      </c>
      <c r="D85" s="185">
        <f t="shared" ref="D85" si="438">+D25</f>
        <v>0</v>
      </c>
      <c r="E85" s="185">
        <f t="shared" ref="E85:L85" si="439">+E25</f>
        <v>0</v>
      </c>
      <c r="F85" s="185">
        <f t="shared" si="439"/>
        <v>0</v>
      </c>
      <c r="G85" s="185">
        <f t="shared" si="439"/>
        <v>0</v>
      </c>
      <c r="H85" s="185">
        <f t="shared" si="439"/>
        <v>0</v>
      </c>
      <c r="I85" s="185">
        <f t="shared" si="439"/>
        <v>0</v>
      </c>
      <c r="J85" s="185">
        <f t="shared" si="439"/>
        <v>0</v>
      </c>
      <c r="K85" s="185">
        <f t="shared" si="439"/>
        <v>0</v>
      </c>
      <c r="L85" s="185">
        <f t="shared" si="439"/>
        <v>1.2065359080850031</v>
      </c>
      <c r="M85" s="1606">
        <f t="shared" ref="M85:AF85" si="440">+M25</f>
        <v>0</v>
      </c>
      <c r="N85" s="1618">
        <f t="shared" si="440"/>
        <v>0.38806249561235873</v>
      </c>
      <c r="O85" s="1603">
        <f t="shared" ref="O85:P85" si="441">+O25</f>
        <v>0</v>
      </c>
      <c r="P85" s="1624">
        <f t="shared" si="441"/>
        <v>3.1293202578911328</v>
      </c>
      <c r="Q85" s="1604">
        <f t="shared" si="440"/>
        <v>0</v>
      </c>
      <c r="R85" s="1604">
        <f t="shared" si="440"/>
        <v>1.1390400490445587</v>
      </c>
      <c r="S85" s="1603">
        <f t="shared" si="440"/>
        <v>0</v>
      </c>
      <c r="T85" s="1624">
        <f t="shared" si="440"/>
        <v>1.245737034288577</v>
      </c>
      <c r="U85" s="1604">
        <f t="shared" ref="U85:Z85" si="442">+U25</f>
        <v>0</v>
      </c>
      <c r="V85" s="1604">
        <f t="shared" si="442"/>
        <v>1.1613413324403958</v>
      </c>
      <c r="W85" s="1603">
        <f t="shared" si="442"/>
        <v>0</v>
      </c>
      <c r="X85" s="1624">
        <f t="shared" si="442"/>
        <v>0.38788099276133814</v>
      </c>
      <c r="Y85" s="1606">
        <f t="shared" si="442"/>
        <v>0</v>
      </c>
      <c r="Z85" s="1618">
        <f t="shared" si="442"/>
        <v>1.6057011649930693</v>
      </c>
      <c r="AA85" s="1522">
        <f t="shared" si="440"/>
        <v>0</v>
      </c>
      <c r="AB85" s="1522">
        <f t="shared" si="440"/>
        <v>1.0274613231886769</v>
      </c>
      <c r="AC85" s="185">
        <f t="shared" si="440"/>
        <v>0</v>
      </c>
      <c r="AD85" s="185">
        <f t="shared" si="440"/>
        <v>0</v>
      </c>
      <c r="AE85" s="1604">
        <f t="shared" si="440"/>
        <v>0</v>
      </c>
      <c r="AF85" s="1604">
        <f t="shared" si="440"/>
        <v>0.86844318546056254</v>
      </c>
      <c r="AG85" s="185">
        <f t="shared" ref="AG85:AN85" si="443">+AG25</f>
        <v>0</v>
      </c>
      <c r="AH85" s="185">
        <f t="shared" si="443"/>
        <v>2.6825201189008916</v>
      </c>
      <c r="AI85" s="1604">
        <f t="shared" si="443"/>
        <v>0</v>
      </c>
      <c r="AJ85" s="1604">
        <f t="shared" si="443"/>
        <v>1.0992096484510299</v>
      </c>
      <c r="AK85" s="1603">
        <f t="shared" si="443"/>
        <v>0</v>
      </c>
      <c r="AL85" s="1624">
        <f t="shared" si="443"/>
        <v>2.2419866801168262</v>
      </c>
      <c r="AM85" s="1606">
        <f t="shared" si="443"/>
        <v>0</v>
      </c>
      <c r="AN85" s="1618">
        <f t="shared" si="443"/>
        <v>1.6117947089873255</v>
      </c>
      <c r="AO85" s="1604">
        <f t="shared" ref="AO85:AT85" si="444">+AO25</f>
        <v>0</v>
      </c>
      <c r="AP85" s="1604">
        <f t="shared" si="444"/>
        <v>1.2300982384823849</v>
      </c>
      <c r="AQ85" s="185">
        <f t="shared" si="444"/>
        <v>0</v>
      </c>
      <c r="AR85" s="185">
        <f t="shared" si="444"/>
        <v>1.4049632762074338</v>
      </c>
      <c r="AS85" s="1604">
        <f t="shared" si="444"/>
        <v>0</v>
      </c>
      <c r="AT85" s="1604">
        <f t="shared" si="444"/>
        <v>1.2472447131228039</v>
      </c>
      <c r="AU85" s="185">
        <f t="shared" ref="AU85:AX85" si="445">+AU25</f>
        <v>0</v>
      </c>
      <c r="AV85" s="185">
        <f t="shared" si="445"/>
        <v>1.4388952720478485</v>
      </c>
      <c r="AW85" s="1604">
        <f t="shared" si="445"/>
        <v>0</v>
      </c>
      <c r="AX85" s="1604">
        <f t="shared" si="445"/>
        <v>1.2649237727416356</v>
      </c>
      <c r="AY85" s="185">
        <f t="shared" ref="AY85:BF85" si="446">+AY25</f>
        <v>0</v>
      </c>
      <c r="AZ85" s="185">
        <f t="shared" si="446"/>
        <v>0</v>
      </c>
      <c r="BA85" s="1606">
        <f t="shared" si="446"/>
        <v>0</v>
      </c>
      <c r="BB85" s="1618">
        <f t="shared" si="446"/>
        <v>0.95311777550917642</v>
      </c>
      <c r="BC85" s="1522">
        <f t="shared" si="446"/>
        <v>0</v>
      </c>
      <c r="BD85" s="1522">
        <f t="shared" si="446"/>
        <v>1.2904505320595885</v>
      </c>
      <c r="BE85" s="1604">
        <f t="shared" si="446"/>
        <v>0</v>
      </c>
      <c r="BF85" s="1604">
        <f t="shared" si="446"/>
        <v>1.1613195117820048</v>
      </c>
      <c r="BG85" s="26"/>
      <c r="BH85" s="26"/>
      <c r="BI85" s="26"/>
      <c r="BJ85" s="26"/>
    </row>
    <row r="86" spans="2:62" x14ac:dyDescent="0.25">
      <c r="B86" s="1602" t="s">
        <v>564</v>
      </c>
      <c r="C86" s="91" t="s">
        <v>224</v>
      </c>
      <c r="D86" s="1624">
        <f t="shared" ref="D86" si="447">+D26</f>
        <v>9</v>
      </c>
      <c r="E86" s="1624">
        <f t="shared" ref="E86:L86" si="448">+E26</f>
        <v>9.0000000000000018</v>
      </c>
      <c r="F86" s="1624">
        <f t="shared" si="448"/>
        <v>16.03977405835958</v>
      </c>
      <c r="G86" s="1624">
        <f t="shared" si="448"/>
        <v>9</v>
      </c>
      <c r="H86" s="1624">
        <f t="shared" si="448"/>
        <v>15.197324500590563</v>
      </c>
      <c r="I86" s="1624">
        <f t="shared" si="448"/>
        <v>9</v>
      </c>
      <c r="J86" s="1624">
        <f t="shared" si="448"/>
        <v>15.662505138428546</v>
      </c>
      <c r="K86" s="1624">
        <f t="shared" si="448"/>
        <v>9</v>
      </c>
      <c r="L86" s="1624">
        <f t="shared" si="448"/>
        <v>16.709612877800346</v>
      </c>
      <c r="M86" s="1606">
        <f t="shared" ref="M86:N88" si="449">+M26</f>
        <v>9</v>
      </c>
      <c r="N86" s="1618">
        <f t="shared" si="449"/>
        <v>15.999290177143706</v>
      </c>
      <c r="O86" s="1603">
        <f t="shared" ref="O86:P86" si="450">+O26</f>
        <v>9.0000000000000036</v>
      </c>
      <c r="P86" s="1624">
        <f t="shared" si="450"/>
        <v>14.021215292582399</v>
      </c>
      <c r="Q86" s="1604">
        <f t="shared" ref="Q86:T86" si="451">+Q26</f>
        <v>9</v>
      </c>
      <c r="R86" s="1620">
        <f t="shared" si="451"/>
        <v>15.457389354187653</v>
      </c>
      <c r="S86" s="1603">
        <f t="shared" si="451"/>
        <v>9.0000000000000036</v>
      </c>
      <c r="T86" s="1624">
        <f t="shared" si="451"/>
        <v>17.496577571911175</v>
      </c>
      <c r="U86" s="1604">
        <f t="shared" ref="U86:Z86" si="452">+U26</f>
        <v>9</v>
      </c>
      <c r="V86" s="1620">
        <f t="shared" si="452"/>
        <v>15.883610528449502</v>
      </c>
      <c r="W86" s="1603">
        <f t="shared" si="452"/>
        <v>9</v>
      </c>
      <c r="X86" s="1624">
        <f t="shared" si="452"/>
        <v>12.505818214891422</v>
      </c>
      <c r="Y86" s="1606">
        <f t="shared" si="452"/>
        <v>9</v>
      </c>
      <c r="Z86" s="1618">
        <f t="shared" si="452"/>
        <v>14.665580327383156</v>
      </c>
      <c r="AA86" s="1522">
        <f t="shared" ref="AA86:AF86" si="453">+AA26</f>
        <v>9</v>
      </c>
      <c r="AB86" s="1522">
        <f t="shared" si="453"/>
        <v>15.298940774888271</v>
      </c>
      <c r="AC86" s="1624">
        <f t="shared" si="453"/>
        <v>9.0000000000000018</v>
      </c>
      <c r="AD86" s="1624">
        <f t="shared" si="453"/>
        <v>12.934467891416217</v>
      </c>
      <c r="AE86" s="1620">
        <f t="shared" si="453"/>
        <v>9</v>
      </c>
      <c r="AF86" s="1620">
        <f t="shared" si="453"/>
        <v>14.932996027234442</v>
      </c>
      <c r="AG86" s="1624">
        <f t="shared" ref="AG86:AN86" si="454">+AG26</f>
        <v>9</v>
      </c>
      <c r="AH86" s="1624">
        <f t="shared" si="454"/>
        <v>15.045205431633331</v>
      </c>
      <c r="AI86" s="1620">
        <f t="shared" si="454"/>
        <v>9</v>
      </c>
      <c r="AJ86" s="1620">
        <f t="shared" si="454"/>
        <v>14.947270045546492</v>
      </c>
      <c r="AK86" s="1603">
        <f t="shared" si="454"/>
        <v>9</v>
      </c>
      <c r="AL86" s="1624">
        <f t="shared" si="454"/>
        <v>12.847191046841413</v>
      </c>
      <c r="AM86" s="1606">
        <f t="shared" si="454"/>
        <v>9</v>
      </c>
      <c r="AN86" s="1618">
        <f t="shared" si="454"/>
        <v>13.591232115881759</v>
      </c>
      <c r="AO86" s="1620">
        <f t="shared" ref="AO86:AT86" si="455">+AO26</f>
        <v>9</v>
      </c>
      <c r="AP86" s="1620">
        <f t="shared" si="455"/>
        <v>14.706736353077817</v>
      </c>
      <c r="AQ86" s="1624">
        <f t="shared" si="455"/>
        <v>9</v>
      </c>
      <c r="AR86" s="1624">
        <f t="shared" si="455"/>
        <v>13.418094814155353</v>
      </c>
      <c r="AS86" s="1620">
        <f t="shared" si="455"/>
        <v>9</v>
      </c>
      <c r="AT86" s="1620">
        <f t="shared" si="455"/>
        <v>14.58037799262347</v>
      </c>
      <c r="AU86" s="1624">
        <f t="shared" ref="AU86:AX86" si="456">+AU26</f>
        <v>9</v>
      </c>
      <c r="AV86" s="1624">
        <f t="shared" si="456"/>
        <v>14.029228902466524</v>
      </c>
      <c r="AW86" s="1620">
        <f t="shared" si="456"/>
        <v>9</v>
      </c>
      <c r="AX86" s="1620">
        <f t="shared" si="456"/>
        <v>14.529536514892323</v>
      </c>
      <c r="AY86" s="1624">
        <f t="shared" ref="AY86:BF86" si="457">+AY26</f>
        <v>9</v>
      </c>
      <c r="AZ86" s="1624">
        <f t="shared" si="457"/>
        <v>11.222543906155883</v>
      </c>
      <c r="BA86" s="1606">
        <f t="shared" si="457"/>
        <v>9</v>
      </c>
      <c r="BB86" s="1618">
        <f t="shared" si="457"/>
        <v>12.902339762224125</v>
      </c>
      <c r="BC86" s="1522">
        <f t="shared" si="457"/>
        <v>9</v>
      </c>
      <c r="BD86" s="1522">
        <f t="shared" si="457"/>
        <v>13.255146950110174</v>
      </c>
      <c r="BE86" s="1620">
        <f t="shared" si="457"/>
        <v>9</v>
      </c>
      <c r="BF86" s="1620">
        <f t="shared" si="457"/>
        <v>14.258675509185633</v>
      </c>
      <c r="BG86" s="26"/>
      <c r="BH86" s="26"/>
      <c r="BI86" s="26"/>
      <c r="BJ86" s="26"/>
    </row>
    <row r="87" spans="2:62" x14ac:dyDescent="0.25">
      <c r="B87" s="1602" t="s">
        <v>43</v>
      </c>
      <c r="C87" s="91" t="s">
        <v>224</v>
      </c>
      <c r="D87" s="1624">
        <f t="shared" ref="D87" si="458">+D27</f>
        <v>6</v>
      </c>
      <c r="E87" s="1624">
        <f t="shared" ref="E87:L87" si="459">+E27</f>
        <v>6</v>
      </c>
      <c r="F87" s="1624">
        <f t="shared" si="459"/>
        <v>7.6010002743645737</v>
      </c>
      <c r="G87" s="1624">
        <f t="shared" si="459"/>
        <v>5.9999999999999991</v>
      </c>
      <c r="H87" s="1624">
        <f t="shared" si="459"/>
        <v>6.7425310081831702</v>
      </c>
      <c r="I87" s="1624">
        <f t="shared" si="459"/>
        <v>6</v>
      </c>
      <c r="J87" s="1624">
        <f t="shared" si="459"/>
        <v>7.2165573485424863</v>
      </c>
      <c r="K87" s="1624">
        <f t="shared" si="459"/>
        <v>6</v>
      </c>
      <c r="L87" s="1624">
        <f t="shared" si="459"/>
        <v>8.879255464273804</v>
      </c>
      <c r="M87" s="1606">
        <f t="shared" si="449"/>
        <v>6</v>
      </c>
      <c r="N87" s="1618">
        <f t="shared" si="449"/>
        <v>7.7513369401957197</v>
      </c>
      <c r="O87" s="1603">
        <f t="shared" ref="O87:T88" si="460">+O27</f>
        <v>6.0000000000000009</v>
      </c>
      <c r="P87" s="1624">
        <f t="shared" si="460"/>
        <v>7.1040019352190988</v>
      </c>
      <c r="Q87" s="1604">
        <f t="shared" si="460"/>
        <v>6</v>
      </c>
      <c r="R87" s="1620">
        <f t="shared" si="460"/>
        <v>7.5739971566197886</v>
      </c>
      <c r="S87" s="1603">
        <f t="shared" si="460"/>
        <v>6.0000000000000009</v>
      </c>
      <c r="T87" s="1624">
        <f t="shared" si="460"/>
        <v>9.140762926865861</v>
      </c>
      <c r="U87" s="1604">
        <f t="shared" ref="U87:Z87" si="461">+U27</f>
        <v>6</v>
      </c>
      <c r="V87" s="1620">
        <f t="shared" si="461"/>
        <v>7.9014748953510594</v>
      </c>
      <c r="W87" s="1603">
        <f t="shared" si="461"/>
        <v>5.9999999999999991</v>
      </c>
      <c r="X87" s="1624">
        <f t="shared" si="461"/>
        <v>8.5173315927731075</v>
      </c>
      <c r="Y87" s="1606">
        <f t="shared" si="461"/>
        <v>6</v>
      </c>
      <c r="Z87" s="1618">
        <f t="shared" si="461"/>
        <v>8.2402557384644908</v>
      </c>
      <c r="AA87" s="1522">
        <f t="shared" ref="AA87:AF88" si="462">+AA27</f>
        <v>6</v>
      </c>
      <c r="AB87" s="1522">
        <f t="shared" si="462"/>
        <v>8.0080749317314766</v>
      </c>
      <c r="AC87" s="1624">
        <f t="shared" si="462"/>
        <v>6</v>
      </c>
      <c r="AD87" s="1624">
        <f t="shared" si="462"/>
        <v>10.122517100555056</v>
      </c>
      <c r="AE87" s="1620">
        <f t="shared" si="462"/>
        <v>6</v>
      </c>
      <c r="AF87" s="1620">
        <f t="shared" si="462"/>
        <v>8.3353229248497325</v>
      </c>
      <c r="AG87" s="1624">
        <f t="shared" ref="AG87:AN87" si="463">+AG27</f>
        <v>6</v>
      </c>
      <c r="AH87" s="1624">
        <f t="shared" si="463"/>
        <v>6.4095851089253539</v>
      </c>
      <c r="AI87" s="1620">
        <f t="shared" si="463"/>
        <v>6</v>
      </c>
      <c r="AJ87" s="1620">
        <f t="shared" si="463"/>
        <v>8.0903522203355216</v>
      </c>
      <c r="AK87" s="1603">
        <f t="shared" si="463"/>
        <v>6</v>
      </c>
      <c r="AL87" s="1624">
        <f t="shared" si="463"/>
        <v>9.0841391985887885</v>
      </c>
      <c r="AM87" s="1606">
        <f t="shared" si="463"/>
        <v>6</v>
      </c>
      <c r="AN87" s="1618">
        <f t="shared" si="463"/>
        <v>8.5735616825462184</v>
      </c>
      <c r="AO87" s="1620">
        <f t="shared" ref="AO87:AT87" si="464">+AO27</f>
        <v>6</v>
      </c>
      <c r="AP87" s="1620">
        <f t="shared" si="464"/>
        <v>8.2041761534132487</v>
      </c>
      <c r="AQ87" s="1624">
        <f t="shared" si="464"/>
        <v>6</v>
      </c>
      <c r="AR87" s="1624">
        <f t="shared" si="464"/>
        <v>8.8721344313376367</v>
      </c>
      <c r="AS87" s="1620">
        <f t="shared" si="464"/>
        <v>6</v>
      </c>
      <c r="AT87" s="1620">
        <f t="shared" si="464"/>
        <v>8.2696731208018761</v>
      </c>
      <c r="AU87" s="1624">
        <f t="shared" ref="AU87:AX87" si="465">+AU27</f>
        <v>5.9999999999999991</v>
      </c>
      <c r="AV87" s="1624">
        <f t="shared" si="465"/>
        <v>10.128641532530844</v>
      </c>
      <c r="AW87" s="1620">
        <f t="shared" si="465"/>
        <v>6</v>
      </c>
      <c r="AX87" s="1620">
        <f t="shared" si="465"/>
        <v>8.441156123850849</v>
      </c>
      <c r="AY87" s="1624">
        <f t="shared" ref="AY87:BF87" si="466">+AY27</f>
        <v>5.9999999999999991</v>
      </c>
      <c r="AZ87" s="1624">
        <f t="shared" si="466"/>
        <v>8.1025490136208322</v>
      </c>
      <c r="BA87" s="1606">
        <f t="shared" si="466"/>
        <v>6</v>
      </c>
      <c r="BB87" s="1618">
        <f t="shared" si="466"/>
        <v>9.0468364455390695</v>
      </c>
      <c r="BC87" s="1522">
        <f t="shared" si="466"/>
        <v>6</v>
      </c>
      <c r="BD87" s="1522">
        <f t="shared" si="466"/>
        <v>8.8044549800714957</v>
      </c>
      <c r="BE87" s="1620">
        <f t="shared" si="466"/>
        <v>6</v>
      </c>
      <c r="BF87" s="1620">
        <f t="shared" si="466"/>
        <v>8.413422326631574</v>
      </c>
      <c r="BG87" s="26"/>
      <c r="BH87" s="26"/>
      <c r="BI87" s="26"/>
      <c r="BJ87" s="26"/>
    </row>
    <row r="88" spans="2:62" s="2450" customFormat="1" x14ac:dyDescent="0.25">
      <c r="B88" s="1602" t="s">
        <v>1713</v>
      </c>
      <c r="C88" s="91" t="s">
        <v>224</v>
      </c>
      <c r="D88" s="1624">
        <f t="shared" ref="D88" si="467">+D28</f>
        <v>0</v>
      </c>
      <c r="E88" s="1624">
        <f t="shared" ref="E88:L88" si="468">+E28</f>
        <v>0</v>
      </c>
      <c r="F88" s="1624">
        <f t="shared" si="468"/>
        <v>3.4107406860801674</v>
      </c>
      <c r="G88" s="1624">
        <f t="shared" si="468"/>
        <v>0</v>
      </c>
      <c r="H88" s="1624">
        <f t="shared" si="468"/>
        <v>1.798008268848845</v>
      </c>
      <c r="I88" s="1624">
        <f t="shared" si="468"/>
        <v>6</v>
      </c>
      <c r="J88" s="1624">
        <f t="shared" si="468"/>
        <v>2.6885208076605198</v>
      </c>
      <c r="K88" s="1624">
        <f t="shared" si="468"/>
        <v>0</v>
      </c>
      <c r="L88" s="1624">
        <f t="shared" si="468"/>
        <v>6.3045793541544963</v>
      </c>
      <c r="M88" s="1606">
        <f t="shared" si="449"/>
        <v>0</v>
      </c>
      <c r="N88" s="1618">
        <f t="shared" si="449"/>
        <v>3.8515667596538425</v>
      </c>
      <c r="O88" s="1603">
        <f t="shared" si="460"/>
        <v>0</v>
      </c>
      <c r="P88" s="1624">
        <f t="shared" si="460"/>
        <v>1.0105265910695729</v>
      </c>
      <c r="Q88" s="1604">
        <f t="shared" si="460"/>
        <v>0</v>
      </c>
      <c r="R88" s="1620">
        <f t="shared" si="460"/>
        <v>3.0732534523957833</v>
      </c>
      <c r="S88" s="1603">
        <f t="shared" si="460"/>
        <v>0</v>
      </c>
      <c r="T88" s="1624">
        <f t="shared" si="460"/>
        <v>2.0896234123550328</v>
      </c>
      <c r="U88" s="1604">
        <f t="shared" ref="U88:Z88" si="469">+U28</f>
        <v>0</v>
      </c>
      <c r="V88" s="1620">
        <f t="shared" si="469"/>
        <v>2.8676598994998037</v>
      </c>
      <c r="W88" s="1603">
        <f t="shared" si="469"/>
        <v>0</v>
      </c>
      <c r="X88" s="1624">
        <f t="shared" si="469"/>
        <v>1.1235173583431863</v>
      </c>
      <c r="Y88" s="1606">
        <f t="shared" si="469"/>
        <v>0</v>
      </c>
      <c r="Z88" s="1618">
        <f t="shared" si="469"/>
        <v>1.4029460188531526</v>
      </c>
      <c r="AA88" s="1522">
        <f t="shared" si="462"/>
        <v>0</v>
      </c>
      <c r="AB88" s="1522">
        <f t="shared" si="462"/>
        <v>2.5657623004021484</v>
      </c>
      <c r="AC88" s="1624">
        <f t="shared" si="462"/>
        <v>0</v>
      </c>
      <c r="AD88" s="1624">
        <f t="shared" si="462"/>
        <v>0</v>
      </c>
      <c r="AE88" s="1620">
        <f t="shared" si="462"/>
        <v>0</v>
      </c>
      <c r="AF88" s="1620">
        <f t="shared" si="462"/>
        <v>2.1686643915516863</v>
      </c>
      <c r="AG88" s="1624">
        <f t="shared" ref="AG88:AN88" si="470">+AG28</f>
        <v>0</v>
      </c>
      <c r="AH88" s="1624">
        <f t="shared" si="470"/>
        <v>1.6406604531015465</v>
      </c>
      <c r="AI88" s="1620">
        <f t="shared" si="470"/>
        <v>0</v>
      </c>
      <c r="AJ88" s="1620">
        <f t="shared" si="470"/>
        <v>2.1014976694159833</v>
      </c>
      <c r="AK88" s="1603">
        <f t="shared" si="470"/>
        <v>0</v>
      </c>
      <c r="AL88" s="1624">
        <f t="shared" si="470"/>
        <v>5.0754987033975745</v>
      </c>
      <c r="AM88" s="1606">
        <f t="shared" si="470"/>
        <v>0</v>
      </c>
      <c r="AN88" s="1618">
        <f t="shared" si="470"/>
        <v>2.2092402585849</v>
      </c>
      <c r="AO88" s="1620">
        <f t="shared" ref="AO88:AT88" si="471">+AO28</f>
        <v>0</v>
      </c>
      <c r="AP88" s="1620">
        <f t="shared" si="471"/>
        <v>2.4421264984030553</v>
      </c>
      <c r="AQ88" s="1624">
        <f t="shared" si="471"/>
        <v>0</v>
      </c>
      <c r="AR88" s="1624">
        <f t="shared" si="471"/>
        <v>2.7681949699532606</v>
      </c>
      <c r="AS88" s="1620">
        <f t="shared" si="471"/>
        <v>0</v>
      </c>
      <c r="AT88" s="1620">
        <f t="shared" si="471"/>
        <v>2.4740992978329035</v>
      </c>
      <c r="AU88" s="1624">
        <f t="shared" ref="AU88:AX88" si="472">+AU28</f>
        <v>0</v>
      </c>
      <c r="AV88" s="1624">
        <f t="shared" si="472"/>
        <v>2.2039795118494099</v>
      </c>
      <c r="AW88" s="1620">
        <f t="shared" si="472"/>
        <v>0</v>
      </c>
      <c r="AX88" s="1620">
        <f t="shared" si="472"/>
        <v>2.4491817404440104</v>
      </c>
      <c r="AY88" s="1624">
        <f t="shared" ref="AY88:BF88" si="473">+AY28</f>
        <v>0</v>
      </c>
      <c r="AZ88" s="1624">
        <f t="shared" si="473"/>
        <v>2.6980738750392081</v>
      </c>
      <c r="BA88" s="1606">
        <f t="shared" si="473"/>
        <v>0</v>
      </c>
      <c r="BB88" s="1618">
        <f t="shared" si="473"/>
        <v>2.5526343497786588</v>
      </c>
      <c r="BC88" s="1522">
        <f t="shared" si="473"/>
        <v>0</v>
      </c>
      <c r="BD88" s="1522">
        <f t="shared" si="473"/>
        <v>2.376769567701305</v>
      </c>
      <c r="BE88" s="1620">
        <f t="shared" si="473"/>
        <v>0</v>
      </c>
      <c r="BF88" s="1620">
        <f t="shared" si="473"/>
        <v>2.46956738440065</v>
      </c>
      <c r="BG88" s="26"/>
      <c r="BH88" s="26"/>
      <c r="BI88" s="26"/>
      <c r="BJ88" s="26"/>
    </row>
    <row r="89" spans="2:62" x14ac:dyDescent="0.25">
      <c r="B89" s="1602" t="s">
        <v>44</v>
      </c>
      <c r="C89" s="91" t="s">
        <v>224</v>
      </c>
      <c r="D89" s="1624">
        <f t="shared" ref="D89" si="474">+D29</f>
        <v>29.655435636702443</v>
      </c>
      <c r="E89" s="1624">
        <f t="shared" ref="E89:L89" si="475">+E29</f>
        <v>29.655435636702439</v>
      </c>
      <c r="F89" s="1624">
        <f t="shared" si="475"/>
        <v>22.024103912330478</v>
      </c>
      <c r="G89" s="1624">
        <f t="shared" si="475"/>
        <v>29.655435636702446</v>
      </c>
      <c r="H89" s="1624">
        <f t="shared" si="475"/>
        <v>22.974118009551688</v>
      </c>
      <c r="I89" s="1624">
        <f t="shared" si="475"/>
        <v>29.655435636702443</v>
      </c>
      <c r="J89" s="1624">
        <f t="shared" si="475"/>
        <v>22.449542787658572</v>
      </c>
      <c r="K89" s="1624">
        <f t="shared" si="475"/>
        <v>29.655435636702439</v>
      </c>
      <c r="L89" s="1624">
        <f t="shared" si="475"/>
        <v>0.97917361384787949</v>
      </c>
      <c r="M89" s="1606">
        <f t="shared" ref="M89:N89" si="476">+M29</f>
        <v>29.655435636702443</v>
      </c>
      <c r="N89" s="1618">
        <f t="shared" si="476"/>
        <v>15.543950515206591</v>
      </c>
      <c r="O89" s="1603">
        <f t="shared" ref="O89:P89" si="477">+O29</f>
        <v>29.655435636702443</v>
      </c>
      <c r="P89" s="1624">
        <f t="shared" si="477"/>
        <v>3.4574983526493277</v>
      </c>
      <c r="Q89" s="1604">
        <f t="shared" ref="Q89:T89" si="478">+Q29</f>
        <v>29.655435636702443</v>
      </c>
      <c r="R89" s="1620">
        <f t="shared" si="478"/>
        <v>12.232822900863873</v>
      </c>
      <c r="S89" s="1603">
        <f t="shared" si="478"/>
        <v>29.655435636702443</v>
      </c>
      <c r="T89" s="1624">
        <f t="shared" si="478"/>
        <v>5.8589825677185328</v>
      </c>
      <c r="U89" s="1604">
        <f t="shared" ref="U89:Z89" si="479">+U29</f>
        <v>29.655435636702443</v>
      </c>
      <c r="V89" s="1620">
        <f t="shared" si="479"/>
        <v>10.900593885543485</v>
      </c>
      <c r="W89" s="1603">
        <f t="shared" si="479"/>
        <v>29.655435636702439</v>
      </c>
      <c r="X89" s="1624">
        <f t="shared" si="479"/>
        <v>10.432661184615302</v>
      </c>
      <c r="Y89" s="1606">
        <f t="shared" si="479"/>
        <v>29.655435636702443</v>
      </c>
      <c r="Z89" s="1618">
        <f t="shared" si="479"/>
        <v>6.5471340747246236</v>
      </c>
      <c r="AA89" s="1522">
        <f t="shared" ref="AA89:AF89" si="480">+AA29</f>
        <v>29.655435636702443</v>
      </c>
      <c r="AB89" s="1522">
        <f t="shared" si="480"/>
        <v>10.819598350135111</v>
      </c>
      <c r="AC89" s="1624">
        <f t="shared" si="480"/>
        <v>29.655435636702439</v>
      </c>
      <c r="AD89" s="1624">
        <f t="shared" si="480"/>
        <v>9.1236676739452012</v>
      </c>
      <c r="AE89" s="1620">
        <f t="shared" si="480"/>
        <v>29.655435636702443</v>
      </c>
      <c r="AF89" s="1620">
        <f t="shared" si="480"/>
        <v>10.557122545199944</v>
      </c>
      <c r="AG89" s="1624">
        <f t="shared" ref="AG89:AN89" si="481">+AG29</f>
        <v>29.655435636702439</v>
      </c>
      <c r="AH89" s="1624">
        <f t="shared" si="481"/>
        <v>10.037297501953486</v>
      </c>
      <c r="AI89" s="1620">
        <f t="shared" si="481"/>
        <v>29.655435636702443</v>
      </c>
      <c r="AJ89" s="1620">
        <f t="shared" si="481"/>
        <v>10.490996250116993</v>
      </c>
      <c r="AK89" s="1603">
        <f t="shared" si="481"/>
        <v>29.655435636702439</v>
      </c>
      <c r="AL89" s="1624">
        <f t="shared" si="481"/>
        <v>9.0603725553366683</v>
      </c>
      <c r="AM89" s="1606">
        <f t="shared" si="481"/>
        <v>29.655435636702443</v>
      </c>
      <c r="AN89" s="1618">
        <f t="shared" si="481"/>
        <v>9.3995192525738123</v>
      </c>
      <c r="AO89" s="1620">
        <f t="shared" ref="AO89:AT89" si="482">+AO29</f>
        <v>29.655435636702443</v>
      </c>
      <c r="AP89" s="1620">
        <f t="shared" si="482"/>
        <v>10.327138985675571</v>
      </c>
      <c r="AQ89" s="1624">
        <f t="shared" si="482"/>
        <v>29.655435636702439</v>
      </c>
      <c r="AR89" s="1624">
        <f t="shared" si="482"/>
        <v>3.7308034720676608</v>
      </c>
      <c r="AS89" s="1620">
        <f t="shared" si="482"/>
        <v>29.655435636702443</v>
      </c>
      <c r="AT89" s="1620">
        <f t="shared" si="482"/>
        <v>9.6803321621090763</v>
      </c>
      <c r="AU89" s="1624">
        <f t="shared" ref="AU89:AX89" si="483">+AU29</f>
        <v>29.655435636702439</v>
      </c>
      <c r="AV89" s="1624">
        <f t="shared" si="483"/>
        <v>11.543376249637591</v>
      </c>
      <c r="AW89" s="1620">
        <f t="shared" si="483"/>
        <v>29.655435636702443</v>
      </c>
      <c r="AX89" s="1620">
        <f t="shared" si="483"/>
        <v>9.8521911312697679</v>
      </c>
      <c r="AY89" s="1624">
        <f t="shared" ref="AY89:BF89" si="484">+AY29</f>
        <v>29.655435636702443</v>
      </c>
      <c r="AZ89" s="1624">
        <f t="shared" si="484"/>
        <v>13.579194852563587</v>
      </c>
      <c r="BA89" s="1606">
        <f t="shared" si="484"/>
        <v>29.655435636702443</v>
      </c>
      <c r="BB89" s="1618">
        <f t="shared" si="484"/>
        <v>9.6437939764055294</v>
      </c>
      <c r="BC89" s="1522">
        <f t="shared" si="484"/>
        <v>29.655435636702443</v>
      </c>
      <c r="BD89" s="1522">
        <f t="shared" si="484"/>
        <v>9.5186918789165222</v>
      </c>
      <c r="BE89" s="1620">
        <f t="shared" si="484"/>
        <v>29.655435636702443</v>
      </c>
      <c r="BF89" s="1620">
        <f t="shared" si="484"/>
        <v>10.157453372726042</v>
      </c>
      <c r="BG89" s="26"/>
      <c r="BH89" s="26"/>
      <c r="BI89" s="26"/>
      <c r="BJ89" s="26"/>
    </row>
    <row r="90" spans="2:62" x14ac:dyDescent="0.25">
      <c r="B90" s="2249" t="s">
        <v>121</v>
      </c>
      <c r="C90" s="91" t="s">
        <v>224</v>
      </c>
      <c r="D90" s="1624">
        <f t="shared" ref="D90" si="485">+D51</f>
        <v>21.945931729061243</v>
      </c>
      <c r="E90" s="1624">
        <f t="shared" ref="E90:L90" si="486">+E51</f>
        <v>21.945931729061243</v>
      </c>
      <c r="F90" s="1624">
        <f t="shared" si="486"/>
        <v>20.186375823203267</v>
      </c>
      <c r="G90" s="1624">
        <f t="shared" si="486"/>
        <v>21.945931729061243</v>
      </c>
      <c r="H90" s="1624">
        <f t="shared" si="486"/>
        <v>20.335849637960255</v>
      </c>
      <c r="I90" s="1624">
        <f t="shared" si="486"/>
        <v>21.945931729061243</v>
      </c>
      <c r="J90" s="1624">
        <f t="shared" si="486"/>
        <v>20.253313747416414</v>
      </c>
      <c r="K90" s="1624">
        <f t="shared" si="486"/>
        <v>21.945931729061243</v>
      </c>
      <c r="L90" s="1624">
        <f t="shared" si="486"/>
        <v>22.281504835238128</v>
      </c>
      <c r="M90" s="1606">
        <f t="shared" ref="M90:AF90" si="487">+M51</f>
        <v>21.945931729061243</v>
      </c>
      <c r="N90" s="1618">
        <f t="shared" si="487"/>
        <v>20.905648161870811</v>
      </c>
      <c r="O90" s="1603">
        <f t="shared" si="487"/>
        <v>21.945931729061243</v>
      </c>
      <c r="P90" s="1624">
        <f t="shared" si="487"/>
        <v>21.850976136025945</v>
      </c>
      <c r="Q90" s="1604">
        <f t="shared" si="487"/>
        <v>21.945931729061243</v>
      </c>
      <c r="R90" s="1620">
        <f t="shared" si="487"/>
        <v>21.164624205273565</v>
      </c>
      <c r="S90" s="1603">
        <f t="shared" ref="S90:V90" si="488">+S51</f>
        <v>21.945931729061243</v>
      </c>
      <c r="T90" s="1624">
        <f t="shared" si="488"/>
        <v>22.286637394078866</v>
      </c>
      <c r="U90" s="1604">
        <f t="shared" si="488"/>
        <v>21.945931729061243</v>
      </c>
      <c r="V90" s="1620">
        <f t="shared" si="488"/>
        <v>21.39914192890172</v>
      </c>
      <c r="W90" s="1603">
        <f t="shared" ref="W90:Z90" si="489">+W51</f>
        <v>21.945931729061243</v>
      </c>
      <c r="X90" s="1624">
        <f t="shared" si="489"/>
        <v>19.760530300193139</v>
      </c>
      <c r="Y90" s="1606">
        <f t="shared" si="489"/>
        <v>21.945931729061243</v>
      </c>
      <c r="Z90" s="1618">
        <f t="shared" si="489"/>
        <v>21.305300136497827</v>
      </c>
      <c r="AA90" s="1621">
        <f t="shared" si="487"/>
        <v>21.945931729061243</v>
      </c>
      <c r="AB90" s="1522">
        <f t="shared" si="487"/>
        <v>21.115510915445352</v>
      </c>
      <c r="AC90" s="1624">
        <f t="shared" si="487"/>
        <v>21.945931729061243</v>
      </c>
      <c r="AD90" s="1624">
        <f t="shared" si="487"/>
        <v>21.769860034643639</v>
      </c>
      <c r="AE90" s="1620">
        <f t="shared" si="487"/>
        <v>21.945931729061243</v>
      </c>
      <c r="AF90" s="1620">
        <f t="shared" si="487"/>
        <v>21.216783222256879</v>
      </c>
      <c r="AG90" s="1624">
        <f t="shared" ref="AG90:AN90" si="490">+AG51</f>
        <v>21.945931729061243</v>
      </c>
      <c r="AH90" s="1624">
        <f t="shared" si="490"/>
        <v>22.126091871614964</v>
      </c>
      <c r="AI90" s="1620">
        <f t="shared" si="490"/>
        <v>21.945931729061243</v>
      </c>
      <c r="AJ90" s="1620">
        <f t="shared" si="490"/>
        <v>21.332455240852617</v>
      </c>
      <c r="AK90" s="1603">
        <f t="shared" si="490"/>
        <v>21.945931729061243</v>
      </c>
      <c r="AL90" s="1624">
        <f t="shared" si="490"/>
        <v>18.638329785941764</v>
      </c>
      <c r="AM90" s="1606">
        <f t="shared" si="490"/>
        <v>21.945931729061243</v>
      </c>
      <c r="AN90" s="1618">
        <f t="shared" si="490"/>
        <v>20.851285772597397</v>
      </c>
      <c r="AO90" s="1620">
        <f t="shared" ref="AO90:AT90" si="491">+AO51</f>
        <v>21.945931729061243</v>
      </c>
      <c r="AP90" s="1620">
        <f t="shared" si="491"/>
        <v>21.023882113821138</v>
      </c>
      <c r="AQ90" s="1624">
        <f t="shared" si="491"/>
        <v>21.945931729061243</v>
      </c>
      <c r="AR90" s="1624">
        <f t="shared" si="491"/>
        <v>24.232138882706433</v>
      </c>
      <c r="AS90" s="1620">
        <f t="shared" si="491"/>
        <v>21.945931729061243</v>
      </c>
      <c r="AT90" s="1620">
        <f t="shared" si="491"/>
        <v>21.338469260819274</v>
      </c>
      <c r="AU90" s="1624">
        <f t="shared" ref="AU90:AX90" si="492">+AU51</f>
        <v>21.945931729061243</v>
      </c>
      <c r="AV90" s="1624">
        <f t="shared" si="492"/>
        <v>21.365984086247813</v>
      </c>
      <c r="AW90" s="1620">
        <f t="shared" si="492"/>
        <v>21.945931729061243</v>
      </c>
      <c r="AX90" s="1620">
        <f t="shared" si="492"/>
        <v>21.341007402329957</v>
      </c>
      <c r="AY90" s="1624">
        <f t="shared" ref="AY90:BF90" si="493">+AY51</f>
        <v>21.945931729061243</v>
      </c>
      <c r="AZ90" s="1624">
        <f t="shared" si="493"/>
        <v>23.513769336890054</v>
      </c>
      <c r="BA90" s="1606">
        <f t="shared" si="493"/>
        <v>21.945931729061243</v>
      </c>
      <c r="BB90" s="1618">
        <f t="shared" si="493"/>
        <v>23.017656941691349</v>
      </c>
      <c r="BC90" s="1621">
        <f t="shared" si="493"/>
        <v>21.945931729061243</v>
      </c>
      <c r="BD90" s="1522">
        <f t="shared" si="493"/>
        <v>21.908178347499703</v>
      </c>
      <c r="BE90" s="1620">
        <f t="shared" si="493"/>
        <v>21.945931729061243</v>
      </c>
      <c r="BF90" s="1620">
        <f t="shared" si="493"/>
        <v>21.518968635506411</v>
      </c>
      <c r="BG90" s="26"/>
      <c r="BH90" s="26"/>
      <c r="BI90" s="26"/>
      <c r="BJ90" s="26"/>
    </row>
    <row r="91" spans="2:62" ht="15" customHeight="1" x14ac:dyDescent="0.25">
      <c r="B91" s="1602" t="s">
        <v>615</v>
      </c>
      <c r="C91" s="91" t="s">
        <v>224</v>
      </c>
      <c r="D91" s="185">
        <f t="shared" ref="D91" si="494">+D30</f>
        <v>15.000000000000002</v>
      </c>
      <c r="E91" s="185">
        <f t="shared" ref="E91:L91" si="495">+E30</f>
        <v>15.000000000000002</v>
      </c>
      <c r="F91" s="185">
        <f t="shared" si="495"/>
        <v>1.4160397740583595</v>
      </c>
      <c r="G91" s="185">
        <f t="shared" si="495"/>
        <v>15</v>
      </c>
      <c r="H91" s="185">
        <f t="shared" si="495"/>
        <v>24.50508396240949</v>
      </c>
      <c r="I91" s="185">
        <f t="shared" si="495"/>
        <v>15.000000000000002</v>
      </c>
      <c r="J91" s="185">
        <f t="shared" si="495"/>
        <v>11.755862120510882</v>
      </c>
      <c r="K91" s="185">
        <f t="shared" si="495"/>
        <v>15</v>
      </c>
      <c r="L91" s="185">
        <f t="shared" si="495"/>
        <v>13.905477915542487</v>
      </c>
      <c r="M91" s="1606">
        <f t="shared" ref="M91:AF91" si="496">+M30</f>
        <v>15.000000000000002</v>
      </c>
      <c r="N91" s="1618">
        <f t="shared" si="496"/>
        <v>12.447250801475807</v>
      </c>
      <c r="O91" s="1603">
        <f t="shared" si="496"/>
        <v>15.000000000000004</v>
      </c>
      <c r="P91" s="185">
        <f t="shared" si="496"/>
        <v>23.659831776425445</v>
      </c>
      <c r="Q91" s="1604">
        <f t="shared" si="496"/>
        <v>15.000000000000002</v>
      </c>
      <c r="R91" s="1620">
        <f t="shared" si="496"/>
        <v>15.518978219487142</v>
      </c>
      <c r="S91" s="1603">
        <f t="shared" ref="S91:V91" si="497">+S30</f>
        <v>15.000000000000004</v>
      </c>
      <c r="T91" s="185">
        <f t="shared" si="497"/>
        <v>22.664377010927659</v>
      </c>
      <c r="U91" s="1604">
        <f t="shared" si="497"/>
        <v>15.000000000000002</v>
      </c>
      <c r="V91" s="1620">
        <f t="shared" si="497"/>
        <v>17.012474620156272</v>
      </c>
      <c r="W91" s="1603">
        <f t="shared" ref="W91:Z91" si="498">+W30</f>
        <v>15.000000000000002</v>
      </c>
      <c r="X91" s="185">
        <f t="shared" si="498"/>
        <v>17.002562689593553</v>
      </c>
      <c r="Y91" s="1606">
        <f t="shared" si="498"/>
        <v>15.000000000000002</v>
      </c>
      <c r="Z91" s="1618">
        <f t="shared" si="498"/>
        <v>21.137764045696791</v>
      </c>
      <c r="AA91" s="1522">
        <f t="shared" si="496"/>
        <v>15.000000000000002</v>
      </c>
      <c r="AB91" s="1522">
        <f t="shared" si="496"/>
        <v>17.010758941552776</v>
      </c>
      <c r="AC91" s="185">
        <f t="shared" si="496"/>
        <v>15</v>
      </c>
      <c r="AD91" s="185">
        <f t="shared" si="496"/>
        <v>16.381130596401611</v>
      </c>
      <c r="AE91" s="1604">
        <f t="shared" si="496"/>
        <v>15.000000000000002</v>
      </c>
      <c r="AF91" s="1604">
        <f t="shared" si="496"/>
        <v>16.913312619587053</v>
      </c>
      <c r="AG91" s="185">
        <f t="shared" ref="AG91:AN91" si="499">+AG30</f>
        <v>15</v>
      </c>
      <c r="AH91" s="185">
        <f t="shared" si="499"/>
        <v>13.799270161192876</v>
      </c>
      <c r="AI91" s="1604">
        <f t="shared" si="499"/>
        <v>15.000000000000002</v>
      </c>
      <c r="AJ91" s="1604">
        <f t="shared" si="499"/>
        <v>16.517179164341066</v>
      </c>
      <c r="AK91" s="1603">
        <f t="shared" si="499"/>
        <v>15</v>
      </c>
      <c r="AL91" s="185">
        <f t="shared" si="499"/>
        <v>13.517938534179075</v>
      </c>
      <c r="AM91" s="1606">
        <f t="shared" si="499"/>
        <v>15.000000000000002</v>
      </c>
      <c r="AN91" s="1618">
        <f t="shared" si="499"/>
        <v>14.59685944243067</v>
      </c>
      <c r="AO91" s="1604">
        <f t="shared" ref="AO91:AT91" si="500">+AO30</f>
        <v>15.000000000000002</v>
      </c>
      <c r="AP91" s="1604">
        <f t="shared" si="500"/>
        <v>16.173659504452189</v>
      </c>
      <c r="AQ91" s="185">
        <f t="shared" si="500"/>
        <v>15</v>
      </c>
      <c r="AR91" s="185">
        <f t="shared" si="500"/>
        <v>13.559982194524816</v>
      </c>
      <c r="AS91" s="1604">
        <f t="shared" si="500"/>
        <v>15.000000000000002</v>
      </c>
      <c r="AT91" s="1604">
        <f t="shared" si="500"/>
        <v>15.917374129765829</v>
      </c>
      <c r="AU91" s="185">
        <f t="shared" ref="AU91:AX91" si="501">+AU30</f>
        <v>14.999999999999998</v>
      </c>
      <c r="AV91" s="185">
        <f t="shared" si="501"/>
        <v>21.00357576213128</v>
      </c>
      <c r="AW91" s="1604">
        <f t="shared" si="501"/>
        <v>15.000000000000002</v>
      </c>
      <c r="AX91" s="1604">
        <f t="shared" si="501"/>
        <v>16.386557535211338</v>
      </c>
      <c r="AY91" s="185">
        <f t="shared" ref="AY91:BF91" si="502">+AY30</f>
        <v>15</v>
      </c>
      <c r="AZ91" s="185">
        <f t="shared" si="502"/>
        <v>22.822596091123838</v>
      </c>
      <c r="BA91" s="1606">
        <f t="shared" si="502"/>
        <v>15.000000000000002</v>
      </c>
      <c r="BB91" s="1618">
        <f t="shared" si="502"/>
        <v>19.153913413690653</v>
      </c>
      <c r="BC91" s="1522">
        <f t="shared" si="502"/>
        <v>15.000000000000002</v>
      </c>
      <c r="BD91" s="1522">
        <f t="shared" si="502"/>
        <v>16.820077963044604</v>
      </c>
      <c r="BE91" s="1604">
        <f t="shared" si="502"/>
        <v>15.000000000000002</v>
      </c>
      <c r="BF91" s="1604">
        <f t="shared" si="502"/>
        <v>16.913704729739713</v>
      </c>
      <c r="BG91" s="26"/>
      <c r="BH91" s="26"/>
      <c r="BI91" s="26"/>
      <c r="BJ91" s="26"/>
    </row>
    <row r="92" spans="2:62" s="5797" customFormat="1" ht="15" customHeight="1" x14ac:dyDescent="0.25">
      <c r="B92" s="5827" t="s">
        <v>1943</v>
      </c>
      <c r="C92" s="91" t="s">
        <v>224</v>
      </c>
      <c r="D92" s="5831"/>
      <c r="E92" s="5831">
        <f>+E31</f>
        <v>0</v>
      </c>
      <c r="F92" s="5831">
        <f t="shared" ref="F92:BF92" si="503">+F31</f>
        <v>0</v>
      </c>
      <c r="G92" s="5831">
        <f t="shared" si="503"/>
        <v>0</v>
      </c>
      <c r="H92" s="5831">
        <f t="shared" si="503"/>
        <v>0</v>
      </c>
      <c r="I92" s="5831">
        <f t="shared" si="503"/>
        <v>0</v>
      </c>
      <c r="J92" s="5831">
        <f t="shared" si="503"/>
        <v>0</v>
      </c>
      <c r="K92" s="5831">
        <f t="shared" si="503"/>
        <v>0</v>
      </c>
      <c r="L92" s="5831">
        <f t="shared" si="503"/>
        <v>0</v>
      </c>
      <c r="M92" s="5831">
        <f t="shared" si="503"/>
        <v>0</v>
      </c>
      <c r="N92" s="5831">
        <f t="shared" si="503"/>
        <v>0</v>
      </c>
      <c r="O92" s="5831">
        <f t="shared" si="503"/>
        <v>0</v>
      </c>
      <c r="P92" s="5831">
        <f t="shared" si="503"/>
        <v>0</v>
      </c>
      <c r="Q92" s="5831">
        <f t="shared" si="503"/>
        <v>0</v>
      </c>
      <c r="R92" s="5831">
        <f t="shared" si="503"/>
        <v>0</v>
      </c>
      <c r="S92" s="5831">
        <f t="shared" si="503"/>
        <v>0</v>
      </c>
      <c r="T92" s="5831">
        <f t="shared" si="503"/>
        <v>0</v>
      </c>
      <c r="U92" s="5831">
        <f t="shared" si="503"/>
        <v>0</v>
      </c>
      <c r="V92" s="5831">
        <f t="shared" si="503"/>
        <v>0</v>
      </c>
      <c r="W92" s="5831">
        <f t="shared" si="503"/>
        <v>0</v>
      </c>
      <c r="X92" s="5831">
        <f t="shared" si="503"/>
        <v>0</v>
      </c>
      <c r="Y92" s="5831">
        <f t="shared" si="503"/>
        <v>0</v>
      </c>
      <c r="Z92" s="5831">
        <f t="shared" si="503"/>
        <v>0</v>
      </c>
      <c r="AA92" s="5831">
        <f t="shared" si="503"/>
        <v>0</v>
      </c>
      <c r="AB92" s="5831">
        <f t="shared" si="503"/>
        <v>0</v>
      </c>
      <c r="AC92" s="5831">
        <f t="shared" si="503"/>
        <v>0</v>
      </c>
      <c r="AD92" s="5831">
        <f t="shared" si="503"/>
        <v>0</v>
      </c>
      <c r="AE92" s="5831">
        <f t="shared" si="503"/>
        <v>0</v>
      </c>
      <c r="AF92" s="5831">
        <f t="shared" si="503"/>
        <v>0</v>
      </c>
      <c r="AG92" s="5831">
        <f t="shared" si="503"/>
        <v>0</v>
      </c>
      <c r="AH92" s="5831">
        <f t="shared" si="503"/>
        <v>0</v>
      </c>
      <c r="AI92" s="5831">
        <f t="shared" si="503"/>
        <v>0</v>
      </c>
      <c r="AJ92" s="5831">
        <f t="shared" si="503"/>
        <v>0</v>
      </c>
      <c r="AK92" s="5831">
        <f t="shared" si="503"/>
        <v>0</v>
      </c>
      <c r="AL92" s="5831">
        <f t="shared" si="503"/>
        <v>0</v>
      </c>
      <c r="AM92" s="5831">
        <f t="shared" si="503"/>
        <v>0</v>
      </c>
      <c r="AN92" s="5831">
        <f t="shared" si="503"/>
        <v>0</v>
      </c>
      <c r="AO92" s="5831">
        <f t="shared" si="503"/>
        <v>0</v>
      </c>
      <c r="AP92" s="5831">
        <f t="shared" si="503"/>
        <v>0</v>
      </c>
      <c r="AQ92" s="5831">
        <f t="shared" si="503"/>
        <v>0</v>
      </c>
      <c r="AR92" s="5831">
        <f t="shared" si="503"/>
        <v>0</v>
      </c>
      <c r="AS92" s="5831">
        <f t="shared" si="503"/>
        <v>0</v>
      </c>
      <c r="AT92" s="5831">
        <f t="shared" si="503"/>
        <v>0</v>
      </c>
      <c r="AU92" s="5831">
        <f t="shared" si="503"/>
        <v>0</v>
      </c>
      <c r="AV92" s="5831">
        <f t="shared" si="503"/>
        <v>2.0563316760982313</v>
      </c>
      <c r="AW92" s="5831">
        <f t="shared" si="503"/>
        <v>0</v>
      </c>
      <c r="AX92" s="5831">
        <f t="shared" si="503"/>
        <v>0.1896890387470816</v>
      </c>
      <c r="AY92" s="5831">
        <f t="shared" si="503"/>
        <v>0</v>
      </c>
      <c r="AZ92" s="5831">
        <f t="shared" si="503"/>
        <v>1.8375770630411068</v>
      </c>
      <c r="BA92" s="5831">
        <f t="shared" si="503"/>
        <v>0</v>
      </c>
      <c r="BB92" s="5831">
        <f t="shared" si="503"/>
        <v>1.3074468620817521</v>
      </c>
      <c r="BC92" s="5831">
        <f t="shared" si="503"/>
        <v>0</v>
      </c>
      <c r="BD92" s="5831">
        <f t="shared" si="503"/>
        <v>0.63785509165146848</v>
      </c>
      <c r="BE92" s="5831">
        <f t="shared" si="503"/>
        <v>0</v>
      </c>
      <c r="BF92" s="5831">
        <f t="shared" si="503"/>
        <v>0.32466019240890814</v>
      </c>
      <c r="BG92" s="26"/>
      <c r="BH92" s="26"/>
      <c r="BI92" s="26"/>
      <c r="BJ92" s="26"/>
    </row>
    <row r="93" spans="2:62" x14ac:dyDescent="0.25">
      <c r="B93" s="1602" t="s">
        <v>819</v>
      </c>
      <c r="C93" s="91" t="s">
        <v>224</v>
      </c>
      <c r="D93" s="1624">
        <f t="shared" ref="D93" si="504">+D24+D52</f>
        <v>75</v>
      </c>
      <c r="E93" s="1624">
        <f t="shared" ref="E93:L93" si="505">+E24+E52</f>
        <v>75</v>
      </c>
      <c r="F93" s="1624">
        <f t="shared" si="505"/>
        <v>75.979384126818857</v>
      </c>
      <c r="G93" s="1624">
        <f t="shared" si="505"/>
        <v>75</v>
      </c>
      <c r="H93" s="1624">
        <f t="shared" si="505"/>
        <v>76.914188876906479</v>
      </c>
      <c r="I93" s="1624">
        <f t="shared" si="505"/>
        <v>75</v>
      </c>
      <c r="J93" s="1624">
        <f t="shared" si="505"/>
        <v>76.398011895282423</v>
      </c>
      <c r="K93" s="1624">
        <f t="shared" si="505"/>
        <v>75</v>
      </c>
      <c r="L93" s="1624">
        <f t="shared" si="505"/>
        <v>65.798647952223604</v>
      </c>
      <c r="M93" s="1606">
        <f t="shared" ref="M93:AF93" si="506">+M24+M52</f>
        <v>75</v>
      </c>
      <c r="N93" s="1618">
        <f t="shared" si="506"/>
        <v>72.988900242587818</v>
      </c>
      <c r="O93" s="1603">
        <f t="shared" si="506"/>
        <v>75.000000000000014</v>
      </c>
      <c r="P93" s="1624">
        <f t="shared" si="506"/>
        <v>68.638319314702116</v>
      </c>
      <c r="Q93" s="1604">
        <f t="shared" si="506"/>
        <v>75</v>
      </c>
      <c r="R93" s="1620">
        <f t="shared" si="506"/>
        <v>71.79704274338043</v>
      </c>
      <c r="S93" s="1603">
        <f t="shared" ref="S93:V93" si="507">+S24+S52</f>
        <v>75.000000000000014</v>
      </c>
      <c r="T93" s="1624">
        <f t="shared" si="507"/>
        <v>71.70087308752575</v>
      </c>
      <c r="U93" s="1604">
        <f t="shared" si="507"/>
        <v>75</v>
      </c>
      <c r="V93" s="1620">
        <f t="shared" si="507"/>
        <v>71.776941831022043</v>
      </c>
      <c r="W93" s="1603">
        <f t="shared" ref="W93:Z93" si="508">+W24+W52</f>
        <v>75</v>
      </c>
      <c r="X93" s="1624">
        <f t="shared" si="508"/>
        <v>65.666914553829855</v>
      </c>
      <c r="Y93" s="1606">
        <f t="shared" si="508"/>
        <v>75</v>
      </c>
      <c r="Z93" s="1618">
        <f t="shared" si="508"/>
        <v>68.666871237051225</v>
      </c>
      <c r="AA93" s="1522">
        <f t="shared" si="506"/>
        <v>75</v>
      </c>
      <c r="AB93" s="1522">
        <f t="shared" si="506"/>
        <v>70.719343313768817</v>
      </c>
      <c r="AC93" s="1624">
        <f t="shared" si="506"/>
        <v>75</v>
      </c>
      <c r="AD93" s="1624">
        <f t="shared" si="506"/>
        <v>70.996700003793094</v>
      </c>
      <c r="AE93" s="1620">
        <f t="shared" si="506"/>
        <v>75</v>
      </c>
      <c r="AF93" s="1620">
        <f t="shared" si="506"/>
        <v>70.76226925495871</v>
      </c>
      <c r="AG93" s="1624">
        <f t="shared" ref="AG93:AN93" si="509">+AG24+AG52</f>
        <v>75</v>
      </c>
      <c r="AH93" s="1624">
        <f t="shared" si="509"/>
        <v>74.619170754891769</v>
      </c>
      <c r="AI93" s="1620">
        <f t="shared" si="509"/>
        <v>75</v>
      </c>
      <c r="AJ93" s="1620">
        <f t="shared" si="509"/>
        <v>71.252900881895414</v>
      </c>
      <c r="AK93" s="1603">
        <f t="shared" si="509"/>
        <v>75</v>
      </c>
      <c r="AL93" s="1624">
        <f t="shared" si="509"/>
        <v>81.432441996186782</v>
      </c>
      <c r="AM93" s="1606">
        <f t="shared" si="509"/>
        <v>75</v>
      </c>
      <c r="AN93" s="1618">
        <f t="shared" si="509"/>
        <v>75.620035096655357</v>
      </c>
      <c r="AO93" s="1620">
        <f t="shared" ref="AO93:AT93" si="510">+AO24+AO52</f>
        <v>75</v>
      </c>
      <c r="AP93" s="1620">
        <f t="shared" si="510"/>
        <v>72.41882017034456</v>
      </c>
      <c r="AQ93" s="1624">
        <f t="shared" si="510"/>
        <v>75</v>
      </c>
      <c r="AR93" s="1624">
        <f t="shared" si="510"/>
        <v>74.32116625862453</v>
      </c>
      <c r="AS93" s="1620">
        <f t="shared" si="510"/>
        <v>75</v>
      </c>
      <c r="AT93" s="1620">
        <f t="shared" si="510"/>
        <v>72.605355622967636</v>
      </c>
      <c r="AU93" s="1624">
        <f t="shared" ref="AU93:AX93" si="511">+AU24+AU52</f>
        <v>75</v>
      </c>
      <c r="AV93" s="1624">
        <f t="shared" si="511"/>
        <v>78.575493680672622</v>
      </c>
      <c r="AW93" s="1620">
        <f t="shared" si="511"/>
        <v>75</v>
      </c>
      <c r="AX93" s="1620">
        <f t="shared" si="511"/>
        <v>73.15607891460229</v>
      </c>
      <c r="AY93" s="1624">
        <f t="shared" ref="AY93:BF93" si="512">+AY24+AY52</f>
        <v>75</v>
      </c>
      <c r="AZ93" s="1624">
        <f t="shared" si="512"/>
        <v>77.236528367248937</v>
      </c>
      <c r="BA93" s="1606">
        <f t="shared" si="512"/>
        <v>75</v>
      </c>
      <c r="BB93" s="1618">
        <f t="shared" si="512"/>
        <v>76.733763350286807</v>
      </c>
      <c r="BC93" s="1522">
        <f t="shared" si="512"/>
        <v>75</v>
      </c>
      <c r="BD93" s="1522">
        <f t="shared" si="512"/>
        <v>76.163382025618716</v>
      </c>
      <c r="BE93" s="1620">
        <f t="shared" si="512"/>
        <v>75</v>
      </c>
      <c r="BF93" s="1620">
        <f t="shared" si="512"/>
        <v>73.49029031851029</v>
      </c>
      <c r="BG93" s="26"/>
      <c r="BH93" s="26"/>
      <c r="BI93" s="26"/>
      <c r="BJ93" s="26"/>
    </row>
    <row r="94" spans="2:62" x14ac:dyDescent="0.25">
      <c r="B94" s="1602" t="s">
        <v>1411</v>
      </c>
      <c r="C94" s="91" t="s">
        <v>224</v>
      </c>
      <c r="D94" s="1624">
        <f t="shared" ref="D94" si="513">D33</f>
        <v>0</v>
      </c>
      <c r="E94" s="1624">
        <f t="shared" ref="E94:L94" si="514">E33</f>
        <v>0</v>
      </c>
      <c r="F94" s="1624">
        <f t="shared" si="514"/>
        <v>1.0724418877059636</v>
      </c>
      <c r="G94" s="1624">
        <f t="shared" si="514"/>
        <v>0</v>
      </c>
      <c r="H94" s="1624">
        <f t="shared" si="514"/>
        <v>0</v>
      </c>
      <c r="I94" s="1624">
        <f t="shared" si="514"/>
        <v>0</v>
      </c>
      <c r="J94" s="1624">
        <f t="shared" si="514"/>
        <v>0.59217694017000655</v>
      </c>
      <c r="K94" s="1624">
        <f t="shared" si="514"/>
        <v>0</v>
      </c>
      <c r="L94" s="1624">
        <f t="shared" si="514"/>
        <v>2.4797647558128961</v>
      </c>
      <c r="M94" s="1606">
        <f t="shared" ref="M94:R94" si="515">M33</f>
        <v>0</v>
      </c>
      <c r="N94" s="1606">
        <f t="shared" si="515"/>
        <v>1.1992886170934705</v>
      </c>
      <c r="O94" s="1624">
        <f t="shared" si="515"/>
        <v>0</v>
      </c>
      <c r="P94" s="1624">
        <f t="shared" si="515"/>
        <v>2.7623809708386631</v>
      </c>
      <c r="Q94" s="1620">
        <f t="shared" si="515"/>
        <v>0</v>
      </c>
      <c r="R94" s="1620">
        <f t="shared" si="515"/>
        <v>1.6275034634887755</v>
      </c>
      <c r="S94" s="1624">
        <f t="shared" ref="S94:V94" si="516">S33</f>
        <v>0</v>
      </c>
      <c r="T94" s="1624">
        <f t="shared" si="516"/>
        <v>2.2262526354705536</v>
      </c>
      <c r="U94" s="1620">
        <f t="shared" si="516"/>
        <v>0</v>
      </c>
      <c r="V94" s="1620">
        <f t="shared" si="516"/>
        <v>1.752651094762989</v>
      </c>
      <c r="W94" s="1624">
        <f t="shared" ref="W94:Z94" si="517">W33</f>
        <v>0</v>
      </c>
      <c r="X94" s="1624">
        <f t="shared" si="517"/>
        <v>1.5408238057277985</v>
      </c>
      <c r="Y94" s="1606">
        <f t="shared" si="517"/>
        <v>0</v>
      </c>
      <c r="Z94" s="1606">
        <f t="shared" si="517"/>
        <v>2.1832597938071605</v>
      </c>
      <c r="AA94" s="1522"/>
      <c r="AB94" s="1522">
        <f>AB33</f>
        <v>1.7159854275517064</v>
      </c>
      <c r="AC94" s="1624">
        <f t="shared" ref="AC94:AF94" si="518">AC33</f>
        <v>0</v>
      </c>
      <c r="AD94" s="1624">
        <f t="shared" si="518"/>
        <v>0.45264315788142773</v>
      </c>
      <c r="AE94" s="1620">
        <f t="shared" si="518"/>
        <v>0</v>
      </c>
      <c r="AF94" s="1620">
        <f t="shared" si="518"/>
        <v>1.5204604666580828</v>
      </c>
      <c r="AG94" s="1624">
        <f t="shared" ref="AG94:AN94" si="519">AG33</f>
        <v>0</v>
      </c>
      <c r="AH94" s="1624">
        <f t="shared" si="519"/>
        <v>0</v>
      </c>
      <c r="AI94" s="1620">
        <f t="shared" si="519"/>
        <v>0</v>
      </c>
      <c r="AJ94" s="1620">
        <f t="shared" si="519"/>
        <v>1.3270445880149939</v>
      </c>
      <c r="AK94" s="1624">
        <f t="shared" si="519"/>
        <v>0</v>
      </c>
      <c r="AL94" s="1624">
        <f t="shared" si="519"/>
        <v>0</v>
      </c>
      <c r="AM94" s="1606">
        <f t="shared" si="519"/>
        <v>0</v>
      </c>
      <c r="AN94" s="1606">
        <f t="shared" si="519"/>
        <v>0.15612080785104507</v>
      </c>
      <c r="AO94" s="1620">
        <f t="shared" ref="AO94:AT94" si="520">AO33</f>
        <v>0</v>
      </c>
      <c r="AP94" s="1620">
        <f t="shared" si="520"/>
        <v>1.1750508130081301</v>
      </c>
      <c r="AQ94" s="1624">
        <f t="shared" si="520"/>
        <v>0</v>
      </c>
      <c r="AR94" s="1624">
        <f t="shared" si="520"/>
        <v>1.3632316937458266</v>
      </c>
      <c r="AS94" s="1620">
        <f t="shared" si="520"/>
        <v>0</v>
      </c>
      <c r="AT94" s="1620">
        <f t="shared" si="520"/>
        <v>1.1935029789834355</v>
      </c>
      <c r="AU94" s="1624">
        <f t="shared" ref="AU94:AX94" si="521">AU33</f>
        <v>0</v>
      </c>
      <c r="AV94" s="1624">
        <f t="shared" si="521"/>
        <v>1.4603713208843838</v>
      </c>
      <c r="AW94" s="1620">
        <f t="shared" si="521"/>
        <v>0</v>
      </c>
      <c r="AX94" s="1620">
        <f t="shared" si="521"/>
        <v>1.2181206026069118</v>
      </c>
      <c r="AY94" s="1624">
        <f t="shared" ref="AY94:BF94" si="522">AY33</f>
        <v>0</v>
      </c>
      <c r="AZ94" s="1624">
        <f t="shared" si="522"/>
        <v>1.7265452163316743</v>
      </c>
      <c r="BA94" s="1606">
        <f t="shared" si="522"/>
        <v>0</v>
      </c>
      <c r="BB94" s="1606">
        <f t="shared" si="522"/>
        <v>1.5161988820779981</v>
      </c>
      <c r="BC94" s="1522"/>
      <c r="BD94" s="1522">
        <f>BD33</f>
        <v>0.81965272631683794</v>
      </c>
      <c r="BE94" s="1620">
        <f t="shared" si="522"/>
        <v>0</v>
      </c>
      <c r="BF94" s="1620">
        <f t="shared" si="522"/>
        <v>1.2597633936538937</v>
      </c>
      <c r="BG94" s="26"/>
      <c r="BH94" s="26"/>
      <c r="BI94" s="26"/>
      <c r="BJ94" s="26"/>
    </row>
    <row r="95" spans="2:62" ht="15.75" x14ac:dyDescent="0.25">
      <c r="B95" s="1608" t="s">
        <v>23</v>
      </c>
      <c r="C95" s="1609" t="s">
        <v>224</v>
      </c>
      <c r="D95" s="236">
        <f t="shared" ref="D95:AB95" si="523">SUM(D81:D94)</f>
        <v>1286.8108682524808</v>
      </c>
      <c r="E95" s="236">
        <f t="shared" si="523"/>
        <v>1287.5412264584986</v>
      </c>
      <c r="F95" s="236">
        <f t="shared" si="523"/>
        <v>1291.5828422957909</v>
      </c>
      <c r="G95" s="236">
        <f t="shared" si="523"/>
        <v>1291.9643082866703</v>
      </c>
      <c r="H95" s="236">
        <f t="shared" si="523"/>
        <v>1311.2866492754918</v>
      </c>
      <c r="I95" s="236">
        <f t="shared" si="523"/>
        <v>1292.8108682524808</v>
      </c>
      <c r="J95" s="236">
        <f t="shared" si="523"/>
        <v>1300.4066750216898</v>
      </c>
      <c r="K95" s="236">
        <f t="shared" ref="K95:L95" si="524">SUM(K81:K94)</f>
        <v>1292.0289117806883</v>
      </c>
      <c r="L95" s="236">
        <f t="shared" si="524"/>
        <v>1290.1557934688058</v>
      </c>
      <c r="M95" s="236">
        <f t="shared" si="523"/>
        <v>1286.8108682524808</v>
      </c>
      <c r="N95" s="236">
        <f t="shared" si="523"/>
        <v>1297.1096470169844</v>
      </c>
      <c r="O95" s="236">
        <f t="shared" si="523"/>
        <v>1285.9407466498587</v>
      </c>
      <c r="P95" s="236">
        <f t="shared" si="523"/>
        <v>1287.6809199884897</v>
      </c>
      <c r="Q95" s="236">
        <f t="shared" si="523"/>
        <v>1286.8108682524808</v>
      </c>
      <c r="R95" s="236">
        <f t="shared" si="523"/>
        <v>1294.5266128881715</v>
      </c>
      <c r="S95" s="236">
        <f t="shared" si="523"/>
        <v>1285.9407466498587</v>
      </c>
      <c r="T95" s="2659">
        <f t="shared" si="523"/>
        <v>1331.746563507138</v>
      </c>
      <c r="U95" s="236">
        <f t="shared" ref="U95:V95" si="525">SUM(U81:U94)</f>
        <v>1286.8108682524808</v>
      </c>
      <c r="V95" s="236">
        <f t="shared" si="525"/>
        <v>1302.3061454104291</v>
      </c>
      <c r="W95" s="236">
        <f t="shared" ref="W95:X95" si="526">SUM(W81:W94)</f>
        <v>1285.6892539470837</v>
      </c>
      <c r="X95" s="2659">
        <f t="shared" si="526"/>
        <v>1278.0411207353154</v>
      </c>
      <c r="Y95" s="236">
        <f t="shared" si="523"/>
        <v>1286.8108682524808</v>
      </c>
      <c r="Z95" s="236">
        <f t="shared" si="523"/>
        <v>1299.0071598062805</v>
      </c>
      <c r="AA95" s="236">
        <f t="shared" si="523"/>
        <v>1286.8108682524808</v>
      </c>
      <c r="AB95" s="236">
        <f t="shared" si="523"/>
        <v>1298.1060571042265</v>
      </c>
      <c r="AC95" s="236">
        <f t="shared" ref="AC95:AF95" si="527">SUM(AC81:AC94)</f>
        <v>1287.8221346849673</v>
      </c>
      <c r="AD95" s="236">
        <f t="shared" si="527"/>
        <v>1294.5417304118043</v>
      </c>
      <c r="AE95" s="311">
        <f t="shared" si="527"/>
        <v>1286.8108682524808</v>
      </c>
      <c r="AF95" s="311">
        <f t="shared" si="527"/>
        <v>1297.554413377994</v>
      </c>
      <c r="AG95" s="236">
        <f t="shared" ref="AG95:AL95" si="528">SUM(AG81:AG94)</f>
        <v>1285.9056777626818</v>
      </c>
      <c r="AH95" s="236">
        <f t="shared" si="528"/>
        <v>1287.77613980253</v>
      </c>
      <c r="AI95" s="311">
        <f t="shared" si="528"/>
        <v>1286.8108682524808</v>
      </c>
      <c r="AJ95" s="311">
        <f t="shared" si="528"/>
        <v>1296.3105313983672</v>
      </c>
      <c r="AK95" s="236">
        <f t="shared" si="528"/>
        <v>1286.2115883674151</v>
      </c>
      <c r="AL95" s="2659">
        <f t="shared" si="528"/>
        <v>1288.8360154430368</v>
      </c>
      <c r="AM95" s="236">
        <f t="shared" ref="AM95:AN95" si="529">SUM(AM81:AM94)</f>
        <v>1286.8108682524808</v>
      </c>
      <c r="AN95" s="236">
        <f t="shared" si="529"/>
        <v>1290.4597103653748</v>
      </c>
      <c r="AO95" s="311">
        <f t="shared" ref="AO95:AT95" si="530">SUM(AO81:AO94)</f>
        <v>1286.8108682524808</v>
      </c>
      <c r="AP95" s="311">
        <f t="shared" si="530"/>
        <v>1295.4544336404924</v>
      </c>
      <c r="AQ95" s="236">
        <f t="shared" si="530"/>
        <v>1284.6067018649214</v>
      </c>
      <c r="AR95" s="236">
        <f t="shared" si="530"/>
        <v>1244.894836412197</v>
      </c>
      <c r="AS95" s="311">
        <f t="shared" si="530"/>
        <v>1286.8108682524808</v>
      </c>
      <c r="AT95" s="311">
        <f t="shared" si="530"/>
        <v>1290.4967882301623</v>
      </c>
      <c r="AU95" s="236">
        <f t="shared" ref="AU95:AX95" si="531">SUM(AU81:AU94)</f>
        <v>1285.6147381783742</v>
      </c>
      <c r="AV95" s="236">
        <f t="shared" si="531"/>
        <v>1270.321711211571</v>
      </c>
      <c r="AW95" s="311">
        <f t="shared" si="531"/>
        <v>1286.8108682524808</v>
      </c>
      <c r="AX95" s="311">
        <f t="shared" si="531"/>
        <v>1288.6357115318904</v>
      </c>
      <c r="AY95" s="236">
        <f t="shared" ref="AY95:BF95" si="532">SUM(AY81:AY94)</f>
        <v>1284.6451530833913</v>
      </c>
      <c r="AZ95" s="236">
        <f t="shared" si="532"/>
        <v>1286.5398868030325</v>
      </c>
      <c r="BA95" s="236">
        <f t="shared" ref="BA95:BD95" si="533">SUM(BA81:BA94)</f>
        <v>1286.8108682524808</v>
      </c>
      <c r="BB95" s="236">
        <f t="shared" si="533"/>
        <v>1267.3032992890528</v>
      </c>
      <c r="BC95" s="236">
        <f t="shared" si="533"/>
        <v>1286.8108682524808</v>
      </c>
      <c r="BD95" s="236">
        <f t="shared" si="533"/>
        <v>1279.162551652639</v>
      </c>
      <c r="BE95" s="311">
        <f t="shared" si="532"/>
        <v>1286.8108682524808</v>
      </c>
      <c r="BF95" s="311">
        <f t="shared" si="532"/>
        <v>1288.4640518818674</v>
      </c>
      <c r="BG95" s="26"/>
      <c r="BH95" s="26"/>
      <c r="BI95" s="26"/>
      <c r="BJ95" s="26"/>
    </row>
    <row r="96" spans="2:62" s="183" customFormat="1" ht="18.75" x14ac:dyDescent="0.25">
      <c r="B96" s="1601" t="s">
        <v>443</v>
      </c>
      <c r="C96" s="1601"/>
      <c r="D96" s="299"/>
      <c r="E96" s="1622"/>
      <c r="F96" s="1622"/>
      <c r="G96" s="1622"/>
      <c r="H96" s="1622"/>
      <c r="I96" s="1622"/>
      <c r="J96" s="1601"/>
      <c r="K96" s="1622"/>
      <c r="L96" s="1622"/>
      <c r="M96" s="1622"/>
      <c r="N96" s="1601"/>
      <c r="O96" s="1622"/>
      <c r="P96" s="1622"/>
      <c r="Q96" s="1622"/>
      <c r="R96" s="1601"/>
      <c r="S96" s="1622"/>
      <c r="T96" s="2688"/>
      <c r="U96" s="1622"/>
      <c r="V96" s="1601"/>
      <c r="W96" s="1622"/>
      <c r="X96" s="2688"/>
      <c r="Y96" s="1622"/>
      <c r="Z96" s="1601"/>
      <c r="AA96" s="1601"/>
      <c r="AB96" s="1601"/>
      <c r="AC96" s="1622"/>
      <c r="AD96" s="1622"/>
      <c r="AE96" s="1622"/>
      <c r="AF96" s="1601"/>
      <c r="AG96" s="1622"/>
      <c r="AH96" s="1622"/>
      <c r="AI96" s="1622"/>
      <c r="AJ96" s="1601"/>
      <c r="AK96" s="1622"/>
      <c r="AL96" s="2688"/>
      <c r="AM96" s="1622"/>
      <c r="AN96" s="1601"/>
      <c r="AO96" s="1622"/>
      <c r="AP96" s="1601"/>
      <c r="AQ96" s="1622"/>
      <c r="AR96" s="1622"/>
      <c r="AS96" s="1622"/>
      <c r="AT96" s="1601"/>
      <c r="AU96" s="1622"/>
      <c r="AV96" s="1622"/>
      <c r="AW96" s="1622"/>
      <c r="AX96" s="1601"/>
      <c r="AY96" s="1622"/>
      <c r="AZ96" s="1622"/>
      <c r="BA96" s="1622"/>
      <c r="BB96" s="1601"/>
      <c r="BC96" s="1601"/>
      <c r="BD96" s="1601"/>
      <c r="BE96" s="1622"/>
      <c r="BF96" s="1601"/>
      <c r="BG96" s="26"/>
      <c r="BH96" s="26"/>
      <c r="BI96" s="26"/>
      <c r="BJ96" s="26"/>
    </row>
    <row r="97" spans="2:62" x14ac:dyDescent="0.25">
      <c r="B97" s="662" t="s">
        <v>436</v>
      </c>
      <c r="C97" s="91" t="s">
        <v>51</v>
      </c>
      <c r="D97" s="131">
        <v>53.37822824219618</v>
      </c>
      <c r="E97" s="1624">
        <f>+$D$97</f>
        <v>53.37822824219618</v>
      </c>
      <c r="F97" s="1625">
        <v>53.16</v>
      </c>
      <c r="G97" s="1624">
        <f>+$D$97</f>
        <v>53.37822824219618</v>
      </c>
      <c r="H97" s="1625">
        <v>52.19</v>
      </c>
      <c r="I97" s="1620">
        <f>+$D$97</f>
        <v>53.37822824219618</v>
      </c>
      <c r="J97" s="1616">
        <f>+((F97*F$61)+(H97*H$61))/J$61</f>
        <v>52.725610962747467</v>
      </c>
      <c r="K97" s="1624">
        <f>+$D$97</f>
        <v>53.37822824219618</v>
      </c>
      <c r="L97" s="1625">
        <v>55.08</v>
      </c>
      <c r="M97" s="1618">
        <f>+$D$97</f>
        <v>53.37822824219618</v>
      </c>
      <c r="N97" s="1626">
        <f>+((F97*F$61)+(H97*H$61)+(L97*L$61))/N$61</f>
        <v>53.482861600143522</v>
      </c>
      <c r="O97" s="1624">
        <f>+$D$97</f>
        <v>53.37822824219618</v>
      </c>
      <c r="P97" s="1625">
        <v>52.78</v>
      </c>
      <c r="Q97" s="1620">
        <f>+$D$97</f>
        <v>53.37822824219618</v>
      </c>
      <c r="R97" s="1616">
        <f>+((N97*N$61)+(P97*P$61))/R$61</f>
        <v>53.290310103476372</v>
      </c>
      <c r="S97" s="1624">
        <f>+$D$97</f>
        <v>53.37822824219618</v>
      </c>
      <c r="T97" s="2690">
        <v>52.52</v>
      </c>
      <c r="U97" s="1620">
        <f>+$D$97</f>
        <v>53.37822824219618</v>
      </c>
      <c r="V97" s="1616">
        <f>+((R97*R$61)+(T97*T$61))/V$61</f>
        <v>53.129303643162473</v>
      </c>
      <c r="W97" s="1624">
        <f>+$D$97</f>
        <v>53.37822824219618</v>
      </c>
      <c r="X97" s="2690">
        <v>52.6</v>
      </c>
      <c r="Y97" s="1618">
        <f>+$D$97</f>
        <v>53.37822824219618</v>
      </c>
      <c r="Z97" s="1626">
        <f t="shared" ref="Z97:Z104" si="534">+((P97*P$61)+(T97*T$61)+(X97*X$61))/Z$61</f>
        <v>52.635090398947526</v>
      </c>
      <c r="AA97" s="1621">
        <f>+$D$97</f>
        <v>53.37822824219618</v>
      </c>
      <c r="AB97" s="1621">
        <f t="shared" ref="AB97:AB104" si="535">+((N97*N$61)+(Z97*Z$61))/AB$61</f>
        <v>53.03768527178876</v>
      </c>
      <c r="AC97" s="1624">
        <f>+$D$97</f>
        <v>53.37822824219618</v>
      </c>
      <c r="AD97" s="1625">
        <v>53.18</v>
      </c>
      <c r="AE97" s="1620">
        <f>+$D$97</f>
        <v>53.37822824219618</v>
      </c>
      <c r="AF97" s="1616">
        <f>+((AB97*AB$61)+(AD97*AD$61))/AF$61</f>
        <v>53.059711038151626</v>
      </c>
      <c r="AG97" s="1624">
        <f>+$D$97</f>
        <v>53.37822824219618</v>
      </c>
      <c r="AH97" s="1625">
        <v>53.3</v>
      </c>
      <c r="AI97" s="1620">
        <f>+$D$97</f>
        <v>53.37822824219618</v>
      </c>
      <c r="AJ97" s="1616">
        <f>+((AF97*AF$61)+(AH97*AH$61))/AJ$61</f>
        <v>53.09027789714159</v>
      </c>
      <c r="AK97" s="1624">
        <f>+$D$97</f>
        <v>53.37822824219618</v>
      </c>
      <c r="AL97" s="2690">
        <v>53.96</v>
      </c>
      <c r="AM97" s="1618">
        <f>+$D$97</f>
        <v>53.37822824219618</v>
      </c>
      <c r="AN97" s="1626">
        <f t="shared" ref="AN97:AN99" si="536">+((AD97*AD$61)+(AH97*AH$61)+(AL97*AL$61))/AN$61</f>
        <v>53.476595763980228</v>
      </c>
      <c r="AO97" s="1620">
        <f>+$D$97</f>
        <v>53.37822824219618</v>
      </c>
      <c r="AP97" s="1616">
        <f t="shared" ref="AP97:AP104" si="537">+((AL97*AL$61)+(AJ97*AJ$61))/AP$61</f>
        <v>53.189891992111896</v>
      </c>
      <c r="AQ97" s="1624">
        <f>+$D$97</f>
        <v>53.37822824219618</v>
      </c>
      <c r="AR97" s="1625">
        <v>53.82</v>
      </c>
      <c r="AS97" s="1620">
        <f>+$D$97</f>
        <v>53.37822824219618</v>
      </c>
      <c r="AT97" s="1616">
        <f>+((AP97*AP$61)+(AR97*AR$61))/AT$61</f>
        <v>53.251677533227131</v>
      </c>
      <c r="AU97" s="1624">
        <f>+$D$97</f>
        <v>53.37822824219618</v>
      </c>
      <c r="AV97" s="1625">
        <v>53.01</v>
      </c>
      <c r="AW97" s="1620">
        <f>+$D$97</f>
        <v>53.37822824219618</v>
      </c>
      <c r="AX97" s="1616">
        <f>+((AT97*AT$61)+(AV97*AV$61))/AX$61</f>
        <v>53.229383669111009</v>
      </c>
      <c r="AY97" s="1624">
        <f>+$D$97</f>
        <v>53.37822824219618</v>
      </c>
      <c r="AZ97" s="1625">
        <v>51.75</v>
      </c>
      <c r="BA97" s="1618">
        <f>+$D$97</f>
        <v>53.37822824219618</v>
      </c>
      <c r="BB97" s="1626">
        <f t="shared" ref="BB97:BB99" si="538">+((AR97*AR$61)+(AV97*AV$61)+(AZ97*AZ$61))/BB$61</f>
        <v>52.860964406865008</v>
      </c>
      <c r="BC97" s="1621">
        <f>+$D$97</f>
        <v>53.37822824219618</v>
      </c>
      <c r="BD97" s="1621">
        <f t="shared" ref="BD97:BD104" si="539">+((AN97*AN$61)+(BB97*BB$61))/BD$61</f>
        <v>53.176251935787469</v>
      </c>
      <c r="BE97" s="1620">
        <f>+$D$97</f>
        <v>53.37822824219618</v>
      </c>
      <c r="BF97" s="1616">
        <f>+((AX97*AX$61)+(AZ97*AZ$61))/BF$61</f>
        <v>53.108213955159165</v>
      </c>
      <c r="BG97" s="26"/>
      <c r="BH97" s="26"/>
      <c r="BI97" s="26"/>
      <c r="BJ97" s="26"/>
    </row>
    <row r="98" spans="2:62" x14ac:dyDescent="0.25">
      <c r="B98" s="662" t="s">
        <v>437</v>
      </c>
      <c r="C98" s="91" t="s">
        <v>51</v>
      </c>
      <c r="D98" s="131">
        <v>10.5</v>
      </c>
      <c r="E98" s="1624">
        <f>+$D$98</f>
        <v>10.5</v>
      </c>
      <c r="F98" s="1623">
        <v>9.77</v>
      </c>
      <c r="G98" s="1624">
        <f>+$D$98</f>
        <v>10.5</v>
      </c>
      <c r="H98" s="1623">
        <v>9.9700000000000006</v>
      </c>
      <c r="I98" s="1620">
        <f>+$D$98</f>
        <v>10.5</v>
      </c>
      <c r="J98" s="1616">
        <f t="shared" ref="J98:J104" si="540">+((F98*F$61)+(H98*H$61))/J$61</f>
        <v>9.8595647499489747</v>
      </c>
      <c r="K98" s="1624">
        <f>+$D$98</f>
        <v>10.5</v>
      </c>
      <c r="L98" s="1625">
        <v>9.8644444</v>
      </c>
      <c r="M98" s="1607">
        <f>+$D$98</f>
        <v>10.5</v>
      </c>
      <c r="N98" s="1626">
        <f>+((F98*F$61)+(H98*H$61)+(L98*L$61))/N$61+0.01</f>
        <v>9.8711342093938423</v>
      </c>
      <c r="O98" s="1624">
        <f>+$D$98</f>
        <v>10.5</v>
      </c>
      <c r="P98" s="1625">
        <v>9.98</v>
      </c>
      <c r="Q98" s="1605">
        <f>+$D$98</f>
        <v>10.5</v>
      </c>
      <c r="R98" s="1616">
        <f t="shared" ref="R98:R104" si="541">+((N98*N$61)+(P98*P$61))/R$61</f>
        <v>9.900958389449757</v>
      </c>
      <c r="S98" s="1624">
        <f>+$D$98</f>
        <v>10.5</v>
      </c>
      <c r="T98" s="2689">
        <v>10.16</v>
      </c>
      <c r="U98" s="1605">
        <f>+$D$98</f>
        <v>10.5</v>
      </c>
      <c r="V98" s="1616">
        <f t="shared" ref="V98:V104" si="542">+((R98*R$61)+(T98*T$61))/V$61</f>
        <v>9.9551020033014801</v>
      </c>
      <c r="W98" s="1624">
        <f>+$D$98</f>
        <v>10.5</v>
      </c>
      <c r="X98" s="2690">
        <v>10.119999999999999</v>
      </c>
      <c r="Y98" s="1607">
        <f>+$D$98</f>
        <v>10.5</v>
      </c>
      <c r="Z98" s="1626">
        <f t="shared" si="534"/>
        <v>10.085393233658177</v>
      </c>
      <c r="AA98" s="1619">
        <f>+$D$98</f>
        <v>10.5</v>
      </c>
      <c r="AB98" s="1621">
        <f t="shared" si="535"/>
        <v>9.9836445725723841</v>
      </c>
      <c r="AC98" s="1624">
        <f>+$D$98</f>
        <v>10.5</v>
      </c>
      <c r="AD98" s="1623">
        <v>10.17</v>
      </c>
      <c r="AE98" s="1620">
        <f>+$D$98</f>
        <v>10.5</v>
      </c>
      <c r="AF98" s="1616">
        <f t="shared" ref="AF98:AF104" si="543">+((AB98*AB$61)+(AD98*AD$61))/AF$61</f>
        <v>10.012486430028488</v>
      </c>
      <c r="AG98" s="1624">
        <f>+$D$98</f>
        <v>10.5</v>
      </c>
      <c r="AH98" s="1623">
        <v>10.210000000000001</v>
      </c>
      <c r="AI98" s="1620">
        <f>+$D$98</f>
        <v>10.5</v>
      </c>
      <c r="AJ98" s="1616">
        <f t="shared" ref="AJ98:AJ104" si="544">+((AF98*AF$61)+(AH98*AH$61))/AJ$61</f>
        <v>10.037611884795451</v>
      </c>
      <c r="AK98" s="1624">
        <f>+$D$98</f>
        <v>10.5</v>
      </c>
      <c r="AL98" s="2690">
        <v>10.31</v>
      </c>
      <c r="AM98" s="1607">
        <f>+$D$98</f>
        <v>10.5</v>
      </c>
      <c r="AN98" s="1626">
        <f t="shared" si="536"/>
        <v>10.229231641414053</v>
      </c>
      <c r="AO98" s="1620">
        <f>+$D$98</f>
        <v>10.5</v>
      </c>
      <c r="AP98" s="1616">
        <f t="shared" si="537"/>
        <v>10.068810005997147</v>
      </c>
      <c r="AQ98" s="1624">
        <f>+$D$98</f>
        <v>10.5</v>
      </c>
      <c r="AR98" s="1623">
        <v>10.31</v>
      </c>
      <c r="AS98" s="1620">
        <f>+$D$98</f>
        <v>10.5</v>
      </c>
      <c r="AT98" s="1616">
        <f t="shared" ref="AT98:AT104" si="545">+((AP98*AP$61)+(AR98*AR$61))/AT$61</f>
        <v>10.092460005845576</v>
      </c>
      <c r="AU98" s="1624">
        <f>+$D$98</f>
        <v>10.5</v>
      </c>
      <c r="AV98" s="1623">
        <v>10.27</v>
      </c>
      <c r="AW98" s="1620">
        <f>+$D$98</f>
        <v>10.5</v>
      </c>
      <c r="AX98" s="1616">
        <f t="shared" ref="AX98:AX103" si="546">+((AT98*AT$61)+(AV98*AV$61))/AX$61</f>
        <v>10.108837417729934</v>
      </c>
      <c r="AY98" s="1624">
        <f>+$D$98</f>
        <v>10.5</v>
      </c>
      <c r="AZ98" s="1623">
        <v>10.29</v>
      </c>
      <c r="BA98" s="1607">
        <f>+$D$98</f>
        <v>10.5</v>
      </c>
      <c r="BB98" s="1626">
        <f t="shared" si="538"/>
        <v>10.289760704263394</v>
      </c>
      <c r="BC98" s="1619">
        <f>+$D$98</f>
        <v>10.5</v>
      </c>
      <c r="BD98" s="1621">
        <f t="shared" si="539"/>
        <v>10.25876153823133</v>
      </c>
      <c r="BE98" s="1620">
        <f>+$D$98</f>
        <v>10.5</v>
      </c>
      <c r="BF98" s="1616">
        <f t="shared" ref="BF98:BF103" si="547">+((AX98*AX$61)+(AZ98*AZ$61))/BF$61</f>
        <v>10.123675636327841</v>
      </c>
      <c r="BG98" s="26"/>
      <c r="BH98" s="26"/>
      <c r="BI98" s="26"/>
      <c r="BJ98" s="26"/>
    </row>
    <row r="99" spans="2:62" x14ac:dyDescent="0.25">
      <c r="B99" s="662" t="s">
        <v>438</v>
      </c>
      <c r="C99" s="91" t="s">
        <v>51</v>
      </c>
      <c r="D99" s="131">
        <v>5.9162847311280826</v>
      </c>
      <c r="E99" s="1624">
        <f>+$D$99</f>
        <v>5.9162847311280826</v>
      </c>
      <c r="F99" s="1623">
        <v>6.19</v>
      </c>
      <c r="G99" s="1624">
        <f>+$D$99</f>
        <v>5.9162847311280826</v>
      </c>
      <c r="H99" s="1623">
        <v>6.36</v>
      </c>
      <c r="I99" s="1620">
        <f>+$D$99</f>
        <v>5.9162847311280826</v>
      </c>
      <c r="J99" s="1616">
        <f t="shared" si="540"/>
        <v>6.2661300374566293</v>
      </c>
      <c r="K99" s="1624">
        <f>+$D$99</f>
        <v>5.9162847311280826</v>
      </c>
      <c r="L99" s="1625">
        <v>5.1260000000000003</v>
      </c>
      <c r="M99" s="1626">
        <f>+$D$99</f>
        <v>5.9162847311280826</v>
      </c>
      <c r="N99" s="1626">
        <f>+((F99*F$61)+(H99*H$61)+(L99*L$61))/N$61-0.01</f>
        <v>5.8894259015140289</v>
      </c>
      <c r="O99" s="1624">
        <f>+$D$99</f>
        <v>5.9162847311280826</v>
      </c>
      <c r="P99" s="1625">
        <v>6.24</v>
      </c>
      <c r="Q99" s="1616">
        <f>+$D$99</f>
        <v>5.9162847311280826</v>
      </c>
      <c r="R99" s="1616">
        <f t="shared" si="541"/>
        <v>5.9854669533262594</v>
      </c>
      <c r="S99" s="1624">
        <f>+$D$99</f>
        <v>5.9162847311280826</v>
      </c>
      <c r="T99" s="2689">
        <v>6.63</v>
      </c>
      <c r="U99" s="1616">
        <f>+$D$99</f>
        <v>5.9162847311280826</v>
      </c>
      <c r="V99" s="1616">
        <f t="shared" si="542"/>
        <v>6.1201841067582903</v>
      </c>
      <c r="W99" s="1624">
        <f>+$D$99</f>
        <v>5.9162847311280826</v>
      </c>
      <c r="X99" s="2690">
        <v>6.63</v>
      </c>
      <c r="Y99" s="1626">
        <f>+$D$99</f>
        <v>5.9162847311280826</v>
      </c>
      <c r="Z99" s="1626">
        <f t="shared" si="534"/>
        <v>6.4969197784291106</v>
      </c>
      <c r="AA99" s="1627">
        <f>+$D$99</f>
        <v>5.9162847311280826</v>
      </c>
      <c r="AB99" s="1627">
        <f t="shared" si="535"/>
        <v>6.2084292991778458</v>
      </c>
      <c r="AC99" s="1624">
        <f>+$D$99</f>
        <v>5.9162847311280826</v>
      </c>
      <c r="AD99" s="1623">
        <v>6.46</v>
      </c>
      <c r="AE99" s="1620">
        <f>+$D$99</f>
        <v>5.9162847311280826</v>
      </c>
      <c r="AF99" s="1616">
        <f t="shared" si="543"/>
        <v>6.2473643942990362</v>
      </c>
      <c r="AG99" s="1624">
        <f>+$D$99</f>
        <v>5.9162847311280826</v>
      </c>
      <c r="AH99" s="1623">
        <v>6.38</v>
      </c>
      <c r="AI99" s="1620">
        <f>+$D$99</f>
        <v>5.9162847311280826</v>
      </c>
      <c r="AJ99" s="1616">
        <f t="shared" si="544"/>
        <v>6.2642368041897036</v>
      </c>
      <c r="AK99" s="1624">
        <f>+$D$99</f>
        <v>5.9162847311280826</v>
      </c>
      <c r="AL99" s="2690">
        <v>6.1</v>
      </c>
      <c r="AM99" s="1626">
        <f>+$D$99</f>
        <v>5.9162847311280826</v>
      </c>
      <c r="AN99" s="1626">
        <f t="shared" si="536"/>
        <v>6.3151143083412116</v>
      </c>
      <c r="AO99" s="1620">
        <f>+$D$99</f>
        <v>5.9162847311280826</v>
      </c>
      <c r="AP99" s="1616">
        <f t="shared" si="537"/>
        <v>6.2454258523277195</v>
      </c>
      <c r="AQ99" s="1624">
        <f>+$D$99</f>
        <v>5.9162847311280826</v>
      </c>
      <c r="AR99" s="1623">
        <v>6.04</v>
      </c>
      <c r="AS99" s="1620">
        <f>+$D$99</f>
        <v>5.9162847311280826</v>
      </c>
      <c r="AT99" s="1616">
        <f t="shared" si="545"/>
        <v>6.2252827224416754</v>
      </c>
      <c r="AU99" s="1624">
        <f>+$D$99</f>
        <v>5.9162847311280826</v>
      </c>
      <c r="AV99" s="1623">
        <v>6.26</v>
      </c>
      <c r="AW99" s="1620">
        <f>+$D$99</f>
        <v>5.9162847311280826</v>
      </c>
      <c r="AX99" s="1616">
        <f t="shared" si="546"/>
        <v>6.2284852636875758</v>
      </c>
      <c r="AY99" s="1624">
        <f>+$D$99</f>
        <v>5.9162847311280826</v>
      </c>
      <c r="AZ99" s="1623">
        <v>6.94</v>
      </c>
      <c r="BA99" s="1626">
        <f>+$D$99</f>
        <v>5.9162847311280826</v>
      </c>
      <c r="BB99" s="1626">
        <f t="shared" si="538"/>
        <v>6.4118926941370891</v>
      </c>
      <c r="BC99" s="1627">
        <f>+$D$99</f>
        <v>5.9162847311280826</v>
      </c>
      <c r="BD99" s="1627">
        <f t="shared" si="539"/>
        <v>6.3623289125687377</v>
      </c>
      <c r="BE99" s="1620">
        <f>+$D$99</f>
        <v>5.9162847311280826</v>
      </c>
      <c r="BF99" s="1616">
        <f t="shared" si="547"/>
        <v>6.2867622602988105</v>
      </c>
      <c r="BG99" s="26"/>
      <c r="BH99" s="26"/>
      <c r="BI99" s="26"/>
      <c r="BJ99" s="26"/>
    </row>
    <row r="100" spans="2:62" x14ac:dyDescent="0.25">
      <c r="B100" s="662" t="s">
        <v>439</v>
      </c>
      <c r="C100" s="91" t="s">
        <v>51</v>
      </c>
      <c r="D100" s="131">
        <v>3.1141975851535659</v>
      </c>
      <c r="E100" s="1624">
        <f>+$D$100</f>
        <v>3.1141975851535659</v>
      </c>
      <c r="F100" s="1623">
        <v>3.12</v>
      </c>
      <c r="G100" s="1624">
        <f>+$D$100</f>
        <v>3.1141975851535659</v>
      </c>
      <c r="H100" s="1623">
        <v>3.15</v>
      </c>
      <c r="I100" s="1620">
        <f>+$D$100</f>
        <v>3.1141975851535659</v>
      </c>
      <c r="J100" s="1616">
        <f t="shared" si="540"/>
        <v>3.1334347124923463</v>
      </c>
      <c r="K100" s="1624">
        <f>+$D$100</f>
        <v>3.1141975851535659</v>
      </c>
      <c r="L100" s="1623">
        <v>2.67</v>
      </c>
      <c r="M100" s="1626">
        <f>+$D$100</f>
        <v>3.1141975851535659</v>
      </c>
      <c r="N100" s="1626">
        <f t="shared" ref="N100:N103" si="548">+((F100*F$61)+(H100*H$61)+(L100*L$61))/N$61</f>
        <v>2.9843785344888105</v>
      </c>
      <c r="O100" s="1624">
        <f>+$D$100</f>
        <v>3.1141975851535659</v>
      </c>
      <c r="P100" s="1623">
        <v>2.65</v>
      </c>
      <c r="Q100" s="1616">
        <f>+$D$100</f>
        <v>3.1141975851535659</v>
      </c>
      <c r="R100" s="1616">
        <f t="shared" si="541"/>
        <v>2.8927743164520847</v>
      </c>
      <c r="S100" s="1624">
        <f>+$D$100</f>
        <v>3.1141975851535659</v>
      </c>
      <c r="T100" s="2689">
        <v>2.58</v>
      </c>
      <c r="U100" s="1616">
        <f>+$D$100</f>
        <v>3.1141975851535659</v>
      </c>
      <c r="V100" s="1616">
        <f t="shared" si="542"/>
        <v>2.8273997545168563</v>
      </c>
      <c r="W100" s="1624">
        <f>+$D$100</f>
        <v>3.1141975851535659</v>
      </c>
      <c r="X100" s="2690">
        <v>2.42</v>
      </c>
      <c r="Y100" s="1626">
        <f>+$D$100</f>
        <v>3.1141975851535659</v>
      </c>
      <c r="Z100" s="1626">
        <f>+((P100*P$61)+(T100*T$61)+(X100*X$61))/Z$61</f>
        <v>2.5511456911480983</v>
      </c>
      <c r="AA100" s="1627">
        <f>+$D$100</f>
        <v>3.1141975851535659</v>
      </c>
      <c r="AB100" s="1627">
        <f t="shared" si="535"/>
        <v>2.7568820044710076</v>
      </c>
      <c r="AC100" s="1624">
        <f>+$D$100</f>
        <v>3.1141975851535659</v>
      </c>
      <c r="AD100" s="1623">
        <v>2.27</v>
      </c>
      <c r="AE100" s="1620">
        <f>+$D$100</f>
        <v>3.1141975851535659</v>
      </c>
      <c r="AF100" s="1616">
        <f t="shared" si="543"/>
        <v>2.6815282486682759</v>
      </c>
      <c r="AG100" s="1624">
        <f>+$D$100</f>
        <v>3.1141975851535659</v>
      </c>
      <c r="AH100" s="1623">
        <v>2.41</v>
      </c>
      <c r="AI100" s="1620">
        <f>+$D$100</f>
        <v>3.1141975851535659</v>
      </c>
      <c r="AJ100" s="1616">
        <f t="shared" si="544"/>
        <v>2.6469874789841907</v>
      </c>
      <c r="AK100" s="1624">
        <f>+$D$100</f>
        <v>3.1141975851535659</v>
      </c>
      <c r="AL100" s="2690">
        <v>2.21</v>
      </c>
      <c r="AM100" s="1626">
        <f>+$D$100</f>
        <v>3.1141975851535659</v>
      </c>
      <c r="AN100" s="1626">
        <f>+((AD100*AD$61)+(AH100*AH$61)+(AL100*AL$61))/AN$61</f>
        <v>2.2956566842382524</v>
      </c>
      <c r="AO100" s="1620">
        <f>+$D$100</f>
        <v>3.1141975851535659</v>
      </c>
      <c r="AP100" s="1616">
        <f t="shared" si="537"/>
        <v>2.5969368799603174</v>
      </c>
      <c r="AQ100" s="1624">
        <f>+$D$100</f>
        <v>3.1141975851535659</v>
      </c>
      <c r="AR100" s="1623">
        <v>2.4</v>
      </c>
      <c r="AS100" s="1620">
        <f>+$D$100</f>
        <v>3.1141975851535659</v>
      </c>
      <c r="AT100" s="1616">
        <f t="shared" si="545"/>
        <v>2.5776261403068461</v>
      </c>
      <c r="AU100" s="1624">
        <f>+$D$100</f>
        <v>3.1141975851535659</v>
      </c>
      <c r="AV100" s="1623">
        <v>2.79</v>
      </c>
      <c r="AW100" s="1620">
        <f>+$D$100</f>
        <v>3.1141975851535659</v>
      </c>
      <c r="AX100" s="1616">
        <f t="shared" si="546"/>
        <v>2.5972168482497597</v>
      </c>
      <c r="AY100" s="1624">
        <f>+$D$100</f>
        <v>3.1141975851535659</v>
      </c>
      <c r="AZ100" s="1623">
        <v>3.05</v>
      </c>
      <c r="BA100" s="1626">
        <f>+$D$100</f>
        <v>3.1141975851535659</v>
      </c>
      <c r="BB100" s="1626">
        <f>+((AR100*AR$61)+(AV100*AV$61)+(AZ100*AZ$61))/BB$61</f>
        <v>2.7474120426110482</v>
      </c>
      <c r="BC100" s="1627">
        <f>+$D$100</f>
        <v>3.1141975851535659</v>
      </c>
      <c r="BD100" s="1627">
        <f t="shared" si="539"/>
        <v>2.5160514581108324</v>
      </c>
      <c r="BE100" s="1620">
        <f>+$D$100</f>
        <v>3.1141975851535659</v>
      </c>
      <c r="BF100" s="1616">
        <f t="shared" si="547"/>
        <v>2.6343022954703308</v>
      </c>
      <c r="BG100" s="26"/>
      <c r="BH100" s="26"/>
      <c r="BI100" s="26"/>
      <c r="BJ100" s="26"/>
    </row>
    <row r="101" spans="2:62" x14ac:dyDescent="0.25">
      <c r="B101" s="662" t="s">
        <v>440</v>
      </c>
      <c r="C101" s="91" t="s">
        <v>51</v>
      </c>
      <c r="D101" s="131">
        <v>11.052122592612864</v>
      </c>
      <c r="E101" s="1624">
        <f>+$D$101</f>
        <v>11.052122592612864</v>
      </c>
      <c r="F101" s="1623">
        <v>11.6</v>
      </c>
      <c r="G101" s="1624">
        <f>+$D$101</f>
        <v>11.052122592612864</v>
      </c>
      <c r="H101" s="1623">
        <v>11.74</v>
      </c>
      <c r="I101" s="1620">
        <f>+$D$101</f>
        <v>11.052122592612864</v>
      </c>
      <c r="J101" s="1616">
        <f t="shared" si="540"/>
        <v>11.662695324964282</v>
      </c>
      <c r="K101" s="1624">
        <f>+$D$101</f>
        <v>11.052122592612864</v>
      </c>
      <c r="L101" s="1623">
        <v>9.57</v>
      </c>
      <c r="M101" s="1626">
        <f>+$D$101</f>
        <v>11.052122592612864</v>
      </c>
      <c r="N101" s="1626">
        <f>+((F101*F$61)+(H101*H$61)+(L101*L$61))/N$61-0.02</f>
        <v>10.969614180076599</v>
      </c>
      <c r="O101" s="1624">
        <f>+$D$101</f>
        <v>11.052122592612864</v>
      </c>
      <c r="P101" s="1623">
        <v>11.58</v>
      </c>
      <c r="Q101" s="1616">
        <f>+$D$101</f>
        <v>11.052122592612864</v>
      </c>
      <c r="R101" s="1616">
        <f t="shared" si="541"/>
        <v>11.136831599760157</v>
      </c>
      <c r="S101" s="1624">
        <f>+$D$101</f>
        <v>11.052122592612864</v>
      </c>
      <c r="T101" s="2690">
        <v>11.97</v>
      </c>
      <c r="U101" s="1616">
        <f>+$D$101</f>
        <v>11.052122592612864</v>
      </c>
      <c r="V101" s="1616">
        <f t="shared" si="542"/>
        <v>11.310976394645511</v>
      </c>
      <c r="W101" s="1624">
        <f>+$D$101</f>
        <v>11.052122592612864</v>
      </c>
      <c r="X101" s="2690">
        <v>11.63</v>
      </c>
      <c r="Y101" s="1626">
        <f>+$D$101</f>
        <v>11.052122592612864</v>
      </c>
      <c r="Z101" s="1626">
        <f t="shared" si="534"/>
        <v>11.724846210686332</v>
      </c>
      <c r="AA101" s="1627">
        <f>+$D$101</f>
        <v>11.052122592612864</v>
      </c>
      <c r="AB101" s="1627">
        <f>+((N101*N$61)+(Z101*Z$61))/AB$61</f>
        <v>11.36619691604173</v>
      </c>
      <c r="AC101" s="1624">
        <f>+$D$101</f>
        <v>11.052122592612864</v>
      </c>
      <c r="AD101" s="1623">
        <v>11.29</v>
      </c>
      <c r="AE101" s="1620">
        <f>+$D$101</f>
        <v>11.052122592612864</v>
      </c>
      <c r="AF101" s="1616">
        <f t="shared" si="543"/>
        <v>11.354404071468293</v>
      </c>
      <c r="AG101" s="1624">
        <f>+$D$101</f>
        <v>11.052122592612864</v>
      </c>
      <c r="AH101" s="1623">
        <v>11.03</v>
      </c>
      <c r="AI101" s="1620">
        <f>+$D$101</f>
        <v>11.052122592612864</v>
      </c>
      <c r="AJ101" s="1616">
        <f t="shared" si="544"/>
        <v>11.313137034347395</v>
      </c>
      <c r="AK101" s="1624">
        <f>+$D$101</f>
        <v>11.052122592612864</v>
      </c>
      <c r="AL101" s="2690">
        <v>10.64</v>
      </c>
      <c r="AM101" s="1626">
        <f>+$D$101</f>
        <v>11.052122592612864</v>
      </c>
      <c r="AN101" s="1626">
        <f t="shared" ref="AN101:AN104" si="549">+((AD101*AD$61)+(AH101*AH$61)+(AL101*AL$61))/AN$61</f>
        <v>10.990867159508367</v>
      </c>
      <c r="AO101" s="1620">
        <f>+$D$101</f>
        <v>11.052122592612864</v>
      </c>
      <c r="AP101" s="1616">
        <f t="shared" si="537"/>
        <v>11.236038917319974</v>
      </c>
      <c r="AQ101" s="1624">
        <f>+$D$101</f>
        <v>11.052122592612864</v>
      </c>
      <c r="AR101" s="1623">
        <v>10.63</v>
      </c>
      <c r="AS101" s="1620">
        <f>+$D$101</f>
        <v>11.052122592612864</v>
      </c>
      <c r="AT101" s="1616">
        <f t="shared" si="545"/>
        <v>11.176613482355249</v>
      </c>
      <c r="AU101" s="1624">
        <f>+$D$101</f>
        <v>11.052122592612864</v>
      </c>
      <c r="AV101" s="1623">
        <v>11.07</v>
      </c>
      <c r="AW101" s="1620">
        <f>+$D$101</f>
        <v>11.052122592612864</v>
      </c>
      <c r="AX101" s="1616">
        <f t="shared" si="546"/>
        <v>11.16677878048273</v>
      </c>
      <c r="AY101" s="1624">
        <f>+$D$101</f>
        <v>11.052122592612864</v>
      </c>
      <c r="AZ101" s="1623">
        <v>12.13</v>
      </c>
      <c r="BA101" s="1626">
        <f>+$D$101</f>
        <v>11.052122592612864</v>
      </c>
      <c r="BB101" s="1626">
        <f t="shared" ref="BB101:BB104" si="550">+((AR101*AR$61)+(AV101*AV$61)+(AZ101*AZ$61))/BB$61</f>
        <v>11.27483226134288</v>
      </c>
      <c r="BC101" s="1627">
        <f>+$D$101</f>
        <v>11.052122592612864</v>
      </c>
      <c r="BD101" s="1627">
        <f t="shared" si="539"/>
        <v>11.129403257081062</v>
      </c>
      <c r="BE101" s="1620">
        <f>+$D$101</f>
        <v>11.052122592612864</v>
      </c>
      <c r="BF101" s="1616">
        <f t="shared" si="547"/>
        <v>11.245671931784981</v>
      </c>
      <c r="BG101" s="26"/>
      <c r="BH101" s="26"/>
      <c r="BI101" s="26"/>
      <c r="BJ101" s="26"/>
    </row>
    <row r="102" spans="2:62" x14ac:dyDescent="0.25">
      <c r="B102" s="662" t="s">
        <v>441</v>
      </c>
      <c r="C102" s="91" t="s">
        <v>51</v>
      </c>
      <c r="D102" s="131">
        <v>2.5606602570689154</v>
      </c>
      <c r="E102" s="1624">
        <f>+$D$102</f>
        <v>2.5606602570689154</v>
      </c>
      <c r="F102" s="1625">
        <v>2.69</v>
      </c>
      <c r="G102" s="1624">
        <f>+$D$102</f>
        <v>2.5606602570689154</v>
      </c>
      <c r="H102" s="1625">
        <v>2.67</v>
      </c>
      <c r="I102" s="1620">
        <f>+$D$102</f>
        <v>2.5606602570689154</v>
      </c>
      <c r="J102" s="1616">
        <f t="shared" si="540"/>
        <v>2.6810435250051023</v>
      </c>
      <c r="K102" s="1624">
        <f>+$D$102</f>
        <v>2.5606602570689154</v>
      </c>
      <c r="L102" s="1625">
        <v>2.42</v>
      </c>
      <c r="M102" s="1626">
        <f>+$D$102</f>
        <v>2.5606602570689154</v>
      </c>
      <c r="N102" s="1626">
        <f>+((F102*F$61)+(H102*H$61)+(L102*L$61))/N$61-0.01</f>
        <v>2.5870831545775772</v>
      </c>
      <c r="O102" s="1624">
        <f>+$D$102</f>
        <v>2.5606602570689154</v>
      </c>
      <c r="P102" s="1625">
        <v>2.68</v>
      </c>
      <c r="Q102" s="1616">
        <f>+$D$102</f>
        <v>2.5606602570689154</v>
      </c>
      <c r="R102" s="1616">
        <f t="shared" si="541"/>
        <v>2.6125380629806316</v>
      </c>
      <c r="S102" s="1624">
        <f>+$D$102</f>
        <v>2.5606602570689154</v>
      </c>
      <c r="T102" s="2689">
        <v>2.75</v>
      </c>
      <c r="U102" s="1616">
        <f>+$D$102</f>
        <v>2.5606602570689154</v>
      </c>
      <c r="V102" s="1616">
        <f t="shared" si="542"/>
        <v>2.6412696865274325</v>
      </c>
      <c r="W102" s="1624">
        <f>+$D$102</f>
        <v>2.5606602570689154</v>
      </c>
      <c r="X102" s="2690">
        <v>2.73</v>
      </c>
      <c r="Y102" s="1626">
        <f>+$D$102</f>
        <v>2.5606602570689154</v>
      </c>
      <c r="Z102" s="1626">
        <f t="shared" si="534"/>
        <v>2.7195212435763136</v>
      </c>
      <c r="AA102" s="1627">
        <f>+$D$102</f>
        <v>2.5606602570689154</v>
      </c>
      <c r="AB102" s="1627">
        <f t="shared" si="535"/>
        <v>2.6566282182829775</v>
      </c>
      <c r="AC102" s="1624">
        <f>+$D$102</f>
        <v>2.5606602570689154</v>
      </c>
      <c r="AD102" s="1625">
        <v>2.4900000000000002</v>
      </c>
      <c r="AE102" s="1620">
        <f>+$D$102</f>
        <v>2.5606602570689154</v>
      </c>
      <c r="AF102" s="1616">
        <f t="shared" si="543"/>
        <v>2.6308395016020607</v>
      </c>
      <c r="AG102" s="1624">
        <f>+$D$102</f>
        <v>2.5606602570689154</v>
      </c>
      <c r="AH102" s="1625">
        <v>2.4500000000000002</v>
      </c>
      <c r="AI102" s="1620">
        <f>+$D$102</f>
        <v>2.5606602570689154</v>
      </c>
      <c r="AJ102" s="1616">
        <f t="shared" si="544"/>
        <v>2.6078351342654869</v>
      </c>
      <c r="AK102" s="1624">
        <f>+$D$102</f>
        <v>2.5606602570689154</v>
      </c>
      <c r="AL102" s="2690">
        <v>2.4500000000000002</v>
      </c>
      <c r="AM102" s="1626">
        <f>+$D$102</f>
        <v>2.5606602570689154</v>
      </c>
      <c r="AN102" s="1626">
        <f t="shared" si="549"/>
        <v>2.4637963696242986</v>
      </c>
      <c r="AO102" s="1620">
        <f>+$D$102</f>
        <v>2.5606602570689154</v>
      </c>
      <c r="AP102" s="1616">
        <f t="shared" si="537"/>
        <v>2.5897574011566009</v>
      </c>
      <c r="AQ102" s="1624">
        <f>+$D$102</f>
        <v>2.5606602570689154</v>
      </c>
      <c r="AR102" s="1625">
        <v>2.5299999999999998</v>
      </c>
      <c r="AS102" s="1620">
        <f>+$D$102</f>
        <v>2.5606602570689154</v>
      </c>
      <c r="AT102" s="1616">
        <f t="shared" si="545"/>
        <v>2.5838978606970602</v>
      </c>
      <c r="AU102" s="1624">
        <f>+$D$102</f>
        <v>2.5606602570689154</v>
      </c>
      <c r="AV102" s="1625">
        <v>2.67</v>
      </c>
      <c r="AW102" s="1620">
        <f>+$D$102</f>
        <v>2.5606602570689154</v>
      </c>
      <c r="AX102" s="1616">
        <f t="shared" si="546"/>
        <v>2.5918404665656971</v>
      </c>
      <c r="AY102" s="1624">
        <f>+$D$102</f>
        <v>2.5606602570689154</v>
      </c>
      <c r="AZ102" s="1625">
        <v>2.88</v>
      </c>
      <c r="BA102" s="1626">
        <f>+$D$102</f>
        <v>2.5606602570689154</v>
      </c>
      <c r="BB102" s="1626">
        <f t="shared" si="550"/>
        <v>2.6931937868806677</v>
      </c>
      <c r="BC102" s="1627">
        <f>+$D$102</f>
        <v>2.5606602570689154</v>
      </c>
      <c r="BD102" s="1627">
        <f t="shared" si="539"/>
        <v>2.5757109069200577</v>
      </c>
      <c r="BE102" s="1620">
        <f>+$D$102</f>
        <v>2.5606602570689154</v>
      </c>
      <c r="BF102" s="1616">
        <f t="shared" si="547"/>
        <v>2.6154423279136148</v>
      </c>
      <c r="BG102" s="26"/>
      <c r="BH102" s="26"/>
      <c r="BI102" s="26"/>
      <c r="BJ102" s="26"/>
    </row>
    <row r="103" spans="2:62" x14ac:dyDescent="0.25">
      <c r="B103" s="662" t="s">
        <v>442</v>
      </c>
      <c r="C103" s="91" t="s">
        <v>51</v>
      </c>
      <c r="D103" s="131">
        <v>1.8680849713778922</v>
      </c>
      <c r="E103" s="1624">
        <f>+$D$103</f>
        <v>1.8680849713778922</v>
      </c>
      <c r="F103" s="1623">
        <v>1.87</v>
      </c>
      <c r="G103" s="1624">
        <f>+$D$103</f>
        <v>1.8680849713778922</v>
      </c>
      <c r="H103" s="1623">
        <v>1.85</v>
      </c>
      <c r="I103" s="1620">
        <f>+$D$103</f>
        <v>1.8680849713778922</v>
      </c>
      <c r="J103" s="1616">
        <f t="shared" si="540"/>
        <v>1.8610435250051027</v>
      </c>
      <c r="K103" s="1624">
        <f>+$D$103</f>
        <v>1.8680849713778922</v>
      </c>
      <c r="L103" s="1623">
        <v>1.87</v>
      </c>
      <c r="M103" s="1626">
        <f>+$D$103</f>
        <v>1.8680849713778922</v>
      </c>
      <c r="N103" s="1626">
        <f t="shared" si="548"/>
        <v>1.8639242283601534</v>
      </c>
      <c r="O103" s="1624">
        <f>+$D$103</f>
        <v>1.8680849713778922</v>
      </c>
      <c r="P103" s="1623">
        <v>1.86</v>
      </c>
      <c r="Q103" s="1616">
        <f>+$D$103</f>
        <v>1.8680849713778922</v>
      </c>
      <c r="R103" s="1616">
        <f t="shared" si="541"/>
        <v>1.8628491717005538</v>
      </c>
      <c r="S103" s="1624">
        <f>+$D$103</f>
        <v>1.8680849713778922</v>
      </c>
      <c r="T103" s="2689">
        <v>1.81</v>
      </c>
      <c r="U103" s="1616">
        <f>+$D$103</f>
        <v>1.8680849713778922</v>
      </c>
      <c r="V103" s="1616">
        <f t="shared" si="542"/>
        <v>1.8518028956259878</v>
      </c>
      <c r="W103" s="1624">
        <f>+$D$103</f>
        <v>1.8680849713778922</v>
      </c>
      <c r="X103" s="2690">
        <v>1.75</v>
      </c>
      <c r="Y103" s="1626">
        <f>+$D$103</f>
        <v>1.8680849713778922</v>
      </c>
      <c r="Z103" s="1626">
        <f t="shared" si="534"/>
        <v>1.8072838784428666</v>
      </c>
      <c r="AA103" s="1627">
        <f>+$D$103</f>
        <v>1.8680849713778922</v>
      </c>
      <c r="AB103" s="1627">
        <f t="shared" si="535"/>
        <v>1.8341816008949425</v>
      </c>
      <c r="AC103" s="1624">
        <f>+$D$103</f>
        <v>1.8680849713778922</v>
      </c>
      <c r="AD103" s="1623">
        <v>1.75</v>
      </c>
      <c r="AE103" s="1620">
        <f>+$D$103</f>
        <v>1.8680849713778922</v>
      </c>
      <c r="AF103" s="1616">
        <f t="shared" si="543"/>
        <v>1.8211529825876946</v>
      </c>
      <c r="AG103" s="1624">
        <f>+$D$103</f>
        <v>1.8680849713778922</v>
      </c>
      <c r="AH103" s="1623">
        <v>1.74</v>
      </c>
      <c r="AI103" s="1620">
        <f>+$D$103</f>
        <v>1.8680849713778922</v>
      </c>
      <c r="AJ103" s="1616">
        <f t="shared" si="544"/>
        <v>1.8108296129402046</v>
      </c>
      <c r="AK103" s="1624">
        <f>+$D$103</f>
        <v>1.8680849713778922</v>
      </c>
      <c r="AL103" s="2690">
        <v>1.74</v>
      </c>
      <c r="AM103" s="1626">
        <f>+$D$103</f>
        <v>1.8680849713778922</v>
      </c>
      <c r="AN103" s="1626">
        <f t="shared" si="549"/>
        <v>1.7434490924060748</v>
      </c>
      <c r="AO103" s="1620">
        <f>+$D$103</f>
        <v>1.8680849713778922</v>
      </c>
      <c r="AP103" s="1616">
        <f t="shared" si="537"/>
        <v>1.8027171046264032</v>
      </c>
      <c r="AQ103" s="1624">
        <f>+$D$103</f>
        <v>1.8680849713778922</v>
      </c>
      <c r="AR103" s="1623">
        <v>1.76</v>
      </c>
      <c r="AS103" s="1620">
        <f>+$D$103</f>
        <v>1.8680849713778922</v>
      </c>
      <c r="AT103" s="1616">
        <f t="shared" si="545"/>
        <v>1.7985284585670325</v>
      </c>
      <c r="AU103" s="1624">
        <f>+$D$103</f>
        <v>1.8680849713778922</v>
      </c>
      <c r="AV103" s="1623">
        <v>1.77</v>
      </c>
      <c r="AW103" s="1620">
        <f>+$D$103</f>
        <v>1.8680849713778922</v>
      </c>
      <c r="AX103" s="1616">
        <f t="shared" si="546"/>
        <v>1.7958968131250947</v>
      </c>
      <c r="AY103" s="1624">
        <f>+$D$103</f>
        <v>1.8680849713778922</v>
      </c>
      <c r="AZ103" s="1623">
        <v>1.75</v>
      </c>
      <c r="BA103" s="1626">
        <f>+$D$103</f>
        <v>1.8680849713778922</v>
      </c>
      <c r="BB103" s="1626">
        <f t="shared" si="550"/>
        <v>1.7601121675875866</v>
      </c>
      <c r="BC103" s="1627">
        <f>+$D$103</f>
        <v>1.8680849713778922</v>
      </c>
      <c r="BD103" s="1627">
        <f t="shared" si="539"/>
        <v>1.7515783920780901</v>
      </c>
      <c r="BE103" s="1620">
        <f>+$D$103</f>
        <v>1.8680849713778922</v>
      </c>
      <c r="BF103" s="1616">
        <f t="shared" si="547"/>
        <v>1.79213760999626</v>
      </c>
      <c r="BG103" s="26"/>
      <c r="BH103" s="26"/>
      <c r="BI103" s="26"/>
      <c r="BJ103" s="26"/>
    </row>
    <row r="104" spans="2:62" x14ac:dyDescent="0.25">
      <c r="B104" s="662" t="s">
        <v>1474</v>
      </c>
      <c r="C104" s="91" t="s">
        <v>51</v>
      </c>
      <c r="D104" s="131">
        <v>5.1358378614847817</v>
      </c>
      <c r="E104" s="1624">
        <f>+$D$104</f>
        <v>5.1358378614847817</v>
      </c>
      <c r="F104" s="1623">
        <v>5.41</v>
      </c>
      <c r="G104" s="1624">
        <f>+$D$104</f>
        <v>5.1358378614847817</v>
      </c>
      <c r="H104" s="1623">
        <v>5.37</v>
      </c>
      <c r="I104" s="1620">
        <f>+$D$104</f>
        <v>5.1358378614847817</v>
      </c>
      <c r="J104" s="1616">
        <f t="shared" si="540"/>
        <v>5.3920870500102058</v>
      </c>
      <c r="K104" s="1624">
        <f>+$D$104</f>
        <v>5.1358378614847817</v>
      </c>
      <c r="L104" s="1623">
        <v>4.45</v>
      </c>
      <c r="M104" s="1626">
        <f>+$D$104</f>
        <v>5.1358378614847817</v>
      </c>
      <c r="N104" s="1626">
        <f>+((F104*F$61)+(H104*H$61)+(L104*L$61))/N$61-0.01</f>
        <v>5.0790801943822599</v>
      </c>
      <c r="O104" s="1624">
        <f>+$D$104</f>
        <v>5.1358378614847817</v>
      </c>
      <c r="P104" s="1623">
        <v>5.33</v>
      </c>
      <c r="Q104" s="1616">
        <f>+$D$104</f>
        <v>5.1358378614847817</v>
      </c>
      <c r="R104" s="1616">
        <f t="shared" si="541"/>
        <v>5.1478205895116291</v>
      </c>
      <c r="S104" s="1624">
        <f>+$D$104</f>
        <v>5.1358378614847817</v>
      </c>
      <c r="T104" s="2689">
        <v>5.34</v>
      </c>
      <c r="U104" s="1616">
        <f>+$D$104</f>
        <v>5.1358378614847817</v>
      </c>
      <c r="V104" s="1616">
        <f t="shared" si="542"/>
        <v>5.1879889924552014</v>
      </c>
      <c r="W104" s="1624">
        <f>+$D$104</f>
        <v>5.1358378614847817</v>
      </c>
      <c r="X104" s="2690">
        <v>4.99</v>
      </c>
      <c r="Y104" s="1626">
        <f>+$D$104</f>
        <v>5.1358378614847817</v>
      </c>
      <c r="Z104" s="1626">
        <f t="shared" si="534"/>
        <v>5.2212178374794114</v>
      </c>
      <c r="AA104" s="1627">
        <f>+$D$104</f>
        <v>5.1358378614847817</v>
      </c>
      <c r="AB104" s="1627">
        <f t="shared" si="535"/>
        <v>5.1537186274709548</v>
      </c>
      <c r="AC104" s="1624">
        <f>+$D$104</f>
        <v>5.1358378614847817</v>
      </c>
      <c r="AD104" s="1623">
        <v>4.83</v>
      </c>
      <c r="AE104" s="1620">
        <f>+$D$104</f>
        <v>5.1358378614847817</v>
      </c>
      <c r="AF104" s="1616">
        <f t="shared" si="543"/>
        <v>5.1036173417811188</v>
      </c>
      <c r="AG104" s="1624">
        <f>+$D$104</f>
        <v>5.1358378614847817</v>
      </c>
      <c r="AH104" s="1623">
        <v>4.6500000000000004</v>
      </c>
      <c r="AI104" s="1620">
        <f>+$D$104</f>
        <v>5.1358378614847817</v>
      </c>
      <c r="AJ104" s="1616">
        <f t="shared" si="544"/>
        <v>5.0459132457836882</v>
      </c>
      <c r="AK104" s="1624">
        <f>+$D$104</f>
        <v>5.1358378614847817</v>
      </c>
      <c r="AL104" s="2690">
        <v>4.53</v>
      </c>
      <c r="AM104" s="1626">
        <f>+$D$104</f>
        <v>5.1358378614847817</v>
      </c>
      <c r="AN104" s="1626">
        <f t="shared" si="549"/>
        <v>4.672450050063321</v>
      </c>
      <c r="AO104" s="1620">
        <f>+$D$104</f>
        <v>5.1358378614847817</v>
      </c>
      <c r="AP104" s="1616">
        <f t="shared" si="537"/>
        <v>4.9868228410520725</v>
      </c>
      <c r="AQ104" s="1624">
        <f>+$D$104</f>
        <v>5.1358378614847817</v>
      </c>
      <c r="AR104" s="1623">
        <v>4.59</v>
      </c>
      <c r="AS104" s="1620">
        <f>+$D$104</f>
        <v>5.1358378614847817</v>
      </c>
      <c r="AT104" s="1616">
        <f t="shared" si="545"/>
        <v>4.9479121881888224</v>
      </c>
      <c r="AU104" s="1624">
        <f>+$D$104</f>
        <v>5.1358378614847817</v>
      </c>
      <c r="AV104" s="1623">
        <v>4.8</v>
      </c>
      <c r="AW104" s="1620">
        <f>+$D$104</f>
        <v>5.1358378614847817</v>
      </c>
      <c r="AX104" s="1616">
        <f>+((AT104*AT$61)+(AV104*AV$61))/AX$61</f>
        <v>4.9342678325030933</v>
      </c>
      <c r="AY104" s="1624">
        <f>+$D$104</f>
        <v>5.1358378614847817</v>
      </c>
      <c r="AZ104" s="1623">
        <v>5.19</v>
      </c>
      <c r="BA104" s="1626">
        <f>+$D$104</f>
        <v>5.1358378614847817</v>
      </c>
      <c r="BB104" s="1626">
        <f t="shared" si="550"/>
        <v>4.8595289620538269</v>
      </c>
      <c r="BC104" s="1627">
        <f>+$D$104</f>
        <v>5.1358378614847817</v>
      </c>
      <c r="BD104" s="1627">
        <f t="shared" si="539"/>
        <v>4.763718949790352</v>
      </c>
      <c r="BE104" s="1620">
        <f>+$D$104</f>
        <v>5.1358378614847817</v>
      </c>
      <c r="BF104" s="1616">
        <f>+((AX104*AX$61)+(AZ104*AZ$61))/BF$61</f>
        <v>4.9552137130281277</v>
      </c>
      <c r="BG104" s="26"/>
      <c r="BH104" s="26"/>
      <c r="BI104" s="26"/>
      <c r="BJ104" s="26"/>
    </row>
    <row r="105" spans="2:62" hidden="1" x14ac:dyDescent="0.25">
      <c r="B105" s="662" t="s">
        <v>633</v>
      </c>
      <c r="C105" s="91" t="s">
        <v>51</v>
      </c>
      <c r="D105" s="193"/>
      <c r="E105" s="1623">
        <f>+$D$105</f>
        <v>0</v>
      </c>
      <c r="F105" s="1623"/>
      <c r="G105" s="1623">
        <f>+$D$105</f>
        <v>0</v>
      </c>
      <c r="H105" s="1623"/>
      <c r="I105" s="1605">
        <f>+$D$105</f>
        <v>0</v>
      </c>
      <c r="J105" s="1616"/>
      <c r="K105" s="1623">
        <f>+$D$105</f>
        <v>0</v>
      </c>
      <c r="L105" s="1623"/>
      <c r="M105" s="1607">
        <f>+$D$105</f>
        <v>0</v>
      </c>
      <c r="N105" s="1626"/>
      <c r="O105" s="1623">
        <f>+$D$105</f>
        <v>0</v>
      </c>
      <c r="P105" s="1623"/>
      <c r="Q105" s="1605">
        <f>+$D$105</f>
        <v>0</v>
      </c>
      <c r="R105" s="1616"/>
      <c r="S105" s="1623">
        <f>+$D$105</f>
        <v>0</v>
      </c>
      <c r="T105" s="2689"/>
      <c r="U105" s="1605">
        <f>+$D$105</f>
        <v>0</v>
      </c>
      <c r="V105" s="1616"/>
      <c r="W105" s="1623">
        <f>+$D$105</f>
        <v>0</v>
      </c>
      <c r="X105" s="1623"/>
      <c r="Y105" s="1607">
        <f>+$D$105</f>
        <v>0</v>
      </c>
      <c r="Z105" s="1626"/>
      <c r="AA105" s="1619">
        <f>+$D$105</f>
        <v>0</v>
      </c>
      <c r="AB105" s="1627"/>
      <c r="AG105" s="4184"/>
      <c r="AH105" s="4184"/>
      <c r="AI105" s="4184"/>
      <c r="AJ105" s="4184"/>
      <c r="AQ105" s="4412"/>
      <c r="AR105" s="4412"/>
      <c r="AS105" s="4412"/>
      <c r="AT105" s="4412"/>
      <c r="AW105" s="26">
        <f t="shared" ref="AW105:AW137" si="551">AS105-AU105</f>
        <v>0</v>
      </c>
      <c r="AX105" s="26">
        <f t="shared" ref="AX105:AX137" si="552">AT105-AV105</f>
        <v>0</v>
      </c>
      <c r="BG105" s="26"/>
      <c r="BH105" s="26"/>
    </row>
    <row r="106" spans="2:62" hidden="1" x14ac:dyDescent="0.25">
      <c r="B106" s="662" t="s">
        <v>634</v>
      </c>
      <c r="C106" s="91" t="s">
        <v>51</v>
      </c>
      <c r="D106" s="193"/>
      <c r="E106" s="1623">
        <f>+$D$106</f>
        <v>0</v>
      </c>
      <c r="F106" s="1623"/>
      <c r="G106" s="1623">
        <f>+$D$106</f>
        <v>0</v>
      </c>
      <c r="H106" s="1623"/>
      <c r="I106" s="1605">
        <f>+$D$106</f>
        <v>0</v>
      </c>
      <c r="J106" s="1616"/>
      <c r="K106" s="1623">
        <f>+$D$106</f>
        <v>0</v>
      </c>
      <c r="L106" s="1623"/>
      <c r="M106" s="1607">
        <f>+$D$106</f>
        <v>0</v>
      </c>
      <c r="N106" s="1626"/>
      <c r="O106" s="1623">
        <f>+$D$106</f>
        <v>0</v>
      </c>
      <c r="P106" s="1623"/>
      <c r="Q106" s="1605">
        <f>+$D$106</f>
        <v>0</v>
      </c>
      <c r="R106" s="1616"/>
      <c r="S106" s="1623">
        <f>+$D$106</f>
        <v>0</v>
      </c>
      <c r="T106" s="2689"/>
      <c r="U106" s="1605">
        <f>+$D$106</f>
        <v>0</v>
      </c>
      <c r="V106" s="1616"/>
      <c r="W106" s="1623">
        <f>+$D$106</f>
        <v>0</v>
      </c>
      <c r="X106" s="1623"/>
      <c r="Y106" s="1607">
        <f>+$D$106</f>
        <v>0</v>
      </c>
      <c r="Z106" s="1626"/>
      <c r="AA106" s="1619">
        <f>+$D$106</f>
        <v>0</v>
      </c>
      <c r="AB106" s="1627"/>
      <c r="AG106" s="4184"/>
      <c r="AH106" s="4184"/>
      <c r="AI106" s="4184"/>
      <c r="AJ106" s="4184"/>
      <c r="AQ106" s="4412"/>
      <c r="AR106" s="4412"/>
      <c r="AS106" s="4412"/>
      <c r="AT106" s="4412"/>
      <c r="AW106" s="26">
        <f t="shared" si="551"/>
        <v>0</v>
      </c>
      <c r="AX106" s="26">
        <f t="shared" si="552"/>
        <v>0</v>
      </c>
      <c r="BG106" s="26"/>
      <c r="BH106" s="26"/>
    </row>
    <row r="107" spans="2:62" ht="15" hidden="1" customHeight="1" x14ac:dyDescent="0.25">
      <c r="B107" s="272"/>
      <c r="C107" s="272"/>
      <c r="E107" s="272"/>
      <c r="F107" s="272"/>
      <c r="G107" s="272"/>
      <c r="H107" s="272"/>
      <c r="I107" s="272"/>
      <c r="J107" s="272"/>
      <c r="K107" s="2077"/>
      <c r="L107" s="272"/>
      <c r="M107" s="272"/>
      <c r="N107" s="272"/>
      <c r="O107" s="2077"/>
      <c r="P107" s="272"/>
      <c r="Q107" s="272"/>
      <c r="R107" s="272"/>
      <c r="S107" s="272"/>
      <c r="T107" s="2693"/>
      <c r="U107" s="272"/>
      <c r="V107" s="272"/>
      <c r="W107" s="272"/>
      <c r="X107" s="272"/>
      <c r="Y107" s="272"/>
      <c r="Z107" s="272"/>
      <c r="AA107" s="272"/>
      <c r="AB107" s="272"/>
      <c r="AG107" s="4184"/>
      <c r="AH107" s="4184"/>
      <c r="AI107" s="4184"/>
      <c r="AJ107" s="4184"/>
      <c r="AQ107" s="4412"/>
      <c r="AR107" s="4412"/>
      <c r="AS107" s="4412"/>
      <c r="AT107" s="4412"/>
      <c r="AW107" s="26">
        <f t="shared" si="551"/>
        <v>0</v>
      </c>
      <c r="AX107" s="26">
        <f t="shared" si="552"/>
        <v>0</v>
      </c>
      <c r="BG107" s="26"/>
      <c r="BH107" s="26"/>
    </row>
    <row r="108" spans="2:62" ht="15" hidden="1" customHeight="1" x14ac:dyDescent="0.25">
      <c r="B108" s="272"/>
      <c r="C108" s="272"/>
      <c r="E108" s="272"/>
      <c r="F108" s="272"/>
      <c r="G108" s="272"/>
      <c r="H108" s="272"/>
      <c r="I108" s="272"/>
      <c r="J108" s="272"/>
      <c r="K108" s="2077"/>
      <c r="L108" s="272"/>
      <c r="M108" s="272"/>
      <c r="N108" s="272"/>
      <c r="O108" s="2077"/>
      <c r="P108" s="272"/>
      <c r="Q108" s="272"/>
      <c r="R108" s="272"/>
      <c r="S108" s="272"/>
      <c r="T108" s="2693"/>
      <c r="U108" s="272"/>
      <c r="V108" s="272"/>
      <c r="W108" s="272"/>
      <c r="X108" s="272"/>
      <c r="Y108" s="272"/>
      <c r="Z108" s="272"/>
      <c r="AA108" s="272"/>
      <c r="AB108" s="272"/>
      <c r="AG108" s="4184"/>
      <c r="AH108" s="4184"/>
      <c r="AI108" s="4184"/>
      <c r="AJ108" s="4184"/>
      <c r="AQ108" s="4412"/>
      <c r="AR108" s="4412"/>
      <c r="AS108" s="4412"/>
      <c r="AT108" s="4412"/>
      <c r="AW108" s="26">
        <f t="shared" si="551"/>
        <v>0</v>
      </c>
      <c r="AX108" s="26">
        <f t="shared" si="552"/>
        <v>0</v>
      </c>
      <c r="BG108" s="26"/>
      <c r="BH108" s="26"/>
    </row>
    <row r="109" spans="2:62" ht="15" hidden="1" customHeight="1" x14ac:dyDescent="0.25">
      <c r="B109" s="1557" t="s">
        <v>965</v>
      </c>
      <c r="C109" s="272"/>
      <c r="E109" s="272"/>
      <c r="F109" s="272"/>
      <c r="G109" s="272"/>
      <c r="H109" s="272"/>
      <c r="I109" s="272"/>
      <c r="J109" s="272"/>
      <c r="K109" s="2077"/>
      <c r="L109" s="272"/>
      <c r="M109" s="272"/>
      <c r="N109" s="272"/>
      <c r="O109" s="2077"/>
      <c r="P109" s="272"/>
      <c r="Q109" s="272"/>
      <c r="R109" s="272"/>
      <c r="S109" s="272"/>
      <c r="T109" s="2693"/>
      <c r="U109" s="272"/>
      <c r="V109" s="272"/>
      <c r="W109" s="272"/>
      <c r="X109" s="272"/>
      <c r="Y109" s="272"/>
      <c r="Z109" s="272"/>
      <c r="AA109" s="272"/>
      <c r="AB109" s="272"/>
      <c r="AG109" s="4184"/>
      <c r="AH109" s="4184"/>
      <c r="AI109" s="4184"/>
      <c r="AJ109" s="4184"/>
      <c r="AQ109" s="4412"/>
      <c r="AR109" s="4412"/>
      <c r="AS109" s="4412"/>
      <c r="AT109" s="4412"/>
      <c r="AW109" s="26">
        <f t="shared" si="551"/>
        <v>0</v>
      </c>
      <c r="AX109" s="26">
        <f t="shared" si="552"/>
        <v>0</v>
      </c>
      <c r="BG109" s="26"/>
      <c r="BH109" s="26"/>
    </row>
    <row r="110" spans="2:62" ht="15" hidden="1" customHeight="1" x14ac:dyDescent="0.25">
      <c r="B110" s="1467" t="s">
        <v>810</v>
      </c>
      <c r="C110" s="272"/>
      <c r="E110" s="272"/>
      <c r="F110" s="272"/>
      <c r="G110" s="272"/>
      <c r="H110" s="272"/>
      <c r="I110" s="272"/>
      <c r="J110" s="272"/>
      <c r="K110" s="2077"/>
      <c r="L110" s="272"/>
      <c r="M110" s="272"/>
      <c r="N110" s="272"/>
      <c r="O110" s="2077"/>
      <c r="P110" s="272"/>
      <c r="Q110" s="272"/>
      <c r="R110" s="272"/>
      <c r="S110" s="272"/>
      <c r="T110" s="2693"/>
      <c r="U110" s="272"/>
      <c r="V110" s="272"/>
      <c r="W110" s="272"/>
      <c r="X110" s="272"/>
      <c r="Y110" s="272"/>
      <c r="Z110" s="272"/>
      <c r="AA110" s="272"/>
      <c r="AB110" s="272"/>
      <c r="AG110" s="4184"/>
      <c r="AH110" s="4184"/>
      <c r="AI110" s="4184"/>
      <c r="AJ110" s="4184"/>
      <c r="AQ110" s="4412"/>
      <c r="AR110" s="4412"/>
      <c r="AS110" s="4412"/>
      <c r="AT110" s="4412"/>
      <c r="AW110" s="26">
        <f t="shared" si="551"/>
        <v>0</v>
      </c>
      <c r="AX110" s="26">
        <f t="shared" si="552"/>
        <v>0</v>
      </c>
      <c r="BG110" s="26"/>
      <c r="BH110" s="26"/>
    </row>
    <row r="111" spans="2:62" ht="15" hidden="1" customHeight="1" x14ac:dyDescent="0.25">
      <c r="B111" s="1558" t="s">
        <v>970</v>
      </c>
      <c r="C111" s="1559" t="s">
        <v>51</v>
      </c>
      <c r="D111" s="879"/>
      <c r="E111" s="1560"/>
      <c r="F111" s="1561">
        <v>8</v>
      </c>
      <c r="G111" s="1560"/>
      <c r="H111" s="1561">
        <v>8</v>
      </c>
      <c r="I111" s="1562"/>
      <c r="J111" s="1563">
        <v>8</v>
      </c>
      <c r="K111" s="1566"/>
      <c r="L111" s="1561">
        <v>8</v>
      </c>
      <c r="M111" s="1564"/>
      <c r="N111" s="1565">
        <v>8</v>
      </c>
      <c r="O111" s="1566"/>
      <c r="P111" s="1567">
        <v>8</v>
      </c>
      <c r="Q111" s="1562"/>
      <c r="R111" s="1563">
        <v>8</v>
      </c>
      <c r="S111" s="1566"/>
      <c r="T111" s="2694">
        <v>8</v>
      </c>
      <c r="U111" s="1562"/>
      <c r="V111" s="1563">
        <v>8</v>
      </c>
      <c r="W111" s="1566"/>
      <c r="X111" s="1567">
        <v>8</v>
      </c>
      <c r="Y111" s="1564"/>
      <c r="Z111" s="1565">
        <v>8</v>
      </c>
      <c r="AA111" s="1568"/>
      <c r="AB111" s="1569">
        <v>8</v>
      </c>
      <c r="AG111" s="4184"/>
      <c r="AH111" s="4184"/>
      <c r="AI111" s="4184"/>
      <c r="AJ111" s="4184"/>
      <c r="AQ111" s="4412"/>
      <c r="AR111" s="4412"/>
      <c r="AS111" s="4412"/>
      <c r="AT111" s="4412"/>
      <c r="AW111" s="26">
        <f t="shared" si="551"/>
        <v>0</v>
      </c>
      <c r="AX111" s="26">
        <f t="shared" si="552"/>
        <v>0</v>
      </c>
      <c r="BG111" s="26"/>
      <c r="BH111" s="26"/>
    </row>
    <row r="112" spans="2:62" ht="15" hidden="1" customHeight="1" x14ac:dyDescent="0.25">
      <c r="B112" s="1558" t="s">
        <v>971</v>
      </c>
      <c r="C112" s="1559" t="s">
        <v>51</v>
      </c>
      <c r="D112" s="879"/>
      <c r="E112" s="1570"/>
      <c r="F112" s="1571">
        <f>+'B-FCE'!F97</f>
        <v>0</v>
      </c>
      <c r="G112" s="1570"/>
      <c r="H112" s="1571">
        <f>+'B-FCE'!H97</f>
        <v>0</v>
      </c>
      <c r="I112" s="1572"/>
      <c r="J112" s="1573">
        <f>+'B-FCE'!J97</f>
        <v>100</v>
      </c>
      <c r="K112" s="1576"/>
      <c r="L112" s="1571">
        <f>+'B-FCE'!L97</f>
        <v>0</v>
      </c>
      <c r="M112" s="1574"/>
      <c r="N112" s="1575">
        <f>+'B-FCE'!N97</f>
        <v>100</v>
      </c>
      <c r="O112" s="1576"/>
      <c r="P112" s="1577">
        <f>+'B-FCE'!P97</f>
        <v>0</v>
      </c>
      <c r="Q112" s="1572"/>
      <c r="R112" s="1573">
        <f>+'B-FCE'!R97</f>
        <v>100</v>
      </c>
      <c r="S112" s="1576"/>
      <c r="T112" s="2695">
        <f>+'B-FCE'!T97</f>
        <v>0</v>
      </c>
      <c r="U112" s="1572"/>
      <c r="V112" s="1573">
        <f>+'B-FCE'!V97</f>
        <v>100</v>
      </c>
      <c r="W112" s="1576"/>
      <c r="X112" s="1577">
        <f>+'B-FCE'!X97</f>
        <v>0</v>
      </c>
      <c r="Y112" s="1574"/>
      <c r="Z112" s="1575">
        <f>+'B-FCE'!Z97</f>
        <v>100</v>
      </c>
      <c r="AA112" s="1578"/>
      <c r="AB112" s="1579">
        <f>+'B-FCE'!AB97</f>
        <v>100</v>
      </c>
      <c r="AG112" s="4184"/>
      <c r="AH112" s="4184"/>
      <c r="AI112" s="4184"/>
      <c r="AJ112" s="4184"/>
      <c r="AQ112" s="4412"/>
      <c r="AR112" s="4412"/>
      <c r="AS112" s="4412"/>
      <c r="AT112" s="4412"/>
      <c r="AW112" s="26">
        <f t="shared" si="551"/>
        <v>0</v>
      </c>
      <c r="AX112" s="26">
        <f t="shared" si="552"/>
        <v>0</v>
      </c>
      <c r="BG112" s="26"/>
      <c r="BH112" s="26"/>
    </row>
    <row r="113" spans="2:60" ht="15" hidden="1" customHeight="1" x14ac:dyDescent="0.25">
      <c r="B113" s="1558" t="s">
        <v>966</v>
      </c>
      <c r="C113" s="1559" t="s">
        <v>51</v>
      </c>
      <c r="D113" s="879"/>
      <c r="E113" s="1570"/>
      <c r="F113" s="1571">
        <v>2.5</v>
      </c>
      <c r="G113" s="1570"/>
      <c r="H113" s="1571">
        <v>2.5</v>
      </c>
      <c r="I113" s="1572"/>
      <c r="J113" s="1573">
        <v>2.5</v>
      </c>
      <c r="K113" s="1576"/>
      <c r="L113" s="1571">
        <v>2.5</v>
      </c>
      <c r="M113" s="1574"/>
      <c r="N113" s="1575">
        <v>2.5</v>
      </c>
      <c r="O113" s="1576"/>
      <c r="P113" s="1577">
        <v>2.5</v>
      </c>
      <c r="Q113" s="1572"/>
      <c r="R113" s="1573">
        <v>2.5</v>
      </c>
      <c r="S113" s="1576"/>
      <c r="T113" s="2695">
        <v>2.5</v>
      </c>
      <c r="U113" s="1572"/>
      <c r="V113" s="1573">
        <v>2.5</v>
      </c>
      <c r="W113" s="1576"/>
      <c r="X113" s="1577">
        <v>2.5</v>
      </c>
      <c r="Y113" s="1574"/>
      <c r="Z113" s="1575">
        <v>2.5</v>
      </c>
      <c r="AA113" s="1578"/>
      <c r="AB113" s="1579">
        <v>2.5</v>
      </c>
      <c r="AG113" s="4184"/>
      <c r="AH113" s="4184"/>
      <c r="AI113" s="4184"/>
      <c r="AJ113" s="4184"/>
      <c r="AQ113" s="4412"/>
      <c r="AR113" s="4412"/>
      <c r="AS113" s="4412"/>
      <c r="AT113" s="4412"/>
      <c r="AW113" s="26">
        <f t="shared" si="551"/>
        <v>0</v>
      </c>
      <c r="AX113" s="26">
        <f t="shared" si="552"/>
        <v>0</v>
      </c>
      <c r="BG113" s="26"/>
      <c r="BH113" s="26"/>
    </row>
    <row r="114" spans="2:60" ht="15" hidden="1" customHeight="1" x14ac:dyDescent="0.25">
      <c r="B114" s="1580" t="s">
        <v>968</v>
      </c>
      <c r="C114" s="1581" t="s">
        <v>967</v>
      </c>
      <c r="D114" s="1889"/>
      <c r="E114" s="1560"/>
      <c r="F114" s="1561">
        <f>+(F6/(F61/1000))*(100-F111)/100</f>
        <v>715.8815107894942</v>
      </c>
      <c r="G114" s="1560"/>
      <c r="H114" s="1561">
        <f>+(H6/(H61/1000))*(100-H111)/100</f>
        <v>710.02593334360392</v>
      </c>
      <c r="I114" s="1562"/>
      <c r="J114" s="1563">
        <f>+(J6/(J61/1000))*(100-J111)/100</f>
        <v>713.25924414075416</v>
      </c>
      <c r="K114" s="1566"/>
      <c r="L114" s="1561">
        <f>+(L6/(L61/1000))*(100-L111)/100</f>
        <v>719.10437445054106</v>
      </c>
      <c r="M114" s="1564"/>
      <c r="N114" s="1565">
        <f>+(N6/(N61/1000))*(100-N111)/100</f>
        <v>715.13923448335049</v>
      </c>
      <c r="O114" s="1566"/>
      <c r="P114" s="1567">
        <f>+(P6/(P61/1000))*(100-P111)/100</f>
        <v>726.47394601857957</v>
      </c>
      <c r="Q114" s="1562"/>
      <c r="R114" s="1563">
        <f>+(R6/(R61/1000))*(100-R111)/100</f>
        <v>718.24442001340799</v>
      </c>
      <c r="S114" s="1566"/>
      <c r="T114" s="2694">
        <f>+(T6/(T61/1000))*(100-T111)/100</f>
        <v>731.4</v>
      </c>
      <c r="U114" s="1562"/>
      <c r="V114" s="1563">
        <f>+(V6/(V61/1000))*(100-V111)/100</f>
        <v>720.99413517027597</v>
      </c>
      <c r="W114" s="1566"/>
      <c r="X114" s="1567">
        <f>+(X6/(X61/1000))*(100-X111)/100</f>
        <v>729.54518947317729</v>
      </c>
      <c r="Y114" s="1564"/>
      <c r="Z114" s="1565">
        <f>+(Z6/(Z61/1000))*(100-Z111)/100</f>
        <v>729.10767826721826</v>
      </c>
      <c r="AA114" s="1568"/>
      <c r="AB114" s="1569">
        <f>+(AB6/(AB61/1000))*(100-AB111)/100</f>
        <v>722.47425660696069</v>
      </c>
      <c r="AG114" s="4184"/>
      <c r="AH114" s="4184"/>
      <c r="AI114" s="4184"/>
      <c r="AJ114" s="4184"/>
      <c r="AQ114" s="4412"/>
      <c r="AR114" s="4412"/>
      <c r="AS114" s="4412"/>
      <c r="AT114" s="4412"/>
      <c r="AW114" s="26">
        <f t="shared" si="551"/>
        <v>0</v>
      </c>
      <c r="AX114" s="26">
        <f t="shared" si="552"/>
        <v>0</v>
      </c>
      <c r="BG114" s="26"/>
      <c r="BH114" s="26"/>
    </row>
    <row r="115" spans="2:60" ht="15" hidden="1" customHeight="1" x14ac:dyDescent="0.25">
      <c r="B115" s="1580" t="s">
        <v>50</v>
      </c>
      <c r="C115" s="1582" t="s">
        <v>361</v>
      </c>
      <c r="D115" s="1019"/>
      <c r="E115" s="1560"/>
      <c r="F115" s="1561">
        <f>+F114*F61/1000</f>
        <v>275020.2</v>
      </c>
      <c r="G115" s="1560"/>
      <c r="H115" s="1561">
        <f>+H114*H61/1000</f>
        <v>221221.36</v>
      </c>
      <c r="I115" s="1562"/>
      <c r="J115" s="1563">
        <f>+J114*J61/1000</f>
        <v>496241.56</v>
      </c>
      <c r="K115" s="1566"/>
      <c r="L115" s="1561">
        <f>+L114*L61/1000</f>
        <v>237210.95999999996</v>
      </c>
      <c r="M115" s="1564"/>
      <c r="N115" s="1565">
        <f>+N114*N61/1000</f>
        <v>733452.52000000014</v>
      </c>
      <c r="O115" s="1566"/>
      <c r="P115" s="1567">
        <f>+P114*P61/1000</f>
        <v>281134.52</v>
      </c>
      <c r="Q115" s="1562"/>
      <c r="R115" s="1563">
        <f>+R114*R61/1000</f>
        <v>1014587.04</v>
      </c>
      <c r="S115" s="1566"/>
      <c r="T115" s="2694">
        <f>+T114*T61/1000</f>
        <v>273011.87219999998</v>
      </c>
      <c r="U115" s="1562"/>
      <c r="V115" s="1563">
        <f>+V114*V61/1000</f>
        <v>1287598.9122000001</v>
      </c>
      <c r="W115" s="1566"/>
      <c r="X115" s="1567">
        <f>+X114*X61/1000</f>
        <v>272722.96000000002</v>
      </c>
      <c r="Y115" s="1564"/>
      <c r="Z115" s="1565">
        <f>+Z114*Z61/1000</f>
        <v>826869.35219999996</v>
      </c>
      <c r="AA115" s="1568"/>
      <c r="AB115" s="1569">
        <f>+AB114*AB61/1000</f>
        <v>1560321.8722000001</v>
      </c>
      <c r="AG115" s="4184"/>
      <c r="AH115" s="4184"/>
      <c r="AI115" s="4184"/>
      <c r="AJ115" s="4184"/>
      <c r="AQ115" s="4412"/>
      <c r="AR115" s="4412"/>
      <c r="AS115" s="4412"/>
      <c r="AT115" s="4412"/>
      <c r="AW115" s="26">
        <f t="shared" si="551"/>
        <v>0</v>
      </c>
      <c r="AX115" s="26">
        <f t="shared" si="552"/>
        <v>0</v>
      </c>
      <c r="BG115" s="26"/>
      <c r="BH115" s="26"/>
    </row>
    <row r="116" spans="2:60" ht="15" hidden="1" customHeight="1" x14ac:dyDescent="0.25">
      <c r="B116" s="1558" t="s">
        <v>214</v>
      </c>
      <c r="C116" s="1582" t="s">
        <v>361</v>
      </c>
      <c r="D116" s="1019"/>
      <c r="E116" s="1560"/>
      <c r="F116" s="1561">
        <f>+F115*F111/(100-F111)</f>
        <v>23914.799999999999</v>
      </c>
      <c r="G116" s="1560"/>
      <c r="H116" s="1561">
        <f>+H115*H111/(100-H111)</f>
        <v>19236.64</v>
      </c>
      <c r="I116" s="1562"/>
      <c r="J116" s="1563">
        <f>+J115*J111/(100-J111)</f>
        <v>43151.44</v>
      </c>
      <c r="K116" s="1566"/>
      <c r="L116" s="1561">
        <f>+L115*L111/(100-L111)</f>
        <v>20627.039999999997</v>
      </c>
      <c r="M116" s="1564"/>
      <c r="N116" s="1565">
        <f>+N115*N111/(100-N111)</f>
        <v>63778.48000000001</v>
      </c>
      <c r="O116" s="1566"/>
      <c r="P116" s="1567">
        <f>+P115*P111/(100-P111)</f>
        <v>24446.480000000003</v>
      </c>
      <c r="Q116" s="1562"/>
      <c r="R116" s="1563">
        <f>+R115*R111/(100-R111)</f>
        <v>88224.960000000006</v>
      </c>
      <c r="S116" s="1566"/>
      <c r="T116" s="2694">
        <f>+T115*T111/(100-T111)</f>
        <v>23740.162799999998</v>
      </c>
      <c r="U116" s="1562"/>
      <c r="V116" s="1563">
        <f>+V115*V111/(100-V111)</f>
        <v>111965.12280000001</v>
      </c>
      <c r="W116" s="1566"/>
      <c r="X116" s="1567">
        <f>+X115*X111/(100-X111)</f>
        <v>23715.040000000001</v>
      </c>
      <c r="Y116" s="1564"/>
      <c r="Z116" s="1565">
        <f>+Z115*Z111/(100-Z111)</f>
        <v>71901.682799999995</v>
      </c>
      <c r="AA116" s="1568"/>
      <c r="AB116" s="1569">
        <f>+AB115*AB111/(100-AB111)</f>
        <v>135680.16280000002</v>
      </c>
      <c r="AG116" s="4184"/>
      <c r="AH116" s="4184"/>
      <c r="AI116" s="4184"/>
      <c r="AJ116" s="4184"/>
      <c r="AQ116" s="4412"/>
      <c r="AR116" s="4412"/>
      <c r="AS116" s="4412"/>
      <c r="AT116" s="4412"/>
      <c r="AW116" s="26">
        <f t="shared" si="551"/>
        <v>0</v>
      </c>
      <c r="AX116" s="26">
        <f t="shared" si="552"/>
        <v>0</v>
      </c>
      <c r="BG116" s="26"/>
      <c r="BH116" s="26"/>
    </row>
    <row r="117" spans="2:60" ht="15" hidden="1" customHeight="1" x14ac:dyDescent="0.25">
      <c r="B117" s="1558" t="s">
        <v>874</v>
      </c>
      <c r="C117" s="1582" t="s">
        <v>361</v>
      </c>
      <c r="D117" s="1019"/>
      <c r="E117" s="1560"/>
      <c r="F117" s="1561">
        <f>+F115/(100-F113)*F113</f>
        <v>7051.8000000000011</v>
      </c>
      <c r="G117" s="1560"/>
      <c r="H117" s="1561">
        <f>+H115/(100-H113)*H113</f>
        <v>5672.3425641025642</v>
      </c>
      <c r="I117" s="1562"/>
      <c r="J117" s="1563">
        <f>+J115/(100-J113)*J113</f>
        <v>12724.142564102565</v>
      </c>
      <c r="K117" s="1566"/>
      <c r="L117" s="1561">
        <f>+L115/(100-L113)*L113</f>
        <v>6082.3323076923061</v>
      </c>
      <c r="M117" s="1564"/>
      <c r="N117" s="1565">
        <f>+N115/(100-N113)*N113</f>
        <v>18806.474871794875</v>
      </c>
      <c r="O117" s="1566"/>
      <c r="P117" s="1567">
        <f>+P115/(100-P113)*P113</f>
        <v>7208.5774358974368</v>
      </c>
      <c r="Q117" s="1562"/>
      <c r="R117" s="1563">
        <f>+R115/(100-R113)*R113</f>
        <v>26015.052307692309</v>
      </c>
      <c r="S117" s="1566"/>
      <c r="T117" s="2694">
        <f>+T115/(100-T113)*T113</f>
        <v>7000.3044153846149</v>
      </c>
      <c r="U117" s="1562"/>
      <c r="V117" s="1563">
        <f>+V115/(100-V113)*V113</f>
        <v>33015.356723076926</v>
      </c>
      <c r="W117" s="1566"/>
      <c r="X117" s="1567">
        <f>+X115/(100-X113)*X113</f>
        <v>6992.8964102564114</v>
      </c>
      <c r="Y117" s="1564"/>
      <c r="Z117" s="1565">
        <f>+Z115/(100-Z113)*Z113</f>
        <v>21201.77826153846</v>
      </c>
      <c r="AA117" s="1568"/>
      <c r="AB117" s="1569">
        <f>+AB115/(100-AB113)*AB113</f>
        <v>40008.253133333339</v>
      </c>
      <c r="AG117" s="4184"/>
      <c r="AH117" s="4184"/>
      <c r="AI117" s="4184"/>
      <c r="AJ117" s="4184"/>
      <c r="AQ117" s="4412"/>
      <c r="AR117" s="4412"/>
      <c r="AS117" s="4412"/>
      <c r="AT117" s="4412"/>
      <c r="AW117" s="26">
        <f t="shared" si="551"/>
        <v>0</v>
      </c>
      <c r="AX117" s="26">
        <f t="shared" si="552"/>
        <v>0</v>
      </c>
      <c r="BG117" s="26"/>
      <c r="BH117" s="26"/>
    </row>
    <row r="118" spans="2:60" ht="15" hidden="1" customHeight="1" x14ac:dyDescent="0.25">
      <c r="B118" s="1558" t="s">
        <v>957</v>
      </c>
      <c r="C118" s="1582" t="s">
        <v>361</v>
      </c>
      <c r="D118" s="1019"/>
      <c r="E118" s="1560"/>
      <c r="F118" s="1561">
        <f>+F117*F111/(100-F111)</f>
        <v>613.20000000000005</v>
      </c>
      <c r="G118" s="1560"/>
      <c r="H118" s="1561">
        <f>+H117*H111/(100-H111)</f>
        <v>493.24717948717949</v>
      </c>
      <c r="I118" s="1562"/>
      <c r="J118" s="1563">
        <f>+J117*J111/(100-J111)</f>
        <v>1106.4471794871795</v>
      </c>
      <c r="K118" s="1566"/>
      <c r="L118" s="1561">
        <f>+L117*L111/(100-L111)</f>
        <v>528.89846153846145</v>
      </c>
      <c r="M118" s="1564"/>
      <c r="N118" s="1565">
        <f>+N117*N111/(100-N111)</f>
        <v>1635.3456410256413</v>
      </c>
      <c r="O118" s="1566"/>
      <c r="P118" s="1567">
        <f>+P117*P111/(100-P111)</f>
        <v>626.8328205128206</v>
      </c>
      <c r="Q118" s="1562"/>
      <c r="R118" s="1563">
        <f>+R117*R111/(100-R111)</f>
        <v>2262.1784615384618</v>
      </c>
      <c r="S118" s="1566"/>
      <c r="T118" s="2694">
        <f>+T117*T111/(100-T111)</f>
        <v>608.72212307692303</v>
      </c>
      <c r="U118" s="1562"/>
      <c r="V118" s="1563">
        <f>+V117*V111/(100-V111)</f>
        <v>2870.900584615385</v>
      </c>
      <c r="W118" s="1566"/>
      <c r="X118" s="1567">
        <f>+X117*X111/(100-X111)</f>
        <v>608.07794871794886</v>
      </c>
      <c r="Y118" s="1564"/>
      <c r="Z118" s="1565">
        <f>+Z117*Z111/(100-Z111)</f>
        <v>1843.6328923076921</v>
      </c>
      <c r="AA118" s="1568"/>
      <c r="AB118" s="1569">
        <f>+AB117*AB111/(100-AB111)</f>
        <v>3478.9785333333339</v>
      </c>
      <c r="AG118" s="4184"/>
      <c r="AH118" s="4184"/>
      <c r="AI118" s="4184"/>
      <c r="AJ118" s="4184"/>
      <c r="AQ118" s="4412"/>
      <c r="AR118" s="4412"/>
      <c r="AS118" s="4412"/>
      <c r="AT118" s="4412"/>
      <c r="AW118" s="26">
        <f t="shared" si="551"/>
        <v>0</v>
      </c>
      <c r="AX118" s="26">
        <f t="shared" si="552"/>
        <v>0</v>
      </c>
      <c r="BG118" s="26"/>
      <c r="BH118" s="26"/>
    </row>
    <row r="119" spans="2:60" ht="15" hidden="1" customHeight="1" x14ac:dyDescent="0.25">
      <c r="B119" s="1558" t="s">
        <v>510</v>
      </c>
      <c r="C119" s="1582" t="s">
        <v>361</v>
      </c>
      <c r="D119" s="1019"/>
      <c r="E119" s="1560"/>
      <c r="F119" s="1561">
        <f>SUM(F115:F118)</f>
        <v>306600</v>
      </c>
      <c r="G119" s="1560"/>
      <c r="H119" s="1561">
        <f>SUM(H115:H118)</f>
        <v>246623.58974358972</v>
      </c>
      <c r="I119" s="1562"/>
      <c r="J119" s="1563">
        <f>SUM(J115:J118)</f>
        <v>553223.58974358975</v>
      </c>
      <c r="K119" s="1566"/>
      <c r="L119" s="1561">
        <f>SUM(L115:L118)</f>
        <v>264449.23076923075</v>
      </c>
      <c r="M119" s="1564"/>
      <c r="N119" s="1565">
        <f>SUM(N115:N118)</f>
        <v>817672.82051282073</v>
      </c>
      <c r="O119" s="1566"/>
      <c r="P119" s="1567">
        <f>SUM(P115:P118)</f>
        <v>313416.41025641025</v>
      </c>
      <c r="Q119" s="1562"/>
      <c r="R119" s="1563">
        <f>SUM(R115:R118)</f>
        <v>1131089.2307692308</v>
      </c>
      <c r="S119" s="1566"/>
      <c r="T119" s="2694">
        <f>SUM(T115:T118)</f>
        <v>304361.06153846148</v>
      </c>
      <c r="U119" s="1562"/>
      <c r="V119" s="1563">
        <f>SUM(V115:V118)</f>
        <v>1435450.2923076923</v>
      </c>
      <c r="W119" s="1566"/>
      <c r="X119" s="1567">
        <f>SUM(X115:X118)</f>
        <v>304038.97435897432</v>
      </c>
      <c r="Y119" s="1564"/>
      <c r="Z119" s="1565">
        <f>SUM(Z115:Z118)</f>
        <v>921816.4461538461</v>
      </c>
      <c r="AA119" s="1568"/>
      <c r="AB119" s="1569">
        <f>SUM(AB115:AB118)</f>
        <v>1739489.2666666668</v>
      </c>
      <c r="AG119" s="4184"/>
      <c r="AH119" s="4184"/>
      <c r="AI119" s="4184"/>
      <c r="AJ119" s="4184"/>
      <c r="AQ119" s="4412"/>
      <c r="AR119" s="4412"/>
      <c r="AS119" s="4412"/>
      <c r="AT119" s="4412"/>
      <c r="AW119" s="26">
        <f t="shared" si="551"/>
        <v>0</v>
      </c>
      <c r="AX119" s="26">
        <f t="shared" si="552"/>
        <v>0</v>
      </c>
      <c r="BG119" s="26"/>
      <c r="BH119" s="26"/>
    </row>
    <row r="120" spans="2:60" ht="15" hidden="1" customHeight="1" x14ac:dyDescent="0.25">
      <c r="B120" s="1583" t="s">
        <v>969</v>
      </c>
      <c r="C120" s="1582" t="s">
        <v>361</v>
      </c>
      <c r="D120" s="1019"/>
      <c r="E120" s="1560"/>
      <c r="F120" s="1561">
        <f>+'B-FCE'!F95+SMS!F146</f>
        <v>913</v>
      </c>
      <c r="G120" s="1560"/>
      <c r="H120" s="1561">
        <f>+'B-FCE'!H95+SMS!H146</f>
        <v>841</v>
      </c>
      <c r="I120" s="1562"/>
      <c r="J120" s="1563">
        <f>+'B-FCE'!J95+SMS!J146</f>
        <v>0</v>
      </c>
      <c r="K120" s="1566"/>
      <c r="L120" s="1561">
        <f>+'B-FCE'!L95+SMS!L146</f>
        <v>1063</v>
      </c>
      <c r="M120" s="1564"/>
      <c r="N120" s="1565">
        <f>+'B-FCE'!N95+SMS!N146</f>
        <v>2817</v>
      </c>
      <c r="O120" s="1566"/>
      <c r="P120" s="1567">
        <f>+'B-FCE'!P95+SMS!P146</f>
        <v>920</v>
      </c>
      <c r="Q120" s="1562"/>
      <c r="R120" s="1563">
        <f>+'B-FCE'!R95+SMS!R146</f>
        <v>3737</v>
      </c>
      <c r="S120" s="1566"/>
      <c r="T120" s="2694">
        <f>+'B-FCE'!T95+SMS!T146</f>
        <v>0</v>
      </c>
      <c r="U120" s="1562"/>
      <c r="V120" s="1563">
        <f>+'B-FCE'!V95+SMS!V146</f>
        <v>0</v>
      </c>
      <c r="W120" s="1566"/>
      <c r="X120" s="1567">
        <f>+'B-FCE'!X95+SMS!X146</f>
        <v>0</v>
      </c>
      <c r="Y120" s="1564"/>
      <c r="Z120" s="1565">
        <f>+'B-FCE'!Z95+SMS!Z146</f>
        <v>0</v>
      </c>
      <c r="AA120" s="1568"/>
      <c r="AB120" s="1569">
        <f>+'B-FCE'!AB95+SMS!AB146</f>
        <v>0</v>
      </c>
      <c r="AG120" s="4184"/>
      <c r="AH120" s="4184"/>
      <c r="AI120" s="4184"/>
      <c r="AJ120" s="4184"/>
      <c r="AQ120" s="4412"/>
      <c r="AR120" s="4412"/>
      <c r="AS120" s="4412"/>
      <c r="AT120" s="4412"/>
      <c r="AW120" s="26">
        <f t="shared" si="551"/>
        <v>0</v>
      </c>
      <c r="AX120" s="26">
        <f t="shared" si="552"/>
        <v>0</v>
      </c>
      <c r="BG120" s="26"/>
      <c r="BH120" s="26"/>
    </row>
    <row r="121" spans="2:60" ht="15" hidden="1" customHeight="1" x14ac:dyDescent="0.25">
      <c r="B121" s="1558" t="s">
        <v>214</v>
      </c>
      <c r="C121" s="1582" t="s">
        <v>361</v>
      </c>
      <c r="D121" s="1019"/>
      <c r="E121" s="1560"/>
      <c r="F121" s="1561">
        <f>+F120*F112/(100-F112)</f>
        <v>0</v>
      </c>
      <c r="G121" s="1560"/>
      <c r="H121" s="1561">
        <f>+H120*H112/(100-H112)</f>
        <v>0</v>
      </c>
      <c r="I121" s="1562"/>
      <c r="J121" s="1563" t="e">
        <f>+J120*J112/(100-J112)</f>
        <v>#DIV/0!</v>
      </c>
      <c r="K121" s="1566"/>
      <c r="L121" s="1561">
        <f>+L120*L112/(100-L112)</f>
        <v>0</v>
      </c>
      <c r="M121" s="1564"/>
      <c r="N121" s="1565" t="e">
        <f>+N120*N112/(100-N112)</f>
        <v>#DIV/0!</v>
      </c>
      <c r="O121" s="1566"/>
      <c r="P121" s="1567">
        <f>+P120*P112/(100-P112)</f>
        <v>0</v>
      </c>
      <c r="Q121" s="1562"/>
      <c r="R121" s="1563" t="e">
        <f>+R120*R112/(100-R112)</f>
        <v>#DIV/0!</v>
      </c>
      <c r="S121" s="1566"/>
      <c r="T121" s="2694">
        <f>+T120*T112/(100-T112)</f>
        <v>0</v>
      </c>
      <c r="U121" s="1562"/>
      <c r="V121" s="1563" t="e">
        <f>+V120*V112/(100-V112)</f>
        <v>#DIV/0!</v>
      </c>
      <c r="W121" s="1566"/>
      <c r="X121" s="1567">
        <f>+X120*X112/(100-X112)</f>
        <v>0</v>
      </c>
      <c r="Y121" s="1564"/>
      <c r="Z121" s="1565" t="e">
        <f>+Z120*Z112/(100-Z112)</f>
        <v>#DIV/0!</v>
      </c>
      <c r="AA121" s="1568"/>
      <c r="AB121" s="1569" t="e">
        <f>+AB120*AB112/(100-AB112)</f>
        <v>#DIV/0!</v>
      </c>
      <c r="AG121" s="4184"/>
      <c r="AH121" s="4184"/>
      <c r="AI121" s="4184"/>
      <c r="AJ121" s="4184"/>
      <c r="AQ121" s="4412"/>
      <c r="AR121" s="4412"/>
      <c r="AS121" s="4412"/>
      <c r="AT121" s="4412"/>
      <c r="AW121" s="26">
        <f t="shared" si="551"/>
        <v>0</v>
      </c>
      <c r="AX121" s="26">
        <f t="shared" si="552"/>
        <v>0</v>
      </c>
      <c r="BG121" s="26"/>
      <c r="BH121" s="26"/>
    </row>
    <row r="122" spans="2:60" ht="15" hidden="1" customHeight="1" x14ac:dyDescent="0.25">
      <c r="B122" s="1558" t="s">
        <v>874</v>
      </c>
      <c r="C122" s="1582" t="s">
        <v>361</v>
      </c>
      <c r="D122" s="1019"/>
      <c r="E122" s="1560"/>
      <c r="F122" s="1561">
        <f>+F120/(100-F113)*F113</f>
        <v>23.410256410256412</v>
      </c>
      <c r="G122" s="1560"/>
      <c r="H122" s="1561">
        <f>+H120/(100-H113)*H113</f>
        <v>21.564102564102562</v>
      </c>
      <c r="I122" s="1562"/>
      <c r="J122" s="1563">
        <f>+J120/(100-J113)*J113</f>
        <v>0</v>
      </c>
      <c r="K122" s="1566"/>
      <c r="L122" s="1561">
        <f>+L120/(100-L113)*L113</f>
        <v>27.256410256410255</v>
      </c>
      <c r="M122" s="1564"/>
      <c r="N122" s="1565">
        <f>+N120/(100-N113)*N113</f>
        <v>72.230769230769226</v>
      </c>
      <c r="O122" s="1566"/>
      <c r="P122" s="1567">
        <f>+P120/(100-P113)*P113</f>
        <v>23.589743589743591</v>
      </c>
      <c r="Q122" s="1562"/>
      <c r="R122" s="1563">
        <f>+R120/(100-R113)*R113</f>
        <v>95.820512820512818</v>
      </c>
      <c r="S122" s="1566"/>
      <c r="T122" s="2694">
        <f>+T120/(100-T113)*T113</f>
        <v>0</v>
      </c>
      <c r="U122" s="1562"/>
      <c r="V122" s="1563">
        <f>+V120/(100-V113)*V113</f>
        <v>0</v>
      </c>
      <c r="W122" s="1566"/>
      <c r="X122" s="1567">
        <f>+X120/(100-X113)*X113</f>
        <v>0</v>
      </c>
      <c r="Y122" s="1564"/>
      <c r="Z122" s="1565">
        <f>+Z120/(100-Z113)*Z113</f>
        <v>0</v>
      </c>
      <c r="AA122" s="1568"/>
      <c r="AB122" s="1569">
        <f>+AB120/(100-AB113)*AB113</f>
        <v>0</v>
      </c>
      <c r="AG122" s="4184"/>
      <c r="AH122" s="4184"/>
      <c r="AI122" s="4184"/>
      <c r="AJ122" s="4184"/>
      <c r="AQ122" s="4412"/>
      <c r="AR122" s="4412"/>
      <c r="AS122" s="4412"/>
      <c r="AT122" s="4412"/>
      <c r="AW122" s="26">
        <f t="shared" si="551"/>
        <v>0</v>
      </c>
      <c r="AX122" s="26">
        <f t="shared" si="552"/>
        <v>0</v>
      </c>
      <c r="BG122" s="26"/>
      <c r="BH122" s="26"/>
    </row>
    <row r="123" spans="2:60" ht="15" hidden="1" customHeight="1" x14ac:dyDescent="0.25">
      <c r="B123" s="1558" t="s">
        <v>957</v>
      </c>
      <c r="C123" s="1582" t="s">
        <v>361</v>
      </c>
      <c r="D123" s="1019"/>
      <c r="E123" s="1560"/>
      <c r="F123" s="1561">
        <f>+F122*F112/(100-F112)</f>
        <v>0</v>
      </c>
      <c r="G123" s="1560"/>
      <c r="H123" s="1561">
        <f>+H122*H112/(100-H112)</f>
        <v>0</v>
      </c>
      <c r="I123" s="1562"/>
      <c r="J123" s="1563" t="e">
        <f>+J122*J112/(100-J112)</f>
        <v>#DIV/0!</v>
      </c>
      <c r="K123" s="1566"/>
      <c r="L123" s="1561">
        <f>+L122*L112/(100-L112)</f>
        <v>0</v>
      </c>
      <c r="M123" s="1564"/>
      <c r="N123" s="1565" t="e">
        <f>+N122*N112/(100-N112)</f>
        <v>#DIV/0!</v>
      </c>
      <c r="O123" s="1566"/>
      <c r="P123" s="1567">
        <f>+P122*P112/(100-P112)</f>
        <v>0</v>
      </c>
      <c r="Q123" s="1562"/>
      <c r="R123" s="1563" t="e">
        <f>+R122*R112/(100-R112)</f>
        <v>#DIV/0!</v>
      </c>
      <c r="S123" s="1566"/>
      <c r="T123" s="2694">
        <f>+T122*T112/(100-T112)</f>
        <v>0</v>
      </c>
      <c r="U123" s="1562"/>
      <c r="V123" s="1563" t="e">
        <f>+V122*V112/(100-V112)</f>
        <v>#DIV/0!</v>
      </c>
      <c r="W123" s="1566"/>
      <c r="X123" s="1567">
        <f>+X122*X112/(100-X112)</f>
        <v>0</v>
      </c>
      <c r="Y123" s="1564"/>
      <c r="Z123" s="1565" t="e">
        <f>+Z122*Z112/(100-Z112)</f>
        <v>#DIV/0!</v>
      </c>
      <c r="AA123" s="1568"/>
      <c r="AB123" s="1569" t="e">
        <f>+AB122*AB112/(100-AB112)</f>
        <v>#DIV/0!</v>
      </c>
      <c r="AG123" s="4184"/>
      <c r="AH123" s="4184"/>
      <c r="AI123" s="4184"/>
      <c r="AJ123" s="4184"/>
      <c r="AQ123" s="4412"/>
      <c r="AR123" s="4412"/>
      <c r="AS123" s="4412"/>
      <c r="AT123" s="4412"/>
      <c r="AW123" s="26">
        <f t="shared" si="551"/>
        <v>0</v>
      </c>
      <c r="AX123" s="26">
        <f t="shared" si="552"/>
        <v>0</v>
      </c>
      <c r="BG123" s="26"/>
      <c r="BH123" s="26"/>
    </row>
    <row r="124" spans="2:60" ht="15" hidden="1" customHeight="1" x14ac:dyDescent="0.25">
      <c r="B124" s="1558" t="s">
        <v>510</v>
      </c>
      <c r="C124" s="1582" t="s">
        <v>361</v>
      </c>
      <c r="D124" s="1019"/>
      <c r="E124" s="1560"/>
      <c r="F124" s="1561">
        <f>SUM(F120:F123)</f>
        <v>936.41025641025647</v>
      </c>
      <c r="G124" s="1560"/>
      <c r="H124" s="1561">
        <f>SUM(H120:H123)</f>
        <v>862.56410256410254</v>
      </c>
      <c r="I124" s="1562"/>
      <c r="J124" s="1563" t="e">
        <f>SUM(J120:J123)</f>
        <v>#DIV/0!</v>
      </c>
      <c r="K124" s="1566"/>
      <c r="L124" s="1561">
        <f>SUM(L120:L123)</f>
        <v>1090.2564102564102</v>
      </c>
      <c r="M124" s="1564"/>
      <c r="N124" s="1565" t="e">
        <f>SUM(N120:N123)</f>
        <v>#DIV/0!</v>
      </c>
      <c r="O124" s="1566"/>
      <c r="P124" s="1567">
        <f>SUM(P120:P123)</f>
        <v>943.58974358974365</v>
      </c>
      <c r="Q124" s="1562"/>
      <c r="R124" s="1563" t="e">
        <f>SUM(R120:R123)</f>
        <v>#DIV/0!</v>
      </c>
      <c r="S124" s="1566"/>
      <c r="T124" s="2694">
        <f>SUM(T120:T123)</f>
        <v>0</v>
      </c>
      <c r="U124" s="1562"/>
      <c r="V124" s="1563" t="e">
        <f>SUM(V120:V123)</f>
        <v>#DIV/0!</v>
      </c>
      <c r="W124" s="1566"/>
      <c r="X124" s="1567">
        <f>SUM(X120:X123)</f>
        <v>0</v>
      </c>
      <c r="Y124" s="1564"/>
      <c r="Z124" s="1565" t="e">
        <f>SUM(Z120:Z123)</f>
        <v>#DIV/0!</v>
      </c>
      <c r="AA124" s="1568"/>
      <c r="AB124" s="1569" t="e">
        <f>SUM(AB120:AB123)</f>
        <v>#DIV/0!</v>
      </c>
      <c r="AG124" s="4184"/>
      <c r="AH124" s="4184"/>
      <c r="AI124" s="4184"/>
      <c r="AJ124" s="4184"/>
      <c r="AQ124" s="4412"/>
      <c r="AR124" s="4412"/>
      <c r="AS124" s="4412"/>
      <c r="AT124" s="4412"/>
      <c r="AW124" s="26">
        <f t="shared" si="551"/>
        <v>0</v>
      </c>
      <c r="AX124" s="26">
        <f t="shared" si="552"/>
        <v>0</v>
      </c>
      <c r="BG124" s="26"/>
      <c r="BH124" s="26"/>
    </row>
    <row r="125" spans="2:60" ht="15" hidden="1" customHeight="1" x14ac:dyDescent="0.25">
      <c r="B125" s="1583"/>
      <c r="C125" s="1581"/>
      <c r="D125" s="1889"/>
      <c r="E125" s="1560"/>
      <c r="F125" s="1561"/>
      <c r="G125" s="1560"/>
      <c r="H125" s="1561"/>
      <c r="I125" s="1562"/>
      <c r="J125" s="1563"/>
      <c r="K125" s="1566"/>
      <c r="L125" s="1561"/>
      <c r="M125" s="1564"/>
      <c r="N125" s="1565"/>
      <c r="O125" s="1566"/>
      <c r="P125" s="1567"/>
      <c r="Q125" s="1562"/>
      <c r="R125" s="1563"/>
      <c r="S125" s="1566"/>
      <c r="T125" s="2694"/>
      <c r="U125" s="1562"/>
      <c r="V125" s="1563"/>
      <c r="W125" s="1566"/>
      <c r="X125" s="1567"/>
      <c r="Y125" s="1564"/>
      <c r="Z125" s="1565"/>
      <c r="AA125" s="1568"/>
      <c r="AB125" s="1569"/>
      <c r="AG125" s="4184"/>
      <c r="AH125" s="4184"/>
      <c r="AI125" s="4184"/>
      <c r="AJ125" s="4184"/>
      <c r="AQ125" s="4412"/>
      <c r="AR125" s="4412"/>
      <c r="AS125" s="4412"/>
      <c r="AT125" s="4412"/>
      <c r="AW125" s="26">
        <f t="shared" si="551"/>
        <v>0</v>
      </c>
      <c r="AX125" s="26">
        <f t="shared" si="552"/>
        <v>0</v>
      </c>
      <c r="BG125" s="26"/>
      <c r="BH125" s="26"/>
    </row>
    <row r="126" spans="2:60" ht="15" hidden="1" customHeight="1" x14ac:dyDescent="0.25">
      <c r="B126" s="1558" t="s">
        <v>972</v>
      </c>
      <c r="C126" s="1582" t="s">
        <v>361</v>
      </c>
      <c r="D126" s="1019"/>
      <c r="E126" s="1560"/>
      <c r="F126" s="1561">
        <f>+F119-F124</f>
        <v>305663.58974358975</v>
      </c>
      <c r="G126" s="1560"/>
      <c r="H126" s="1561">
        <f>+H119-H124</f>
        <v>245761.02564102563</v>
      </c>
      <c r="I126" s="1562"/>
      <c r="J126" s="1563" t="e">
        <f>+J119-J124</f>
        <v>#DIV/0!</v>
      </c>
      <c r="K126" s="1566"/>
      <c r="L126" s="1561">
        <f>+L119-L124</f>
        <v>263358.97435897432</v>
      </c>
      <c r="M126" s="1564"/>
      <c r="N126" s="1565" t="e">
        <f>+N119-N124</f>
        <v>#DIV/0!</v>
      </c>
      <c r="O126" s="1566"/>
      <c r="P126" s="1567">
        <f>+P119-P124</f>
        <v>312472.8205128205</v>
      </c>
      <c r="Q126" s="1562"/>
      <c r="R126" s="1563" t="e">
        <f>+R119-R124</f>
        <v>#DIV/0!</v>
      </c>
      <c r="S126" s="1566"/>
      <c r="T126" s="2694">
        <f>+T119-T124</f>
        <v>304361.06153846148</v>
      </c>
      <c r="U126" s="1562"/>
      <c r="V126" s="1563" t="e">
        <f>+V119-V124</f>
        <v>#DIV/0!</v>
      </c>
      <c r="W126" s="1566"/>
      <c r="X126" s="1567">
        <f>+X119-X124</f>
        <v>304038.97435897432</v>
      </c>
      <c r="Y126" s="1564"/>
      <c r="Z126" s="1565" t="e">
        <f>+Z119-Z124</f>
        <v>#DIV/0!</v>
      </c>
      <c r="AA126" s="1568"/>
      <c r="AB126" s="1569" t="e">
        <f>+AB119-AB124</f>
        <v>#DIV/0!</v>
      </c>
      <c r="AG126" s="4184"/>
      <c r="AH126" s="4184"/>
      <c r="AI126" s="4184"/>
      <c r="AJ126" s="4184"/>
      <c r="AQ126" s="4412"/>
      <c r="AR126" s="4412"/>
      <c r="AS126" s="4412"/>
      <c r="AT126" s="4412"/>
      <c r="AW126" s="26">
        <f t="shared" si="551"/>
        <v>0</v>
      </c>
      <c r="AX126" s="26">
        <f t="shared" si="552"/>
        <v>0</v>
      </c>
      <c r="BG126" s="26"/>
      <c r="BH126" s="26"/>
    </row>
    <row r="127" spans="2:60" ht="15" hidden="1" customHeight="1" x14ac:dyDescent="0.25">
      <c r="B127" s="1583"/>
      <c r="C127" s="1581"/>
      <c r="E127" s="272"/>
      <c r="F127" s="272"/>
      <c r="G127" s="272"/>
      <c r="H127" s="272"/>
      <c r="I127" s="272"/>
      <c r="J127" s="272"/>
      <c r="K127" s="2077"/>
      <c r="L127" s="272"/>
      <c r="M127" s="272"/>
      <c r="N127" s="272"/>
      <c r="O127" s="2077"/>
      <c r="P127" s="272"/>
      <c r="Q127" s="272"/>
      <c r="R127" s="272"/>
      <c r="S127" s="272"/>
      <c r="T127" s="2693"/>
      <c r="U127" s="272"/>
      <c r="V127" s="272"/>
      <c r="W127" s="272"/>
      <c r="X127" s="272"/>
      <c r="Y127" s="272"/>
      <c r="Z127" s="272"/>
      <c r="AA127" s="272"/>
      <c r="AB127" s="272"/>
      <c r="AG127" s="4184"/>
      <c r="AH127" s="4184"/>
      <c r="AI127" s="4184"/>
      <c r="AJ127" s="4184"/>
      <c r="AQ127" s="4412"/>
      <c r="AR127" s="4412"/>
      <c r="AS127" s="4412"/>
      <c r="AT127" s="4412"/>
      <c r="AW127" s="26">
        <f t="shared" si="551"/>
        <v>0</v>
      </c>
      <c r="AX127" s="26">
        <f t="shared" si="552"/>
        <v>0</v>
      </c>
      <c r="BG127" s="26"/>
      <c r="BH127" s="26"/>
    </row>
    <row r="128" spans="2:60" ht="15.75" hidden="1" customHeight="1" x14ac:dyDescent="0.25">
      <c r="B128" s="1584" t="s">
        <v>812</v>
      </c>
      <c r="C128" s="1581"/>
      <c r="E128" s="272"/>
      <c r="F128" s="272"/>
      <c r="G128" s="272"/>
      <c r="H128" s="272"/>
      <c r="I128" s="272"/>
      <c r="J128" s="272"/>
      <c r="K128" s="2077"/>
      <c r="L128" s="272"/>
      <c r="M128" s="272"/>
      <c r="N128" s="272"/>
      <c r="O128" s="2077"/>
      <c r="P128" s="272"/>
      <c r="Q128" s="272"/>
      <c r="R128" s="272"/>
      <c r="S128" s="272"/>
      <c r="T128" s="2693"/>
      <c r="U128" s="272"/>
      <c r="V128" s="272"/>
      <c r="W128" s="272"/>
      <c r="X128" s="272"/>
      <c r="Y128" s="272"/>
      <c r="Z128" s="272"/>
      <c r="AA128" s="272"/>
      <c r="AB128" s="272"/>
      <c r="AG128" s="4184"/>
      <c r="AH128" s="4184"/>
      <c r="AI128" s="4184"/>
      <c r="AJ128" s="4184"/>
      <c r="AQ128" s="4412"/>
      <c r="AR128" s="4412"/>
      <c r="AS128" s="4412"/>
      <c r="AT128" s="4412"/>
      <c r="AW128" s="26">
        <f t="shared" si="551"/>
        <v>0</v>
      </c>
      <c r="AX128" s="26">
        <f t="shared" si="552"/>
        <v>0</v>
      </c>
      <c r="BG128" s="26"/>
      <c r="BH128" s="26"/>
    </row>
    <row r="129" spans="2:60" ht="15" hidden="1" customHeight="1" x14ac:dyDescent="0.25">
      <c r="B129" s="1558" t="s">
        <v>20</v>
      </c>
      <c r="C129" s="1582" t="s">
        <v>361</v>
      </c>
      <c r="D129" s="1019"/>
      <c r="E129" s="1560"/>
      <c r="F129" s="1561">
        <f>+F7+F38</f>
        <v>39366</v>
      </c>
      <c r="G129" s="1560"/>
      <c r="H129" s="1561">
        <f>+H7+H38</f>
        <v>31862</v>
      </c>
      <c r="I129" s="1562"/>
      <c r="J129" s="1563">
        <f>+J7+J38</f>
        <v>71228</v>
      </c>
      <c r="K129" s="1566"/>
      <c r="L129" s="1561">
        <f>+L7+L38</f>
        <v>20723</v>
      </c>
      <c r="M129" s="1564"/>
      <c r="N129" s="1565">
        <f>+N7+N38</f>
        <v>91951</v>
      </c>
      <c r="O129" s="1566"/>
      <c r="P129" s="1567">
        <f>+P7+P38</f>
        <v>34646</v>
      </c>
      <c r="Q129" s="1562"/>
      <c r="R129" s="1563">
        <f>+R7+R38</f>
        <v>126597</v>
      </c>
      <c r="S129" s="1566"/>
      <c r="T129" s="2694">
        <f>+T7+T38</f>
        <v>38595</v>
      </c>
      <c r="U129" s="1562"/>
      <c r="V129" s="1563">
        <f>+V7+V38</f>
        <v>165192</v>
      </c>
      <c r="W129" s="1566"/>
      <c r="X129" s="1567">
        <f>+X7+X38</f>
        <v>28215</v>
      </c>
      <c r="Y129" s="1564"/>
      <c r="Z129" s="1565">
        <f>+Z7+Z38</f>
        <v>101456</v>
      </c>
      <c r="AA129" s="1568"/>
      <c r="AB129" s="1569">
        <f>+AB7+AB38</f>
        <v>193407</v>
      </c>
      <c r="AG129" s="4184"/>
      <c r="AH129" s="4184"/>
      <c r="AI129" s="4184"/>
      <c r="AJ129" s="4184"/>
      <c r="AQ129" s="4412"/>
      <c r="AR129" s="4412"/>
      <c r="AS129" s="4412"/>
      <c r="AT129" s="4412"/>
      <c r="AW129" s="26">
        <f t="shared" si="551"/>
        <v>0</v>
      </c>
      <c r="AX129" s="26">
        <f t="shared" si="552"/>
        <v>0</v>
      </c>
      <c r="BG129" s="26"/>
      <c r="BH129" s="26"/>
    </row>
    <row r="130" spans="2:60" ht="15" hidden="1" customHeight="1" x14ac:dyDescent="0.25">
      <c r="B130" s="1558" t="s">
        <v>966</v>
      </c>
      <c r="C130" s="1585" t="s">
        <v>51</v>
      </c>
      <c r="D130" s="1866"/>
      <c r="E130" s="1586"/>
      <c r="F130" s="1587">
        <v>1.25</v>
      </c>
      <c r="G130" s="1586"/>
      <c r="H130" s="1587">
        <v>1.25</v>
      </c>
      <c r="I130" s="1588"/>
      <c r="J130" s="1589">
        <v>1.25</v>
      </c>
      <c r="K130" s="1592"/>
      <c r="L130" s="1587">
        <v>1.25</v>
      </c>
      <c r="M130" s="1590"/>
      <c r="N130" s="1591">
        <v>1.25</v>
      </c>
      <c r="O130" s="1592"/>
      <c r="P130" s="1593">
        <v>1.25</v>
      </c>
      <c r="Q130" s="1588"/>
      <c r="R130" s="1589">
        <v>1.25</v>
      </c>
      <c r="S130" s="1592"/>
      <c r="T130" s="2696">
        <v>1.25</v>
      </c>
      <c r="U130" s="1588"/>
      <c r="V130" s="1589">
        <v>1.25</v>
      </c>
      <c r="W130" s="1592"/>
      <c r="X130" s="1593">
        <v>1.25</v>
      </c>
      <c r="Y130" s="1590"/>
      <c r="Z130" s="1591">
        <v>1.25</v>
      </c>
      <c r="AA130" s="1594"/>
      <c r="AB130" s="1595">
        <v>1.25</v>
      </c>
      <c r="AG130" s="4184"/>
      <c r="AH130" s="4184"/>
      <c r="AI130" s="4184"/>
      <c r="AJ130" s="4184"/>
      <c r="AQ130" s="4412"/>
      <c r="AR130" s="4412"/>
      <c r="AS130" s="4412"/>
      <c r="AT130" s="4412"/>
      <c r="AW130" s="26">
        <f t="shared" si="551"/>
        <v>0</v>
      </c>
      <c r="AX130" s="26">
        <f t="shared" si="552"/>
        <v>0</v>
      </c>
      <c r="BG130" s="26"/>
      <c r="BH130" s="26"/>
    </row>
    <row r="131" spans="2:60" ht="15" hidden="1" customHeight="1" x14ac:dyDescent="0.25">
      <c r="B131" s="1558" t="s">
        <v>966</v>
      </c>
      <c r="C131" s="1582" t="s">
        <v>361</v>
      </c>
      <c r="D131" s="1019"/>
      <c r="E131" s="1560"/>
      <c r="F131" s="1561">
        <f>+F129*F130/(100-F130)</f>
        <v>498.30379746835445</v>
      </c>
      <c r="G131" s="1560"/>
      <c r="H131" s="1561">
        <f>+H129*H130/(100-H130)</f>
        <v>403.31645569620252</v>
      </c>
      <c r="I131" s="1562"/>
      <c r="J131" s="1563">
        <f>+J129*J130/(100-J130)</f>
        <v>901.62025316455697</v>
      </c>
      <c r="K131" s="1566"/>
      <c r="L131" s="1561">
        <f>+L129*L130/(100-L130)</f>
        <v>262.31645569620252</v>
      </c>
      <c r="M131" s="1564"/>
      <c r="N131" s="1565">
        <f>+N129*N130/(100-N130)</f>
        <v>1163.9367088607594</v>
      </c>
      <c r="O131" s="1566"/>
      <c r="P131" s="1567">
        <f>+P129*P130/(100-P130)</f>
        <v>438.55696202531647</v>
      </c>
      <c r="Q131" s="1562"/>
      <c r="R131" s="1563">
        <f>+R129*R130/(100-R130)</f>
        <v>1602.493670886076</v>
      </c>
      <c r="S131" s="1566"/>
      <c r="T131" s="2694">
        <f>+T129*T130/(100-T130)</f>
        <v>488.54430379746833</v>
      </c>
      <c r="U131" s="1562"/>
      <c r="V131" s="1563">
        <f>+V129*V130/(100-V130)</f>
        <v>2091.0379746835442</v>
      </c>
      <c r="W131" s="1566"/>
      <c r="X131" s="1567">
        <f>+X129*X130/(100-X130)</f>
        <v>357.15189873417722</v>
      </c>
      <c r="Y131" s="1564"/>
      <c r="Z131" s="1565">
        <f>+Z129*Z130/(100-Z130)</f>
        <v>1284.253164556962</v>
      </c>
      <c r="AA131" s="1568"/>
      <c r="AB131" s="1569">
        <f>+AB129*AB130/(100-AB130)</f>
        <v>2448.1898734177216</v>
      </c>
      <c r="AG131" s="4184"/>
      <c r="AH131" s="4184"/>
      <c r="AI131" s="4184"/>
      <c r="AJ131" s="4184"/>
      <c r="AQ131" s="4412"/>
      <c r="AR131" s="4412"/>
      <c r="AS131" s="4412"/>
      <c r="AT131" s="4412"/>
      <c r="AW131" s="26">
        <f t="shared" si="551"/>
        <v>0</v>
      </c>
      <c r="AX131" s="26">
        <f t="shared" si="552"/>
        <v>0</v>
      </c>
      <c r="BG131" s="26"/>
      <c r="BH131" s="26"/>
    </row>
    <row r="132" spans="2:60" ht="15" hidden="1" customHeight="1" x14ac:dyDescent="0.25">
      <c r="B132" s="1558" t="s">
        <v>510</v>
      </c>
      <c r="C132" s="1582" t="s">
        <v>361</v>
      </c>
      <c r="D132" s="1019"/>
      <c r="E132" s="1560"/>
      <c r="F132" s="1561">
        <f>+F131+F129</f>
        <v>39864.303797468354</v>
      </c>
      <c r="G132" s="1560"/>
      <c r="H132" s="1561">
        <f>+H131+H129</f>
        <v>32265.316455696204</v>
      </c>
      <c r="I132" s="1562"/>
      <c r="J132" s="1563">
        <f>+J131+J129</f>
        <v>72129.620253164554</v>
      </c>
      <c r="K132" s="1566"/>
      <c r="L132" s="1561">
        <f>+L131+L129</f>
        <v>20985.316455696204</v>
      </c>
      <c r="M132" s="1564"/>
      <c r="N132" s="1565">
        <f>+N131+N129</f>
        <v>93114.936708860754</v>
      </c>
      <c r="O132" s="1566"/>
      <c r="P132" s="1567">
        <f>+P131+P129</f>
        <v>35084.556962025315</v>
      </c>
      <c r="Q132" s="1562"/>
      <c r="R132" s="1563">
        <f>+R131+R129</f>
        <v>128199.49367088608</v>
      </c>
      <c r="S132" s="1566"/>
      <c r="T132" s="2694">
        <f>+T131+T129</f>
        <v>39083.544303797469</v>
      </c>
      <c r="U132" s="1562"/>
      <c r="V132" s="1563">
        <f>+V131+V129</f>
        <v>167283.03797468354</v>
      </c>
      <c r="W132" s="1566"/>
      <c r="X132" s="1567">
        <f>+X131+X129</f>
        <v>28572.151898734177</v>
      </c>
      <c r="Y132" s="1564"/>
      <c r="Z132" s="1565">
        <f>+Z131+Z129</f>
        <v>102740.25316455697</v>
      </c>
      <c r="AA132" s="1568"/>
      <c r="AB132" s="1569">
        <f>+AB131+AB129</f>
        <v>195855.18987341772</v>
      </c>
      <c r="AG132" s="4184"/>
      <c r="AH132" s="4184"/>
      <c r="AI132" s="4184"/>
      <c r="AJ132" s="4184"/>
      <c r="AQ132" s="4412"/>
      <c r="AR132" s="4412"/>
      <c r="AS132" s="4412"/>
      <c r="AT132" s="4412"/>
      <c r="AW132" s="26">
        <f t="shared" si="551"/>
        <v>0</v>
      </c>
      <c r="AX132" s="26">
        <f t="shared" si="552"/>
        <v>0</v>
      </c>
      <c r="BG132" s="26"/>
      <c r="BH132" s="26"/>
    </row>
    <row r="133" spans="2:60" ht="15" hidden="1" customHeight="1" x14ac:dyDescent="0.25">
      <c r="B133" s="1558"/>
      <c r="C133" s="1582"/>
      <c r="D133" s="1019"/>
      <c r="E133" s="1560"/>
      <c r="F133" s="1561"/>
      <c r="G133" s="1560"/>
      <c r="H133" s="1561"/>
      <c r="I133" s="1562"/>
      <c r="J133" s="1563"/>
      <c r="K133" s="1566"/>
      <c r="L133" s="1561"/>
      <c r="M133" s="1564"/>
      <c r="N133" s="1565"/>
      <c r="O133" s="1566"/>
      <c r="P133" s="1567"/>
      <c r="Q133" s="1562"/>
      <c r="R133" s="1563"/>
      <c r="S133" s="1566"/>
      <c r="T133" s="2694"/>
      <c r="U133" s="1562"/>
      <c r="V133" s="1563"/>
      <c r="W133" s="1566"/>
      <c r="X133" s="1567"/>
      <c r="Y133" s="1564"/>
      <c r="Z133" s="1565"/>
      <c r="AA133" s="1568"/>
      <c r="AB133" s="1569"/>
      <c r="AG133" s="4184"/>
      <c r="AH133" s="4184"/>
      <c r="AI133" s="4184"/>
      <c r="AJ133" s="4184"/>
      <c r="AQ133" s="4412"/>
      <c r="AR133" s="4412"/>
      <c r="AS133" s="4412"/>
      <c r="AT133" s="4412"/>
      <c r="AW133" s="26">
        <f t="shared" si="551"/>
        <v>0</v>
      </c>
      <c r="AX133" s="26">
        <f t="shared" si="552"/>
        <v>0</v>
      </c>
      <c r="BG133" s="26"/>
      <c r="BH133" s="26"/>
    </row>
    <row r="134" spans="2:60" ht="15.75" hidden="1" customHeight="1" x14ac:dyDescent="0.25">
      <c r="B134" s="1584" t="s">
        <v>811</v>
      </c>
      <c r="C134" s="1581"/>
      <c r="D134" s="1889"/>
      <c r="E134" s="1560"/>
      <c r="F134" s="1561"/>
      <c r="G134" s="1560"/>
      <c r="H134" s="1561"/>
      <c r="I134" s="1562"/>
      <c r="J134" s="1563"/>
      <c r="K134" s="1566"/>
      <c r="L134" s="1561"/>
      <c r="M134" s="1564"/>
      <c r="N134" s="1565"/>
      <c r="O134" s="1566"/>
      <c r="P134" s="1567"/>
      <c r="Q134" s="1562"/>
      <c r="R134" s="1563"/>
      <c r="S134" s="1566"/>
      <c r="T134" s="2694"/>
      <c r="U134" s="1562"/>
      <c r="V134" s="1563"/>
      <c r="W134" s="1566"/>
      <c r="X134" s="1567"/>
      <c r="Y134" s="1564"/>
      <c r="Z134" s="1565"/>
      <c r="AA134" s="1568"/>
      <c r="AB134" s="1569"/>
      <c r="AG134" s="4184"/>
      <c r="AH134" s="4184"/>
      <c r="AI134" s="4184"/>
      <c r="AJ134" s="4184"/>
      <c r="AQ134" s="4412"/>
      <c r="AR134" s="4412"/>
      <c r="AS134" s="4412"/>
      <c r="AT134" s="4412"/>
      <c r="AW134" s="26">
        <f t="shared" si="551"/>
        <v>0</v>
      </c>
      <c r="AX134" s="26">
        <f t="shared" si="552"/>
        <v>0</v>
      </c>
      <c r="BG134" s="26"/>
      <c r="BH134" s="26"/>
    </row>
    <row r="135" spans="2:60" ht="15" hidden="1" customHeight="1" x14ac:dyDescent="0.25">
      <c r="B135" s="1558" t="s">
        <v>20</v>
      </c>
      <c r="C135" s="1582" t="s">
        <v>361</v>
      </c>
      <c r="D135" s="1019"/>
      <c r="E135" s="1560"/>
      <c r="F135" s="1561">
        <f>+F8+F39</f>
        <v>32342</v>
      </c>
      <c r="G135" s="1560"/>
      <c r="H135" s="1561">
        <f>+H8+H39</f>
        <v>27163</v>
      </c>
      <c r="I135" s="1562"/>
      <c r="J135" s="1563">
        <f>+J8+J39</f>
        <v>59505</v>
      </c>
      <c r="K135" s="1566"/>
      <c r="L135" s="1561">
        <f>+L8+L39</f>
        <v>37220</v>
      </c>
      <c r="M135" s="1564"/>
      <c r="N135" s="1565">
        <f>+N8+N39</f>
        <v>96725</v>
      </c>
      <c r="O135" s="1566"/>
      <c r="P135" s="1567">
        <f>+P8+P39</f>
        <v>35334</v>
      </c>
      <c r="Q135" s="1562"/>
      <c r="R135" s="1563">
        <f>+R8+R39</f>
        <v>132059</v>
      </c>
      <c r="S135" s="1566"/>
      <c r="T135" s="2694">
        <f>+T8+T39</f>
        <v>41850</v>
      </c>
      <c r="U135" s="1562"/>
      <c r="V135" s="1563">
        <f>+V8+V39</f>
        <v>173909</v>
      </c>
      <c r="W135" s="1566"/>
      <c r="X135" s="1567">
        <f>+X8+X39</f>
        <v>34606</v>
      </c>
      <c r="Y135" s="1564"/>
      <c r="Z135" s="1565">
        <f>+Z8+Z39</f>
        <v>111790</v>
      </c>
      <c r="AA135" s="1568"/>
      <c r="AB135" s="1569">
        <f>+AB8+AB39</f>
        <v>208515</v>
      </c>
      <c r="AG135" s="4184"/>
      <c r="AH135" s="4184"/>
      <c r="AI135" s="4184"/>
      <c r="AJ135" s="4184"/>
      <c r="AQ135" s="4412"/>
      <c r="AR135" s="4412"/>
      <c r="AS135" s="4412"/>
      <c r="AT135" s="4412"/>
      <c r="AW135" s="26">
        <f t="shared" si="551"/>
        <v>0</v>
      </c>
      <c r="AX135" s="26">
        <f t="shared" si="552"/>
        <v>0</v>
      </c>
      <c r="BG135" s="26"/>
      <c r="BH135" s="26"/>
    </row>
    <row r="136" spans="2:60" ht="15" hidden="1" customHeight="1" x14ac:dyDescent="0.25">
      <c r="B136" s="1558" t="s">
        <v>966</v>
      </c>
      <c r="C136" s="1585" t="s">
        <v>51</v>
      </c>
      <c r="D136" s="1866"/>
      <c r="E136" s="1586"/>
      <c r="F136" s="1587">
        <v>1.25</v>
      </c>
      <c r="G136" s="1586"/>
      <c r="H136" s="1587">
        <v>1.25</v>
      </c>
      <c r="I136" s="1588"/>
      <c r="J136" s="1589">
        <v>1.25</v>
      </c>
      <c r="K136" s="1592"/>
      <c r="L136" s="1587">
        <v>1.25</v>
      </c>
      <c r="M136" s="1590"/>
      <c r="N136" s="1591">
        <v>1.25</v>
      </c>
      <c r="O136" s="1592"/>
      <c r="P136" s="1593">
        <v>1.25</v>
      </c>
      <c r="Q136" s="1588"/>
      <c r="R136" s="1589">
        <v>1.25</v>
      </c>
      <c r="S136" s="1592"/>
      <c r="T136" s="2696">
        <v>1.25</v>
      </c>
      <c r="U136" s="1588"/>
      <c r="V136" s="1589">
        <v>1.25</v>
      </c>
      <c r="W136" s="1592"/>
      <c r="X136" s="1593">
        <v>1.25</v>
      </c>
      <c r="Y136" s="1590"/>
      <c r="Z136" s="1591">
        <v>1.25</v>
      </c>
      <c r="AA136" s="1594"/>
      <c r="AB136" s="1595">
        <v>1.25</v>
      </c>
      <c r="AG136" s="4184"/>
      <c r="AH136" s="4184"/>
      <c r="AI136" s="4184"/>
      <c r="AJ136" s="4184"/>
      <c r="AQ136" s="4412"/>
      <c r="AR136" s="4412"/>
      <c r="AS136" s="4412"/>
      <c r="AT136" s="4412"/>
      <c r="AW136" s="26">
        <f t="shared" si="551"/>
        <v>0</v>
      </c>
      <c r="AX136" s="26">
        <f t="shared" si="552"/>
        <v>0</v>
      </c>
      <c r="BG136" s="26"/>
      <c r="BH136" s="26"/>
    </row>
    <row r="137" spans="2:60" ht="15" hidden="1" customHeight="1" x14ac:dyDescent="0.25">
      <c r="B137" s="1558" t="s">
        <v>966</v>
      </c>
      <c r="C137" s="1582" t="s">
        <v>361</v>
      </c>
      <c r="D137" s="1019"/>
      <c r="E137" s="1560"/>
      <c r="F137" s="1561">
        <f>+F135*F136/(100-F136)</f>
        <v>409.39240506329116</v>
      </c>
      <c r="G137" s="1560"/>
      <c r="H137" s="1561">
        <f>+H135*H136/(100-H136)</f>
        <v>343.8354430379747</v>
      </c>
      <c r="I137" s="1562"/>
      <c r="J137" s="1563">
        <f>+J135*J136/(100-J136)</f>
        <v>753.22784810126586</v>
      </c>
      <c r="K137" s="1566"/>
      <c r="L137" s="1561">
        <f>+L135*L136/(100-L136)</f>
        <v>471.13924050632909</v>
      </c>
      <c r="M137" s="1564"/>
      <c r="N137" s="1565">
        <f>+N135*N136/(100-N136)</f>
        <v>1224.367088607595</v>
      </c>
      <c r="O137" s="1566"/>
      <c r="P137" s="1567">
        <f>+P135*P136/(100-P136)</f>
        <v>447.26582278481015</v>
      </c>
      <c r="Q137" s="1562"/>
      <c r="R137" s="1563">
        <f>+R135*R136/(100-R136)</f>
        <v>1671.632911392405</v>
      </c>
      <c r="S137" s="1566"/>
      <c r="T137" s="2694">
        <f>+T135*T136/(100-T136)</f>
        <v>529.74683544303798</v>
      </c>
      <c r="U137" s="1562"/>
      <c r="V137" s="1563">
        <f>+V135*V136/(100-V136)</f>
        <v>2201.3797468354433</v>
      </c>
      <c r="W137" s="1566"/>
      <c r="X137" s="1567">
        <f>+X135*X136/(100-X136)</f>
        <v>438.05063291139243</v>
      </c>
      <c r="Y137" s="1564"/>
      <c r="Z137" s="1565">
        <f>+Z135*Z136/(100-Z136)</f>
        <v>1415.0632911392406</v>
      </c>
      <c r="AA137" s="1568"/>
      <c r="AB137" s="1569">
        <f>+AB135*AB136/(100-AB136)</f>
        <v>2639.4303797468356</v>
      </c>
      <c r="AG137" s="4184"/>
      <c r="AH137" s="4184"/>
      <c r="AI137" s="4184"/>
      <c r="AJ137" s="4184"/>
      <c r="AQ137" s="4412"/>
      <c r="AR137" s="4412"/>
      <c r="AS137" s="4412"/>
      <c r="AT137" s="4412"/>
      <c r="AW137" s="26">
        <f t="shared" si="551"/>
        <v>0</v>
      </c>
      <c r="AX137" s="26">
        <f t="shared" si="552"/>
        <v>0</v>
      </c>
      <c r="BG137" s="26"/>
      <c r="BH137" s="26"/>
    </row>
    <row r="138" spans="2:60" ht="15" hidden="1" customHeight="1" x14ac:dyDescent="0.25">
      <c r="B138" s="1558" t="s">
        <v>510</v>
      </c>
      <c r="C138" s="1582" t="s">
        <v>361</v>
      </c>
      <c r="D138" s="1019"/>
      <c r="E138" s="1560"/>
      <c r="F138" s="1561">
        <f>+F137+F135</f>
        <v>32751.392405063292</v>
      </c>
      <c r="G138" s="1560"/>
      <c r="H138" s="1561">
        <f>+H137+H135</f>
        <v>27506.835443037973</v>
      </c>
      <c r="I138" s="1562"/>
      <c r="J138" s="1563">
        <f>+J137+J135</f>
        <v>60258.227848101269</v>
      </c>
      <c r="K138" s="1566"/>
      <c r="L138" s="1561">
        <f>+L137+L135</f>
        <v>37691.139240506331</v>
      </c>
      <c r="M138" s="1564"/>
      <c r="N138" s="1565">
        <f>+N137+N135</f>
        <v>97949.3670886076</v>
      </c>
      <c r="O138" s="1566"/>
      <c r="P138" s="1567">
        <f>+P137+P135</f>
        <v>35781.265822784808</v>
      </c>
      <c r="Q138" s="1562"/>
      <c r="R138" s="1563">
        <f>+R137+R135</f>
        <v>133730.6329113924</v>
      </c>
      <c r="S138" s="1566"/>
      <c r="T138" s="2694">
        <f>+T137+T135</f>
        <v>42379.746835443038</v>
      </c>
      <c r="U138" s="1562"/>
      <c r="V138" s="1563">
        <f>+V137+V135</f>
        <v>176110.37974683545</v>
      </c>
      <c r="W138" s="1566"/>
      <c r="X138" s="1567">
        <f>+X137+X135</f>
        <v>35044.050632911392</v>
      </c>
      <c r="Y138" s="1564"/>
      <c r="Z138" s="1565">
        <f>+Z137+Z135</f>
        <v>113205.06329113925</v>
      </c>
      <c r="AA138" s="1568"/>
      <c r="AB138" s="1569">
        <f>+AB137+AB135</f>
        <v>211154.43037974683</v>
      </c>
      <c r="AG138" s="4184"/>
      <c r="AH138" s="4184"/>
      <c r="AI138" s="4184"/>
      <c r="AJ138" s="4184"/>
      <c r="AQ138" s="4412"/>
      <c r="AR138" s="4412"/>
      <c r="AS138" s="4412"/>
      <c r="AT138" s="4412"/>
      <c r="AW138" s="26">
        <f t="shared" ref="AW138:AW145" si="553">AS138-AU138</f>
        <v>0</v>
      </c>
      <c r="AX138" s="26">
        <f t="shared" ref="AX138:AX145" si="554">AT138-AV138</f>
        <v>0</v>
      </c>
      <c r="BG138" s="26"/>
      <c r="BH138" s="26"/>
    </row>
    <row r="139" spans="2:60" ht="15" hidden="1" customHeight="1" x14ac:dyDescent="0.25">
      <c r="B139" s="272"/>
      <c r="C139" s="272"/>
      <c r="E139" s="272"/>
      <c r="F139" s="272"/>
      <c r="G139" s="272"/>
      <c r="H139" s="272"/>
      <c r="I139" s="272"/>
      <c r="J139" s="272"/>
      <c r="K139" s="2077"/>
      <c r="L139" s="272"/>
      <c r="M139" s="272"/>
      <c r="N139" s="272"/>
      <c r="O139" s="2077"/>
      <c r="P139" s="272"/>
      <c r="Q139" s="272"/>
      <c r="R139" s="272"/>
      <c r="S139" s="272"/>
      <c r="T139" s="2693"/>
      <c r="U139" s="272"/>
      <c r="V139" s="272"/>
      <c r="W139" s="272"/>
      <c r="X139" s="272"/>
      <c r="Y139" s="272"/>
      <c r="Z139" s="272"/>
      <c r="AA139" s="272"/>
      <c r="AB139" s="272"/>
      <c r="AG139" s="4184"/>
      <c r="AH139" s="4184"/>
      <c r="AI139" s="4184"/>
      <c r="AJ139" s="4184"/>
      <c r="AQ139" s="4412"/>
      <c r="AR139" s="4412"/>
      <c r="AS139" s="4412"/>
      <c r="AT139" s="4412"/>
      <c r="AW139" s="26">
        <f t="shared" si="553"/>
        <v>0</v>
      </c>
      <c r="AX139" s="26">
        <f t="shared" si="554"/>
        <v>0</v>
      </c>
      <c r="BG139" s="26"/>
      <c r="BH139" s="26"/>
    </row>
    <row r="140" spans="2:60" ht="15" hidden="1" customHeight="1" x14ac:dyDescent="0.25">
      <c r="B140" s="272"/>
      <c r="C140" s="272"/>
      <c r="E140" s="272"/>
      <c r="F140" s="272"/>
      <c r="G140" s="272"/>
      <c r="H140" s="272"/>
      <c r="I140" s="272"/>
      <c r="J140" s="272"/>
      <c r="K140" s="2077"/>
      <c r="L140" s="272"/>
      <c r="M140" s="272"/>
      <c r="N140" s="272"/>
      <c r="O140" s="2077"/>
      <c r="P140" s="272"/>
      <c r="Q140" s="272"/>
      <c r="R140" s="272"/>
      <c r="S140" s="272"/>
      <c r="T140" s="2693"/>
      <c r="U140" s="272"/>
      <c r="V140" s="272"/>
      <c r="W140" s="272"/>
      <c r="X140" s="272"/>
      <c r="Y140" s="272"/>
      <c r="Z140" s="272"/>
      <c r="AA140" s="272"/>
      <c r="AB140" s="272"/>
      <c r="AG140" s="4184"/>
      <c r="AH140" s="4184"/>
      <c r="AI140" s="4184"/>
      <c r="AJ140" s="4184"/>
      <c r="AQ140" s="4412"/>
      <c r="AR140" s="4412"/>
      <c r="AS140" s="4412"/>
      <c r="AT140" s="4412"/>
      <c r="AW140" s="26">
        <f t="shared" si="553"/>
        <v>0</v>
      </c>
      <c r="AX140" s="26">
        <f t="shared" si="554"/>
        <v>0</v>
      </c>
      <c r="BG140" s="26"/>
      <c r="BH140" s="26"/>
    </row>
    <row r="141" spans="2:60" ht="15" hidden="1" customHeight="1" x14ac:dyDescent="0.25">
      <c r="B141" s="272"/>
      <c r="C141" s="272"/>
      <c r="E141" s="272"/>
      <c r="F141" s="272"/>
      <c r="G141" s="272"/>
      <c r="H141" s="272"/>
      <c r="I141" s="272"/>
      <c r="J141" s="272"/>
      <c r="K141" s="2077"/>
      <c r="L141" s="272"/>
      <c r="M141" s="272"/>
      <c r="N141" s="272"/>
      <c r="O141" s="2077"/>
      <c r="P141" s="272"/>
      <c r="Q141" s="272"/>
      <c r="R141" s="272"/>
      <c r="S141" s="272"/>
      <c r="T141" s="2693"/>
      <c r="U141" s="272"/>
      <c r="V141" s="272"/>
      <c r="W141" s="272"/>
      <c r="X141" s="272"/>
      <c r="Y141" s="272"/>
      <c r="Z141" s="272"/>
      <c r="AA141" s="272"/>
      <c r="AB141" s="272"/>
      <c r="AG141" s="4184"/>
      <c r="AH141" s="4184"/>
      <c r="AI141" s="4184"/>
      <c r="AJ141" s="4184"/>
      <c r="AQ141" s="4412"/>
      <c r="AR141" s="4412"/>
      <c r="AS141" s="4412"/>
      <c r="AT141" s="4412"/>
      <c r="AW141" s="26">
        <f t="shared" si="553"/>
        <v>0</v>
      </c>
      <c r="AX141" s="26">
        <f t="shared" si="554"/>
        <v>0</v>
      </c>
      <c r="BG141" s="26"/>
      <c r="BH141" s="26"/>
    </row>
    <row r="142" spans="2:60" ht="15" hidden="1" customHeight="1" x14ac:dyDescent="0.25">
      <c r="B142" s="272"/>
      <c r="C142" s="272"/>
      <c r="E142" s="272"/>
      <c r="F142" s="272"/>
      <c r="G142" s="272"/>
      <c r="H142" s="272"/>
      <c r="I142" s="272"/>
      <c r="J142" s="272"/>
      <c r="K142" s="2077"/>
      <c r="L142" s="272"/>
      <c r="M142" s="272"/>
      <c r="N142" s="272"/>
      <c r="O142" s="2077"/>
      <c r="P142" s="272"/>
      <c r="Q142" s="272"/>
      <c r="R142" s="272"/>
      <c r="S142" s="272"/>
      <c r="T142" s="2693"/>
      <c r="U142" s="272"/>
      <c r="V142" s="272"/>
      <c r="W142" s="272"/>
      <c r="X142" s="272"/>
      <c r="Y142" s="272"/>
      <c r="Z142" s="272"/>
      <c r="AA142" s="272"/>
      <c r="AB142" s="272"/>
      <c r="AG142" s="4184"/>
      <c r="AH142" s="4184"/>
      <c r="AI142" s="4184"/>
      <c r="AJ142" s="4184"/>
      <c r="AQ142" s="4412"/>
      <c r="AR142" s="4412"/>
      <c r="AS142" s="4412"/>
      <c r="AT142" s="4412"/>
      <c r="AW142" s="26">
        <f t="shared" si="553"/>
        <v>0</v>
      </c>
      <c r="AX142" s="26">
        <f t="shared" si="554"/>
        <v>0</v>
      </c>
      <c r="BG142" s="26"/>
      <c r="BH142" s="26"/>
    </row>
    <row r="143" spans="2:60" ht="15" hidden="1" customHeight="1" x14ac:dyDescent="0.25">
      <c r="B143" s="272"/>
      <c r="C143" s="272"/>
      <c r="E143" s="272"/>
      <c r="F143" s="272"/>
      <c r="G143" s="272"/>
      <c r="H143" s="272"/>
      <c r="I143" s="272"/>
      <c r="J143" s="272"/>
      <c r="K143" s="2077"/>
      <c r="L143" s="272"/>
      <c r="M143" s="272"/>
      <c r="N143" s="272"/>
      <c r="O143" s="2077"/>
      <c r="P143" s="272"/>
      <c r="Q143" s="272"/>
      <c r="R143" s="272"/>
      <c r="S143" s="272"/>
      <c r="T143" s="2693"/>
      <c r="U143" s="272"/>
      <c r="V143" s="272"/>
      <c r="W143" s="272"/>
      <c r="X143" s="272"/>
      <c r="Y143" s="272"/>
      <c r="Z143" s="272"/>
      <c r="AA143" s="272"/>
      <c r="AB143" s="272"/>
      <c r="AG143" s="4184"/>
      <c r="AH143" s="4184"/>
      <c r="AI143" s="4184"/>
      <c r="AJ143" s="4184"/>
      <c r="AQ143" s="4412"/>
      <c r="AR143" s="4412"/>
      <c r="AS143" s="4412"/>
      <c r="AT143" s="4412"/>
      <c r="AW143" s="26">
        <f t="shared" si="553"/>
        <v>0</v>
      </c>
      <c r="AX143" s="26">
        <f t="shared" si="554"/>
        <v>0</v>
      </c>
      <c r="BG143" s="26"/>
      <c r="BH143" s="26"/>
    </row>
    <row r="144" spans="2:60" ht="15" hidden="1" customHeight="1" x14ac:dyDescent="0.25">
      <c r="B144" s="272"/>
      <c r="C144" s="272"/>
      <c r="E144" s="272"/>
      <c r="F144" s="272"/>
      <c r="G144" s="272"/>
      <c r="H144" s="272"/>
      <c r="I144" s="272"/>
      <c r="J144" s="272"/>
      <c r="K144" s="2077"/>
      <c r="L144" s="272"/>
      <c r="M144" s="272"/>
      <c r="N144" s="272"/>
      <c r="O144" s="2077"/>
      <c r="P144" s="272"/>
      <c r="Q144" s="272"/>
      <c r="R144" s="272"/>
      <c r="S144" s="272"/>
      <c r="T144" s="2693"/>
      <c r="U144" s="272"/>
      <c r="V144" s="272"/>
      <c r="W144" s="272"/>
      <c r="X144" s="272"/>
      <c r="Y144" s="272"/>
      <c r="Z144" s="272"/>
      <c r="AA144" s="272"/>
      <c r="AB144" s="272"/>
      <c r="AG144" s="4184"/>
      <c r="AH144" s="4184"/>
      <c r="AI144" s="4184"/>
      <c r="AJ144" s="4184"/>
      <c r="AQ144" s="4412"/>
      <c r="AR144" s="4412"/>
      <c r="AS144" s="4412"/>
      <c r="AT144" s="4412"/>
      <c r="AW144" s="26">
        <f t="shared" si="553"/>
        <v>0</v>
      </c>
      <c r="AX144" s="26">
        <f t="shared" si="554"/>
        <v>0</v>
      </c>
      <c r="BG144" s="26"/>
      <c r="BH144" s="26"/>
    </row>
    <row r="145" spans="2:60" ht="15" hidden="1" customHeight="1" x14ac:dyDescent="0.25">
      <c r="B145" s="272"/>
      <c r="C145" s="272"/>
      <c r="E145" s="272"/>
      <c r="F145" s="272"/>
      <c r="G145" s="272"/>
      <c r="H145" s="272"/>
      <c r="I145" s="272"/>
      <c r="J145" s="272"/>
      <c r="K145" s="2077"/>
      <c r="L145" s="272"/>
      <c r="M145" s="272"/>
      <c r="N145" s="272"/>
      <c r="O145" s="2077"/>
      <c r="P145" s="272"/>
      <c r="Q145" s="272"/>
      <c r="R145" s="272"/>
      <c r="S145" s="272"/>
      <c r="T145" s="2693"/>
      <c r="U145" s="272"/>
      <c r="V145" s="272"/>
      <c r="W145" s="272"/>
      <c r="X145" s="272"/>
      <c r="Y145" s="272"/>
      <c r="Z145" s="272"/>
      <c r="AA145" s="272"/>
      <c r="AB145" s="272"/>
      <c r="AG145" s="4184"/>
      <c r="AH145" s="4184"/>
      <c r="AI145" s="4184"/>
      <c r="AJ145" s="4184"/>
      <c r="AQ145" s="4412"/>
      <c r="AR145" s="4412"/>
      <c r="AS145" s="4412"/>
      <c r="AT145" s="4412"/>
      <c r="AW145" s="26">
        <f t="shared" si="553"/>
        <v>0</v>
      </c>
      <c r="AX145" s="26">
        <f t="shared" si="554"/>
        <v>0</v>
      </c>
      <c r="BG145" s="26"/>
      <c r="BH145" s="26"/>
    </row>
    <row r="146" spans="2:60" ht="15" customHeight="1" x14ac:dyDescent="0.25">
      <c r="B146" s="272"/>
      <c r="C146" s="272"/>
      <c r="E146" s="272"/>
      <c r="F146" s="272"/>
      <c r="G146" s="272"/>
      <c r="H146" s="272"/>
      <c r="I146" s="272"/>
      <c r="J146" s="272"/>
      <c r="K146" s="2077"/>
      <c r="L146" s="272"/>
      <c r="M146" s="272"/>
      <c r="N146" s="272"/>
      <c r="O146" s="2077"/>
      <c r="P146" s="272"/>
      <c r="Q146" s="272"/>
      <c r="R146" s="272"/>
      <c r="S146" s="272"/>
      <c r="T146" s="2693"/>
      <c r="U146" s="272"/>
      <c r="V146" s="272"/>
      <c r="W146" s="272"/>
      <c r="X146" s="272"/>
      <c r="Y146" s="272"/>
      <c r="Z146" s="272"/>
      <c r="AA146" s="272"/>
      <c r="AB146" s="272"/>
      <c r="AG146" s="4184"/>
      <c r="AH146" s="4184"/>
      <c r="AI146" s="4184"/>
      <c r="AJ146" s="4184"/>
      <c r="AQ146" s="4412"/>
      <c r="AR146" s="4412"/>
      <c r="AS146" s="4412"/>
      <c r="AT146" s="4412"/>
    </row>
    <row r="147" spans="2:60" ht="15" customHeight="1" x14ac:dyDescent="0.25">
      <c r="B147" s="272"/>
      <c r="C147" s="272"/>
      <c r="E147" s="272"/>
      <c r="F147" s="272"/>
      <c r="G147" s="272"/>
      <c r="H147" s="272"/>
      <c r="I147" s="272"/>
      <c r="J147" s="272"/>
      <c r="K147" s="2077"/>
      <c r="L147" s="272"/>
      <c r="M147" s="272"/>
      <c r="N147" s="272"/>
      <c r="O147" s="2077"/>
      <c r="P147" s="272"/>
      <c r="Q147" s="272"/>
      <c r="R147" s="272"/>
      <c r="S147" s="272"/>
      <c r="T147" s="2693"/>
      <c r="U147" s="272"/>
      <c r="V147" s="272"/>
      <c r="W147" s="272"/>
      <c r="X147" s="272"/>
      <c r="Y147" s="272"/>
      <c r="Z147" s="272"/>
      <c r="AA147" s="272"/>
      <c r="AB147" s="272"/>
      <c r="AQ147" s="4412"/>
      <c r="AR147" s="4412"/>
      <c r="AS147" s="4412"/>
      <c r="AT147" s="4412"/>
    </row>
    <row r="148" spans="2:60" ht="15" customHeight="1" x14ac:dyDescent="0.25">
      <c r="B148" s="272"/>
      <c r="C148" s="272"/>
      <c r="E148" s="272"/>
      <c r="F148" s="272"/>
      <c r="G148" s="272"/>
      <c r="H148" s="272"/>
      <c r="I148" s="272"/>
      <c r="J148" s="272"/>
      <c r="K148" s="2077"/>
      <c r="L148" s="272"/>
      <c r="M148" s="272"/>
      <c r="N148" s="272"/>
      <c r="O148" s="2077"/>
      <c r="P148" s="272"/>
      <c r="Q148" s="272"/>
      <c r="R148" s="272"/>
      <c r="S148" s="272"/>
      <c r="T148" s="2693"/>
      <c r="U148" s="272"/>
      <c r="V148" s="272"/>
      <c r="W148" s="272"/>
      <c r="X148" s="272"/>
      <c r="Y148" s="272"/>
      <c r="Z148" s="272"/>
      <c r="AA148" s="272"/>
      <c r="AB148" s="272"/>
    </row>
    <row r="149" spans="2:60" x14ac:dyDescent="0.25">
      <c r="B149" s="272"/>
      <c r="C149" s="272"/>
      <c r="E149" s="272"/>
      <c r="F149" s="272"/>
      <c r="G149" s="272"/>
      <c r="H149" s="272"/>
      <c r="I149" s="272"/>
      <c r="J149" s="272"/>
      <c r="K149" s="2077"/>
      <c r="L149" s="272"/>
      <c r="M149" s="272"/>
      <c r="N149" s="272"/>
      <c r="O149" s="2077"/>
      <c r="P149" s="272"/>
      <c r="Q149" s="272"/>
      <c r="R149" s="272"/>
      <c r="S149" s="272"/>
      <c r="T149" s="2693"/>
      <c r="U149" s="272"/>
      <c r="V149" s="272"/>
      <c r="W149" s="272"/>
      <c r="X149" s="272"/>
      <c r="Y149" s="272"/>
      <c r="Z149" s="272"/>
      <c r="AA149" s="272"/>
      <c r="AB149" s="272"/>
    </row>
    <row r="150" spans="2:60" x14ac:dyDescent="0.25">
      <c r="B150" s="272"/>
      <c r="C150" s="272"/>
      <c r="E150" s="272"/>
      <c r="F150" s="272"/>
      <c r="G150" s="272"/>
      <c r="H150" s="272"/>
      <c r="I150" s="272"/>
      <c r="J150" s="272"/>
      <c r="K150" s="2077"/>
      <c r="L150" s="272"/>
      <c r="M150" s="272"/>
      <c r="N150" s="272"/>
      <c r="O150" s="2077"/>
      <c r="P150" s="272"/>
      <c r="Q150" s="272"/>
      <c r="R150" s="272"/>
      <c r="S150" s="272"/>
      <c r="T150" s="2693"/>
      <c r="U150" s="272"/>
      <c r="V150" s="272"/>
      <c r="W150" s="272"/>
      <c r="X150" s="272"/>
      <c r="Y150" s="272"/>
      <c r="Z150" s="272"/>
      <c r="AA150" s="272"/>
      <c r="AB150" s="272"/>
    </row>
    <row r="151" spans="2:60" x14ac:dyDescent="0.25">
      <c r="B151" s="272"/>
      <c r="C151" s="272"/>
      <c r="E151" s="272"/>
      <c r="F151" s="272"/>
      <c r="G151" s="272"/>
      <c r="H151" s="272"/>
      <c r="I151" s="272"/>
      <c r="J151" s="272"/>
      <c r="K151" s="2077"/>
      <c r="L151" s="272"/>
      <c r="M151" s="272"/>
      <c r="N151" s="272"/>
      <c r="O151" s="2077"/>
      <c r="P151" s="272"/>
      <c r="Q151" s="272"/>
      <c r="R151" s="272"/>
      <c r="S151" s="272"/>
      <c r="T151" s="2693"/>
      <c r="U151" s="272"/>
      <c r="V151" s="272"/>
      <c r="W151" s="272"/>
      <c r="X151" s="272"/>
      <c r="Y151" s="272"/>
      <c r="Z151" s="272"/>
      <c r="AA151" s="272"/>
      <c r="AB151" s="272"/>
    </row>
    <row r="152" spans="2:60" x14ac:dyDescent="0.25">
      <c r="B152" s="272"/>
      <c r="C152" s="272"/>
      <c r="E152" s="272"/>
      <c r="F152" s="272"/>
      <c r="G152" s="272"/>
      <c r="H152" s="272"/>
      <c r="I152" s="272"/>
      <c r="J152" s="272"/>
      <c r="K152" s="2077"/>
      <c r="L152" s="272"/>
      <c r="M152" s="272"/>
      <c r="N152" s="272"/>
      <c r="O152" s="2077"/>
      <c r="P152" s="272"/>
      <c r="Q152" s="272"/>
      <c r="R152" s="272"/>
      <c r="S152" s="272"/>
      <c r="T152" s="2693"/>
      <c r="U152" s="272"/>
      <c r="V152" s="272"/>
      <c r="W152" s="272"/>
      <c r="X152" s="272"/>
      <c r="Y152" s="272"/>
      <c r="Z152" s="272"/>
      <c r="AA152" s="272"/>
      <c r="AB152" s="272"/>
    </row>
  </sheetData>
  <mergeCells count="31">
    <mergeCell ref="AY3:AZ3"/>
    <mergeCell ref="BE3:BF3"/>
    <mergeCell ref="BA3:BB3"/>
    <mergeCell ref="BC3:BD3"/>
    <mergeCell ref="B62:B63"/>
    <mergeCell ref="B3:B4"/>
    <mergeCell ref="C3:C4"/>
    <mergeCell ref="E3:F3"/>
    <mergeCell ref="G3:H3"/>
    <mergeCell ref="D3:D4"/>
    <mergeCell ref="AG3:AH3"/>
    <mergeCell ref="AI3:AJ3"/>
    <mergeCell ref="AC3:AD3"/>
    <mergeCell ref="AE3:AF3"/>
    <mergeCell ref="I3:J3"/>
    <mergeCell ref="AU3:AV3"/>
    <mergeCell ref="AW3:AX3"/>
    <mergeCell ref="AQ3:AR3"/>
    <mergeCell ref="AS3:AT3"/>
    <mergeCell ref="K3:L3"/>
    <mergeCell ref="M3:N3"/>
    <mergeCell ref="O3:P3"/>
    <mergeCell ref="Q3:R3"/>
    <mergeCell ref="AK3:AL3"/>
    <mergeCell ref="AM3:AN3"/>
    <mergeCell ref="AO3:AP3"/>
    <mergeCell ref="S3:T3"/>
    <mergeCell ref="U3:V3"/>
    <mergeCell ref="W3:X3"/>
    <mergeCell ref="AA3:AB3"/>
    <mergeCell ref="Y3:Z3"/>
  </mergeCells>
  <printOptions horizontalCentered="1" verticalCentered="1"/>
  <pageMargins left="0" right="0" top="0" bottom="0" header="0" footer="0"/>
  <pageSetup scale="38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>
    <tabColor rgb="FF00B0F0"/>
    <pageSetUpPr fitToPage="1"/>
  </sheetPr>
  <dimension ref="A1:DL132"/>
  <sheetViews>
    <sheetView zoomScaleNormal="100" workbookViewId="0">
      <pane xSplit="4" topLeftCell="E1" activePane="topRight" state="frozen"/>
      <selection pane="topRight" activeCell="L33" sqref="L33"/>
    </sheetView>
  </sheetViews>
  <sheetFormatPr defaultColWidth="8.85546875" defaultRowHeight="15" x14ac:dyDescent="0.25"/>
  <cols>
    <col min="1" max="1" width="3.28515625" customWidth="1"/>
    <col min="2" max="2" width="58.5703125" customWidth="1"/>
    <col min="3" max="3" width="11.7109375" bestFit="1" customWidth="1"/>
    <col min="4" max="4" width="13.7109375" customWidth="1"/>
    <col min="5" max="5" width="10" customWidth="1"/>
    <col min="6" max="6" width="9.85546875" bestFit="1" customWidth="1"/>
    <col min="7" max="7" width="9" customWidth="1"/>
    <col min="8" max="8" width="9.85546875" customWidth="1"/>
    <col min="9" max="9" width="10.7109375" hidden="1" customWidth="1"/>
    <col min="10" max="10" width="14" hidden="1" customWidth="1"/>
    <col min="11" max="11" width="10.140625" customWidth="1"/>
    <col min="12" max="12" width="9.85546875" customWidth="1"/>
    <col min="13" max="13" width="11.5703125" customWidth="1"/>
    <col min="14" max="14" width="11.5703125" bestFit="1" customWidth="1"/>
    <col min="15" max="15" width="10.140625" customWidth="1"/>
    <col min="16" max="16" width="10.28515625" bestFit="1" customWidth="1"/>
    <col min="17" max="17" width="11.7109375" hidden="1" customWidth="1"/>
    <col min="18" max="18" width="12.42578125" hidden="1" customWidth="1"/>
    <col min="19" max="19" width="10.140625" customWidth="1"/>
    <col min="20" max="20" width="9.85546875" customWidth="1"/>
    <col min="21" max="21" width="11.140625" hidden="1" customWidth="1"/>
    <col min="22" max="22" width="12.42578125" hidden="1" customWidth="1"/>
    <col min="23" max="23" width="13.140625" customWidth="1"/>
    <col min="24" max="24" width="9.85546875" customWidth="1"/>
    <col min="25" max="25" width="11.85546875" customWidth="1"/>
    <col min="26" max="26" width="9.85546875" customWidth="1"/>
    <col min="27" max="27" width="9.7109375" customWidth="1"/>
    <col min="28" max="28" width="11.28515625" customWidth="1"/>
    <col min="29" max="29" width="9" customWidth="1"/>
    <col min="30" max="30" width="10.7109375" bestFit="1" customWidth="1"/>
    <col min="31" max="31" width="9" hidden="1" customWidth="1"/>
    <col min="32" max="32" width="11.28515625" hidden="1" customWidth="1"/>
    <col min="33" max="33" width="9.7109375" customWidth="1"/>
    <col min="34" max="34" width="9.7109375" bestFit="1" customWidth="1"/>
    <col min="35" max="35" width="9" hidden="1" customWidth="1"/>
    <col min="36" max="36" width="11.28515625" hidden="1" customWidth="1"/>
    <col min="37" max="37" width="8.85546875" customWidth="1"/>
    <col min="38" max="38" width="9.85546875" bestFit="1" customWidth="1"/>
    <col min="39" max="39" width="9" customWidth="1"/>
    <col min="40" max="40" width="9.85546875" bestFit="1" customWidth="1"/>
    <col min="41" max="41" width="10.140625" hidden="1" customWidth="1"/>
    <col min="42" max="42" width="11.28515625" hidden="1" customWidth="1"/>
    <col min="43" max="43" width="9" customWidth="1"/>
    <col min="44" max="44" width="9.85546875" bestFit="1" customWidth="1"/>
    <col min="45" max="45" width="10" hidden="1" customWidth="1"/>
    <col min="46" max="46" width="11.28515625" hidden="1" customWidth="1"/>
    <col min="48" max="48" width="9.85546875" bestFit="1" customWidth="1"/>
    <col min="49" max="49" width="10" customWidth="1"/>
    <col min="50" max="50" width="11.28515625" customWidth="1"/>
    <col min="52" max="52" width="9.85546875" bestFit="1" customWidth="1"/>
    <col min="53" max="53" width="10" style="5047" bestFit="1" customWidth="1"/>
    <col min="54" max="54" width="10.140625" style="5047" bestFit="1" customWidth="1"/>
    <col min="55" max="55" width="10" style="5047" bestFit="1" customWidth="1"/>
    <col min="56" max="56" width="11.42578125" style="5047" customWidth="1"/>
    <col min="57" max="57" width="10" bestFit="1" customWidth="1"/>
    <col min="58" max="58" width="11.28515625" bestFit="1" customWidth="1"/>
    <col min="59" max="59" width="10" bestFit="1" customWidth="1"/>
  </cols>
  <sheetData>
    <row r="1" spans="1:62" ht="22.5" x14ac:dyDescent="0.3">
      <c r="A1" s="181"/>
      <c r="B1" s="465" t="s">
        <v>239</v>
      </c>
      <c r="C1" s="238"/>
      <c r="D1" s="238"/>
      <c r="E1" s="238"/>
      <c r="F1" s="238"/>
      <c r="G1" s="238"/>
      <c r="H1" s="238"/>
      <c r="I1" s="238"/>
      <c r="J1" s="238"/>
      <c r="K1" s="700"/>
      <c r="L1" s="419"/>
      <c r="M1" s="419"/>
      <c r="N1" s="419"/>
      <c r="O1" s="2437"/>
      <c r="P1" s="700"/>
      <c r="Q1" s="419"/>
      <c r="R1" s="419"/>
      <c r="S1" s="419"/>
      <c r="T1" s="2676"/>
      <c r="U1" s="419"/>
      <c r="V1" s="419"/>
      <c r="W1" s="419"/>
      <c r="X1" s="419"/>
      <c r="Y1" s="419"/>
      <c r="Z1" s="419"/>
      <c r="AA1" s="419"/>
      <c r="AB1" s="419"/>
    </row>
    <row r="2" spans="1:62" s="122" customFormat="1" ht="15.75" thickBot="1" x14ac:dyDescent="0.3">
      <c r="B2" s="59"/>
      <c r="C2" s="238"/>
      <c r="D2" s="238">
        <v>366</v>
      </c>
      <c r="E2" s="126">
        <v>30</v>
      </c>
      <c r="F2" s="126">
        <v>30</v>
      </c>
      <c r="G2" s="126">
        <v>31</v>
      </c>
      <c r="H2" s="126">
        <v>31</v>
      </c>
      <c r="I2" s="126">
        <f>+E2+G2</f>
        <v>61</v>
      </c>
      <c r="J2" s="126">
        <f>+F2+H2</f>
        <v>61</v>
      </c>
      <c r="K2" s="476">
        <v>30</v>
      </c>
      <c r="L2" s="126">
        <v>30</v>
      </c>
      <c r="M2" s="126">
        <f>+I2+K2</f>
        <v>91</v>
      </c>
      <c r="N2" s="126">
        <f>+J2+L2</f>
        <v>91</v>
      </c>
      <c r="O2" s="476">
        <v>31</v>
      </c>
      <c r="P2" s="476">
        <v>31</v>
      </c>
      <c r="Q2" s="126">
        <f>+M2+O2</f>
        <v>122</v>
      </c>
      <c r="R2" s="126">
        <f>+N2+P2</f>
        <v>122</v>
      </c>
      <c r="S2" s="126">
        <v>31</v>
      </c>
      <c r="T2" s="2653">
        <v>31</v>
      </c>
      <c r="U2" s="126">
        <f>+Q2+S2</f>
        <v>153</v>
      </c>
      <c r="V2" s="126">
        <f>+R2+T2</f>
        <v>153</v>
      </c>
      <c r="W2" s="126">
        <v>30</v>
      </c>
      <c r="X2" s="476">
        <v>30</v>
      </c>
      <c r="Y2" s="126">
        <f>+O2+S2+W2</f>
        <v>92</v>
      </c>
      <c r="Z2" s="126">
        <f>+P2+T2+X2</f>
        <v>92</v>
      </c>
      <c r="AA2" s="126">
        <f>+U2+W2</f>
        <v>183</v>
      </c>
      <c r="AB2" s="126">
        <f>+V2+X2</f>
        <v>183</v>
      </c>
      <c r="AC2" s="126">
        <v>31</v>
      </c>
      <c r="AD2" s="2653">
        <v>31</v>
      </c>
      <c r="AE2" s="126">
        <f>+AA2+AC2</f>
        <v>214</v>
      </c>
      <c r="AF2" s="126">
        <f>+AB2+AD2</f>
        <v>214</v>
      </c>
      <c r="AG2" s="126">
        <v>30</v>
      </c>
      <c r="AH2" s="2653">
        <v>30</v>
      </c>
      <c r="AI2" s="126">
        <f>+AE2+AG2</f>
        <v>244</v>
      </c>
      <c r="AJ2" s="126">
        <f>+AF2+AH2</f>
        <v>244</v>
      </c>
      <c r="AK2" s="126">
        <v>31</v>
      </c>
      <c r="AL2" s="2653">
        <v>31</v>
      </c>
      <c r="AM2" s="126">
        <f>+AC2+AG2+AK2</f>
        <v>92</v>
      </c>
      <c r="AN2" s="126">
        <f>+AD2+AH2+AL2</f>
        <v>92</v>
      </c>
      <c r="AO2" s="126">
        <f>+AK2+AI2</f>
        <v>275</v>
      </c>
      <c r="AP2" s="126">
        <f>+AL2+AJ2</f>
        <v>275</v>
      </c>
      <c r="AQ2" s="126">
        <v>31</v>
      </c>
      <c r="AR2" s="2653">
        <v>31</v>
      </c>
      <c r="AS2" s="126">
        <f>+AO2+AQ2</f>
        <v>306</v>
      </c>
      <c r="AT2" s="126">
        <f>+AP2+AR2</f>
        <v>306</v>
      </c>
      <c r="AU2" s="126">
        <v>29</v>
      </c>
      <c r="AV2" s="2653">
        <v>29</v>
      </c>
      <c r="AW2" s="126">
        <f>+AS2+AU2</f>
        <v>335</v>
      </c>
      <c r="AX2" s="126">
        <f>+AT2+AV2</f>
        <v>335</v>
      </c>
      <c r="AY2" s="126">
        <v>31</v>
      </c>
      <c r="AZ2" s="2653">
        <v>31</v>
      </c>
      <c r="BA2" s="126">
        <f>+AQ2+AU2+AY2</f>
        <v>91</v>
      </c>
      <c r="BB2" s="126">
        <f>+AR2+AV2+AZ2</f>
        <v>91</v>
      </c>
      <c r="BC2" s="126">
        <f>+AM2+BA2</f>
        <v>183</v>
      </c>
      <c r="BD2" s="126">
        <f>+AN2+BB2</f>
        <v>183</v>
      </c>
      <c r="BE2" s="126">
        <f>+AW2+AY2</f>
        <v>366</v>
      </c>
      <c r="BF2" s="126">
        <f>+AX2+AZ2</f>
        <v>366</v>
      </c>
    </row>
    <row r="3" spans="1:62" s="122" customFormat="1" ht="15.75" hidden="1" thickBot="1" x14ac:dyDescent="0.3">
      <c r="B3" s="59" t="s">
        <v>1958</v>
      </c>
      <c r="C3" s="238"/>
      <c r="D3" s="238"/>
      <c r="E3" s="126"/>
      <c r="F3" s="126">
        <v>0.5</v>
      </c>
      <c r="G3" s="126"/>
      <c r="H3" s="4830">
        <f>5/24</f>
        <v>0.20833333333333334</v>
      </c>
      <c r="I3" s="126"/>
      <c r="J3" s="126"/>
      <c r="K3" s="476"/>
      <c r="L3" s="4830">
        <f>31/24</f>
        <v>1.2916666666666667</v>
      </c>
      <c r="M3" s="126"/>
      <c r="N3" s="4830">
        <f>+F3+H3+L3</f>
        <v>2</v>
      </c>
      <c r="O3" s="476"/>
      <c r="P3" s="476">
        <v>0.5</v>
      </c>
      <c r="Q3" s="126"/>
      <c r="R3" s="126"/>
      <c r="S3" s="126"/>
      <c r="T3" s="2653">
        <v>0</v>
      </c>
      <c r="U3" s="126"/>
      <c r="V3" s="126"/>
      <c r="W3" s="126"/>
      <c r="X3" s="4831">
        <f>37/24</f>
        <v>1.5416666666666667</v>
      </c>
      <c r="Y3" s="126"/>
      <c r="Z3" s="4829">
        <f>+P3+T3+X3</f>
        <v>2.041666666666667</v>
      </c>
      <c r="AA3" s="126"/>
      <c r="AB3" s="4830">
        <f>+N3+Z3</f>
        <v>4.041666666666667</v>
      </c>
      <c r="AC3" s="126"/>
      <c r="AD3" s="2653">
        <v>0.5</v>
      </c>
      <c r="AE3" s="126"/>
      <c r="AF3" s="126"/>
      <c r="AG3" s="126"/>
      <c r="AH3" s="2653">
        <v>1</v>
      </c>
      <c r="AI3" s="126"/>
      <c r="AJ3" s="126"/>
      <c r="AK3" s="126"/>
      <c r="AL3" s="5287">
        <f>11/24</f>
        <v>0.45833333333333331</v>
      </c>
      <c r="AM3" s="126"/>
      <c r="AN3" s="5288">
        <f>+AD3+AH3+AL3</f>
        <v>1.9583333333333333</v>
      </c>
      <c r="AO3" s="126"/>
      <c r="AP3" s="126"/>
      <c r="AQ3" s="126"/>
      <c r="AR3" s="2653">
        <v>0</v>
      </c>
      <c r="AS3" s="126"/>
      <c r="AT3" s="126"/>
      <c r="AU3" s="126"/>
      <c r="AV3" s="2653">
        <v>0</v>
      </c>
      <c r="AW3" s="126"/>
      <c r="AX3" s="4829">
        <f>AV3+F3+H3+L3+P3+T3+X3+AD3+AH3+AL3+AR3</f>
        <v>6</v>
      </c>
      <c r="AY3" s="126"/>
      <c r="AZ3" s="2653">
        <f>29.3/24</f>
        <v>1.2208333333333334</v>
      </c>
      <c r="BA3" s="126"/>
      <c r="BB3" s="4829">
        <f>+AR3+AV3+AZ3</f>
        <v>1.2208333333333334</v>
      </c>
      <c r="BC3" s="126"/>
      <c r="BD3" s="126">
        <f>+AN3+BB3</f>
        <v>3.1791666666666667</v>
      </c>
      <c r="BE3" s="126"/>
      <c r="BF3" s="4829">
        <f>AZ3+J3+L3+P3+T3+X3+AB3+AH3+AL3+AP3+AV3</f>
        <v>10.054166666666669</v>
      </c>
    </row>
    <row r="4" spans="1:62" s="122" customFormat="1" ht="15.75" thickBot="1" x14ac:dyDescent="0.3">
      <c r="B4" s="6358" t="s">
        <v>175</v>
      </c>
      <c r="C4" s="6023" t="s">
        <v>176</v>
      </c>
      <c r="D4" s="6023" t="s">
        <v>1469</v>
      </c>
      <c r="E4" s="6023" t="s">
        <v>1470</v>
      </c>
      <c r="F4" s="6023"/>
      <c r="G4" s="6023" t="s">
        <v>1526</v>
      </c>
      <c r="H4" s="6023"/>
      <c r="I4" s="6357" t="s">
        <v>15</v>
      </c>
      <c r="J4" s="6357"/>
      <c r="K4" s="6023" t="s">
        <v>1620</v>
      </c>
      <c r="L4" s="6023"/>
      <c r="M4" s="6035" t="s">
        <v>658</v>
      </c>
      <c r="N4" s="6035"/>
      <c r="O4" s="6023" t="s">
        <v>1688</v>
      </c>
      <c r="P4" s="6023"/>
      <c r="Q4" s="6357" t="s">
        <v>18</v>
      </c>
      <c r="R4" s="6357"/>
      <c r="S4" s="6023" t="s">
        <v>1731</v>
      </c>
      <c r="T4" s="6023"/>
      <c r="U4" s="6357" t="s">
        <v>19</v>
      </c>
      <c r="V4" s="6014"/>
      <c r="W4" s="6045" t="s">
        <v>1766</v>
      </c>
      <c r="X4" s="6045"/>
      <c r="Y4" s="6100" t="s">
        <v>143</v>
      </c>
      <c r="Z4" s="6079"/>
      <c r="AA4" s="6074" t="s">
        <v>679</v>
      </c>
      <c r="AB4" s="6075"/>
      <c r="AC4" s="6023" t="s">
        <v>1831</v>
      </c>
      <c r="AD4" s="6023"/>
      <c r="AE4" s="6357" t="s">
        <v>26</v>
      </c>
      <c r="AF4" s="6014"/>
      <c r="AG4" s="6023" t="s">
        <v>1863</v>
      </c>
      <c r="AH4" s="6023"/>
      <c r="AI4" s="6357" t="s">
        <v>29</v>
      </c>
      <c r="AJ4" s="6014"/>
      <c r="AK4" s="6023" t="s">
        <v>1888</v>
      </c>
      <c r="AL4" s="6023"/>
      <c r="AM4" s="6100" t="s">
        <v>1892</v>
      </c>
      <c r="AN4" s="6079"/>
      <c r="AO4" s="6357" t="s">
        <v>1890</v>
      </c>
      <c r="AP4" s="6014"/>
      <c r="AQ4" s="6023" t="s">
        <v>1918</v>
      </c>
      <c r="AR4" s="6023"/>
      <c r="AS4" s="6357" t="s">
        <v>30</v>
      </c>
      <c r="AT4" s="6014"/>
      <c r="AU4" s="6023" t="s">
        <v>1940</v>
      </c>
      <c r="AV4" s="6023"/>
      <c r="AW4" s="6357" t="s">
        <v>32</v>
      </c>
      <c r="AX4" s="6014"/>
      <c r="AY4" s="6023" t="s">
        <v>1965</v>
      </c>
      <c r="AZ4" s="6023"/>
      <c r="BA4" s="6100" t="s">
        <v>1966</v>
      </c>
      <c r="BB4" s="6079"/>
      <c r="BC4" s="6074" t="s">
        <v>693</v>
      </c>
      <c r="BD4" s="6075"/>
      <c r="BE4" s="6357" t="s">
        <v>1513</v>
      </c>
      <c r="BF4" s="6014"/>
    </row>
    <row r="5" spans="1:62" s="122" customFormat="1" ht="15.75" thickBot="1" x14ac:dyDescent="0.3">
      <c r="B5" s="6359"/>
      <c r="C5" s="6356"/>
      <c r="D5" s="6356"/>
      <c r="E5" s="3225" t="s">
        <v>177</v>
      </c>
      <c r="F5" s="3225" t="s">
        <v>178</v>
      </c>
      <c r="G5" s="3225" t="s">
        <v>177</v>
      </c>
      <c r="H5" s="3225" t="s">
        <v>178</v>
      </c>
      <c r="I5" s="3227" t="s">
        <v>177</v>
      </c>
      <c r="J5" s="3227" t="s">
        <v>178</v>
      </c>
      <c r="K5" s="981" t="s">
        <v>177</v>
      </c>
      <c r="L5" s="3225" t="s">
        <v>178</v>
      </c>
      <c r="M5" s="3226" t="s">
        <v>177</v>
      </c>
      <c r="N5" s="3226" t="s">
        <v>178</v>
      </c>
      <c r="O5" s="981" t="s">
        <v>177</v>
      </c>
      <c r="P5" s="981" t="s">
        <v>178</v>
      </c>
      <c r="Q5" s="3227" t="s">
        <v>177</v>
      </c>
      <c r="R5" s="3227" t="s">
        <v>178</v>
      </c>
      <c r="S5" s="981" t="s">
        <v>177</v>
      </c>
      <c r="T5" s="3236" t="s">
        <v>178</v>
      </c>
      <c r="U5" s="3227" t="s">
        <v>177</v>
      </c>
      <c r="V5" s="1124" t="s">
        <v>178</v>
      </c>
      <c r="W5" s="271" t="s">
        <v>177</v>
      </c>
      <c r="X5" s="477" t="s">
        <v>178</v>
      </c>
      <c r="Y5" s="849" t="s">
        <v>177</v>
      </c>
      <c r="Z5" s="206" t="s">
        <v>178</v>
      </c>
      <c r="AA5" s="851" t="s">
        <v>177</v>
      </c>
      <c r="AB5" s="561" t="s">
        <v>178</v>
      </c>
      <c r="AC5" s="981" t="s">
        <v>177</v>
      </c>
      <c r="AD5" s="3236" t="s">
        <v>178</v>
      </c>
      <c r="AE5" s="4085" t="s">
        <v>177</v>
      </c>
      <c r="AF5" s="1124" t="s">
        <v>178</v>
      </c>
      <c r="AG5" s="981" t="s">
        <v>177</v>
      </c>
      <c r="AH5" s="3236" t="s">
        <v>178</v>
      </c>
      <c r="AI5" s="4193" t="s">
        <v>177</v>
      </c>
      <c r="AJ5" s="1124" t="s">
        <v>178</v>
      </c>
      <c r="AK5" s="981" t="s">
        <v>177</v>
      </c>
      <c r="AL5" s="3236" t="s">
        <v>178</v>
      </c>
      <c r="AM5" s="4317" t="s">
        <v>177</v>
      </c>
      <c r="AN5" s="206" t="s">
        <v>178</v>
      </c>
      <c r="AO5" s="4327" t="s">
        <v>177</v>
      </c>
      <c r="AP5" s="1124" t="s">
        <v>178</v>
      </c>
      <c r="AQ5" s="981" t="s">
        <v>177</v>
      </c>
      <c r="AR5" s="3236" t="s">
        <v>178</v>
      </c>
      <c r="AS5" s="4431" t="s">
        <v>177</v>
      </c>
      <c r="AT5" s="1124" t="s">
        <v>178</v>
      </c>
      <c r="AU5" s="981" t="s">
        <v>177</v>
      </c>
      <c r="AV5" s="3236" t="s">
        <v>178</v>
      </c>
      <c r="AW5" s="4668" t="s">
        <v>177</v>
      </c>
      <c r="AX5" s="1124" t="s">
        <v>178</v>
      </c>
      <c r="AY5" s="981" t="s">
        <v>177</v>
      </c>
      <c r="AZ5" s="3236" t="s">
        <v>178</v>
      </c>
      <c r="BA5" s="5041" t="s">
        <v>177</v>
      </c>
      <c r="BB5" s="206" t="s">
        <v>178</v>
      </c>
      <c r="BC5" s="5044" t="s">
        <v>177</v>
      </c>
      <c r="BD5" s="561" t="s">
        <v>178</v>
      </c>
      <c r="BE5" s="5054" t="s">
        <v>177</v>
      </c>
      <c r="BF5" s="1124" t="s">
        <v>178</v>
      </c>
    </row>
    <row r="6" spans="1:62" s="122" customFormat="1" ht="18.75" x14ac:dyDescent="0.25">
      <c r="B6" s="3238" t="s">
        <v>89</v>
      </c>
      <c r="C6" s="3221" t="s">
        <v>52</v>
      </c>
      <c r="D6" s="973">
        <v>2800000</v>
      </c>
      <c r="E6" s="973">
        <f>+'Maj Production Summ'!E17</f>
        <v>236000</v>
      </c>
      <c r="F6" s="236">
        <f>+'Maj Production Summ'!F17</f>
        <v>231705</v>
      </c>
      <c r="G6" s="973">
        <f>+'Maj Production Summ'!G17</f>
        <v>197000</v>
      </c>
      <c r="H6" s="236">
        <f>+'Maj Production Summ'!H17</f>
        <v>186324.9</v>
      </c>
      <c r="I6" s="3237">
        <f>+E6+G6</f>
        <v>433000</v>
      </c>
      <c r="J6" s="311">
        <f>+F6+H6</f>
        <v>418029.9</v>
      </c>
      <c r="K6" s="973">
        <f>+'Maj Production Summ'!K17</f>
        <v>201000</v>
      </c>
      <c r="L6" s="236">
        <f>+'Maj Production Summ'!L17</f>
        <v>213361</v>
      </c>
      <c r="M6" s="454">
        <f>+K6+G6+E6</f>
        <v>634000</v>
      </c>
      <c r="N6" s="454">
        <f>+L6+H6+F6</f>
        <v>631390.9</v>
      </c>
      <c r="O6" s="973">
        <f>+'Maj Production Summ'!O17</f>
        <v>239000</v>
      </c>
      <c r="P6" s="236">
        <f>+'Maj Production Summ'!P17</f>
        <v>245255</v>
      </c>
      <c r="Q6" s="3237">
        <f>+M6+O6</f>
        <v>873000</v>
      </c>
      <c r="R6" s="311">
        <f>+N6+P6</f>
        <v>876645.9</v>
      </c>
      <c r="S6" s="973">
        <f>+'Maj Production Summ'!S17</f>
        <v>239000</v>
      </c>
      <c r="T6" s="2659">
        <v>240285</v>
      </c>
      <c r="U6" s="3237">
        <f>+Q6+S6</f>
        <v>1112000</v>
      </c>
      <c r="V6" s="311">
        <f>+R6+T6</f>
        <v>1116930.8999999999</v>
      </c>
      <c r="W6" s="3235">
        <f>+'Maj Production Summ'!W17</f>
        <v>232000</v>
      </c>
      <c r="X6" s="1697">
        <v>229120</v>
      </c>
      <c r="Y6" s="950">
        <f>+W6+S6+O6</f>
        <v>710000</v>
      </c>
      <c r="Z6" s="230">
        <f>+X6+T6+P6</f>
        <v>714660</v>
      </c>
      <c r="AA6" s="3727">
        <f>M6+Y6</f>
        <v>1344000</v>
      </c>
      <c r="AB6" s="562">
        <f>+N6+Z6</f>
        <v>1346050.9</v>
      </c>
      <c r="AC6" s="973">
        <f>+'Maj Production Summ'!AC17</f>
        <v>246000</v>
      </c>
      <c r="AD6" s="2659">
        <v>243314</v>
      </c>
      <c r="AE6" s="3237">
        <f>+AA6+AC6</f>
        <v>1590000</v>
      </c>
      <c r="AF6" s="311">
        <f>+AB6+AD6</f>
        <v>1589364.9</v>
      </c>
      <c r="AG6" s="973">
        <f>+'Maj Production Summ'!AG17</f>
        <v>238000</v>
      </c>
      <c r="AH6" s="2659">
        <v>206094</v>
      </c>
      <c r="AI6" s="3237">
        <f>+AE6+AG6</f>
        <v>1828000</v>
      </c>
      <c r="AJ6" s="311">
        <f>+AF6+AH6</f>
        <v>1795458.9</v>
      </c>
      <c r="AK6" s="973">
        <f>+'Maj Production Summ'!AK17</f>
        <v>247000</v>
      </c>
      <c r="AL6" s="2659">
        <v>228212.69999999995</v>
      </c>
      <c r="AM6" s="950">
        <f>+AK6+AG6+AC6</f>
        <v>731000</v>
      </c>
      <c r="AN6" s="120">
        <f>+AL6+AH6+AD6</f>
        <v>677620.7</v>
      </c>
      <c r="AO6" s="311">
        <f>+AK6+AI6</f>
        <v>2075000</v>
      </c>
      <c r="AP6" s="311">
        <f>+AL6+AJ6</f>
        <v>2023671.5999999999</v>
      </c>
      <c r="AQ6" s="973">
        <f>+'Maj Production Summ'!AQ17</f>
        <v>247000</v>
      </c>
      <c r="AR6" s="2659">
        <v>232525.2</v>
      </c>
      <c r="AS6" s="3237">
        <f>+AO6+AQ6</f>
        <v>2322000</v>
      </c>
      <c r="AT6" s="311">
        <f>+AP6+AR6</f>
        <v>2256196.7999999998</v>
      </c>
      <c r="AU6" s="973">
        <f>+'Maj Production Summ'!AU17</f>
        <v>230000</v>
      </c>
      <c r="AV6" s="2659">
        <v>230199.20000000007</v>
      </c>
      <c r="AW6" s="3237">
        <f>+AS6+AU6</f>
        <v>2552000</v>
      </c>
      <c r="AX6" s="311">
        <f>+AT6+AV6</f>
        <v>2486396</v>
      </c>
      <c r="AY6" s="973">
        <f>+'Maj Production Summ'!AY17</f>
        <v>248000</v>
      </c>
      <c r="AZ6" s="2659">
        <v>234872.10000000003</v>
      </c>
      <c r="BA6" s="950">
        <f>+AY6+AU6+AQ6</f>
        <v>725000</v>
      </c>
      <c r="BB6" s="230">
        <f>+AZ6+AV6+AR6</f>
        <v>697596.50000000012</v>
      </c>
      <c r="BC6" s="3727">
        <f>AM6+BA6</f>
        <v>1456000</v>
      </c>
      <c r="BD6" s="562">
        <f>+AN6+BB6</f>
        <v>1375217.2000000002</v>
      </c>
      <c r="BE6" s="3237">
        <f>+AW6+AY6</f>
        <v>2800000</v>
      </c>
      <c r="BF6" s="311">
        <f>+AX6+AZ6</f>
        <v>2721268.1</v>
      </c>
      <c r="BG6" s="147"/>
      <c r="BH6" s="147"/>
      <c r="BI6" s="147"/>
      <c r="BJ6" s="147"/>
    </row>
    <row r="7" spans="1:62" s="183" customFormat="1" x14ac:dyDescent="0.25">
      <c r="A7" s="182"/>
      <c r="B7" s="2775" t="s">
        <v>241</v>
      </c>
      <c r="C7" s="981"/>
      <c r="D7" s="981"/>
      <c r="E7" s="981"/>
      <c r="F7" s="981"/>
      <c r="G7" s="981"/>
      <c r="H7" s="981"/>
      <c r="I7" s="981"/>
      <c r="J7" s="981"/>
      <c r="K7" s="981"/>
      <c r="L7" s="981"/>
      <c r="M7" s="981"/>
      <c r="N7" s="981"/>
      <c r="O7" s="981"/>
      <c r="P7" s="981"/>
      <c r="Q7" s="981"/>
      <c r="R7" s="981"/>
      <c r="S7" s="981"/>
      <c r="T7" s="3236"/>
      <c r="U7" s="981"/>
      <c r="V7" s="981"/>
      <c r="W7" s="2080"/>
      <c r="X7" s="1696"/>
      <c r="Y7" s="777"/>
      <c r="Z7" s="777"/>
      <c r="AA7" s="777"/>
      <c r="AB7" s="785"/>
      <c r="AC7" s="981"/>
      <c r="AD7" s="3236"/>
      <c r="AE7" s="981"/>
      <c r="AF7" s="981"/>
      <c r="AG7" s="981"/>
      <c r="AH7" s="3236"/>
      <c r="AI7" s="981"/>
      <c r="AJ7" s="981"/>
      <c r="AK7" s="981"/>
      <c r="AL7" s="3236"/>
      <c r="AM7" s="777"/>
      <c r="AN7" s="777"/>
      <c r="AO7" s="981"/>
      <c r="AP7" s="981"/>
      <c r="AQ7" s="981"/>
      <c r="AR7" s="3236"/>
      <c r="AS7" s="981"/>
      <c r="AT7" s="981"/>
      <c r="AU7" s="981"/>
      <c r="AV7" s="3236"/>
      <c r="AW7" s="981"/>
      <c r="AX7" s="981"/>
      <c r="AY7" s="981"/>
      <c r="AZ7" s="3236"/>
      <c r="BA7" s="777"/>
      <c r="BB7" s="777"/>
      <c r="BC7" s="777"/>
      <c r="BD7" s="785"/>
      <c r="BE7" s="981"/>
      <c r="BF7" s="981"/>
      <c r="BG7" s="147"/>
      <c r="BH7" s="147"/>
      <c r="BI7" s="147"/>
      <c r="BJ7" s="147"/>
    </row>
    <row r="8" spans="1:62" x14ac:dyDescent="0.25">
      <c r="A8" s="181"/>
      <c r="B8" s="3315" t="s">
        <v>447</v>
      </c>
      <c r="C8" s="193" t="s">
        <v>52</v>
      </c>
      <c r="D8" s="2941">
        <v>2777280</v>
      </c>
      <c r="E8" s="2941">
        <v>234800</v>
      </c>
      <c r="F8" s="3217">
        <v>231342</v>
      </c>
      <c r="G8" s="2941">
        <v>195800</v>
      </c>
      <c r="H8" s="3217">
        <v>185259.9</v>
      </c>
      <c r="I8" s="3216">
        <f>+E8+G8</f>
        <v>430600</v>
      </c>
      <c r="J8" s="3216">
        <f t="shared" ref="J8:J30" si="0">+F8+H8</f>
        <v>416601.9</v>
      </c>
      <c r="K8" s="2941">
        <v>191480</v>
      </c>
      <c r="L8" s="3217">
        <v>200630</v>
      </c>
      <c r="M8" s="3215">
        <f t="shared" ref="M8:N8" si="1">+K8+G8+E8</f>
        <v>622080</v>
      </c>
      <c r="N8" s="3215">
        <f t="shared" si="1"/>
        <v>617231.9</v>
      </c>
      <c r="O8" s="2941">
        <v>237800</v>
      </c>
      <c r="P8" s="3217">
        <v>245074</v>
      </c>
      <c r="Q8" s="3216">
        <f t="shared" ref="Q8:R10" si="2">+M8+O8</f>
        <v>859880</v>
      </c>
      <c r="R8" s="3216">
        <f t="shared" si="2"/>
        <v>862305.9</v>
      </c>
      <c r="S8" s="3217">
        <v>237800</v>
      </c>
      <c r="T8" s="2627">
        <v>240285</v>
      </c>
      <c r="U8" s="3269">
        <f t="shared" ref="U8:U10" si="3">+Q8+S8</f>
        <v>1097680</v>
      </c>
      <c r="V8" s="3269">
        <f t="shared" ref="V8:V10" si="4">+R8+T8</f>
        <v>1102590.8999999999</v>
      </c>
      <c r="W8" s="3214">
        <v>230800</v>
      </c>
      <c r="X8" s="217">
        <v>229120</v>
      </c>
      <c r="Y8" s="97">
        <f t="shared" ref="Y8:Z8" si="5">+W8+S8+O8</f>
        <v>706400</v>
      </c>
      <c r="Z8" s="98">
        <f t="shared" si="5"/>
        <v>714479</v>
      </c>
      <c r="AA8" s="563">
        <f>M8+Y8</f>
        <v>1328480</v>
      </c>
      <c r="AB8" s="571">
        <f>+N8+Z8</f>
        <v>1331710.8999999999</v>
      </c>
      <c r="AC8" s="3616">
        <v>244800</v>
      </c>
      <c r="AD8" s="2627">
        <v>243314</v>
      </c>
      <c r="AE8" s="3615">
        <f t="shared" ref="AE8:AE10" si="6">+AA8+AC8</f>
        <v>1573280</v>
      </c>
      <c r="AF8" s="3615">
        <f t="shared" ref="AF8:AF10" si="7">+AB8+AD8</f>
        <v>1575024.9</v>
      </c>
      <c r="AG8" s="3616">
        <v>236800</v>
      </c>
      <c r="AH8" s="2627">
        <v>205618</v>
      </c>
      <c r="AI8" s="3615">
        <f t="shared" ref="AI8:AI10" si="8">+AE8+AG8</f>
        <v>1810080</v>
      </c>
      <c r="AJ8" s="3615">
        <f t="shared" ref="AJ8:AJ10" si="9">+AF8+AH8</f>
        <v>1780642.9</v>
      </c>
      <c r="AK8" s="3616">
        <v>245800</v>
      </c>
      <c r="AL8" s="2627">
        <v>228038.69999999995</v>
      </c>
      <c r="AM8" s="97">
        <f t="shared" ref="AM8:AM10" si="10">+AK8+AG8+AC8</f>
        <v>727400</v>
      </c>
      <c r="AN8" s="98">
        <f t="shared" ref="AN8:AN10" si="11">+AL8+AH8+AD8</f>
        <v>676970.7</v>
      </c>
      <c r="AO8" s="3615">
        <f>+AK8+AI8</f>
        <v>2055880</v>
      </c>
      <c r="AP8" s="3615">
        <f>+AL8+AJ8</f>
        <v>2008681.5999999999</v>
      </c>
      <c r="AQ8" s="3616">
        <v>245800</v>
      </c>
      <c r="AR8" s="2627">
        <v>232525.2</v>
      </c>
      <c r="AS8" s="3615">
        <f t="shared" ref="AS8:AS10" si="12">+AO8+AQ8</f>
        <v>2301680</v>
      </c>
      <c r="AT8" s="3615">
        <f t="shared" ref="AT8:AT10" si="13">+AP8+AR8</f>
        <v>2241206.7999999998</v>
      </c>
      <c r="AU8" s="3616">
        <v>228800</v>
      </c>
      <c r="AV8" s="2627">
        <v>230199.20000000007</v>
      </c>
      <c r="AW8" s="3615">
        <f t="shared" ref="AW8:AW10" si="14">+AS8+AU8</f>
        <v>2530480</v>
      </c>
      <c r="AX8" s="3615">
        <f t="shared" ref="AX8:AX10" si="15">+AT8+AV8</f>
        <v>2471406</v>
      </c>
      <c r="AY8" s="3616">
        <v>246800</v>
      </c>
      <c r="AZ8" s="2627">
        <v>234540.80000000025</v>
      </c>
      <c r="BA8" s="97">
        <f t="shared" ref="BA8:BA10" si="16">+AY8+AU8+AQ8</f>
        <v>721400</v>
      </c>
      <c r="BB8" s="98">
        <f t="shared" ref="BB8:BB10" si="17">+AZ8+AV8+AR8</f>
        <v>697265.20000000042</v>
      </c>
      <c r="BC8" s="563">
        <f>AM8+BA8</f>
        <v>1448800</v>
      </c>
      <c r="BD8" s="571">
        <f>+AN8+BB8</f>
        <v>1374235.9000000004</v>
      </c>
      <c r="BE8" s="3615">
        <f t="shared" ref="BE8:BE10" si="18">+AW8+AY8</f>
        <v>2777280</v>
      </c>
      <c r="BF8" s="3615">
        <f t="shared" ref="BF8:BF10" si="19">+AX8+AZ8</f>
        <v>2705946.8000000003</v>
      </c>
      <c r="BG8" s="147"/>
      <c r="BH8" s="147"/>
      <c r="BI8" s="147"/>
      <c r="BJ8" s="147"/>
    </row>
    <row r="9" spans="1:62" x14ac:dyDescent="0.25">
      <c r="A9" s="181"/>
      <c r="B9" s="3315" t="s">
        <v>448</v>
      </c>
      <c r="C9" s="193" t="s">
        <v>52</v>
      </c>
      <c r="D9" s="2941">
        <v>20220</v>
      </c>
      <c r="E9" s="2941">
        <v>1200</v>
      </c>
      <c r="F9" s="3217">
        <v>363</v>
      </c>
      <c r="G9" s="2941">
        <v>1200</v>
      </c>
      <c r="H9" s="3217">
        <v>1065</v>
      </c>
      <c r="I9" s="3216">
        <f>+E9+G9</f>
        <v>2400</v>
      </c>
      <c r="J9" s="3216">
        <f t="shared" si="0"/>
        <v>1428</v>
      </c>
      <c r="K9" s="2941">
        <v>7020</v>
      </c>
      <c r="L9" s="3217">
        <v>6453</v>
      </c>
      <c r="M9" s="3578">
        <f t="shared" ref="M9" si="20">+K9+G9+E9</f>
        <v>9420</v>
      </c>
      <c r="N9" s="3578">
        <f t="shared" ref="N9" si="21">+L9+H9+F9</f>
        <v>7881</v>
      </c>
      <c r="O9" s="2941">
        <v>1200</v>
      </c>
      <c r="P9" s="3217">
        <v>181</v>
      </c>
      <c r="Q9" s="3216">
        <f t="shared" si="2"/>
        <v>10620</v>
      </c>
      <c r="R9" s="3216">
        <f t="shared" si="2"/>
        <v>8062</v>
      </c>
      <c r="S9" s="3217">
        <v>1200</v>
      </c>
      <c r="T9" s="2627">
        <v>0</v>
      </c>
      <c r="U9" s="3269">
        <f t="shared" si="3"/>
        <v>11820</v>
      </c>
      <c r="V9" s="3269">
        <f t="shared" si="4"/>
        <v>8062</v>
      </c>
      <c r="W9" s="3214">
        <v>1200</v>
      </c>
      <c r="X9" s="217">
        <v>0</v>
      </c>
      <c r="Y9" s="97">
        <f t="shared" ref="Y9:Y10" si="22">+W9+S9+O9</f>
        <v>3600</v>
      </c>
      <c r="Z9" s="98">
        <f t="shared" ref="Z9:Z10" si="23">+X9+T9+P9</f>
        <v>181</v>
      </c>
      <c r="AA9" s="563">
        <f t="shared" ref="AA9:AA10" si="24">M9+Y9</f>
        <v>13020</v>
      </c>
      <c r="AB9" s="571">
        <f t="shared" ref="AB9:AB10" si="25">+N9+Z9</f>
        <v>8062</v>
      </c>
      <c r="AC9" s="3616">
        <v>1200</v>
      </c>
      <c r="AD9" s="2627">
        <v>0</v>
      </c>
      <c r="AE9" s="3615">
        <f t="shared" si="6"/>
        <v>14220</v>
      </c>
      <c r="AF9" s="3615">
        <f t="shared" si="7"/>
        <v>8062</v>
      </c>
      <c r="AG9" s="3616">
        <v>1200</v>
      </c>
      <c r="AH9" s="2627">
        <v>476</v>
      </c>
      <c r="AI9" s="3615">
        <f t="shared" si="8"/>
        <v>15420</v>
      </c>
      <c r="AJ9" s="3615">
        <f t="shared" si="9"/>
        <v>8538</v>
      </c>
      <c r="AK9" s="3616">
        <v>1200</v>
      </c>
      <c r="AL9" s="2627">
        <v>174</v>
      </c>
      <c r="AM9" s="97">
        <f t="shared" si="10"/>
        <v>3600</v>
      </c>
      <c r="AN9" s="98">
        <f t="shared" si="11"/>
        <v>650</v>
      </c>
      <c r="AO9" s="3615">
        <f t="shared" ref="AO9:AP12" si="26">+AK9+AI9</f>
        <v>16620</v>
      </c>
      <c r="AP9" s="3615">
        <f t="shared" ref="AP9:AP10" si="27">+AL9+AJ9</f>
        <v>8712</v>
      </c>
      <c r="AQ9" s="3616">
        <v>1200</v>
      </c>
      <c r="AR9" s="2627">
        <v>0</v>
      </c>
      <c r="AS9" s="3615">
        <f t="shared" si="12"/>
        <v>17820</v>
      </c>
      <c r="AT9" s="3615">
        <f t="shared" si="13"/>
        <v>8712</v>
      </c>
      <c r="AU9" s="3616">
        <v>1200</v>
      </c>
      <c r="AV9" s="2627">
        <v>0</v>
      </c>
      <c r="AW9" s="3615">
        <f t="shared" si="14"/>
        <v>19020</v>
      </c>
      <c r="AX9" s="3615">
        <f t="shared" si="15"/>
        <v>8712</v>
      </c>
      <c r="AY9" s="3616">
        <v>1200</v>
      </c>
      <c r="AZ9" s="2627">
        <v>331.09999999999997</v>
      </c>
      <c r="BA9" s="97">
        <f t="shared" si="16"/>
        <v>3600</v>
      </c>
      <c r="BB9" s="98">
        <f t="shared" si="17"/>
        <v>331.09999999999997</v>
      </c>
      <c r="BC9" s="563">
        <f t="shared" ref="BC9:BC10" si="28">AM9+BA9</f>
        <v>7200</v>
      </c>
      <c r="BD9" s="571">
        <f t="shared" ref="BD9:BD10" si="29">+AN9+BB9</f>
        <v>981.09999999999991</v>
      </c>
      <c r="BE9" s="3615">
        <f t="shared" si="18"/>
        <v>20220</v>
      </c>
      <c r="BF9" s="3615">
        <f t="shared" si="19"/>
        <v>9043.1</v>
      </c>
      <c r="BG9" s="147"/>
      <c r="BH9" s="147"/>
      <c r="BI9" s="147"/>
      <c r="BJ9" s="147"/>
    </row>
    <row r="10" spans="1:62" ht="15.75" thickBot="1" x14ac:dyDescent="0.3">
      <c r="A10" s="181"/>
      <c r="B10" s="3706" t="s">
        <v>449</v>
      </c>
      <c r="C10" s="195" t="s">
        <v>52</v>
      </c>
      <c r="D10" s="1512">
        <v>2500</v>
      </c>
      <c r="E10" s="1512">
        <v>0</v>
      </c>
      <c r="F10" s="270">
        <v>0</v>
      </c>
      <c r="G10" s="1512">
        <v>0</v>
      </c>
      <c r="H10" s="270">
        <v>0</v>
      </c>
      <c r="I10" s="3574">
        <f>+E10+G10</f>
        <v>0</v>
      </c>
      <c r="J10" s="3574">
        <f t="shared" si="0"/>
        <v>0</v>
      </c>
      <c r="K10" s="1512">
        <v>2500</v>
      </c>
      <c r="L10" s="270">
        <v>6278</v>
      </c>
      <c r="M10" s="3572">
        <f t="shared" ref="M10" si="30">+K10+G10+E10</f>
        <v>2500</v>
      </c>
      <c r="N10" s="3572">
        <f t="shared" ref="N10" si="31">+L10+H10+F10</f>
        <v>6278</v>
      </c>
      <c r="O10" s="1512">
        <v>0</v>
      </c>
      <c r="P10" s="270">
        <v>0</v>
      </c>
      <c r="Q10" s="3574">
        <f t="shared" si="2"/>
        <v>2500</v>
      </c>
      <c r="R10" s="3574">
        <f t="shared" si="2"/>
        <v>6278</v>
      </c>
      <c r="S10" s="270">
        <v>0</v>
      </c>
      <c r="T10" s="2739">
        <v>0</v>
      </c>
      <c r="U10" s="3574">
        <f t="shared" si="3"/>
        <v>2500</v>
      </c>
      <c r="V10" s="3574">
        <f t="shared" si="4"/>
        <v>6278</v>
      </c>
      <c r="W10" s="856">
        <v>0</v>
      </c>
      <c r="X10" s="447">
        <v>0</v>
      </c>
      <c r="Y10" s="3600">
        <f t="shared" si="22"/>
        <v>0</v>
      </c>
      <c r="Z10" s="209">
        <f t="shared" si="23"/>
        <v>0</v>
      </c>
      <c r="AA10" s="3707">
        <f t="shared" si="24"/>
        <v>2500</v>
      </c>
      <c r="AB10" s="3708">
        <f t="shared" si="25"/>
        <v>6278</v>
      </c>
      <c r="AC10" s="270">
        <v>0</v>
      </c>
      <c r="AD10" s="2739">
        <v>0</v>
      </c>
      <c r="AE10" s="3617">
        <f t="shared" si="6"/>
        <v>2500</v>
      </c>
      <c r="AF10" s="3617">
        <f t="shared" si="7"/>
        <v>6278</v>
      </c>
      <c r="AG10" s="270">
        <v>0</v>
      </c>
      <c r="AH10" s="2739">
        <v>0</v>
      </c>
      <c r="AI10" s="3617">
        <f t="shared" si="8"/>
        <v>2500</v>
      </c>
      <c r="AJ10" s="3617">
        <f t="shared" si="9"/>
        <v>6278</v>
      </c>
      <c r="AK10" s="270">
        <v>0</v>
      </c>
      <c r="AL10" s="2739">
        <v>0</v>
      </c>
      <c r="AM10" s="3600">
        <f t="shared" si="10"/>
        <v>0</v>
      </c>
      <c r="AN10" s="209">
        <f t="shared" si="11"/>
        <v>0</v>
      </c>
      <c r="AO10" s="3615">
        <f t="shared" si="26"/>
        <v>2500</v>
      </c>
      <c r="AP10" s="3615">
        <f t="shared" si="27"/>
        <v>6278</v>
      </c>
      <c r="AQ10" s="270">
        <v>0</v>
      </c>
      <c r="AR10" s="2739">
        <v>0</v>
      </c>
      <c r="AS10" s="3617">
        <f t="shared" si="12"/>
        <v>2500</v>
      </c>
      <c r="AT10" s="3617">
        <f t="shared" si="13"/>
        <v>6278</v>
      </c>
      <c r="AU10" s="270">
        <v>0</v>
      </c>
      <c r="AV10" s="2739">
        <v>0</v>
      </c>
      <c r="AW10" s="3617">
        <f t="shared" si="14"/>
        <v>2500</v>
      </c>
      <c r="AX10" s="3617">
        <f t="shared" si="15"/>
        <v>6278</v>
      </c>
      <c r="AY10" s="270">
        <v>0</v>
      </c>
      <c r="AZ10" s="2739">
        <v>0</v>
      </c>
      <c r="BA10" s="3600">
        <f t="shared" si="16"/>
        <v>0</v>
      </c>
      <c r="BB10" s="209">
        <f t="shared" si="17"/>
        <v>0</v>
      </c>
      <c r="BC10" s="563">
        <f t="shared" si="28"/>
        <v>0</v>
      </c>
      <c r="BD10" s="571">
        <f t="shared" si="29"/>
        <v>0</v>
      </c>
      <c r="BE10" s="3617">
        <f t="shared" si="18"/>
        <v>2500</v>
      </c>
      <c r="BF10" s="3617">
        <f t="shared" si="19"/>
        <v>6278</v>
      </c>
      <c r="BG10" s="147"/>
      <c r="BH10" s="147"/>
      <c r="BI10" s="147"/>
      <c r="BJ10" s="147"/>
    </row>
    <row r="11" spans="1:62" s="183" customFormat="1" ht="15.75" thickBot="1" x14ac:dyDescent="0.3">
      <c r="A11" s="182"/>
      <c r="B11" s="3723" t="s">
        <v>242</v>
      </c>
      <c r="C11" s="3724"/>
      <c r="D11" s="3724"/>
      <c r="E11" s="3724"/>
      <c r="F11" s="3724"/>
      <c r="G11" s="3724"/>
      <c r="H11" s="3724"/>
      <c r="I11" s="3724"/>
      <c r="J11" s="3724"/>
      <c r="K11" s="3724"/>
      <c r="L11" s="3724"/>
      <c r="M11" s="3724"/>
      <c r="N11" s="3724"/>
      <c r="O11" s="3724"/>
      <c r="P11" s="3724"/>
      <c r="Q11" s="3724"/>
      <c r="R11" s="3724"/>
      <c r="S11" s="3724"/>
      <c r="T11" s="3725"/>
      <c r="U11" s="3724"/>
      <c r="V11" s="3724"/>
      <c r="W11" s="3724"/>
      <c r="X11" s="3724"/>
      <c r="Y11" s="3724"/>
      <c r="Z11" s="3724"/>
      <c r="AA11" s="3724"/>
      <c r="AB11" s="3726"/>
      <c r="AC11" s="3724"/>
      <c r="AD11" s="3725"/>
      <c r="AE11" s="3724"/>
      <c r="AF11" s="3724"/>
      <c r="AG11" s="3724"/>
      <c r="AH11" s="3725"/>
      <c r="AI11" s="3724"/>
      <c r="AJ11" s="3724"/>
      <c r="AK11" s="3724"/>
      <c r="AL11" s="3725"/>
      <c r="AM11" s="3724"/>
      <c r="AN11" s="3724"/>
      <c r="AO11" s="3724"/>
      <c r="AP11" s="3724"/>
      <c r="AQ11" s="3724"/>
      <c r="AR11" s="3725"/>
      <c r="AS11" s="3724"/>
      <c r="AT11" s="3724"/>
      <c r="AU11" s="3724"/>
      <c r="AV11" s="3725"/>
      <c r="AW11" s="3724"/>
      <c r="AX11" s="3724"/>
      <c r="AY11" s="3724"/>
      <c r="AZ11" s="3725"/>
      <c r="BA11" s="3724"/>
      <c r="BB11" s="3724"/>
      <c r="BC11" s="3724"/>
      <c r="BD11" s="3726"/>
      <c r="BE11" s="3724"/>
      <c r="BF11" s="3724"/>
      <c r="BG11" s="147"/>
      <c r="BH11" s="147"/>
      <c r="BI11" s="147"/>
      <c r="BJ11" s="147"/>
    </row>
    <row r="12" spans="1:62" x14ac:dyDescent="0.25">
      <c r="A12" s="181" t="s">
        <v>478</v>
      </c>
      <c r="B12" s="2843" t="s">
        <v>22</v>
      </c>
      <c r="C12" s="988" t="s">
        <v>52</v>
      </c>
      <c r="D12" s="341">
        <f>+'Maj Production Summ'!D21</f>
        <v>19561</v>
      </c>
      <c r="E12" s="192">
        <f>+'Maj Production Summ'!E21</f>
        <v>1160.8961303462322</v>
      </c>
      <c r="F12" s="341">
        <f>+'Maj Production Summ'!F21</f>
        <v>302.99610000000001</v>
      </c>
      <c r="G12" s="192">
        <f>+'Maj Production Summ'!G21</f>
        <v>1160.8961303462299</v>
      </c>
      <c r="H12" s="341">
        <f>+'Maj Production Summ'!H21</f>
        <v>888.95550000000003</v>
      </c>
      <c r="I12" s="449">
        <f>+E12+G12</f>
        <v>2321.7922606924622</v>
      </c>
      <c r="J12" s="3700">
        <f t="shared" si="0"/>
        <v>1191.9516000000001</v>
      </c>
      <c r="K12" s="192">
        <f>+'Maj Production Summ'!K21</f>
        <v>6791.2423625254596</v>
      </c>
      <c r="L12" s="341">
        <f>+'Maj Production Summ'!L21</f>
        <v>5386.3191000000006</v>
      </c>
      <c r="M12" s="745">
        <f t="shared" ref="M12:N12" si="32">+K12+G12+E12</f>
        <v>9113.0346232179218</v>
      </c>
      <c r="N12" s="745">
        <f t="shared" si="32"/>
        <v>6578.2707000000009</v>
      </c>
      <c r="O12" s="192">
        <f>+'Maj Production Summ'!O21</f>
        <v>1160.8961303462299</v>
      </c>
      <c r="P12" s="341">
        <f>+'Maj Production Summ'!P21</f>
        <v>151.08070000000001</v>
      </c>
      <c r="Q12" s="449">
        <f t="shared" ref="Q12:R14" si="33">+M12+O12</f>
        <v>10273.930753564151</v>
      </c>
      <c r="R12" s="449">
        <f t="shared" si="33"/>
        <v>6729.3514000000014</v>
      </c>
      <c r="S12" s="341">
        <f>+'Maj Production Summ'!S21</f>
        <v>1160.8961303462322</v>
      </c>
      <c r="T12" s="3701">
        <f>+'Maj Production Summ'!T21</f>
        <v>0</v>
      </c>
      <c r="U12" s="449">
        <f t="shared" ref="U12:U14" si="34">+Q12+S12</f>
        <v>11434.826883910384</v>
      </c>
      <c r="V12" s="449">
        <f t="shared" ref="V12:V14" si="35">+R12+T12</f>
        <v>6729.3514000000014</v>
      </c>
      <c r="W12" s="341">
        <f>+'Maj Production Summ'!W21</f>
        <v>1160.8961303462322</v>
      </c>
      <c r="X12" s="341">
        <f>+'Maj Production Summ'!X21</f>
        <v>0</v>
      </c>
      <c r="Y12" s="745">
        <f t="shared" ref="Y12:Z12" si="36">+W12+S12+O12</f>
        <v>3482.6883910386941</v>
      </c>
      <c r="Z12" s="745">
        <f t="shared" si="36"/>
        <v>151.08070000000001</v>
      </c>
      <c r="AA12" s="1310">
        <f>M12+Y12</f>
        <v>12595.723014256615</v>
      </c>
      <c r="AB12" s="550">
        <f>+N12+Z12</f>
        <v>6729.3514000000014</v>
      </c>
      <c r="AC12" s="341">
        <f>+'Maj Production Summ'!AC21</f>
        <v>1160.8961303462299</v>
      </c>
      <c r="AD12" s="3701">
        <f>+'Maj Production Summ'!AD21</f>
        <v>0</v>
      </c>
      <c r="AE12" s="449">
        <f t="shared" ref="AE12:AE14" si="37">+AA12+AC12</f>
        <v>13756.619144602844</v>
      </c>
      <c r="AF12" s="449">
        <f t="shared" ref="AF12:AF14" si="38">+AB12+AD12</f>
        <v>6729.3514000000014</v>
      </c>
      <c r="AG12" s="341">
        <f>+'Maj Production Summ'!AG21</f>
        <v>1160.8961303462322</v>
      </c>
      <c r="AH12" s="3701">
        <f>+'Maj Production Summ'!AH21</f>
        <v>397.31719999999996</v>
      </c>
      <c r="AI12" s="449">
        <f t="shared" ref="AI12:AI14" si="39">+AE12+AG12</f>
        <v>14917.515274949077</v>
      </c>
      <c r="AJ12" s="449">
        <f t="shared" ref="AJ12:AJ14" si="40">+AF12+AH12</f>
        <v>7126.6686000000009</v>
      </c>
      <c r="AK12" s="341">
        <f>+'Maj Production Summ'!AK21</f>
        <v>1160.8961303462299</v>
      </c>
      <c r="AL12" s="3701">
        <f>+'Maj Production Summ'!AL21</f>
        <v>145.23779999999999</v>
      </c>
      <c r="AM12" s="745">
        <f t="shared" ref="AM12:AM14" si="41">+AK12+AG12+AC12</f>
        <v>3482.6883910386923</v>
      </c>
      <c r="AN12" s="745">
        <f t="shared" ref="AN12:AN14" si="42">+AL12+AH12+AD12</f>
        <v>542.55499999999995</v>
      </c>
      <c r="AO12" s="3615">
        <f t="shared" si="26"/>
        <v>16078.411405295306</v>
      </c>
      <c r="AP12" s="3615">
        <f t="shared" si="26"/>
        <v>7271.9064000000008</v>
      </c>
      <c r="AQ12" s="341">
        <f>+'Maj Production Summ'!AQ21</f>
        <v>1160.8961303462299</v>
      </c>
      <c r="AR12" s="3701">
        <f>+'Maj Production Summ'!AR21</f>
        <v>0</v>
      </c>
      <c r="AS12" s="449">
        <f t="shared" ref="AS12:AS14" si="43">+AO12+AQ12</f>
        <v>17239.307535641536</v>
      </c>
      <c r="AT12" s="449">
        <f t="shared" ref="AT12:AT14" si="44">+AP12+AR12</f>
        <v>7271.9064000000008</v>
      </c>
      <c r="AU12" s="341">
        <f>+'Maj Production Summ'!AU21</f>
        <v>1160.8961303462299</v>
      </c>
      <c r="AV12" s="3701">
        <f>+'Maj Production Summ'!AV21</f>
        <v>0</v>
      </c>
      <c r="AW12" s="449">
        <f t="shared" ref="AW12:AW14" si="45">+AS12+AU12</f>
        <v>18400.203665987767</v>
      </c>
      <c r="AX12" s="449">
        <f t="shared" ref="AX12:AX14" si="46">+AT12+AV12</f>
        <v>7271.9064000000008</v>
      </c>
      <c r="AY12" s="341">
        <f>+'Maj Production Summ'!AY21</f>
        <v>1160.8961303462299</v>
      </c>
      <c r="AZ12" s="3701">
        <f>+'Maj Production Summ'!AZ21</f>
        <v>276.36916999999994</v>
      </c>
      <c r="BA12" s="745">
        <f t="shared" ref="BA12:BA14" si="47">+AY12+AU12+AQ12</f>
        <v>3482.6883910386896</v>
      </c>
      <c r="BB12" s="745">
        <f t="shared" ref="BB12:BB14" si="48">+AZ12+AV12+AR12</f>
        <v>276.36916999999994</v>
      </c>
      <c r="BC12" s="563">
        <f t="shared" ref="BC12:BC14" si="49">AM12+BA12</f>
        <v>6965.3767820773819</v>
      </c>
      <c r="BD12" s="571">
        <f t="shared" ref="BD12:BD14" si="50">+AN12+BB12</f>
        <v>818.92416999999989</v>
      </c>
      <c r="BE12" s="449">
        <f t="shared" ref="BE12:BE14" si="51">+AW12+AY12</f>
        <v>19561.099796333998</v>
      </c>
      <c r="BF12" s="449">
        <f t="shared" ref="BF12:BF14" si="52">+AX12+AZ12</f>
        <v>7548.2755700000007</v>
      </c>
      <c r="BG12" s="147"/>
      <c r="BH12" s="147"/>
      <c r="BI12" s="147"/>
      <c r="BJ12" s="147"/>
    </row>
    <row r="13" spans="1:62" x14ac:dyDescent="0.25">
      <c r="A13" s="272"/>
      <c r="B13" s="2871" t="s">
        <v>116</v>
      </c>
      <c r="C13" s="193" t="s">
        <v>52</v>
      </c>
      <c r="D13" s="3576">
        <v>0</v>
      </c>
      <c r="E13" s="2941">
        <f>+'Maj Production Summ'!E22</f>
        <v>0</v>
      </c>
      <c r="F13" s="3576">
        <f>+'Maj Production Summ'!F22</f>
        <v>42.775919999999992</v>
      </c>
      <c r="G13" s="2941">
        <f>+'Maj Production Summ'!G22</f>
        <v>0</v>
      </c>
      <c r="H13" s="3576">
        <f>+'Maj Production Summ'!H22</f>
        <v>125.4996</v>
      </c>
      <c r="I13" s="3577">
        <f>+E13+G13</f>
        <v>0</v>
      </c>
      <c r="J13" s="712">
        <f t="shared" si="0"/>
        <v>168.27552</v>
      </c>
      <c r="K13" s="2941">
        <f>+'Maj Production Summ'!K22</f>
        <v>0</v>
      </c>
      <c r="L13" s="3576">
        <f>+'Maj Production Summ'!L22</f>
        <v>760.42151999999999</v>
      </c>
      <c r="M13" s="3578">
        <f t="shared" ref="M13:M14" si="53">+K13+G13+E13</f>
        <v>0</v>
      </c>
      <c r="N13" s="3578">
        <f t="shared" ref="N13:N14" si="54">+L13+H13+F13</f>
        <v>928.69704000000002</v>
      </c>
      <c r="O13" s="2941">
        <f>+'Maj Production Summ'!O22</f>
        <v>0</v>
      </c>
      <c r="P13" s="3576">
        <f>+'Maj Production Summ'!P22</f>
        <v>21.329039999999999</v>
      </c>
      <c r="Q13" s="3577">
        <f t="shared" si="33"/>
        <v>0</v>
      </c>
      <c r="R13" s="3577">
        <f t="shared" si="33"/>
        <v>950.02607999999998</v>
      </c>
      <c r="S13" s="3576">
        <f>+'Maj Production Summ'!S22</f>
        <v>0</v>
      </c>
      <c r="T13" s="2627">
        <f>+'Maj Production Summ'!T22</f>
        <v>0</v>
      </c>
      <c r="U13" s="3577">
        <f t="shared" si="34"/>
        <v>0</v>
      </c>
      <c r="V13" s="3577">
        <f t="shared" si="35"/>
        <v>950.02607999999998</v>
      </c>
      <c r="W13" s="3576">
        <f>+'Maj Production Summ'!W22</f>
        <v>0</v>
      </c>
      <c r="X13" s="3576">
        <f>+'Maj Production Summ'!X22</f>
        <v>0</v>
      </c>
      <c r="Y13" s="3578">
        <f t="shared" ref="Y13:Y14" si="55">+W13+S13+O13</f>
        <v>0</v>
      </c>
      <c r="Z13" s="3578">
        <f t="shared" ref="Z13:Z14" si="56">+X13+T13+P13</f>
        <v>21.329039999999999</v>
      </c>
      <c r="AA13" s="3580">
        <f t="shared" ref="AA13:AA14" si="57">M13+Y13</f>
        <v>0</v>
      </c>
      <c r="AB13" s="546">
        <f t="shared" ref="AB13:AB14" si="58">+N13+Z13</f>
        <v>950.02607999999998</v>
      </c>
      <c r="AC13" s="3616">
        <f>+'Maj Production Summ'!AC22</f>
        <v>0</v>
      </c>
      <c r="AD13" s="2627">
        <f>+'Maj Production Summ'!AD22</f>
        <v>0</v>
      </c>
      <c r="AE13" s="3615">
        <f t="shared" si="37"/>
        <v>0</v>
      </c>
      <c r="AF13" s="3615">
        <f t="shared" si="38"/>
        <v>950.02607999999998</v>
      </c>
      <c r="AG13" s="3616">
        <f>+'Maj Production Summ'!AG22</f>
        <v>0</v>
      </c>
      <c r="AH13" s="2627">
        <f>+'Maj Production Summ'!AH22</f>
        <v>56.091839999999998</v>
      </c>
      <c r="AI13" s="3615">
        <f t="shared" si="39"/>
        <v>0</v>
      </c>
      <c r="AJ13" s="3615">
        <f t="shared" si="40"/>
        <v>1006.11792</v>
      </c>
      <c r="AK13" s="3616">
        <f>+'Maj Production Summ'!AK22</f>
        <v>0</v>
      </c>
      <c r="AL13" s="2627">
        <f>+'Maj Production Summ'!AL22</f>
        <v>20.504159999999999</v>
      </c>
      <c r="AM13" s="4312">
        <f t="shared" si="41"/>
        <v>0</v>
      </c>
      <c r="AN13" s="4312">
        <f t="shared" si="42"/>
        <v>76.596000000000004</v>
      </c>
      <c r="AO13" s="3615">
        <f t="shared" ref="AO13:AP16" si="59">+AK13+AI13</f>
        <v>0</v>
      </c>
      <c r="AP13" s="3615">
        <f t="shared" ref="AP13:AP14" si="60">+AL13+AJ13</f>
        <v>1026.6220800000001</v>
      </c>
      <c r="AQ13" s="3616">
        <f>+'Maj Production Summ'!AQ22</f>
        <v>0</v>
      </c>
      <c r="AR13" s="2627">
        <f>+'Maj Production Summ'!AR22</f>
        <v>0</v>
      </c>
      <c r="AS13" s="3615">
        <f t="shared" si="43"/>
        <v>0</v>
      </c>
      <c r="AT13" s="3615">
        <f t="shared" si="44"/>
        <v>1026.6220800000001</v>
      </c>
      <c r="AU13" s="3616">
        <f>+'Maj Production Summ'!AU22</f>
        <v>0</v>
      </c>
      <c r="AV13" s="2627">
        <f>+'Maj Production Summ'!AV22</f>
        <v>0</v>
      </c>
      <c r="AW13" s="3615">
        <f t="shared" si="45"/>
        <v>0</v>
      </c>
      <c r="AX13" s="3615">
        <f t="shared" si="46"/>
        <v>1026.6220800000001</v>
      </c>
      <c r="AY13" s="3616">
        <f>+'Maj Production Summ'!AY22</f>
        <v>0</v>
      </c>
      <c r="AZ13" s="2627">
        <f>+'Maj Production Summ'!AZ22</f>
        <v>0</v>
      </c>
      <c r="BA13" s="5036">
        <f t="shared" si="47"/>
        <v>0</v>
      </c>
      <c r="BB13" s="5036">
        <f t="shared" si="48"/>
        <v>0</v>
      </c>
      <c r="BC13" s="563">
        <f t="shared" si="49"/>
        <v>0</v>
      </c>
      <c r="BD13" s="571">
        <f t="shared" si="50"/>
        <v>76.596000000000004</v>
      </c>
      <c r="BE13" s="3615">
        <f t="shared" si="51"/>
        <v>0</v>
      </c>
      <c r="BF13" s="3615">
        <f t="shared" si="52"/>
        <v>1026.6220800000001</v>
      </c>
      <c r="BG13" s="147"/>
      <c r="BH13" s="147"/>
      <c r="BI13" s="147"/>
      <c r="BJ13" s="147"/>
    </row>
    <row r="14" spans="1:62" ht="30" x14ac:dyDescent="0.25">
      <c r="A14" s="181"/>
      <c r="B14" s="3716" t="s">
        <v>240</v>
      </c>
      <c r="C14" s="193" t="s">
        <v>52</v>
      </c>
      <c r="D14" s="193">
        <v>2000</v>
      </c>
      <c r="E14" s="193">
        <f>+'Maj Production Summ'!E23</f>
        <v>0</v>
      </c>
      <c r="F14" s="3576">
        <f>+'Maj Production Summ'!F23</f>
        <v>0</v>
      </c>
      <c r="G14" s="193">
        <f>+'Maj Production Summ'!G23</f>
        <v>0</v>
      </c>
      <c r="H14" s="3576">
        <f>+'Maj Production Summ'!H23</f>
        <v>0</v>
      </c>
      <c r="I14" s="712">
        <f>+E14+G14</f>
        <v>0</v>
      </c>
      <c r="J14" s="3577">
        <f t="shared" si="0"/>
        <v>0</v>
      </c>
      <c r="K14" s="193">
        <f>+'Maj Production Summ'!K23</f>
        <v>2000</v>
      </c>
      <c r="L14" s="3576">
        <f>+'Maj Production Summ'!L23</f>
        <v>5022</v>
      </c>
      <c r="M14" s="3578">
        <f t="shared" si="53"/>
        <v>2000</v>
      </c>
      <c r="N14" s="3578">
        <f t="shared" si="54"/>
        <v>5022</v>
      </c>
      <c r="O14" s="193">
        <f>+'Maj Production Summ'!O23</f>
        <v>0</v>
      </c>
      <c r="P14" s="3576">
        <f>+'Maj Production Summ'!P23</f>
        <v>0</v>
      </c>
      <c r="Q14" s="712">
        <f t="shared" si="33"/>
        <v>2000</v>
      </c>
      <c r="R14" s="3577">
        <f t="shared" si="33"/>
        <v>5022</v>
      </c>
      <c r="S14" s="3576">
        <f>+'Maj Production Summ'!S23</f>
        <v>0</v>
      </c>
      <c r="T14" s="2627">
        <f>+'Maj Production Summ'!T23</f>
        <v>0</v>
      </c>
      <c r="U14" s="712">
        <f t="shared" si="34"/>
        <v>2000</v>
      </c>
      <c r="V14" s="3577">
        <f t="shared" si="35"/>
        <v>5022</v>
      </c>
      <c r="W14" s="3576">
        <f>+'Maj Production Summ'!W23</f>
        <v>0</v>
      </c>
      <c r="X14" s="3576">
        <f>+'Maj Production Summ'!X23</f>
        <v>0</v>
      </c>
      <c r="Y14" s="3578">
        <f t="shared" si="55"/>
        <v>0</v>
      </c>
      <c r="Z14" s="3578">
        <f t="shared" si="56"/>
        <v>0</v>
      </c>
      <c r="AA14" s="3715">
        <f t="shared" si="57"/>
        <v>2000</v>
      </c>
      <c r="AB14" s="546">
        <f t="shared" si="58"/>
        <v>5022</v>
      </c>
      <c r="AC14" s="3616">
        <f>+'Maj Production Summ'!AC23</f>
        <v>0</v>
      </c>
      <c r="AD14" s="2627">
        <f>+'Maj Production Summ'!AD23</f>
        <v>0</v>
      </c>
      <c r="AE14" s="712">
        <f t="shared" si="37"/>
        <v>2000</v>
      </c>
      <c r="AF14" s="3615">
        <f t="shared" si="38"/>
        <v>5022</v>
      </c>
      <c r="AG14" s="3616">
        <f>+'Maj Production Summ'!AG23</f>
        <v>0</v>
      </c>
      <c r="AH14" s="2627">
        <f>+'Maj Production Summ'!AH23</f>
        <v>0</v>
      </c>
      <c r="AI14" s="712">
        <f t="shared" si="39"/>
        <v>2000</v>
      </c>
      <c r="AJ14" s="3615">
        <f t="shared" si="40"/>
        <v>5022</v>
      </c>
      <c r="AK14" s="3616">
        <f>+'Maj Production Summ'!AK23</f>
        <v>0</v>
      </c>
      <c r="AL14" s="2627">
        <f>+'Maj Production Summ'!AL23</f>
        <v>0</v>
      </c>
      <c r="AM14" s="4312">
        <f t="shared" si="41"/>
        <v>0</v>
      </c>
      <c r="AN14" s="4312">
        <f t="shared" si="42"/>
        <v>0</v>
      </c>
      <c r="AO14" s="3615">
        <f t="shared" si="59"/>
        <v>2000</v>
      </c>
      <c r="AP14" s="3615">
        <f t="shared" si="60"/>
        <v>5022</v>
      </c>
      <c r="AQ14" s="3616">
        <f>+'Maj Production Summ'!AQ23</f>
        <v>0</v>
      </c>
      <c r="AR14" s="2627">
        <f>+'Maj Production Summ'!AR23</f>
        <v>0</v>
      </c>
      <c r="AS14" s="712">
        <f t="shared" si="43"/>
        <v>2000</v>
      </c>
      <c r="AT14" s="3615">
        <f t="shared" si="44"/>
        <v>5022</v>
      </c>
      <c r="AU14" s="3616">
        <f>+'Maj Production Summ'!AU23</f>
        <v>0</v>
      </c>
      <c r="AV14" s="2627">
        <f>+'Maj Production Summ'!AV23</f>
        <v>0</v>
      </c>
      <c r="AW14" s="712">
        <f t="shared" si="45"/>
        <v>2000</v>
      </c>
      <c r="AX14" s="3615">
        <f t="shared" si="46"/>
        <v>5022</v>
      </c>
      <c r="AY14" s="3616">
        <f>+'Maj Production Summ'!AY23</f>
        <v>0</v>
      </c>
      <c r="AZ14" s="2627">
        <f>+'Maj Production Summ'!AZ23</f>
        <v>0</v>
      </c>
      <c r="BA14" s="5036">
        <f t="shared" si="47"/>
        <v>0</v>
      </c>
      <c r="BB14" s="5036">
        <f t="shared" si="48"/>
        <v>0</v>
      </c>
      <c r="BC14" s="563">
        <f t="shared" si="49"/>
        <v>0</v>
      </c>
      <c r="BD14" s="571">
        <f t="shared" si="50"/>
        <v>0</v>
      </c>
      <c r="BE14" s="712">
        <f t="shared" si="51"/>
        <v>2000</v>
      </c>
      <c r="BF14" s="3615">
        <f t="shared" si="52"/>
        <v>5022</v>
      </c>
      <c r="BG14" s="147"/>
      <c r="BH14" s="147"/>
      <c r="BI14" s="147"/>
      <c r="BJ14" s="147"/>
    </row>
    <row r="15" spans="1:62" ht="16.5" thickBot="1" x14ac:dyDescent="0.3">
      <c r="A15" s="181"/>
      <c r="B15" s="3717" t="s">
        <v>130</v>
      </c>
      <c r="C15" s="3601" t="s">
        <v>52</v>
      </c>
      <c r="D15" s="3718">
        <f>SUM(D12:D14)</f>
        <v>21561</v>
      </c>
      <c r="E15" s="3718">
        <f t="shared" ref="E15:AF15" si="61">SUM(E12:E14)</f>
        <v>1160.8961303462322</v>
      </c>
      <c r="F15" s="3719">
        <f t="shared" si="61"/>
        <v>345.77202</v>
      </c>
      <c r="G15" s="3718">
        <f t="shared" ref="G15:H15" si="62">SUM(G12:G14)</f>
        <v>1160.8961303462299</v>
      </c>
      <c r="H15" s="3719">
        <f t="shared" si="62"/>
        <v>1014.4551</v>
      </c>
      <c r="I15" s="450">
        <f t="shared" si="61"/>
        <v>2321.7922606924622</v>
      </c>
      <c r="J15" s="450">
        <f t="shared" si="61"/>
        <v>1360.22712</v>
      </c>
      <c r="K15" s="3718">
        <f t="shared" si="61"/>
        <v>8791.2423625254596</v>
      </c>
      <c r="L15" s="3719">
        <f t="shared" si="61"/>
        <v>11168.74062</v>
      </c>
      <c r="M15" s="3673">
        <f t="shared" si="61"/>
        <v>11113.034623217922</v>
      </c>
      <c r="N15" s="3673">
        <f t="shared" si="61"/>
        <v>12528.96774</v>
      </c>
      <c r="O15" s="3718">
        <f t="shared" ref="O15:P15" si="63">SUM(O12:O14)</f>
        <v>1160.8961303462299</v>
      </c>
      <c r="P15" s="3719">
        <f t="shared" si="63"/>
        <v>172.40974</v>
      </c>
      <c r="Q15" s="450">
        <f t="shared" ref="Q15:T15" si="64">SUM(Q12:Q14)</f>
        <v>12273.930753564151</v>
      </c>
      <c r="R15" s="450">
        <f t="shared" si="64"/>
        <v>12701.377480000001</v>
      </c>
      <c r="S15" s="3719">
        <f t="shared" si="64"/>
        <v>1160.8961303462322</v>
      </c>
      <c r="T15" s="3720">
        <f t="shared" si="64"/>
        <v>0</v>
      </c>
      <c r="U15" s="450">
        <f t="shared" ref="U15:X15" si="65">SUM(U12:U14)</f>
        <v>13434.826883910384</v>
      </c>
      <c r="V15" s="450">
        <f t="shared" si="65"/>
        <v>12701.377480000001</v>
      </c>
      <c r="W15" s="3719">
        <f t="shared" si="65"/>
        <v>1160.8961303462322</v>
      </c>
      <c r="X15" s="3719">
        <f t="shared" si="65"/>
        <v>0</v>
      </c>
      <c r="Y15" s="3673">
        <f t="shared" si="61"/>
        <v>3482.6883910386941</v>
      </c>
      <c r="Z15" s="3673">
        <f t="shared" si="61"/>
        <v>172.40974</v>
      </c>
      <c r="AA15" s="3721">
        <f t="shared" si="61"/>
        <v>14595.723014256615</v>
      </c>
      <c r="AB15" s="3722">
        <f t="shared" si="61"/>
        <v>12701.377480000001</v>
      </c>
      <c r="AC15" s="3719">
        <f t="shared" si="61"/>
        <v>1160.8961303462299</v>
      </c>
      <c r="AD15" s="3720">
        <f t="shared" si="61"/>
        <v>0</v>
      </c>
      <c r="AE15" s="450">
        <f t="shared" si="61"/>
        <v>15756.619144602844</v>
      </c>
      <c r="AF15" s="450">
        <f t="shared" si="61"/>
        <v>12701.377480000001</v>
      </c>
      <c r="AG15" s="3719">
        <f t="shared" ref="AG15:AJ15" si="66">SUM(AG12:AG14)</f>
        <v>1160.8961303462322</v>
      </c>
      <c r="AH15" s="3720">
        <f t="shared" si="66"/>
        <v>453.40903999999995</v>
      </c>
      <c r="AI15" s="450">
        <f t="shared" si="66"/>
        <v>16917.515274949077</v>
      </c>
      <c r="AJ15" s="450">
        <f t="shared" si="66"/>
        <v>13154.786520000001</v>
      </c>
      <c r="AK15" s="3719">
        <f t="shared" ref="AK15:AV15" si="67">SUM(AK12:AK14)</f>
        <v>1160.8961303462299</v>
      </c>
      <c r="AL15" s="3720">
        <f t="shared" si="67"/>
        <v>165.74196000000001</v>
      </c>
      <c r="AM15" s="3673">
        <f t="shared" si="67"/>
        <v>3482.6883910386923</v>
      </c>
      <c r="AN15" s="3673">
        <f t="shared" si="67"/>
        <v>619.15099999999995</v>
      </c>
      <c r="AO15" s="450">
        <f t="shared" si="67"/>
        <v>18078.411405295308</v>
      </c>
      <c r="AP15" s="450">
        <f t="shared" si="67"/>
        <v>13320.528480000001</v>
      </c>
      <c r="AQ15" s="3719">
        <f t="shared" ref="AQ15:AR15" si="68">SUM(AQ12:AQ14)</f>
        <v>1160.8961303462299</v>
      </c>
      <c r="AR15" s="3720">
        <f t="shared" si="68"/>
        <v>0</v>
      </c>
      <c r="AS15" s="450">
        <f t="shared" si="67"/>
        <v>19239.307535641536</v>
      </c>
      <c r="AT15" s="450">
        <f t="shared" si="67"/>
        <v>13320.528480000001</v>
      </c>
      <c r="AU15" s="3719">
        <f t="shared" si="67"/>
        <v>1160.8961303462299</v>
      </c>
      <c r="AV15" s="3720">
        <f t="shared" si="67"/>
        <v>0</v>
      </c>
      <c r="AW15" s="450">
        <f t="shared" ref="AW15:BD15" si="69">SUM(AW12:AW14)</f>
        <v>20400.203665987767</v>
      </c>
      <c r="AX15" s="450">
        <f t="shared" si="69"/>
        <v>13320.528480000001</v>
      </c>
      <c r="AY15" s="3719">
        <f t="shared" si="69"/>
        <v>1160.8961303462299</v>
      </c>
      <c r="AZ15" s="3720">
        <f t="shared" si="69"/>
        <v>276.36916999999994</v>
      </c>
      <c r="BA15" s="3673">
        <f t="shared" si="69"/>
        <v>3482.6883910386896</v>
      </c>
      <c r="BB15" s="3673">
        <f t="shared" si="69"/>
        <v>276.36916999999994</v>
      </c>
      <c r="BC15" s="3721">
        <f t="shared" si="69"/>
        <v>6965.3767820773819</v>
      </c>
      <c r="BD15" s="3722">
        <f t="shared" si="69"/>
        <v>895.52016999999989</v>
      </c>
      <c r="BE15" s="450">
        <f t="shared" ref="BE15:BF15" si="70">SUM(BE12:BE14)</f>
        <v>21561.099796333998</v>
      </c>
      <c r="BF15" s="450">
        <f t="shared" si="70"/>
        <v>13596.897650000001</v>
      </c>
      <c r="BG15" s="147"/>
      <c r="BH15" s="147"/>
      <c r="BI15" s="147"/>
      <c r="BJ15" s="147"/>
    </row>
    <row r="16" spans="1:62" ht="15.75" thickBot="1" x14ac:dyDescent="0.3">
      <c r="A16" s="222"/>
      <c r="B16" s="2601" t="s">
        <v>731</v>
      </c>
      <c r="C16" s="997" t="s">
        <v>52</v>
      </c>
      <c r="D16" s="3324">
        <f>+'Maj Production Summ'!D25</f>
        <v>2377.8720000000003</v>
      </c>
      <c r="E16" s="3324">
        <f>+'Maj Production Summ'!E25</f>
        <v>141.12</v>
      </c>
      <c r="F16" s="3709">
        <f>+'Maj Production Summ'!F25</f>
        <v>226.85599999999999</v>
      </c>
      <c r="G16" s="3324">
        <f>+'Maj Production Summ'!G25</f>
        <v>141.12</v>
      </c>
      <c r="H16" s="3709">
        <f>+'Maj Production Summ'!H25</f>
        <v>721</v>
      </c>
      <c r="I16" s="3710" t="s">
        <v>34</v>
      </c>
      <c r="J16" s="650">
        <f t="shared" si="0"/>
        <v>947.85599999999999</v>
      </c>
      <c r="K16" s="3324">
        <f>+'Maj Production Summ'!K25</f>
        <v>825.55200000000002</v>
      </c>
      <c r="L16" s="3709">
        <f>+'Maj Production Summ'!L25</f>
        <v>1000</v>
      </c>
      <c r="M16" s="3711">
        <f t="shared" ref="M16:N20" si="71">+K16+G16+E16</f>
        <v>1107.7919999999999</v>
      </c>
      <c r="N16" s="3711">
        <f t="shared" si="71"/>
        <v>1947.856</v>
      </c>
      <c r="O16" s="3324">
        <f>+'Maj Production Summ'!O25</f>
        <v>141.12</v>
      </c>
      <c r="P16" s="3709">
        <f>+'Maj Production Summ'!P25</f>
        <v>1119.1599999999999</v>
      </c>
      <c r="Q16" s="2282">
        <f t="shared" ref="Q16:R20" si="72">+M16+O16</f>
        <v>1248.9119999999998</v>
      </c>
      <c r="R16" s="650">
        <f t="shared" si="72"/>
        <v>3067.0159999999996</v>
      </c>
      <c r="S16" s="3599">
        <f>+'Maj Production Summ'!S25</f>
        <v>141.12</v>
      </c>
      <c r="T16" s="3712">
        <f>+'Maj Production Summ'!T25</f>
        <v>1304.0999999999999</v>
      </c>
      <c r="U16" s="2282">
        <f t="shared" ref="U16:U20" si="73">+Q16+S16</f>
        <v>1390.0319999999997</v>
      </c>
      <c r="V16" s="650">
        <f t="shared" ref="V16:V20" si="74">+R16+T16</f>
        <v>4371.116</v>
      </c>
      <c r="W16" s="3599">
        <f>+'Maj Production Summ'!W25</f>
        <v>141.12</v>
      </c>
      <c r="X16" s="3713">
        <f>+'Maj Production Summ'!X25</f>
        <v>670.20800000000008</v>
      </c>
      <c r="Y16" s="3711">
        <f t="shared" ref="Y16:Z17" si="75">+W16+S16+O16</f>
        <v>423.36</v>
      </c>
      <c r="Z16" s="649">
        <f t="shared" si="75"/>
        <v>3093.4679999999998</v>
      </c>
      <c r="AA16" s="3714">
        <f>M16+Y16</f>
        <v>1531.152</v>
      </c>
      <c r="AB16" s="3708">
        <f>+N16+Z16</f>
        <v>5041.3239999999996</v>
      </c>
      <c r="AC16" s="4084">
        <f>+'Maj Production Summ'!AC25</f>
        <v>141.12</v>
      </c>
      <c r="AD16" s="3712">
        <f>+'Maj Production Summ'!AD25</f>
        <v>763.14700000000005</v>
      </c>
      <c r="AE16" s="2282">
        <f t="shared" ref="AE16:AE20" si="76">+AA16+AC16</f>
        <v>1672.2719999999999</v>
      </c>
      <c r="AF16" s="650">
        <f t="shared" ref="AF16:AF20" si="77">+AB16+AD16</f>
        <v>5804.4709999999995</v>
      </c>
      <c r="AG16" s="4192">
        <f>+'Maj Production Summ'!AG25</f>
        <v>141.12</v>
      </c>
      <c r="AH16" s="3712">
        <f>+'Maj Production Summ'!AH25</f>
        <v>0</v>
      </c>
      <c r="AI16" s="2282">
        <f t="shared" ref="AI16:AI20" si="78">+AE16+AG16</f>
        <v>1813.3919999999998</v>
      </c>
      <c r="AJ16" s="650">
        <f t="shared" ref="AJ16:AJ20" si="79">+AF16+AH16</f>
        <v>5804.4709999999995</v>
      </c>
      <c r="AK16" s="4326">
        <f>+'Maj Production Summ'!AK25</f>
        <v>141.12</v>
      </c>
      <c r="AL16" s="3712">
        <f>+'Maj Production Summ'!AL25</f>
        <v>0</v>
      </c>
      <c r="AM16" s="3711">
        <f t="shared" ref="AM16:AM20" si="80">+AK16+AG16+AC16</f>
        <v>423.36</v>
      </c>
      <c r="AN16" s="649">
        <f t="shared" ref="AN16:AN20" si="81">+AL16+AH16+AD16</f>
        <v>763.14700000000005</v>
      </c>
      <c r="AO16" s="3615">
        <f t="shared" si="59"/>
        <v>1954.5119999999997</v>
      </c>
      <c r="AP16" s="3615">
        <f t="shared" si="59"/>
        <v>5804.4709999999995</v>
      </c>
      <c r="AQ16" s="4430">
        <f>+'Maj Production Summ'!AQ25</f>
        <v>141.12</v>
      </c>
      <c r="AR16" s="3712">
        <f>+'Maj Production Summ'!AR25</f>
        <v>110.77500000000001</v>
      </c>
      <c r="AS16" s="2282">
        <f t="shared" ref="AS16:AS20" si="82">+AO16+AQ16</f>
        <v>2095.6319999999996</v>
      </c>
      <c r="AT16" s="650">
        <f t="shared" ref="AT16:AT20" si="83">+AP16+AR16</f>
        <v>5915.2459999999992</v>
      </c>
      <c r="AU16" s="4667">
        <f>+'Maj Production Summ'!AU25</f>
        <v>141.12</v>
      </c>
      <c r="AV16" s="3712">
        <f>+'Maj Production Summ'!AV25</f>
        <v>0</v>
      </c>
      <c r="AW16" s="2282">
        <f t="shared" ref="AW16:AW20" si="84">+AS16+AU16</f>
        <v>2236.7519999999995</v>
      </c>
      <c r="AX16" s="650">
        <f t="shared" ref="AX16:AX20" si="85">+AT16+AV16</f>
        <v>5915.2459999999992</v>
      </c>
      <c r="AY16" s="5053">
        <f>+'Maj Production Summ'!AY25</f>
        <v>141.12</v>
      </c>
      <c r="AZ16" s="3712">
        <f>+'Maj Production Summ'!AZ25</f>
        <v>226.149</v>
      </c>
      <c r="BA16" s="3711">
        <f t="shared" ref="BA16:BA20" si="86">+AY16+AU16+AQ16</f>
        <v>423.36</v>
      </c>
      <c r="BB16" s="649">
        <f t="shared" ref="BB16:BB20" si="87">+AZ16+AV16+AR16</f>
        <v>336.92399999999998</v>
      </c>
      <c r="BC16" s="563">
        <f t="shared" ref="BC16:BC19" si="88">AM16+BA16</f>
        <v>846.72</v>
      </c>
      <c r="BD16" s="571">
        <f t="shared" ref="BD16:BD19" si="89">+AN16+BB16</f>
        <v>1100.0709999999999</v>
      </c>
      <c r="BE16" s="2282">
        <f t="shared" ref="BE16:BE20" si="90">+AW16+AY16</f>
        <v>2377.8719999999994</v>
      </c>
      <c r="BF16" s="650">
        <f t="shared" ref="BF16:BF20" si="91">+AX16+AZ16</f>
        <v>6141.3949999999995</v>
      </c>
      <c r="BG16" s="147"/>
      <c r="BH16" s="147"/>
      <c r="BI16" s="147"/>
      <c r="BJ16" s="147"/>
    </row>
    <row r="17" spans="1:116" x14ac:dyDescent="0.25">
      <c r="A17" s="181"/>
      <c r="B17" s="3325" t="s">
        <v>243</v>
      </c>
      <c r="C17" s="988" t="s">
        <v>52</v>
      </c>
      <c r="D17" s="192">
        <v>1083600</v>
      </c>
      <c r="E17" s="192">
        <v>91332</v>
      </c>
      <c r="F17" s="341">
        <v>105633.76699999999</v>
      </c>
      <c r="G17" s="192">
        <v>76239</v>
      </c>
      <c r="H17" s="341">
        <v>90854.173999999985</v>
      </c>
      <c r="I17" s="449">
        <f>+E17+G17</f>
        <v>167571</v>
      </c>
      <c r="J17" s="3700">
        <f t="shared" si="0"/>
        <v>196487.94099999999</v>
      </c>
      <c r="K17" s="192">
        <v>77787</v>
      </c>
      <c r="L17" s="341">
        <v>85363.87000000001</v>
      </c>
      <c r="M17" s="745">
        <f t="shared" si="71"/>
        <v>245358</v>
      </c>
      <c r="N17" s="745">
        <f>+L17+H17+F17</f>
        <v>281851.81099999999</v>
      </c>
      <c r="O17" s="192">
        <v>92493</v>
      </c>
      <c r="P17" s="341">
        <v>112810.21700000002</v>
      </c>
      <c r="Q17" s="449">
        <f t="shared" si="72"/>
        <v>337851</v>
      </c>
      <c r="R17" s="449">
        <f t="shared" si="72"/>
        <v>394662.02799999999</v>
      </c>
      <c r="S17" s="341">
        <v>92493</v>
      </c>
      <c r="T17" s="3701">
        <v>115040.96400000001</v>
      </c>
      <c r="U17" s="449">
        <f t="shared" si="73"/>
        <v>430344</v>
      </c>
      <c r="V17" s="449">
        <f t="shared" si="74"/>
        <v>509702.99199999997</v>
      </c>
      <c r="W17" s="341">
        <v>89784</v>
      </c>
      <c r="X17" s="341">
        <v>102753.16800000003</v>
      </c>
      <c r="Y17" s="745">
        <f t="shared" si="75"/>
        <v>274770</v>
      </c>
      <c r="Z17" s="745">
        <f t="shared" si="75"/>
        <v>330604.34900000005</v>
      </c>
      <c r="AA17" s="1310">
        <f>M17+Y17</f>
        <v>520128</v>
      </c>
      <c r="AB17" s="550">
        <f>+N17+Z17</f>
        <v>612456.16</v>
      </c>
      <c r="AC17" s="341">
        <v>95202</v>
      </c>
      <c r="AD17" s="3701">
        <v>104758.863</v>
      </c>
      <c r="AE17" s="449">
        <f t="shared" si="76"/>
        <v>615330</v>
      </c>
      <c r="AF17" s="449">
        <f t="shared" si="77"/>
        <v>717215.02300000004</v>
      </c>
      <c r="AG17" s="341">
        <v>92106</v>
      </c>
      <c r="AH17" s="3701">
        <v>92919.338999999993</v>
      </c>
      <c r="AI17" s="449">
        <f t="shared" si="78"/>
        <v>707436</v>
      </c>
      <c r="AJ17" s="449">
        <f t="shared" si="79"/>
        <v>810134.36200000008</v>
      </c>
      <c r="AK17" s="341">
        <v>95589</v>
      </c>
      <c r="AL17" s="3701">
        <v>103683.2044</v>
      </c>
      <c r="AM17" s="745">
        <f t="shared" si="80"/>
        <v>282897</v>
      </c>
      <c r="AN17" s="745">
        <f t="shared" si="81"/>
        <v>301361.40639999998</v>
      </c>
      <c r="AO17" s="3615">
        <f t="shared" ref="AO17:AP22" si="92">+AK17+AI17</f>
        <v>803025</v>
      </c>
      <c r="AP17" s="3615">
        <f t="shared" ref="AP17:AP20" si="93">+AL17+AJ17</f>
        <v>913817.56640000013</v>
      </c>
      <c r="AQ17" s="341">
        <v>95589</v>
      </c>
      <c r="AR17" s="3701">
        <v>93615.471000000005</v>
      </c>
      <c r="AS17" s="449">
        <f t="shared" si="82"/>
        <v>898614</v>
      </c>
      <c r="AT17" s="449">
        <f t="shared" si="83"/>
        <v>1007433.0374000001</v>
      </c>
      <c r="AU17" s="341">
        <v>89010</v>
      </c>
      <c r="AV17" s="3701">
        <v>100012.23450000001</v>
      </c>
      <c r="AW17" s="449">
        <f t="shared" si="84"/>
        <v>987624</v>
      </c>
      <c r="AX17" s="449">
        <f t="shared" si="85"/>
        <v>1107445.2719000001</v>
      </c>
      <c r="AY17" s="341">
        <v>95976</v>
      </c>
      <c r="AZ17" s="3701">
        <v>111389.30359999997</v>
      </c>
      <c r="BA17" s="745">
        <f t="shared" si="86"/>
        <v>280575</v>
      </c>
      <c r="BB17" s="745">
        <f t="shared" si="87"/>
        <v>305017.00909999997</v>
      </c>
      <c r="BC17" s="563">
        <f t="shared" si="88"/>
        <v>563472</v>
      </c>
      <c r="BD17" s="571">
        <f t="shared" si="89"/>
        <v>606378.41549999989</v>
      </c>
      <c r="BE17" s="449">
        <f t="shared" si="90"/>
        <v>1083600</v>
      </c>
      <c r="BF17" s="449">
        <f t="shared" si="91"/>
        <v>1218834.5755</v>
      </c>
      <c r="BG17" s="147"/>
      <c r="BH17" s="147"/>
      <c r="BI17" s="147"/>
      <c r="BJ17" s="147"/>
    </row>
    <row r="18" spans="1:116" x14ac:dyDescent="0.25">
      <c r="A18" s="181" t="s">
        <v>478</v>
      </c>
      <c r="B18" s="2595" t="s">
        <v>576</v>
      </c>
      <c r="C18" s="193" t="s">
        <v>52</v>
      </c>
      <c r="D18" s="3576">
        <v>1029420</v>
      </c>
      <c r="E18" s="3576">
        <v>86765.4</v>
      </c>
      <c r="F18" s="3576">
        <v>106042.04840404038</v>
      </c>
      <c r="G18" s="3576">
        <v>72427.05</v>
      </c>
      <c r="H18" s="3576">
        <v>90093</v>
      </c>
      <c r="I18" s="3577">
        <f>+E18+G18</f>
        <v>159192.45000000001</v>
      </c>
      <c r="J18" s="712">
        <f t="shared" si="0"/>
        <v>196135.0484040404</v>
      </c>
      <c r="K18" s="3576">
        <v>73897.649999999994</v>
      </c>
      <c r="L18" s="3576">
        <v>83800</v>
      </c>
      <c r="M18" s="3578">
        <f t="shared" ref="M18:M19" si="94">+K18+G18+E18</f>
        <v>233090.1</v>
      </c>
      <c r="N18" s="3578">
        <f t="shared" ref="N18:N19" si="95">+L18+H18+F18</f>
        <v>279935.0484040404</v>
      </c>
      <c r="O18" s="3576">
        <v>87868.35</v>
      </c>
      <c r="P18" s="3576">
        <v>105459</v>
      </c>
      <c r="Q18" s="3577">
        <f t="shared" si="72"/>
        <v>320958.45</v>
      </c>
      <c r="R18" s="3577">
        <f t="shared" si="72"/>
        <v>385394.0484040404</v>
      </c>
      <c r="S18" s="3576">
        <v>87868.35</v>
      </c>
      <c r="T18" s="2627">
        <v>121704.2332</v>
      </c>
      <c r="U18" s="3577">
        <f t="shared" si="73"/>
        <v>408826.80000000005</v>
      </c>
      <c r="V18" s="3577">
        <f t="shared" si="74"/>
        <v>507098.28160404041</v>
      </c>
      <c r="W18" s="3576">
        <v>85294.8</v>
      </c>
      <c r="X18" s="3576">
        <v>100569.84640202021</v>
      </c>
      <c r="Y18" s="3578">
        <f t="shared" ref="Y18:Y20" si="96">+W18+S18+O18</f>
        <v>261031.50000000003</v>
      </c>
      <c r="Z18" s="3578">
        <f t="shared" ref="Z18:Z20" si="97">+X18+T18+P18</f>
        <v>327733.07960202021</v>
      </c>
      <c r="AA18" s="3580">
        <f t="shared" ref="AA18:AA19" si="98">M18+Y18</f>
        <v>494121.60000000003</v>
      </c>
      <c r="AB18" s="546">
        <f t="shared" ref="AB18:AB19" si="99">+N18+Z18</f>
        <v>607668.12800606061</v>
      </c>
      <c r="AC18" s="3616">
        <v>90441.9</v>
      </c>
      <c r="AD18" s="2627">
        <v>104185</v>
      </c>
      <c r="AE18" s="3615">
        <f t="shared" si="76"/>
        <v>584563.5</v>
      </c>
      <c r="AF18" s="3615">
        <f t="shared" si="77"/>
        <v>711853.12800606061</v>
      </c>
      <c r="AG18" s="3616">
        <v>87500.7</v>
      </c>
      <c r="AH18" s="2627">
        <v>84550.001113402075</v>
      </c>
      <c r="AI18" s="3615">
        <f t="shared" si="78"/>
        <v>672064.2</v>
      </c>
      <c r="AJ18" s="3615">
        <f t="shared" si="79"/>
        <v>796403.12911946268</v>
      </c>
      <c r="AK18" s="3616">
        <v>90809.55</v>
      </c>
      <c r="AL18" s="2627">
        <v>73368.607389690733</v>
      </c>
      <c r="AM18" s="4312">
        <f t="shared" si="80"/>
        <v>268752.15000000002</v>
      </c>
      <c r="AN18" s="4312">
        <f t="shared" si="81"/>
        <v>262103.60850309281</v>
      </c>
      <c r="AO18" s="3615">
        <f t="shared" si="92"/>
        <v>762873.75</v>
      </c>
      <c r="AP18" s="3615">
        <f t="shared" si="93"/>
        <v>869771.73650915339</v>
      </c>
      <c r="AQ18" s="3616">
        <v>90809.55</v>
      </c>
      <c r="AR18" s="2627">
        <v>60670.463002061835</v>
      </c>
      <c r="AS18" s="3615">
        <f t="shared" si="82"/>
        <v>853683.3</v>
      </c>
      <c r="AT18" s="3615">
        <f t="shared" si="83"/>
        <v>930442.19951121521</v>
      </c>
      <c r="AU18" s="3616">
        <v>84559.5</v>
      </c>
      <c r="AV18" s="2627">
        <v>79350.463555670096</v>
      </c>
      <c r="AW18" s="3615">
        <f t="shared" si="84"/>
        <v>938242.8</v>
      </c>
      <c r="AX18" s="3615">
        <f t="shared" si="85"/>
        <v>1009792.6630668853</v>
      </c>
      <c r="AY18" s="3616">
        <v>91177.2</v>
      </c>
      <c r="AZ18" s="2627">
        <v>84029.114246391735</v>
      </c>
      <c r="BA18" s="5036">
        <f t="shared" si="86"/>
        <v>266546.25</v>
      </c>
      <c r="BB18" s="5036">
        <f t="shared" si="87"/>
        <v>224050.04080412368</v>
      </c>
      <c r="BC18" s="563">
        <f t="shared" si="88"/>
        <v>535298.4</v>
      </c>
      <c r="BD18" s="571">
        <f t="shared" si="89"/>
        <v>486153.64930721652</v>
      </c>
      <c r="BE18" s="3615">
        <f t="shared" si="90"/>
        <v>1029420</v>
      </c>
      <c r="BF18" s="3615">
        <f t="shared" si="91"/>
        <v>1093821.7773132771</v>
      </c>
      <c r="BG18" s="147"/>
      <c r="BH18" s="147"/>
      <c r="BI18" s="147"/>
      <c r="BJ18" s="147"/>
    </row>
    <row r="19" spans="1:116" x14ac:dyDescent="0.25">
      <c r="A19" s="181"/>
      <c r="B19" s="2595" t="s">
        <v>575</v>
      </c>
      <c r="C19" s="193" t="s">
        <v>52</v>
      </c>
      <c r="D19" s="3576">
        <v>0</v>
      </c>
      <c r="E19" s="3576">
        <v>0</v>
      </c>
      <c r="F19" s="3576">
        <v>0</v>
      </c>
      <c r="G19" s="3576">
        <v>0</v>
      </c>
      <c r="H19" s="3576">
        <v>0</v>
      </c>
      <c r="I19" s="3577">
        <f>+E19+G19</f>
        <v>0</v>
      </c>
      <c r="J19" s="712">
        <f>+F19+H19</f>
        <v>0</v>
      </c>
      <c r="K19" s="3576">
        <v>0</v>
      </c>
      <c r="L19" s="3576">
        <v>0</v>
      </c>
      <c r="M19" s="3578">
        <f t="shared" si="94"/>
        <v>0</v>
      </c>
      <c r="N19" s="3578">
        <f t="shared" si="95"/>
        <v>0</v>
      </c>
      <c r="O19" s="3576">
        <v>0</v>
      </c>
      <c r="P19" s="3576">
        <v>0</v>
      </c>
      <c r="Q19" s="3577">
        <f t="shared" si="72"/>
        <v>0</v>
      </c>
      <c r="R19" s="712">
        <f t="shared" si="72"/>
        <v>0</v>
      </c>
      <c r="S19" s="3576">
        <v>0</v>
      </c>
      <c r="T19" s="2627">
        <v>0</v>
      </c>
      <c r="U19" s="3577">
        <f t="shared" si="73"/>
        <v>0</v>
      </c>
      <c r="V19" s="712">
        <f t="shared" si="74"/>
        <v>0</v>
      </c>
      <c r="W19" s="3576">
        <v>0</v>
      </c>
      <c r="X19" s="3576">
        <v>0</v>
      </c>
      <c r="Y19" s="3578">
        <f t="shared" si="96"/>
        <v>0</v>
      </c>
      <c r="Z19" s="3578">
        <f t="shared" si="97"/>
        <v>0</v>
      </c>
      <c r="AA19" s="3580">
        <f t="shared" si="98"/>
        <v>0</v>
      </c>
      <c r="AB19" s="546">
        <f t="shared" si="99"/>
        <v>0</v>
      </c>
      <c r="AC19" s="3616">
        <v>0</v>
      </c>
      <c r="AD19" s="2627">
        <v>0</v>
      </c>
      <c r="AE19" s="3615">
        <f t="shared" si="76"/>
        <v>0</v>
      </c>
      <c r="AF19" s="712">
        <f t="shared" si="77"/>
        <v>0</v>
      </c>
      <c r="AG19" s="3616">
        <v>0</v>
      </c>
      <c r="AH19" s="2627">
        <v>0</v>
      </c>
      <c r="AI19" s="3615">
        <f t="shared" si="78"/>
        <v>0</v>
      </c>
      <c r="AJ19" s="712">
        <f t="shared" si="79"/>
        <v>0</v>
      </c>
      <c r="AK19" s="3616">
        <v>0</v>
      </c>
      <c r="AL19" s="2627">
        <v>0</v>
      </c>
      <c r="AM19" s="4312">
        <f t="shared" si="80"/>
        <v>0</v>
      </c>
      <c r="AN19" s="4312">
        <f t="shared" si="81"/>
        <v>0</v>
      </c>
      <c r="AO19" s="3615">
        <f t="shared" si="92"/>
        <v>0</v>
      </c>
      <c r="AP19" s="3615">
        <f t="shared" si="93"/>
        <v>0</v>
      </c>
      <c r="AQ19" s="3616">
        <v>0</v>
      </c>
      <c r="AR19" s="2627">
        <v>0</v>
      </c>
      <c r="AS19" s="3615">
        <f t="shared" si="82"/>
        <v>0</v>
      </c>
      <c r="AT19" s="712">
        <f t="shared" si="83"/>
        <v>0</v>
      </c>
      <c r="AU19" s="3616">
        <v>0</v>
      </c>
      <c r="AV19" s="2627">
        <v>0</v>
      </c>
      <c r="AW19" s="3615">
        <f t="shared" si="84"/>
        <v>0</v>
      </c>
      <c r="AX19" s="712">
        <f t="shared" si="85"/>
        <v>0</v>
      </c>
      <c r="AY19" s="3616">
        <v>0</v>
      </c>
      <c r="AZ19" s="2627">
        <v>0</v>
      </c>
      <c r="BA19" s="5036">
        <f t="shared" si="86"/>
        <v>0</v>
      </c>
      <c r="BB19" s="5036">
        <f t="shared" si="87"/>
        <v>0</v>
      </c>
      <c r="BC19" s="563">
        <f t="shared" si="88"/>
        <v>0</v>
      </c>
      <c r="BD19" s="571">
        <f t="shared" si="89"/>
        <v>0</v>
      </c>
      <c r="BE19" s="3615">
        <f t="shared" si="90"/>
        <v>0</v>
      </c>
      <c r="BF19" s="712">
        <f t="shared" si="91"/>
        <v>0</v>
      </c>
      <c r="BG19" s="147"/>
      <c r="BH19" s="147"/>
      <c r="BI19" s="147"/>
      <c r="BJ19" s="147"/>
    </row>
    <row r="20" spans="1:116" s="125" customFormat="1" ht="16.5" thickBot="1" x14ac:dyDescent="0.3">
      <c r="A20" s="181" t="s">
        <v>478</v>
      </c>
      <c r="B20" s="2585" t="s">
        <v>107</v>
      </c>
      <c r="C20" s="3585" t="s">
        <v>52</v>
      </c>
      <c r="D20" s="1421">
        <v>1063046.9968387776</v>
      </c>
      <c r="E20" s="273">
        <v>89599.675447839822</v>
      </c>
      <c r="F20" s="273">
        <v>104981.62791999998</v>
      </c>
      <c r="G20" s="273">
        <v>74792.949420442572</v>
      </c>
      <c r="H20" s="273">
        <v>89191.764783000006</v>
      </c>
      <c r="I20" s="3702">
        <f>+E20+G20</f>
        <v>164392.62486828241</v>
      </c>
      <c r="J20" s="1426">
        <f t="shared" si="0"/>
        <v>194173.39270299999</v>
      </c>
      <c r="K20" s="273">
        <v>76311.587987355102</v>
      </c>
      <c r="L20" s="273">
        <v>82961.954182000016</v>
      </c>
      <c r="M20" s="3703">
        <f t="shared" si="71"/>
        <v>240704.21285563748</v>
      </c>
      <c r="N20" s="3703">
        <f t="shared" si="71"/>
        <v>277135.34688500001</v>
      </c>
      <c r="O20" s="273">
        <v>90738.654373024227</v>
      </c>
      <c r="P20" s="273">
        <v>104404.720082</v>
      </c>
      <c r="Q20" s="3702">
        <f t="shared" si="72"/>
        <v>331442.86722866172</v>
      </c>
      <c r="R20" s="3702">
        <f t="shared" si="72"/>
        <v>381540.06696700002</v>
      </c>
      <c r="S20" s="273">
        <v>90738.654373024227</v>
      </c>
      <c r="T20" s="2700">
        <f>+'Maj Production Summ'!T26</f>
        <v>120487.19086800001</v>
      </c>
      <c r="U20" s="711">
        <f t="shared" si="73"/>
        <v>422181.52160168596</v>
      </c>
      <c r="V20" s="711">
        <f t="shared" si="74"/>
        <v>502027.25783500005</v>
      </c>
      <c r="W20" s="273">
        <v>88081.036880927277</v>
      </c>
      <c r="X20" s="273">
        <f>+'Maj Production Summ'!X26</f>
        <v>99564.147938000009</v>
      </c>
      <c r="Y20" s="3703">
        <f t="shared" si="96"/>
        <v>269558.34562697576</v>
      </c>
      <c r="Z20" s="3703">
        <f t="shared" si="97"/>
        <v>324456.05888800003</v>
      </c>
      <c r="AA20" s="3704">
        <f>+U20+W20</f>
        <v>510262.55848261324</v>
      </c>
      <c r="AB20" s="3705">
        <f>+V20+X20</f>
        <v>601591.40577300009</v>
      </c>
      <c r="AC20" s="273">
        <v>93396.271865121176</v>
      </c>
      <c r="AD20" s="2700">
        <f>+'Maj Production Summ'!AD26</f>
        <v>103143.64400200003</v>
      </c>
      <c r="AE20" s="711">
        <f t="shared" si="76"/>
        <v>603658.83034773439</v>
      </c>
      <c r="AF20" s="711">
        <f t="shared" si="77"/>
        <v>704735.04977500008</v>
      </c>
      <c r="AG20" s="273">
        <v>90358.994731296087</v>
      </c>
      <c r="AH20" s="2700">
        <f>+'Maj Production Summ'!AH26</f>
        <v>82013.501080000016</v>
      </c>
      <c r="AI20" s="711">
        <f t="shared" si="78"/>
        <v>694017.82507903047</v>
      </c>
      <c r="AJ20" s="711">
        <f t="shared" si="79"/>
        <v>786748.55085500004</v>
      </c>
      <c r="AK20" s="273">
        <v>93775.931506849302</v>
      </c>
      <c r="AL20" s="2700">
        <f>+'Maj Production Summ'!AL26</f>
        <v>71167.549168000012</v>
      </c>
      <c r="AM20" s="3703">
        <f t="shared" si="80"/>
        <v>277531.19810326654</v>
      </c>
      <c r="AN20" s="3703">
        <f t="shared" si="81"/>
        <v>256324.69425000006</v>
      </c>
      <c r="AO20" s="3615">
        <f t="shared" si="92"/>
        <v>787793.75658587972</v>
      </c>
      <c r="AP20" s="3615">
        <f t="shared" si="93"/>
        <v>857916.10002300004</v>
      </c>
      <c r="AQ20" s="273">
        <v>93775.931506849302</v>
      </c>
      <c r="AR20" s="2700">
        <f>+'Maj Production Summ'!AR26</f>
        <v>58850.349111999982</v>
      </c>
      <c r="AS20" s="711">
        <f t="shared" si="82"/>
        <v>881569.68809272908</v>
      </c>
      <c r="AT20" s="711">
        <f t="shared" si="83"/>
        <v>916766.449135</v>
      </c>
      <c r="AU20" s="2700">
        <f>+'Maj Production Summ'!AU26</f>
        <v>87321.717597471012</v>
      </c>
      <c r="AV20" s="2700">
        <f>+'Maj Production Summ'!AV26</f>
        <v>76969.949648999987</v>
      </c>
      <c r="AW20" s="711">
        <f t="shared" si="84"/>
        <v>968891.40569020004</v>
      </c>
      <c r="AX20" s="711">
        <f t="shared" si="85"/>
        <v>993736.39878399996</v>
      </c>
      <c r="AY20" s="2700">
        <f>+'Maj Production Summ'!AY26</f>
        <v>94155.591148577441</v>
      </c>
      <c r="AZ20" s="2700">
        <f>+'Maj Production Summ'!AZ26</f>
        <v>81508.240818999984</v>
      </c>
      <c r="BA20" s="3703">
        <f t="shared" si="86"/>
        <v>275253.24025289773</v>
      </c>
      <c r="BB20" s="3703">
        <f t="shared" si="87"/>
        <v>217328.53957999992</v>
      </c>
      <c r="BC20" s="3727">
        <f>AM20+BA20</f>
        <v>552784.43835616426</v>
      </c>
      <c r="BD20" s="562">
        <f>+AN20+BB20</f>
        <v>473653.23382999998</v>
      </c>
      <c r="BE20" s="711">
        <f t="shared" si="90"/>
        <v>1063046.9968387776</v>
      </c>
      <c r="BF20" s="711">
        <f t="shared" si="91"/>
        <v>1075244.6396029999</v>
      </c>
      <c r="BG20" s="147"/>
      <c r="BH20" s="147"/>
      <c r="BI20" s="147"/>
      <c r="BJ20" s="147"/>
      <c r="BK20"/>
      <c r="BL20"/>
      <c r="BM20"/>
      <c r="BN20"/>
      <c r="BO20"/>
      <c r="BP20"/>
      <c r="BQ20"/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/>
      <c r="CL20"/>
      <c r="CM20"/>
      <c r="CN20"/>
      <c r="CO20"/>
      <c r="CP20"/>
      <c r="CQ20"/>
      <c r="CR20"/>
      <c r="CS20"/>
      <c r="CT20"/>
      <c r="CU20"/>
      <c r="CV20"/>
      <c r="CW20"/>
      <c r="CX20"/>
      <c r="CY20"/>
      <c r="CZ20"/>
      <c r="DA20"/>
      <c r="DB20"/>
      <c r="DC20"/>
      <c r="DD20"/>
      <c r="DE20"/>
      <c r="DF20"/>
      <c r="DG20"/>
      <c r="DH20"/>
      <c r="DI20"/>
      <c r="DJ20"/>
      <c r="DK20"/>
      <c r="DL20"/>
    </row>
    <row r="21" spans="1:116" s="183" customFormat="1" ht="16.5" thickBot="1" x14ac:dyDescent="0.3">
      <c r="A21" s="182"/>
      <c r="B21" s="2587" t="s">
        <v>453</v>
      </c>
      <c r="C21" s="2596"/>
      <c r="D21" s="3353"/>
      <c r="E21" s="3353"/>
      <c r="F21" s="3353"/>
      <c r="G21" s="3353"/>
      <c r="H21" s="3353"/>
      <c r="I21" s="2596"/>
      <c r="J21" s="2596"/>
      <c r="K21" s="3353"/>
      <c r="L21" s="3353"/>
      <c r="M21" s="2596"/>
      <c r="N21" s="2596"/>
      <c r="O21" s="3353"/>
      <c r="P21" s="3353"/>
      <c r="Q21" s="2596"/>
      <c r="R21" s="2596"/>
      <c r="S21" s="3354"/>
      <c r="T21" s="3355"/>
      <c r="U21" s="2596"/>
      <c r="V21" s="2596"/>
      <c r="W21" s="3354"/>
      <c r="X21" s="3699"/>
      <c r="Y21" s="2596"/>
      <c r="Z21" s="2596"/>
      <c r="AA21" s="2596"/>
      <c r="AB21" s="1838"/>
      <c r="AC21" s="3354"/>
      <c r="AD21" s="3355"/>
      <c r="AE21" s="2596"/>
      <c r="AF21" s="2596"/>
      <c r="AG21" s="3354"/>
      <c r="AH21" s="3355"/>
      <c r="AI21" s="2596"/>
      <c r="AJ21" s="2596"/>
      <c r="AK21" s="3354"/>
      <c r="AL21" s="3355"/>
      <c r="AM21" s="2596"/>
      <c r="AN21" s="2596"/>
      <c r="AO21" s="2596"/>
      <c r="AP21" s="2596"/>
      <c r="AQ21" s="3354"/>
      <c r="AR21" s="3355"/>
      <c r="AS21" s="2596"/>
      <c r="AT21" s="2596"/>
      <c r="AU21" s="3354"/>
      <c r="AV21" s="3355"/>
      <c r="AW21" s="2596"/>
      <c r="AX21" s="2596"/>
      <c r="AY21" s="3354"/>
      <c r="AZ21" s="3355"/>
      <c r="BA21" s="2596"/>
      <c r="BB21" s="2596"/>
      <c r="BC21" s="2596"/>
      <c r="BD21" s="1838"/>
      <c r="BE21" s="2596"/>
      <c r="BF21" s="2596"/>
      <c r="BG21" s="147"/>
      <c r="BH21" s="147"/>
      <c r="BI21" s="147"/>
      <c r="BJ21" s="147"/>
    </row>
    <row r="22" spans="1:116" x14ac:dyDescent="0.25">
      <c r="A22" s="181" t="s">
        <v>478</v>
      </c>
      <c r="B22" s="2590" t="s">
        <v>244</v>
      </c>
      <c r="C22" s="921" t="s">
        <v>52</v>
      </c>
      <c r="D22" s="192">
        <f t="shared" ref="D22:E24" si="100">+D$6*D38/1000</f>
        <v>1065176</v>
      </c>
      <c r="E22" s="192">
        <f t="shared" si="100"/>
        <v>89680</v>
      </c>
      <c r="F22" s="341">
        <v>91405.30545</v>
      </c>
      <c r="G22" s="192">
        <f t="shared" ref="G22" si="101">+G$6*G38/1000</f>
        <v>75254</v>
      </c>
      <c r="H22" s="341">
        <v>75348.7</v>
      </c>
      <c r="I22" s="858">
        <f>+E22+G22</f>
        <v>164934</v>
      </c>
      <c r="J22" s="57">
        <f t="shared" si="0"/>
        <v>166754.00545</v>
      </c>
      <c r="K22" s="192">
        <f t="shared" ref="K22:K24" si="102">+K$6*K38/1000</f>
        <v>80400</v>
      </c>
      <c r="L22" s="341">
        <v>88737.527000000002</v>
      </c>
      <c r="M22" s="862">
        <f t="shared" ref="M22:N22" si="103">+K22+G22+E22</f>
        <v>245334</v>
      </c>
      <c r="N22" s="862">
        <f t="shared" si="103"/>
        <v>255491.53245</v>
      </c>
      <c r="O22" s="192">
        <f t="shared" ref="O22:O24" si="104">+O$6*O38/1000</f>
        <v>92493</v>
      </c>
      <c r="P22" s="341">
        <v>95364.012000000002</v>
      </c>
      <c r="Q22" s="858">
        <f t="shared" ref="Q22:R24" si="105">+M22+O22</f>
        <v>337827</v>
      </c>
      <c r="R22" s="57">
        <f t="shared" si="105"/>
        <v>350855.54444999999</v>
      </c>
      <c r="S22" s="444">
        <f>+S$6*S38/1000</f>
        <v>92493</v>
      </c>
      <c r="T22" s="2725">
        <v>95885.481</v>
      </c>
      <c r="U22" s="858">
        <f t="shared" ref="U22:U24" si="106">+Q22+S22</f>
        <v>430320</v>
      </c>
      <c r="V22" s="57">
        <f t="shared" ref="V22:V24" si="107">+R22+T22</f>
        <v>446741.02544999996</v>
      </c>
      <c r="W22" s="444">
        <f>+W$6*W38/1000</f>
        <v>88856</v>
      </c>
      <c r="X22" s="343">
        <v>88264.843000000023</v>
      </c>
      <c r="Y22" s="862">
        <f t="shared" ref="Y22:Z22" si="108">+W22+S22+O22</f>
        <v>273842</v>
      </c>
      <c r="Z22" s="102">
        <f t="shared" si="108"/>
        <v>279514.33600000001</v>
      </c>
      <c r="AA22" s="860">
        <f>M22+Y22</f>
        <v>519176</v>
      </c>
      <c r="AB22" s="550">
        <f>+N22+Z22</f>
        <v>535005.86844999995</v>
      </c>
      <c r="AC22" s="444">
        <f>+AC$6*AC38/1000</f>
        <v>92250</v>
      </c>
      <c r="AD22" s="2725">
        <v>93470.74</v>
      </c>
      <c r="AE22" s="858">
        <f t="shared" ref="AE22:AE24" si="109">+AA22+AC22</f>
        <v>611426</v>
      </c>
      <c r="AF22" s="57">
        <f t="shared" ref="AF22:AF24" si="110">+AB22+AD22</f>
        <v>628476.60844999994</v>
      </c>
      <c r="AG22" s="444">
        <f>+AG$6*AG38/1000</f>
        <v>89250</v>
      </c>
      <c r="AH22" s="2725">
        <v>84629.112000000008</v>
      </c>
      <c r="AI22" s="858">
        <f t="shared" ref="AI22:AI24" si="111">+AE22+AG22</f>
        <v>700676</v>
      </c>
      <c r="AJ22" s="57">
        <f t="shared" ref="AJ22:AJ24" si="112">+AF22+AH22</f>
        <v>713105.72044999991</v>
      </c>
      <c r="AK22" s="444">
        <f>+AK$6*AK38/1000</f>
        <v>92625</v>
      </c>
      <c r="AL22" s="2725">
        <v>89132.321599999981</v>
      </c>
      <c r="AM22" s="862">
        <f t="shared" ref="AM22:AM24" si="113">+AK22+AG22+AC22</f>
        <v>274125</v>
      </c>
      <c r="AN22" s="102">
        <f t="shared" ref="AN22:AN24" si="114">+AL22+AH22+AD22</f>
        <v>267232.17359999998</v>
      </c>
      <c r="AO22" s="3615">
        <f t="shared" si="92"/>
        <v>793301</v>
      </c>
      <c r="AP22" s="3615">
        <f t="shared" si="92"/>
        <v>802238.04204999993</v>
      </c>
      <c r="AQ22" s="444">
        <f>+AQ$6*AQ38/1000</f>
        <v>92625</v>
      </c>
      <c r="AR22" s="2725">
        <v>86598.645349999992</v>
      </c>
      <c r="AS22" s="858">
        <f t="shared" ref="AS22:AS24" si="115">+AO22+AQ22</f>
        <v>885926</v>
      </c>
      <c r="AT22" s="57">
        <f t="shared" ref="AT22:AT24" si="116">+AP22+AR22</f>
        <v>888836.68739999994</v>
      </c>
      <c r="AU22" s="444">
        <f>+AU$6*AU38/1000</f>
        <v>86250</v>
      </c>
      <c r="AV22" s="2725">
        <v>85601.520100000009</v>
      </c>
      <c r="AW22" s="858">
        <f t="shared" ref="AW22:AW24" si="117">+AS22+AU22</f>
        <v>972176</v>
      </c>
      <c r="AX22" s="57">
        <f t="shared" ref="AX22:AX24" si="118">+AT22+AV22</f>
        <v>974438.2074999999</v>
      </c>
      <c r="AY22" s="444">
        <f>+AY$6*AY38/1000</f>
        <v>93000</v>
      </c>
      <c r="AZ22" s="2725">
        <v>88250.282849999989</v>
      </c>
      <c r="BA22" s="862">
        <f t="shared" ref="BA22:BA24" si="119">+AY22+AU22+AQ22</f>
        <v>271875</v>
      </c>
      <c r="BB22" s="102">
        <f t="shared" ref="BB22:BB24" si="120">+AZ22+AV22+AR22</f>
        <v>260450.44829999999</v>
      </c>
      <c r="BC22" s="563">
        <f t="shared" ref="BC22" si="121">AM22+BA22</f>
        <v>546000</v>
      </c>
      <c r="BD22" s="571">
        <f t="shared" ref="BD22" si="122">+AN22+BB22</f>
        <v>527682.62189999991</v>
      </c>
      <c r="BE22" s="858">
        <f t="shared" ref="BE22:BE24" si="123">+AW22+AY22</f>
        <v>1065176</v>
      </c>
      <c r="BF22" s="57">
        <f t="shared" ref="BF22:BF24" si="124">+AX22+AZ22</f>
        <v>1062688.4903499999</v>
      </c>
      <c r="BG22" s="147"/>
      <c r="BH22" s="147"/>
      <c r="BI22" s="147"/>
      <c r="BJ22" s="147"/>
    </row>
    <row r="23" spans="1:116" x14ac:dyDescent="0.25">
      <c r="A23" s="181" t="s">
        <v>478</v>
      </c>
      <c r="B23" s="2588" t="s">
        <v>1</v>
      </c>
      <c r="C23" s="672" t="s">
        <v>52</v>
      </c>
      <c r="D23" s="2941">
        <f t="shared" si="100"/>
        <v>90172.000000000015</v>
      </c>
      <c r="E23" s="2941">
        <f t="shared" si="100"/>
        <v>7080</v>
      </c>
      <c r="F23" s="3576">
        <v>8686.6204500000003</v>
      </c>
      <c r="G23" s="2941">
        <f t="shared" ref="G23" si="125">+G$6*G39/1000</f>
        <v>6501</v>
      </c>
      <c r="H23" s="3576">
        <v>7587</v>
      </c>
      <c r="I23" s="864">
        <f>+E23+G23</f>
        <v>13581</v>
      </c>
      <c r="J23" s="89">
        <f t="shared" si="0"/>
        <v>16273.62045</v>
      </c>
      <c r="K23" s="2941">
        <f t="shared" si="102"/>
        <v>8040</v>
      </c>
      <c r="L23" s="3576">
        <v>9099.8909999999996</v>
      </c>
      <c r="M23" s="97">
        <f t="shared" ref="M23:M24" si="126">+K23+G23+E23</f>
        <v>21621</v>
      </c>
      <c r="N23" s="97">
        <f t="shared" ref="N23:N24" si="127">+L23+H23+F23</f>
        <v>25373.511449999998</v>
      </c>
      <c r="O23" s="2941">
        <f t="shared" si="104"/>
        <v>9560</v>
      </c>
      <c r="P23" s="3576">
        <v>11862.025999999998</v>
      </c>
      <c r="Q23" s="864">
        <f t="shared" si="105"/>
        <v>31181</v>
      </c>
      <c r="R23" s="89">
        <f t="shared" si="105"/>
        <v>37235.537449999996</v>
      </c>
      <c r="S23" s="3579">
        <f>+S$6*S39/1000</f>
        <v>7887</v>
      </c>
      <c r="T23" s="2697">
        <v>12407.683000000001</v>
      </c>
      <c r="U23" s="864">
        <f t="shared" si="106"/>
        <v>39068</v>
      </c>
      <c r="V23" s="89">
        <f t="shared" si="107"/>
        <v>49643.220449999993</v>
      </c>
      <c r="W23" s="3579">
        <f>+W$6*W39/1000</f>
        <v>7424</v>
      </c>
      <c r="X23" s="217">
        <v>11590.965999999999</v>
      </c>
      <c r="Y23" s="97">
        <f t="shared" ref="Y23:Y24" si="128">+W23+S23+O23</f>
        <v>24871</v>
      </c>
      <c r="Z23" s="98">
        <f t="shared" ref="Z23:Z24" si="129">+X23+T23+P23</f>
        <v>35860.674999999996</v>
      </c>
      <c r="AA23" s="963">
        <f t="shared" ref="AA23:AA24" si="130">M23+Y23</f>
        <v>46492</v>
      </c>
      <c r="AB23" s="571">
        <f t="shared" ref="AB23:AB24" si="131">+N23+Z23</f>
        <v>61234.186449999994</v>
      </c>
      <c r="AC23" s="4072">
        <f>+AC$6*AC39/1000</f>
        <v>7380</v>
      </c>
      <c r="AD23" s="2697">
        <v>11969.614</v>
      </c>
      <c r="AE23" s="864">
        <f t="shared" si="109"/>
        <v>53872</v>
      </c>
      <c r="AF23" s="89">
        <f t="shared" si="110"/>
        <v>73203.800449999995</v>
      </c>
      <c r="AG23" s="4179">
        <f>+AG$6*AG39/1000</f>
        <v>7140</v>
      </c>
      <c r="AH23" s="2697">
        <v>10461.449000000001</v>
      </c>
      <c r="AI23" s="864">
        <f t="shared" si="111"/>
        <v>61012</v>
      </c>
      <c r="AJ23" s="89">
        <f t="shared" si="112"/>
        <v>83665.249450000003</v>
      </c>
      <c r="AK23" s="4311">
        <f>+AK$6*AK39/1000</f>
        <v>7410</v>
      </c>
      <c r="AL23" s="2697">
        <v>11832.332</v>
      </c>
      <c r="AM23" s="97">
        <f t="shared" si="113"/>
        <v>21930</v>
      </c>
      <c r="AN23" s="98">
        <f t="shared" si="114"/>
        <v>34263.395000000004</v>
      </c>
      <c r="AO23" s="3615">
        <f t="shared" ref="AO23:AP26" si="132">+AK23+AI23</f>
        <v>68422</v>
      </c>
      <c r="AP23" s="3615">
        <f t="shared" ref="AP23:AP24" si="133">+AL23+AJ23</f>
        <v>95497.581449999998</v>
      </c>
      <c r="AQ23" s="4421">
        <f>+AQ$6*AQ39/1000</f>
        <v>7410</v>
      </c>
      <c r="AR23" s="2697">
        <v>12345.266900000002</v>
      </c>
      <c r="AS23" s="864">
        <f t="shared" si="115"/>
        <v>75832</v>
      </c>
      <c r="AT23" s="89">
        <f t="shared" si="116"/>
        <v>107842.84835</v>
      </c>
      <c r="AU23" s="4649">
        <f>+AU$6*AU39/1000</f>
        <v>6900</v>
      </c>
      <c r="AV23" s="2697">
        <v>10140.301599999997</v>
      </c>
      <c r="AW23" s="864">
        <f t="shared" si="117"/>
        <v>82732</v>
      </c>
      <c r="AX23" s="89">
        <f t="shared" si="118"/>
        <v>117983.14994999999</v>
      </c>
      <c r="AY23" s="5040">
        <f>+AY$6*AY39/1000</f>
        <v>7440</v>
      </c>
      <c r="AZ23" s="2697">
        <v>10626.56256</v>
      </c>
      <c r="BA23" s="97">
        <f t="shared" si="119"/>
        <v>21750</v>
      </c>
      <c r="BB23" s="98">
        <f t="shared" si="120"/>
        <v>33112.13106</v>
      </c>
      <c r="BC23" s="563">
        <f t="shared" ref="BC23:BC24" si="134">AM23+BA23</f>
        <v>43680</v>
      </c>
      <c r="BD23" s="571">
        <f t="shared" ref="BD23:BD24" si="135">+AN23+BB23</f>
        <v>67375.526060000004</v>
      </c>
      <c r="BE23" s="864">
        <f t="shared" si="123"/>
        <v>90172</v>
      </c>
      <c r="BF23" s="89">
        <f t="shared" si="124"/>
        <v>128609.71251</v>
      </c>
      <c r="BG23" s="147"/>
      <c r="BH23" s="147"/>
      <c r="BI23" s="147"/>
      <c r="BJ23" s="147"/>
    </row>
    <row r="24" spans="1:116" ht="15.75" thickBot="1" x14ac:dyDescent="0.3">
      <c r="A24" s="181" t="s">
        <v>478</v>
      </c>
      <c r="B24" s="2592" t="s">
        <v>128</v>
      </c>
      <c r="C24" s="198" t="s">
        <v>52</v>
      </c>
      <c r="D24" s="2941">
        <f t="shared" si="100"/>
        <v>391013</v>
      </c>
      <c r="E24" s="2941">
        <f t="shared" si="100"/>
        <v>33040</v>
      </c>
      <c r="F24" s="3576">
        <v>29921.08</v>
      </c>
      <c r="G24" s="2941">
        <f t="shared" ref="G24" si="136">+G$6*G40/1000</f>
        <v>26595</v>
      </c>
      <c r="H24" s="3576">
        <v>23186.700000000004</v>
      </c>
      <c r="I24" s="864">
        <f>+E24+G24</f>
        <v>59635</v>
      </c>
      <c r="J24" s="89">
        <f t="shared" si="0"/>
        <v>53107.780000000006</v>
      </c>
      <c r="K24" s="2941">
        <f t="shared" si="102"/>
        <v>25125</v>
      </c>
      <c r="L24" s="3576">
        <v>23732.260000000009</v>
      </c>
      <c r="M24" s="97">
        <f t="shared" si="126"/>
        <v>84760</v>
      </c>
      <c r="N24" s="97">
        <f t="shared" si="127"/>
        <v>76840.040000000008</v>
      </c>
      <c r="O24" s="2941">
        <f t="shared" si="104"/>
        <v>31548</v>
      </c>
      <c r="P24" s="3576">
        <v>31032.718199999996</v>
      </c>
      <c r="Q24" s="864">
        <f t="shared" si="105"/>
        <v>116308</v>
      </c>
      <c r="R24" s="89">
        <f t="shared" si="105"/>
        <v>107872.75820000001</v>
      </c>
      <c r="S24" s="3579">
        <f>+S$6*S40/1000</f>
        <v>32265</v>
      </c>
      <c r="T24" s="2697">
        <v>29543.363999999994</v>
      </c>
      <c r="U24" s="864">
        <f t="shared" si="106"/>
        <v>148573</v>
      </c>
      <c r="V24" s="89">
        <f t="shared" si="107"/>
        <v>137416.12220000001</v>
      </c>
      <c r="W24" s="3579">
        <f>+W$6*W40/1000</f>
        <v>31320</v>
      </c>
      <c r="X24" s="217">
        <v>30635.194000000003</v>
      </c>
      <c r="Y24" s="97">
        <f t="shared" si="128"/>
        <v>95133</v>
      </c>
      <c r="Z24" s="98">
        <f t="shared" si="129"/>
        <v>91211.276199999993</v>
      </c>
      <c r="AA24" s="963">
        <f t="shared" si="130"/>
        <v>179893</v>
      </c>
      <c r="AB24" s="571">
        <f t="shared" si="131"/>
        <v>168051.3162</v>
      </c>
      <c r="AC24" s="4072">
        <f>+AC$6*AC40/1000</f>
        <v>35670</v>
      </c>
      <c r="AD24" s="2697">
        <v>32330.543999999998</v>
      </c>
      <c r="AE24" s="864">
        <f t="shared" si="109"/>
        <v>215563</v>
      </c>
      <c r="AF24" s="89">
        <f t="shared" si="110"/>
        <v>200381.8602</v>
      </c>
      <c r="AG24" s="4179">
        <f>+AG$6*AG40/1000</f>
        <v>34510</v>
      </c>
      <c r="AH24" s="2697">
        <v>23100.501000000004</v>
      </c>
      <c r="AI24" s="864">
        <f t="shared" si="111"/>
        <v>250073</v>
      </c>
      <c r="AJ24" s="89">
        <f t="shared" si="112"/>
        <v>223482.36119999998</v>
      </c>
      <c r="AK24" s="4311">
        <f>+AK$6*AK40/1000</f>
        <v>35815</v>
      </c>
      <c r="AL24" s="2697">
        <v>27466.556199999999</v>
      </c>
      <c r="AM24" s="97">
        <f t="shared" si="113"/>
        <v>105995</v>
      </c>
      <c r="AN24" s="98">
        <f t="shared" si="114"/>
        <v>82897.601200000005</v>
      </c>
      <c r="AO24" s="3615">
        <f t="shared" si="132"/>
        <v>285888</v>
      </c>
      <c r="AP24" s="3615">
        <f t="shared" si="133"/>
        <v>250948.91739999998</v>
      </c>
      <c r="AQ24" s="4421">
        <f>+AQ$6*AQ40/1000</f>
        <v>35815</v>
      </c>
      <c r="AR24" s="2697">
        <v>30705.877699999997</v>
      </c>
      <c r="AS24" s="864">
        <f t="shared" si="115"/>
        <v>321703</v>
      </c>
      <c r="AT24" s="89">
        <f t="shared" si="116"/>
        <v>281654.79509999999</v>
      </c>
      <c r="AU24" s="4649">
        <f>+AU$6*AU40/1000</f>
        <v>33350</v>
      </c>
      <c r="AV24" s="2697">
        <v>30911.2232</v>
      </c>
      <c r="AW24" s="864">
        <f t="shared" si="117"/>
        <v>355053</v>
      </c>
      <c r="AX24" s="89">
        <f t="shared" si="118"/>
        <v>312566.0183</v>
      </c>
      <c r="AY24" s="5040">
        <f>+AY$6*AY40/1000</f>
        <v>35960</v>
      </c>
      <c r="AZ24" s="2697">
        <v>30158.904520000004</v>
      </c>
      <c r="BA24" s="97">
        <f t="shared" si="119"/>
        <v>105125</v>
      </c>
      <c r="BB24" s="98">
        <f t="shared" si="120"/>
        <v>91776.005420000001</v>
      </c>
      <c r="BC24" s="563">
        <f t="shared" si="134"/>
        <v>211120</v>
      </c>
      <c r="BD24" s="571">
        <f t="shared" si="135"/>
        <v>174673.60662000001</v>
      </c>
      <c r="BE24" s="864">
        <f t="shared" si="123"/>
        <v>391013</v>
      </c>
      <c r="BF24" s="89">
        <f t="shared" si="124"/>
        <v>342724.92281999998</v>
      </c>
      <c r="BG24" s="147"/>
      <c r="BH24" s="147"/>
      <c r="BI24" s="147"/>
      <c r="BJ24" s="147"/>
    </row>
    <row r="25" spans="1:116" ht="16.5" thickBot="1" x14ac:dyDescent="0.3">
      <c r="A25" s="181" t="s">
        <v>478</v>
      </c>
      <c r="B25" s="2593" t="s">
        <v>245</v>
      </c>
      <c r="C25" s="590" t="s">
        <v>52</v>
      </c>
      <c r="D25" s="236">
        <f>SUM(D22:D24)</f>
        <v>1546361</v>
      </c>
      <c r="E25" s="236">
        <f t="shared" ref="E25:L25" si="137">SUM(E22:E24)</f>
        <v>129800</v>
      </c>
      <c r="F25" s="1416">
        <f t="shared" si="137"/>
        <v>130013.0059</v>
      </c>
      <c r="G25" s="236">
        <f t="shared" ref="G25:H25" si="138">SUM(G22:G24)</f>
        <v>108350</v>
      </c>
      <c r="H25" s="1416">
        <f t="shared" si="138"/>
        <v>106122.4</v>
      </c>
      <c r="I25" s="54">
        <f t="shared" si="137"/>
        <v>238150</v>
      </c>
      <c r="J25" s="55">
        <f t="shared" si="137"/>
        <v>236135.40589999998</v>
      </c>
      <c r="K25" s="236">
        <f t="shared" si="137"/>
        <v>113565</v>
      </c>
      <c r="L25" s="1416">
        <f t="shared" si="137"/>
        <v>121569.67800000001</v>
      </c>
      <c r="M25" s="428">
        <f t="shared" ref="M25:R25" si="139">SUM(M22:M24)</f>
        <v>351715</v>
      </c>
      <c r="N25" s="96">
        <f t="shared" si="139"/>
        <v>357705.08389999997</v>
      </c>
      <c r="O25" s="236">
        <f t="shared" si="139"/>
        <v>133601</v>
      </c>
      <c r="P25" s="1416">
        <f t="shared" si="139"/>
        <v>138258.7562</v>
      </c>
      <c r="Q25" s="54">
        <f t="shared" si="139"/>
        <v>485316</v>
      </c>
      <c r="R25" s="55">
        <f t="shared" si="139"/>
        <v>495963.84010000003</v>
      </c>
      <c r="S25" s="2072">
        <f t="shared" ref="S25:Z25" si="140">SUM(S22:S24)</f>
        <v>132645</v>
      </c>
      <c r="T25" s="2698">
        <f t="shared" si="140"/>
        <v>137836.52799999999</v>
      </c>
      <c r="U25" s="54">
        <f t="shared" si="140"/>
        <v>617961</v>
      </c>
      <c r="V25" s="55">
        <f t="shared" si="140"/>
        <v>633800.36809999996</v>
      </c>
      <c r="W25" s="2072">
        <f t="shared" ref="W25:X25" si="141">SUM(W22:W24)</f>
        <v>127600</v>
      </c>
      <c r="X25" s="326">
        <f t="shared" si="141"/>
        <v>130491.00300000003</v>
      </c>
      <c r="Y25" s="428">
        <f t="shared" si="140"/>
        <v>393846</v>
      </c>
      <c r="Z25" s="96">
        <f t="shared" si="140"/>
        <v>406586.28720000002</v>
      </c>
      <c r="AA25" s="555">
        <f t="shared" ref="AA25:AF25" si="142">SUM(AA22:AA24)</f>
        <v>745561</v>
      </c>
      <c r="AB25" s="552">
        <f t="shared" si="142"/>
        <v>764291.37109999999</v>
      </c>
      <c r="AC25" s="2072">
        <f t="shared" si="142"/>
        <v>135300</v>
      </c>
      <c r="AD25" s="2698">
        <f t="shared" si="142"/>
        <v>137770.89800000002</v>
      </c>
      <c r="AE25" s="54">
        <f t="shared" si="142"/>
        <v>880861</v>
      </c>
      <c r="AF25" s="55">
        <f t="shared" si="142"/>
        <v>902062.26909999992</v>
      </c>
      <c r="AG25" s="2072">
        <f t="shared" ref="AG25:AJ25" si="143">SUM(AG22:AG24)</f>
        <v>130900</v>
      </c>
      <c r="AH25" s="2698">
        <f t="shared" si="143"/>
        <v>118191.06200000002</v>
      </c>
      <c r="AI25" s="54">
        <f t="shared" si="143"/>
        <v>1011761</v>
      </c>
      <c r="AJ25" s="55">
        <f t="shared" si="143"/>
        <v>1020253.3310999998</v>
      </c>
      <c r="AK25" s="2072">
        <f t="shared" ref="AK25:AV25" si="144">SUM(AK22:AK24)</f>
        <v>135850</v>
      </c>
      <c r="AL25" s="2698">
        <f t="shared" si="144"/>
        <v>128431.20979999998</v>
      </c>
      <c r="AM25" s="428">
        <f t="shared" si="144"/>
        <v>402050</v>
      </c>
      <c r="AN25" s="96">
        <f t="shared" si="144"/>
        <v>384393.16980000003</v>
      </c>
      <c r="AO25" s="54">
        <f t="shared" si="144"/>
        <v>1147611</v>
      </c>
      <c r="AP25" s="55">
        <f t="shared" si="144"/>
        <v>1148684.5408999999</v>
      </c>
      <c r="AQ25" s="2072">
        <f t="shared" ref="AQ25:AR25" si="145">SUM(AQ22:AQ24)</f>
        <v>135850</v>
      </c>
      <c r="AR25" s="2698">
        <f t="shared" si="145"/>
        <v>129649.78994999999</v>
      </c>
      <c r="AS25" s="54">
        <f t="shared" si="144"/>
        <v>1283461</v>
      </c>
      <c r="AT25" s="55">
        <f t="shared" si="144"/>
        <v>1278334.33085</v>
      </c>
      <c r="AU25" s="2072">
        <f t="shared" si="144"/>
        <v>126500</v>
      </c>
      <c r="AV25" s="2698">
        <f t="shared" si="144"/>
        <v>126653.04490000001</v>
      </c>
      <c r="AW25" s="54">
        <f t="shared" ref="AW25:BD25" si="146">SUM(AW22:AW24)</f>
        <v>1409961</v>
      </c>
      <c r="AX25" s="55">
        <f t="shared" si="146"/>
        <v>1404987.3757500001</v>
      </c>
      <c r="AY25" s="2072">
        <f t="shared" si="146"/>
        <v>136400</v>
      </c>
      <c r="AZ25" s="2698">
        <f t="shared" si="146"/>
        <v>129035.74992999999</v>
      </c>
      <c r="BA25" s="428">
        <f t="shared" si="146"/>
        <v>398750</v>
      </c>
      <c r="BB25" s="96">
        <f t="shared" si="146"/>
        <v>385338.58477999998</v>
      </c>
      <c r="BC25" s="555">
        <f t="shared" si="146"/>
        <v>800800</v>
      </c>
      <c r="BD25" s="552">
        <f t="shared" si="146"/>
        <v>769731.75457999995</v>
      </c>
      <c r="BE25" s="54">
        <f t="shared" ref="BE25:BF25" si="147">SUM(BE22:BE24)</f>
        <v>1546361</v>
      </c>
      <c r="BF25" s="55">
        <f t="shared" si="147"/>
        <v>1534023.1256799998</v>
      </c>
      <c r="BG25" s="147"/>
      <c r="BH25" s="147"/>
      <c r="BI25" s="147"/>
      <c r="BJ25" s="147"/>
    </row>
    <row r="26" spans="1:116" x14ac:dyDescent="0.25">
      <c r="A26" s="181" t="s">
        <v>478</v>
      </c>
      <c r="B26" s="2590" t="s">
        <v>20</v>
      </c>
      <c r="C26" s="921" t="s">
        <v>52</v>
      </c>
      <c r="D26" s="2941">
        <f t="shared" ref="D26:E29" si="148">+D$6*D42/1000</f>
        <v>3560684.1572164143</v>
      </c>
      <c r="E26" s="2941">
        <f t="shared" si="148"/>
        <v>300114.80753681209</v>
      </c>
      <c r="F26" s="3576">
        <v>306770</v>
      </c>
      <c r="G26" s="2941">
        <f t="shared" ref="G26" si="149">+G$6*G42/1000</f>
        <v>250519.56391844057</v>
      </c>
      <c r="H26" s="3576">
        <v>253997</v>
      </c>
      <c r="I26" s="858">
        <f>+E26+G26</f>
        <v>550634.37145525264</v>
      </c>
      <c r="J26" s="57">
        <f t="shared" si="0"/>
        <v>560767</v>
      </c>
      <c r="K26" s="2941">
        <f t="shared" ref="K26:K29" si="150">+K$6*K42/1000</f>
        <v>255606.25557160692</v>
      </c>
      <c r="L26" s="3576">
        <v>267188.8</v>
      </c>
      <c r="M26" s="97">
        <f t="shared" ref="M26:M30" si="151">+K26+G26+E26</f>
        <v>806240.62702685967</v>
      </c>
      <c r="N26" s="97">
        <f t="shared" ref="N26:N30" si="152">+L26+H26+F26</f>
        <v>827955.8</v>
      </c>
      <c r="O26" s="2941">
        <f t="shared" ref="O26:O29" si="153">+O$6*O42/1000</f>
        <v>303929.8262766868</v>
      </c>
      <c r="P26" s="3576">
        <v>316727.7</v>
      </c>
      <c r="Q26" s="858">
        <f t="shared" ref="Q26:R28" si="154">+M26+O26</f>
        <v>1110170.4533035464</v>
      </c>
      <c r="R26" s="57">
        <f t="shared" si="154"/>
        <v>1144683.5</v>
      </c>
      <c r="S26" s="3579">
        <f>+S$6*S42/1000</f>
        <v>303929.8262766868</v>
      </c>
      <c r="T26" s="2697">
        <v>320208</v>
      </c>
      <c r="U26" s="858">
        <f t="shared" ref="U26:U29" si="155">+Q26+S26</f>
        <v>1414100.2795802332</v>
      </c>
      <c r="V26" s="57">
        <f t="shared" ref="V26:V29" si="156">+R26+T26</f>
        <v>1464891.5</v>
      </c>
      <c r="W26" s="3579">
        <f>+W$6*W42/1000</f>
        <v>295028.11588364578</v>
      </c>
      <c r="X26" s="217">
        <v>306847.2</v>
      </c>
      <c r="Y26" s="97">
        <f t="shared" ref="Y26:Y28" si="157">+W26+S26+O26</f>
        <v>902887.76843701932</v>
      </c>
      <c r="Z26" s="98">
        <f t="shared" ref="Z26:Z28" si="158">+X26+T26+P26</f>
        <v>943782.89999999991</v>
      </c>
      <c r="AA26" s="963">
        <f t="shared" ref="AA26:AA30" si="159">M26+Y26</f>
        <v>1709128.395463879</v>
      </c>
      <c r="AB26" s="571">
        <f t="shared" ref="AB26:AB30" si="160">+N26+Z26</f>
        <v>1771738.7</v>
      </c>
      <c r="AC26" s="4072">
        <f>+AC$6*AC42/1000</f>
        <v>312831.53666972788</v>
      </c>
      <c r="AD26" s="2697">
        <v>321670</v>
      </c>
      <c r="AE26" s="858">
        <f t="shared" ref="AE26:AE29" si="161">+AA26+AC26</f>
        <v>2021959.9321336069</v>
      </c>
      <c r="AF26" s="57">
        <f t="shared" ref="AF26:AF29" si="162">+AB26+AD26</f>
        <v>2093408.7</v>
      </c>
      <c r="AG26" s="4179">
        <f>+AG$6*AG42/1000</f>
        <v>302658.15336339519</v>
      </c>
      <c r="AH26" s="2697">
        <v>279563.8</v>
      </c>
      <c r="AI26" s="858">
        <f t="shared" ref="AI26:AI29" si="163">+AE26+AG26</f>
        <v>2324618.0854970021</v>
      </c>
      <c r="AJ26" s="57">
        <f t="shared" ref="AJ26:AJ29" si="164">+AF26+AH26</f>
        <v>2372972.5</v>
      </c>
      <c r="AK26" s="4311">
        <f>+AK$6*AK42/1000</f>
        <v>314103.20958301943</v>
      </c>
      <c r="AL26" s="2697">
        <v>305557</v>
      </c>
      <c r="AM26" s="97">
        <f t="shared" ref="AM26:AM30" si="165">+AK26+AG26+AC26</f>
        <v>929592.8996161425</v>
      </c>
      <c r="AN26" s="98">
        <f t="shared" ref="AN26:AN30" si="166">+AL26+AH26+AD26</f>
        <v>906790.8</v>
      </c>
      <c r="AO26" s="3615">
        <f t="shared" si="132"/>
        <v>2638721.2950800215</v>
      </c>
      <c r="AP26" s="3615">
        <f t="shared" si="132"/>
        <v>2678529.5</v>
      </c>
      <c r="AQ26" s="4421">
        <f>+AQ$6*AQ42/1000</f>
        <v>314103.20958301943</v>
      </c>
      <c r="AR26" s="2697">
        <v>300015</v>
      </c>
      <c r="AS26" s="858">
        <f t="shared" ref="AS26:AS29" si="167">+AO26+AQ26</f>
        <v>2952824.5046630409</v>
      </c>
      <c r="AT26" s="57">
        <f t="shared" ref="AT26:AT29" si="168">+AP26+AR26</f>
        <v>2978544.5</v>
      </c>
      <c r="AU26" s="4649">
        <f>+AU$6*AU42/1000</f>
        <v>292484.77005706262</v>
      </c>
      <c r="AV26" s="2697">
        <v>306930.7</v>
      </c>
      <c r="AW26" s="858">
        <f t="shared" ref="AW26:AW29" si="169">+AS26+AU26</f>
        <v>3245309.2747201035</v>
      </c>
      <c r="AX26" s="57">
        <f t="shared" ref="AX26:AX29" si="170">+AT26+AV26</f>
        <v>3285475.2</v>
      </c>
      <c r="AY26" s="5040">
        <f>+AY$6*AY42/1000</f>
        <v>315374.88249631098</v>
      </c>
      <c r="AZ26" s="2697">
        <v>289175</v>
      </c>
      <c r="BA26" s="97">
        <f t="shared" ref="BA26:BA30" si="171">+AY26+AU26+AQ26</f>
        <v>921962.86213639309</v>
      </c>
      <c r="BB26" s="98">
        <f t="shared" ref="BB26:BB30" si="172">+AZ26+AV26+AR26</f>
        <v>896120.7</v>
      </c>
      <c r="BC26" s="563">
        <f t="shared" ref="BC26:BC30" si="173">AM26+BA26</f>
        <v>1851555.7617525356</v>
      </c>
      <c r="BD26" s="571">
        <f t="shared" ref="BD26:BD30" si="174">+AN26+BB26</f>
        <v>1802911.5</v>
      </c>
      <c r="BE26" s="858">
        <f t="shared" ref="BE26:BE29" si="175">+AW26+AY26</f>
        <v>3560684.1572164143</v>
      </c>
      <c r="BF26" s="57">
        <f t="shared" ref="BF26:BF29" si="176">+AX26+AZ26</f>
        <v>3574650.2</v>
      </c>
      <c r="BG26" s="147"/>
      <c r="BH26" s="147"/>
      <c r="BI26" s="147"/>
      <c r="BJ26" s="147"/>
    </row>
    <row r="27" spans="1:116" x14ac:dyDescent="0.25">
      <c r="A27" s="181" t="s">
        <v>478</v>
      </c>
      <c r="B27" s="2588" t="s">
        <v>246</v>
      </c>
      <c r="C27" s="672" t="s">
        <v>52</v>
      </c>
      <c r="D27" s="2941">
        <f t="shared" si="148"/>
        <v>474757.8876288553</v>
      </c>
      <c r="E27" s="2941">
        <f t="shared" si="148"/>
        <v>40015.307671574948</v>
      </c>
      <c r="F27" s="3576">
        <v>70471.365800000014</v>
      </c>
      <c r="G27" s="2941">
        <f t="shared" ref="G27" si="177">+G$6*G43/1000</f>
        <v>33402.608522458744</v>
      </c>
      <c r="H27" s="3576">
        <v>67320.834700000007</v>
      </c>
      <c r="I27" s="864">
        <f>+E27+G27</f>
        <v>73417.916194033693</v>
      </c>
      <c r="J27" s="89">
        <f t="shared" si="0"/>
        <v>137792.20050000004</v>
      </c>
      <c r="K27" s="2941">
        <f t="shared" si="150"/>
        <v>34080.834076214254</v>
      </c>
      <c r="L27" s="3576">
        <v>47416.961483000014</v>
      </c>
      <c r="M27" s="97">
        <f t="shared" si="151"/>
        <v>107498.75027024794</v>
      </c>
      <c r="N27" s="97">
        <f t="shared" si="152"/>
        <v>185209.16198300006</v>
      </c>
      <c r="O27" s="2941">
        <f t="shared" si="153"/>
        <v>40523.976836891576</v>
      </c>
      <c r="P27" s="3576">
        <v>36607.43939</v>
      </c>
      <c r="Q27" s="864">
        <f t="shared" si="154"/>
        <v>148022.72710713951</v>
      </c>
      <c r="R27" s="89">
        <f t="shared" si="154"/>
        <v>221816.60137300007</v>
      </c>
      <c r="S27" s="3579">
        <f>+S$6*S43/1000</f>
        <v>40523.976836891576</v>
      </c>
      <c r="T27" s="2697">
        <v>51925.873200000002</v>
      </c>
      <c r="U27" s="864">
        <f t="shared" si="155"/>
        <v>188546.70394403109</v>
      </c>
      <c r="V27" s="89">
        <f t="shared" si="156"/>
        <v>273742.4745730001</v>
      </c>
      <c r="W27" s="3579">
        <f>+W$6*W43/1000</f>
        <v>39337.082117819438</v>
      </c>
      <c r="X27" s="217">
        <v>48690.907490000005</v>
      </c>
      <c r="Y27" s="97">
        <f t="shared" si="157"/>
        <v>120385.0357916026</v>
      </c>
      <c r="Z27" s="98">
        <f t="shared" si="158"/>
        <v>137224.22008</v>
      </c>
      <c r="AA27" s="963">
        <f t="shared" si="159"/>
        <v>227883.78606185055</v>
      </c>
      <c r="AB27" s="571">
        <f t="shared" si="160"/>
        <v>322433.38206300006</v>
      </c>
      <c r="AC27" s="4072">
        <f>+AC$6*AC43/1000</f>
        <v>41710.87155596372</v>
      </c>
      <c r="AD27" s="2697">
        <v>77137.370009999999</v>
      </c>
      <c r="AE27" s="864">
        <f t="shared" si="161"/>
        <v>269594.65761781426</v>
      </c>
      <c r="AF27" s="89">
        <f t="shared" si="162"/>
        <v>399570.75207300007</v>
      </c>
      <c r="AG27" s="4179">
        <f>+AG$6*AG43/1000</f>
        <v>40354.420448452707</v>
      </c>
      <c r="AH27" s="2697">
        <v>68991.642199999987</v>
      </c>
      <c r="AI27" s="864">
        <f t="shared" si="163"/>
        <v>309949.07806626696</v>
      </c>
      <c r="AJ27" s="89">
        <f t="shared" si="164"/>
        <v>468562.39427300007</v>
      </c>
      <c r="AK27" s="4311">
        <f>+AK$6*AK43/1000</f>
        <v>41880.427944402589</v>
      </c>
      <c r="AL27" s="2697">
        <v>77311.41638000001</v>
      </c>
      <c r="AM27" s="97">
        <f t="shared" si="165"/>
        <v>123945.71994881901</v>
      </c>
      <c r="AN27" s="98">
        <f t="shared" si="166"/>
        <v>223440.42859000002</v>
      </c>
      <c r="AO27" s="3615">
        <f t="shared" ref="AO27:AP32" si="178">+AK27+AI27</f>
        <v>351829.50601066952</v>
      </c>
      <c r="AP27" s="3615">
        <f t="shared" ref="AP27:AP30" si="179">+AL27+AJ27</f>
        <v>545873.81065300014</v>
      </c>
      <c r="AQ27" s="4421">
        <f>+AQ$6*AQ43/1000</f>
        <v>41880.427944402589</v>
      </c>
      <c r="AR27" s="2697">
        <v>75060.203300000008</v>
      </c>
      <c r="AS27" s="864">
        <f t="shared" si="167"/>
        <v>393709.93395507208</v>
      </c>
      <c r="AT27" s="89">
        <f t="shared" si="168"/>
        <v>620934.01395300019</v>
      </c>
      <c r="AU27" s="4649">
        <f>+AU$6*AU43/1000</f>
        <v>38997.96934094168</v>
      </c>
      <c r="AV27" s="2697">
        <v>62448.94829</v>
      </c>
      <c r="AW27" s="864">
        <f t="shared" si="169"/>
        <v>432707.90329601377</v>
      </c>
      <c r="AX27" s="89">
        <f t="shared" si="170"/>
        <v>683382.96224300016</v>
      </c>
      <c r="AY27" s="5040">
        <f>+AY$6*AY43/1000</f>
        <v>42049.984332841472</v>
      </c>
      <c r="AZ27" s="2697">
        <v>50069.911989999993</v>
      </c>
      <c r="BA27" s="97">
        <f t="shared" si="171"/>
        <v>122928.38161818574</v>
      </c>
      <c r="BB27" s="98">
        <f t="shared" si="172"/>
        <v>187579.06358000002</v>
      </c>
      <c r="BC27" s="563">
        <f t="shared" si="173"/>
        <v>246874.10156700475</v>
      </c>
      <c r="BD27" s="571">
        <f t="shared" si="174"/>
        <v>411019.49217000004</v>
      </c>
      <c r="BE27" s="864">
        <f t="shared" si="175"/>
        <v>474757.88762885524</v>
      </c>
      <c r="BF27" s="89">
        <f t="shared" si="176"/>
        <v>733452.87423300021</v>
      </c>
      <c r="BG27" s="147"/>
      <c r="BH27" s="147"/>
      <c r="BI27" s="147"/>
      <c r="BJ27" s="147"/>
    </row>
    <row r="28" spans="1:116" x14ac:dyDescent="0.25">
      <c r="A28" s="181" t="s">
        <v>478</v>
      </c>
      <c r="B28" s="2588" t="s">
        <v>247</v>
      </c>
      <c r="C28" s="672" t="s">
        <v>52</v>
      </c>
      <c r="D28" s="2941">
        <f t="shared" si="148"/>
        <v>11200</v>
      </c>
      <c r="E28" s="2941">
        <f t="shared" si="148"/>
        <v>944</v>
      </c>
      <c r="F28" s="3576">
        <v>2002.6559999999997</v>
      </c>
      <c r="G28" s="2941">
        <f t="shared" ref="G28" si="180">+G$6*G44/1000</f>
        <v>788</v>
      </c>
      <c r="H28" s="3576">
        <v>0</v>
      </c>
      <c r="I28" s="864">
        <f>+E28+G28</f>
        <v>1732</v>
      </c>
      <c r="J28" s="89">
        <f t="shared" si="0"/>
        <v>2002.6559999999997</v>
      </c>
      <c r="K28" s="2941">
        <f t="shared" si="150"/>
        <v>804</v>
      </c>
      <c r="L28" s="3576">
        <v>3108.768</v>
      </c>
      <c r="M28" s="97">
        <f t="shared" si="151"/>
        <v>2536</v>
      </c>
      <c r="N28" s="97">
        <f t="shared" si="152"/>
        <v>5111.424</v>
      </c>
      <c r="O28" s="2941">
        <f t="shared" si="153"/>
        <v>956</v>
      </c>
      <c r="P28" s="3576">
        <v>32.64</v>
      </c>
      <c r="Q28" s="864">
        <f t="shared" si="154"/>
        <v>3492</v>
      </c>
      <c r="R28" s="89">
        <f t="shared" si="154"/>
        <v>5144.0640000000003</v>
      </c>
      <c r="S28" s="3579">
        <f>+S$6*S44/1000</f>
        <v>956</v>
      </c>
      <c r="T28" s="2697">
        <v>0</v>
      </c>
      <c r="U28" s="864">
        <f t="shared" si="155"/>
        <v>4448</v>
      </c>
      <c r="V28" s="89">
        <f t="shared" si="156"/>
        <v>5144.0640000000003</v>
      </c>
      <c r="W28" s="3579">
        <f>+W$6*W44/1000</f>
        <v>928</v>
      </c>
      <c r="X28" s="217">
        <v>1.44</v>
      </c>
      <c r="Y28" s="97">
        <f t="shared" si="157"/>
        <v>2840</v>
      </c>
      <c r="Z28" s="98">
        <f t="shared" si="158"/>
        <v>34.08</v>
      </c>
      <c r="AA28" s="963">
        <f t="shared" si="159"/>
        <v>5376</v>
      </c>
      <c r="AB28" s="571">
        <f t="shared" si="160"/>
        <v>5145.5039999999999</v>
      </c>
      <c r="AC28" s="4072">
        <f>+AC$6*AC44/1000</f>
        <v>984</v>
      </c>
      <c r="AD28" s="2697">
        <v>0</v>
      </c>
      <c r="AE28" s="864">
        <f t="shared" si="161"/>
        <v>6360</v>
      </c>
      <c r="AF28" s="89">
        <f t="shared" si="162"/>
        <v>5145.5039999999999</v>
      </c>
      <c r="AG28" s="4179">
        <f>+AG$6*AG44/1000</f>
        <v>952</v>
      </c>
      <c r="AH28" s="2697">
        <v>82.56</v>
      </c>
      <c r="AI28" s="864">
        <f t="shared" si="163"/>
        <v>7312</v>
      </c>
      <c r="AJ28" s="89">
        <f t="shared" si="164"/>
        <v>5228.0640000000003</v>
      </c>
      <c r="AK28" s="4311">
        <f>+AK$6*AK44/1000</f>
        <v>988</v>
      </c>
      <c r="AL28" s="2697">
        <v>0</v>
      </c>
      <c r="AM28" s="97">
        <f t="shared" si="165"/>
        <v>2924</v>
      </c>
      <c r="AN28" s="98">
        <f t="shared" si="166"/>
        <v>82.56</v>
      </c>
      <c r="AO28" s="3615">
        <f t="shared" si="178"/>
        <v>8300</v>
      </c>
      <c r="AP28" s="3615">
        <f t="shared" si="179"/>
        <v>5228.0640000000003</v>
      </c>
      <c r="AQ28" s="4421">
        <f>+AQ$6*AQ44/1000</f>
        <v>988</v>
      </c>
      <c r="AR28" s="2697">
        <v>2033.3760000000002</v>
      </c>
      <c r="AS28" s="864">
        <f t="shared" si="167"/>
        <v>9288</v>
      </c>
      <c r="AT28" s="89">
        <f t="shared" si="168"/>
        <v>7261.4400000000005</v>
      </c>
      <c r="AU28" s="4649">
        <f>+AU$6*AU44/1000</f>
        <v>920</v>
      </c>
      <c r="AV28" s="2697">
        <v>197.18399999999997</v>
      </c>
      <c r="AW28" s="864">
        <f t="shared" si="169"/>
        <v>10208</v>
      </c>
      <c r="AX28" s="89">
        <f t="shared" si="170"/>
        <v>7458.6240000000007</v>
      </c>
      <c r="AY28" s="5040">
        <f>+AY$6*AY44/1000</f>
        <v>992</v>
      </c>
      <c r="AZ28" s="2697">
        <v>0</v>
      </c>
      <c r="BA28" s="97">
        <f t="shared" si="171"/>
        <v>2900</v>
      </c>
      <c r="BB28" s="98">
        <f t="shared" si="172"/>
        <v>2230.5600000000004</v>
      </c>
      <c r="BC28" s="563">
        <f t="shared" si="173"/>
        <v>5824</v>
      </c>
      <c r="BD28" s="571">
        <f t="shared" si="174"/>
        <v>2313.1200000000003</v>
      </c>
      <c r="BE28" s="864">
        <f t="shared" si="175"/>
        <v>11200</v>
      </c>
      <c r="BF28" s="89">
        <f t="shared" si="176"/>
        <v>7458.6240000000007</v>
      </c>
      <c r="BG28" s="147"/>
      <c r="BH28" s="147"/>
      <c r="BI28" s="147"/>
      <c r="BJ28" s="147"/>
    </row>
    <row r="29" spans="1:116" x14ac:dyDescent="0.25">
      <c r="A29" s="181"/>
      <c r="B29" s="2591" t="s">
        <v>1390</v>
      </c>
      <c r="C29" s="672" t="s">
        <v>52</v>
      </c>
      <c r="D29" s="2941">
        <f t="shared" si="148"/>
        <v>712136.83144328301</v>
      </c>
      <c r="E29" s="2941">
        <f t="shared" si="148"/>
        <v>60022.961507362415</v>
      </c>
      <c r="F29" s="3576">
        <v>23232.255000000001</v>
      </c>
      <c r="G29" s="2941">
        <f t="shared" ref="G29" si="181">+G$6*G45/1000</f>
        <v>50103.912783688123</v>
      </c>
      <c r="H29" s="3576">
        <v>0</v>
      </c>
      <c r="I29" s="864">
        <f>+E29+G29</f>
        <v>110126.87429105054</v>
      </c>
      <c r="J29" s="89">
        <f t="shared" si="0"/>
        <v>23232.255000000001</v>
      </c>
      <c r="K29" s="2941">
        <f t="shared" si="150"/>
        <v>51121.251114321378</v>
      </c>
      <c r="L29" s="3576">
        <v>39482.595000000001</v>
      </c>
      <c r="M29" s="97">
        <f t="shared" si="151"/>
        <v>161248.12540537192</v>
      </c>
      <c r="N29" s="97">
        <f t="shared" si="152"/>
        <v>62714.850000000006</v>
      </c>
      <c r="O29" s="2941">
        <f t="shared" si="153"/>
        <v>60785.965255337367</v>
      </c>
      <c r="P29" s="3576">
        <v>63584.390450000006</v>
      </c>
      <c r="Q29" s="864">
        <f t="shared" ref="Q29" si="182">+M29+O29</f>
        <v>222034.09066070928</v>
      </c>
      <c r="R29" s="89">
        <f t="shared" ref="R29" si="183">+N29+P29</f>
        <v>126299.24045000001</v>
      </c>
      <c r="S29" s="2941">
        <f t="shared" ref="S29" si="184">+S$6*S45/1000</f>
        <v>60785.965255337367</v>
      </c>
      <c r="T29" s="2697">
        <v>46694.354999999996</v>
      </c>
      <c r="U29" s="864">
        <f t="shared" si="155"/>
        <v>282820.05591604667</v>
      </c>
      <c r="V29" s="89">
        <f t="shared" si="156"/>
        <v>172993.59545000002</v>
      </c>
      <c r="W29" s="3579">
        <f t="shared" ref="W29" si="185">+W$6*W45/1000</f>
        <v>59005.623176729161</v>
      </c>
      <c r="X29" s="217">
        <v>39720.599000000002</v>
      </c>
      <c r="Y29" s="97">
        <f t="shared" ref="Y29:Y30" si="186">+W29+S29+O29</f>
        <v>180577.55368740388</v>
      </c>
      <c r="Z29" s="98">
        <f t="shared" ref="Z29:Z30" si="187">+X29+T29+P29</f>
        <v>149999.34445</v>
      </c>
      <c r="AA29" s="963">
        <f t="shared" si="159"/>
        <v>341825.6790927758</v>
      </c>
      <c r="AB29" s="571">
        <f t="shared" si="160"/>
        <v>212714.19445000001</v>
      </c>
      <c r="AC29" s="2941">
        <f t="shared" ref="AC29" si="188">+AC$6*AC45/1000</f>
        <v>62566.307333945573</v>
      </c>
      <c r="AD29" s="2697">
        <v>9642.4455000000016</v>
      </c>
      <c r="AE29" s="864">
        <f t="shared" si="161"/>
        <v>404391.98642672139</v>
      </c>
      <c r="AF29" s="89">
        <f t="shared" si="162"/>
        <v>222356.63995000001</v>
      </c>
      <c r="AG29" s="2941">
        <f t="shared" ref="AG29" si="189">+AG$6*AG45/1000</f>
        <v>60531.630672679043</v>
      </c>
      <c r="AH29" s="2697">
        <v>0</v>
      </c>
      <c r="AI29" s="864">
        <f t="shared" si="163"/>
        <v>464923.61709940044</v>
      </c>
      <c r="AJ29" s="89">
        <f t="shared" si="164"/>
        <v>222356.63995000001</v>
      </c>
      <c r="AK29" s="2941">
        <f t="shared" ref="AK29" si="190">+AK$6*AK45/1000</f>
        <v>62820.641916603883</v>
      </c>
      <c r="AL29" s="2697">
        <v>0</v>
      </c>
      <c r="AM29" s="97">
        <f t="shared" si="165"/>
        <v>185918.57992322848</v>
      </c>
      <c r="AN29" s="98">
        <f t="shared" si="166"/>
        <v>9642.4455000000016</v>
      </c>
      <c r="AO29" s="3615">
        <f t="shared" si="178"/>
        <v>527744.25901600427</v>
      </c>
      <c r="AP29" s="3615">
        <f t="shared" si="179"/>
        <v>222356.63995000001</v>
      </c>
      <c r="AQ29" s="2941">
        <f t="shared" ref="AQ29" si="191">+AQ$6*AQ45/1000</f>
        <v>62820.641916603883</v>
      </c>
      <c r="AR29" s="2697">
        <v>13032.907999999998</v>
      </c>
      <c r="AS29" s="864">
        <f t="shared" si="167"/>
        <v>590564.90093260817</v>
      </c>
      <c r="AT29" s="89">
        <f t="shared" si="168"/>
        <v>235389.54795000001</v>
      </c>
      <c r="AU29" s="2941">
        <f t="shared" ref="AU29" si="192">+AU$6*AU45/1000</f>
        <v>58496.954011412527</v>
      </c>
      <c r="AV29" s="2697">
        <v>16372.0285</v>
      </c>
      <c r="AW29" s="864">
        <f t="shared" si="169"/>
        <v>649061.85494402074</v>
      </c>
      <c r="AX29" s="89">
        <f t="shared" si="170"/>
        <v>251761.57644999999</v>
      </c>
      <c r="AY29" s="2941">
        <f t="shared" ref="AY29" si="193">+AY$6*AY45/1000</f>
        <v>63074.9764992622</v>
      </c>
      <c r="AZ29" s="2697">
        <v>59825.37</v>
      </c>
      <c r="BA29" s="97">
        <f t="shared" si="171"/>
        <v>184392.57242727862</v>
      </c>
      <c r="BB29" s="98">
        <f t="shared" si="172"/>
        <v>89230.306500000006</v>
      </c>
      <c r="BC29" s="563">
        <f t="shared" si="173"/>
        <v>370311.15235050709</v>
      </c>
      <c r="BD29" s="571">
        <f t="shared" si="174"/>
        <v>98872.752000000008</v>
      </c>
      <c r="BE29" s="864">
        <f t="shared" si="175"/>
        <v>712136.83144328289</v>
      </c>
      <c r="BF29" s="89">
        <f t="shared" si="176"/>
        <v>311586.94644999999</v>
      </c>
      <c r="BG29" s="147"/>
      <c r="BH29" s="147"/>
      <c r="BI29" s="147"/>
      <c r="BJ29" s="147"/>
    </row>
    <row r="30" spans="1:116" ht="15.75" thickBot="1" x14ac:dyDescent="0.3">
      <c r="A30" s="181" t="s">
        <v>478</v>
      </c>
      <c r="B30" s="3322" t="s">
        <v>6</v>
      </c>
      <c r="C30" s="912" t="s">
        <v>52</v>
      </c>
      <c r="D30" s="138">
        <f>+D$6*D46/1000</f>
        <v>22956</v>
      </c>
      <c r="E30" s="138">
        <f>+E$6*E46/1000</f>
        <v>1416</v>
      </c>
      <c r="F30" s="273">
        <v>850.27200000000028</v>
      </c>
      <c r="G30" s="138">
        <f>+G$6*G46/1000</f>
        <v>1970</v>
      </c>
      <c r="H30" s="273">
        <v>2796.8639999999996</v>
      </c>
      <c r="I30" s="3593">
        <f>+E30+G30</f>
        <v>3386</v>
      </c>
      <c r="J30" s="233">
        <f t="shared" si="0"/>
        <v>3647.136</v>
      </c>
      <c r="K30" s="138">
        <f>+K$6*K46/1000</f>
        <v>2010</v>
      </c>
      <c r="L30" s="273">
        <v>4684.2239999999993</v>
      </c>
      <c r="M30" s="3323">
        <f t="shared" si="151"/>
        <v>5396</v>
      </c>
      <c r="N30" s="3323">
        <f t="shared" si="152"/>
        <v>8331.3599999999988</v>
      </c>
      <c r="O30" s="138">
        <f>+O$6*O46/1000</f>
        <v>2151</v>
      </c>
      <c r="P30" s="273">
        <v>3189.5040000000008</v>
      </c>
      <c r="Q30" s="3593">
        <f>+M30+O30</f>
        <v>7547</v>
      </c>
      <c r="R30" s="233">
        <f>+N30+P30</f>
        <v>11520.864</v>
      </c>
      <c r="S30" s="866">
        <f>+S$6*S46/1000</f>
        <v>2151</v>
      </c>
      <c r="T30" s="2702">
        <v>3698.9759999999992</v>
      </c>
      <c r="U30" s="3593">
        <f>+Q30+S30</f>
        <v>9698</v>
      </c>
      <c r="V30" s="233">
        <f>+R30+T30</f>
        <v>15219.839999999998</v>
      </c>
      <c r="W30" s="866">
        <f>+W$6*W46/1000</f>
        <v>2088</v>
      </c>
      <c r="X30" s="190">
        <v>2633.9519999999993</v>
      </c>
      <c r="Y30" s="3323">
        <f t="shared" si="186"/>
        <v>6390</v>
      </c>
      <c r="Z30" s="103">
        <f t="shared" si="187"/>
        <v>9522.4319999999989</v>
      </c>
      <c r="AA30" s="3595">
        <f t="shared" si="159"/>
        <v>11786</v>
      </c>
      <c r="AB30" s="2283">
        <f t="shared" si="160"/>
        <v>17853.791999999998</v>
      </c>
      <c r="AC30" s="866">
        <f>+AC$6*AC46/1000</f>
        <v>1968</v>
      </c>
      <c r="AD30" s="2702">
        <v>3331.0079999999998</v>
      </c>
      <c r="AE30" s="4081">
        <f>+AA30+AC30</f>
        <v>13754</v>
      </c>
      <c r="AF30" s="233">
        <f>+AB30+AD30</f>
        <v>21184.799999999996</v>
      </c>
      <c r="AG30" s="866">
        <f>+AG$6*AG46/1000</f>
        <v>1904</v>
      </c>
      <c r="AH30" s="2702">
        <v>3444.2880000000009</v>
      </c>
      <c r="AI30" s="4186">
        <f>+AE30+AG30</f>
        <v>15658</v>
      </c>
      <c r="AJ30" s="233">
        <f>+AF30+AH30</f>
        <v>24629.087999999996</v>
      </c>
      <c r="AK30" s="866">
        <f>+AK$6*AK46/1000</f>
        <v>1976</v>
      </c>
      <c r="AL30" s="2702">
        <v>4547.4239999999991</v>
      </c>
      <c r="AM30" s="3323">
        <f t="shared" si="165"/>
        <v>5848</v>
      </c>
      <c r="AN30" s="103">
        <f t="shared" si="166"/>
        <v>11322.72</v>
      </c>
      <c r="AO30" s="3615">
        <f t="shared" si="178"/>
        <v>17634</v>
      </c>
      <c r="AP30" s="3615">
        <f t="shared" si="179"/>
        <v>29176.511999999995</v>
      </c>
      <c r="AQ30" s="866">
        <f>+AQ$6*AQ46/1000</f>
        <v>1976</v>
      </c>
      <c r="AR30" s="2702">
        <v>4960.7999999999993</v>
      </c>
      <c r="AS30" s="4426">
        <f>+AO30+AQ30</f>
        <v>19610</v>
      </c>
      <c r="AT30" s="233">
        <f>+AP30+AR30</f>
        <v>34137.311999999991</v>
      </c>
      <c r="AU30" s="866">
        <f>+AU$6*AU46/1000</f>
        <v>1610</v>
      </c>
      <c r="AV30" s="2702">
        <v>4324.0320000000002</v>
      </c>
      <c r="AW30" s="4660">
        <f>+AS30+AU30</f>
        <v>21220</v>
      </c>
      <c r="AX30" s="233">
        <f>+AT30+AV30</f>
        <v>38461.34399999999</v>
      </c>
      <c r="AY30" s="866">
        <f>+AY$6*AY46/1000</f>
        <v>1736</v>
      </c>
      <c r="AZ30" s="2702">
        <v>3281.2799999999997</v>
      </c>
      <c r="BA30" s="3323">
        <f t="shared" si="171"/>
        <v>5322</v>
      </c>
      <c r="BB30" s="103">
        <f t="shared" si="172"/>
        <v>12566.111999999999</v>
      </c>
      <c r="BC30" s="563">
        <f t="shared" si="173"/>
        <v>11170</v>
      </c>
      <c r="BD30" s="571">
        <f t="shared" si="174"/>
        <v>23888.831999999999</v>
      </c>
      <c r="BE30" s="5049">
        <f>+AW30+AY30</f>
        <v>22956</v>
      </c>
      <c r="BF30" s="233">
        <f>+AX30+AZ30</f>
        <v>41742.623999999989</v>
      </c>
      <c r="BG30" s="147"/>
      <c r="BH30" s="147"/>
      <c r="BI30" s="147"/>
      <c r="BJ30" s="147"/>
    </row>
    <row r="31" spans="1:116" s="183" customFormat="1" ht="15.75" x14ac:dyDescent="0.25">
      <c r="A31" s="182" t="s">
        <v>478</v>
      </c>
      <c r="B31" s="2587" t="s">
        <v>451</v>
      </c>
      <c r="C31" s="3316"/>
      <c r="D31" s="3317"/>
      <c r="E31" s="3317"/>
      <c r="F31" s="3317"/>
      <c r="G31" s="3317"/>
      <c r="H31" s="3317"/>
      <c r="I31" s="3316"/>
      <c r="J31" s="3316"/>
      <c r="K31" s="3317"/>
      <c r="L31" s="3317"/>
      <c r="M31" s="3316"/>
      <c r="N31" s="3316"/>
      <c r="O31" s="3317"/>
      <c r="P31" s="3317"/>
      <c r="Q31" s="3316"/>
      <c r="R31" s="3316"/>
      <c r="S31" s="3318"/>
      <c r="T31" s="3319"/>
      <c r="U31" s="3316"/>
      <c r="V31" s="3316"/>
      <c r="W31" s="3320"/>
      <c r="X31" s="3321"/>
      <c r="Y31" s="3316"/>
      <c r="Z31" s="3316"/>
      <c r="AA31" s="3316"/>
      <c r="AB31" s="3316"/>
      <c r="AC31" s="3318"/>
      <c r="AD31" s="3319"/>
      <c r="AE31" s="3316"/>
      <c r="AF31" s="3316"/>
      <c r="AG31" s="3318"/>
      <c r="AH31" s="3319"/>
      <c r="AI31" s="3316"/>
      <c r="AJ31" s="3316"/>
      <c r="AK31" s="3318"/>
      <c r="AL31" s="3319"/>
      <c r="AM31" s="3316"/>
      <c r="AN31" s="3316"/>
      <c r="AO31" s="3316"/>
      <c r="AP31" s="3316"/>
      <c r="AQ31" s="3318"/>
      <c r="AR31" s="3319"/>
      <c r="AS31" s="3316"/>
      <c r="AT31" s="3316"/>
      <c r="AU31" s="3318"/>
      <c r="AV31" s="3319"/>
      <c r="AW31" s="3316"/>
      <c r="AX31" s="3316"/>
      <c r="AY31" s="3318"/>
      <c r="AZ31" s="3319"/>
      <c r="BA31" s="3316"/>
      <c r="BB31" s="3316"/>
      <c r="BC31" s="3316"/>
      <c r="BD31" s="3316"/>
      <c r="BE31" s="3316"/>
      <c r="BF31" s="3316"/>
      <c r="BG31" s="147"/>
      <c r="BH31" s="147"/>
      <c r="BI31" s="147"/>
      <c r="BJ31" s="147"/>
    </row>
    <row r="32" spans="1:116" x14ac:dyDescent="0.25">
      <c r="A32" s="181"/>
      <c r="B32" s="2588" t="s">
        <v>821</v>
      </c>
      <c r="C32" s="672" t="s">
        <v>52</v>
      </c>
      <c r="D32" s="2568">
        <v>5000</v>
      </c>
      <c r="E32" s="2568">
        <v>0</v>
      </c>
      <c r="F32" s="2567">
        <v>0</v>
      </c>
      <c r="G32" s="2568">
        <v>1000</v>
      </c>
      <c r="H32" s="2567">
        <v>1918</v>
      </c>
      <c r="I32" s="2565">
        <f t="shared" ref="I32:J35" si="194">+E32+G32</f>
        <v>1000</v>
      </c>
      <c r="J32" s="2565">
        <f t="shared" si="194"/>
        <v>1918</v>
      </c>
      <c r="K32" s="2568">
        <v>4000</v>
      </c>
      <c r="L32" s="2567">
        <v>1011</v>
      </c>
      <c r="M32" s="2566">
        <f t="shared" ref="M32:N36" si="195">+K32+G32+E32</f>
        <v>5000</v>
      </c>
      <c r="N32" s="2566">
        <f t="shared" si="195"/>
        <v>2929</v>
      </c>
      <c r="O32" s="2568">
        <v>0</v>
      </c>
      <c r="P32" s="2567">
        <v>975</v>
      </c>
      <c r="Q32" s="2565">
        <f t="shared" ref="Q32:R36" si="196">+M32+O32</f>
        <v>5000</v>
      </c>
      <c r="R32" s="2565">
        <f t="shared" si="196"/>
        <v>3904</v>
      </c>
      <c r="S32" s="2567">
        <v>0</v>
      </c>
      <c r="T32" s="2627">
        <v>0</v>
      </c>
      <c r="U32" s="3269">
        <f t="shared" ref="U32:U36" si="197">+Q32+S32</f>
        <v>5000</v>
      </c>
      <c r="V32" s="3269">
        <f t="shared" ref="V32:V36" si="198">+R32+T32</f>
        <v>3904</v>
      </c>
      <c r="W32" s="420">
        <v>0</v>
      </c>
      <c r="X32" s="1411">
        <v>0</v>
      </c>
      <c r="Y32" s="946">
        <f t="shared" ref="Y32:Z36" si="199">+W32+S32+O32</f>
        <v>0</v>
      </c>
      <c r="Z32" s="946">
        <f t="shared" si="199"/>
        <v>975</v>
      </c>
      <c r="AA32" s="558">
        <f>M32+Y32</f>
        <v>5000</v>
      </c>
      <c r="AB32" s="558">
        <f>+N32+Z32</f>
        <v>3904</v>
      </c>
      <c r="AC32" s="3616">
        <v>0</v>
      </c>
      <c r="AD32" s="2627">
        <v>0</v>
      </c>
      <c r="AE32" s="3615">
        <f t="shared" ref="AE32:AE36" si="200">+AA32+AC32</f>
        <v>5000</v>
      </c>
      <c r="AF32" s="3615">
        <f t="shared" ref="AF32:AF36" si="201">+AB32+AD32</f>
        <v>3904</v>
      </c>
      <c r="AG32" s="3616">
        <v>0</v>
      </c>
      <c r="AH32" s="2627">
        <v>0</v>
      </c>
      <c r="AI32" s="3615">
        <f t="shared" ref="AI32:AI36" si="202">+AE32+AG32</f>
        <v>5000</v>
      </c>
      <c r="AJ32" s="3615">
        <f t="shared" ref="AJ32:AJ36" si="203">+AF32+AH32</f>
        <v>3904</v>
      </c>
      <c r="AK32" s="3616">
        <v>0</v>
      </c>
      <c r="AL32" s="2627">
        <v>0</v>
      </c>
      <c r="AM32" s="4312">
        <f t="shared" ref="AM32:AM36" si="204">+AK32+AG32+AC32</f>
        <v>0</v>
      </c>
      <c r="AN32" s="4312">
        <f t="shared" ref="AN32:AN36" si="205">+AL32+AH32+AD32</f>
        <v>0</v>
      </c>
      <c r="AO32" s="3615">
        <f t="shared" si="178"/>
        <v>5000</v>
      </c>
      <c r="AP32" s="3615">
        <f t="shared" si="178"/>
        <v>3904</v>
      </c>
      <c r="AQ32" s="3616">
        <v>0</v>
      </c>
      <c r="AR32" s="2627">
        <v>1000</v>
      </c>
      <c r="AS32" s="3615">
        <f t="shared" ref="AS32:AS36" si="206">+AO32+AQ32</f>
        <v>5000</v>
      </c>
      <c r="AT32" s="3615">
        <f t="shared" ref="AT32:AT36" si="207">+AP32+AR32</f>
        <v>4904</v>
      </c>
      <c r="AU32" s="3616">
        <v>0</v>
      </c>
      <c r="AV32" s="2627">
        <v>0</v>
      </c>
      <c r="AW32" s="3615">
        <f t="shared" ref="AW32:AW36" si="208">+AS32+AU32</f>
        <v>5000</v>
      </c>
      <c r="AX32" s="3615">
        <f t="shared" ref="AX32:AX36" si="209">+AT32+AV32</f>
        <v>4904</v>
      </c>
      <c r="AY32" s="3616">
        <v>0</v>
      </c>
      <c r="AZ32" s="2627">
        <v>0</v>
      </c>
      <c r="BA32" s="5036">
        <f t="shared" ref="BA32:BA36" si="210">+AY32+AU32+AQ32</f>
        <v>0</v>
      </c>
      <c r="BB32" s="5036">
        <f t="shared" ref="BB32:BB36" si="211">+AZ32+AV32+AR32</f>
        <v>1000</v>
      </c>
      <c r="BC32" s="563">
        <f t="shared" ref="BC32:BC36" si="212">AM32+BA32</f>
        <v>0</v>
      </c>
      <c r="BD32" s="571">
        <f t="shared" ref="BD32:BD36" si="213">+AN32+BB32</f>
        <v>1000</v>
      </c>
      <c r="BE32" s="3615">
        <f t="shared" ref="BE32:BE36" si="214">+AW32+AY32</f>
        <v>5000</v>
      </c>
      <c r="BF32" s="3615">
        <f t="shared" ref="BF32:BF36" si="215">+AX32+AZ32</f>
        <v>4904</v>
      </c>
      <c r="BG32" s="147"/>
      <c r="BH32" s="147"/>
      <c r="BI32" s="147"/>
      <c r="BJ32" s="147"/>
    </row>
    <row r="33" spans="1:62" x14ac:dyDescent="0.25">
      <c r="A33" s="181" t="s">
        <v>478</v>
      </c>
      <c r="B33" s="2588" t="s">
        <v>454</v>
      </c>
      <c r="C33" s="672" t="s">
        <v>52</v>
      </c>
      <c r="D33" s="2568">
        <f>+D22+D23+D63+D32</f>
        <v>1294450.892857143</v>
      </c>
      <c r="E33" s="2568">
        <f>+E22+E23+E63+E32</f>
        <v>107991.07142857143</v>
      </c>
      <c r="F33" s="2568">
        <f>+F22+F23+F63+F32</f>
        <v>111995.9807</v>
      </c>
      <c r="G33" s="2568">
        <f>+G22+G23+G63+G32</f>
        <v>92244.419642857159</v>
      </c>
      <c r="H33" s="2568">
        <f>+H22+H23+H63+H32</f>
        <v>91459.492499999993</v>
      </c>
      <c r="I33" s="2565">
        <f t="shared" si="194"/>
        <v>200235.49107142858</v>
      </c>
      <c r="J33" s="2565">
        <f t="shared" si="194"/>
        <v>203455.47320000001</v>
      </c>
      <c r="K33" s="2568">
        <f>+K22+K23+K63+K32</f>
        <v>102705.35714285716</v>
      </c>
      <c r="L33" s="2568">
        <f>+L22+L23+L63+L32</f>
        <v>109767.732</v>
      </c>
      <c r="M33" s="3578">
        <f t="shared" si="195"/>
        <v>302940.84821428574</v>
      </c>
      <c r="N33" s="3578">
        <f t="shared" si="195"/>
        <v>313223.20520000003</v>
      </c>
      <c r="O33" s="2568">
        <f>+O22+O23+O63+O32</f>
        <v>113898.43750000001</v>
      </c>
      <c r="P33" s="2568">
        <f>+P22+P23+P63+P32</f>
        <v>116456.7322</v>
      </c>
      <c r="Q33" s="2565">
        <f t="shared" si="196"/>
        <v>416839.28571428574</v>
      </c>
      <c r="R33" s="2565">
        <f t="shared" si="196"/>
        <v>429679.93740000005</v>
      </c>
      <c r="S33" s="2567">
        <f>+S22+S23+S63+S32</f>
        <v>112031.25000000001</v>
      </c>
      <c r="T33" s="2627">
        <f>+T22+T23+T63+T32</f>
        <v>118523.82770000001</v>
      </c>
      <c r="U33" s="3269">
        <f t="shared" si="197"/>
        <v>528870.5357142858</v>
      </c>
      <c r="V33" s="3269">
        <f t="shared" si="198"/>
        <v>548203.76510000008</v>
      </c>
      <c r="W33" s="420">
        <f>+W22+W23+W63+W32</f>
        <v>107455.35714285716</v>
      </c>
      <c r="X33" s="1494">
        <f>+X22+X23+X63+X32</f>
        <v>108074.40260000003</v>
      </c>
      <c r="Y33" s="3578">
        <f t="shared" si="199"/>
        <v>333385.04464285716</v>
      </c>
      <c r="Z33" s="3578">
        <f t="shared" si="199"/>
        <v>343054.96250000002</v>
      </c>
      <c r="AA33" s="3580">
        <f t="shared" ref="AA33:AA36" si="216">M33+Y33</f>
        <v>636325.89285714296</v>
      </c>
      <c r="AB33" s="3580">
        <f t="shared" ref="AB33:AB36" si="217">+N33+Z33</f>
        <v>656278.16770000011</v>
      </c>
      <c r="AC33" s="3616">
        <f>+AC22+AC23+AC63+AC32</f>
        <v>111194.19642857143</v>
      </c>
      <c r="AD33" s="2627">
        <f>+AD22+AD23+AD63+AD32</f>
        <v>114300.45090000001</v>
      </c>
      <c r="AE33" s="3615">
        <f t="shared" si="200"/>
        <v>747520.08928571444</v>
      </c>
      <c r="AF33" s="3615">
        <f t="shared" si="201"/>
        <v>770578.61860000016</v>
      </c>
      <c r="AG33" s="3616">
        <f>+AG22+AG23+AG63+AG32</f>
        <v>107578.12500000001</v>
      </c>
      <c r="AH33" s="2627">
        <f>+AH22+AH23+AH63+AH32</f>
        <v>109215.24110000001</v>
      </c>
      <c r="AI33" s="3615">
        <f t="shared" si="202"/>
        <v>855098.21428571444</v>
      </c>
      <c r="AJ33" s="3615">
        <f t="shared" si="203"/>
        <v>879793.85970000015</v>
      </c>
      <c r="AK33" s="3616">
        <f>+AK22+AK23+AK63+AK32</f>
        <v>111646.20535714287</v>
      </c>
      <c r="AL33" s="2627">
        <f>+AL22+AL23+AL63+AL32</f>
        <v>110043.73519999998</v>
      </c>
      <c r="AM33" s="4312">
        <f t="shared" si="204"/>
        <v>330418.52678571432</v>
      </c>
      <c r="AN33" s="4312">
        <f t="shared" si="205"/>
        <v>333559.42719999998</v>
      </c>
      <c r="AO33" s="3615">
        <f t="shared" ref="AO33:AO36" si="218">+AK33+AI33</f>
        <v>966744.41964285728</v>
      </c>
      <c r="AP33" s="3615">
        <f t="shared" ref="AP33:AP36" si="219">+AL33+AJ33</f>
        <v>989837.59490000014</v>
      </c>
      <c r="AQ33" s="3616">
        <f>+AQ22+AQ23+AQ63+AQ32</f>
        <v>111646.20535714287</v>
      </c>
      <c r="AR33" s="2627">
        <f>+AR22+AR23+AR63+AR32</f>
        <v>109597.04664999999</v>
      </c>
      <c r="AS33" s="3615">
        <f t="shared" si="206"/>
        <v>1078390.6250000002</v>
      </c>
      <c r="AT33" s="3615">
        <f t="shared" si="207"/>
        <v>1099434.6415500001</v>
      </c>
      <c r="AU33" s="3616">
        <f>+AU22+AU23+AU63+AU32</f>
        <v>103962.05357142858</v>
      </c>
      <c r="AV33" s="2627">
        <f>+AV22+AV23+AV63+AV32</f>
        <v>105347.6802</v>
      </c>
      <c r="AW33" s="3615">
        <f t="shared" si="208"/>
        <v>1182352.6785714289</v>
      </c>
      <c r="AX33" s="3615">
        <f t="shared" si="209"/>
        <v>1204782.3217500001</v>
      </c>
      <c r="AY33" s="3616">
        <f>+AY22+AY23+AY63+AY32</f>
        <v>112098.2142857143</v>
      </c>
      <c r="AZ33" s="2627">
        <f>+AZ22+AZ23+AZ63+AZ32</f>
        <v>108745.98440999999</v>
      </c>
      <c r="BA33" s="5036">
        <f t="shared" si="210"/>
        <v>327706.4732142858</v>
      </c>
      <c r="BB33" s="5036">
        <f t="shared" si="211"/>
        <v>323690.71125999995</v>
      </c>
      <c r="BC33" s="563">
        <f t="shared" si="212"/>
        <v>658125.00000000012</v>
      </c>
      <c r="BD33" s="571">
        <f t="shared" si="213"/>
        <v>657250.13845999993</v>
      </c>
      <c r="BE33" s="3615">
        <f t="shared" si="214"/>
        <v>1294450.8928571432</v>
      </c>
      <c r="BF33" s="3615">
        <f t="shared" si="215"/>
        <v>1313528.3061600002</v>
      </c>
      <c r="BG33" s="147"/>
      <c r="BH33" s="147"/>
      <c r="BI33" s="147"/>
      <c r="BJ33" s="147"/>
    </row>
    <row r="34" spans="1:62" x14ac:dyDescent="0.25">
      <c r="A34" s="181" t="s">
        <v>478</v>
      </c>
      <c r="B34" s="2588" t="s">
        <v>590</v>
      </c>
      <c r="C34" s="672" t="s">
        <v>52</v>
      </c>
      <c r="D34" s="2568">
        <f>+D26+D61</f>
        <v>4289980.9123089332</v>
      </c>
      <c r="E34" s="2568">
        <f>+E26+E61</f>
        <v>361584.10546603869</v>
      </c>
      <c r="F34" s="2568">
        <f>+F26+F61</f>
        <v>373181.8052</v>
      </c>
      <c r="G34" s="2568">
        <f>+G26+G61</f>
        <v>301830.79990173562</v>
      </c>
      <c r="H34" s="2568">
        <f>+H26+H61</f>
        <v>311019.09450000001</v>
      </c>
      <c r="I34" s="2565">
        <f t="shared" si="194"/>
        <v>663414.90536777431</v>
      </c>
      <c r="J34" s="2565">
        <f t="shared" si="194"/>
        <v>684200.89969999995</v>
      </c>
      <c r="K34" s="2568">
        <f>+K26+K61</f>
        <v>307959.344062177</v>
      </c>
      <c r="L34" s="2568">
        <f>+L26+L61</f>
        <v>329941.31520000001</v>
      </c>
      <c r="M34" s="3578">
        <f t="shared" si="195"/>
        <v>971374.24942995131</v>
      </c>
      <c r="N34" s="3578">
        <f t="shared" si="195"/>
        <v>1014142.2149</v>
      </c>
      <c r="O34" s="2568">
        <f>+O26+O61</f>
        <v>366180.51358636963</v>
      </c>
      <c r="P34" s="2568">
        <f>+P26+P61</f>
        <v>383756.84400000004</v>
      </c>
      <c r="Q34" s="2565">
        <f t="shared" si="196"/>
        <v>1337554.763016321</v>
      </c>
      <c r="R34" s="2565">
        <f t="shared" si="196"/>
        <v>1397899.0589000001</v>
      </c>
      <c r="S34" s="2567">
        <f>+S26+S61</f>
        <v>366180.51358636963</v>
      </c>
      <c r="T34" s="2627">
        <f>+T26+T61</f>
        <v>377217.97440000001</v>
      </c>
      <c r="U34" s="3269">
        <f t="shared" si="197"/>
        <v>1703735.2766026906</v>
      </c>
      <c r="V34" s="3269">
        <f t="shared" si="198"/>
        <v>1775117.0333</v>
      </c>
      <c r="W34" s="420">
        <f>+W26+W61</f>
        <v>355455.56130559737</v>
      </c>
      <c r="X34" s="1494">
        <f>+X26+X61</f>
        <v>373503.77220000001</v>
      </c>
      <c r="Y34" s="3578">
        <f t="shared" si="199"/>
        <v>1087816.5884783366</v>
      </c>
      <c r="Z34" s="3578">
        <f t="shared" si="199"/>
        <v>1134478.5906</v>
      </c>
      <c r="AA34" s="3580">
        <f t="shared" si="216"/>
        <v>2059190.837908288</v>
      </c>
      <c r="AB34" s="3580">
        <f t="shared" si="217"/>
        <v>2148620.8054999998</v>
      </c>
      <c r="AC34" s="3616">
        <f>+AC26+AC61</f>
        <v>376905.46586714202</v>
      </c>
      <c r="AD34" s="2627">
        <f>+AD26+AD61</f>
        <v>390457.978</v>
      </c>
      <c r="AE34" s="3615">
        <f t="shared" si="200"/>
        <v>2436096.3037754302</v>
      </c>
      <c r="AF34" s="3615">
        <f t="shared" si="201"/>
        <v>2539078.7834999999</v>
      </c>
      <c r="AG34" s="3616">
        <f>+AG26+AG61</f>
        <v>364648.37754625926</v>
      </c>
      <c r="AH34" s="2627">
        <f>+AH26+AH61</f>
        <v>346631.70369999995</v>
      </c>
      <c r="AI34" s="3615">
        <f t="shared" si="202"/>
        <v>2800744.6813216894</v>
      </c>
      <c r="AJ34" s="3615">
        <f t="shared" si="203"/>
        <v>2885710.4871999999</v>
      </c>
      <c r="AK34" s="3616">
        <f>+AK26+AK61</f>
        <v>378437.60190725233</v>
      </c>
      <c r="AL34" s="2627">
        <f>+AL26+AL61</f>
        <v>370624.80849999998</v>
      </c>
      <c r="AM34" s="4312">
        <f t="shared" si="204"/>
        <v>1119991.4453206535</v>
      </c>
      <c r="AN34" s="4312">
        <f t="shared" si="205"/>
        <v>1107714.4901999999</v>
      </c>
      <c r="AO34" s="3615">
        <f t="shared" si="218"/>
        <v>3179182.2832289417</v>
      </c>
      <c r="AP34" s="3615">
        <f t="shared" si="219"/>
        <v>3256335.2956999997</v>
      </c>
      <c r="AQ34" s="3616">
        <f>+AQ26+AQ61</f>
        <v>378437.60190725233</v>
      </c>
      <c r="AR34" s="2627">
        <f>+AR26+AR61</f>
        <v>362736.33380000002</v>
      </c>
      <c r="AS34" s="3615">
        <f t="shared" si="206"/>
        <v>3557619.8851361941</v>
      </c>
      <c r="AT34" s="3615">
        <f t="shared" si="207"/>
        <v>3619071.6294999998</v>
      </c>
      <c r="AU34" s="3616">
        <f>+AU26+AU61</f>
        <v>352391.28922537668</v>
      </c>
      <c r="AV34" s="2627">
        <f>+AV26+AV61</f>
        <v>367007.74320000003</v>
      </c>
      <c r="AW34" s="3615">
        <f t="shared" si="208"/>
        <v>3910011.1743615707</v>
      </c>
      <c r="AX34" s="3615">
        <f t="shared" si="209"/>
        <v>3986079.3726999997</v>
      </c>
      <c r="AY34" s="3616">
        <f>+AY26+AY61</f>
        <v>379969.73794736265</v>
      </c>
      <c r="AZ34" s="2627">
        <f>+AZ26+AZ61</f>
        <v>355785.0526</v>
      </c>
      <c r="BA34" s="5036">
        <f t="shared" si="210"/>
        <v>1110798.6290799917</v>
      </c>
      <c r="BB34" s="5036">
        <f t="shared" si="211"/>
        <v>1085529.1296000001</v>
      </c>
      <c r="BC34" s="563">
        <f t="shared" si="212"/>
        <v>2230790.0744006452</v>
      </c>
      <c r="BD34" s="571">
        <f t="shared" si="213"/>
        <v>2193243.6198</v>
      </c>
      <c r="BE34" s="3615">
        <f t="shared" si="214"/>
        <v>4289980.9123089332</v>
      </c>
      <c r="BF34" s="3615">
        <f t="shared" si="215"/>
        <v>4341864.4252999993</v>
      </c>
      <c r="BG34" s="147"/>
      <c r="BH34" s="147"/>
      <c r="BI34" s="147"/>
      <c r="BJ34" s="147"/>
    </row>
    <row r="35" spans="1:62" x14ac:dyDescent="0.25">
      <c r="A35" s="181" t="s">
        <v>478</v>
      </c>
      <c r="B35" s="2588" t="s">
        <v>626</v>
      </c>
      <c r="C35" s="672" t="s">
        <v>52</v>
      </c>
      <c r="D35" s="2568">
        <f>+D27+D67</f>
        <v>558538.69132806512</v>
      </c>
      <c r="E35" s="2568">
        <f>+E27+E67</f>
        <v>47076.832554794055</v>
      </c>
      <c r="F35" s="2568">
        <f>+F27+F67</f>
        <v>79862.338600000017</v>
      </c>
      <c r="G35" s="2568">
        <f>+G27+G67</f>
        <v>39297.186497010291</v>
      </c>
      <c r="H35" s="2568">
        <f>+H27+H67</f>
        <v>79727.685700000002</v>
      </c>
      <c r="I35" s="2565">
        <f t="shared" si="194"/>
        <v>86374.019051804353</v>
      </c>
      <c r="J35" s="2565">
        <f t="shared" si="194"/>
        <v>159590.02430000002</v>
      </c>
      <c r="K35" s="2568">
        <f>+K27+K67</f>
        <v>40095.098913193244</v>
      </c>
      <c r="L35" s="2568">
        <f>+L27+L67</f>
        <v>58152.357483000014</v>
      </c>
      <c r="M35" s="3578">
        <f t="shared" si="195"/>
        <v>126469.1179649976</v>
      </c>
      <c r="N35" s="3578">
        <f t="shared" si="195"/>
        <v>217742.38178300002</v>
      </c>
      <c r="O35" s="2568">
        <f>+O27+O67</f>
        <v>47675.26686693127</v>
      </c>
      <c r="P35" s="2568">
        <f>+P27+P67</f>
        <v>44459.976389999996</v>
      </c>
      <c r="Q35" s="2565">
        <f t="shared" si="196"/>
        <v>174144.38483192888</v>
      </c>
      <c r="R35" s="2565">
        <f t="shared" si="196"/>
        <v>262202.35817300004</v>
      </c>
      <c r="S35" s="2567">
        <f>+S27+S67</f>
        <v>47675.26686693127</v>
      </c>
      <c r="T35" s="2627">
        <f>+T27+T67</f>
        <v>57964.925999999999</v>
      </c>
      <c r="U35" s="3269">
        <f t="shared" si="197"/>
        <v>221819.65169886017</v>
      </c>
      <c r="V35" s="3269">
        <f t="shared" si="198"/>
        <v>320167.28417300002</v>
      </c>
      <c r="W35" s="420">
        <f>+W27+W67</f>
        <v>46278.920138611102</v>
      </c>
      <c r="X35" s="1494">
        <f>+X27+X67</f>
        <v>57419.763490000005</v>
      </c>
      <c r="Y35" s="3578">
        <f t="shared" si="199"/>
        <v>141629.45387247362</v>
      </c>
      <c r="Z35" s="3578">
        <f t="shared" si="199"/>
        <v>159844.66587999999</v>
      </c>
      <c r="AA35" s="3580">
        <f t="shared" si="216"/>
        <v>268098.57183747122</v>
      </c>
      <c r="AB35" s="3580">
        <f t="shared" si="217"/>
        <v>377587.047663</v>
      </c>
      <c r="AC35" s="3616">
        <f>+AC27+AC67</f>
        <v>49071.613595251438</v>
      </c>
      <c r="AD35" s="2627">
        <f>+AD27+AD67</f>
        <v>82899.590609999999</v>
      </c>
      <c r="AE35" s="3615">
        <f t="shared" si="200"/>
        <v>317170.18543272268</v>
      </c>
      <c r="AF35" s="3615">
        <f t="shared" si="201"/>
        <v>460486.63827300002</v>
      </c>
      <c r="AG35" s="3616">
        <f>+AG27+AG67</f>
        <v>47475.788762885539</v>
      </c>
      <c r="AH35" s="2627">
        <f>+AH27+AH67</f>
        <v>76978.530199999994</v>
      </c>
      <c r="AI35" s="3615">
        <f t="shared" si="202"/>
        <v>364645.97419560823</v>
      </c>
      <c r="AJ35" s="3615">
        <f t="shared" si="203"/>
        <v>537465.16847300006</v>
      </c>
      <c r="AK35" s="3616">
        <f>+AK27+AK67</f>
        <v>49271.091699297162</v>
      </c>
      <c r="AL35" s="2627">
        <f>+AL27+AL67</f>
        <v>90024.474380000014</v>
      </c>
      <c r="AM35" s="4312">
        <f t="shared" si="204"/>
        <v>145818.49405743415</v>
      </c>
      <c r="AN35" s="4312">
        <f t="shared" si="205"/>
        <v>249902.59519000002</v>
      </c>
      <c r="AO35" s="3615">
        <f t="shared" si="218"/>
        <v>413917.06589490536</v>
      </c>
      <c r="AP35" s="3615">
        <f t="shared" si="219"/>
        <v>627489.64285300008</v>
      </c>
      <c r="AQ35" s="3616">
        <f>+AQ27+AQ67</f>
        <v>49271.091699297162</v>
      </c>
      <c r="AR35" s="2627">
        <f>+AR27+AR67</f>
        <v>91032.544100000014</v>
      </c>
      <c r="AS35" s="3615">
        <f t="shared" si="206"/>
        <v>463188.15759420255</v>
      </c>
      <c r="AT35" s="3615">
        <f t="shared" si="207"/>
        <v>718522.18695300014</v>
      </c>
      <c r="AU35" s="3616">
        <f>+AU27+AU67</f>
        <v>45879.963930519625</v>
      </c>
      <c r="AV35" s="2627">
        <f>+AV27+AV67</f>
        <v>72160.935790000003</v>
      </c>
      <c r="AW35" s="3615">
        <f t="shared" si="208"/>
        <v>509068.1215247222</v>
      </c>
      <c r="AX35" s="3615">
        <f t="shared" si="209"/>
        <v>790683.12274300016</v>
      </c>
      <c r="AY35" s="3616">
        <f>+AY27+AY67</f>
        <v>49470.569803342907</v>
      </c>
      <c r="AZ35" s="2627">
        <f>+AZ27+AZ67</f>
        <v>58264.328989999995</v>
      </c>
      <c r="BA35" s="5036">
        <f t="shared" si="210"/>
        <v>144621.6254331597</v>
      </c>
      <c r="BB35" s="5036">
        <f t="shared" si="211"/>
        <v>221457.80888000003</v>
      </c>
      <c r="BC35" s="563">
        <f t="shared" si="212"/>
        <v>290440.11949059385</v>
      </c>
      <c r="BD35" s="571">
        <f t="shared" si="213"/>
        <v>471360.40407000005</v>
      </c>
      <c r="BE35" s="3615">
        <f t="shared" si="214"/>
        <v>558538.69132806512</v>
      </c>
      <c r="BF35" s="3615">
        <f t="shared" si="215"/>
        <v>848947.45173300011</v>
      </c>
      <c r="BG35" s="147"/>
      <c r="BH35" s="147"/>
      <c r="BI35" s="147"/>
      <c r="BJ35" s="147"/>
    </row>
    <row r="36" spans="1:62" ht="15.75" thickBot="1" x14ac:dyDescent="0.3">
      <c r="A36" s="181"/>
      <c r="B36" s="2589" t="s">
        <v>1403</v>
      </c>
      <c r="C36" s="912" t="s">
        <v>52</v>
      </c>
      <c r="D36" s="138">
        <f>D29+D65</f>
        <v>731898.07959227439</v>
      </c>
      <c r="E36" s="138">
        <f>E29+E65</f>
        <v>61688.552422777408</v>
      </c>
      <c r="F36" s="138">
        <f t="shared" ref="F36:L36" si="220">F29+F65</f>
        <v>23626.375800000002</v>
      </c>
      <c r="G36" s="138">
        <f t="shared" si="220"/>
        <v>51494.257742742164</v>
      </c>
      <c r="H36" s="138">
        <f t="shared" si="220"/>
        <v>0</v>
      </c>
      <c r="I36" s="138">
        <f t="shared" si="220"/>
        <v>110126.87429105054</v>
      </c>
      <c r="J36" s="138">
        <f t="shared" si="220"/>
        <v>23626.375800000002</v>
      </c>
      <c r="K36" s="138">
        <f t="shared" si="220"/>
        <v>52539.826427873973</v>
      </c>
      <c r="L36" s="138">
        <f t="shared" si="220"/>
        <v>40273.716099999998</v>
      </c>
      <c r="M36" s="3578">
        <f t="shared" si="195"/>
        <v>165722.63659339354</v>
      </c>
      <c r="N36" s="3578">
        <f t="shared" si="195"/>
        <v>63900.091899999999</v>
      </c>
      <c r="O36" s="138">
        <f t="shared" ref="O36:P36" si="221">O29+O65</f>
        <v>62472.728936626278</v>
      </c>
      <c r="P36" s="138">
        <f t="shared" si="221"/>
        <v>64656.404850000006</v>
      </c>
      <c r="Q36" s="711">
        <f t="shared" si="196"/>
        <v>228195.36553001983</v>
      </c>
      <c r="R36" s="711">
        <f t="shared" si="196"/>
        <v>128556.49675000001</v>
      </c>
      <c r="S36" s="138">
        <f t="shared" ref="S36:T36" si="222">S29+S65</f>
        <v>62472.728936626278</v>
      </c>
      <c r="T36" s="2700">
        <f t="shared" si="222"/>
        <v>47472.605199999998</v>
      </c>
      <c r="U36" s="711">
        <f t="shared" si="197"/>
        <v>290668.09446664609</v>
      </c>
      <c r="V36" s="711">
        <f t="shared" si="198"/>
        <v>176029.10195000001</v>
      </c>
      <c r="W36" s="420">
        <f t="shared" ref="W36:X36" si="223">W29+W65</f>
        <v>60642.983737645591</v>
      </c>
      <c r="X36" s="1494">
        <f t="shared" si="223"/>
        <v>40253.772499999999</v>
      </c>
      <c r="Y36" s="3578">
        <f t="shared" si="199"/>
        <v>185588.44161089815</v>
      </c>
      <c r="Z36" s="3578">
        <f t="shared" si="199"/>
        <v>152382.78255</v>
      </c>
      <c r="AA36" s="3580">
        <f t="shared" si="216"/>
        <v>351311.0782042917</v>
      </c>
      <c r="AB36" s="3580">
        <f t="shared" si="217"/>
        <v>216282.87445</v>
      </c>
      <c r="AC36" s="138">
        <f t="shared" ref="AC36:AD36" si="224">AC29+AC65</f>
        <v>64302.474135606964</v>
      </c>
      <c r="AD36" s="2700">
        <f t="shared" si="224"/>
        <v>9828.3985000000011</v>
      </c>
      <c r="AE36" s="711">
        <f t="shared" si="200"/>
        <v>415613.55233989866</v>
      </c>
      <c r="AF36" s="711">
        <f t="shared" si="201"/>
        <v>226111.27295000001</v>
      </c>
      <c r="AG36" s="138">
        <f t="shared" ref="AG36:AH36" si="225">AG29+AG65</f>
        <v>62211.336765343316</v>
      </c>
      <c r="AH36" s="2700">
        <f t="shared" si="225"/>
        <v>0</v>
      </c>
      <c r="AI36" s="711">
        <f t="shared" si="202"/>
        <v>477824.88910524198</v>
      </c>
      <c r="AJ36" s="711">
        <f t="shared" si="203"/>
        <v>226111.27295000001</v>
      </c>
      <c r="AK36" s="138">
        <f t="shared" ref="AK36:AL36" si="226">AK29+AK65</f>
        <v>64563.866306889911</v>
      </c>
      <c r="AL36" s="2700">
        <f t="shared" si="226"/>
        <v>0</v>
      </c>
      <c r="AM36" s="4312">
        <f t="shared" si="204"/>
        <v>191077.6772078402</v>
      </c>
      <c r="AN36" s="4312">
        <f t="shared" si="205"/>
        <v>9828.3985000000011</v>
      </c>
      <c r="AO36" s="3615">
        <f t="shared" si="218"/>
        <v>542388.7554121319</v>
      </c>
      <c r="AP36" s="3615">
        <f t="shared" si="219"/>
        <v>226111.27295000001</v>
      </c>
      <c r="AQ36" s="138">
        <f t="shared" ref="AQ36:AR36" si="227">AQ29+AQ65</f>
        <v>64563.866306889911</v>
      </c>
      <c r="AR36" s="2700">
        <f t="shared" si="227"/>
        <v>13515.259199999997</v>
      </c>
      <c r="AS36" s="711">
        <f t="shared" si="206"/>
        <v>606952.62171902182</v>
      </c>
      <c r="AT36" s="711">
        <f t="shared" si="207"/>
        <v>239626.53215000001</v>
      </c>
      <c r="AU36" s="138">
        <f t="shared" ref="AU36:AV36" si="228">AU29+AU65</f>
        <v>60120.199395079682</v>
      </c>
      <c r="AV36" s="2700">
        <f t="shared" si="228"/>
        <v>16893.842199999999</v>
      </c>
      <c r="AW36" s="711">
        <f t="shared" si="208"/>
        <v>667072.82111410145</v>
      </c>
      <c r="AX36" s="711">
        <f t="shared" si="209"/>
        <v>256520.37435</v>
      </c>
      <c r="AY36" s="138">
        <f t="shared" ref="AY36:AZ36" si="229">AY29+AY65</f>
        <v>64825.258478172873</v>
      </c>
      <c r="AZ36" s="2700">
        <f t="shared" si="229"/>
        <v>60517.7526</v>
      </c>
      <c r="BA36" s="5036">
        <f t="shared" si="210"/>
        <v>189509.32418014246</v>
      </c>
      <c r="BB36" s="5036">
        <f t="shared" si="211"/>
        <v>90926.853999999992</v>
      </c>
      <c r="BC36" s="563">
        <f t="shared" si="212"/>
        <v>380587.00138798263</v>
      </c>
      <c r="BD36" s="571">
        <f t="shared" si="213"/>
        <v>100755.25249999999</v>
      </c>
      <c r="BE36" s="711">
        <f t="shared" si="214"/>
        <v>731898.07959227427</v>
      </c>
      <c r="BF36" s="711">
        <f t="shared" si="215"/>
        <v>317038.12695000001</v>
      </c>
      <c r="BG36" s="147"/>
      <c r="BH36" s="147"/>
      <c r="BI36" s="147"/>
      <c r="BJ36" s="147"/>
    </row>
    <row r="37" spans="1:62" s="183" customFormat="1" ht="16.5" thickBot="1" x14ac:dyDescent="0.3">
      <c r="A37" s="182"/>
      <c r="B37" s="3697" t="s">
        <v>452</v>
      </c>
      <c r="C37" s="3698"/>
      <c r="D37" s="147"/>
      <c r="E37" s="147"/>
      <c r="F37" s="147"/>
      <c r="G37" s="147"/>
      <c r="H37" s="147"/>
      <c r="I37" s="147"/>
      <c r="J37" s="147"/>
      <c r="K37" s="147"/>
      <c r="L37" s="147"/>
      <c r="M37" s="147"/>
      <c r="N37" s="147"/>
      <c r="O37" s="147"/>
      <c r="P37" s="147"/>
      <c r="Q37" s="147"/>
      <c r="R37" s="147"/>
      <c r="S37" s="147"/>
      <c r="T37" s="147"/>
      <c r="U37" s="147"/>
      <c r="V37" s="147"/>
      <c r="W37" s="147"/>
      <c r="X37" s="147"/>
      <c r="Y37" s="147"/>
      <c r="Z37" s="147"/>
      <c r="AA37" s="147"/>
      <c r="AB37" s="147"/>
      <c r="AC37" s="147"/>
      <c r="AD37" s="147"/>
      <c r="AE37" s="147"/>
      <c r="AF37" s="147"/>
      <c r="AG37" s="147"/>
      <c r="AH37" s="147"/>
      <c r="AI37" s="147"/>
      <c r="AJ37" s="147"/>
      <c r="AK37" s="147"/>
      <c r="AL37" s="147"/>
      <c r="AM37" s="147"/>
      <c r="AN37" s="147"/>
      <c r="AO37" s="147"/>
      <c r="AP37" s="147"/>
      <c r="AQ37" s="147"/>
      <c r="AR37" s="147"/>
      <c r="AS37" s="147"/>
      <c r="AT37" s="147"/>
      <c r="AU37" s="147"/>
      <c r="AV37" s="147"/>
      <c r="AW37" s="147"/>
      <c r="AX37" s="147"/>
      <c r="AY37" s="147"/>
      <c r="AZ37" s="147"/>
      <c r="BA37" s="147"/>
      <c r="BB37" s="147"/>
      <c r="BC37" s="147"/>
      <c r="BD37" s="147"/>
      <c r="BE37" s="147"/>
      <c r="BF37" s="147"/>
      <c r="BG37" s="147"/>
      <c r="BH37" s="147"/>
      <c r="BI37" s="147"/>
      <c r="BJ37" s="147"/>
    </row>
    <row r="38" spans="1:62" x14ac:dyDescent="0.25">
      <c r="A38" s="181"/>
      <c r="B38" s="2590" t="s">
        <v>244</v>
      </c>
      <c r="C38" s="921" t="s">
        <v>248</v>
      </c>
      <c r="D38" s="192">
        <v>380.42</v>
      </c>
      <c r="E38" s="192">
        <f>+'Maj Techno Summ'!E10</f>
        <v>380</v>
      </c>
      <c r="F38" s="192">
        <f t="shared" ref="F38:H38" si="230">+F22/F$6*1000</f>
        <v>394.49</v>
      </c>
      <c r="G38" s="192">
        <f>+'Maj Techno Summ'!G10</f>
        <v>382</v>
      </c>
      <c r="H38" s="192">
        <f t="shared" si="230"/>
        <v>404.39415236503544</v>
      </c>
      <c r="I38" s="57">
        <f t="shared" ref="I38:J40" si="231">+I22/I$6*1000</f>
        <v>380.90993071593533</v>
      </c>
      <c r="J38" s="57">
        <f t="shared" si="231"/>
        <v>398.90449331495188</v>
      </c>
      <c r="K38" s="192">
        <f>+'Maj Techno Summ'!K10</f>
        <v>400</v>
      </c>
      <c r="L38" s="192">
        <f t="shared" ref="L38" si="232">+L22/L$6*1000</f>
        <v>415.90322036360908</v>
      </c>
      <c r="M38" s="102">
        <f t="shared" ref="M38:N40" si="233">+M22/M$6*1000</f>
        <v>386.96214511041012</v>
      </c>
      <c r="N38" s="102">
        <f t="shared" si="233"/>
        <v>404.64874050291189</v>
      </c>
      <c r="O38" s="192">
        <f>+'Maj Techno Summ'!O10</f>
        <v>387</v>
      </c>
      <c r="P38" s="192">
        <f t="shared" ref="P38:P40" si="234">+P22/P$6*1000</f>
        <v>388.83615828423478</v>
      </c>
      <c r="Q38" s="57">
        <f t="shared" ref="Q38:R40" si="235">+Q22/Q$6*1000</f>
        <v>386.97250859106532</v>
      </c>
      <c r="R38" s="57">
        <f t="shared" si="235"/>
        <v>400.22493055633981</v>
      </c>
      <c r="S38" s="444">
        <f>+'Maj Techno Summ'!S10</f>
        <v>387</v>
      </c>
      <c r="T38" s="2725">
        <f t="shared" ref="T38:V40" si="236">+T22/T$6*1000</f>
        <v>399.04896685186344</v>
      </c>
      <c r="U38" s="57">
        <f t="shared" si="236"/>
        <v>386.97841726618702</v>
      </c>
      <c r="V38" s="57">
        <f t="shared" si="236"/>
        <v>399.97194584732142</v>
      </c>
      <c r="W38" s="444">
        <f>+'Maj Techno Summ'!W10</f>
        <v>383</v>
      </c>
      <c r="X38" s="117">
        <f t="shared" ref="X38" si="237">+X22/X$6*1000</f>
        <v>385.23412622206718</v>
      </c>
      <c r="Y38" s="102">
        <f t="shared" ref="Y38:AB40" si="238">+Y22/Y$6*1000</f>
        <v>385.6929577464789</v>
      </c>
      <c r="Z38" s="102">
        <f t="shared" si="238"/>
        <v>391.11512607393729</v>
      </c>
      <c r="AA38" s="550">
        <f t="shared" si="238"/>
        <v>386.29166666666663</v>
      </c>
      <c r="AB38" s="550">
        <f t="shared" si="238"/>
        <v>397.46332657256869</v>
      </c>
      <c r="AC38" s="444">
        <f>+'Maj Techno Summ'!AC10</f>
        <v>375</v>
      </c>
      <c r="AD38" s="2725">
        <f t="shared" ref="AD38:AF38" si="239">+AD22/AD$6*1000</f>
        <v>384.15685081828423</v>
      </c>
      <c r="AE38" s="57">
        <f t="shared" si="239"/>
        <v>384.54465408805032</v>
      </c>
      <c r="AF38" s="57">
        <f t="shared" si="239"/>
        <v>395.42625387662707</v>
      </c>
      <c r="AG38" s="444">
        <f>+'Maj Techno Summ'!AG10</f>
        <v>375</v>
      </c>
      <c r="AH38" s="2725">
        <f t="shared" ref="AH38:AJ38" si="240">+AH22/AH$6*1000</f>
        <v>410.63355556202515</v>
      </c>
      <c r="AI38" s="57">
        <f t="shared" si="240"/>
        <v>383.30196936542671</v>
      </c>
      <c r="AJ38" s="57">
        <f t="shared" si="240"/>
        <v>397.1718430591755</v>
      </c>
      <c r="AK38" s="444">
        <f>+'Maj Techno Summ'!AK10</f>
        <v>375</v>
      </c>
      <c r="AL38" s="2725">
        <f t="shared" ref="AL38:AP38" si="241">+AL22/AL$6*1000</f>
        <v>390.56687730349796</v>
      </c>
      <c r="AM38" s="102">
        <f t="shared" si="241"/>
        <v>375</v>
      </c>
      <c r="AN38" s="102">
        <f t="shared" si="241"/>
        <v>394.36837392954493</v>
      </c>
      <c r="AO38" s="57">
        <f t="shared" si="241"/>
        <v>382.313734939759</v>
      </c>
      <c r="AP38" s="57">
        <f t="shared" si="241"/>
        <v>396.42699045141512</v>
      </c>
      <c r="AQ38" s="444">
        <f>+'Maj Techno Summ'!AQ10</f>
        <v>375</v>
      </c>
      <c r="AR38" s="2725">
        <f t="shared" ref="AR38" si="242">+AR22/AR$6*1000</f>
        <v>372.42692555473548</v>
      </c>
      <c r="AS38" s="57">
        <f t="shared" ref="AS38:AT38" si="243">+AS22/AS$6*1000</f>
        <v>381.53574504737298</v>
      </c>
      <c r="AT38" s="57">
        <f t="shared" si="243"/>
        <v>393.95352719230874</v>
      </c>
      <c r="AU38" s="444">
        <f>+'Maj Techno Summ'!AU10</f>
        <v>375</v>
      </c>
      <c r="AV38" s="2725">
        <f t="shared" ref="AV38:AX40" si="244">+AV22/AV$6*1000</f>
        <v>371.85846041167815</v>
      </c>
      <c r="AW38" s="57">
        <f t="shared" si="244"/>
        <v>380.94670846394985</v>
      </c>
      <c r="AX38" s="57">
        <f t="shared" si="244"/>
        <v>391.90788896861159</v>
      </c>
      <c r="AY38" s="444">
        <f>+'Maj Techno Summ'!AY10</f>
        <v>375</v>
      </c>
      <c r="AZ38" s="2725">
        <f t="shared" ref="AZ38:BF38" si="245">+AZ22/AZ$6*1000</f>
        <v>375.73761570659087</v>
      </c>
      <c r="BA38" s="102">
        <f t="shared" si="245"/>
        <v>375</v>
      </c>
      <c r="BB38" s="102">
        <f t="shared" si="245"/>
        <v>373.35400664997593</v>
      </c>
      <c r="BC38" s="550">
        <f t="shared" si="245"/>
        <v>375</v>
      </c>
      <c r="BD38" s="550">
        <f t="shared" si="245"/>
        <v>383.70856756300009</v>
      </c>
      <c r="BE38" s="57">
        <f t="shared" si="245"/>
        <v>380.41999999999996</v>
      </c>
      <c r="BF38" s="57">
        <f t="shared" si="245"/>
        <v>390.51223594984998</v>
      </c>
      <c r="BG38" s="147"/>
      <c r="BH38" s="147"/>
      <c r="BI38" s="147"/>
      <c r="BJ38" s="147"/>
    </row>
    <row r="39" spans="1:62" x14ac:dyDescent="0.25">
      <c r="A39" s="181"/>
      <c r="B39" s="2588" t="s">
        <v>1</v>
      </c>
      <c r="C39" s="672" t="s">
        <v>248</v>
      </c>
      <c r="D39" s="2941">
        <v>32.204285714285717</v>
      </c>
      <c r="E39" s="2941">
        <f>+'Maj Techno Summ'!E11</f>
        <v>30</v>
      </c>
      <c r="F39" s="2941">
        <f t="shared" ref="F39:H39" si="246">+F23/F$6*1000</f>
        <v>37.49</v>
      </c>
      <c r="G39" s="2941">
        <f>+'Maj Techno Summ'!G11</f>
        <v>33</v>
      </c>
      <c r="H39" s="2941">
        <f t="shared" si="246"/>
        <v>40.719195341041377</v>
      </c>
      <c r="I39" s="53">
        <f t="shared" si="231"/>
        <v>31.364896073903004</v>
      </c>
      <c r="J39" s="53">
        <f t="shared" si="231"/>
        <v>38.929321682492088</v>
      </c>
      <c r="K39" s="2941">
        <f>+'Maj Techno Summ'!K11</f>
        <v>40</v>
      </c>
      <c r="L39" s="2941">
        <f t="shared" ref="L39" si="247">+L23/L$6*1000</f>
        <v>42.650207863667681</v>
      </c>
      <c r="M39" s="98">
        <f t="shared" si="233"/>
        <v>34.102523659305994</v>
      </c>
      <c r="N39" s="98">
        <f t="shared" si="233"/>
        <v>40.18669171506906</v>
      </c>
      <c r="O39" s="2941">
        <f>+'Maj Techno Summ'!O11</f>
        <v>40</v>
      </c>
      <c r="P39" s="2941">
        <f t="shared" si="234"/>
        <v>48.366092434404997</v>
      </c>
      <c r="Q39" s="53">
        <f t="shared" si="235"/>
        <v>35.717067583046962</v>
      </c>
      <c r="R39" s="53">
        <f t="shared" si="235"/>
        <v>42.475003248175796</v>
      </c>
      <c r="S39" s="3579">
        <f>+'Maj Techno Summ'!S11</f>
        <v>33</v>
      </c>
      <c r="T39" s="2697">
        <f t="shared" si="236"/>
        <v>51.637359801901916</v>
      </c>
      <c r="U39" s="53">
        <f t="shared" si="236"/>
        <v>35.133093525179852</v>
      </c>
      <c r="V39" s="53">
        <f t="shared" si="236"/>
        <v>44.446098187452776</v>
      </c>
      <c r="W39" s="3579">
        <f>+'Maj Techno Summ'!W11</f>
        <v>32</v>
      </c>
      <c r="X39" s="18">
        <f t="shared" ref="X39" si="248">+X23/X$6*1000</f>
        <v>50.589062499999997</v>
      </c>
      <c r="Y39" s="98">
        <f t="shared" si="238"/>
        <v>35.029577464788737</v>
      </c>
      <c r="Z39" s="98">
        <f t="shared" si="238"/>
        <v>50.17865138667338</v>
      </c>
      <c r="AA39" s="546">
        <f t="shared" si="238"/>
        <v>34.592261904761905</v>
      </c>
      <c r="AB39" s="546">
        <f t="shared" si="238"/>
        <v>45.491731739119224</v>
      </c>
      <c r="AC39" s="4072">
        <f>+'Maj Techno Summ'!AC11</f>
        <v>30</v>
      </c>
      <c r="AD39" s="2697">
        <f t="shared" ref="AD39:AF39" si="249">+AD23/AD$6*1000</f>
        <v>49.194103093122465</v>
      </c>
      <c r="AE39" s="53">
        <f t="shared" si="249"/>
        <v>33.881761006289302</v>
      </c>
      <c r="AF39" s="53">
        <f t="shared" si="249"/>
        <v>46.058523407683154</v>
      </c>
      <c r="AG39" s="4179">
        <f>+'Maj Techno Summ'!AG11</f>
        <v>30</v>
      </c>
      <c r="AH39" s="2697">
        <f t="shared" ref="AH39:AJ39" si="250">+AH23/AH$6*1000</f>
        <v>50.76057041932323</v>
      </c>
      <c r="AI39" s="53">
        <f t="shared" si="250"/>
        <v>33.376367614879648</v>
      </c>
      <c r="AJ39" s="53">
        <f t="shared" si="250"/>
        <v>46.598253766766817</v>
      </c>
      <c r="AK39" s="4311">
        <f>+'Maj Techno Summ'!AK11</f>
        <v>30</v>
      </c>
      <c r="AL39" s="2697">
        <f t="shared" ref="AL39:AP39" si="251">+AL23/AL$6*1000</f>
        <v>51.847824419938078</v>
      </c>
      <c r="AM39" s="98">
        <f t="shared" si="251"/>
        <v>30</v>
      </c>
      <c r="AN39" s="98">
        <f t="shared" si="251"/>
        <v>50.564268476450032</v>
      </c>
      <c r="AO39" s="53">
        <f t="shared" si="251"/>
        <v>32.974457831325296</v>
      </c>
      <c r="AP39" s="53">
        <f t="shared" si="251"/>
        <v>47.190256289607461</v>
      </c>
      <c r="AQ39" s="4421">
        <f>+'Maj Techno Summ'!AQ11</f>
        <v>30</v>
      </c>
      <c r="AR39" s="2697">
        <f t="shared" ref="AR39" si="252">+AR23/AR$6*1000</f>
        <v>53.092167644625192</v>
      </c>
      <c r="AS39" s="53">
        <f t="shared" ref="AS39:AT39" si="253">+AS23/AS$6*1000</f>
        <v>32.658053402239446</v>
      </c>
      <c r="AT39" s="53">
        <f t="shared" si="253"/>
        <v>47.79851134883269</v>
      </c>
      <c r="AU39" s="4649">
        <f>+'Maj Techno Summ'!AU11</f>
        <v>30</v>
      </c>
      <c r="AV39" s="2697">
        <f t="shared" si="244"/>
        <v>44.050116594671024</v>
      </c>
      <c r="AW39" s="53">
        <f t="shared" si="244"/>
        <v>32.418495297805642</v>
      </c>
      <c r="AX39" s="53">
        <f t="shared" si="244"/>
        <v>47.451471909542967</v>
      </c>
      <c r="AY39" s="5040">
        <f>+'Maj Techno Summ'!AY11</f>
        <v>30</v>
      </c>
      <c r="AZ39" s="2697">
        <f t="shared" ref="AZ39:BF39" si="254">+AZ23/AZ$6*1000</f>
        <v>45.244039458071008</v>
      </c>
      <c r="BA39" s="98">
        <f t="shared" si="254"/>
        <v>30</v>
      </c>
      <c r="BB39" s="98">
        <f t="shared" si="254"/>
        <v>47.466022349596074</v>
      </c>
      <c r="BC39" s="546">
        <f t="shared" si="254"/>
        <v>30</v>
      </c>
      <c r="BD39" s="546">
        <f t="shared" si="254"/>
        <v>48.99264353296337</v>
      </c>
      <c r="BE39" s="53">
        <f t="shared" si="254"/>
        <v>32.20428571428571</v>
      </c>
      <c r="BF39" s="53">
        <f t="shared" si="254"/>
        <v>47.260948860569819</v>
      </c>
      <c r="BG39" s="147"/>
      <c r="BH39" s="147"/>
      <c r="BI39" s="147"/>
      <c r="BJ39" s="147"/>
    </row>
    <row r="40" spans="1:62" ht="15.75" thickBot="1" x14ac:dyDescent="0.3">
      <c r="A40" s="181"/>
      <c r="B40" s="2592" t="s">
        <v>128</v>
      </c>
      <c r="C40" s="198" t="s">
        <v>248</v>
      </c>
      <c r="D40" s="1512">
        <v>139.64750000000001</v>
      </c>
      <c r="E40" s="1512">
        <f>+'Maj Techno Summ'!E12</f>
        <v>140</v>
      </c>
      <c r="F40" s="1512">
        <f t="shared" ref="F40:H40" si="255">+F24/F$6*1000</f>
        <v>129.13437344899768</v>
      </c>
      <c r="G40" s="1512">
        <f>+'Maj Techno Summ'!G12</f>
        <v>135</v>
      </c>
      <c r="H40" s="1512">
        <f t="shared" si="255"/>
        <v>124.44230481272233</v>
      </c>
      <c r="I40" s="201">
        <f t="shared" si="231"/>
        <v>137.72517321016167</v>
      </c>
      <c r="J40" s="201">
        <f t="shared" si="231"/>
        <v>127.04301773629112</v>
      </c>
      <c r="K40" s="1512">
        <f>+'Maj Techno Summ'!K12</f>
        <v>125</v>
      </c>
      <c r="L40" s="1512">
        <f t="shared" ref="L40" si="256">+L24/L$6*1000</f>
        <v>111.23054353888485</v>
      </c>
      <c r="M40" s="209">
        <f t="shared" si="233"/>
        <v>133.69085173501577</v>
      </c>
      <c r="N40" s="209">
        <f t="shared" si="233"/>
        <v>121.69963171784707</v>
      </c>
      <c r="O40" s="1512">
        <f>+'Maj Techno Summ'!O12</f>
        <v>132</v>
      </c>
      <c r="P40" s="1512">
        <f t="shared" si="234"/>
        <v>126.53245886934006</v>
      </c>
      <c r="Q40" s="201">
        <f t="shared" si="235"/>
        <v>133.22794959908362</v>
      </c>
      <c r="R40" s="201">
        <f t="shared" si="235"/>
        <v>123.0516884867653</v>
      </c>
      <c r="S40" s="3596">
        <f>+'Maj Techno Summ'!S12</f>
        <v>135</v>
      </c>
      <c r="T40" s="2699">
        <f t="shared" si="236"/>
        <v>122.95134527748297</v>
      </c>
      <c r="U40" s="201">
        <f t="shared" si="236"/>
        <v>133.60881294964028</v>
      </c>
      <c r="V40" s="201">
        <f t="shared" si="236"/>
        <v>123.03010168310324</v>
      </c>
      <c r="W40" s="3596">
        <f>+'Maj Techno Summ'!W12</f>
        <v>135</v>
      </c>
      <c r="X40" s="156">
        <f t="shared" ref="X40" si="257">+X24/X$6*1000</f>
        <v>133.70807437150839</v>
      </c>
      <c r="Y40" s="209">
        <f t="shared" si="238"/>
        <v>133.99014084507041</v>
      </c>
      <c r="Z40" s="209">
        <f t="shared" si="238"/>
        <v>127.62890913161503</v>
      </c>
      <c r="AA40" s="3695">
        <f t="shared" si="238"/>
        <v>133.84895833333331</v>
      </c>
      <c r="AB40" s="3695">
        <f t="shared" si="238"/>
        <v>124.84766824196619</v>
      </c>
      <c r="AC40" s="4083">
        <f>+'Maj Techno Summ'!AC12</f>
        <v>145</v>
      </c>
      <c r="AD40" s="2699">
        <f t="shared" ref="AD40:AF40" si="258">+AD24/AD$6*1000</f>
        <v>132.87580657093304</v>
      </c>
      <c r="AE40" s="201">
        <f t="shared" si="258"/>
        <v>135.57421383647801</v>
      </c>
      <c r="AF40" s="201">
        <f t="shared" si="258"/>
        <v>126.07668648024125</v>
      </c>
      <c r="AG40" s="4188">
        <f>+'Maj Techno Summ'!AG12</f>
        <v>145</v>
      </c>
      <c r="AH40" s="2699">
        <f t="shared" ref="AH40:AJ40" si="259">+AH24/AH$6*1000</f>
        <v>112.08720777897466</v>
      </c>
      <c r="AI40" s="201">
        <f t="shared" si="259"/>
        <v>136.80142231947485</v>
      </c>
      <c r="AJ40" s="201">
        <f t="shared" si="259"/>
        <v>124.4708866351661</v>
      </c>
      <c r="AK40" s="4323">
        <f>+'Maj Techno Summ'!AK12</f>
        <v>145</v>
      </c>
      <c r="AL40" s="2699">
        <f t="shared" ref="AL40:AP40" si="260">+AL24/AL$6*1000</f>
        <v>120.35507314010134</v>
      </c>
      <c r="AM40" s="209">
        <f t="shared" si="260"/>
        <v>145</v>
      </c>
      <c r="AN40" s="209">
        <f t="shared" si="260"/>
        <v>122.33628813287436</v>
      </c>
      <c r="AO40" s="201">
        <f t="shared" si="260"/>
        <v>137.77734939759037</v>
      </c>
      <c r="AP40" s="201">
        <f t="shared" si="260"/>
        <v>124.00673972990479</v>
      </c>
      <c r="AQ40" s="4427">
        <f>+'Maj Techno Summ'!AQ12</f>
        <v>145</v>
      </c>
      <c r="AR40" s="2699">
        <f t="shared" ref="AR40" si="261">+AR24/AR$6*1000</f>
        <v>132.05397823547727</v>
      </c>
      <c r="AS40" s="201">
        <f t="shared" ref="AS40:AT40" si="262">+AS24/AS$6*1000</f>
        <v>138.54565030146426</v>
      </c>
      <c r="AT40" s="201">
        <f t="shared" si="262"/>
        <v>124.83609368650821</v>
      </c>
      <c r="AU40" s="4658">
        <f>+'Maj Techno Summ'!AU12</f>
        <v>145</v>
      </c>
      <c r="AV40" s="2699">
        <f t="shared" si="244"/>
        <v>134.28032417141324</v>
      </c>
      <c r="AW40" s="201">
        <f t="shared" si="244"/>
        <v>139.12735109717869</v>
      </c>
      <c r="AX40" s="201">
        <f t="shared" si="244"/>
        <v>125.71047343222882</v>
      </c>
      <c r="AY40" s="5050">
        <f>+'Maj Techno Summ'!AY12</f>
        <v>145</v>
      </c>
      <c r="AZ40" s="2699">
        <f t="shared" ref="AZ40:BF40" si="263">+AZ24/AZ$6*1000</f>
        <v>128.40564937257341</v>
      </c>
      <c r="BA40" s="209">
        <f t="shared" si="263"/>
        <v>145</v>
      </c>
      <c r="BB40" s="209">
        <f t="shared" si="263"/>
        <v>131.56030086160121</v>
      </c>
      <c r="BC40" s="3695">
        <f t="shared" si="263"/>
        <v>145</v>
      </c>
      <c r="BD40" s="3695">
        <f t="shared" si="263"/>
        <v>127.0152864725659</v>
      </c>
      <c r="BE40" s="201">
        <f t="shared" si="263"/>
        <v>139.64750000000001</v>
      </c>
      <c r="BF40" s="201">
        <f t="shared" si="263"/>
        <v>125.94309352319971</v>
      </c>
      <c r="BG40" s="147"/>
      <c r="BH40" s="147"/>
      <c r="BI40" s="147"/>
      <c r="BJ40" s="147"/>
    </row>
    <row r="41" spans="1:62" ht="16.5" thickBot="1" x14ac:dyDescent="0.3">
      <c r="A41" s="181"/>
      <c r="B41" s="2593" t="s">
        <v>245</v>
      </c>
      <c r="C41" s="590" t="s">
        <v>248</v>
      </c>
      <c r="D41" s="3696">
        <f>SUM(D38:D40)</f>
        <v>552.27178571428578</v>
      </c>
      <c r="E41" s="3696">
        <f t="shared" ref="E41:L41" si="264">SUM(E38:E40)</f>
        <v>550</v>
      </c>
      <c r="F41" s="3696">
        <f t="shared" si="264"/>
        <v>561.11437344899764</v>
      </c>
      <c r="G41" s="3696">
        <f t="shared" ref="G41:H41" si="265">SUM(G38:G40)</f>
        <v>550</v>
      </c>
      <c r="H41" s="3696">
        <f t="shared" si="265"/>
        <v>569.55565251879909</v>
      </c>
      <c r="I41" s="874">
        <f t="shared" si="264"/>
        <v>550</v>
      </c>
      <c r="J41" s="55">
        <f t="shared" si="264"/>
        <v>564.876832733735</v>
      </c>
      <c r="K41" s="3696">
        <f t="shared" si="264"/>
        <v>565</v>
      </c>
      <c r="L41" s="3696">
        <f t="shared" si="264"/>
        <v>569.78397176616159</v>
      </c>
      <c r="M41" s="875">
        <f t="shared" ref="M41:R41" si="266">SUM(M38:M40)</f>
        <v>554.75552050473186</v>
      </c>
      <c r="N41" s="96">
        <f t="shared" si="266"/>
        <v>566.53506393582802</v>
      </c>
      <c r="O41" s="3696">
        <f t="shared" si="266"/>
        <v>559</v>
      </c>
      <c r="P41" s="3696">
        <f t="shared" si="266"/>
        <v>563.73470958797986</v>
      </c>
      <c r="Q41" s="874">
        <f t="shared" si="266"/>
        <v>555.91752577319585</v>
      </c>
      <c r="R41" s="55">
        <f t="shared" si="266"/>
        <v>565.75162229128091</v>
      </c>
      <c r="S41" s="547">
        <f t="shared" ref="S41:V41" si="267">SUM(S38:S40)</f>
        <v>555</v>
      </c>
      <c r="T41" s="2731">
        <f t="shared" si="267"/>
        <v>573.63767193124841</v>
      </c>
      <c r="U41" s="874">
        <f t="shared" si="267"/>
        <v>555.72032374100718</v>
      </c>
      <c r="V41" s="55">
        <f t="shared" si="267"/>
        <v>567.44814571787742</v>
      </c>
      <c r="W41" s="547">
        <f t="shared" ref="W41:X41" si="268">SUM(W38:W40)</f>
        <v>550</v>
      </c>
      <c r="X41" s="31">
        <f t="shared" si="268"/>
        <v>569.5312630935756</v>
      </c>
      <c r="Y41" s="875">
        <f t="shared" ref="Y41:AF41" si="269">SUM(Y38:Y40)</f>
        <v>554.71267605633807</v>
      </c>
      <c r="Z41" s="96">
        <f t="shared" si="269"/>
        <v>568.92268659222566</v>
      </c>
      <c r="AA41" s="876">
        <f t="shared" si="269"/>
        <v>554.73288690476193</v>
      </c>
      <c r="AB41" s="552">
        <f t="shared" si="269"/>
        <v>567.80272655365411</v>
      </c>
      <c r="AC41" s="547">
        <f t="shared" si="269"/>
        <v>550</v>
      </c>
      <c r="AD41" s="2731">
        <f t="shared" si="269"/>
        <v>566.22676048233973</v>
      </c>
      <c r="AE41" s="874">
        <f t="shared" si="269"/>
        <v>554.00062893081758</v>
      </c>
      <c r="AF41" s="55">
        <f t="shared" si="269"/>
        <v>567.56146376455149</v>
      </c>
      <c r="AG41" s="547">
        <f t="shared" ref="AG41:AJ41" si="270">SUM(AG38:AG40)</f>
        <v>550</v>
      </c>
      <c r="AH41" s="2731">
        <f t="shared" si="270"/>
        <v>573.48133376032308</v>
      </c>
      <c r="AI41" s="874">
        <f t="shared" si="270"/>
        <v>553.47975929978122</v>
      </c>
      <c r="AJ41" s="55">
        <f t="shared" si="270"/>
        <v>568.2409834611085</v>
      </c>
      <c r="AK41" s="547">
        <f t="shared" ref="AK41:AV41" si="271">SUM(AK38:AK40)</f>
        <v>550</v>
      </c>
      <c r="AL41" s="2731">
        <f t="shared" si="271"/>
        <v>562.76977486353735</v>
      </c>
      <c r="AM41" s="875">
        <f t="shared" si="271"/>
        <v>550</v>
      </c>
      <c r="AN41" s="96">
        <f t="shared" si="271"/>
        <v>567.26893053886931</v>
      </c>
      <c r="AO41" s="874">
        <f t="shared" si="271"/>
        <v>553.06554216867471</v>
      </c>
      <c r="AP41" s="55">
        <f t="shared" si="271"/>
        <v>567.62398647092743</v>
      </c>
      <c r="AQ41" s="547">
        <f t="shared" ref="AQ41:AR41" si="272">SUM(AQ38:AQ40)</f>
        <v>550</v>
      </c>
      <c r="AR41" s="2731">
        <f t="shared" si="272"/>
        <v>557.57307143483797</v>
      </c>
      <c r="AS41" s="874">
        <f t="shared" si="271"/>
        <v>552.73944875107668</v>
      </c>
      <c r="AT41" s="55">
        <f t="shared" si="271"/>
        <v>566.58813222764957</v>
      </c>
      <c r="AU41" s="547">
        <f t="shared" si="271"/>
        <v>550</v>
      </c>
      <c r="AV41" s="2731">
        <f t="shared" si="271"/>
        <v>550.18890117776243</v>
      </c>
      <c r="AW41" s="874">
        <f t="shared" ref="AW41:BD41" si="273">SUM(AW38:AW40)</f>
        <v>552.49255485893423</v>
      </c>
      <c r="AX41" s="55">
        <f t="shared" si="273"/>
        <v>565.06983431038338</v>
      </c>
      <c r="AY41" s="547">
        <f t="shared" si="273"/>
        <v>550</v>
      </c>
      <c r="AZ41" s="2731">
        <f t="shared" si="273"/>
        <v>549.38730453723531</v>
      </c>
      <c r="BA41" s="875">
        <f t="shared" si="273"/>
        <v>550</v>
      </c>
      <c r="BB41" s="96">
        <f t="shared" si="273"/>
        <v>552.38032986117321</v>
      </c>
      <c r="BC41" s="876">
        <f t="shared" si="273"/>
        <v>550</v>
      </c>
      <c r="BD41" s="552">
        <f t="shared" si="273"/>
        <v>559.71649756852935</v>
      </c>
      <c r="BE41" s="874">
        <f t="shared" ref="BE41:BF41" si="274">SUM(BE38:BE40)</f>
        <v>552.27178571428567</v>
      </c>
      <c r="BF41" s="55">
        <f t="shared" si="274"/>
        <v>563.71627833361958</v>
      </c>
      <c r="BG41" s="147"/>
      <c r="BH41" s="147"/>
      <c r="BI41" s="147"/>
      <c r="BJ41" s="147"/>
    </row>
    <row r="42" spans="1:62" x14ac:dyDescent="0.25">
      <c r="A42" s="181" t="s">
        <v>478</v>
      </c>
      <c r="B42" s="2598" t="s">
        <v>20</v>
      </c>
      <c r="C42" s="87" t="s">
        <v>248</v>
      </c>
      <c r="D42" s="1496">
        <v>1271.6729132915766</v>
      </c>
      <c r="E42" s="1496">
        <f>+$D$42</f>
        <v>1271.6729132915766</v>
      </c>
      <c r="F42" s="1496">
        <f t="shared" ref="F42:H42" si="275">+F26/F$6*1000</f>
        <v>1323.9679765218705</v>
      </c>
      <c r="G42" s="1496">
        <f>+$D$42</f>
        <v>1271.6729132915766</v>
      </c>
      <c r="H42" s="1496">
        <f t="shared" si="275"/>
        <v>1363.1940765834304</v>
      </c>
      <c r="I42" s="3575">
        <f t="shared" ref="I42:J45" si="276">+I26/I$6*1000</f>
        <v>1271.6729132915766</v>
      </c>
      <c r="J42" s="3575">
        <f t="shared" si="276"/>
        <v>1341.4518913599243</v>
      </c>
      <c r="K42" s="1496">
        <f>+$D$42</f>
        <v>1271.6729132915766</v>
      </c>
      <c r="L42" s="1496">
        <f t="shared" ref="L42" si="277">+L26/L$6*1000</f>
        <v>1252.2850942768359</v>
      </c>
      <c r="M42" s="3573">
        <f>+$D$42</f>
        <v>1271.6729132915766</v>
      </c>
      <c r="N42" s="3573">
        <f>+N26/N$6*1000</f>
        <v>1311.3204514034016</v>
      </c>
      <c r="O42" s="1496">
        <f>+$D$42</f>
        <v>1271.6729132915766</v>
      </c>
      <c r="P42" s="1496">
        <f t="shared" ref="P42:P44" si="278">+P26/P$6*1000</f>
        <v>1291.4219893580153</v>
      </c>
      <c r="Q42" s="3575">
        <f t="shared" ref="Q42:R45" si="279">+Q26/Q$6*1000</f>
        <v>1271.6729132915768</v>
      </c>
      <c r="R42" s="3575">
        <f t="shared" si="279"/>
        <v>1305.7535545423755</v>
      </c>
      <c r="S42" s="3597">
        <f>+$D$42</f>
        <v>1271.6729132915766</v>
      </c>
      <c r="T42" s="2723">
        <f t="shared" ref="T42:V44" si="280">+T26/T$6*1000</f>
        <v>1332.6175166989201</v>
      </c>
      <c r="U42" s="3575">
        <f t="shared" si="280"/>
        <v>1271.6729132915766</v>
      </c>
      <c r="V42" s="3575">
        <f t="shared" si="280"/>
        <v>1311.5327904349322</v>
      </c>
      <c r="W42" s="3597">
        <f>+$D$42</f>
        <v>1271.6729132915766</v>
      </c>
      <c r="X42" s="29">
        <f t="shared" ref="X42" si="281">+X26/X$6*1000</f>
        <v>1339.2423184357542</v>
      </c>
      <c r="Y42" s="3573">
        <f t="shared" ref="Y42:AB45" si="282">+Y26/Y$6*1000</f>
        <v>1271.6729132915766</v>
      </c>
      <c r="Z42" s="3573">
        <f t="shared" si="282"/>
        <v>1320.6040634707413</v>
      </c>
      <c r="AA42" s="3571">
        <f t="shared" si="282"/>
        <v>1271.6729132915768</v>
      </c>
      <c r="AB42" s="571">
        <f t="shared" si="282"/>
        <v>1316.2494078047125</v>
      </c>
      <c r="AC42" s="4082">
        <f>+$D$42</f>
        <v>1271.6729132915766</v>
      </c>
      <c r="AD42" s="2723">
        <f t="shared" ref="AD42:AF42" si="283">+AD26/AD$6*1000</f>
        <v>1322.036545369358</v>
      </c>
      <c r="AE42" s="3618">
        <f t="shared" si="283"/>
        <v>1271.6729132915768</v>
      </c>
      <c r="AF42" s="3618">
        <f t="shared" si="283"/>
        <v>1317.1353538762557</v>
      </c>
      <c r="AG42" s="4187">
        <f>+$D$42</f>
        <v>1271.6729132915766</v>
      </c>
      <c r="AH42" s="2723">
        <f t="shared" ref="AH42:AJ42" si="284">+AH26/AH$6*1000</f>
        <v>1356.4868458082233</v>
      </c>
      <c r="AI42" s="3618">
        <f t="shared" si="284"/>
        <v>1271.6729132915768</v>
      </c>
      <c r="AJ42" s="3618">
        <f t="shared" si="284"/>
        <v>1321.6523641950257</v>
      </c>
      <c r="AK42" s="4322">
        <f>+$D$42</f>
        <v>1271.6729132915766</v>
      </c>
      <c r="AL42" s="2723">
        <f t="shared" ref="AL42:AP42" si="285">+AL26/AL$6*1000</f>
        <v>1338.913215609824</v>
      </c>
      <c r="AM42" s="3623">
        <f t="shared" si="285"/>
        <v>1271.6729132915766</v>
      </c>
      <c r="AN42" s="3623">
        <f t="shared" si="285"/>
        <v>1338.1981984906897</v>
      </c>
      <c r="AO42" s="3618">
        <f t="shared" si="285"/>
        <v>1271.6729132915768</v>
      </c>
      <c r="AP42" s="3618">
        <f t="shared" si="285"/>
        <v>1323.5988981611445</v>
      </c>
      <c r="AQ42" s="4428">
        <f>+$D$42</f>
        <v>1271.6729132915766</v>
      </c>
      <c r="AR42" s="2723">
        <f t="shared" ref="AR42" si="286">+AR26/AR$6*1000</f>
        <v>1290.2472506205777</v>
      </c>
      <c r="AS42" s="3618">
        <f t="shared" ref="AS42:AT42" si="287">+AS26/AS$6*1000</f>
        <v>1271.6729132915766</v>
      </c>
      <c r="AT42" s="3618">
        <f t="shared" si="287"/>
        <v>1320.161654337955</v>
      </c>
      <c r="AU42" s="4659">
        <f>+$D$42</f>
        <v>1271.6729132915766</v>
      </c>
      <c r="AV42" s="2723">
        <f t="shared" ref="AV42:AX44" si="288">+AV26/AV$6*1000</f>
        <v>1333.326527633458</v>
      </c>
      <c r="AW42" s="3618">
        <f t="shared" si="288"/>
        <v>1271.6729132915766</v>
      </c>
      <c r="AX42" s="3618">
        <f t="shared" si="288"/>
        <v>1321.3805041513901</v>
      </c>
      <c r="AY42" s="5051">
        <f>+$D$42</f>
        <v>1271.6729132915766</v>
      </c>
      <c r="AZ42" s="2723">
        <f t="shared" ref="AZ42:BF42" si="289">+AZ26/AZ$6*1000</f>
        <v>1231.2020031327686</v>
      </c>
      <c r="BA42" s="3623">
        <f t="shared" si="289"/>
        <v>1271.6729132915768</v>
      </c>
      <c r="BB42" s="3623">
        <f t="shared" si="289"/>
        <v>1284.5831365266306</v>
      </c>
      <c r="BC42" s="5039">
        <f t="shared" si="289"/>
        <v>1271.6729132915768</v>
      </c>
      <c r="BD42" s="571">
        <f t="shared" si="289"/>
        <v>1311.0012731079858</v>
      </c>
      <c r="BE42" s="3618">
        <f t="shared" si="289"/>
        <v>1271.6729132915766</v>
      </c>
      <c r="BF42" s="3618">
        <f t="shared" si="289"/>
        <v>1313.5972159450223</v>
      </c>
      <c r="BG42" s="147"/>
      <c r="BH42" s="147"/>
      <c r="BI42" s="147"/>
      <c r="BJ42" s="147"/>
    </row>
    <row r="43" spans="1:62" x14ac:dyDescent="0.25">
      <c r="A43" s="181" t="s">
        <v>478</v>
      </c>
      <c r="B43" s="2588" t="s">
        <v>246</v>
      </c>
      <c r="C43" s="672" t="s">
        <v>248</v>
      </c>
      <c r="D43" s="2941">
        <v>169.55638843887689</v>
      </c>
      <c r="E43" s="2941">
        <f>+$D$43</f>
        <v>169.55638843887689</v>
      </c>
      <c r="F43" s="2941">
        <f t="shared" ref="F43:H43" si="290">+F27/F$6*1000</f>
        <v>304.14262014199096</v>
      </c>
      <c r="G43" s="2941">
        <f>+$D$43</f>
        <v>169.55638843887689</v>
      </c>
      <c r="H43" s="2941">
        <f t="shared" si="290"/>
        <v>361.30884653634598</v>
      </c>
      <c r="I43" s="3577">
        <f t="shared" si="276"/>
        <v>169.55638843887689</v>
      </c>
      <c r="J43" s="3577">
        <f t="shared" si="276"/>
        <v>329.62283439533877</v>
      </c>
      <c r="K43" s="2941">
        <f>+$D$43</f>
        <v>169.55638843887689</v>
      </c>
      <c r="L43" s="2941">
        <f t="shared" ref="L43" si="291">+L27/L$6*1000</f>
        <v>222.23818543688873</v>
      </c>
      <c r="M43" s="3578">
        <f>+$D$43</f>
        <v>169.55638843887689</v>
      </c>
      <c r="N43" s="3578">
        <f>+N27/N$6*1000</f>
        <v>293.33517791117998</v>
      </c>
      <c r="O43" s="2941">
        <f>+$D$43</f>
        <v>169.55638843887689</v>
      </c>
      <c r="P43" s="2941">
        <f t="shared" si="278"/>
        <v>149.26276483659865</v>
      </c>
      <c r="Q43" s="3577">
        <f t="shared" si="279"/>
        <v>169.55638843887689</v>
      </c>
      <c r="R43" s="3577">
        <f t="shared" si="279"/>
        <v>253.02873300724966</v>
      </c>
      <c r="S43" s="3579">
        <f>+$D$43</f>
        <v>169.55638843887689</v>
      </c>
      <c r="T43" s="2697">
        <f t="shared" si="280"/>
        <v>216.10118484299895</v>
      </c>
      <c r="U43" s="3577">
        <f t="shared" si="280"/>
        <v>169.55638843887689</v>
      </c>
      <c r="V43" s="3577">
        <f t="shared" si="280"/>
        <v>245.08452096096556</v>
      </c>
      <c r="W43" s="3579">
        <f>+$D$43</f>
        <v>169.55638843887689</v>
      </c>
      <c r="X43" s="18">
        <f t="shared" ref="X43" si="292">+X27/X$6*1000</f>
        <v>212.51268981319834</v>
      </c>
      <c r="Y43" s="3578">
        <f t="shared" si="282"/>
        <v>169.55638843887692</v>
      </c>
      <c r="Z43" s="3578">
        <f t="shared" si="282"/>
        <v>192.01329314639128</v>
      </c>
      <c r="AA43" s="3580">
        <f t="shared" si="282"/>
        <v>169.55638843887692</v>
      </c>
      <c r="AB43" s="546">
        <f t="shared" si="282"/>
        <v>239.54025963134089</v>
      </c>
      <c r="AC43" s="4072">
        <f>+$D$43</f>
        <v>169.55638843887689</v>
      </c>
      <c r="AD43" s="2697">
        <f t="shared" ref="AD43:AF43" si="293">+AD27/AD$6*1000</f>
        <v>317.02807898435765</v>
      </c>
      <c r="AE43" s="3615">
        <f t="shared" si="293"/>
        <v>169.55638843887689</v>
      </c>
      <c r="AF43" s="3615">
        <f t="shared" si="293"/>
        <v>251.40277860232101</v>
      </c>
      <c r="AG43" s="4179">
        <f>+$D$43</f>
        <v>169.55638843887689</v>
      </c>
      <c r="AH43" s="2697">
        <f t="shared" ref="AH43:AJ43" si="294">+AH27/AH$6*1000</f>
        <v>334.75813075586865</v>
      </c>
      <c r="AI43" s="3615">
        <f t="shared" si="294"/>
        <v>169.55638843887689</v>
      </c>
      <c r="AJ43" s="3615">
        <f t="shared" si="294"/>
        <v>260.97082716457618</v>
      </c>
      <c r="AK43" s="4311">
        <f>+$D$43</f>
        <v>169.55638843887689</v>
      </c>
      <c r="AL43" s="2697">
        <f t="shared" ref="AL43:AP43" si="295">+AL27/AL$6*1000</f>
        <v>338.76912362896553</v>
      </c>
      <c r="AM43" s="4312">
        <f t="shared" si="295"/>
        <v>169.55638843887689</v>
      </c>
      <c r="AN43" s="4312">
        <f t="shared" si="295"/>
        <v>329.74262532121588</v>
      </c>
      <c r="AO43" s="3615">
        <f t="shared" si="295"/>
        <v>169.55638843887689</v>
      </c>
      <c r="AP43" s="3615">
        <f t="shared" si="295"/>
        <v>269.74426614130482</v>
      </c>
      <c r="AQ43" s="4421">
        <f>+$D$43</f>
        <v>169.55638843887689</v>
      </c>
      <c r="AR43" s="2697">
        <f t="shared" ref="AR43" si="296">+AR27/AR$6*1000</f>
        <v>322.80459623301044</v>
      </c>
      <c r="AS43" s="3615">
        <f t="shared" ref="AS43:AT43" si="297">+AS27/AS$6*1000</f>
        <v>169.55638843887687</v>
      </c>
      <c r="AT43" s="3615">
        <f t="shared" si="297"/>
        <v>275.2127003960826</v>
      </c>
      <c r="AU43" s="4649">
        <f>+$D$43</f>
        <v>169.55638843887689</v>
      </c>
      <c r="AV43" s="2697">
        <f t="shared" si="288"/>
        <v>271.28221249248469</v>
      </c>
      <c r="AW43" s="3615">
        <f t="shared" si="288"/>
        <v>169.55638843887689</v>
      </c>
      <c r="AX43" s="3615">
        <f t="shared" si="288"/>
        <v>274.84880213891921</v>
      </c>
      <c r="AY43" s="5040">
        <f>+$D$43</f>
        <v>169.55638843887689</v>
      </c>
      <c r="AZ43" s="2697">
        <f t="shared" ref="AZ43:BF43" si="298">+AZ27/AZ$6*1000</f>
        <v>213.17947934216104</v>
      </c>
      <c r="BA43" s="5036">
        <f t="shared" si="298"/>
        <v>169.55638843887689</v>
      </c>
      <c r="BB43" s="5036">
        <f t="shared" si="298"/>
        <v>268.89335537090562</v>
      </c>
      <c r="BC43" s="5038">
        <f t="shared" si="298"/>
        <v>169.55638843887689</v>
      </c>
      <c r="BD43" s="546">
        <f t="shared" si="298"/>
        <v>298.87605548418094</v>
      </c>
      <c r="BE43" s="3615">
        <f t="shared" si="298"/>
        <v>169.55638843887689</v>
      </c>
      <c r="BF43" s="3615">
        <f t="shared" si="298"/>
        <v>269.52613534587061</v>
      </c>
      <c r="BG43" s="147"/>
      <c r="BH43" s="147"/>
      <c r="BI43" s="147"/>
      <c r="BJ43" s="147"/>
    </row>
    <row r="44" spans="1:62" x14ac:dyDescent="0.25">
      <c r="A44" s="181" t="s">
        <v>478</v>
      </c>
      <c r="B44" s="2588" t="s">
        <v>247</v>
      </c>
      <c r="C44" s="672" t="s">
        <v>248</v>
      </c>
      <c r="D44" s="2941">
        <v>4</v>
      </c>
      <c r="E44" s="2941">
        <f>+$D$44</f>
        <v>4</v>
      </c>
      <c r="F44" s="2941">
        <f t="shared" ref="F44:H44" si="299">+F28/F$6*1000</f>
        <v>8.643128115491681</v>
      </c>
      <c r="G44" s="2941">
        <f>+$D$44</f>
        <v>4</v>
      </c>
      <c r="H44" s="2941">
        <f t="shared" si="299"/>
        <v>0</v>
      </c>
      <c r="I44" s="3577">
        <f t="shared" si="276"/>
        <v>4</v>
      </c>
      <c r="J44" s="3577">
        <f t="shared" si="276"/>
        <v>4.790700378130845</v>
      </c>
      <c r="K44" s="2941">
        <f>+$D$44</f>
        <v>4</v>
      </c>
      <c r="L44" s="2941">
        <f t="shared" ref="L44" si="300">+L28/L$6*1000</f>
        <v>14.570460393417729</v>
      </c>
      <c r="M44" s="3578">
        <f>+$D$44</f>
        <v>4</v>
      </c>
      <c r="N44" s="3578">
        <f>+N28/N$6*1000</f>
        <v>8.0954983671763401</v>
      </c>
      <c r="O44" s="2941">
        <f>+$D$44</f>
        <v>4</v>
      </c>
      <c r="P44" s="2941">
        <f t="shared" si="278"/>
        <v>0.13308597174369535</v>
      </c>
      <c r="Q44" s="3577">
        <f t="shared" si="279"/>
        <v>4</v>
      </c>
      <c r="R44" s="3577">
        <f t="shared" si="279"/>
        <v>5.8678926120569326</v>
      </c>
      <c r="S44" s="3579">
        <f>+$D$44</f>
        <v>4</v>
      </c>
      <c r="T44" s="2701">
        <f t="shared" si="280"/>
        <v>0</v>
      </c>
      <c r="U44" s="3577">
        <f t="shared" si="280"/>
        <v>4</v>
      </c>
      <c r="V44" s="3577">
        <f t="shared" si="280"/>
        <v>4.6055346843748355</v>
      </c>
      <c r="W44" s="3579">
        <f>+$D$44</f>
        <v>4</v>
      </c>
      <c r="X44" s="130">
        <f t="shared" ref="X44" si="301">+X28/X$6*1000</f>
        <v>6.2849162011173179E-3</v>
      </c>
      <c r="Y44" s="3578">
        <f t="shared" si="282"/>
        <v>4</v>
      </c>
      <c r="Z44" s="3578">
        <f t="shared" si="282"/>
        <v>4.768701200570901E-2</v>
      </c>
      <c r="AA44" s="3580">
        <f t="shared" si="282"/>
        <v>4</v>
      </c>
      <c r="AB44" s="546">
        <f t="shared" si="282"/>
        <v>3.8226667357081374</v>
      </c>
      <c r="AC44" s="4072">
        <f>+$D$44</f>
        <v>4</v>
      </c>
      <c r="AD44" s="2701">
        <f t="shared" ref="AD44:AF44" si="302">+AD28/AD$6*1000</f>
        <v>0</v>
      </c>
      <c r="AE44" s="3615">
        <f t="shared" si="302"/>
        <v>4</v>
      </c>
      <c r="AF44" s="3615">
        <f t="shared" si="302"/>
        <v>3.237459188887335</v>
      </c>
      <c r="AG44" s="4179">
        <f>+$D$44</f>
        <v>4</v>
      </c>
      <c r="AH44" s="2701">
        <f t="shared" ref="AH44:AJ44" si="303">+AH28/AH$6*1000</f>
        <v>0.40059390375265658</v>
      </c>
      <c r="AI44" s="3615">
        <f t="shared" si="303"/>
        <v>4</v>
      </c>
      <c r="AJ44" s="3615">
        <f t="shared" si="303"/>
        <v>2.9118260518244115</v>
      </c>
      <c r="AK44" s="4311">
        <f>+$D$44</f>
        <v>4</v>
      </c>
      <c r="AL44" s="2701">
        <f t="shared" ref="AL44:AP44" si="304">+AL28/AL$6*1000</f>
        <v>0</v>
      </c>
      <c r="AM44" s="4312">
        <f t="shared" si="304"/>
        <v>4</v>
      </c>
      <c r="AN44" s="4312">
        <f t="shared" si="304"/>
        <v>0.12183807253822088</v>
      </c>
      <c r="AO44" s="3615">
        <f t="shared" si="304"/>
        <v>4</v>
      </c>
      <c r="AP44" s="3615">
        <f t="shared" si="304"/>
        <v>2.5834547463135817</v>
      </c>
      <c r="AQ44" s="4421">
        <f>+$D$44</f>
        <v>4</v>
      </c>
      <c r="AR44" s="2701">
        <f t="shared" ref="AR44" si="305">+AR28/AR$6*1000</f>
        <v>8.7447554071558695</v>
      </c>
      <c r="AS44" s="3615">
        <f t="shared" ref="AS44:AT44" si="306">+AS28/AS$6*1000</f>
        <v>4</v>
      </c>
      <c r="AT44" s="3615">
        <f t="shared" si="306"/>
        <v>3.2184426464925409</v>
      </c>
      <c r="AU44" s="4649">
        <f>+$D$44</f>
        <v>4</v>
      </c>
      <c r="AV44" s="2701">
        <f t="shared" si="288"/>
        <v>0.85657986648085616</v>
      </c>
      <c r="AW44" s="3615">
        <f t="shared" si="288"/>
        <v>4</v>
      </c>
      <c r="AX44" s="3615">
        <f t="shared" si="288"/>
        <v>2.999773165658246</v>
      </c>
      <c r="AY44" s="5040">
        <f>+$D$44</f>
        <v>4</v>
      </c>
      <c r="AZ44" s="2701">
        <f t="shared" ref="AZ44:BF44" si="307">+AZ28/AZ$6*1000</f>
        <v>0</v>
      </c>
      <c r="BA44" s="5036">
        <f t="shared" si="307"/>
        <v>4</v>
      </c>
      <c r="BB44" s="5036">
        <f t="shared" si="307"/>
        <v>3.1974931066884653</v>
      </c>
      <c r="BC44" s="5038">
        <f t="shared" si="307"/>
        <v>4</v>
      </c>
      <c r="BD44" s="546">
        <f t="shared" si="307"/>
        <v>1.682003395536356</v>
      </c>
      <c r="BE44" s="3615">
        <f t="shared" si="307"/>
        <v>4</v>
      </c>
      <c r="BF44" s="3615">
        <f t="shared" si="307"/>
        <v>2.7408633497008252</v>
      </c>
      <c r="BG44" s="147"/>
      <c r="BH44" s="147"/>
      <c r="BI44" s="147"/>
      <c r="BJ44" s="147"/>
    </row>
    <row r="45" spans="1:62" x14ac:dyDescent="0.25">
      <c r="A45" s="181"/>
      <c r="B45" s="2588" t="s">
        <v>1390</v>
      </c>
      <c r="C45" s="672" t="s">
        <v>248</v>
      </c>
      <c r="D45" s="2941">
        <v>254.33458265831533</v>
      </c>
      <c r="E45" s="2941">
        <f>+$D$45</f>
        <v>254.33458265831533</v>
      </c>
      <c r="F45" s="2941">
        <f>+F29/F$6*1000</f>
        <v>100.26652424418981</v>
      </c>
      <c r="G45" s="2941">
        <f>+$D$45</f>
        <v>254.33458265831533</v>
      </c>
      <c r="H45" s="2941">
        <f>+H29/H$6*1000</f>
        <v>0</v>
      </c>
      <c r="I45" s="3577">
        <f t="shared" si="276"/>
        <v>254.33458265831533</v>
      </c>
      <c r="J45" s="3577">
        <f t="shared" si="276"/>
        <v>55.57558203372534</v>
      </c>
      <c r="K45" s="2941">
        <f>+$D$45</f>
        <v>254.33458265831533</v>
      </c>
      <c r="L45" s="2941">
        <f>+L29/L$6*1000</f>
        <v>185.05066530434337</v>
      </c>
      <c r="M45" s="3578">
        <f t="shared" ref="M45:N45" si="308">+M29/M$6*1000</f>
        <v>254.33458265831533</v>
      </c>
      <c r="N45" s="3578">
        <f t="shared" si="308"/>
        <v>99.3280866100541</v>
      </c>
      <c r="O45" s="2941">
        <f>+$D$45</f>
        <v>254.33458265831533</v>
      </c>
      <c r="P45" s="2941">
        <f>+P29/P$6*1000</f>
        <v>259.25828403090662</v>
      </c>
      <c r="Q45" s="3577">
        <f t="shared" si="279"/>
        <v>254.33458265831533</v>
      </c>
      <c r="R45" s="3577">
        <f t="shared" si="279"/>
        <v>144.07098744202193</v>
      </c>
      <c r="S45" s="2941">
        <f>+$D$45</f>
        <v>254.33458265831533</v>
      </c>
      <c r="T45" s="2627">
        <f>+T29/T$6*1000</f>
        <v>194.32904675697608</v>
      </c>
      <c r="U45" s="3577">
        <f t="shared" ref="U45:V45" si="309">+U29/U$6*1000</f>
        <v>254.33458265831533</v>
      </c>
      <c r="V45" s="3577">
        <f t="shared" si="309"/>
        <v>154.88298824036477</v>
      </c>
      <c r="W45" s="3579">
        <f>+$D$45</f>
        <v>254.33458265831533</v>
      </c>
      <c r="X45" s="18">
        <f>+X29/X$6*1000</f>
        <v>173.36155289804469</v>
      </c>
      <c r="Y45" s="3578">
        <f t="shared" si="282"/>
        <v>254.33458265831533</v>
      </c>
      <c r="Z45" s="3578">
        <f t="shared" si="282"/>
        <v>209.88910034142111</v>
      </c>
      <c r="AA45" s="3580">
        <f>+AA29/AA$6*1000</f>
        <v>254.33458265831533</v>
      </c>
      <c r="AB45" s="546">
        <f>+AB29/AB$6*1000</f>
        <v>158.02834383900344</v>
      </c>
      <c r="AC45" s="2941">
        <f>+$D$45</f>
        <v>254.33458265831533</v>
      </c>
      <c r="AD45" s="2627">
        <f>+AD29/AD$6*1000</f>
        <v>39.629637012255778</v>
      </c>
      <c r="AE45" s="3615">
        <f t="shared" ref="AE45:AF45" si="310">+AE29/AE$6*1000</f>
        <v>254.33458265831533</v>
      </c>
      <c r="AF45" s="3615">
        <f t="shared" si="310"/>
        <v>139.90282530462326</v>
      </c>
      <c r="AG45" s="2941">
        <f>+$D$45</f>
        <v>254.33458265831533</v>
      </c>
      <c r="AH45" s="2627">
        <f>+AH29/AH$6*1000</f>
        <v>0</v>
      </c>
      <c r="AI45" s="3615">
        <f t="shared" ref="AI45:AJ45" si="311">+AI29/AI$6*1000</f>
        <v>254.33458265831533</v>
      </c>
      <c r="AJ45" s="3615">
        <f t="shared" si="311"/>
        <v>123.84390416845521</v>
      </c>
      <c r="AK45" s="2941">
        <f>+$D$45</f>
        <v>254.33458265831533</v>
      </c>
      <c r="AL45" s="2627">
        <f>+AL29/AL$6*1000</f>
        <v>0</v>
      </c>
      <c r="AM45" s="4312">
        <f t="shared" ref="AM45:AP45" si="312">+AM29/AM$6*1000</f>
        <v>254.33458265831527</v>
      </c>
      <c r="AN45" s="4312">
        <f t="shared" si="312"/>
        <v>14.229856762049922</v>
      </c>
      <c r="AO45" s="3615">
        <f t="shared" si="312"/>
        <v>254.33458265831533</v>
      </c>
      <c r="AP45" s="3615">
        <f t="shared" si="312"/>
        <v>109.87782797861077</v>
      </c>
      <c r="AQ45" s="2941">
        <f>+$D$45</f>
        <v>254.33458265831533</v>
      </c>
      <c r="AR45" s="2627">
        <f>+AR29/AR$6*1000</f>
        <v>56.049443243140942</v>
      </c>
      <c r="AS45" s="3615">
        <f t="shared" ref="AS45:AT45" si="313">+AS29/AS$6*1000</f>
        <v>254.33458265831533</v>
      </c>
      <c r="AT45" s="3615">
        <f t="shared" si="313"/>
        <v>104.33023748194307</v>
      </c>
      <c r="AU45" s="2941">
        <f>+$D$45</f>
        <v>254.33458265831533</v>
      </c>
      <c r="AV45" s="2627">
        <f>+AV29/AV$6*1000</f>
        <v>71.121135520887975</v>
      </c>
      <c r="AW45" s="3615">
        <f t="shared" ref="AW45:AX45" si="314">+AW29/AW$6*1000</f>
        <v>254.33458265831533</v>
      </c>
      <c r="AX45" s="3615">
        <f t="shared" si="314"/>
        <v>101.25562317909134</v>
      </c>
      <c r="AY45" s="2941">
        <f>+$D$45</f>
        <v>254.33458265831533</v>
      </c>
      <c r="AZ45" s="2627">
        <f>+AZ29/AZ$6*1000</f>
        <v>254.71467236849327</v>
      </c>
      <c r="BA45" s="5036">
        <f t="shared" ref="BA45:BB45" si="315">+BA29/BA$6*1000</f>
        <v>254.33458265831533</v>
      </c>
      <c r="BB45" s="5036">
        <f t="shared" si="315"/>
        <v>127.9110581833481</v>
      </c>
      <c r="BC45" s="5038">
        <f>+BC29/BC$6*1000</f>
        <v>254.33458265831533</v>
      </c>
      <c r="BD45" s="546">
        <f>+BD29/BD$6*1000</f>
        <v>71.89609903075673</v>
      </c>
      <c r="BE45" s="3615">
        <f t="shared" ref="BE45:BF45" si="316">+BE29/BE$6*1000</f>
        <v>254.33458265831533</v>
      </c>
      <c r="BF45" s="3615">
        <f t="shared" si="316"/>
        <v>114.50064271506361</v>
      </c>
      <c r="BG45" s="147"/>
      <c r="BH45" s="147"/>
      <c r="BI45" s="147"/>
      <c r="BJ45" s="147"/>
    </row>
    <row r="46" spans="1:62" ht="15.75" thickBot="1" x14ac:dyDescent="0.3">
      <c r="A46" s="181" t="s">
        <v>478</v>
      </c>
      <c r="B46" s="2589" t="s">
        <v>6</v>
      </c>
      <c r="C46" s="912" t="s">
        <v>248</v>
      </c>
      <c r="D46" s="1902">
        <v>8.1985714285714284</v>
      </c>
      <c r="E46" s="1100">
        <v>6</v>
      </c>
      <c r="F46" s="138">
        <f>+F30/F$6*1000</f>
        <v>3.6696316436848591</v>
      </c>
      <c r="G46" s="1100">
        <v>10</v>
      </c>
      <c r="H46" s="138">
        <f>+H30/H$6*1000</f>
        <v>15.010682952198014</v>
      </c>
      <c r="I46" s="711">
        <f>+I30/I$6*1000</f>
        <v>7.8198614318706703</v>
      </c>
      <c r="J46" s="711">
        <f>+J30/J$6*1000</f>
        <v>8.7245816626992472</v>
      </c>
      <c r="K46" s="1100">
        <v>10</v>
      </c>
      <c r="L46" s="138">
        <f>+L30/L$6*1000</f>
        <v>21.954452781904841</v>
      </c>
      <c r="M46" s="583">
        <f>+M30/M$6*1000</f>
        <v>8.5110410094637228</v>
      </c>
      <c r="N46" s="583">
        <f>+N30/N$6*1000</f>
        <v>13.195248775362455</v>
      </c>
      <c r="O46" s="1100">
        <v>9</v>
      </c>
      <c r="P46" s="138">
        <f>+P30/P$6*1000</f>
        <v>13.004848015330985</v>
      </c>
      <c r="Q46" s="711">
        <f>+Q30/Q$6*1000</f>
        <v>8.6449026345933557</v>
      </c>
      <c r="R46" s="711">
        <f>+R30/R$6*1000</f>
        <v>13.14198127202785</v>
      </c>
      <c r="S46" s="2597">
        <v>9</v>
      </c>
      <c r="T46" s="2702">
        <f>+T30/T$6*1000</f>
        <v>15.394119483113798</v>
      </c>
      <c r="U46" s="711">
        <f>+U30/U$6*1000</f>
        <v>8.721223021582734</v>
      </c>
      <c r="V46" s="711">
        <f>+V30/V$6*1000</f>
        <v>13.626483070707417</v>
      </c>
      <c r="W46" s="1233">
        <v>9</v>
      </c>
      <c r="X46" s="52">
        <f>+X30/X$6*1000</f>
        <v>11.495949720670389</v>
      </c>
      <c r="Y46" s="583">
        <f>+Y30/Y$6*1000</f>
        <v>9</v>
      </c>
      <c r="Z46" s="583">
        <f>+Z30/Z$6*1000</f>
        <v>13.324422802451513</v>
      </c>
      <c r="AA46" s="1422">
        <f>+AA30/AA$6*1000</f>
        <v>8.7693452380952372</v>
      </c>
      <c r="AB46" s="551">
        <f>+AB30/AB$6*1000</f>
        <v>13.263831256306874</v>
      </c>
      <c r="AC46" s="2597">
        <v>8</v>
      </c>
      <c r="AD46" s="2702">
        <f>+AD30/AD$6*1000</f>
        <v>13.690161684079008</v>
      </c>
      <c r="AE46" s="711">
        <f>+AE30/AE$6*1000</f>
        <v>8.6503144654088047</v>
      </c>
      <c r="AF46" s="711">
        <f>+AF30/AF$6*1000</f>
        <v>13.329097679205068</v>
      </c>
      <c r="AG46" s="2597">
        <v>8</v>
      </c>
      <c r="AH46" s="2702">
        <f>+AH30/AH$6*1000</f>
        <v>16.712218696323042</v>
      </c>
      <c r="AI46" s="711">
        <f>+AI30/AI$6*1000</f>
        <v>8.5656455142231955</v>
      </c>
      <c r="AJ46" s="711">
        <f>+AJ30/AJ$6*1000</f>
        <v>13.7174334650601</v>
      </c>
      <c r="AK46" s="2597">
        <v>8</v>
      </c>
      <c r="AL46" s="2702">
        <f>+AL30/AL$6*1000</f>
        <v>19.926253008706354</v>
      </c>
      <c r="AM46" s="583">
        <f>+AM30/AM$6*1000</f>
        <v>8</v>
      </c>
      <c r="AN46" s="583">
        <f>+AN30/AN$6*1000</f>
        <v>16.709524959907512</v>
      </c>
      <c r="AO46" s="711">
        <f>+AO30/AO$6*1000</f>
        <v>8.4983132530120482</v>
      </c>
      <c r="AP46" s="711">
        <f>+AP30/AP$6*1000</f>
        <v>14.417612027564155</v>
      </c>
      <c r="AQ46" s="2597">
        <v>8</v>
      </c>
      <c r="AR46" s="2702">
        <f>+AR30/AR$6*1000</f>
        <v>21.334461813171213</v>
      </c>
      <c r="AS46" s="711">
        <f>+AS30/AS$6*1000</f>
        <v>8.4453057708871668</v>
      </c>
      <c r="AT46" s="711">
        <f>+AT30/AT$6*1000</f>
        <v>15.13046734221057</v>
      </c>
      <c r="AU46" s="2597">
        <v>7</v>
      </c>
      <c r="AV46" s="2702">
        <f>+AV30/AV$6*1000</f>
        <v>18.783870665058782</v>
      </c>
      <c r="AW46" s="711">
        <f>+AW30/AW$6*1000</f>
        <v>8.3150470219435739</v>
      </c>
      <c r="AX46" s="711">
        <f>+AX30/AX$6*1000</f>
        <v>15.468712144002803</v>
      </c>
      <c r="AY46" s="2597">
        <v>7</v>
      </c>
      <c r="AZ46" s="2702">
        <f>+AZ30/AZ$6*1000</f>
        <v>13.970497134397824</v>
      </c>
      <c r="BA46" s="583">
        <f>+BA30/BA$6*1000</f>
        <v>7.3406896551724135</v>
      </c>
      <c r="BB46" s="583">
        <f>+BB30/BB$6*1000</f>
        <v>18.013439000912417</v>
      </c>
      <c r="BC46" s="1422">
        <f>+BC30/BC$6*1000</f>
        <v>7.6717032967032965</v>
      </c>
      <c r="BD46" s="551">
        <f>+BD30/BD$6*1000</f>
        <v>17.370952021251622</v>
      </c>
      <c r="BE46" s="711">
        <f>+BE30/BE$6*1000</f>
        <v>8.1985714285714284</v>
      </c>
      <c r="BF46" s="711">
        <f>+BF30/BF$6*1000</f>
        <v>15.339401509171401</v>
      </c>
      <c r="BG46" s="147"/>
      <c r="BH46" s="147"/>
      <c r="BI46" s="147"/>
      <c r="BJ46" s="147"/>
    </row>
    <row r="47" spans="1:62" s="183" customFormat="1" ht="16.5" thickBot="1" x14ac:dyDescent="0.3">
      <c r="A47" s="182" t="s">
        <v>478</v>
      </c>
      <c r="B47" s="2587" t="s">
        <v>49</v>
      </c>
      <c r="C47" s="3589"/>
      <c r="D47" s="3589"/>
      <c r="E47" s="3589"/>
      <c r="F47" s="3589"/>
      <c r="G47" s="3589"/>
      <c r="H47" s="3589"/>
      <c r="I47" s="3589"/>
      <c r="J47" s="3589"/>
      <c r="K47" s="3589"/>
      <c r="L47" s="3589"/>
      <c r="M47" s="3589"/>
      <c r="N47" s="3589"/>
      <c r="O47" s="3589"/>
      <c r="P47" s="3589"/>
      <c r="Q47" s="3589"/>
      <c r="R47" s="3589"/>
      <c r="S47" s="3589"/>
      <c r="T47" s="3589"/>
      <c r="U47" s="3589"/>
      <c r="V47" s="3589"/>
      <c r="W47" s="3589"/>
      <c r="X47" s="3589"/>
      <c r="Y47" s="3589"/>
      <c r="Z47" s="3589"/>
      <c r="AA47" s="3589"/>
      <c r="AB47" s="3589"/>
      <c r="AC47" s="4077"/>
      <c r="AD47" s="4077"/>
      <c r="AE47" s="4077"/>
      <c r="AF47" s="4077"/>
      <c r="AG47" s="4184"/>
      <c r="AH47" s="4184"/>
      <c r="AI47" s="4184"/>
      <c r="AJ47" s="4184"/>
      <c r="AK47" s="4321"/>
      <c r="AL47" s="4321"/>
      <c r="AM47" s="4321"/>
      <c r="AN47" s="4321"/>
      <c r="AO47" s="4321"/>
      <c r="AP47" s="4321"/>
      <c r="AQ47" s="4424"/>
      <c r="AR47" s="4424"/>
      <c r="AS47" s="4424"/>
      <c r="AT47" s="4424"/>
      <c r="AU47" s="4656"/>
      <c r="AV47" s="4656"/>
      <c r="AW47" s="4656"/>
      <c r="AX47" s="4656"/>
      <c r="AY47" s="5047"/>
      <c r="AZ47" s="5047"/>
      <c r="BA47" s="5047"/>
      <c r="BB47" s="5047"/>
      <c r="BC47" s="5047"/>
      <c r="BD47" s="5047"/>
      <c r="BE47" s="5047"/>
      <c r="BF47" s="5047"/>
      <c r="BG47" s="147"/>
      <c r="BH47" s="147"/>
      <c r="BI47" s="147"/>
      <c r="BJ47" s="147"/>
    </row>
    <row r="48" spans="1:62" x14ac:dyDescent="0.25">
      <c r="A48" s="181" t="s">
        <v>478</v>
      </c>
      <c r="B48" s="3356" t="s">
        <v>268</v>
      </c>
      <c r="C48" s="3301" t="s">
        <v>249</v>
      </c>
      <c r="D48" s="3357">
        <f>+'Maj Techno Summ'!D14</f>
        <v>2.2723639158348869</v>
      </c>
      <c r="E48" s="3357">
        <f>+'Maj Techno Summ'!E14</f>
        <v>2.2917293817186031</v>
      </c>
      <c r="F48" s="3358">
        <f>+'Maj Techno Summ'!F14</f>
        <v>2.2197238936696642</v>
      </c>
      <c r="G48" s="3357">
        <f>+'Maj Techno Summ'!G14</f>
        <v>2.2190932131793861</v>
      </c>
      <c r="H48" s="3358">
        <f>+'Maj Techno Summ'!H14</f>
        <v>2.0635912519983002</v>
      </c>
      <c r="I48" s="3359">
        <f>+(I6/3551)/(E49+G49)</f>
        <v>2.2581015259134101</v>
      </c>
      <c r="J48" s="3359">
        <f>+(J6/3551)/(F49+H49)</f>
        <v>2.1473089633409925</v>
      </c>
      <c r="K48" s="3357">
        <f>+'Maj Techno Summ'!K14</f>
        <v>2.0964360587002098</v>
      </c>
      <c r="L48" s="3358">
        <f>+'Maj Techno Summ'!L14</f>
        <v>2.0914203865399426</v>
      </c>
      <c r="M48" s="3360">
        <f>+(M6/3551)/(E49+G49+K49)</f>
        <v>2.2042130368423432</v>
      </c>
      <c r="N48" s="3360">
        <f>+(N6/3551)/(F49+H49+L49)</f>
        <v>2.1280918214861995</v>
      </c>
      <c r="O48" s="3357">
        <f>+'Maj Techno Summ'!O14</f>
        <v>2.2434994837135078</v>
      </c>
      <c r="P48" s="3358">
        <f>+'Maj Techno Summ'!P14</f>
        <v>2.2642163373700752</v>
      </c>
      <c r="Q48" s="3359">
        <f>+(Q6/3551)/(M49+O49)</f>
        <v>2.2148309954561713</v>
      </c>
      <c r="R48" s="3359">
        <f>+(R6/3551)/(N49+P49)</f>
        <v>2.1644975043904813</v>
      </c>
      <c r="S48" s="3361">
        <f>+'Maj Techno Summ'!S14</f>
        <v>2.2434994837135078</v>
      </c>
      <c r="T48" s="3362">
        <f>+'Maj Techno Summ'!T14</f>
        <v>2.1828017550712659</v>
      </c>
      <c r="U48" s="3359">
        <f>+(U6/3551)/(Q49+S49)</f>
        <v>2.2209306738087964</v>
      </c>
      <c r="V48" s="3359">
        <f>+(V6/3551)/(R49+T49)</f>
        <v>2.1684093281667649</v>
      </c>
      <c r="W48" s="3361">
        <f>+'Maj Techno Summ'!W14</f>
        <v>2.2528865108420164</v>
      </c>
      <c r="X48" s="3363">
        <f>+'Maj Techno Summ'!X14</f>
        <v>2.2661620567205385</v>
      </c>
      <c r="Y48" s="3364">
        <f>+(Y6/3551)/(O49+S49+W49)</f>
        <v>2.246558177946393</v>
      </c>
      <c r="Z48" s="3364">
        <f>+(Z6/3551)/(P49+T49+X49)</f>
        <v>2.2367816716775666</v>
      </c>
      <c r="AA48" s="3365">
        <f>+(AA6/3551)/(M49+Y49)</f>
        <v>2.2263819636556397</v>
      </c>
      <c r="AB48" s="3366">
        <f>+(AB6/3551)/(N49+Z49)</f>
        <v>2.1844484744397947</v>
      </c>
      <c r="AC48" s="3361">
        <f>+'Maj Techno Summ'!AC14</f>
        <v>2.3092086736130666</v>
      </c>
      <c r="AD48" s="3362">
        <f>+'Maj Techno Summ'!AD14</f>
        <v>2.2465525758156328</v>
      </c>
      <c r="AE48" s="3359">
        <f>+(AE6/3551)/(AA49+AC49)</f>
        <v>2.2388059701492535</v>
      </c>
      <c r="AF48" s="3359">
        <f>+(AF6/3551)/(AB49+AD49)</f>
        <v>2.1937323823105466</v>
      </c>
      <c r="AG48" s="3361">
        <f>+'Maj Techno Summ'!AG14</f>
        <v>2.311150817156896</v>
      </c>
      <c r="AH48" s="3362">
        <f>+'Maj Techno Summ'!AH14</f>
        <v>2.0003626295305268</v>
      </c>
      <c r="AI48" s="3359">
        <f>+(AI6/3551)/(AE49+AG49)</f>
        <v>2.2479675446611385</v>
      </c>
      <c r="AJ48" s="3359">
        <f>+(AJ6/3551)/(AF49+AH49)</f>
        <v>2.1696576809840393</v>
      </c>
      <c r="AK48" s="3361">
        <f>+'Maj Techno Summ'!AK14</f>
        <v>2.3185957007415752</v>
      </c>
      <c r="AL48" s="3362">
        <f>+'Maj Techno Summ'!AL14</f>
        <v>2.1309999999999998</v>
      </c>
      <c r="AM48" s="3364">
        <f>+(AM6/3551)/(AC49+AG49+AK49)</f>
        <v>2.3130056733504407</v>
      </c>
      <c r="AN48" s="3364">
        <f>+(AN6/3551)/(AD49+AH49+AL49)</f>
        <v>2.1280342551755305</v>
      </c>
      <c r="AO48" s="3359">
        <f>+(AO6/3551)/(AK49+AI49)</f>
        <v>2.2561484121608029</v>
      </c>
      <c r="AP48" s="3359">
        <f>+(AP6/3551)/(AL49+AJ49)</f>
        <v>2.1652281699376883</v>
      </c>
      <c r="AQ48" s="3361">
        <f>+'Maj Techno Summ'!AQ14</f>
        <v>2.3185957007415752</v>
      </c>
      <c r="AR48" s="3362">
        <f>+'Maj Techno Summ'!AR14</f>
        <v>2.2280000000000002</v>
      </c>
      <c r="AS48" s="3359">
        <f>+(AS6/3551)/(AO49+AQ49)</f>
        <v>2.2626308296605369</v>
      </c>
      <c r="AT48" s="3359">
        <f>+(AT6/3551)/(AP49+AR49)</f>
        <v>2.1715335197991088</v>
      </c>
      <c r="AU48" s="3361">
        <f>+'Maj Techno Summ'!AU14</f>
        <v>2.31323168523957</v>
      </c>
      <c r="AV48" s="3362">
        <f>+'Maj Techno Summ'!AV14</f>
        <v>2.2353994503733778</v>
      </c>
      <c r="AW48" s="3359">
        <f>+(AW6/3551)/(AS49+AU49)</f>
        <v>2.2671003058631016</v>
      </c>
      <c r="AX48" s="3359">
        <f>+(AX6/3551)/(AT49+AV49)</f>
        <v>2.1772927500637205</v>
      </c>
      <c r="AY48" s="3361">
        <f>+'Maj Techno Summ'!AY14</f>
        <v>2.3279827278700833</v>
      </c>
      <c r="AZ48" s="3362">
        <f>+'Maj Techno Summ'!AZ14</f>
        <v>2.2212041384180203</v>
      </c>
      <c r="BA48" s="3364">
        <f>+(BA6/3551)/(AQ49+AU49+AY49)</f>
        <v>2.3200890914211105</v>
      </c>
      <c r="BB48" s="3364">
        <f>+(BB6/3551)/(AR49+AV49+AZ49)</f>
        <v>2.2281385808077601</v>
      </c>
      <c r="BC48" s="3365">
        <f>+(BC6/3551)/(AM49+BA49)</f>
        <v>2.3165273727302087</v>
      </c>
      <c r="BD48" s="3366">
        <f>+(BD6/3551)/(AN49+BB49)</f>
        <v>2.1776631197362066</v>
      </c>
      <c r="BE48" s="3359">
        <f>+(BE6/3551)/(AW49+AY49)</f>
        <v>2.2723639158348869</v>
      </c>
      <c r="BF48" s="3359">
        <f>+(BF6/3551)/(AX49+AZ49)</f>
        <v>2.1810141580001829</v>
      </c>
      <c r="BG48" s="147"/>
      <c r="BH48" s="147"/>
      <c r="BI48" s="147"/>
      <c r="BJ48" s="147"/>
    </row>
    <row r="49" spans="1:62" ht="15.75" thickBot="1" x14ac:dyDescent="0.3">
      <c r="A49" s="181" t="s">
        <v>478</v>
      </c>
      <c r="B49" s="2589" t="s">
        <v>450</v>
      </c>
      <c r="C49" s="912" t="s">
        <v>250</v>
      </c>
      <c r="D49" s="138">
        <f>+D6/(D48*3551)</f>
        <v>347</v>
      </c>
      <c r="E49" s="1902">
        <f>+E6/(E48*3551)</f>
        <v>28.999999999999996</v>
      </c>
      <c r="F49" s="228">
        <f>+F6/(F48*3551)</f>
        <v>29.395833333333336</v>
      </c>
      <c r="G49" s="1902">
        <f>+G6/(G48*3551)</f>
        <v>25</v>
      </c>
      <c r="H49" s="3334">
        <f>+H6/(H48*3551)</f>
        <v>25.427083333333336</v>
      </c>
      <c r="I49" s="715">
        <f>+E49+G49</f>
        <v>54</v>
      </c>
      <c r="J49" s="715">
        <f>+F49+H49</f>
        <v>54.822916666666671</v>
      </c>
      <c r="K49" s="1902">
        <f>+K6/(K48*3551)</f>
        <v>26.999999999999996</v>
      </c>
      <c r="L49" s="3334">
        <f>+L6/(L48*3551)</f>
        <v>28.729166666666668</v>
      </c>
      <c r="M49" s="3338">
        <f>+K49+G49+E49</f>
        <v>81</v>
      </c>
      <c r="N49" s="3338">
        <f>+L49+H49+F49</f>
        <v>83.552083333333343</v>
      </c>
      <c r="O49" s="1902">
        <f>+O6/(O48*3551)</f>
        <v>30.000000000000004</v>
      </c>
      <c r="P49" s="3334">
        <f>+P6/(P48*3551)</f>
        <v>30.503472222222225</v>
      </c>
      <c r="Q49" s="715">
        <f>+M49+O49</f>
        <v>111</v>
      </c>
      <c r="R49" s="715">
        <f>+N49+P49</f>
        <v>114.05555555555557</v>
      </c>
      <c r="S49" s="1902">
        <f>+S6/(S48*3551)</f>
        <v>30.000000000000004</v>
      </c>
      <c r="T49" s="3349">
        <f>+T6/(T48*3551)</f>
        <v>30.999999999999996</v>
      </c>
      <c r="U49" s="715">
        <f>+Q49+S49</f>
        <v>141</v>
      </c>
      <c r="V49" s="715">
        <f>+R49+T49</f>
        <v>145.05555555555557</v>
      </c>
      <c r="W49" s="1233">
        <f>+W6/(W48*3551)</f>
        <v>29</v>
      </c>
      <c r="X49" s="3094">
        <f>+X6/(X48*3551)</f>
        <v>28.472222222222229</v>
      </c>
      <c r="Y49" s="3323">
        <f>+W49+S49+O49</f>
        <v>89</v>
      </c>
      <c r="Z49" s="103">
        <f>+X49+T49+P49</f>
        <v>89.975694444444457</v>
      </c>
      <c r="AA49" s="3367">
        <f>M49+Y49</f>
        <v>170</v>
      </c>
      <c r="AB49" s="570">
        <f>+N49+Z49</f>
        <v>173.5277777777778</v>
      </c>
      <c r="AC49" s="1902">
        <f>+AC6/(AC48*3551)</f>
        <v>30</v>
      </c>
      <c r="AD49" s="3349">
        <f>+AD6/(AD48*3551)</f>
        <v>30.5</v>
      </c>
      <c r="AE49" s="715">
        <f>+AA49+AC49</f>
        <v>200</v>
      </c>
      <c r="AF49" s="715">
        <f>+AB49+AD49</f>
        <v>204.0277777777778</v>
      </c>
      <c r="AG49" s="1902">
        <f>+AG6/(AG48*3551)</f>
        <v>29</v>
      </c>
      <c r="AH49" s="3349">
        <f>+AH6/(AH48*3551)</f>
        <v>29.013888888888889</v>
      </c>
      <c r="AI49" s="715">
        <f>+AE49+AG49</f>
        <v>229</v>
      </c>
      <c r="AJ49" s="715">
        <f>+AF49+AH49</f>
        <v>233.04166666666669</v>
      </c>
      <c r="AK49" s="1902">
        <f>+AK6/(AK48*3551)</f>
        <v>29.999999999999996</v>
      </c>
      <c r="AL49" s="3349">
        <f>+AL6/(AL48*3551)</f>
        <v>30.158218760724761</v>
      </c>
      <c r="AM49" s="3323">
        <f>+AK49+AG49+AC49</f>
        <v>89</v>
      </c>
      <c r="AN49" s="103">
        <f>+AL49+AH49+AD49</f>
        <v>89.67210764961365</v>
      </c>
      <c r="AO49" s="715">
        <f>+AK49+AI49</f>
        <v>259</v>
      </c>
      <c r="AP49" s="715">
        <f>+AL49+AJ49</f>
        <v>263.19988542739145</v>
      </c>
      <c r="AQ49" s="1902">
        <f>+AQ6/(AQ48*3551)</f>
        <v>29.999999999999996</v>
      </c>
      <c r="AR49" s="3349">
        <f>+AR6/(AR48*3551)</f>
        <v>29.390310060078658</v>
      </c>
      <c r="AS49" s="715">
        <f>+AO49+AQ49</f>
        <v>289</v>
      </c>
      <c r="AT49" s="715">
        <f>+AP49+AR49</f>
        <v>292.59019548747011</v>
      </c>
      <c r="AU49" s="1902">
        <f>+AU6/(AU48*3551)</f>
        <v>28</v>
      </c>
      <c r="AV49" s="3349">
        <f>+AV6/(AV48*3551)</f>
        <v>29</v>
      </c>
      <c r="AW49" s="715">
        <f>+AS49+AU49</f>
        <v>317</v>
      </c>
      <c r="AX49" s="715">
        <f>+AT49+AV49</f>
        <v>321.59019548747011</v>
      </c>
      <c r="AY49" s="1902">
        <f>+AY6/(AY48*3551)</f>
        <v>30.000000000000004</v>
      </c>
      <c r="AZ49" s="3349">
        <f>+AZ6/(AZ48*3551)</f>
        <v>29.777777777777775</v>
      </c>
      <c r="BA49" s="3323">
        <f>+AY49+AU49+AQ49</f>
        <v>88</v>
      </c>
      <c r="BB49" s="103">
        <f>+AZ49+AV49+AR49</f>
        <v>88.168087837856433</v>
      </c>
      <c r="BC49" s="563">
        <f t="shared" ref="BC49" si="317">AM49+BA49</f>
        <v>177</v>
      </c>
      <c r="BD49" s="563">
        <f t="shared" ref="BD49" si="318">AN49+BB49</f>
        <v>177.84019548747008</v>
      </c>
      <c r="BE49" s="715">
        <f>+AW49+AY49</f>
        <v>347</v>
      </c>
      <c r="BF49" s="715">
        <f>+AX49+AZ49</f>
        <v>351.36797326524788</v>
      </c>
      <c r="BG49" s="147"/>
      <c r="BH49" s="147"/>
      <c r="BI49" s="147"/>
      <c r="BJ49" s="147"/>
    </row>
    <row r="50" spans="1:62" ht="15.75" thickBot="1" x14ac:dyDescent="0.3">
      <c r="A50" s="181" t="s">
        <v>478</v>
      </c>
      <c r="B50" s="2590" t="s">
        <v>251</v>
      </c>
      <c r="C50" s="921" t="s">
        <v>51</v>
      </c>
      <c r="D50" s="1900">
        <v>75</v>
      </c>
      <c r="E50" s="1900">
        <f>+$D$50</f>
        <v>75</v>
      </c>
      <c r="F50" s="1521">
        <f>+F130</f>
        <v>76.601799486114857</v>
      </c>
      <c r="G50" s="1900">
        <f>+$D$50</f>
        <v>75</v>
      </c>
      <c r="H50" s="1521">
        <f>+H130</f>
        <v>79.04852223255692</v>
      </c>
      <c r="I50" s="1901">
        <f>+(I42/(I42+I43+I45))*100</f>
        <v>75</v>
      </c>
      <c r="J50" s="1901">
        <f>+J130</f>
        <v>77.69100004260163</v>
      </c>
      <c r="K50" s="1900">
        <f>+$D$50</f>
        <v>75</v>
      </c>
      <c r="L50" s="3327">
        <f>+L130</f>
        <v>75.458228181763985</v>
      </c>
      <c r="M50" s="2113">
        <f>+$D$50</f>
        <v>75</v>
      </c>
      <c r="N50" s="3329">
        <f>+N130</f>
        <v>76.956160974334026</v>
      </c>
      <c r="O50" s="1900">
        <f>+$D$50</f>
        <v>75</v>
      </c>
      <c r="P50" s="3327">
        <f>+P130</f>
        <v>75.968544846423882</v>
      </c>
      <c r="Q50" s="931">
        <f>+$D$50</f>
        <v>75</v>
      </c>
      <c r="R50" s="3328">
        <f>+R130</f>
        <v>76.680332575851594</v>
      </c>
      <c r="S50" s="1900">
        <f>+$D$50</f>
        <v>75</v>
      </c>
      <c r="T50" s="3341">
        <f>+T130</f>
        <v>76.453299572514339</v>
      </c>
      <c r="U50" s="931">
        <f>+$D$50</f>
        <v>75</v>
      </c>
      <c r="V50" s="3328">
        <f>+V130</f>
        <v>76.630590757925447</v>
      </c>
      <c r="W50" s="3342">
        <f>+$D$50</f>
        <v>75</v>
      </c>
      <c r="X50" s="3343">
        <f>+X130</f>
        <v>77.631990127398538</v>
      </c>
      <c r="Y50" s="3344">
        <f>+(Y42/(Y42+Y43+Y45))*100</f>
        <v>75</v>
      </c>
      <c r="Z50" s="3345">
        <f>+Z130</f>
        <v>76.66758276207247</v>
      </c>
      <c r="AA50" s="3346">
        <f>+(AA42/(AA42+AA43+AA45))*100</f>
        <v>75</v>
      </c>
      <c r="AB50" s="3347">
        <f>+AB130</f>
        <v>76.802169141952319</v>
      </c>
      <c r="AC50" s="1900">
        <f>+$D$50</f>
        <v>75</v>
      </c>
      <c r="AD50" s="3341">
        <f>+AD130</f>
        <v>78.753861009425435</v>
      </c>
      <c r="AE50" s="931">
        <f>+$D$50</f>
        <v>75</v>
      </c>
      <c r="AF50" s="3328">
        <f>+AF130</f>
        <v>77.095749073196785</v>
      </c>
      <c r="AG50" s="1900">
        <f>+$D$50</f>
        <v>75</v>
      </c>
      <c r="AH50" s="3341">
        <f>+AH130</f>
        <v>80.206407977869759</v>
      </c>
      <c r="AI50" s="931">
        <f>+$D$50</f>
        <v>75</v>
      </c>
      <c r="AJ50" s="3328">
        <f>+AJ130</f>
        <v>77.449624880463773</v>
      </c>
      <c r="AK50" s="1900">
        <f>+$D$50</f>
        <v>75</v>
      </c>
      <c r="AL50" s="3341">
        <f>+AL130</f>
        <v>79.807314191393687</v>
      </c>
      <c r="AM50" s="3344">
        <f>+(AM42/(AM42+AM43+AM45))*100</f>
        <v>75.000000000000014</v>
      </c>
      <c r="AN50" s="3345">
        <f>+AN130</f>
        <v>79.551867949220082</v>
      </c>
      <c r="AO50" s="931">
        <f>+$D$50</f>
        <v>75</v>
      </c>
      <c r="AP50" s="3328">
        <f>+AP130</f>
        <v>77.711518596802748</v>
      </c>
      <c r="AQ50" s="1900">
        <f>+$D$50</f>
        <v>75</v>
      </c>
      <c r="AR50" s="3341">
        <f>+AR130</f>
        <v>77.301914406033703</v>
      </c>
      <c r="AS50" s="931">
        <f>+$D$50</f>
        <v>75</v>
      </c>
      <c r="AT50" s="3328">
        <f>+AT130</f>
        <v>77.670064573797575</v>
      </c>
      <c r="AU50" s="1900">
        <f>+$D$50</f>
        <v>75</v>
      </c>
      <c r="AV50" s="3341">
        <f>+AV130</f>
        <v>79.566912723257062</v>
      </c>
      <c r="AW50" s="931">
        <f>+$D$50</f>
        <v>75</v>
      </c>
      <c r="AX50" s="3328">
        <f>+AX130</f>
        <v>77.843430666829363</v>
      </c>
      <c r="AY50" s="1900">
        <f>+$D$50</f>
        <v>75</v>
      </c>
      <c r="AZ50" s="3341">
        <f>+AZ130</f>
        <v>72.462173469295379</v>
      </c>
      <c r="BA50" s="3344">
        <f>+(BA42/(BA42+BA43+BA45))*100</f>
        <v>75</v>
      </c>
      <c r="BB50" s="3345">
        <f>+BB130</f>
        <v>76.400181294600102</v>
      </c>
      <c r="BC50" s="3346">
        <f>+(BC42/(BC42+BC43+BC45))*100</f>
        <v>75</v>
      </c>
      <c r="BD50" s="3347">
        <f>+BD130</f>
        <v>77.953501439311026</v>
      </c>
      <c r="BE50" s="931">
        <f>+$D$50</f>
        <v>75</v>
      </c>
      <c r="BF50" s="3328">
        <f>+BF130</f>
        <v>77.378572674698731</v>
      </c>
      <c r="BG50" s="147"/>
      <c r="BH50" s="147"/>
      <c r="BI50" s="147"/>
      <c r="BJ50" s="147"/>
    </row>
    <row r="51" spans="1:62" ht="15.75" thickBot="1" x14ac:dyDescent="0.3">
      <c r="A51" s="181"/>
      <c r="B51" s="2589" t="s">
        <v>1410</v>
      </c>
      <c r="C51" s="912" t="s">
        <v>51</v>
      </c>
      <c r="D51" s="1902">
        <v>15</v>
      </c>
      <c r="E51" s="1902">
        <v>15</v>
      </c>
      <c r="F51" s="228">
        <f>+F132</f>
        <v>5.8011948336548294</v>
      </c>
      <c r="G51" s="1902">
        <v>15</v>
      </c>
      <c r="H51" s="228">
        <f>+H132</f>
        <v>0</v>
      </c>
      <c r="I51" s="3348">
        <f>+I132</f>
        <v>15.000000000000014</v>
      </c>
      <c r="J51" s="715">
        <f>+J132</f>
        <v>3.2186935468648024</v>
      </c>
      <c r="K51" s="1902">
        <v>15</v>
      </c>
      <c r="L51" s="3334">
        <f>+L132</f>
        <v>11.150492321228173</v>
      </c>
      <c r="M51" s="2860">
        <f>+M132</f>
        <v>15</v>
      </c>
      <c r="N51" s="3338">
        <f>+N132</f>
        <v>5.8291687697353325</v>
      </c>
      <c r="O51" s="1902">
        <v>15</v>
      </c>
      <c r="P51" s="3334">
        <f>+P132</f>
        <v>15.250998310009992</v>
      </c>
      <c r="Q51" s="3127">
        <f>+Q132</f>
        <v>15</v>
      </c>
      <c r="R51" s="3336">
        <f>+R132</f>
        <v>8.4605637818518726</v>
      </c>
      <c r="S51" s="1902">
        <v>15</v>
      </c>
      <c r="T51" s="3349">
        <f>+T132</f>
        <v>11.14880799717788</v>
      </c>
      <c r="U51" s="3127">
        <f>+U132</f>
        <v>15.000000000000016</v>
      </c>
      <c r="V51" s="3336">
        <f>+V132</f>
        <v>9.0495449094155251</v>
      </c>
      <c r="W51" s="1233">
        <v>15</v>
      </c>
      <c r="X51" s="3350">
        <f>+X132</f>
        <v>10.049266049754923</v>
      </c>
      <c r="Y51" s="3351">
        <f>+Y132</f>
        <v>14.999999999999996</v>
      </c>
      <c r="Z51" s="3351">
        <f>+Z132</f>
        <v>12.185098029299944</v>
      </c>
      <c r="AA51" s="3352">
        <f>+AA132</f>
        <v>15</v>
      </c>
      <c r="AB51" s="587">
        <f>+AB132</f>
        <v>9.2208357479819227</v>
      </c>
      <c r="AC51" s="1902">
        <v>15</v>
      </c>
      <c r="AD51" s="3349">
        <f>+AD132</f>
        <v>2.3607417934465715</v>
      </c>
      <c r="AE51" s="3127">
        <f>+AE132</f>
        <v>14.999999999999986</v>
      </c>
      <c r="AF51" s="3336">
        <f>+AF132</f>
        <v>8.1889177771853028</v>
      </c>
      <c r="AG51" s="1902">
        <v>15</v>
      </c>
      <c r="AH51" s="3349">
        <f>+AH132</f>
        <v>0</v>
      </c>
      <c r="AI51" s="3127">
        <f>+AI132</f>
        <v>15.000000000000014</v>
      </c>
      <c r="AJ51" s="3336">
        <f>+AJ132</f>
        <v>7.2573274042610514</v>
      </c>
      <c r="AK51" s="1902">
        <v>15</v>
      </c>
      <c r="AL51" s="3349">
        <f>+AL132</f>
        <v>0</v>
      </c>
      <c r="AM51" s="3351">
        <f>+AM132</f>
        <v>15</v>
      </c>
      <c r="AN51" s="3351">
        <f>+AN132</f>
        <v>0.84592229114316453</v>
      </c>
      <c r="AO51" s="3127">
        <f>+AO132</f>
        <v>15</v>
      </c>
      <c r="AP51" s="3336">
        <f>+AP132</f>
        <v>6.4511785890717377</v>
      </c>
      <c r="AQ51" s="1902">
        <v>15</v>
      </c>
      <c r="AR51" s="3349">
        <f>+AR132</f>
        <v>3.3580612258644038</v>
      </c>
      <c r="AS51" s="3127">
        <f>+AS132</f>
        <v>15</v>
      </c>
      <c r="AT51" s="3336">
        <f>+AT132</f>
        <v>6.1381394131507996</v>
      </c>
      <c r="AU51" s="1902">
        <v>15</v>
      </c>
      <c r="AV51" s="3349">
        <f>+AV132</f>
        <v>4.2441885505822015</v>
      </c>
      <c r="AW51" s="3127">
        <f>+AW132</f>
        <v>15.000000000000002</v>
      </c>
      <c r="AX51" s="3336">
        <f>+AX132</f>
        <v>5.9650381232392853</v>
      </c>
      <c r="AY51" s="1902">
        <v>15</v>
      </c>
      <c r="AZ51" s="3349">
        <f t="shared" ref="AZ51:BF51" si="319">+AZ132</f>
        <v>14.991186440061474</v>
      </c>
      <c r="BA51" s="3351">
        <f t="shared" si="319"/>
        <v>15.000000000000016</v>
      </c>
      <c r="BB51" s="3351">
        <f t="shared" si="319"/>
        <v>7.6074702811493236</v>
      </c>
      <c r="BC51" s="3352">
        <f t="shared" si="319"/>
        <v>15.000000000000002</v>
      </c>
      <c r="BD51" s="587">
        <f t="shared" si="319"/>
        <v>4.275016946389556</v>
      </c>
      <c r="BE51" s="3127">
        <f t="shared" si="319"/>
        <v>15.000000000000014</v>
      </c>
      <c r="BF51" s="3336">
        <f t="shared" si="319"/>
        <v>6.7447587404129123</v>
      </c>
      <c r="BG51" s="147"/>
      <c r="BH51" s="147"/>
      <c r="BI51" s="147"/>
      <c r="BJ51" s="147"/>
    </row>
    <row r="52" spans="1:62" x14ac:dyDescent="0.25">
      <c r="A52" s="181"/>
      <c r="B52" s="2590" t="s">
        <v>609</v>
      </c>
      <c r="C52" s="921" t="s">
        <v>51</v>
      </c>
      <c r="D52" s="988"/>
      <c r="E52" s="3326" t="s">
        <v>34</v>
      </c>
      <c r="F52" s="3327">
        <v>0.94</v>
      </c>
      <c r="G52" s="3326" t="s">
        <v>34</v>
      </c>
      <c r="H52" s="3327">
        <v>0.95</v>
      </c>
      <c r="I52" s="994" t="s">
        <v>34</v>
      </c>
      <c r="J52" s="3328">
        <f>+((F52*F56)+(H52*H56))/J56</f>
        <v>0.94461989711983696</v>
      </c>
      <c r="K52" s="3326" t="s">
        <v>34</v>
      </c>
      <c r="L52" s="3327">
        <v>1.04</v>
      </c>
      <c r="M52" s="995" t="s">
        <v>34</v>
      </c>
      <c r="N52" s="3329">
        <f>+((F52*F56)+(H52*H56)+(L52*L56))/N56</f>
        <v>0.97678746749067935</v>
      </c>
      <c r="O52" s="3326" t="s">
        <v>34</v>
      </c>
      <c r="P52" s="3327">
        <v>1.3</v>
      </c>
      <c r="Q52" s="994" t="s">
        <v>34</v>
      </c>
      <c r="R52" s="3328">
        <f>+((N52*N56)+(P52*P56))/R56</f>
        <v>1.0625514681462089</v>
      </c>
      <c r="S52" s="3330" t="s">
        <v>34</v>
      </c>
      <c r="T52" s="2753">
        <v>1.36</v>
      </c>
      <c r="U52" s="994" t="s">
        <v>34</v>
      </c>
      <c r="V52" s="3328">
        <f>+((R52*R56)+(T52*T56))/V56</f>
        <v>1.1173478872027309</v>
      </c>
      <c r="W52" s="3330" t="s">
        <v>34</v>
      </c>
      <c r="X52" s="3331">
        <v>1.27</v>
      </c>
      <c r="Y52" s="995" t="s">
        <v>34</v>
      </c>
      <c r="Z52" s="3329">
        <f>+((P52*P56)+(T52*T56)+(X52*X56))/Z56</f>
        <v>1.307464677935225</v>
      </c>
      <c r="AA52" s="996" t="s">
        <v>34</v>
      </c>
      <c r="AB52" s="3332">
        <f>+((N52*N56)+(Z52*Z56))/AB56</f>
        <v>1.1443807787643119</v>
      </c>
      <c r="AC52" s="3330" t="s">
        <v>34</v>
      </c>
      <c r="AD52" s="2753">
        <v>1.3</v>
      </c>
      <c r="AE52" s="994" t="s">
        <v>34</v>
      </c>
      <c r="AF52" s="3328">
        <f>+((AB52*AB56)+(AD52*AD56))/AF56</f>
        <v>1.1684322047993188</v>
      </c>
      <c r="AG52" s="3330" t="s">
        <v>34</v>
      </c>
      <c r="AH52" s="2753">
        <v>1.0900000000000001</v>
      </c>
      <c r="AI52" s="994" t="s">
        <v>34</v>
      </c>
      <c r="AJ52" s="3328">
        <f>+((AF52*AF56)+(AH52*AH56))/AJ56</f>
        <v>1.1581800727138138</v>
      </c>
      <c r="AK52" s="3330" t="s">
        <v>34</v>
      </c>
      <c r="AL52" s="2753">
        <v>1.39</v>
      </c>
      <c r="AM52" s="995" t="s">
        <v>34</v>
      </c>
      <c r="AN52" s="3329">
        <f>+((AD52*AD56)+(AH52*AH56)+(AL52*AL56))/AN56</f>
        <v>1.2592069233264205</v>
      </c>
      <c r="AO52" s="994" t="s">
        <v>34</v>
      </c>
      <c r="AP52" s="3328">
        <f>+((AL52*AL56)+(AJ52*AJ56))/AP56</f>
        <v>1.1843402008786947</v>
      </c>
      <c r="AQ52" s="3330" t="s">
        <v>34</v>
      </c>
      <c r="AR52" s="2753">
        <v>1.38</v>
      </c>
      <c r="AS52" s="994" t="s">
        <v>34</v>
      </c>
      <c r="AT52" s="3328">
        <f>+((AP52*AP56)+(AR52*AR56))/AT56</f>
        <v>1.2035337713818581</v>
      </c>
      <c r="AU52" s="3330" t="s">
        <v>34</v>
      </c>
      <c r="AV52" s="2753">
        <v>1.28</v>
      </c>
      <c r="AW52" s="994" t="s">
        <v>34</v>
      </c>
      <c r="AX52" s="3328">
        <f>+((AT52*AT56)+(AV52*AV56))/AX56</f>
        <v>1.2100954192553155</v>
      </c>
      <c r="AY52" s="3330" t="s">
        <v>34</v>
      </c>
      <c r="AZ52" s="2753">
        <v>0.81</v>
      </c>
      <c r="BA52" s="995" t="s">
        <v>34</v>
      </c>
      <c r="BB52" s="3329">
        <f>+((AR52*AR56)+(AV52*AV56)+(AZ52*AZ56))/BB56</f>
        <v>1.148469226393332</v>
      </c>
      <c r="BC52" s="996" t="s">
        <v>34</v>
      </c>
      <c r="BD52" s="3332">
        <f>+((AN52*AN56)+(BB52*BB56))/BD56</f>
        <v>1.205502524709247</v>
      </c>
      <c r="BE52" s="994" t="s">
        <v>34</v>
      </c>
      <c r="BF52" s="3328">
        <f>+((AX52*AX56)+(AZ52*AZ56))/BF56</f>
        <v>1.1754868614266947</v>
      </c>
      <c r="BG52" s="147"/>
      <c r="BH52" s="147"/>
      <c r="BI52" s="147"/>
      <c r="BJ52" s="147"/>
    </row>
    <row r="53" spans="1:62" x14ac:dyDescent="0.25">
      <c r="A53" s="181"/>
      <c r="B53" s="2588" t="s">
        <v>610</v>
      </c>
      <c r="C53" s="672" t="s">
        <v>51</v>
      </c>
      <c r="D53" s="193"/>
      <c r="E53" s="2294" t="s">
        <v>34</v>
      </c>
      <c r="F53" s="1415">
        <v>3.86</v>
      </c>
      <c r="G53" s="2294" t="s">
        <v>34</v>
      </c>
      <c r="H53" s="1415">
        <v>4.25</v>
      </c>
      <c r="I53" s="952" t="s">
        <v>34</v>
      </c>
      <c r="J53" s="3313">
        <f>+((F53*F62)+(H53*H62))/J62</f>
        <v>3.9995472226544262</v>
      </c>
      <c r="K53" s="2294" t="s">
        <v>34</v>
      </c>
      <c r="L53" s="1415">
        <v>6.03</v>
      </c>
      <c r="M53" s="990" t="s">
        <v>34</v>
      </c>
      <c r="N53" s="3314">
        <f>+((F53*F62)+(H53*H62)+(L53*L62))/N62</f>
        <v>4.7630778939192906</v>
      </c>
      <c r="O53" s="2294" t="s">
        <v>34</v>
      </c>
      <c r="P53" s="1415">
        <v>7.02</v>
      </c>
      <c r="Q53" s="952" t="s">
        <v>34</v>
      </c>
      <c r="R53" s="3313">
        <f>+((N53*N62)+(P53*P62))/R62</f>
        <v>5.266828808446455</v>
      </c>
      <c r="S53" s="2073" t="s">
        <v>34</v>
      </c>
      <c r="T53" s="2703">
        <v>7.07</v>
      </c>
      <c r="U53" s="952" t="s">
        <v>34</v>
      </c>
      <c r="V53" s="3313">
        <f>+((R53*R62)+(T53*T62))/V62</f>
        <v>5.657683356632341</v>
      </c>
      <c r="W53" s="2073" t="s">
        <v>34</v>
      </c>
      <c r="X53" s="3312">
        <v>7.04</v>
      </c>
      <c r="Y53" s="990" t="s">
        <v>34</v>
      </c>
      <c r="Z53" s="3314">
        <f>+((P53*P62)+(T53*T62)+(X53*X62))/Z62</f>
        <v>7.0453148386647628</v>
      </c>
      <c r="AA53" s="953" t="s">
        <v>34</v>
      </c>
      <c r="AB53" s="556">
        <f>+((N53*N62)+(Z53*Z62))/AB62</f>
        <v>5.8626315612946502</v>
      </c>
      <c r="AC53" s="2073" t="s">
        <v>34</v>
      </c>
      <c r="AD53" s="2703">
        <v>6.47</v>
      </c>
      <c r="AE53" s="952" t="s">
        <v>34</v>
      </c>
      <c r="AF53" s="3313">
        <f>+((AB53*AB62)+(AD53*AD62))/AF62</f>
        <v>5.9458927977077689</v>
      </c>
      <c r="AG53" s="2073" t="s">
        <v>34</v>
      </c>
      <c r="AH53" s="2703">
        <v>5.59</v>
      </c>
      <c r="AI53" s="952" t="s">
        <v>34</v>
      </c>
      <c r="AJ53" s="3313">
        <f>+((AF53*AF62)+(AH53*AH62))/AJ62</f>
        <v>5.8825540064712598</v>
      </c>
      <c r="AK53" s="2073" t="s">
        <v>34</v>
      </c>
      <c r="AL53" s="2703">
        <v>5.76</v>
      </c>
      <c r="AM53" s="990" t="s">
        <v>34</v>
      </c>
      <c r="AN53" s="3402">
        <f>+((AD53*AD62)+(AH53*AH62)+(AL53*AL62))/AN62</f>
        <v>5.8827679934249142</v>
      </c>
      <c r="AO53" s="952" t="s">
        <v>34</v>
      </c>
      <c r="AP53" s="3313">
        <f>+((AL53*AL62)+(AJ53*AJ62))/AP62</f>
        <v>5.8699530406198637</v>
      </c>
      <c r="AQ53" s="2073" t="s">
        <v>34</v>
      </c>
      <c r="AR53" s="2703">
        <v>6.48</v>
      </c>
      <c r="AS53" s="952" t="s">
        <v>34</v>
      </c>
      <c r="AT53" s="3313">
        <f>+((AP53*AP62)+(AR53*AR62))/AT62</f>
        <v>5.9304885598923276</v>
      </c>
      <c r="AU53" s="2073" t="s">
        <v>34</v>
      </c>
      <c r="AV53" s="2703">
        <v>6.33</v>
      </c>
      <c r="AW53" s="952" t="s">
        <v>34</v>
      </c>
      <c r="AX53" s="3313">
        <f>+((AT53*AT62)+(AV53*AV62))/AX62</f>
        <v>5.9663405819295559</v>
      </c>
      <c r="AY53" s="2073" t="s">
        <v>34</v>
      </c>
      <c r="AZ53" s="2703">
        <v>4.09</v>
      </c>
      <c r="BA53" s="990" t="s">
        <v>34</v>
      </c>
      <c r="BB53" s="3402">
        <f>+((AR53*AR62)+(AV53*AV62)+(AZ53*AZ62))/BB62</f>
        <v>5.6334211293614542</v>
      </c>
      <c r="BC53" s="953" t="s">
        <v>34</v>
      </c>
      <c r="BD53" s="556">
        <f>+((AN53*AN62)+(BB53*BB62))/BD62</f>
        <v>5.7642403942403933</v>
      </c>
      <c r="BE53" s="952" t="s">
        <v>34</v>
      </c>
      <c r="BF53" s="3313">
        <f>+((AX53*AX62)+(AZ53*AZ62))/BF62</f>
        <v>5.8113408260747397</v>
      </c>
      <c r="BG53" s="147"/>
      <c r="BH53" s="147"/>
      <c r="BI53" s="147"/>
      <c r="BJ53" s="147"/>
    </row>
    <row r="54" spans="1:62" x14ac:dyDescent="0.25">
      <c r="A54" s="181"/>
      <c r="B54" s="2588" t="s">
        <v>1406</v>
      </c>
      <c r="C54" s="672" t="s">
        <v>51</v>
      </c>
      <c r="D54" s="193"/>
      <c r="E54" s="2294" t="s">
        <v>34</v>
      </c>
      <c r="F54" s="1415">
        <v>1.96</v>
      </c>
      <c r="G54" s="2294" t="s">
        <v>34</v>
      </c>
      <c r="H54" s="1415">
        <v>0</v>
      </c>
      <c r="I54" s="3310"/>
      <c r="J54" s="3313">
        <f>+((F54*F64)+(H54*H64))/J64</f>
        <v>1.96</v>
      </c>
      <c r="K54" s="2294" t="s">
        <v>34</v>
      </c>
      <c r="L54" s="1415">
        <v>2.21</v>
      </c>
      <c r="M54" s="3311"/>
      <c r="N54" s="3314">
        <f>+((J54*J64)+(L54*L64))/N64</f>
        <v>2.1270107349298102</v>
      </c>
      <c r="O54" s="2294" t="s">
        <v>34</v>
      </c>
      <c r="P54" s="1415">
        <v>1.92</v>
      </c>
      <c r="Q54" s="3310"/>
      <c r="R54" s="3313">
        <f>+((N54*N64)+(P54*P64))/R64</f>
        <v>2.028806423611111</v>
      </c>
      <c r="S54" s="2073" t="s">
        <v>34</v>
      </c>
      <c r="T54" s="2703">
        <v>1.86</v>
      </c>
      <c r="U54" s="3310"/>
      <c r="V54" s="3313">
        <f>+((R54*R64)+(T54*T64))/V64</f>
        <v>1.9855828220858898</v>
      </c>
      <c r="W54" s="2073" t="s">
        <v>34</v>
      </c>
      <c r="X54" s="3312">
        <v>2.17</v>
      </c>
      <c r="Y54" s="3311"/>
      <c r="Z54" s="3314">
        <f>+((P54*P63)+(T54*T63)+(X54*X63))/Z63</f>
        <v>1.9739528625618361</v>
      </c>
      <c r="AA54" s="998"/>
      <c r="AB54" s="556">
        <f>+((N54*N64)+(Z54*Z64))/AB64</f>
        <v>2.0248460760263103</v>
      </c>
      <c r="AC54" s="2073" t="s">
        <v>34</v>
      </c>
      <c r="AD54" s="2703">
        <v>2.13</v>
      </c>
      <c r="AE54" s="3310"/>
      <c r="AF54" s="3313">
        <f>+((AB54*AB64)+(AD54*AD64))/AF64</f>
        <v>2.0300598666199954</v>
      </c>
      <c r="AG54" s="2073" t="s">
        <v>34</v>
      </c>
      <c r="AH54" s="2703">
        <v>0</v>
      </c>
      <c r="AI54" s="3310"/>
      <c r="AJ54" s="3313">
        <f>+((AF54*AF64)+(AH54*AH64))/AJ64</f>
        <v>2.0300598666199954</v>
      </c>
      <c r="AK54" s="2073" t="s">
        <v>34</v>
      </c>
      <c r="AL54" s="2703">
        <v>2.11</v>
      </c>
      <c r="AM54" s="3311"/>
      <c r="AN54" s="3402">
        <f>+((AD54*AD63)+(AH54*AH63)+(AL54*AL63))/AN63</f>
        <v>1.1860353130736423</v>
      </c>
      <c r="AO54" s="3310"/>
      <c r="AP54" s="3313">
        <f>+((AL54*AL64)+(AJ54*AJ64))/AP64</f>
        <v>2.0300598666199954</v>
      </c>
      <c r="AQ54" s="2073" t="s">
        <v>34</v>
      </c>
      <c r="AR54" s="2703">
        <v>2.16</v>
      </c>
      <c r="AS54" s="3310"/>
      <c r="AT54" s="3313">
        <f>+((AP54*AP64)+(AR54*AR64))/AT64</f>
        <v>2.0448715396272421</v>
      </c>
      <c r="AU54" s="2073" t="s">
        <v>34</v>
      </c>
      <c r="AV54" s="2703">
        <v>1.73</v>
      </c>
      <c r="AW54" s="3310"/>
      <c r="AX54" s="3313">
        <f>+((AT54*AT64)+(AV54*AV64))/AX64</f>
        <v>2.0104405701993042</v>
      </c>
      <c r="AY54" s="2073" t="s">
        <v>34</v>
      </c>
      <c r="AZ54" s="2703">
        <v>1.37</v>
      </c>
      <c r="BA54" s="3311"/>
      <c r="BB54" s="3402">
        <f>+((AR54*AR63)+(AV54*AV63)+(AZ54*AZ63))/BB63</f>
        <v>1.750528530770626</v>
      </c>
      <c r="BC54" s="998"/>
      <c r="BD54" s="556">
        <f>+((AN54*AN64)+(BB54*BB64))/BD64</f>
        <v>1.6945506020845993</v>
      </c>
      <c r="BE54" s="3310"/>
      <c r="BF54" s="3313">
        <f>+((AX54*AX64)+(AZ54*AZ64))/BF64</f>
        <v>1.9295500915595216</v>
      </c>
      <c r="BG54" s="147"/>
      <c r="BH54" s="147"/>
      <c r="BI54" s="147"/>
      <c r="BJ54" s="147"/>
    </row>
    <row r="55" spans="1:62" ht="15.75" thickBot="1" x14ac:dyDescent="0.3">
      <c r="A55" s="181"/>
      <c r="B55" s="2600" t="s">
        <v>611</v>
      </c>
      <c r="C55" s="1002" t="s">
        <v>51</v>
      </c>
      <c r="D55" s="1100"/>
      <c r="E55" s="3333" t="s">
        <v>34</v>
      </c>
      <c r="F55" s="3334">
        <v>5.18</v>
      </c>
      <c r="G55" s="3333" t="s">
        <v>34</v>
      </c>
      <c r="H55" s="3334">
        <v>5.45</v>
      </c>
      <c r="I55" s="3335" t="s">
        <v>34</v>
      </c>
      <c r="J55" s="3336">
        <f>+((F55*F66)+(H55*H66))/J66</f>
        <v>5.3338669330322244</v>
      </c>
      <c r="K55" s="3333" t="s">
        <v>34</v>
      </c>
      <c r="L55" s="3334">
        <v>6.6</v>
      </c>
      <c r="M55" s="3337" t="s">
        <v>34</v>
      </c>
      <c r="N55" s="3338">
        <f>+((F55*F66)+(H55*H66)+(L55*L66))/N66</f>
        <v>5.7554466975666276</v>
      </c>
      <c r="O55" s="3333" t="s">
        <v>34</v>
      </c>
      <c r="P55" s="3334">
        <v>7.29</v>
      </c>
      <c r="Q55" s="3335" t="s">
        <v>34</v>
      </c>
      <c r="R55" s="3336">
        <f>+((N55*N66)+(P55*P66))/R66</f>
        <v>6.0577883228657825</v>
      </c>
      <c r="S55" s="3339" t="s">
        <v>34</v>
      </c>
      <c r="T55" s="2722">
        <v>7.49</v>
      </c>
      <c r="U55" s="3335" t="s">
        <v>34</v>
      </c>
      <c r="V55" s="3336">
        <f>+((R55*R66)+(T55*T66))/V66</f>
        <v>6.2465980047659428</v>
      </c>
      <c r="W55" s="3339" t="s">
        <v>34</v>
      </c>
      <c r="X55" s="3094">
        <v>7.68</v>
      </c>
      <c r="Y55" s="3337" t="s">
        <v>34</v>
      </c>
      <c r="Z55" s="3338">
        <f>+((P55*P66)+(T55*T66)+(X55*X66))/Z66</f>
        <v>7.4941896699791428</v>
      </c>
      <c r="AA55" s="3340" t="s">
        <v>34</v>
      </c>
      <c r="AB55" s="570">
        <f>+((N55*N66)+(Z55*Z66))/AB66</f>
        <v>6.4764119173180941</v>
      </c>
      <c r="AC55" s="3339" t="s">
        <v>34</v>
      </c>
      <c r="AD55" s="2722">
        <v>7.33</v>
      </c>
      <c r="AE55" s="3335" t="s">
        <v>34</v>
      </c>
      <c r="AF55" s="3336">
        <f>+((AB55*AB66)+(AD55*AD66))/AF66</f>
        <v>6.5578282278228581</v>
      </c>
      <c r="AG55" s="3339" t="s">
        <v>34</v>
      </c>
      <c r="AH55" s="2722">
        <v>6.4</v>
      </c>
      <c r="AI55" s="3335" t="s">
        <v>34</v>
      </c>
      <c r="AJ55" s="3336">
        <f>+((AF55*AF66)+(AH55*AH66))/AJ66</f>
        <v>6.5395607943139273</v>
      </c>
      <c r="AK55" s="3339" t="s">
        <v>34</v>
      </c>
      <c r="AL55" s="2722">
        <v>6.7</v>
      </c>
      <c r="AM55" s="3337" t="s">
        <v>34</v>
      </c>
      <c r="AN55" s="3338">
        <f>+((AD55*AD66)+(AH55*AH66)+(AL55*AL66))/AN66</f>
        <v>6.7478359234591405</v>
      </c>
      <c r="AO55" s="3335" t="s">
        <v>34</v>
      </c>
      <c r="AP55" s="3336">
        <f>+((AL55*AL66)+(AJ55*AJ66))/AP66</f>
        <v>6.5645882083571827</v>
      </c>
      <c r="AQ55" s="3339" t="s">
        <v>34</v>
      </c>
      <c r="AR55" s="2722">
        <v>6.66</v>
      </c>
      <c r="AS55" s="3335" t="s">
        <v>34</v>
      </c>
      <c r="AT55" s="3336">
        <f>+((AP55*AP66)+(AR55*AR66))/AT66</f>
        <v>6.5802176868143434</v>
      </c>
      <c r="AU55" s="3339" t="s">
        <v>34</v>
      </c>
      <c r="AV55" s="2722">
        <v>6.75</v>
      </c>
      <c r="AW55" s="3335" t="s">
        <v>34</v>
      </c>
      <c r="AX55" s="3336">
        <f>+((AT55*AT66)+(AV55*AV66))/AX66</f>
        <v>6.5956105225589106</v>
      </c>
      <c r="AY55" s="3339" t="s">
        <v>34</v>
      </c>
      <c r="AZ55" s="2722">
        <v>7.46</v>
      </c>
      <c r="BA55" s="3337" t="s">
        <v>34</v>
      </c>
      <c r="BB55" s="3338">
        <f>+((AR55*AR66)+(AV55*AV66)+(AZ55*AZ66))/BB66</f>
        <v>6.880475784728711</v>
      </c>
      <c r="BC55" s="3340" t="s">
        <v>34</v>
      </c>
      <c r="BD55" s="570">
        <f>+((AN55*AN66)+(BB55*BB66))/BD66</f>
        <v>6.8223538041044485</v>
      </c>
      <c r="BE55" s="3335" t="s">
        <v>34</v>
      </c>
      <c r="BF55" s="3336">
        <f>+((AX55*AX66)+(AZ55*AZ66))/BF66</f>
        <v>6.657471389777907</v>
      </c>
      <c r="BG55" s="147"/>
      <c r="BH55" s="147"/>
      <c r="BI55" s="147"/>
      <c r="BJ55" s="147"/>
    </row>
    <row r="56" spans="1:62" ht="15.75" x14ac:dyDescent="0.25">
      <c r="A56" s="181"/>
      <c r="B56" s="3356" t="s">
        <v>1797</v>
      </c>
      <c r="C56" s="3586" t="s">
        <v>52</v>
      </c>
      <c r="D56" s="3690"/>
      <c r="E56" s="3691" t="s">
        <v>34</v>
      </c>
      <c r="F56" s="3692">
        <f>+RMHP!E27</f>
        <v>67042</v>
      </c>
      <c r="G56" s="3691" t="s">
        <v>34</v>
      </c>
      <c r="H56" s="3692">
        <f>+RMHP!G27</f>
        <v>57569</v>
      </c>
      <c r="I56" s="3676" t="s">
        <v>34</v>
      </c>
      <c r="J56" s="3677">
        <f t="shared" ref="J56:J67" si="320">+F56+H56</f>
        <v>124611</v>
      </c>
      <c r="K56" s="3691" t="s">
        <v>34</v>
      </c>
      <c r="L56" s="3692">
        <f>+RMHP!K27</f>
        <v>63412</v>
      </c>
      <c r="M56" s="3678" t="s">
        <v>34</v>
      </c>
      <c r="N56" s="3678">
        <f>F56+H56+L56</f>
        <v>188023</v>
      </c>
      <c r="O56" s="3691" t="s">
        <v>34</v>
      </c>
      <c r="P56" s="3692">
        <f>+RMHP!O27</f>
        <v>67912</v>
      </c>
      <c r="Q56" s="3676" t="s">
        <v>34</v>
      </c>
      <c r="R56" s="3677">
        <f t="shared" ref="R56:R67" si="321">+N56+P56</f>
        <v>255935</v>
      </c>
      <c r="S56" s="3693" t="s">
        <v>34</v>
      </c>
      <c r="T56" s="3692">
        <f>+RMHP!S27</f>
        <v>57796</v>
      </c>
      <c r="U56" s="3676" t="s">
        <v>34</v>
      </c>
      <c r="V56" s="3677">
        <f t="shared" ref="V56:V67" si="322">+R56+T56</f>
        <v>313731</v>
      </c>
      <c r="W56" s="3693" t="s">
        <v>34</v>
      </c>
      <c r="X56" s="3694">
        <f>+RMHP!W27</f>
        <v>67514</v>
      </c>
      <c r="Y56" s="3678" t="s">
        <v>34</v>
      </c>
      <c r="Z56" s="3678">
        <f>P56+T56+X56</f>
        <v>193222</v>
      </c>
      <c r="AA56" s="3680" t="s">
        <v>34</v>
      </c>
      <c r="AB56" s="3684">
        <f t="shared" ref="AB56:AB67" si="323">+N56+Z56</f>
        <v>381245</v>
      </c>
      <c r="AC56" s="3693" t="s">
        <v>34</v>
      </c>
      <c r="AD56" s="3694">
        <f>+RMHP!AC27</f>
        <v>69694</v>
      </c>
      <c r="AE56" s="3676" t="s">
        <v>34</v>
      </c>
      <c r="AF56" s="3677">
        <f t="shared" ref="AF56:AF67" si="324">+AB56+AD56</f>
        <v>450939</v>
      </c>
      <c r="AG56" s="3693" t="s">
        <v>34</v>
      </c>
      <c r="AH56" s="3694">
        <f>+RMHP!AG27</f>
        <v>67807</v>
      </c>
      <c r="AI56" s="3676" t="s">
        <v>34</v>
      </c>
      <c r="AJ56" s="3677">
        <f t="shared" ref="AJ56:AJ67" si="325">+AF56+AH56</f>
        <v>518746</v>
      </c>
      <c r="AK56" s="3693" t="s">
        <v>34</v>
      </c>
      <c r="AL56" s="3694">
        <f>+RMHP!AK27</f>
        <v>65985</v>
      </c>
      <c r="AM56" s="3678" t="s">
        <v>34</v>
      </c>
      <c r="AN56" s="3678">
        <f>AD56+AH56+AL56</f>
        <v>203486</v>
      </c>
      <c r="AO56" s="3676" t="s">
        <v>34</v>
      </c>
      <c r="AP56" s="3677">
        <f>+AL56+AJ56</f>
        <v>584731</v>
      </c>
      <c r="AQ56" s="3693" t="s">
        <v>34</v>
      </c>
      <c r="AR56" s="3694">
        <f>+RMHP!AQ27</f>
        <v>63599</v>
      </c>
      <c r="AS56" s="3676" t="s">
        <v>34</v>
      </c>
      <c r="AT56" s="3677">
        <f t="shared" ref="AT56:AT67" si="326">+AP56+AR56</f>
        <v>648330</v>
      </c>
      <c r="AU56" s="3693" t="s">
        <v>34</v>
      </c>
      <c r="AV56" s="3694">
        <f>+RMHP!AU27</f>
        <v>60856</v>
      </c>
      <c r="AW56" s="3676" t="s">
        <v>34</v>
      </c>
      <c r="AX56" s="3677">
        <f t="shared" ref="AX56:AX67" si="327">+AT56+AV56</f>
        <v>709186</v>
      </c>
      <c r="AY56" s="3693" t="s">
        <v>34</v>
      </c>
      <c r="AZ56" s="3694">
        <f>+RMHP!AY27</f>
        <v>67154</v>
      </c>
      <c r="BA56" s="3678" t="s">
        <v>34</v>
      </c>
      <c r="BB56" s="3678">
        <f>AR56+AV56+AZ56</f>
        <v>191609</v>
      </c>
      <c r="BC56" s="3680" t="s">
        <v>34</v>
      </c>
      <c r="BD56" s="562">
        <f>+AN56+BB56</f>
        <v>395095</v>
      </c>
      <c r="BE56" s="3676" t="s">
        <v>34</v>
      </c>
      <c r="BF56" s="3677">
        <f t="shared" ref="BF56:BF67" si="328">+AX56+AZ56</f>
        <v>776340</v>
      </c>
      <c r="BG56" s="147"/>
      <c r="BH56" s="147"/>
      <c r="BI56" s="147"/>
      <c r="BJ56" s="147"/>
    </row>
    <row r="57" spans="1:62" ht="15.75" thickBot="1" x14ac:dyDescent="0.3">
      <c r="A57" s="181" t="s">
        <v>478</v>
      </c>
      <c r="B57" s="2598" t="s">
        <v>591</v>
      </c>
      <c r="C57" s="87" t="s">
        <v>52</v>
      </c>
      <c r="D57" s="3298">
        <f>+(D26/((100-D69)/100))-D26</f>
        <v>729296.75509251887</v>
      </c>
      <c r="E57" s="3298">
        <f>+(E26/((100-E69)/100))-E26</f>
        <v>61469.297929226595</v>
      </c>
      <c r="F57" s="3298">
        <f>+F56-((F52/100)*F56)</f>
        <v>66411.805200000003</v>
      </c>
      <c r="G57" s="3298">
        <f>+(G26/((100-G69)/100))-G26</f>
        <v>51311.235983295046</v>
      </c>
      <c r="H57" s="3298">
        <f>+H56-((H52/100)*H56)</f>
        <v>57022.094499999999</v>
      </c>
      <c r="I57" s="3299">
        <f>+E57+G57</f>
        <v>112780.53391252164</v>
      </c>
      <c r="J57" s="53">
        <f t="shared" si="320"/>
        <v>123433.89970000001</v>
      </c>
      <c r="K57" s="3298">
        <f>+(K26/((100-K69)/100))-K26</f>
        <v>52353.08849057008</v>
      </c>
      <c r="L57" s="3298">
        <f>+L56-((L52/100)*L56)</f>
        <v>62752.515200000002</v>
      </c>
      <c r="M57" s="3300">
        <f>+K57+G57+E57</f>
        <v>165133.62240309172</v>
      </c>
      <c r="N57" s="3300">
        <f>+N56-((N52/100)*N56)</f>
        <v>186186.4149</v>
      </c>
      <c r="O57" s="3298">
        <f>+(O26/((100-O69)/100))-O26</f>
        <v>62250.687309682835</v>
      </c>
      <c r="P57" s="3298">
        <f>+P56-((P52/100)*P56)</f>
        <v>67029.144</v>
      </c>
      <c r="Q57" s="3299">
        <f>+M57+O57</f>
        <v>227384.30971277456</v>
      </c>
      <c r="R57" s="53">
        <f t="shared" si="321"/>
        <v>253215.5589</v>
      </c>
      <c r="S57" s="1297">
        <f>+(S26/((100-S69)/100))-S26</f>
        <v>62250.687309682835</v>
      </c>
      <c r="T57" s="3298">
        <f>+T56-((T52/100)*T56)</f>
        <v>57009.974399999999</v>
      </c>
      <c r="U57" s="3299">
        <f>+Q57+S57</f>
        <v>289634.99702245742</v>
      </c>
      <c r="V57" s="53">
        <f t="shared" si="322"/>
        <v>310225.53330000001</v>
      </c>
      <c r="W57" s="1297">
        <f>+(W26/((100-W69)/100))-W26</f>
        <v>60427.44542195159</v>
      </c>
      <c r="X57" s="217">
        <f>+X56-((X52/100)*X56)</f>
        <v>66656.572199999995</v>
      </c>
      <c r="Y57" s="97">
        <f>+W57+S57+O57</f>
        <v>184928.82004131726</v>
      </c>
      <c r="Z57" s="98">
        <f t="shared" ref="Z57:Z63" si="329">+X57+T57+P57</f>
        <v>190695.6906</v>
      </c>
      <c r="AA57" s="772">
        <f>M57+Y57</f>
        <v>350062.44244440901</v>
      </c>
      <c r="AB57" s="571">
        <f t="shared" si="323"/>
        <v>376882.10550000001</v>
      </c>
      <c r="AC57" s="4079">
        <f>+(AC26/((100-AC69)/100))-AC26</f>
        <v>64073.929197414138</v>
      </c>
      <c r="AD57" s="3616">
        <f>+AD56-((AD52/100)*AD56)</f>
        <v>68787.978000000003</v>
      </c>
      <c r="AE57" s="4071">
        <f>+AA57+AC57</f>
        <v>414136.37164182315</v>
      </c>
      <c r="AF57" s="53">
        <f t="shared" si="324"/>
        <v>445670.08350000001</v>
      </c>
      <c r="AG57" s="4189">
        <f>+(AG26/((100-AG69)/100))-AG26</f>
        <v>61990.224182864069</v>
      </c>
      <c r="AH57" s="3616">
        <f>+AH56-((AH52/100)*AH56)</f>
        <v>67067.903699999995</v>
      </c>
      <c r="AI57" s="4178">
        <f>+AE57+AG57</f>
        <v>476126.59582468722</v>
      </c>
      <c r="AJ57" s="53">
        <f t="shared" si="325"/>
        <v>512737.98719999997</v>
      </c>
      <c r="AK57" s="4325">
        <f>+(AK26/((100-AK69)/100))-AK26</f>
        <v>64334.392324232904</v>
      </c>
      <c r="AL57" s="3616">
        <f>+AL56-((AL52/100)*AL56)</f>
        <v>65067.808499999999</v>
      </c>
      <c r="AM57" s="97">
        <f>+AK57+AG57+AC57</f>
        <v>190398.54570451111</v>
      </c>
      <c r="AN57" s="98">
        <f t="shared" ref="AN57:AN58" si="330">+AL57+AH57+AD57</f>
        <v>200923.69020000001</v>
      </c>
      <c r="AO57" s="711">
        <f>+AK57+AI57</f>
        <v>540460.98814892012</v>
      </c>
      <c r="AP57" s="711">
        <f>+AL57+AJ57</f>
        <v>577805.79570000002</v>
      </c>
      <c r="AQ57" s="4429">
        <f>+(AQ26/((100-AQ69)/100))-AQ26</f>
        <v>64334.392324232904</v>
      </c>
      <c r="AR57" s="3616">
        <f>+AR56-((AR52/100)*AR56)</f>
        <v>62721.3338</v>
      </c>
      <c r="AS57" s="4420">
        <f>+AO57+AQ57</f>
        <v>604795.38047315297</v>
      </c>
      <c r="AT57" s="53">
        <f t="shared" si="326"/>
        <v>640527.12950000004</v>
      </c>
      <c r="AU57" s="4663">
        <f>+(AU26/((100-AU69)/100))-AU26</f>
        <v>59906.519168314058</v>
      </c>
      <c r="AV57" s="3616">
        <f>+AV56-((AV52/100)*AV56)</f>
        <v>60077.0432</v>
      </c>
      <c r="AW57" s="4648">
        <f>+AS57+AU57</f>
        <v>664701.89964146703</v>
      </c>
      <c r="AX57" s="53">
        <f t="shared" si="327"/>
        <v>700604.1727</v>
      </c>
      <c r="AY57" s="5052">
        <f>+(AY26/((100-AY69)/100))-AY26</f>
        <v>64594.85545105167</v>
      </c>
      <c r="AZ57" s="3616">
        <f>+AZ56-((AZ52/100)*AZ56)</f>
        <v>66610.052599999995</v>
      </c>
      <c r="BA57" s="97">
        <f>+AY57+AU57+AQ57</f>
        <v>188835.76694359863</v>
      </c>
      <c r="BB57" s="98">
        <f t="shared" ref="BB57:BB58" si="331">+AZ57+AV57+AR57</f>
        <v>189408.4296</v>
      </c>
      <c r="BC57" s="563">
        <f t="shared" ref="BC57" si="332">AM57+BA57</f>
        <v>379234.31264810974</v>
      </c>
      <c r="BD57" s="563">
        <f t="shared" ref="BD57" si="333">AN57+BB57</f>
        <v>390332.11979999999</v>
      </c>
      <c r="BE57" s="5037">
        <f>+AW57+AY57</f>
        <v>729296.75509251864</v>
      </c>
      <c r="BF57" s="53">
        <f t="shared" si="328"/>
        <v>767214.22530000005</v>
      </c>
      <c r="BG57" s="147"/>
      <c r="BH57" s="147"/>
      <c r="BI57" s="147"/>
      <c r="BJ57" s="147"/>
    </row>
    <row r="58" spans="1:62" ht="15.75" hidden="1" customHeight="1" thickBot="1" x14ac:dyDescent="0.3">
      <c r="A58" s="181"/>
      <c r="B58" s="2598" t="s">
        <v>1142</v>
      </c>
      <c r="C58" s="87" t="s">
        <v>52</v>
      </c>
      <c r="D58" s="2292" t="s">
        <v>34</v>
      </c>
      <c r="E58" s="2294" t="s">
        <v>34</v>
      </c>
      <c r="F58" s="3298"/>
      <c r="G58" s="2294" t="s">
        <v>34</v>
      </c>
      <c r="H58" s="3298"/>
      <c r="I58" s="999" t="s">
        <v>34</v>
      </c>
      <c r="J58" s="53">
        <f t="shared" si="320"/>
        <v>0</v>
      </c>
      <c r="K58" s="2294" t="s">
        <v>34</v>
      </c>
      <c r="L58" s="3298"/>
      <c r="M58" s="1000" t="s">
        <v>34</v>
      </c>
      <c r="N58" s="1000"/>
      <c r="O58" s="2294" t="s">
        <v>34</v>
      </c>
      <c r="P58" s="3298"/>
      <c r="Q58" s="999" t="s">
        <v>34</v>
      </c>
      <c r="R58" s="53">
        <f t="shared" si="321"/>
        <v>0</v>
      </c>
      <c r="S58" s="2073" t="s">
        <v>34</v>
      </c>
      <c r="T58" s="3298"/>
      <c r="U58" s="999" t="s">
        <v>34</v>
      </c>
      <c r="V58" s="53">
        <f t="shared" si="322"/>
        <v>0</v>
      </c>
      <c r="W58" s="2073" t="s">
        <v>34</v>
      </c>
      <c r="X58" s="217"/>
      <c r="Y58" s="1000" t="s">
        <v>34</v>
      </c>
      <c r="Z58" s="98">
        <f t="shared" si="329"/>
        <v>0</v>
      </c>
      <c r="AA58" s="1001" t="s">
        <v>34</v>
      </c>
      <c r="AB58" s="571">
        <f t="shared" si="323"/>
        <v>0</v>
      </c>
      <c r="AC58" s="2073" t="s">
        <v>34</v>
      </c>
      <c r="AD58" s="3616"/>
      <c r="AE58" s="999" t="s">
        <v>34</v>
      </c>
      <c r="AF58" s="53">
        <f t="shared" si="324"/>
        <v>0</v>
      </c>
      <c r="AG58" s="2073" t="s">
        <v>34</v>
      </c>
      <c r="AH58" s="3616"/>
      <c r="AI58" s="999" t="s">
        <v>34</v>
      </c>
      <c r="AJ58" s="53">
        <f t="shared" si="325"/>
        <v>0</v>
      </c>
      <c r="AK58" s="2073" t="s">
        <v>34</v>
      </c>
      <c r="AL58" s="3616"/>
      <c r="AM58" s="1000" t="s">
        <v>34</v>
      </c>
      <c r="AN58" s="98">
        <f t="shared" si="330"/>
        <v>0</v>
      </c>
      <c r="AO58" s="711" t="e">
        <f t="shared" ref="AO58:AO59" si="334">+AK58+AI58</f>
        <v>#VALUE!</v>
      </c>
      <c r="AP58" s="711">
        <f t="shared" ref="AO58:AP65" si="335">+AL58+AJ58</f>
        <v>0</v>
      </c>
      <c r="AQ58" s="2073" t="s">
        <v>34</v>
      </c>
      <c r="AR58" s="3616"/>
      <c r="AS58" s="999" t="s">
        <v>34</v>
      </c>
      <c r="AT58" s="53">
        <f t="shared" si="326"/>
        <v>0</v>
      </c>
      <c r="AU58" s="2073" t="s">
        <v>34</v>
      </c>
      <c r="AV58" s="3616"/>
      <c r="AW58" s="999" t="s">
        <v>34</v>
      </c>
      <c r="AX58" s="53">
        <f t="shared" si="327"/>
        <v>0</v>
      </c>
      <c r="AY58" s="2073" t="s">
        <v>34</v>
      </c>
      <c r="AZ58" s="3616"/>
      <c r="BA58" s="1000" t="s">
        <v>34</v>
      </c>
      <c r="BB58" s="98">
        <f t="shared" si="331"/>
        <v>0</v>
      </c>
      <c r="BC58" s="1001" t="s">
        <v>34</v>
      </c>
      <c r="BD58" s="571">
        <f t="shared" ref="BD58" si="336">+AP58+BB58</f>
        <v>0</v>
      </c>
      <c r="BE58" s="999" t="s">
        <v>34</v>
      </c>
      <c r="BF58" s="53">
        <f t="shared" si="328"/>
        <v>0</v>
      </c>
      <c r="BG58" s="147"/>
      <c r="BH58" s="147"/>
      <c r="BI58" s="147"/>
      <c r="BJ58" s="147"/>
    </row>
    <row r="59" spans="1:62" ht="15.75" thickBot="1" x14ac:dyDescent="0.3">
      <c r="A59" s="181"/>
      <c r="B59" s="2598" t="s">
        <v>599</v>
      </c>
      <c r="C59" s="87" t="s">
        <v>52</v>
      </c>
      <c r="D59" s="3298">
        <v>0</v>
      </c>
      <c r="E59" s="2294">
        <v>0</v>
      </c>
      <c r="F59" s="3298">
        <f>+F58-((F52/100)*F58)</f>
        <v>0</v>
      </c>
      <c r="G59" s="2294">
        <v>0</v>
      </c>
      <c r="H59" s="3298">
        <f>+H58-((H52/100)*H58)</f>
        <v>0</v>
      </c>
      <c r="I59" s="3299">
        <f>+E59+G59</f>
        <v>0</v>
      </c>
      <c r="J59" s="53">
        <f t="shared" si="320"/>
        <v>0</v>
      </c>
      <c r="K59" s="2294">
        <v>0</v>
      </c>
      <c r="L59" s="3298">
        <f>+L58-((L52/100)*L58)</f>
        <v>0</v>
      </c>
      <c r="M59" s="3300">
        <f>+K59+G59+E59</f>
        <v>0</v>
      </c>
      <c r="N59" s="3300">
        <f>+N58-((N52/100)*N58)</f>
        <v>0</v>
      </c>
      <c r="O59" s="2294">
        <v>0</v>
      </c>
      <c r="P59" s="3298">
        <f>+P58-((P52/100)*P58)</f>
        <v>0</v>
      </c>
      <c r="Q59" s="3299">
        <f>+M59+O59</f>
        <v>0</v>
      </c>
      <c r="R59" s="53">
        <f t="shared" si="321"/>
        <v>0</v>
      </c>
      <c r="S59" s="2073"/>
      <c r="T59" s="3298">
        <f>+T58-((T52/100)*T58)</f>
        <v>0</v>
      </c>
      <c r="U59" s="3299">
        <f>+Q59+S59</f>
        <v>0</v>
      </c>
      <c r="V59" s="53">
        <f t="shared" si="322"/>
        <v>0</v>
      </c>
      <c r="W59" s="2073"/>
      <c r="X59" s="217">
        <f>+X58-((X52/100)*X58)</f>
        <v>0</v>
      </c>
      <c r="Y59" s="97">
        <f>+W59+S59+O59</f>
        <v>0</v>
      </c>
      <c r="Z59" s="98">
        <f>+X59+T59+P59</f>
        <v>0</v>
      </c>
      <c r="AA59" s="772">
        <f>M59+Y59</f>
        <v>0</v>
      </c>
      <c r="AB59" s="571">
        <f t="shared" ref="AB59" si="337">+N59+Z59</f>
        <v>0</v>
      </c>
      <c r="AC59" s="2073"/>
      <c r="AD59" s="3616">
        <f>+AD58-((AD52/100)*AD58)</f>
        <v>0</v>
      </c>
      <c r="AE59" s="4071">
        <f>+AA59+AC59</f>
        <v>0</v>
      </c>
      <c r="AF59" s="53">
        <f t="shared" si="324"/>
        <v>0</v>
      </c>
      <c r="AG59" s="2073"/>
      <c r="AH59" s="3616">
        <f>+AH58-((AH52/100)*AH58)</f>
        <v>0</v>
      </c>
      <c r="AI59" s="4178">
        <f>+AE59+AG59</f>
        <v>0</v>
      </c>
      <c r="AJ59" s="53">
        <f t="shared" si="325"/>
        <v>0</v>
      </c>
      <c r="AK59" s="2073"/>
      <c r="AL59" s="3616">
        <f>+AL58-((AL52/100)*AL58)</f>
        <v>0</v>
      </c>
      <c r="AM59" s="97">
        <f>+AK59+AG59+AC59</f>
        <v>0</v>
      </c>
      <c r="AN59" s="98">
        <f>+AL59+AH59+AD59</f>
        <v>0</v>
      </c>
      <c r="AO59" s="711">
        <f t="shared" si="334"/>
        <v>0</v>
      </c>
      <c r="AP59" s="711">
        <f t="shared" si="335"/>
        <v>0</v>
      </c>
      <c r="AQ59" s="2073"/>
      <c r="AR59" s="3616">
        <f>+AR58-((AR52/100)*AR58)</f>
        <v>0</v>
      </c>
      <c r="AS59" s="4420">
        <f>+AO59+AQ59</f>
        <v>0</v>
      </c>
      <c r="AT59" s="53">
        <f t="shared" si="326"/>
        <v>0</v>
      </c>
      <c r="AU59" s="2073"/>
      <c r="AV59" s="3616">
        <f>+AV58-((AV52/100)*AV58)</f>
        <v>0</v>
      </c>
      <c r="AW59" s="4648">
        <f>+AS59+AU59</f>
        <v>0</v>
      </c>
      <c r="AX59" s="53">
        <f t="shared" si="327"/>
        <v>0</v>
      </c>
      <c r="AY59" s="2073"/>
      <c r="AZ59" s="3616">
        <f>+AZ58-((AZ52/100)*AZ58)</f>
        <v>0</v>
      </c>
      <c r="BA59" s="97">
        <f>+AY59+AU59+AQ59</f>
        <v>0</v>
      </c>
      <c r="BB59" s="98">
        <f>+AZ59+AV59+AR59</f>
        <v>0</v>
      </c>
      <c r="BC59" s="563">
        <f t="shared" ref="BC59" si="338">AM59+BA59</f>
        <v>0</v>
      </c>
      <c r="BD59" s="563">
        <f t="shared" ref="BD59:BD61" si="339">AN59+BB59</f>
        <v>0</v>
      </c>
      <c r="BE59" s="5037">
        <f>+AW59+AY59</f>
        <v>0</v>
      </c>
      <c r="BF59" s="53">
        <f t="shared" si="328"/>
        <v>0</v>
      </c>
      <c r="BG59" s="147"/>
      <c r="BH59" s="147"/>
      <c r="BI59" s="147"/>
      <c r="BJ59" s="147"/>
    </row>
    <row r="60" spans="1:62" ht="15.75" thickBot="1" x14ac:dyDescent="0.3">
      <c r="A60" s="181"/>
      <c r="B60" s="2598" t="s">
        <v>1408</v>
      </c>
      <c r="C60" s="87" t="s">
        <v>52</v>
      </c>
      <c r="D60" s="2292" t="s">
        <v>34</v>
      </c>
      <c r="E60" s="2294" t="s">
        <v>34</v>
      </c>
      <c r="F60" s="3298">
        <f>+F56+F58</f>
        <v>67042</v>
      </c>
      <c r="G60" s="2294" t="s">
        <v>34</v>
      </c>
      <c r="H60" s="3298">
        <f>+H56+H58</f>
        <v>57569</v>
      </c>
      <c r="I60" s="999" t="s">
        <v>34</v>
      </c>
      <c r="J60" s="53">
        <f t="shared" si="320"/>
        <v>124611</v>
      </c>
      <c r="K60" s="2294" t="s">
        <v>34</v>
      </c>
      <c r="L60" s="3298">
        <f>+L56+L58</f>
        <v>63412</v>
      </c>
      <c r="M60" s="1000" t="s">
        <v>34</v>
      </c>
      <c r="N60" s="1000">
        <f>+N56+N58</f>
        <v>188023</v>
      </c>
      <c r="O60" s="2294" t="s">
        <v>34</v>
      </c>
      <c r="P60" s="3298">
        <f>+P56+P58</f>
        <v>67912</v>
      </c>
      <c r="Q60" s="999" t="s">
        <v>34</v>
      </c>
      <c r="R60" s="53">
        <f t="shared" si="321"/>
        <v>255935</v>
      </c>
      <c r="S60" s="2073" t="s">
        <v>34</v>
      </c>
      <c r="T60" s="3298">
        <f>+T56+T58</f>
        <v>57796</v>
      </c>
      <c r="U60" s="999" t="s">
        <v>34</v>
      </c>
      <c r="V60" s="53">
        <f t="shared" si="322"/>
        <v>313731</v>
      </c>
      <c r="W60" s="2073" t="s">
        <v>34</v>
      </c>
      <c r="X60" s="217">
        <f>+X56+X58</f>
        <v>67514</v>
      </c>
      <c r="Y60" s="1000" t="s">
        <v>34</v>
      </c>
      <c r="Z60" s="98">
        <f t="shared" si="329"/>
        <v>193222</v>
      </c>
      <c r="AA60" s="1001" t="s">
        <v>34</v>
      </c>
      <c r="AB60" s="571">
        <f t="shared" si="323"/>
        <v>381245</v>
      </c>
      <c r="AC60" s="2073" t="s">
        <v>34</v>
      </c>
      <c r="AD60" s="3616">
        <f>+AD56+AD58</f>
        <v>69694</v>
      </c>
      <c r="AE60" s="999" t="s">
        <v>34</v>
      </c>
      <c r="AF60" s="53">
        <f t="shared" si="324"/>
        <v>450939</v>
      </c>
      <c r="AG60" s="2073" t="s">
        <v>34</v>
      </c>
      <c r="AH60" s="3616">
        <f>+AH56+AH58</f>
        <v>67807</v>
      </c>
      <c r="AI60" s="999" t="s">
        <v>34</v>
      </c>
      <c r="AJ60" s="53">
        <f t="shared" si="325"/>
        <v>518746</v>
      </c>
      <c r="AK60" s="2073" t="s">
        <v>34</v>
      </c>
      <c r="AL60" s="3616">
        <f>+AL56+AL58</f>
        <v>65985</v>
      </c>
      <c r="AM60" s="1000" t="s">
        <v>34</v>
      </c>
      <c r="AN60" s="98">
        <f t="shared" ref="AN60" si="340">+AL60+AH60+AD60</f>
        <v>203486</v>
      </c>
      <c r="AO60" s="999" t="s">
        <v>34</v>
      </c>
      <c r="AP60" s="711">
        <f t="shared" si="335"/>
        <v>584731</v>
      </c>
      <c r="AQ60" s="2073" t="s">
        <v>34</v>
      </c>
      <c r="AR60" s="3616">
        <f>+AR56+AR58</f>
        <v>63599</v>
      </c>
      <c r="AS60" s="999" t="s">
        <v>34</v>
      </c>
      <c r="AT60" s="53">
        <f t="shared" si="326"/>
        <v>648330</v>
      </c>
      <c r="AU60" s="2073" t="s">
        <v>34</v>
      </c>
      <c r="AV60" s="3616">
        <f>+AV56+AV58</f>
        <v>60856</v>
      </c>
      <c r="AW60" s="999" t="s">
        <v>34</v>
      </c>
      <c r="AX60" s="53">
        <f t="shared" si="327"/>
        <v>709186</v>
      </c>
      <c r="AY60" s="2073" t="s">
        <v>34</v>
      </c>
      <c r="AZ60" s="3616">
        <f>+AZ56+AZ58</f>
        <v>67154</v>
      </c>
      <c r="BA60" s="1000" t="s">
        <v>34</v>
      </c>
      <c r="BB60" s="98">
        <f t="shared" ref="BB60" si="341">+AZ60+AV60+AR60</f>
        <v>191609</v>
      </c>
      <c r="BC60" s="1001" t="s">
        <v>34</v>
      </c>
      <c r="BD60" s="563">
        <f t="shared" si="339"/>
        <v>395095</v>
      </c>
      <c r="BE60" s="999" t="s">
        <v>34</v>
      </c>
      <c r="BF60" s="53">
        <f t="shared" si="328"/>
        <v>776340</v>
      </c>
      <c r="BG60" s="147"/>
      <c r="BH60" s="147"/>
      <c r="BI60" s="147"/>
      <c r="BJ60" s="147"/>
    </row>
    <row r="61" spans="1:62" ht="15.75" thickBot="1" x14ac:dyDescent="0.3">
      <c r="A61" s="181" t="s">
        <v>478</v>
      </c>
      <c r="B61" s="2600" t="s">
        <v>1407</v>
      </c>
      <c r="C61" s="1002" t="s">
        <v>52</v>
      </c>
      <c r="D61" s="3298">
        <f>+D57+D59</f>
        <v>729296.75509251887</v>
      </c>
      <c r="E61" s="3298">
        <f>+E57+E59</f>
        <v>61469.297929226595</v>
      </c>
      <c r="F61" s="3298">
        <f>+F57+F59</f>
        <v>66411.805200000003</v>
      </c>
      <c r="G61" s="3298">
        <f>+G57+G59</f>
        <v>51311.235983295046</v>
      </c>
      <c r="H61" s="3298">
        <f>+H57+H59</f>
        <v>57022.094499999999</v>
      </c>
      <c r="I61" s="868">
        <f>+E61+G61</f>
        <v>112780.53391252164</v>
      </c>
      <c r="J61" s="58">
        <f t="shared" si="320"/>
        <v>123433.89970000001</v>
      </c>
      <c r="K61" s="3298">
        <f>+K57+K59</f>
        <v>52353.08849057008</v>
      </c>
      <c r="L61" s="3298">
        <f>+L57+L59</f>
        <v>62752.515200000002</v>
      </c>
      <c r="M61" s="3300">
        <f>+K61+G61+E61</f>
        <v>165133.62240309172</v>
      </c>
      <c r="N61" s="3300">
        <f>+N57+N59</f>
        <v>186186.4149</v>
      </c>
      <c r="O61" s="3298">
        <f>+O57+O59</f>
        <v>62250.687309682835</v>
      </c>
      <c r="P61" s="3298">
        <f>+P57+P59</f>
        <v>67029.144</v>
      </c>
      <c r="Q61" s="868">
        <f>+M61+O61</f>
        <v>227384.30971277456</v>
      </c>
      <c r="R61" s="58">
        <f t="shared" si="321"/>
        <v>253215.5589</v>
      </c>
      <c r="S61" s="1694">
        <f>+S57+S59</f>
        <v>62250.687309682835</v>
      </c>
      <c r="T61" s="3298">
        <f>+T57+T59</f>
        <v>57009.974399999999</v>
      </c>
      <c r="U61" s="868">
        <f>+Q61+S61</f>
        <v>289634.99702245742</v>
      </c>
      <c r="V61" s="58">
        <f t="shared" si="322"/>
        <v>310225.53330000001</v>
      </c>
      <c r="W61" s="1694">
        <f>+W57+W59</f>
        <v>60427.44542195159</v>
      </c>
      <c r="X61" s="217">
        <f>+X57+X59</f>
        <v>66656.572199999995</v>
      </c>
      <c r="Y61" s="97">
        <f>+W61+S61+O61</f>
        <v>184928.82004131726</v>
      </c>
      <c r="Z61" s="98">
        <f>+X61+T61+P61</f>
        <v>190695.6906</v>
      </c>
      <c r="AA61" s="772">
        <f>M61+Y61</f>
        <v>350062.44244440901</v>
      </c>
      <c r="AB61" s="571">
        <f t="shared" si="323"/>
        <v>376882.10550000001</v>
      </c>
      <c r="AC61" s="1694">
        <f>+AC57+AC59</f>
        <v>64073.929197414138</v>
      </c>
      <c r="AD61" s="3616">
        <f>+AD57+AD59</f>
        <v>68787.978000000003</v>
      </c>
      <c r="AE61" s="868">
        <f>+AA61+AC61</f>
        <v>414136.37164182315</v>
      </c>
      <c r="AF61" s="58">
        <f t="shared" si="324"/>
        <v>445670.08350000001</v>
      </c>
      <c r="AG61" s="1694">
        <f>+AG57+AG59</f>
        <v>61990.224182864069</v>
      </c>
      <c r="AH61" s="3616">
        <f>+AH57+AH59</f>
        <v>67067.903699999995</v>
      </c>
      <c r="AI61" s="868">
        <f>+AE61+AG61</f>
        <v>476126.59582468722</v>
      </c>
      <c r="AJ61" s="58">
        <f t="shared" si="325"/>
        <v>512737.98719999997</v>
      </c>
      <c r="AK61" s="1694">
        <f>+AK57+AK59</f>
        <v>64334.392324232904</v>
      </c>
      <c r="AL61" s="3616">
        <f>+AL57+AL59</f>
        <v>65067.808499999999</v>
      </c>
      <c r="AM61" s="97">
        <f>+AK61+AG61+AC61</f>
        <v>190398.54570451111</v>
      </c>
      <c r="AN61" s="98">
        <f>+AL61+AH61+AD61</f>
        <v>200923.69020000001</v>
      </c>
      <c r="AO61" s="711">
        <f t="shared" si="335"/>
        <v>540460.98814892012</v>
      </c>
      <c r="AP61" s="711">
        <f t="shared" si="335"/>
        <v>577805.79570000002</v>
      </c>
      <c r="AQ61" s="1694">
        <f>+AQ57+AQ59</f>
        <v>64334.392324232904</v>
      </c>
      <c r="AR61" s="3616">
        <f>+AR57+AR59</f>
        <v>62721.3338</v>
      </c>
      <c r="AS61" s="868">
        <f>+AO61+AQ61</f>
        <v>604795.38047315297</v>
      </c>
      <c r="AT61" s="58">
        <f t="shared" si="326"/>
        <v>640527.12950000004</v>
      </c>
      <c r="AU61" s="1694">
        <f>+AU57+AU59</f>
        <v>59906.519168314058</v>
      </c>
      <c r="AV61" s="3616">
        <f>+AV57+AV59</f>
        <v>60077.0432</v>
      </c>
      <c r="AW61" s="868">
        <f>+AS61+AU61</f>
        <v>664701.89964146703</v>
      </c>
      <c r="AX61" s="58">
        <f t="shared" si="327"/>
        <v>700604.1727</v>
      </c>
      <c r="AY61" s="1694">
        <f>+AY57+AY59</f>
        <v>64594.85545105167</v>
      </c>
      <c r="AZ61" s="3616">
        <f>+AZ57+AZ59</f>
        <v>66610.052599999995</v>
      </c>
      <c r="BA61" s="97">
        <f>+AY61+AU61+AQ61</f>
        <v>188835.76694359863</v>
      </c>
      <c r="BB61" s="98">
        <f>+AZ61+AV61+AR61</f>
        <v>189408.4296</v>
      </c>
      <c r="BC61" s="563">
        <f t="shared" ref="BC61" si="342">AM61+BA61</f>
        <v>379234.31264810974</v>
      </c>
      <c r="BD61" s="563">
        <f t="shared" si="339"/>
        <v>390332.11979999999</v>
      </c>
      <c r="BE61" s="868">
        <f>+AW61+AY61</f>
        <v>729296.75509251864</v>
      </c>
      <c r="BF61" s="58">
        <f t="shared" si="328"/>
        <v>767214.22530000005</v>
      </c>
      <c r="BG61" s="147"/>
      <c r="BH61" s="147"/>
      <c r="BI61" s="147"/>
      <c r="BJ61" s="147"/>
    </row>
    <row r="62" spans="1:62" ht="15.75" x14ac:dyDescent="0.25">
      <c r="A62" s="181"/>
      <c r="B62" s="2776" t="s">
        <v>252</v>
      </c>
      <c r="C62" s="3685" t="s">
        <v>52</v>
      </c>
      <c r="D62" s="3686" t="s">
        <v>34</v>
      </c>
      <c r="E62" s="3675" t="s">
        <v>34</v>
      </c>
      <c r="F62" s="2942">
        <f>+RMHP!E28</f>
        <v>12382</v>
      </c>
      <c r="G62" s="3675" t="s">
        <v>34</v>
      </c>
      <c r="H62" s="2942">
        <f>+RMHP!G28</f>
        <v>6899</v>
      </c>
      <c r="I62" s="3687" t="s">
        <v>34</v>
      </c>
      <c r="J62" s="129">
        <f t="shared" si="320"/>
        <v>19281</v>
      </c>
      <c r="K62" s="3675" t="s">
        <v>34</v>
      </c>
      <c r="L62" s="2942">
        <f>+RMHP!K28</f>
        <v>11620</v>
      </c>
      <c r="M62" s="3688" t="s">
        <v>34</v>
      </c>
      <c r="N62" s="3688">
        <f>F62+H62+L62</f>
        <v>30901</v>
      </c>
      <c r="O62" s="3675" t="s">
        <v>34</v>
      </c>
      <c r="P62" s="2942">
        <f>+RMHP!O28</f>
        <v>8879</v>
      </c>
      <c r="Q62" s="3687" t="s">
        <v>34</v>
      </c>
      <c r="R62" s="129">
        <f t="shared" si="321"/>
        <v>39780</v>
      </c>
      <c r="S62" s="3679" t="s">
        <v>34</v>
      </c>
      <c r="T62" s="2942">
        <f>+RMHP!S28</f>
        <v>11009</v>
      </c>
      <c r="U62" s="3687" t="s">
        <v>34</v>
      </c>
      <c r="V62" s="129">
        <f t="shared" si="322"/>
        <v>50789</v>
      </c>
      <c r="W62" s="3679" t="s">
        <v>34</v>
      </c>
      <c r="X62" s="1420">
        <f>+RMHP!W28</f>
        <v>8841</v>
      </c>
      <c r="Y62" s="3688" t="s">
        <v>34</v>
      </c>
      <c r="Z62" s="3111">
        <f>P62+T62+X62</f>
        <v>28729</v>
      </c>
      <c r="AA62" s="3689" t="s">
        <v>34</v>
      </c>
      <c r="AB62" s="586">
        <f t="shared" si="323"/>
        <v>59630</v>
      </c>
      <c r="AC62" s="3679" t="s">
        <v>34</v>
      </c>
      <c r="AD62" s="1420">
        <f>+RMHP!AC28</f>
        <v>9473</v>
      </c>
      <c r="AE62" s="3687" t="s">
        <v>34</v>
      </c>
      <c r="AF62" s="129">
        <f t="shared" si="324"/>
        <v>69103</v>
      </c>
      <c r="AG62" s="3679" t="s">
        <v>34</v>
      </c>
      <c r="AH62" s="1420">
        <f>+RMHP!AG28</f>
        <v>14961</v>
      </c>
      <c r="AI62" s="3687" t="s">
        <v>34</v>
      </c>
      <c r="AJ62" s="129">
        <f t="shared" si="325"/>
        <v>84064</v>
      </c>
      <c r="AK62" s="3679" t="s">
        <v>34</v>
      </c>
      <c r="AL62" s="1420">
        <f>+RMHP!AK28</f>
        <v>9634</v>
      </c>
      <c r="AM62" s="3688" t="s">
        <v>34</v>
      </c>
      <c r="AN62" s="3111">
        <f>AD62+AH62+AL62</f>
        <v>34068</v>
      </c>
      <c r="AO62" s="3687" t="s">
        <v>34</v>
      </c>
      <c r="AP62" s="3677">
        <f>+AL62+AJ62</f>
        <v>93698</v>
      </c>
      <c r="AQ62" s="3679" t="s">
        <v>34</v>
      </c>
      <c r="AR62" s="1420">
        <f>+RMHP!AQ28</f>
        <v>10322</v>
      </c>
      <c r="AS62" s="3687" t="s">
        <v>34</v>
      </c>
      <c r="AT62" s="129">
        <f t="shared" si="326"/>
        <v>104020</v>
      </c>
      <c r="AU62" s="3679" t="s">
        <v>34</v>
      </c>
      <c r="AV62" s="1420">
        <f>+RMHP!AU28</f>
        <v>10255</v>
      </c>
      <c r="AW62" s="3687" t="s">
        <v>34</v>
      </c>
      <c r="AX62" s="129">
        <f t="shared" si="327"/>
        <v>114275</v>
      </c>
      <c r="AY62" s="3679" t="s">
        <v>34</v>
      </c>
      <c r="AZ62" s="1420">
        <f>+RMHP!AY28</f>
        <v>10290</v>
      </c>
      <c r="BA62" s="3688" t="s">
        <v>34</v>
      </c>
      <c r="BB62" s="3111">
        <f>AR62+AV62+AZ62</f>
        <v>30867</v>
      </c>
      <c r="BC62" s="3689" t="s">
        <v>34</v>
      </c>
      <c r="BD62" s="562">
        <f>+AN62+BB62</f>
        <v>64935</v>
      </c>
      <c r="BE62" s="3687" t="s">
        <v>34</v>
      </c>
      <c r="BF62" s="129">
        <f t="shared" si="328"/>
        <v>124565</v>
      </c>
      <c r="BG62" s="147"/>
      <c r="BH62" s="147"/>
      <c r="BI62" s="147"/>
      <c r="BJ62" s="147"/>
    </row>
    <row r="63" spans="1:62" ht="15.75" thickBot="1" x14ac:dyDescent="0.3">
      <c r="A63" s="181" t="s">
        <v>478</v>
      </c>
      <c r="B63" s="2589" t="s">
        <v>253</v>
      </c>
      <c r="C63" s="912" t="s">
        <v>52</v>
      </c>
      <c r="D63" s="3298">
        <f>+((D22+D23)/((100-D70)/100))-(D22+D23)</f>
        <v>134102.89285714296</v>
      </c>
      <c r="E63" s="3298">
        <f>+((E22+E23)/((100-E70)/100))-(E22+E23)</f>
        <v>11231.071428571435</v>
      </c>
      <c r="F63" s="3298">
        <f>+F62-((F53/100)*F62)</f>
        <v>11904.0548</v>
      </c>
      <c r="G63" s="3298">
        <f>+((G22+G23)/((100-G70)/100))-(G22+G23)</f>
        <v>9489.4196428571595</v>
      </c>
      <c r="H63" s="3298">
        <f>+H62-((H53/100)*H62)</f>
        <v>6605.7924999999996</v>
      </c>
      <c r="I63" s="868">
        <f>+E63+G63</f>
        <v>20720.491071428594</v>
      </c>
      <c r="J63" s="58">
        <f t="shared" si="320"/>
        <v>18509.847300000001</v>
      </c>
      <c r="K63" s="3298">
        <f>+((K22+K23)/((100-K70)/100))-(K22+K23)</f>
        <v>10265.357142857159</v>
      </c>
      <c r="L63" s="3298">
        <f>+L62-((L53/100)*L62)</f>
        <v>10919.314</v>
      </c>
      <c r="M63" s="3300">
        <f>+K63+G63+E63</f>
        <v>30985.848214285754</v>
      </c>
      <c r="N63" s="3300">
        <f>+N62-((N53/100)*N62)</f>
        <v>29429.1613</v>
      </c>
      <c r="O63" s="3298">
        <f>+((O22+O23)/((100-O70)/100))-(O22+O23)</f>
        <v>11845.437500000015</v>
      </c>
      <c r="P63" s="3298">
        <f>+P62-((P53/100)*P62)</f>
        <v>8255.6941999999999</v>
      </c>
      <c r="Q63" s="868">
        <f>+M63+O63</f>
        <v>42831.285714285768</v>
      </c>
      <c r="R63" s="58">
        <f t="shared" si="321"/>
        <v>37684.855499999998</v>
      </c>
      <c r="S63" s="1695">
        <f>+((S22+S23)/((100-S70)/100))-(S22+S23)</f>
        <v>11651.250000000015</v>
      </c>
      <c r="T63" s="3298">
        <f>+T62-((T53/100)*T62)</f>
        <v>10230.663700000001</v>
      </c>
      <c r="U63" s="868">
        <f>+Q63+S63</f>
        <v>54482.535714285783</v>
      </c>
      <c r="V63" s="58">
        <f t="shared" si="322"/>
        <v>47915.519199999995</v>
      </c>
      <c r="W63" s="1695">
        <f>+((W22+W23)/((100-W70)/100))-(W22+W23)</f>
        <v>11175.357142857159</v>
      </c>
      <c r="X63" s="217">
        <f>+X62-((X53/100)*X62)</f>
        <v>8218.5936000000002</v>
      </c>
      <c r="Y63" s="97">
        <f>+W63+S63+O63</f>
        <v>34672.044642857189</v>
      </c>
      <c r="Z63" s="98">
        <f t="shared" si="329"/>
        <v>26704.951500000003</v>
      </c>
      <c r="AA63" s="772">
        <f>M63+Y63</f>
        <v>65657.892857142942</v>
      </c>
      <c r="AB63" s="571">
        <f t="shared" si="323"/>
        <v>56134.112800000003</v>
      </c>
      <c r="AC63" s="1695">
        <f>+((AC22+AC23)/((100-AC70)/100))-(AC22+AC23)</f>
        <v>11564.196428571435</v>
      </c>
      <c r="AD63" s="3616">
        <f>+AD62-((AD53/100)*AD62)</f>
        <v>8860.0969000000005</v>
      </c>
      <c r="AE63" s="868">
        <f>+AA63+AC63</f>
        <v>77222.089285714377</v>
      </c>
      <c r="AF63" s="58">
        <f t="shared" si="324"/>
        <v>64994.209700000007</v>
      </c>
      <c r="AG63" s="1695">
        <f>+((AG22+AG23)/((100-AG70)/100))-(AG22+AG23)</f>
        <v>11188.125000000015</v>
      </c>
      <c r="AH63" s="3616">
        <f>+AH62-((AH53/100)*AH62)</f>
        <v>14124.6801</v>
      </c>
      <c r="AI63" s="868">
        <f>+AE63+AG63</f>
        <v>88410.214285714392</v>
      </c>
      <c r="AJ63" s="58">
        <f t="shared" si="325"/>
        <v>79118.889800000004</v>
      </c>
      <c r="AK63" s="1695">
        <f>+((AK22+AK23)/((100-AK70)/100))-(AK22+AK23)</f>
        <v>11611.20535714287</v>
      </c>
      <c r="AL63" s="3616">
        <f>+AL62-((AL53/100)*AL62)</f>
        <v>9079.0815999999995</v>
      </c>
      <c r="AM63" s="97">
        <f>+AK63+AG63+AC63</f>
        <v>34363.526785714319</v>
      </c>
      <c r="AN63" s="98">
        <f t="shared" ref="AN63:AN65" si="343">+AL63+AH63+AD63</f>
        <v>32063.8586</v>
      </c>
      <c r="AO63" s="711">
        <f t="shared" si="335"/>
        <v>100021.41964285726</v>
      </c>
      <c r="AP63" s="711">
        <f t="shared" si="335"/>
        <v>88197.971400000009</v>
      </c>
      <c r="AQ63" s="1695">
        <f>+((AQ22+AQ23)/((100-AQ70)/100))-(AQ22+AQ23)</f>
        <v>11611.20535714287</v>
      </c>
      <c r="AR63" s="3616">
        <f>+AR62-((AR53/100)*AR62)</f>
        <v>9653.134399999999</v>
      </c>
      <c r="AS63" s="868">
        <f>+AO63+AQ63</f>
        <v>111632.62500000013</v>
      </c>
      <c r="AT63" s="58">
        <f t="shared" si="326"/>
        <v>97851.105800000005</v>
      </c>
      <c r="AU63" s="1695">
        <f>+((AU22+AU23)/((100-AU70)/100))-(AU22+AU23)</f>
        <v>10812.05357142858</v>
      </c>
      <c r="AV63" s="3616">
        <f>+AV62-((AV53/100)*AV62)</f>
        <v>9605.8585000000003</v>
      </c>
      <c r="AW63" s="868">
        <f>+AS63+AU63</f>
        <v>122444.67857142871</v>
      </c>
      <c r="AX63" s="58">
        <f t="shared" si="327"/>
        <v>107456.96430000001</v>
      </c>
      <c r="AY63" s="1695">
        <f>+((AY22+AY23)/((100-AY70)/100))-(AY22+AY23)</f>
        <v>11658.214285714304</v>
      </c>
      <c r="AZ63" s="3616">
        <f>+AZ62-((AZ53/100)*AZ62)</f>
        <v>9869.1389999999992</v>
      </c>
      <c r="BA63" s="97">
        <f>+AY63+AU63+AQ63</f>
        <v>34081.473214285754</v>
      </c>
      <c r="BB63" s="98">
        <f t="shared" ref="BB63:BB65" si="344">+AZ63+AV63+AR63</f>
        <v>29128.131899999997</v>
      </c>
      <c r="BC63" s="563">
        <f t="shared" ref="BC63" si="345">AM63+BA63</f>
        <v>68445.000000000073</v>
      </c>
      <c r="BD63" s="563">
        <f t="shared" ref="BD63" si="346">AN63+BB63</f>
        <v>61191.9905</v>
      </c>
      <c r="BE63" s="868">
        <f>+AW63+AY63</f>
        <v>134102.89285714302</v>
      </c>
      <c r="BF63" s="58">
        <f t="shared" si="328"/>
        <v>117326.1033</v>
      </c>
      <c r="BG63" s="147"/>
      <c r="BH63" s="147"/>
      <c r="BI63" s="147"/>
      <c r="BJ63" s="147"/>
    </row>
    <row r="64" spans="1:62" ht="16.5" thickBot="1" x14ac:dyDescent="0.3">
      <c r="A64" s="181"/>
      <c r="B64" s="3356" t="s">
        <v>1404</v>
      </c>
      <c r="C64" s="3587" t="s">
        <v>52</v>
      </c>
      <c r="D64" s="2942"/>
      <c r="E64" s="2942"/>
      <c r="F64" s="2942">
        <f>+RMHP!E30</f>
        <v>402</v>
      </c>
      <c r="G64" s="2942"/>
      <c r="H64" s="2942">
        <f>+RMHP!G30</f>
        <v>0</v>
      </c>
      <c r="I64" s="3582"/>
      <c r="J64" s="3023">
        <f t="shared" si="320"/>
        <v>402</v>
      </c>
      <c r="K64" s="2942"/>
      <c r="L64" s="2942">
        <f>+RMHP!K30</f>
        <v>809</v>
      </c>
      <c r="M64" s="3681"/>
      <c r="N64" s="3681">
        <f>F64+H64+L64</f>
        <v>1211</v>
      </c>
      <c r="O64" s="2942"/>
      <c r="P64" s="2942">
        <f>+RMHP!O30</f>
        <v>1093</v>
      </c>
      <c r="Q64" s="3582"/>
      <c r="R64" s="3023">
        <f t="shared" si="321"/>
        <v>2304</v>
      </c>
      <c r="S64" s="2942"/>
      <c r="T64" s="2942">
        <f>+RMHP!S30</f>
        <v>793</v>
      </c>
      <c r="U64" s="3582"/>
      <c r="V64" s="3023">
        <f t="shared" si="322"/>
        <v>3097</v>
      </c>
      <c r="W64" s="3682"/>
      <c r="X64" s="1420">
        <f>+RMHP!W30</f>
        <v>545</v>
      </c>
      <c r="Y64" s="3683"/>
      <c r="Z64" s="3681">
        <f>P64+T64+X64</f>
        <v>2431</v>
      </c>
      <c r="AA64" s="3584"/>
      <c r="AB64" s="3684">
        <f t="shared" si="323"/>
        <v>3642</v>
      </c>
      <c r="AC64" s="2942"/>
      <c r="AD64" s="1420">
        <f>+RMHP!AC30</f>
        <v>190</v>
      </c>
      <c r="AE64" s="4073"/>
      <c r="AF64" s="3023">
        <f t="shared" si="324"/>
        <v>3832</v>
      </c>
      <c r="AG64" s="2942"/>
      <c r="AH64" s="1420">
        <f>+RMHP!AG30</f>
        <v>0</v>
      </c>
      <c r="AI64" s="4180"/>
      <c r="AJ64" s="3023">
        <f t="shared" si="325"/>
        <v>3832</v>
      </c>
      <c r="AK64" s="2942"/>
      <c r="AL64" s="1420">
        <f>+RMHP!AK30</f>
        <v>0</v>
      </c>
      <c r="AM64" s="3683"/>
      <c r="AN64" s="3681">
        <f>AD64+AH64+AL64</f>
        <v>190</v>
      </c>
      <c r="AO64" s="4315"/>
      <c r="AP64" s="3677">
        <f>+AL64+AJ64</f>
        <v>3832</v>
      </c>
      <c r="AQ64" s="2942"/>
      <c r="AR64" s="1420">
        <f>+RMHP!AQ30</f>
        <v>493</v>
      </c>
      <c r="AS64" s="4422"/>
      <c r="AT64" s="3023">
        <f t="shared" si="326"/>
        <v>4325</v>
      </c>
      <c r="AU64" s="2942"/>
      <c r="AV64" s="1420">
        <f>+RMHP!AU30</f>
        <v>531</v>
      </c>
      <c r="AW64" s="4652"/>
      <c r="AX64" s="3023">
        <f t="shared" si="327"/>
        <v>4856</v>
      </c>
      <c r="AY64" s="2942"/>
      <c r="AZ64" s="1420">
        <f>+RMHP!AY30</f>
        <v>702</v>
      </c>
      <c r="BA64" s="3683"/>
      <c r="BB64" s="3681">
        <f>AR64+AV64+AZ64</f>
        <v>1726</v>
      </c>
      <c r="BC64" s="5042"/>
      <c r="BD64" s="562">
        <f>+AN64+BB64</f>
        <v>1916</v>
      </c>
      <c r="BE64" s="5043"/>
      <c r="BF64" s="3023">
        <f t="shared" si="328"/>
        <v>5558</v>
      </c>
      <c r="BG64" s="147"/>
      <c r="BH64" s="147"/>
      <c r="BI64" s="147"/>
      <c r="BJ64" s="147"/>
    </row>
    <row r="65" spans="1:62" ht="15.75" thickBot="1" x14ac:dyDescent="0.3">
      <c r="A65" s="181"/>
      <c r="B65" s="2589" t="s">
        <v>1405</v>
      </c>
      <c r="C65" s="912" t="s">
        <v>52</v>
      </c>
      <c r="D65" s="3298">
        <f>D29/((100-D71)/100)-D29</f>
        <v>19761.248148991377</v>
      </c>
      <c r="E65" s="3298">
        <f>E29/((100-E71)/100)-E29</f>
        <v>1665.5909154149922</v>
      </c>
      <c r="F65" s="3298">
        <f>+F64-((F54/100)*F64)</f>
        <v>394.12079999999997</v>
      </c>
      <c r="G65" s="3298">
        <f>G29/((100-G71)/100)-G29</f>
        <v>1390.3449590540404</v>
      </c>
      <c r="H65" s="3298">
        <f>+H64-((H54/100)*H64)</f>
        <v>0</v>
      </c>
      <c r="I65" s="3309"/>
      <c r="J65" s="58">
        <f t="shared" si="320"/>
        <v>394.12079999999997</v>
      </c>
      <c r="K65" s="3298">
        <f>K29/((100-K71)/100)-K29</f>
        <v>1418.5753135525956</v>
      </c>
      <c r="L65" s="3298">
        <f>+L64-((L54/100)*L64)</f>
        <v>791.12109999999996</v>
      </c>
      <c r="M65" s="1399">
        <f>E65+G65+K65</f>
        <v>4474.5111880216282</v>
      </c>
      <c r="N65" s="1399">
        <f>+N64-((N54/100)*N64)</f>
        <v>1185.2419</v>
      </c>
      <c r="O65" s="3298">
        <f>O29/((100-O71)/100)-O29</f>
        <v>1686.7636812889104</v>
      </c>
      <c r="P65" s="3298">
        <f>+P64-((P54/100)*P64)</f>
        <v>1072.0144</v>
      </c>
      <c r="Q65" s="3309">
        <f>M65+O65</f>
        <v>6161.2748693105386</v>
      </c>
      <c r="R65" s="58">
        <f t="shared" si="321"/>
        <v>2257.2563</v>
      </c>
      <c r="S65" s="3298">
        <f>S29/((100-S71)/100)-S29</f>
        <v>1686.7636812889104</v>
      </c>
      <c r="T65" s="3298">
        <f>+T64-((T54/100)*T64)</f>
        <v>778.25019999999995</v>
      </c>
      <c r="U65" s="3309">
        <f>Q65+S65</f>
        <v>7848.0385505994491</v>
      </c>
      <c r="V65" s="58">
        <f t="shared" si="322"/>
        <v>3035.5065</v>
      </c>
      <c r="W65" s="1429">
        <f>W29/((100-W71)/100)-W29</f>
        <v>1637.3605609164297</v>
      </c>
      <c r="X65" s="217">
        <f>+X64-((X54/100)*X64)</f>
        <v>533.17349999999999</v>
      </c>
      <c r="Y65" s="97">
        <f>+W65+S65+O65</f>
        <v>5010.8879234942506</v>
      </c>
      <c r="Z65" s="1399">
        <f>+Z64-((Z54/100)*Z64)</f>
        <v>2383.013205911122</v>
      </c>
      <c r="AA65" s="772">
        <f>M65+Y65</f>
        <v>9485.3991115158788</v>
      </c>
      <c r="AB65" s="550">
        <f t="shared" si="323"/>
        <v>3568.255105911122</v>
      </c>
      <c r="AC65" s="3616">
        <f>AC29/((100-AC71)/100)-AC29</f>
        <v>1736.1668016613912</v>
      </c>
      <c r="AD65" s="3616">
        <f>+AD64-((AD54/100)*AD64)</f>
        <v>185.953</v>
      </c>
      <c r="AE65" s="4080">
        <f>AA65+AC65</f>
        <v>11221.56591317727</v>
      </c>
      <c r="AF65" s="58">
        <f t="shared" si="324"/>
        <v>3754.2081059111219</v>
      </c>
      <c r="AG65" s="3616">
        <f>AG29/((100-AG71)/100)-AG29</f>
        <v>1679.7060926642735</v>
      </c>
      <c r="AH65" s="3616">
        <f>+AH64-((AH54/100)*AH64)</f>
        <v>0</v>
      </c>
      <c r="AI65" s="4185">
        <f>AE65+AG65</f>
        <v>12901.272005841543</v>
      </c>
      <c r="AJ65" s="58">
        <f t="shared" si="325"/>
        <v>3754.2081059111219</v>
      </c>
      <c r="AK65" s="3616">
        <f>AK29/((100-AK71)/100)-AK29</f>
        <v>1743.2243902860282</v>
      </c>
      <c r="AL65" s="3616">
        <f>+AL64-((AL54/100)*AL64)</f>
        <v>0</v>
      </c>
      <c r="AM65" s="97">
        <f>+AK65+AG65+AC65</f>
        <v>5159.0972846116929</v>
      </c>
      <c r="AN65" s="98">
        <f t="shared" si="343"/>
        <v>185.953</v>
      </c>
      <c r="AO65" s="711">
        <f t="shared" si="335"/>
        <v>14644.496396127572</v>
      </c>
      <c r="AP65" s="711">
        <f t="shared" si="335"/>
        <v>3754.2081059111219</v>
      </c>
      <c r="AQ65" s="3616">
        <f>AQ29/((100-AQ71)/100)-AQ29</f>
        <v>1743.2243902860282</v>
      </c>
      <c r="AR65" s="3616">
        <f>+AR64-((AR54/100)*AR64)</f>
        <v>482.35120000000001</v>
      </c>
      <c r="AS65" s="4425">
        <f>AO65+AQ65</f>
        <v>16387.7207864136</v>
      </c>
      <c r="AT65" s="58">
        <f t="shared" si="326"/>
        <v>4236.5593059111216</v>
      </c>
      <c r="AU65" s="3616">
        <f>AU29/((100-AU71)/100)-AU29</f>
        <v>1623.2453836671557</v>
      </c>
      <c r="AV65" s="3616">
        <f>+AV64-((AV54/100)*AV64)</f>
        <v>521.81370000000004</v>
      </c>
      <c r="AW65" s="4657">
        <f>AS65+AU65</f>
        <v>18010.966170080756</v>
      </c>
      <c r="AX65" s="58">
        <f t="shared" si="327"/>
        <v>4758.3730059111213</v>
      </c>
      <c r="AY65" s="3616">
        <f>AY29/((100-AY71)/100)-AY29</f>
        <v>1750.2819789106725</v>
      </c>
      <c r="AZ65" s="3616">
        <f>+AZ64-((AZ54/100)*AZ64)</f>
        <v>692.38260000000002</v>
      </c>
      <c r="BA65" s="97">
        <f>+AY65+AU65+AQ65</f>
        <v>5116.7517528638564</v>
      </c>
      <c r="BB65" s="98">
        <f t="shared" si="344"/>
        <v>1696.5475000000001</v>
      </c>
      <c r="BC65" s="563">
        <f t="shared" ref="BC65" si="347">AM65+BA65</f>
        <v>10275.849037475549</v>
      </c>
      <c r="BD65" s="563">
        <f t="shared" ref="BD65" si="348">AN65+BB65</f>
        <v>1882.5005000000001</v>
      </c>
      <c r="BE65" s="5048">
        <f>AW65+AY65</f>
        <v>19761.248148991428</v>
      </c>
      <c r="BF65" s="58">
        <f t="shared" si="328"/>
        <v>5450.7556059111212</v>
      </c>
      <c r="BG65" s="147"/>
      <c r="BH65" s="147"/>
      <c r="BI65" s="147"/>
      <c r="BJ65" s="147"/>
    </row>
    <row r="66" spans="1:62" ht="15.75" x14ac:dyDescent="0.25">
      <c r="A66" s="181"/>
      <c r="B66" s="3356" t="s">
        <v>612</v>
      </c>
      <c r="C66" s="3586" t="s">
        <v>52</v>
      </c>
      <c r="D66" s="3674" t="s">
        <v>34</v>
      </c>
      <c r="E66" s="3675" t="s">
        <v>34</v>
      </c>
      <c r="F66" s="2942">
        <f>+RMHP!E29</f>
        <v>9904</v>
      </c>
      <c r="G66" s="3675" t="s">
        <v>34</v>
      </c>
      <c r="H66" s="2942">
        <f>+RMHP!G29</f>
        <v>13122</v>
      </c>
      <c r="I66" s="3676" t="s">
        <v>34</v>
      </c>
      <c r="J66" s="3677">
        <f t="shared" si="320"/>
        <v>23026</v>
      </c>
      <c r="K66" s="3675" t="s">
        <v>34</v>
      </c>
      <c r="L66" s="2942">
        <f>+RMHP!K29</f>
        <v>11494</v>
      </c>
      <c r="M66" s="3678" t="s">
        <v>34</v>
      </c>
      <c r="N66" s="3678">
        <f>F66+H66+L66</f>
        <v>34520</v>
      </c>
      <c r="O66" s="3675" t="s">
        <v>34</v>
      </c>
      <c r="P66" s="2942">
        <f>+RMHP!O29</f>
        <v>8470</v>
      </c>
      <c r="Q66" s="3676" t="s">
        <v>34</v>
      </c>
      <c r="R66" s="3677">
        <f t="shared" si="321"/>
        <v>42990</v>
      </c>
      <c r="S66" s="3675" t="s">
        <v>34</v>
      </c>
      <c r="T66" s="2942">
        <f>+RMHP!S29</f>
        <v>6528</v>
      </c>
      <c r="U66" s="3676" t="s">
        <v>34</v>
      </c>
      <c r="V66" s="3677">
        <f t="shared" si="322"/>
        <v>49518</v>
      </c>
      <c r="W66" s="3679" t="s">
        <v>34</v>
      </c>
      <c r="X66" s="1420">
        <f>+RMHP!W29</f>
        <v>9455</v>
      </c>
      <c r="Y66" s="950"/>
      <c r="Z66" s="3111">
        <f>P66+T66+X66</f>
        <v>24453</v>
      </c>
      <c r="AA66" s="3680" t="s">
        <v>34</v>
      </c>
      <c r="AB66" s="586">
        <f t="shared" si="323"/>
        <v>58973</v>
      </c>
      <c r="AC66" s="3675" t="s">
        <v>34</v>
      </c>
      <c r="AD66" s="1420">
        <f>+RMHP!AC29</f>
        <v>6218</v>
      </c>
      <c r="AE66" s="3676" t="s">
        <v>34</v>
      </c>
      <c r="AF66" s="3677">
        <f t="shared" si="324"/>
        <v>65191</v>
      </c>
      <c r="AG66" s="3675" t="s">
        <v>34</v>
      </c>
      <c r="AH66" s="1420">
        <f>+RMHP!AG29</f>
        <v>8533</v>
      </c>
      <c r="AI66" s="3676" t="s">
        <v>34</v>
      </c>
      <c r="AJ66" s="3677">
        <f t="shared" si="325"/>
        <v>73724</v>
      </c>
      <c r="AK66" s="3675" t="s">
        <v>34</v>
      </c>
      <c r="AL66" s="1420">
        <f>+RMHP!AK29</f>
        <v>13626</v>
      </c>
      <c r="AM66" s="950"/>
      <c r="AN66" s="3111">
        <f>AD66+AH66+AL66</f>
        <v>28377</v>
      </c>
      <c r="AO66" s="3676" t="s">
        <v>34</v>
      </c>
      <c r="AP66" s="3677">
        <f>+AL66+AJ66</f>
        <v>87350</v>
      </c>
      <c r="AQ66" s="3675" t="s">
        <v>34</v>
      </c>
      <c r="AR66" s="1420">
        <f>+RMHP!AQ29</f>
        <v>17112</v>
      </c>
      <c r="AS66" s="3676" t="s">
        <v>34</v>
      </c>
      <c r="AT66" s="3677">
        <f t="shared" si="326"/>
        <v>104462</v>
      </c>
      <c r="AU66" s="3675" t="s">
        <v>34</v>
      </c>
      <c r="AV66" s="1420">
        <f>+RMHP!AU29</f>
        <v>10415</v>
      </c>
      <c r="AW66" s="3676" t="s">
        <v>34</v>
      </c>
      <c r="AX66" s="3677">
        <f t="shared" si="327"/>
        <v>114877</v>
      </c>
      <c r="AY66" s="3675" t="s">
        <v>34</v>
      </c>
      <c r="AZ66" s="1420">
        <f>+RMHP!AY29</f>
        <v>8855</v>
      </c>
      <c r="BA66" s="950"/>
      <c r="BB66" s="3111">
        <f>AR66+AV66+AZ66</f>
        <v>36382</v>
      </c>
      <c r="BC66" s="3680" t="s">
        <v>34</v>
      </c>
      <c r="BD66" s="562">
        <f>+AN66+BB66</f>
        <v>64759</v>
      </c>
      <c r="BE66" s="3676" t="s">
        <v>34</v>
      </c>
      <c r="BF66" s="3677">
        <f t="shared" si="328"/>
        <v>123732</v>
      </c>
      <c r="BG66" s="147"/>
      <c r="BH66" s="147"/>
      <c r="BI66" s="147"/>
      <c r="BJ66" s="147"/>
    </row>
    <row r="67" spans="1:62" ht="15.75" thickBot="1" x14ac:dyDescent="0.3">
      <c r="A67" s="181" t="s">
        <v>478</v>
      </c>
      <c r="B67" s="2589" t="s">
        <v>613</v>
      </c>
      <c r="C67" s="912" t="s">
        <v>52</v>
      </c>
      <c r="D67" s="273">
        <f>+(D27/((100-D72)/100))-D27</f>
        <v>83780.80369920982</v>
      </c>
      <c r="E67" s="273">
        <f>+(E27/((100-E72)/100))-E27</f>
        <v>7061.5248832191064</v>
      </c>
      <c r="F67" s="273">
        <f>+F66-((F55/100)*F66)</f>
        <v>9390.9727999999996</v>
      </c>
      <c r="G67" s="273">
        <f>+(G27/((100-G72)/100))-G27</f>
        <v>5894.5779745515465</v>
      </c>
      <c r="H67" s="273">
        <f>+H66-((H55/100)*H66)</f>
        <v>12406.851000000001</v>
      </c>
      <c r="I67" s="868">
        <f>+E67+G67</f>
        <v>12956.102857770653</v>
      </c>
      <c r="J67" s="58">
        <f t="shared" si="320"/>
        <v>21797.823799999998</v>
      </c>
      <c r="K67" s="273">
        <f>+(K27/((100-K72)/100))-K27</f>
        <v>6014.2648369789895</v>
      </c>
      <c r="L67" s="273">
        <f>+L66-((L55/100)*L66)</f>
        <v>10735.396000000001</v>
      </c>
      <c r="M67" s="2056">
        <f>+K67+G67+E67</f>
        <v>18970.367694749642</v>
      </c>
      <c r="N67" s="2056">
        <f>+N66-((N55/100)*N66)</f>
        <v>32533.219799999999</v>
      </c>
      <c r="O67" s="273">
        <f>+(O27/((100-O72)/100))-O27</f>
        <v>7151.2900300396941</v>
      </c>
      <c r="P67" s="273">
        <f>+P66-((P55/100)*P66)</f>
        <v>7852.5370000000003</v>
      </c>
      <c r="Q67" s="868">
        <f>+M67+O67</f>
        <v>26121.657724789336</v>
      </c>
      <c r="R67" s="58">
        <f t="shared" si="321"/>
        <v>40385.756800000003</v>
      </c>
      <c r="S67" s="273">
        <f>+(S27/((100-S72)/100))-S27</f>
        <v>7151.2900300396941</v>
      </c>
      <c r="T67" s="273">
        <f>+T66-((T55/100)*T66)</f>
        <v>6039.0527999999995</v>
      </c>
      <c r="U67" s="868">
        <f>+Q67+S67</f>
        <v>33272.947754829031</v>
      </c>
      <c r="V67" s="58">
        <f t="shared" si="322"/>
        <v>46424.809600000001</v>
      </c>
      <c r="W67" s="1695">
        <f>+(W27/((100-W72)/100))-W27</f>
        <v>6941.8380207916634</v>
      </c>
      <c r="X67" s="190">
        <f>+X66-((X55/100)*X66)</f>
        <v>8728.8559999999998</v>
      </c>
      <c r="Y67" s="3323">
        <f>+W67+S67+O67</f>
        <v>21244.418080871052</v>
      </c>
      <c r="Z67" s="103">
        <f>+X67+T67+P67</f>
        <v>22620.445800000001</v>
      </c>
      <c r="AA67" s="772">
        <f>M67+Y67</f>
        <v>40214.785775620694</v>
      </c>
      <c r="AB67" s="2283">
        <f t="shared" si="323"/>
        <v>55153.6656</v>
      </c>
      <c r="AC67" s="273">
        <f>+(AC27/((100-AC72)/100))-AC27</f>
        <v>7360.7420392877175</v>
      </c>
      <c r="AD67" s="273">
        <f>+AD66-((AD55/100)*AD66)</f>
        <v>5762.2205999999996</v>
      </c>
      <c r="AE67" s="868">
        <f>+AA67+AC67</f>
        <v>47575.527814908412</v>
      </c>
      <c r="AF67" s="58">
        <f t="shared" si="324"/>
        <v>60915.886200000001</v>
      </c>
      <c r="AG67" s="273">
        <f>+(AG27/((100-AG72)/100))-AG27</f>
        <v>7121.3683144328315</v>
      </c>
      <c r="AH67" s="273">
        <f>+AH66-((AH55/100)*AH66)</f>
        <v>7986.8879999999999</v>
      </c>
      <c r="AI67" s="868">
        <f>+AE67+AG67</f>
        <v>54696.896129341243</v>
      </c>
      <c r="AJ67" s="58">
        <f t="shared" si="325"/>
        <v>68902.7742</v>
      </c>
      <c r="AK67" s="273">
        <f>+(AK27/((100-AK72)/100))-AK27</f>
        <v>7390.6637548945728</v>
      </c>
      <c r="AL67" s="273">
        <f>+AL66-((AL55/100)*AL66)</f>
        <v>12713.058000000001</v>
      </c>
      <c r="AM67" s="3323">
        <f>+AK67+AG67+AC67</f>
        <v>21872.774108615122</v>
      </c>
      <c r="AN67" s="103">
        <f>+AL67+AH67+AD67</f>
        <v>26462.1666</v>
      </c>
      <c r="AO67" s="711">
        <f t="shared" ref="AO67" si="349">+AK67+AI67</f>
        <v>62087.559884235816</v>
      </c>
      <c r="AP67" s="711">
        <f t="shared" ref="AP67" si="350">+AL67+AJ67</f>
        <v>81615.832200000004</v>
      </c>
      <c r="AQ67" s="273">
        <f>+(AQ27/((100-AQ72)/100))-AQ27</f>
        <v>7390.6637548945728</v>
      </c>
      <c r="AR67" s="273">
        <f>+AR66-((AR55/100)*AR66)</f>
        <v>15972.3408</v>
      </c>
      <c r="AS67" s="868">
        <f>+AO67+AQ67</f>
        <v>69478.223639130389</v>
      </c>
      <c r="AT67" s="58">
        <f t="shared" si="326"/>
        <v>97588.17300000001</v>
      </c>
      <c r="AU67" s="273">
        <f>+(AU27/((100-AU72)/100))-AU27</f>
        <v>6881.9945895779456</v>
      </c>
      <c r="AV67" s="273">
        <f>+AV66-((AV55/100)*AV66)</f>
        <v>9711.9874999999993</v>
      </c>
      <c r="AW67" s="868">
        <f>+AS67+AU67</f>
        <v>76360.218228708341</v>
      </c>
      <c r="AX67" s="58">
        <f t="shared" si="327"/>
        <v>107300.16050000001</v>
      </c>
      <c r="AY67" s="273">
        <f>+(AY27/((100-AY72)/100))-AY27</f>
        <v>7420.5854705014353</v>
      </c>
      <c r="AZ67" s="273">
        <f>+AZ66-((AZ55/100)*AZ66)</f>
        <v>8194.4169999999995</v>
      </c>
      <c r="BA67" s="3323">
        <f>+AY67+AU67+AQ67</f>
        <v>21693.243814973954</v>
      </c>
      <c r="BB67" s="103">
        <f>+AZ67+AV67+AR67</f>
        <v>33878.745299999995</v>
      </c>
      <c r="BC67" s="563">
        <f t="shared" ref="BC67" si="351">AM67+BA67</f>
        <v>43566.017923589076</v>
      </c>
      <c r="BD67" s="563">
        <f t="shared" ref="BD67" si="352">AN67+BB67</f>
        <v>60340.911899999992</v>
      </c>
      <c r="BE67" s="868">
        <f>+AW67+AY67</f>
        <v>83780.803699209777</v>
      </c>
      <c r="BF67" s="58">
        <f t="shared" si="328"/>
        <v>115494.57750000001</v>
      </c>
      <c r="BG67" s="147"/>
      <c r="BH67" s="147"/>
      <c r="BI67" s="147"/>
      <c r="BJ67" s="147"/>
    </row>
    <row r="68" spans="1:62" ht="30.75" hidden="1" customHeight="1" thickBot="1" x14ac:dyDescent="0.3">
      <c r="A68" s="181"/>
      <c r="B68" s="2601" t="s">
        <v>601</v>
      </c>
      <c r="C68" s="997" t="s">
        <v>51</v>
      </c>
      <c r="D68" s="3324"/>
      <c r="E68" s="3324">
        <v>0</v>
      </c>
      <c r="F68" s="3368">
        <f>+(F59/(F61+F26+F88))*100</f>
        <v>0</v>
      </c>
      <c r="G68" s="3324">
        <v>0</v>
      </c>
      <c r="H68" s="3368">
        <f>+(H59/(H61+H26+H88))*100</f>
        <v>0</v>
      </c>
      <c r="I68" s="1003" t="s">
        <v>34</v>
      </c>
      <c r="J68" s="736">
        <f>+(J59/(J61+J26+J88))*100</f>
        <v>0</v>
      </c>
      <c r="K68" s="3324">
        <v>0</v>
      </c>
      <c r="L68" s="3368">
        <f>+(L59/(L61+L26+L88))*100</f>
        <v>0</v>
      </c>
      <c r="M68" s="1004" t="s">
        <v>34</v>
      </c>
      <c r="N68" s="737">
        <f>+(N59/(N61+N26+N88))*100</f>
        <v>0</v>
      </c>
      <c r="O68" s="3324">
        <v>0</v>
      </c>
      <c r="P68" s="3368">
        <f>+(P59/(P61+P26+P88))*100</f>
        <v>0</v>
      </c>
      <c r="Q68" s="1003" t="s">
        <v>34</v>
      </c>
      <c r="R68" s="736">
        <f>+(R59/(R61+R26+R88))*100</f>
        <v>0</v>
      </c>
      <c r="S68" s="1195" t="s">
        <v>34</v>
      </c>
      <c r="T68" s="3369">
        <f>+(T59/(T61+T26+T88))*100</f>
        <v>0</v>
      </c>
      <c r="U68" s="1003" t="s">
        <v>34</v>
      </c>
      <c r="V68" s="736">
        <f>+(V59/(V61+V26+V88))*100</f>
        <v>0</v>
      </c>
      <c r="W68" s="1195" t="s">
        <v>34</v>
      </c>
      <c r="X68" s="3370">
        <f>+(X59/(X61+X26+X88))*100</f>
        <v>0</v>
      </c>
      <c r="Y68" s="3371" t="s">
        <v>34</v>
      </c>
      <c r="Z68" s="735">
        <f>+(Z59/(Z61+Z26+Z88))*100</f>
        <v>0</v>
      </c>
      <c r="AA68" s="3372" t="s">
        <v>34</v>
      </c>
      <c r="AB68" s="3373">
        <f>+(AB59/(AB61+AB26+AB88))*100</f>
        <v>0</v>
      </c>
      <c r="AC68" s="1195" t="s">
        <v>34</v>
      </c>
      <c r="AD68" s="3369">
        <f>+(AD59/(AD61+AD26+AD88))*100</f>
        <v>0</v>
      </c>
      <c r="AE68" s="1003" t="s">
        <v>34</v>
      </c>
      <c r="AF68" s="736">
        <f>+(AF59/(AF61+AF26+AF88))*100</f>
        <v>0</v>
      </c>
      <c r="AG68" s="1195" t="s">
        <v>34</v>
      </c>
      <c r="AH68" s="3369">
        <f>+(AH59/(AH61+AH26+AH88))*100</f>
        <v>0</v>
      </c>
      <c r="AI68" s="1003" t="s">
        <v>34</v>
      </c>
      <c r="AJ68" s="736">
        <f>+(AJ59/(AJ61+AJ26+AJ88))*100</f>
        <v>0</v>
      </c>
      <c r="AK68" s="1195" t="s">
        <v>34</v>
      </c>
      <c r="AL68" s="3369">
        <f>+(AL59/(AL61+AL26+AL88))*100</f>
        <v>0</v>
      </c>
      <c r="AM68" s="3371" t="s">
        <v>34</v>
      </c>
      <c r="AN68" s="735">
        <f>+(AN59/(AN61+AN26+AN88))*100</f>
        <v>0</v>
      </c>
      <c r="AO68" s="1003" t="s">
        <v>34</v>
      </c>
      <c r="AP68" s="736">
        <f>+(AP59/(AP61+AP26+AP88))*100</f>
        <v>0</v>
      </c>
      <c r="AQ68" s="1195" t="s">
        <v>34</v>
      </c>
      <c r="AR68" s="3369">
        <f>+(AR59/(AR61+AR26+AR88))*100</f>
        <v>0</v>
      </c>
      <c r="AS68" s="1003" t="s">
        <v>34</v>
      </c>
      <c r="AT68" s="736">
        <f>+(AT59/(AT61+AT26+AT88))*100</f>
        <v>0</v>
      </c>
      <c r="AU68" s="1195" t="s">
        <v>34</v>
      </c>
      <c r="AV68" s="3369">
        <f>+(AV59/(AV61+AV26+AV88))*100</f>
        <v>0</v>
      </c>
      <c r="AW68" s="1003" t="s">
        <v>34</v>
      </c>
      <c r="AX68" s="736">
        <f>+(AX59/(AX61+AX26+AX88))*100</f>
        <v>0</v>
      </c>
      <c r="AY68" s="1195" t="s">
        <v>34</v>
      </c>
      <c r="AZ68" s="3369">
        <f>+(AZ59/(AZ61+AZ26+AZ88))*100</f>
        <v>0</v>
      </c>
      <c r="BA68" s="3371" t="s">
        <v>34</v>
      </c>
      <c r="BB68" s="735">
        <f>+(BB59/(BB61+BB26+BB88))*100</f>
        <v>0</v>
      </c>
      <c r="BC68" s="3372" t="s">
        <v>34</v>
      </c>
      <c r="BD68" s="3373">
        <f>+(BD59/(BD61+BD26+BD88))*100</f>
        <v>0</v>
      </c>
      <c r="BE68" s="1003" t="s">
        <v>34</v>
      </c>
      <c r="BF68" s="736">
        <f>+(BF59/(BF61+BF26+BF88))*100</f>
        <v>0</v>
      </c>
      <c r="BG68" s="147"/>
      <c r="BH68" s="147"/>
      <c r="BI68" s="147"/>
      <c r="BJ68" s="147"/>
    </row>
    <row r="69" spans="1:62" ht="42.75" x14ac:dyDescent="0.25">
      <c r="A69" s="235" t="s">
        <v>651</v>
      </c>
      <c r="B69" s="2602" t="s">
        <v>600</v>
      </c>
      <c r="C69" s="1412" t="s">
        <v>51</v>
      </c>
      <c r="D69" s="2378">
        <v>17</v>
      </c>
      <c r="E69" s="2379">
        <f>+$D$69</f>
        <v>17</v>
      </c>
      <c r="F69" s="2379">
        <f>+(F57/(F61+F26+F88))*100</f>
        <v>17.79609945463654</v>
      </c>
      <c r="G69" s="2379">
        <f>+$D$69</f>
        <v>17</v>
      </c>
      <c r="H69" s="2379">
        <f>+(H57/(H61+H26+H88))*100</f>
        <v>18.333952965707702</v>
      </c>
      <c r="I69" s="1005">
        <f>+(I57/(I61+I26+I88))*100</f>
        <v>17</v>
      </c>
      <c r="J69" s="738">
        <f>+(J57/(J61+J26+J88))*100</f>
        <v>18.040593012099489</v>
      </c>
      <c r="K69" s="2379">
        <f>+$D$69</f>
        <v>17</v>
      </c>
      <c r="L69" s="2379">
        <f>+(L57/(L61+L26+L88))*100</f>
        <v>19.019295950239336</v>
      </c>
      <c r="M69" s="2380">
        <f>+$D$69</f>
        <v>17</v>
      </c>
      <c r="N69" s="739">
        <f>+(N57/(N61+N26+N88))*100</f>
        <v>18.359004502968943</v>
      </c>
      <c r="O69" s="2379">
        <f>+$D$69</f>
        <v>17</v>
      </c>
      <c r="P69" s="2379">
        <f>+(P57/(P61+P26+P88))*100</f>
        <v>17.385022479331216</v>
      </c>
      <c r="Q69" s="1005">
        <f>+(Q57/(Q61+Q26+Q88))*100</f>
        <v>17</v>
      </c>
      <c r="R69" s="738">
        <f>+(R57/(R61+R26+R88))*100</f>
        <v>18.090714378203401</v>
      </c>
      <c r="S69" s="1699">
        <f>+$D$69</f>
        <v>17</v>
      </c>
      <c r="T69" s="2704">
        <f>+(T57/(T61+T26+T88))*100</f>
        <v>14.973545649036263</v>
      </c>
      <c r="U69" s="1005">
        <f>+(U57/(U61+U26+U88))*100</f>
        <v>17</v>
      </c>
      <c r="V69" s="738">
        <f>+(V57/(V61+V26+V88))*100</f>
        <v>17.424122701211399</v>
      </c>
      <c r="W69" s="1699">
        <f>+$D$69</f>
        <v>17</v>
      </c>
      <c r="X69" s="817">
        <f>+(X57/(X61+X26+X88))*100</f>
        <v>17.711947681949109</v>
      </c>
      <c r="Y69" s="231">
        <f>+(Y57/(Y61+Y26+Y88))*100</f>
        <v>17.000000000000004</v>
      </c>
      <c r="Z69" s="231">
        <f>+(Z57/(Z26+Z61+Z88))*100</f>
        <v>16.68916667181108</v>
      </c>
      <c r="AA69" s="1006">
        <f>+(AA57/(AA61+AA26+AA88))*100</f>
        <v>17</v>
      </c>
      <c r="AB69" s="589">
        <f>+(AB57/(AB61+AB26+AB88))*100</f>
        <v>17.474345457039171</v>
      </c>
      <c r="AC69" s="1699">
        <f>+$D$69</f>
        <v>17</v>
      </c>
      <c r="AD69" s="2704">
        <f>+(AD57/(AD61+AD26+AD88))*100</f>
        <v>17.540481952562565</v>
      </c>
      <c r="AE69" s="1005">
        <f>+(AE57/(AE61+AE26+AE88))*100</f>
        <v>17</v>
      </c>
      <c r="AF69" s="738">
        <f>+(AF57/(AF61+AF26+AF88))*100</f>
        <v>17.484520879611875</v>
      </c>
      <c r="AG69" s="1699">
        <f>+$D$69</f>
        <v>17</v>
      </c>
      <c r="AH69" s="2704">
        <f>+(AH57/(AH61+AH26+AH88))*100</f>
        <v>19.271322670404697</v>
      </c>
      <c r="AI69" s="1005">
        <f>+(AI57/(AI61+AI26+AI88))*100</f>
        <v>17</v>
      </c>
      <c r="AJ69" s="738">
        <f>+(AJ57/(AJ61+AJ26+AJ88))*100</f>
        <v>17.699173943219591</v>
      </c>
      <c r="AK69" s="1699">
        <f>+$D$69</f>
        <v>17</v>
      </c>
      <c r="AL69" s="2704">
        <f>+(AL57/(AL61+AL26+AL88))*100</f>
        <v>17.513718333563183</v>
      </c>
      <c r="AM69" s="231">
        <f>+(AM57/(AM61+AM26+AM88))*100</f>
        <v>17</v>
      </c>
      <c r="AN69" s="231">
        <f>+(AN57/(AN26+AN61+AN88))*100</f>
        <v>18.07337446253484</v>
      </c>
      <c r="AO69" s="1005">
        <f>+(AO57/(AO61+AO26+AO88))*100</f>
        <v>17</v>
      </c>
      <c r="AP69" s="738">
        <f>+(AP57/(AP61+AP26+AP88))*100</f>
        <v>17.678093422987864</v>
      </c>
      <c r="AQ69" s="1699">
        <f>+$D$69</f>
        <v>17</v>
      </c>
      <c r="AR69" s="2704">
        <f>+(AR57/(AR61+AR26+AR88))*100</f>
        <v>17.230431114586199</v>
      </c>
      <c r="AS69" s="1005">
        <f>+(AS57/(AS61+AS26+AS88))*100</f>
        <v>17</v>
      </c>
      <c r="AT69" s="738">
        <f>+(AT57/(AT61+AT26+AT88))*100</f>
        <v>17.633232925382288</v>
      </c>
      <c r="AU69" s="1699">
        <f>+$D$69</f>
        <v>17</v>
      </c>
      <c r="AV69" s="2704">
        <f>+(AV57/(AV61+AV26+AV88))*100</f>
        <v>16.369421167024576</v>
      </c>
      <c r="AW69" s="1005">
        <f>+(AW57/(AW61+AW26+AW88))*100</f>
        <v>17</v>
      </c>
      <c r="AX69" s="738">
        <f>+(AX57/(AX61+AX26+AX88))*100</f>
        <v>17.517261468839429</v>
      </c>
      <c r="AY69" s="1699">
        <f>+$D$69</f>
        <v>17</v>
      </c>
      <c r="AZ69" s="2704">
        <f>+(AZ57/(AZ61+AZ26+AZ88))*100</f>
        <v>18.667412908963364</v>
      </c>
      <c r="BA69" s="5724">
        <f>+(BA57/(BA61+BA26+BA88))*100</f>
        <v>17.000000000000004</v>
      </c>
      <c r="BB69" s="231">
        <f>+(BB57/(BB26+BB61+BB88))*100</f>
        <v>17.411296601873865</v>
      </c>
      <c r="BC69" s="5723">
        <f>+(BC57/(BC61+BC26+BC88))*100</f>
        <v>17</v>
      </c>
      <c r="BD69" s="589">
        <f>+(BD57/(BD61+BD26+BD88))*100</f>
        <v>17.745926980464425</v>
      </c>
      <c r="BE69" s="5725">
        <f>+(BE57/(BE61+BE26+BE88))*100</f>
        <v>17</v>
      </c>
      <c r="BF69" s="738">
        <f>+(BF57/(BF61+BF26+BF88))*100</f>
        <v>17.611469868779722</v>
      </c>
      <c r="BG69" s="147"/>
      <c r="BH69" s="147"/>
      <c r="BI69" s="147"/>
      <c r="BJ69" s="147"/>
    </row>
    <row r="70" spans="1:62" x14ac:dyDescent="0.25">
      <c r="A70" s="235" t="s">
        <v>651</v>
      </c>
      <c r="B70" s="2603" t="s">
        <v>598</v>
      </c>
      <c r="C70" s="1413" t="s">
        <v>51</v>
      </c>
      <c r="D70" s="1699">
        <v>10.4</v>
      </c>
      <c r="E70" s="248">
        <f>+$D$70</f>
        <v>10.4</v>
      </c>
      <c r="F70" s="248">
        <f>+(F63/(F63+F22+F23+F32))*100</f>
        <v>10.629001795954629</v>
      </c>
      <c r="G70" s="248">
        <f>+$D$70</f>
        <v>10.4</v>
      </c>
      <c r="H70" s="248">
        <f>+(H63/(H63+H22+H23+H32))*100</f>
        <v>7.2226428547042278</v>
      </c>
      <c r="I70" s="1007">
        <f>+(I63/(I63+I22+I23))*100</f>
        <v>10.400000000000011</v>
      </c>
      <c r="J70" s="480">
        <f>+(J63/(J63+J22+J23+J32))*100</f>
        <v>9.0977386888995238</v>
      </c>
      <c r="K70" s="248">
        <f>+$D$70</f>
        <v>10.4</v>
      </c>
      <c r="L70" s="248">
        <f>+(L63/(L63+L22+L23+L32))*100</f>
        <v>9.9476538332777071</v>
      </c>
      <c r="M70" s="1806">
        <f>+$D$70</f>
        <v>10.4</v>
      </c>
      <c r="N70" s="231">
        <f>+(N63/(N63+N22+N23+N32))*100</f>
        <v>9.3955878145135596</v>
      </c>
      <c r="O70" s="248">
        <f>+$D$70</f>
        <v>10.4</v>
      </c>
      <c r="P70" s="248">
        <f>+(P63/(P63+P22+P23+P32))*100</f>
        <v>7.0890656504270346</v>
      </c>
      <c r="Q70" s="1007">
        <f>+(Q63/(Q63+Q22+Q23))*100</f>
        <v>10.400000000000011</v>
      </c>
      <c r="R70" s="480">
        <f>+(R63/(R63+R22+R23+R32))*100</f>
        <v>8.7704480055623844</v>
      </c>
      <c r="S70" s="1699">
        <f>+$D$70</f>
        <v>10.4</v>
      </c>
      <c r="T70" s="2705">
        <f>+(T63/(T63+T22+T23+T32))*100</f>
        <v>8.6317358277486687</v>
      </c>
      <c r="U70" s="1007">
        <f>+(U63/(U63+U22+U23))*100</f>
        <v>10.400000000000013</v>
      </c>
      <c r="V70" s="480">
        <f>+(V63/(V63+V22+V23+V32))*100</f>
        <v>8.7404578827107358</v>
      </c>
      <c r="W70" s="1699">
        <f>+$D$70</f>
        <v>10.4</v>
      </c>
      <c r="X70" s="817">
        <f>+(X63/(X63+X22+X23+X32))*100</f>
        <v>7.6045700020367253</v>
      </c>
      <c r="Y70" s="231">
        <f>+(Y63/(Y63+Y22+Y23))*100</f>
        <v>10.400000000000013</v>
      </c>
      <c r="Z70" s="231">
        <f>+(Z63/(Z63+Z22+Z23+Z32))*100</f>
        <v>7.7844527609770413</v>
      </c>
      <c r="AA70" s="1006">
        <f>+(AA63/(AA63+AA22+AA23))*100</f>
        <v>10.400000000000013</v>
      </c>
      <c r="AB70" s="589">
        <f>+(AB63/(AB63+AB22+AB23+AB32))*100</f>
        <v>8.5534024385921992</v>
      </c>
      <c r="AC70" s="1699">
        <f>+$D$70</f>
        <v>10.4</v>
      </c>
      <c r="AD70" s="2705">
        <f>+(AD63/(AD63+AD22+AD23+AD32))*100</f>
        <v>7.7515852564322643</v>
      </c>
      <c r="AE70" s="1007">
        <f>+(AE63/(AE63+AE22+AE23))*100</f>
        <v>10.400000000000013</v>
      </c>
      <c r="AF70" s="480">
        <f>+(AF63/(AF63+AF22+AF23+AF32))*100</f>
        <v>8.4344683503005271</v>
      </c>
      <c r="AG70" s="1699">
        <f>+$D$70</f>
        <v>10.4</v>
      </c>
      <c r="AH70" s="2705">
        <f>+(AH63/(AH63+AH22+AH23+AH32))*100</f>
        <v>12.932883687055282</v>
      </c>
      <c r="AI70" s="1007">
        <f>+(AI63/(AI63+AI22+AI23))*100</f>
        <v>10.400000000000011</v>
      </c>
      <c r="AJ70" s="480">
        <f>+(AJ63/(AJ63+AJ22+AJ23+AJ32))*100</f>
        <v>8.9928895192538256</v>
      </c>
      <c r="AK70" s="1699">
        <f>+$D$70</f>
        <v>10.4</v>
      </c>
      <c r="AL70" s="2705">
        <f>+(AL63/(AL63+AL22+AL23+AL32))*100</f>
        <v>8.2504302343964788</v>
      </c>
      <c r="AM70" s="231">
        <f>+(AM63/(AM63+AM22+AM23))*100</f>
        <v>10.400000000000009</v>
      </c>
      <c r="AN70" s="231">
        <f>+(AN63/(AN63+AN22+AN23+AN32))*100</f>
        <v>9.6126375048529891</v>
      </c>
      <c r="AO70" s="1007">
        <f>+(AO63/(AO63+AO22+AO23))*100</f>
        <v>10.400000000000011</v>
      </c>
      <c r="AP70" s="480">
        <f>+(AP63/(AP63+AP22+AP23+AP32))*100</f>
        <v>8.9103477029391236</v>
      </c>
      <c r="AQ70" s="1699">
        <f>+$D$70</f>
        <v>10.4</v>
      </c>
      <c r="AR70" s="2705">
        <f>+(AR63/(AR63+AR22+AR23+AR32))*100</f>
        <v>8.8078417211619264</v>
      </c>
      <c r="AS70" s="1007">
        <f>+(AS63/(AS63+AS22+AS23))*100</f>
        <v>10.400000000000013</v>
      </c>
      <c r="AT70" s="480">
        <f>+(AT63/(AT63+AT22+AT23+AT32))*100</f>
        <v>8.9001294030582834</v>
      </c>
      <c r="AU70" s="1699">
        <f>+$D$70</f>
        <v>10.4</v>
      </c>
      <c r="AV70" s="2705">
        <f>+(AV63/(AV63+AV22+AV23+AV32))*100</f>
        <v>9.1182439724951809</v>
      </c>
      <c r="AW70" s="1007">
        <f>+(AW63/(AW63+AW22+AW23))*100</f>
        <v>10.400000000000011</v>
      </c>
      <c r="AX70" s="480">
        <f>+(AX63/(AX63+AX22+AX23+AX32))*100</f>
        <v>8.9192016151028835</v>
      </c>
      <c r="AY70" s="1699">
        <f>+$D$70</f>
        <v>10.4</v>
      </c>
      <c r="AZ70" s="2705">
        <f>+(AZ63/(AZ63+AZ22+AZ23+AZ32))*100</f>
        <v>9.0754054538610252</v>
      </c>
      <c r="BA70" s="5724">
        <f>+(BA63/(BA63+BA22+BA23))*100</f>
        <v>10.400000000000011</v>
      </c>
      <c r="BB70" s="231">
        <f>+(BB63/(BB63+BB22+BB23+BB32))*100</f>
        <v>8.9987543314467366</v>
      </c>
      <c r="BC70" s="5723">
        <f>+(BC63/(BC63+BC22+BC23))*100</f>
        <v>10.400000000000009</v>
      </c>
      <c r="BD70" s="589">
        <f>+(BD63/(BD63+BD22+BD23+BD32))*100</f>
        <v>9.3103046951619834</v>
      </c>
      <c r="BE70" s="5722">
        <f>+(BE63/(BE63+BE22+BE23))*100</f>
        <v>10.400000000000013</v>
      </c>
      <c r="BF70" s="480">
        <f>+(BF63/(BF63+BF22+BF23+BF32))*100</f>
        <v>8.932133609133551</v>
      </c>
      <c r="BG70" s="147"/>
      <c r="BH70" s="147"/>
      <c r="BI70" s="147"/>
      <c r="BJ70" s="147"/>
    </row>
    <row r="71" spans="1:62" x14ac:dyDescent="0.25">
      <c r="A71" s="235"/>
      <c r="B71" s="2603" t="s">
        <v>1409</v>
      </c>
      <c r="C71" s="1413" t="s">
        <v>51</v>
      </c>
      <c r="D71" s="1699">
        <v>2.7</v>
      </c>
      <c r="E71" s="248">
        <f>+$D$71</f>
        <v>2.7</v>
      </c>
      <c r="F71" s="2295">
        <f>+(F65/(F65+F29))*100</f>
        <v>1.6681390465312074</v>
      </c>
      <c r="G71" s="248">
        <f>+$D$71</f>
        <v>2.7</v>
      </c>
      <c r="H71" s="2295" t="e">
        <f>+(H65/(H65+H29))*100</f>
        <v>#DIV/0!</v>
      </c>
      <c r="I71" s="1007">
        <f>+$D$71</f>
        <v>2.7</v>
      </c>
      <c r="J71" s="480">
        <f>+(J65/(J65+J29))*100</f>
        <v>1.6681390465312074</v>
      </c>
      <c r="K71" s="248">
        <f>+$D$71</f>
        <v>2.7</v>
      </c>
      <c r="L71" s="2295">
        <f>+(L65/(L65+L29))*100</f>
        <v>1.9643608204309708</v>
      </c>
      <c r="M71" s="1806">
        <f>+$D$71</f>
        <v>2.7</v>
      </c>
      <c r="N71" s="513">
        <f t="shared" ref="N71" si="353">+(N65/(N65+N29))*100</f>
        <v>1.8548359865504354</v>
      </c>
      <c r="O71" s="248">
        <f>+$D$71</f>
        <v>2.7</v>
      </c>
      <c r="P71" s="2295">
        <f>+(P65/(P65+P29))*100</f>
        <v>1.65801733407081</v>
      </c>
      <c r="Q71" s="1805">
        <f>+$D$71</f>
        <v>2.7</v>
      </c>
      <c r="R71" s="504">
        <f t="shared" ref="R71" si="354">+(R65/(R65+R29))*100</f>
        <v>1.7558477067009839</v>
      </c>
      <c r="S71" s="248">
        <f>+$D$71</f>
        <v>2.7</v>
      </c>
      <c r="T71" s="2705">
        <f>+(T65/(T65+T29))*100</f>
        <v>1.6393669500994648</v>
      </c>
      <c r="U71" s="1805">
        <f>+$D$71</f>
        <v>2.7</v>
      </c>
      <c r="V71" s="504">
        <f t="shared" ref="V71" si="355">+(V65/(V65+V29))*100</f>
        <v>1.7244344636048969</v>
      </c>
      <c r="W71" s="1699">
        <f>+$D$71</f>
        <v>2.7</v>
      </c>
      <c r="X71" s="817">
        <f>+(X65/(X65+X29))*100</f>
        <v>1.3245305145002249</v>
      </c>
      <c r="Y71" s="1806">
        <f>+$D$71</f>
        <v>2.7</v>
      </c>
      <c r="Z71" s="513">
        <f t="shared" ref="Z71:AB71" si="356">+(Z65/(Z65+Z29))*100</f>
        <v>1.5638379944823497</v>
      </c>
      <c r="AA71" s="1006">
        <v>2.7</v>
      </c>
      <c r="AB71" s="589">
        <f t="shared" si="356"/>
        <v>1.6498126007162188</v>
      </c>
      <c r="AC71" s="248">
        <f>+$D$71</f>
        <v>2.7</v>
      </c>
      <c r="AD71" s="2705">
        <f>+(AD65/(AD65+AD29))*100</f>
        <v>1.8919969514870607</v>
      </c>
      <c r="AE71" s="1805">
        <f>+$D$71</f>
        <v>2.7</v>
      </c>
      <c r="AF71" s="504">
        <f t="shared" ref="AF71" si="357">+(AF65/(AF65+AF29))*100</f>
        <v>1.6603396688790479</v>
      </c>
      <c r="AG71" s="248">
        <f>+$D$71</f>
        <v>2.7</v>
      </c>
      <c r="AH71" s="2705" t="e">
        <f>+(AH65/(AH65+AH29))*100</f>
        <v>#DIV/0!</v>
      </c>
      <c r="AI71" s="1805">
        <f>+$D$71</f>
        <v>2.7</v>
      </c>
      <c r="AJ71" s="504">
        <f t="shared" ref="AJ71" si="358">+(AJ65/(AJ65+AJ29))*100</f>
        <v>1.6603396688790479</v>
      </c>
      <c r="AK71" s="248">
        <f>+$D$71</f>
        <v>2.7</v>
      </c>
      <c r="AL71" s="2705" t="e">
        <f>+(AL65/(AL65+AL29))*100</f>
        <v>#DIV/0!</v>
      </c>
      <c r="AM71" s="1806">
        <f>+$D$71</f>
        <v>2.7</v>
      </c>
      <c r="AN71" s="513">
        <f t="shared" ref="AN71" si="359">+(AN65/(AN65+AN29))*100</f>
        <v>1.8919969514870607</v>
      </c>
      <c r="AO71" s="1805">
        <f>+$D$71</f>
        <v>2.7</v>
      </c>
      <c r="AP71" s="504">
        <f t="shared" ref="AP71" si="360">+(AP65/(AP65+AP29))*100</f>
        <v>1.6603396688790479</v>
      </c>
      <c r="AQ71" s="248">
        <f>+$D$71</f>
        <v>2.7</v>
      </c>
      <c r="AR71" s="2705">
        <f>+(AR65/(AR65+AR29))*100</f>
        <v>3.5689378417544528</v>
      </c>
      <c r="AS71" s="1805">
        <f>+$D$71</f>
        <v>2.7</v>
      </c>
      <c r="AT71" s="504">
        <f t="shared" ref="AT71" si="361">+(AT65/(AT65+AT29))*100</f>
        <v>1.7679873676646782</v>
      </c>
      <c r="AU71" s="248">
        <f>+$D$71</f>
        <v>2.7</v>
      </c>
      <c r="AV71" s="2705">
        <f>+(AV65/(AV65+AV29))*100</f>
        <v>3.0887804788421671</v>
      </c>
      <c r="AW71" s="1805">
        <f>+$D$71</f>
        <v>2.7</v>
      </c>
      <c r="AX71" s="504">
        <f t="shared" ref="AX71" si="362">+(AX65/(AX65+AX29))*100</f>
        <v>1.8549719099835382</v>
      </c>
      <c r="AY71" s="248">
        <f>+$D$71</f>
        <v>2.7</v>
      </c>
      <c r="AZ71" s="2705">
        <f>+(AZ65/(AZ65+AZ29))*100</f>
        <v>1.1440983352048668</v>
      </c>
      <c r="BA71" s="1806">
        <f>+$D$71</f>
        <v>2.7</v>
      </c>
      <c r="BB71" s="513">
        <f t="shared" ref="BB71" si="363">+(BB65/(BB65+BB29))*100</f>
        <v>1.8658376765130356</v>
      </c>
      <c r="BC71" s="1006">
        <v>2.7</v>
      </c>
      <c r="BD71" s="589">
        <f t="shared" ref="BD71" si="364">+(BD65/(BD65+BD29))*100</f>
        <v>1.8683894420293377</v>
      </c>
      <c r="BE71" s="1805">
        <f>+$D$71</f>
        <v>2.7</v>
      </c>
      <c r="BF71" s="504">
        <f t="shared" ref="BF71" si="365">+(BF65/(BF65+BF29))*100</f>
        <v>1.71927678334921</v>
      </c>
      <c r="BG71" s="147"/>
      <c r="BH71" s="147"/>
      <c r="BI71" s="147"/>
      <c r="BJ71" s="147"/>
    </row>
    <row r="72" spans="1:62" ht="15.75" thickBot="1" x14ac:dyDescent="0.3">
      <c r="A72" s="235" t="s">
        <v>651</v>
      </c>
      <c r="B72" s="2604" t="s">
        <v>614</v>
      </c>
      <c r="C72" s="1414" t="s">
        <v>51</v>
      </c>
      <c r="D72" s="2381">
        <v>15</v>
      </c>
      <c r="E72" s="2382">
        <f>+$D$72</f>
        <v>15</v>
      </c>
      <c r="F72" s="2383">
        <f>+(F67/(F67+F27))*100</f>
        <v>11.758950419716356</v>
      </c>
      <c r="G72" s="2382">
        <f>+$D$72</f>
        <v>15</v>
      </c>
      <c r="H72" s="2383">
        <f>+(H67/(H67+H27))*100</f>
        <v>15.561534103328425</v>
      </c>
      <c r="I72" s="1008">
        <f>+(I67/(I67+I27))*100</f>
        <v>15</v>
      </c>
      <c r="J72" s="740">
        <f>+(J67/(J67+J27))*100</f>
        <v>13.658638060624689</v>
      </c>
      <c r="K72" s="2382">
        <f>+$D$72</f>
        <v>15</v>
      </c>
      <c r="L72" s="2383">
        <f>+(L67/(L67+L27))*100</f>
        <v>18.460809612298753</v>
      </c>
      <c r="M72" s="2384">
        <f>+$D$72</f>
        <v>15</v>
      </c>
      <c r="N72" s="735">
        <f>+(N67/(N67+N27))*100</f>
        <v>14.941151802234941</v>
      </c>
      <c r="O72" s="2382">
        <f>+$D$72</f>
        <v>15</v>
      </c>
      <c r="P72" s="2383">
        <f>+(P67/(P67+P27))*100</f>
        <v>17.662035919943055</v>
      </c>
      <c r="Q72" s="1008">
        <f>+(Q67/(Q67+Q27))*100</f>
        <v>15.000000000000005</v>
      </c>
      <c r="R72" s="740">
        <f>+(R67/(R67+R27))*100</f>
        <v>15.402514714743202</v>
      </c>
      <c r="S72" s="1699">
        <f>+$D$72</f>
        <v>15</v>
      </c>
      <c r="T72" s="2706">
        <f>+(T67/(T67+T27))*100</f>
        <v>10.418460294420111</v>
      </c>
      <c r="U72" s="1008">
        <f>+(U67/(U67+U27))*100</f>
        <v>15.000000000000007</v>
      </c>
      <c r="V72" s="740">
        <f>+(V67/(V67+V27))*100</f>
        <v>14.500172845553665</v>
      </c>
      <c r="W72" s="1699">
        <f>+$D$72</f>
        <v>15</v>
      </c>
      <c r="X72" s="816">
        <f>+(X67/(X67+X27))*100</f>
        <v>15.20183203387834</v>
      </c>
      <c r="Y72" s="231">
        <f>+(Y67/(Y67+Y27))*100</f>
        <v>15.000000000000002</v>
      </c>
      <c r="Z72" s="231">
        <f>+(Z67/(Z67+Z27))*100</f>
        <v>14.151517459445174</v>
      </c>
      <c r="AA72" s="1006">
        <f>+(AA67/(AA67+AA27))*100</f>
        <v>15.000000000000005</v>
      </c>
      <c r="AB72" s="589">
        <f>+(AB67/(AB67+AB27))*100</f>
        <v>14.606874346289855</v>
      </c>
      <c r="AC72" s="1699">
        <f>+$D$72</f>
        <v>15</v>
      </c>
      <c r="AD72" s="2706">
        <f>+(AD67/(AD67+AD27))*100</f>
        <v>6.9508432521799639</v>
      </c>
      <c r="AE72" s="1008">
        <f>+(AE67/(AE67+AE27))*100</f>
        <v>15.000000000000002</v>
      </c>
      <c r="AF72" s="740">
        <f>+(AF67/(AF67+AF27))*100</f>
        <v>13.228589309009644</v>
      </c>
      <c r="AG72" s="1699">
        <f>+$D$72</f>
        <v>15</v>
      </c>
      <c r="AH72" s="2706">
        <f>+(AH67/(AH67+AH27))*100</f>
        <v>10.375474796997358</v>
      </c>
      <c r="AI72" s="1008">
        <f>+(AI67/(AI67+AI27))*100</f>
        <v>15.000000000000005</v>
      </c>
      <c r="AJ72" s="740">
        <f>+(AJ67/(AJ67+AJ27))*100</f>
        <v>12.81995155067642</v>
      </c>
      <c r="AK72" s="1699">
        <f>+$D$72</f>
        <v>15</v>
      </c>
      <c r="AL72" s="2706">
        <f>+(AL67/(AL67+AL27))*100</f>
        <v>14.121779757732586</v>
      </c>
      <c r="AM72" s="231">
        <f>+(AM67/(AM67+AM27))*100</f>
        <v>15</v>
      </c>
      <c r="AN72" s="231">
        <f>+(AN67/(AN67+AN27))*100</f>
        <v>10.588992315138189</v>
      </c>
      <c r="AO72" s="1008">
        <f>+(AO67/(AO67+AO27))*100</f>
        <v>15.000000000000002</v>
      </c>
      <c r="AP72" s="740">
        <f>+(AP67/(AP67+AP27))*100</f>
        <v>13.006721804828237</v>
      </c>
      <c r="AQ72" s="1699">
        <f>+$D$72</f>
        <v>15</v>
      </c>
      <c r="AR72" s="2706">
        <f>+(AR67/(AR67+AR27))*100</f>
        <v>17.545748015626423</v>
      </c>
      <c r="AS72" s="1008">
        <f>+(AS67/(AS67+AS27))*100</f>
        <v>15.000000000000005</v>
      </c>
      <c r="AT72" s="740">
        <f>+(AT67/(AT67+AT27))*100</f>
        <v>13.581789786316426</v>
      </c>
      <c r="AU72" s="1699">
        <f>+$D$72</f>
        <v>15</v>
      </c>
      <c r="AV72" s="2706">
        <f>+(AV67/(AV67+AV27))*100</f>
        <v>13.45878818459818</v>
      </c>
      <c r="AW72" s="1008">
        <f>+(AW67/(AW67+AW27))*100</f>
        <v>15.000000000000005</v>
      </c>
      <c r="AX72" s="740">
        <f>+(AX67/(AX67+AX27))*100</f>
        <v>13.570564163271806</v>
      </c>
      <c r="AY72" s="1699">
        <f>+$D$72</f>
        <v>15</v>
      </c>
      <c r="AZ72" s="2706">
        <f t="shared" ref="AZ72:BF72" si="366">+(AZ67/(AZ67+AZ27))*100</f>
        <v>14.064208997251853</v>
      </c>
      <c r="BA72" s="231">
        <f t="shared" si="366"/>
        <v>15</v>
      </c>
      <c r="BB72" s="231">
        <f t="shared" si="366"/>
        <v>15.298058565348519</v>
      </c>
      <c r="BC72" s="1006">
        <f t="shared" si="366"/>
        <v>15</v>
      </c>
      <c r="BD72" s="589">
        <f t="shared" si="366"/>
        <v>12.80143842778932</v>
      </c>
      <c r="BE72" s="1008">
        <f t="shared" si="366"/>
        <v>15.000000000000005</v>
      </c>
      <c r="BF72" s="740">
        <f t="shared" si="366"/>
        <v>13.604443627722185</v>
      </c>
      <c r="BG72" s="147"/>
      <c r="BH72" s="147"/>
      <c r="BI72" s="147"/>
      <c r="BJ72" s="147"/>
    </row>
    <row r="73" spans="1:62" x14ac:dyDescent="0.25">
      <c r="A73" s="181"/>
      <c r="B73" s="2605" t="s">
        <v>254</v>
      </c>
      <c r="C73" s="1009" t="s">
        <v>371</v>
      </c>
      <c r="D73" s="1633">
        <f>+'Maj Techno Summ'!D15</f>
        <v>900.75553765627922</v>
      </c>
      <c r="E73" s="1633">
        <f>+'Maj Techno Summ'!E15</f>
        <v>893.55021521564606</v>
      </c>
      <c r="F73" s="1633">
        <f>+'Maj Techno Summ'!F15</f>
        <v>925.18269548073226</v>
      </c>
      <c r="G73" s="1633">
        <f>+'Maj Techno Summ'!G15</f>
        <v>905.15064104284124</v>
      </c>
      <c r="H73" s="1633">
        <f>+'Maj Techno Summ'!H15</f>
        <v>937.47512995675788</v>
      </c>
      <c r="I73" s="693">
        <f>+'Maj Techno Summ'!I15</f>
        <v>898.82800710469292</v>
      </c>
      <c r="J73" s="693">
        <f>+'Maj Techno Summ'!J15</f>
        <v>930.88043371530398</v>
      </c>
      <c r="K73" s="1633">
        <f>+'Maj Techno Summ'!K15</f>
        <v>962.86201357853236</v>
      </c>
      <c r="L73" s="1633">
        <f>+'Maj Techno Summ'!L15</f>
        <v>954.82611311812116</v>
      </c>
      <c r="M73" s="582">
        <f>+'Maj Techno Summ'!M15</f>
        <v>919.12900915712453</v>
      </c>
      <c r="N73" s="582">
        <f>+'Maj Techno Summ'!N15</f>
        <v>939.040029778438</v>
      </c>
      <c r="O73" s="1633">
        <f>+'Maj Techno Summ'!O15</f>
        <v>915.20980471947564</v>
      </c>
      <c r="P73" s="1633">
        <f>+'Maj Techno Summ'!P15</f>
        <v>910.832315903682</v>
      </c>
      <c r="Q73" s="693">
        <f>+'Maj Techno Summ'!Q15</f>
        <v>918.0560539903455</v>
      </c>
      <c r="R73" s="693">
        <f>+'Maj Techno Summ'!R15</f>
        <v>931.14038451220381</v>
      </c>
      <c r="S73" s="189">
        <f>+'Maj Techno Summ'!S15</f>
        <v>905.96325986443298</v>
      </c>
      <c r="T73" s="2697">
        <f>+'Maj Techno Summ'!T15</f>
        <v>944.9130727501888</v>
      </c>
      <c r="U73" s="3270">
        <f>+'Maj Techno Summ'!U15</f>
        <v>915.45697323846321</v>
      </c>
      <c r="V73" s="3270">
        <f>+'Maj Techno Summ'!V15</f>
        <v>934.02493824453018</v>
      </c>
      <c r="W73" s="189">
        <f>+'Maj Techno Summ'!W15</f>
        <v>896.96966953558024</v>
      </c>
      <c r="X73" s="217">
        <f>+'Maj Techno Summ'!X15</f>
        <v>929.11390782018748</v>
      </c>
      <c r="Y73" s="946">
        <f>+'Maj Techno Summ'!Y15</f>
        <v>906.13707854620907</v>
      </c>
      <c r="Z73" s="946">
        <f>+'Maj Techno Summ'!Z15</f>
        <v>928.27267112523339</v>
      </c>
      <c r="AA73" s="558">
        <f>+'Maj Techno Summ'!AA15</f>
        <v>912.26571248022719</v>
      </c>
      <c r="AB73" s="558">
        <f>+'Maj Techno Summ'!AB15</f>
        <v>933.20938738379959</v>
      </c>
      <c r="AC73" s="4072">
        <f>+'Maj Techno Summ'!AC15</f>
        <v>890.13076089571189</v>
      </c>
      <c r="AD73" s="2697">
        <f>+'Maj Techno Summ'!AD15</f>
        <v>937.64450401565978</v>
      </c>
      <c r="AE73" s="3618">
        <f>+'Maj Techno Summ'!AE15</f>
        <v>908.84105959356623</v>
      </c>
      <c r="AF73" s="3618">
        <f>+'Maj Techno Summ'!AF15</f>
        <v>933.87596774901999</v>
      </c>
      <c r="AG73" s="4179">
        <f>+'Maj Techno Summ'!AG15</f>
        <v>890.13076089571211</v>
      </c>
      <c r="AH73" s="2697">
        <f>+'Maj Techno Summ'!AH15</f>
        <v>997.38834668652316</v>
      </c>
      <c r="AI73" s="3618">
        <f>+'Maj Techno Summ'!AI15</f>
        <v>906.4050360213073</v>
      </c>
      <c r="AJ73" s="3618">
        <f>+'Maj Techno Summ'!AJ15</f>
        <v>941.15458030327852</v>
      </c>
      <c r="AK73" s="4311">
        <f>+'Maj Techno Summ'!AK15</f>
        <v>890.130760895712</v>
      </c>
      <c r="AL73" s="2697">
        <f>+'Maj Techno Summ'!AL15</f>
        <v>934.24823608505187</v>
      </c>
      <c r="AM73" s="4312">
        <f>+'Maj Techno Summ'!AM15</f>
        <v>890.13076089571166</v>
      </c>
      <c r="AN73" s="4312">
        <f>+'Maj Techno Summ'!AN15</f>
        <v>954.63213936924615</v>
      </c>
      <c r="AO73" s="3618">
        <f>+'Maj Techno Summ'!AO15</f>
        <v>904.46780905454966</v>
      </c>
      <c r="AP73" s="3618">
        <f>+'Maj Techno Summ'!AP15</f>
        <v>940.37590325458189</v>
      </c>
      <c r="AQ73" s="4421">
        <f>+'Maj Techno Summ'!AQ15</f>
        <v>890.130760895712</v>
      </c>
      <c r="AR73" s="2697">
        <f>+'Maj Techno Summ'!AR15</f>
        <v>925.34688147002328</v>
      </c>
      <c r="AS73" s="3618">
        <f>+'Maj Techno Summ'!AS15</f>
        <v>902.94272253636154</v>
      </c>
      <c r="AT73" s="3618">
        <f>+'Maj Techno Summ'!AT15</f>
        <v>938.81777437112078</v>
      </c>
      <c r="AU73" s="4649">
        <f>+'Maj Techno Summ'!AU15</f>
        <v>890.130760895712</v>
      </c>
      <c r="AV73" s="2697">
        <f>+'Maj Techno Summ'!AV15</f>
        <v>904.46031560195399</v>
      </c>
      <c r="AW73" s="3618">
        <f>+'Maj Techno Summ'!AW15</f>
        <v>901.78803947313679</v>
      </c>
      <c r="AX73" s="3618">
        <f>+'Maj Techno Summ'!AX15</f>
        <v>935.6374761508913</v>
      </c>
      <c r="AY73" s="5040">
        <f>+'Maj Techno Summ'!AY15</f>
        <v>890.13076089571189</v>
      </c>
      <c r="AZ73" s="2697">
        <f>+'Maj Techno Summ'!AZ15</f>
        <v>894.04149157997995</v>
      </c>
      <c r="BA73" s="5036">
        <f>+'Maj Techno Summ'!BA15</f>
        <v>890.13076089571166</v>
      </c>
      <c r="BB73" s="5036">
        <f>+'Maj Techno Summ'!BB15</f>
        <v>907.90589273008982</v>
      </c>
      <c r="BC73" s="5038">
        <f>+'Maj Techno Summ'!BC15</f>
        <v>890.13076089571166</v>
      </c>
      <c r="BD73" s="5038">
        <f>+'Maj Techno Summ'!BD15</f>
        <v>930.90930796468081</v>
      </c>
      <c r="BE73" s="3618">
        <f>+'Maj Techno Summ'!BE15</f>
        <v>900.75553765627933</v>
      </c>
      <c r="BF73" s="3618">
        <f>+'Maj Techno Summ'!BF15</f>
        <v>932.0378517640504</v>
      </c>
      <c r="BG73" s="147"/>
      <c r="BH73" s="147"/>
      <c r="BI73" s="147"/>
      <c r="BJ73" s="147"/>
    </row>
    <row r="74" spans="1:62" s="220" customFormat="1" x14ac:dyDescent="0.25">
      <c r="A74" s="634"/>
      <c r="B74" s="2599" t="s">
        <v>257</v>
      </c>
      <c r="C74" s="672" t="s">
        <v>51</v>
      </c>
      <c r="D74" s="131">
        <v>94.808743169398909</v>
      </c>
      <c r="E74" s="227">
        <v>96.666666666666671</v>
      </c>
      <c r="F74" s="227">
        <v>97.986111111111114</v>
      </c>
      <c r="G74" s="227">
        <v>80.645161290322577</v>
      </c>
      <c r="H74" s="227">
        <v>86.55913978494624</v>
      </c>
      <c r="I74" s="947">
        <f>+I49/I2*100</f>
        <v>88.52459016393442</v>
      </c>
      <c r="J74" s="947">
        <f>+J49/J2*100</f>
        <v>89.873633879781437</v>
      </c>
      <c r="K74" s="227">
        <v>90</v>
      </c>
      <c r="L74" s="227">
        <v>100</v>
      </c>
      <c r="M74" s="427">
        <f>+M49/M2*100</f>
        <v>89.010989010989007</v>
      </c>
      <c r="N74" s="946">
        <f>+N49/N2*100</f>
        <v>91.815476190476204</v>
      </c>
      <c r="O74" s="227">
        <v>96.774193548387103</v>
      </c>
      <c r="P74" s="227">
        <v>98.398297491039415</v>
      </c>
      <c r="Q74" s="331">
        <f>+Q49/Q2*100</f>
        <v>90.983606557377044</v>
      </c>
      <c r="R74" s="947">
        <f>+R49/R2*100</f>
        <v>93.488160291438987</v>
      </c>
      <c r="S74" s="939">
        <f>+S49/S2*100</f>
        <v>96.774193548387117</v>
      </c>
      <c r="T74" s="2707">
        <v>100</v>
      </c>
      <c r="U74" s="331">
        <f>+U49/U2*100</f>
        <v>92.156862745098039</v>
      </c>
      <c r="V74" s="3269">
        <f>+V49/V2*100</f>
        <v>94.807552650689914</v>
      </c>
      <c r="W74" s="189">
        <f>+W49/W2*100</f>
        <v>96.666666666666671</v>
      </c>
      <c r="X74" s="939">
        <v>94.86</v>
      </c>
      <c r="Y74" s="946">
        <f>+Y49/Y2*100</f>
        <v>96.739130434782609</v>
      </c>
      <c r="Z74" s="946">
        <f>+Z49/Z2*100</f>
        <v>97.79966787439615</v>
      </c>
      <c r="AA74" s="558">
        <f>+AA49/AA2*100</f>
        <v>92.896174863387984</v>
      </c>
      <c r="AB74" s="558">
        <f>+AB49/AB2*100</f>
        <v>94.823922282938682</v>
      </c>
      <c r="AC74" s="939">
        <f>+AC49/AC2*100</f>
        <v>96.774193548387103</v>
      </c>
      <c r="AD74" s="2707">
        <v>98.387096774193552</v>
      </c>
      <c r="AE74" s="331">
        <f>+AE49/AE2*100</f>
        <v>93.45794392523365</v>
      </c>
      <c r="AF74" s="3615">
        <f>+AF49/AF2*100</f>
        <v>95.340083073727939</v>
      </c>
      <c r="AG74" s="939">
        <f>+AG49/AG2*100</f>
        <v>96.666666666666671</v>
      </c>
      <c r="AH74" s="2707">
        <v>96.712962962962962</v>
      </c>
      <c r="AI74" s="331">
        <f>+AI49/AI2*100</f>
        <v>93.852459016393439</v>
      </c>
      <c r="AJ74" s="3615">
        <f>+AJ49/AJ2*100</f>
        <v>95.508879781420774</v>
      </c>
      <c r="AK74" s="939">
        <f>+AK49/AK2*100</f>
        <v>96.774193548387089</v>
      </c>
      <c r="AL74" s="2707">
        <v>97.289426523297479</v>
      </c>
      <c r="AM74" s="4312">
        <f>+AM49/AM2*100</f>
        <v>96.739130434782609</v>
      </c>
      <c r="AN74" s="4312">
        <f>+AN49/AN2*100</f>
        <v>97.46968222784092</v>
      </c>
      <c r="AO74" s="331">
        <f>+AO49/AO2*100</f>
        <v>94.181818181818173</v>
      </c>
      <c r="AP74" s="3615">
        <f>+AP49/AP2*100</f>
        <v>95.709049246324156</v>
      </c>
      <c r="AQ74" s="939">
        <f>+AQ49/AQ2*100</f>
        <v>96.774193548387089</v>
      </c>
      <c r="AR74" s="2707">
        <v>94.825268817204304</v>
      </c>
      <c r="AS74" s="331">
        <f>+AS49/AS2*100</f>
        <v>94.444444444444443</v>
      </c>
      <c r="AT74" s="3615">
        <f>+AT49/AT2*100</f>
        <v>95.617710943617681</v>
      </c>
      <c r="AU74" s="939">
        <f>+AU49/AU2*100</f>
        <v>96.551724137931032</v>
      </c>
      <c r="AV74" s="2707">
        <v>100</v>
      </c>
      <c r="AW74" s="331">
        <f>+AW49/AW2*100</f>
        <v>94.626865671641795</v>
      </c>
      <c r="AX74" s="3615">
        <f>+AX49/AX2*100</f>
        <v>95.997073279841828</v>
      </c>
      <c r="AY74" s="939">
        <f>+AY49/AY2*100</f>
        <v>96.774193548387117</v>
      </c>
      <c r="AZ74" s="2707">
        <v>96.057347670250905</v>
      </c>
      <c r="BA74" s="5036">
        <f t="shared" ref="BA74:BF74" si="367">+BA49/BA2*100</f>
        <v>96.703296703296701</v>
      </c>
      <c r="BB74" s="5036">
        <f t="shared" si="367"/>
        <v>96.888008613029044</v>
      </c>
      <c r="BC74" s="5038">
        <f t="shared" si="367"/>
        <v>96.721311475409834</v>
      </c>
      <c r="BD74" s="5038">
        <f t="shared" si="367"/>
        <v>97.180434692606596</v>
      </c>
      <c r="BE74" s="331">
        <f t="shared" si="367"/>
        <v>94.808743169398909</v>
      </c>
      <c r="BF74" s="3615">
        <f t="shared" si="367"/>
        <v>96.002178487772653</v>
      </c>
      <c r="BG74" s="147"/>
      <c r="BH74" s="147"/>
      <c r="BI74" s="147"/>
      <c r="BJ74" s="147"/>
    </row>
    <row r="75" spans="1:62" x14ac:dyDescent="0.25">
      <c r="A75" s="181" t="s">
        <v>478</v>
      </c>
      <c r="B75" s="2606" t="s">
        <v>256</v>
      </c>
      <c r="C75" s="87" t="s">
        <v>255</v>
      </c>
      <c r="D75" s="1494">
        <v>1150</v>
      </c>
      <c r="E75" s="1411">
        <f>+$D$75</f>
        <v>1150</v>
      </c>
      <c r="F75" s="1411">
        <v>1144.703666666667</v>
      </c>
      <c r="G75" s="1411">
        <f>+$D$75</f>
        <v>1150</v>
      </c>
      <c r="H75" s="1411">
        <v>1125.6647863910423</v>
      </c>
      <c r="I75" s="947">
        <f>+AVERAGE(E75,G75)</f>
        <v>1150</v>
      </c>
      <c r="J75" s="947">
        <f>+((F75*F$2)+(H75*H$2))/J$2</f>
        <v>1135.0281701331528</v>
      </c>
      <c r="K75" s="1411">
        <f>+$D$75</f>
        <v>1150</v>
      </c>
      <c r="L75" s="1411">
        <v>1140.1153793103449</v>
      </c>
      <c r="M75" s="101">
        <f>+$D$75</f>
        <v>1150</v>
      </c>
      <c r="N75" s="946">
        <f>+((F75*F$2)+(H75*H$2)+(L75*L$2))/N$2</f>
        <v>1136.7052720596996</v>
      </c>
      <c r="O75" s="1411">
        <f>+$D$75</f>
        <v>1150</v>
      </c>
      <c r="P75" s="1411">
        <v>1163.7325806451615</v>
      </c>
      <c r="Q75" s="947">
        <f>+$D$75</f>
        <v>1150</v>
      </c>
      <c r="R75" s="2945">
        <f>+((N75*N$2)+(P75*P$2))/R$2</f>
        <v>1143.5728668642023</v>
      </c>
      <c r="S75" s="189">
        <f>+$D$75</f>
        <v>1150</v>
      </c>
      <c r="T75" s="2697">
        <v>1163.7325806451615</v>
      </c>
      <c r="U75" s="3269">
        <f>+$D$75</f>
        <v>1150</v>
      </c>
      <c r="V75" s="3269">
        <f>+((R75*R$2)+(T75*T$2))/V$2</f>
        <v>1147.6575147544622</v>
      </c>
      <c r="W75" s="189">
        <f>+$D$75</f>
        <v>1150</v>
      </c>
      <c r="X75" s="217">
        <v>1166.9553333333338</v>
      </c>
      <c r="Y75" s="946">
        <f>+AVERAGE(O75,S75,W75)</f>
        <v>1150</v>
      </c>
      <c r="Z75" s="946">
        <f>+((P75*P$2)+(T75*T$2)+(X75*X$2))/Z$2</f>
        <v>1164.7834782608697</v>
      </c>
      <c r="AA75" s="558">
        <f>+AVERAGE(E75,G75,K75,O75,S75,W75)</f>
        <v>1150</v>
      </c>
      <c r="AB75" s="558">
        <f>+((N75*N$2)+(Z75*Z$2))/AB$2</f>
        <v>1150.8210915706704</v>
      </c>
      <c r="AC75" s="4072">
        <f>+$D$75</f>
        <v>1150</v>
      </c>
      <c r="AD75" s="2697">
        <v>1160.9551612903226</v>
      </c>
      <c r="AE75" s="3615">
        <f>+$D$75</f>
        <v>1150</v>
      </c>
      <c r="AF75" s="3615">
        <f>+((AB75*AB$2)+(AD75*AD$2))/AF$2</f>
        <v>1152.2891110160406</v>
      </c>
      <c r="AG75" s="4179">
        <f>+$D$75</f>
        <v>1150</v>
      </c>
      <c r="AH75" s="2697">
        <v>1148.5899999999999</v>
      </c>
      <c r="AI75" s="3615">
        <f>+$D$75</f>
        <v>1150</v>
      </c>
      <c r="AJ75" s="3615">
        <f>+((AF75*AF$2)+(AH75*AH$2))/AJ$2</f>
        <v>1151.8343022845602</v>
      </c>
      <c r="AK75" s="4311">
        <f>+$D$75</f>
        <v>1150</v>
      </c>
      <c r="AL75" s="2697">
        <v>1158.6974193548385</v>
      </c>
      <c r="AM75" s="4312">
        <f>+AVERAGE(AC75,AG75,AK75)</f>
        <v>1150</v>
      </c>
      <c r="AN75" s="4312">
        <f>+((AD75*AD$2)+(AH75*AH$2)+(AL75*AL$2))/AN$2</f>
        <v>1156.1622826086955</v>
      </c>
      <c r="AO75" s="3615">
        <f>+$D$75</f>
        <v>1150</v>
      </c>
      <c r="AP75" s="3615">
        <f>+((AL75*AL$2)+(AJ75*AJ$2))/AP$2</f>
        <v>1152.6079627543006</v>
      </c>
      <c r="AQ75" s="4421">
        <f>+$D$75</f>
        <v>1150</v>
      </c>
      <c r="AR75" s="2697">
        <v>1163.5999999999999</v>
      </c>
      <c r="AS75" s="3615">
        <f>+$D$75</f>
        <v>1150</v>
      </c>
      <c r="AT75" s="3615">
        <f>+((AP75*AP$2)+(AR75*AR$2))/AT$2</f>
        <v>1153.7215351550087</v>
      </c>
      <c r="AU75" s="4649">
        <f>+$D$75</f>
        <v>1150</v>
      </c>
      <c r="AV75" s="2697">
        <v>1167.344827586207</v>
      </c>
      <c r="AW75" s="3615">
        <f>+$D$75</f>
        <v>1150</v>
      </c>
      <c r="AX75" s="3615">
        <f>+((AT75*AT$2)+(AV75*AV$2))/AX$2</f>
        <v>1154.9008649475602</v>
      </c>
      <c r="AY75" s="5040">
        <f>+$D$75</f>
        <v>1150</v>
      </c>
      <c r="AZ75" s="2697">
        <v>1151.5483870967741</v>
      </c>
      <c r="BA75" s="5036">
        <f>+AVERAGE(AQ75,AU75,AY75)</f>
        <v>1150</v>
      </c>
      <c r="BB75" s="5036">
        <f>+((AR75*AR$2)+(AV75*AV$2)+(AZ75*AZ$2))/BB$2</f>
        <v>1160.6879120879121</v>
      </c>
      <c r="BC75" s="5038">
        <f>+AVERAGE(AC75,AG75,AK75,AQ75,AU75,AY75)</f>
        <v>1150</v>
      </c>
      <c r="BD75" s="5038">
        <f>+((AN75*AN$2)+(BB75*BB$2))/BD$2</f>
        <v>1158.412732240437</v>
      </c>
      <c r="BE75" s="3615">
        <f>+$D$75</f>
        <v>1150</v>
      </c>
      <c r="BF75" s="3615">
        <f>+((AX75*AX$2)+(AZ75*AZ$2))/BF$2</f>
        <v>1154.6169119055537</v>
      </c>
      <c r="BG75" s="147"/>
      <c r="BH75" s="147"/>
      <c r="BI75" s="147"/>
      <c r="BJ75" s="147"/>
    </row>
    <row r="76" spans="1:62" x14ac:dyDescent="0.25">
      <c r="A76" s="181" t="s">
        <v>478</v>
      </c>
      <c r="B76" s="3935" t="s">
        <v>258</v>
      </c>
      <c r="C76" s="3626" t="s">
        <v>224</v>
      </c>
      <c r="D76" s="2757">
        <v>387</v>
      </c>
      <c r="E76" s="2757">
        <f>$D$76</f>
        <v>387</v>
      </c>
      <c r="F76" s="2942">
        <f>+F17/F6*1000</f>
        <v>455.89765866079711</v>
      </c>
      <c r="G76" s="2757">
        <f>$D$76</f>
        <v>387</v>
      </c>
      <c r="H76" s="2942">
        <f>+H17/H6*1000</f>
        <v>487.6115537966208</v>
      </c>
      <c r="I76" s="452">
        <f>+I17/I6*1000</f>
        <v>387</v>
      </c>
      <c r="J76" s="452">
        <f>+J17/J6*1000</f>
        <v>470.03322250394046</v>
      </c>
      <c r="K76" s="2757">
        <f>$D$76</f>
        <v>387</v>
      </c>
      <c r="L76" s="2942">
        <f>+L17/L6*1000</f>
        <v>400.09125379052409</v>
      </c>
      <c r="M76" s="454">
        <f>+M17/M6*1000</f>
        <v>387</v>
      </c>
      <c r="N76" s="454">
        <f>+N17/N6*1000</f>
        <v>446.39827878418896</v>
      </c>
      <c r="O76" s="2757">
        <f>$D$76</f>
        <v>387</v>
      </c>
      <c r="P76" s="2942">
        <f>+P17/P6*1000</f>
        <v>459.97111985484503</v>
      </c>
      <c r="Q76" s="452">
        <f>+Q17/Q6*1000</f>
        <v>387</v>
      </c>
      <c r="R76" s="452">
        <f>+R17/R6*1000</f>
        <v>450.19548714024671</v>
      </c>
      <c r="S76" s="2757">
        <f>$D$76</f>
        <v>387</v>
      </c>
      <c r="T76" s="3129">
        <f>+T17/T6*1000</f>
        <v>478.76881203570764</v>
      </c>
      <c r="U76" s="452">
        <f>+U17/U6*1000</f>
        <v>387</v>
      </c>
      <c r="V76" s="452">
        <f>+V17/V6*1000</f>
        <v>456.34245771157379</v>
      </c>
      <c r="W76" s="1698">
        <f>$D$76</f>
        <v>387</v>
      </c>
      <c r="X76" s="1420">
        <f>+X17/X6*1000</f>
        <v>448.46878491620129</v>
      </c>
      <c r="Y76" s="454">
        <f>+Y17/Y6*1000</f>
        <v>387</v>
      </c>
      <c r="Z76" s="454">
        <f>+Z17/Z6*1000</f>
        <v>462.60368426944285</v>
      </c>
      <c r="AA76" s="660">
        <f>+AA17/AA6*1000</f>
        <v>387</v>
      </c>
      <c r="AB76" s="660">
        <f>+AB17/AB6*1000</f>
        <v>455.00222911332708</v>
      </c>
      <c r="AC76" s="2757">
        <f>$D$76</f>
        <v>387</v>
      </c>
      <c r="AD76" s="3129">
        <f>+AD17/AD6*1000</f>
        <v>430.55008343128634</v>
      </c>
      <c r="AE76" s="452">
        <f>+AE17/AE6*1000</f>
        <v>387</v>
      </c>
      <c r="AF76" s="452">
        <f>+AF17/AF6*1000</f>
        <v>451.25887893963187</v>
      </c>
      <c r="AG76" s="2757">
        <f>$D$76</f>
        <v>387</v>
      </c>
      <c r="AH76" s="3129">
        <f>+AH17/AH6*1000</f>
        <v>450.85902064106665</v>
      </c>
      <c r="AI76" s="452">
        <f>+AI17/AI6*1000</f>
        <v>387</v>
      </c>
      <c r="AJ76" s="452">
        <f>+AJ17/AJ6*1000</f>
        <v>451.21298070370761</v>
      </c>
      <c r="AK76" s="2757">
        <f>$D$76</f>
        <v>387</v>
      </c>
      <c r="AL76" s="3129">
        <f>+AL17/AL6*1000</f>
        <v>454.32705717078858</v>
      </c>
      <c r="AM76" s="454">
        <f>+AM17/AM6*1000</f>
        <v>387</v>
      </c>
      <c r="AN76" s="454">
        <f>+AN17/AN6*1000</f>
        <v>444.73465229146632</v>
      </c>
      <c r="AO76" s="452">
        <f>+AO17/AO6*1000</f>
        <v>387</v>
      </c>
      <c r="AP76" s="452">
        <f>+AP17/AP6*1000</f>
        <v>451.56416011372607</v>
      </c>
      <c r="AQ76" s="2757">
        <f>$D$76</f>
        <v>387</v>
      </c>
      <c r="AR76" s="3129">
        <f>+AR17/AR6*1000</f>
        <v>402.60355006683147</v>
      </c>
      <c r="AS76" s="452">
        <f>+AS17/AS6*1000</f>
        <v>387</v>
      </c>
      <c r="AT76" s="452">
        <f>+AT17/AT6*1000</f>
        <v>446.51824583741995</v>
      </c>
      <c r="AU76" s="2757">
        <f>$D$76</f>
        <v>387</v>
      </c>
      <c r="AV76" s="3129">
        <f>+AV17/AV6*1000</f>
        <v>434.45952244838372</v>
      </c>
      <c r="AW76" s="452">
        <f>+AW17/AW6*1000</f>
        <v>387</v>
      </c>
      <c r="AX76" s="452">
        <f>+AX17/AX6*1000</f>
        <v>445.40180723424589</v>
      </c>
      <c r="AY76" s="2757">
        <f>$D$76</f>
        <v>387</v>
      </c>
      <c r="AZ76" s="3129">
        <f t="shared" ref="AZ76:BF76" si="368">+AZ17/AZ6*1000</f>
        <v>474.25515248511829</v>
      </c>
      <c r="BA76" s="454">
        <f t="shared" si="368"/>
        <v>387</v>
      </c>
      <c r="BB76" s="454">
        <f t="shared" si="368"/>
        <v>437.2398787837954</v>
      </c>
      <c r="BC76" s="660">
        <f t="shared" si="368"/>
        <v>387</v>
      </c>
      <c r="BD76" s="660">
        <f t="shared" si="368"/>
        <v>440.9328326463629</v>
      </c>
      <c r="BE76" s="452">
        <f t="shared" si="368"/>
        <v>387</v>
      </c>
      <c r="BF76" s="452">
        <f t="shared" si="368"/>
        <v>447.89213363431554</v>
      </c>
      <c r="BG76" s="147"/>
      <c r="BH76" s="147"/>
      <c r="BI76" s="147"/>
      <c r="BJ76" s="147"/>
    </row>
    <row r="77" spans="1:62" x14ac:dyDescent="0.25">
      <c r="A77" s="181" t="s">
        <v>478</v>
      </c>
      <c r="B77" s="2608" t="s">
        <v>259</v>
      </c>
      <c r="C77" s="672" t="s">
        <v>51</v>
      </c>
      <c r="D77" s="1415">
        <v>0.8</v>
      </c>
      <c r="E77" s="1415">
        <f>+$D$77</f>
        <v>0.8</v>
      </c>
      <c r="F77" s="1415">
        <v>0.62562623605784196</v>
      </c>
      <c r="G77" s="1415">
        <f>+$D$77</f>
        <v>0.8</v>
      </c>
      <c r="H77" s="1415">
        <v>0.689500877065503</v>
      </c>
      <c r="I77" s="451" t="s">
        <v>565</v>
      </c>
      <c r="J77" s="451">
        <f>+((F77*F$6)+(H77*H$6))/J$6</f>
        <v>0.65409653470941764</v>
      </c>
      <c r="K77" s="1415">
        <f>+$D$77</f>
        <v>0.8</v>
      </c>
      <c r="L77" s="1415">
        <v>0.80923141702428847</v>
      </c>
      <c r="M77" s="2580">
        <f>+$D$77</f>
        <v>0.8</v>
      </c>
      <c r="N77" s="453">
        <f>+((F77*F$6)+(H77*H$6)+(L77*L$6))/N$6</f>
        <v>0.70652005494954651</v>
      </c>
      <c r="O77" s="1415">
        <f>+$D$77</f>
        <v>0.8</v>
      </c>
      <c r="P77" s="1415">
        <v>0.61841357381197204</v>
      </c>
      <c r="Q77" s="451">
        <v>0.8</v>
      </c>
      <c r="R77" s="451">
        <f>+((N77*N$6)+(P77*P$6))/R$6</f>
        <v>0.68187092919489933</v>
      </c>
      <c r="S77" s="487">
        <f>+$D$77</f>
        <v>0.8</v>
      </c>
      <c r="T77" s="2703">
        <v>0.65072089787380849</v>
      </c>
      <c r="U77" s="3273">
        <v>0.8</v>
      </c>
      <c r="V77" s="3273">
        <f>+((R77*R$6)+(T77*T$6))/V$6</f>
        <v>0.67516963256501095</v>
      </c>
      <c r="W77" s="487">
        <f>+$D$77</f>
        <v>0.8</v>
      </c>
      <c r="X77" s="197">
        <v>0.6594335946598926</v>
      </c>
      <c r="Y77" s="453">
        <v>0.8</v>
      </c>
      <c r="Z77" s="453">
        <f>+((P77*P$6)+(T77*T$6)+(X77*X$6))/Z$6</f>
        <v>0.64242705230366592</v>
      </c>
      <c r="AA77" s="588">
        <v>0.8</v>
      </c>
      <c r="AB77" s="588">
        <f>+((N77*N$6)+(Z77*Z$6))/AB$6</f>
        <v>0.67249110012257463</v>
      </c>
      <c r="AC77" s="487">
        <f>+$D$77</f>
        <v>0.8</v>
      </c>
      <c r="AD77" s="2703">
        <v>0.7440574759773706</v>
      </c>
      <c r="AE77" s="3313">
        <v>0.8</v>
      </c>
      <c r="AF77" s="3313">
        <f>+((AB77*AB$6)+(AD77*AD$6))/AF$6</f>
        <v>0.6834471122848752</v>
      </c>
      <c r="AG77" s="487">
        <f>+$D$77</f>
        <v>0.8</v>
      </c>
      <c r="AH77" s="2703">
        <v>0.80753267888810798</v>
      </c>
      <c r="AI77" s="3313">
        <v>0.8</v>
      </c>
      <c r="AJ77" s="3313">
        <f>+((AF77*AF$6)+(AH77*AH$6))/AJ$6</f>
        <v>0.69769042955798388</v>
      </c>
      <c r="AK77" s="487">
        <f>+$D$77</f>
        <v>0.8</v>
      </c>
      <c r="AL77" s="2703">
        <v>0.80765887654301394</v>
      </c>
      <c r="AM77" s="3402">
        <v>0.8</v>
      </c>
      <c r="AN77" s="3402">
        <f>+((AD77*AD$6)+(AH77*AH$6)+(AL77*AL$6))/AN$6</f>
        <v>0.78478307042209816</v>
      </c>
      <c r="AO77" s="3313">
        <v>0.8</v>
      </c>
      <c r="AP77" s="3313">
        <f>+((AL77*AL$6)+(AJ77*AJ$6))/AP$6</f>
        <v>0.71009174813223308</v>
      </c>
      <c r="AQ77" s="487">
        <f>+$D$77</f>
        <v>0.8</v>
      </c>
      <c r="AR77" s="2703">
        <v>0.7252487310549266</v>
      </c>
      <c r="AS77" s="3313">
        <v>0.8</v>
      </c>
      <c r="AT77" s="3313">
        <f>+((AP77*AP$6)+(AR77*AR$6))/AT$6</f>
        <v>0.71165383725739095</v>
      </c>
      <c r="AU77" s="487">
        <f>+$D$77</f>
        <v>0.8</v>
      </c>
      <c r="AV77" s="2703">
        <v>0.62774652246171325</v>
      </c>
      <c r="AW77" s="3313">
        <v>0.8</v>
      </c>
      <c r="AX77" s="3313">
        <f>+((AT77*AT$6)+(AV77*AV$6))/AX$6</f>
        <v>0.70388540586508119</v>
      </c>
      <c r="AY77" s="487">
        <f>+$D$77</f>
        <v>0.8</v>
      </c>
      <c r="AZ77" s="2703">
        <v>0.67588412061105585</v>
      </c>
      <c r="BA77" s="3402">
        <v>0.8</v>
      </c>
      <c r="BB77" s="3402">
        <f>+((AR77*AR$6)+(AV77*AV$6)+(AZ77*AZ$6))/BB$6</f>
        <v>0.67645361792430647</v>
      </c>
      <c r="BC77" s="3401">
        <v>0.8</v>
      </c>
      <c r="BD77" s="3401">
        <f>+((AN77*AN$6)+(BB77*BB$6))/BD$6</f>
        <v>0.7298315711902853</v>
      </c>
      <c r="BE77" s="3313">
        <v>0.8</v>
      </c>
      <c r="BF77" s="3313">
        <f>+((AX77*AX$6)+(AZ77*AZ$6))/BF$6</f>
        <v>0.70146862059121862</v>
      </c>
      <c r="BG77" s="147"/>
      <c r="BH77" s="147"/>
      <c r="BI77" s="147"/>
      <c r="BJ77" s="147"/>
    </row>
    <row r="78" spans="1:62" ht="15.75" customHeight="1" x14ac:dyDescent="0.25">
      <c r="A78" s="181" t="s">
        <v>478</v>
      </c>
      <c r="B78" s="2608" t="s">
        <v>260</v>
      </c>
      <c r="C78" s="672" t="s">
        <v>51</v>
      </c>
      <c r="D78" s="327">
        <v>0.05</v>
      </c>
      <c r="E78" s="327">
        <f>+$D$78</f>
        <v>0.05</v>
      </c>
      <c r="F78" s="327">
        <v>3.5435895064759915E-2</v>
      </c>
      <c r="G78" s="327">
        <f>+$D$78</f>
        <v>0.05</v>
      </c>
      <c r="H78" s="327">
        <v>3.6956733797046962E-2</v>
      </c>
      <c r="I78" s="457" t="s">
        <v>566</v>
      </c>
      <c r="J78" s="451">
        <f>+((F78*F$6)+(H78*H$6))/J$6</f>
        <v>3.6113765534574419E-2</v>
      </c>
      <c r="K78" s="327">
        <f>+$D$78</f>
        <v>0.05</v>
      </c>
      <c r="L78" s="327">
        <v>4.6785624114295196E-2</v>
      </c>
      <c r="M78" s="458">
        <f>+$D$78</f>
        <v>0.05</v>
      </c>
      <c r="N78" s="453">
        <f>+((F78*F$6)+(H78*H$6)+(L78*L$6))/N$6</f>
        <v>3.9720023430321418E-2</v>
      </c>
      <c r="O78" s="327">
        <f>+$D$78</f>
        <v>0.05</v>
      </c>
      <c r="P78" s="327">
        <v>3.9377774146623183E-2</v>
      </c>
      <c r="Q78" s="457">
        <v>0.05</v>
      </c>
      <c r="R78" s="451">
        <f>+((N78*N$6)+(P78*P$6))/R$6</f>
        <v>3.9624273997085707E-2</v>
      </c>
      <c r="S78" s="474">
        <f>+$D$78</f>
        <v>0.05</v>
      </c>
      <c r="T78" s="2708">
        <v>3.8137048793781485E-2</v>
      </c>
      <c r="U78" s="457">
        <v>0.05</v>
      </c>
      <c r="V78" s="3273">
        <f>+((R78*R$6)+(T78*T$6))/V$6</f>
        <v>3.9304327697833041E-2</v>
      </c>
      <c r="W78" s="474">
        <f>+$D$78</f>
        <v>0.05</v>
      </c>
      <c r="X78" s="475">
        <v>3.9277894110145192E-2</v>
      </c>
      <c r="Y78" s="458">
        <v>0.04</v>
      </c>
      <c r="Z78" s="453">
        <f>+((P78*P$6)+(T78*T$6)+(X78*X$6))/Z$6</f>
        <v>3.8928592430330956E-2</v>
      </c>
      <c r="AA78" s="796">
        <v>0.04</v>
      </c>
      <c r="AB78" s="588">
        <f>+((N78*N$6)+(Z78*Z$6))/AB$6</f>
        <v>3.9299828266488326E-2</v>
      </c>
      <c r="AC78" s="474">
        <f>+$D$78</f>
        <v>0.05</v>
      </c>
      <c r="AD78" s="2708">
        <v>3.9557547167285025E-2</v>
      </c>
      <c r="AE78" s="457">
        <v>0.05</v>
      </c>
      <c r="AF78" s="3313">
        <f>+((AB78*AB$6)+(AD78*AD$6))/AF$6</f>
        <v>3.933928214937478E-2</v>
      </c>
      <c r="AG78" s="474">
        <f>+$D$78</f>
        <v>0.05</v>
      </c>
      <c r="AH78" s="2708">
        <v>3.9335724096925997E-2</v>
      </c>
      <c r="AI78" s="457">
        <v>0.05</v>
      </c>
      <c r="AJ78" s="3313">
        <f>+((AF78*AF$6)+(AH78*AH$6))/AJ$6</f>
        <v>3.9338873733865305E-2</v>
      </c>
      <c r="AK78" s="474">
        <f>+$D$78</f>
        <v>0.05</v>
      </c>
      <c r="AL78" s="2708">
        <v>3.4733705715886326E-2</v>
      </c>
      <c r="AM78" s="458">
        <v>0.04</v>
      </c>
      <c r="AN78" s="3402">
        <f>+((AD78*AD$6)+(AH78*AH$6)+(AL78*AL$6))/AN$6</f>
        <v>3.7865482143506692E-2</v>
      </c>
      <c r="AO78" s="457">
        <v>0.05</v>
      </c>
      <c r="AP78" s="457">
        <f>+((AL78*AL$6)+(AJ78*AJ$6))/AP$6</f>
        <v>3.8819541532268645E-2</v>
      </c>
      <c r="AQ78" s="474">
        <f>+$D$78</f>
        <v>0.05</v>
      </c>
      <c r="AR78" s="2708">
        <v>4.9326892438264255E-2</v>
      </c>
      <c r="AS78" s="457">
        <v>0.05</v>
      </c>
      <c r="AT78" s="457">
        <f>+((AP78*AP$6)+(AR78*AR$6))/AT$6</f>
        <v>3.990243637144527E-2</v>
      </c>
      <c r="AU78" s="474">
        <f>+$D$78</f>
        <v>0.05</v>
      </c>
      <c r="AV78" s="2708">
        <v>4.2324050828958973E-2</v>
      </c>
      <c r="AW78" s="457">
        <v>0.05</v>
      </c>
      <c r="AX78" s="457">
        <f>+((AT78*AT$6)+(AV78*AV$6))/AX$6</f>
        <v>4.0126637870654597E-2</v>
      </c>
      <c r="AY78" s="474">
        <f>+$D$78</f>
        <v>0.05</v>
      </c>
      <c r="AZ78" s="2708">
        <v>3.9609537962247213E-2</v>
      </c>
      <c r="BA78" s="458">
        <v>0.04</v>
      </c>
      <c r="BB78" s="3402">
        <f>+((AR78*AR$6)+(AV78*AV$6)+(AZ78*AZ$6))/BB$6</f>
        <v>4.374431857441128E-2</v>
      </c>
      <c r="BC78" s="796">
        <v>0.04</v>
      </c>
      <c r="BD78" s="3401">
        <f>+((AN78*AN$6)+(BB78*BB$6))/BD$6</f>
        <v>4.0847597054716009E-2</v>
      </c>
      <c r="BE78" s="457">
        <v>0.05</v>
      </c>
      <c r="BF78" s="457">
        <f>+((AX78*AX$6)+(AZ78*AZ$6))/BF$6</f>
        <v>4.0082007082016959E-2</v>
      </c>
      <c r="BG78" s="147"/>
      <c r="BH78" s="147"/>
      <c r="BI78" s="147"/>
      <c r="BJ78" s="147"/>
    </row>
    <row r="79" spans="1:62" x14ac:dyDescent="0.25">
      <c r="A79" s="181"/>
      <c r="B79" s="2609" t="s">
        <v>266</v>
      </c>
      <c r="C79" s="672" t="s">
        <v>215</v>
      </c>
      <c r="D79" s="1411">
        <f>+(D80*D6)/1000000</f>
        <v>4398.8</v>
      </c>
      <c r="E79" s="1411">
        <f>+(E80*E6)/1000000</f>
        <v>365.8</v>
      </c>
      <c r="F79" s="1411">
        <v>343.52350200000001</v>
      </c>
      <c r="G79" s="1411">
        <f>+(G80*G6)/1000000</f>
        <v>334.89999999999992</v>
      </c>
      <c r="H79" s="1411">
        <v>293</v>
      </c>
      <c r="I79" s="331">
        <f>+E79+G79</f>
        <v>700.69999999999993</v>
      </c>
      <c r="J79" s="331">
        <f>+F79+H79</f>
        <v>636.52350200000001</v>
      </c>
      <c r="K79" s="1411">
        <f>+(K80*K6)/1000000</f>
        <v>341.7</v>
      </c>
      <c r="L79" s="1411">
        <v>325.5</v>
      </c>
      <c r="M79" s="3578">
        <f>E79+G79+K79</f>
        <v>1042.3999999999999</v>
      </c>
      <c r="N79" s="3578">
        <f>F79+H79+L79</f>
        <v>962.02350200000001</v>
      </c>
      <c r="O79" s="1411">
        <f>+(O80*O6)/1000000</f>
        <v>370.45</v>
      </c>
      <c r="P79" s="2442">
        <f>363743.4/1000</f>
        <v>363.74340000000001</v>
      </c>
      <c r="Q79" s="331">
        <f>+M79+O79</f>
        <v>1412.85</v>
      </c>
      <c r="R79" s="331">
        <f>+N79+P79</f>
        <v>1325.7669020000001</v>
      </c>
      <c r="S79" s="189">
        <f>+(S80*S6)/1000000</f>
        <v>370.45</v>
      </c>
      <c r="T79" s="2697">
        <v>371.77666499999992</v>
      </c>
      <c r="U79" s="331">
        <f>+Q79+S79</f>
        <v>1783.3</v>
      </c>
      <c r="V79" s="331">
        <f>+R79+T79</f>
        <v>1697.5435669999999</v>
      </c>
      <c r="W79" s="189">
        <f>+(W80*W6)/1000000</f>
        <v>359.6</v>
      </c>
      <c r="X79" s="217">
        <v>340.53</v>
      </c>
      <c r="Y79" s="946">
        <f>+W79+S79+O79</f>
        <v>1100.5</v>
      </c>
      <c r="Z79" s="946">
        <f>+X79+T79+P79</f>
        <v>1076.0500649999999</v>
      </c>
      <c r="AA79" s="559">
        <f>M79+Y79</f>
        <v>2142.8999999999996</v>
      </c>
      <c r="AB79" s="559">
        <f>N79+Z79</f>
        <v>2038.0735669999999</v>
      </c>
      <c r="AC79" s="4072">
        <f>+(AC80*AC6)/1000000</f>
        <v>381.3</v>
      </c>
      <c r="AD79" s="217">
        <f>364775.6208/1000</f>
        <v>364.77562079999996</v>
      </c>
      <c r="AE79" s="331">
        <f>+AA79+AC79</f>
        <v>2524.1999999999998</v>
      </c>
      <c r="AF79" s="331">
        <f>+AB79+AD79</f>
        <v>2402.8491878</v>
      </c>
      <c r="AG79" s="4179">
        <f>+(AG80*AG6)/1000000</f>
        <v>368.9</v>
      </c>
      <c r="AH79" s="217">
        <v>339.64</v>
      </c>
      <c r="AI79" s="331">
        <f>+AE79+AG79</f>
        <v>2893.1</v>
      </c>
      <c r="AJ79" s="331">
        <f>+AF79+AH79</f>
        <v>2742.4891877999999</v>
      </c>
      <c r="AK79" s="4311">
        <f>+(AK80*AK6)/1000000</f>
        <v>382.85</v>
      </c>
      <c r="AL79" s="217">
        <v>358</v>
      </c>
      <c r="AM79" s="4312">
        <f>+AK79+AG79+AC79</f>
        <v>1133.05</v>
      </c>
      <c r="AN79" s="4312">
        <f>+AL79+AH79+AD79</f>
        <v>1062.4156207999999</v>
      </c>
      <c r="AO79" s="331">
        <f>+AK79+AI79</f>
        <v>3275.95</v>
      </c>
      <c r="AP79" s="331">
        <f>+AL79+AJ79</f>
        <v>3100.4891877999999</v>
      </c>
      <c r="AQ79" s="4421">
        <f>+(AQ80*AQ6)/1000000</f>
        <v>382.85</v>
      </c>
      <c r="AR79" s="217">
        <v>349.6</v>
      </c>
      <c r="AS79" s="331">
        <f>+AO79+AQ79</f>
        <v>3658.7999999999997</v>
      </c>
      <c r="AT79" s="331">
        <f>+AP79+AR79</f>
        <v>3450.0891877999998</v>
      </c>
      <c r="AU79" s="4649">
        <f>+(AU80*AU6)/1000000</f>
        <v>356.5</v>
      </c>
      <c r="AV79" s="217">
        <v>346.7</v>
      </c>
      <c r="AW79" s="331">
        <f>+AS79+AU79</f>
        <v>4015.2999999999997</v>
      </c>
      <c r="AX79" s="331">
        <f>+AT79+AV79</f>
        <v>3796.7891877999996</v>
      </c>
      <c r="AY79" s="5040">
        <f>+(AY80*AY6)/1000000</f>
        <v>384.4</v>
      </c>
      <c r="AZ79" s="217">
        <v>353.93601000000001</v>
      </c>
      <c r="BA79" s="5036">
        <f>+AY79+AU79+AQ79</f>
        <v>1123.75</v>
      </c>
      <c r="BB79" s="5036">
        <f>+AZ79+AV79+AR79</f>
        <v>1050.2360100000001</v>
      </c>
      <c r="BC79" s="559">
        <f>AM79+BA79</f>
        <v>2256.8000000000002</v>
      </c>
      <c r="BD79" s="559">
        <f>AN79+BB79</f>
        <v>2112.6516308</v>
      </c>
      <c r="BE79" s="331">
        <f>+AW79+AY79</f>
        <v>4399.7</v>
      </c>
      <c r="BF79" s="331">
        <f>+AX79+AZ79</f>
        <v>4150.7251977999995</v>
      </c>
      <c r="BG79" s="147"/>
      <c r="BH79" s="147"/>
      <c r="BI79" s="147"/>
      <c r="BJ79" s="147"/>
    </row>
    <row r="80" spans="1:62" x14ac:dyDescent="0.25">
      <c r="A80" s="181"/>
      <c r="B80" s="2609" t="s">
        <v>267</v>
      </c>
      <c r="C80" s="672" t="s">
        <v>261</v>
      </c>
      <c r="D80" s="1411">
        <v>1571</v>
      </c>
      <c r="E80" s="1411">
        <v>1550</v>
      </c>
      <c r="F80" s="1411">
        <f t="shared" ref="F80:R80" si="369">+(F79*1000000)/F6</f>
        <v>1482.5899397941348</v>
      </c>
      <c r="G80" s="1411">
        <v>1699.9999999999998</v>
      </c>
      <c r="H80" s="1411">
        <f t="shared" si="369"/>
        <v>1572.5219763971429</v>
      </c>
      <c r="I80" s="947">
        <f t="shared" si="369"/>
        <v>1618.2448036951498</v>
      </c>
      <c r="J80" s="947">
        <f t="shared" si="369"/>
        <v>1522.6745790193477</v>
      </c>
      <c r="K80" s="1411">
        <v>1700</v>
      </c>
      <c r="L80" s="1411">
        <f t="shared" si="369"/>
        <v>1525.5834009026955</v>
      </c>
      <c r="M80" s="427">
        <f t="shared" si="369"/>
        <v>1644.1640378548893</v>
      </c>
      <c r="N80" s="427">
        <f t="shared" si="369"/>
        <v>1523.657534500418</v>
      </c>
      <c r="O80" s="1411">
        <v>1550</v>
      </c>
      <c r="P80" s="1411">
        <f t="shared" si="369"/>
        <v>1483.123279851583</v>
      </c>
      <c r="Q80" s="947">
        <f t="shared" si="369"/>
        <v>1618.384879725086</v>
      </c>
      <c r="R80" s="947">
        <f t="shared" si="369"/>
        <v>1512.3174613603965</v>
      </c>
      <c r="S80" s="189">
        <v>1550</v>
      </c>
      <c r="T80" s="2697">
        <f>+(T79*1000000)/T6</f>
        <v>1547.2320993819837</v>
      </c>
      <c r="U80" s="3269">
        <f t="shared" ref="U80:V80" si="370">+(U79*1000000)/U6</f>
        <v>1603.6870503597122</v>
      </c>
      <c r="V80" s="3269">
        <f t="shared" si="370"/>
        <v>1519.8286366685711</v>
      </c>
      <c r="W80" s="189">
        <v>1550</v>
      </c>
      <c r="X80" s="217">
        <f>+(X79*1000000)/X6</f>
        <v>1486.2517458100558</v>
      </c>
      <c r="Y80" s="427">
        <f>+(Y79*1000000)/Y6</f>
        <v>1550</v>
      </c>
      <c r="Z80" s="427">
        <f>+(Z79*1000000)/Z6</f>
        <v>1505.6811140962136</v>
      </c>
      <c r="AA80" s="559">
        <f>+(AA79*1000000)/AA6</f>
        <v>1594.4196428571424</v>
      </c>
      <c r="AB80" s="559">
        <f>+(AB79*1000000)/AB6</f>
        <v>1514.1132976472138</v>
      </c>
      <c r="AC80" s="4072">
        <v>1550</v>
      </c>
      <c r="AD80" s="217">
        <f>+(AD79*1000000)/AD6</f>
        <v>1499.197007981456</v>
      </c>
      <c r="AE80" s="3615">
        <f t="shared" ref="AE80:AF80" si="371">+(AE79*1000000)/AE6</f>
        <v>1587.5471698113208</v>
      </c>
      <c r="AF80" s="3615">
        <f t="shared" si="371"/>
        <v>1511.8297804361982</v>
      </c>
      <c r="AG80" s="4179">
        <v>1550</v>
      </c>
      <c r="AH80" s="217">
        <f>+(AH79*1000000)/AH6</f>
        <v>1647.9858705251002</v>
      </c>
      <c r="AI80" s="3615">
        <f t="shared" ref="AI80:AJ80" si="372">+(AI79*1000000)/AI6</f>
        <v>1582.6586433260393</v>
      </c>
      <c r="AJ80" s="3615">
        <f t="shared" si="372"/>
        <v>1527.4586278750239</v>
      </c>
      <c r="AK80" s="4311">
        <v>1550</v>
      </c>
      <c r="AL80" s="217">
        <f>+(AL79*1000000)/AL6</f>
        <v>1568.7119954323316</v>
      </c>
      <c r="AM80" s="427">
        <f>+(AM79*1000000)/AM6</f>
        <v>1550</v>
      </c>
      <c r="AN80" s="427">
        <f>+(AN79*1000000)/AN6</f>
        <v>1567.8618153193963</v>
      </c>
      <c r="AO80" s="3615">
        <f t="shared" ref="AO80:AP80" si="373">+(AO79*1000000)/AO6</f>
        <v>1578.7710843373493</v>
      </c>
      <c r="AP80" s="3615">
        <f t="shared" si="373"/>
        <v>1532.1108364618053</v>
      </c>
      <c r="AQ80" s="4421">
        <v>1550</v>
      </c>
      <c r="AR80" s="217">
        <f>+(AR79*1000000)/AR6</f>
        <v>1503.4929547421095</v>
      </c>
      <c r="AS80" s="3615">
        <f t="shared" ref="AS80:AT80" si="374">+(AS79*1000000)/AS6</f>
        <v>1575.7105943152453</v>
      </c>
      <c r="AT80" s="3615">
        <f t="shared" si="374"/>
        <v>1529.1614578125454</v>
      </c>
      <c r="AU80" s="4649">
        <v>1550</v>
      </c>
      <c r="AV80" s="217">
        <f>+(AV79*1000000)/AV6</f>
        <v>1506.0869021265057</v>
      </c>
      <c r="AW80" s="3615">
        <f t="shared" ref="AW80:AX80" si="375">+(AW79*1000000)/AW6</f>
        <v>1573.3934169278996</v>
      </c>
      <c r="AX80" s="3615">
        <f t="shared" si="375"/>
        <v>1527.0251350951335</v>
      </c>
      <c r="AY80" s="5040">
        <v>1550</v>
      </c>
      <c r="AZ80" s="217">
        <f>+(AZ79*1000000)/AZ6</f>
        <v>1506.9308359741322</v>
      </c>
      <c r="BA80" s="427">
        <f>+(BA79*1000000)/BA6</f>
        <v>1550</v>
      </c>
      <c r="BB80" s="427">
        <f>+(BB79*1000000)/BB6</f>
        <v>1505.5064209754491</v>
      </c>
      <c r="BC80" s="559">
        <f>+(BC79*1000000)/BC6</f>
        <v>1550</v>
      </c>
      <c r="BD80" s="559">
        <f>+(BD79*1000000)/BD6</f>
        <v>1536.2312446353926</v>
      </c>
      <c r="BE80" s="3615">
        <f t="shared" ref="BE80:BF80" si="376">+(BE79*1000000)/BE6</f>
        <v>1571.3214285714287</v>
      </c>
      <c r="BF80" s="3615">
        <f t="shared" si="376"/>
        <v>1525.290800197158</v>
      </c>
      <c r="BG80" s="147"/>
      <c r="BH80" s="147"/>
      <c r="BI80" s="147"/>
      <c r="BJ80" s="147"/>
    </row>
    <row r="81" spans="1:62" x14ac:dyDescent="0.25">
      <c r="A81" s="181"/>
      <c r="B81" s="2607" t="s">
        <v>265</v>
      </c>
      <c r="C81" s="672" t="s">
        <v>217</v>
      </c>
      <c r="D81" s="242">
        <v>880</v>
      </c>
      <c r="E81" s="242">
        <f>+$D$81</f>
        <v>880</v>
      </c>
      <c r="F81" s="1411">
        <v>939.71641611686698</v>
      </c>
      <c r="G81" s="242">
        <f>+$D$81</f>
        <v>880</v>
      </c>
      <c r="H81" s="1411">
        <v>945</v>
      </c>
      <c r="I81" s="88">
        <v>880</v>
      </c>
      <c r="J81" s="53">
        <f>+((F81*F79)+(H79*H81))/J79</f>
        <v>942.14851810979224</v>
      </c>
      <c r="K81" s="242">
        <f>+$D$81</f>
        <v>880</v>
      </c>
      <c r="L81" s="1411">
        <v>933</v>
      </c>
      <c r="M81" s="956">
        <f>+$D$81</f>
        <v>880</v>
      </c>
      <c r="N81" s="98">
        <f>+((F81*F79)+(H81*H79)+(L79*L81))/N79</f>
        <v>939.05312320670873</v>
      </c>
      <c r="O81" s="242">
        <f>+$D$81</f>
        <v>880</v>
      </c>
      <c r="P81" s="1411">
        <v>930</v>
      </c>
      <c r="Q81" s="88">
        <v>880</v>
      </c>
      <c r="R81" s="53">
        <f>+((N81*N79)+(P79*P81))/R79</f>
        <v>936.56926740154449</v>
      </c>
      <c r="S81" s="242">
        <f>+$D$81</f>
        <v>880</v>
      </c>
      <c r="T81" s="2627">
        <v>924.77948840622059</v>
      </c>
      <c r="U81" s="3268">
        <v>880</v>
      </c>
      <c r="V81" s="53">
        <f>+((R81*R79)+(T79*T81))/V79</f>
        <v>933.98720423617044</v>
      </c>
      <c r="W81" s="1693">
        <f>+$D$81</f>
        <v>880</v>
      </c>
      <c r="X81" s="217">
        <v>928.48</v>
      </c>
      <c r="Y81" s="956">
        <v>880</v>
      </c>
      <c r="Z81" s="98">
        <f>+((P81*P79)+(T81*T79)+(X79*X81))/Z79</f>
        <v>927.71528289445428</v>
      </c>
      <c r="AA81" s="1011">
        <v>880</v>
      </c>
      <c r="AB81" s="546">
        <f>+((N81*N79)+(Z79*Z81))/AB79</f>
        <v>933.06703712890373</v>
      </c>
      <c r="AC81" s="242">
        <f>+$D$81</f>
        <v>880</v>
      </c>
      <c r="AD81" s="3616">
        <v>908.83828623625368</v>
      </c>
      <c r="AE81" s="4071">
        <v>880</v>
      </c>
      <c r="AF81" s="53">
        <f>+((AB81*AB79)+(AD79*AD81))/AF79</f>
        <v>929.38887967609787</v>
      </c>
      <c r="AG81" s="242">
        <f>+$D$81</f>
        <v>880</v>
      </c>
      <c r="AH81" s="3616">
        <v>899</v>
      </c>
      <c r="AI81" s="4178">
        <v>880</v>
      </c>
      <c r="AJ81" s="53">
        <f>+((AF81*AF79)+(AH79*AH81))/AJ79</f>
        <v>925.62540846931813</v>
      </c>
      <c r="AK81" s="242">
        <f>+$D$81</f>
        <v>880</v>
      </c>
      <c r="AL81" s="3616">
        <v>901</v>
      </c>
      <c r="AM81" s="956">
        <v>880</v>
      </c>
      <c r="AN81" s="98">
        <f>+((AD81*AD79)+(AH81*AH79)+(AL79*AL81))/AN79</f>
        <v>903.0518671649387</v>
      </c>
      <c r="AO81" s="4310">
        <v>880</v>
      </c>
      <c r="AP81" s="53">
        <f>+((AL81*AL79)+(AJ79*AJ81))/AP79</f>
        <v>922.78201966902657</v>
      </c>
      <c r="AQ81" s="242">
        <f>+$D$81</f>
        <v>880</v>
      </c>
      <c r="AR81" s="3616">
        <v>907.7460416129735</v>
      </c>
      <c r="AS81" s="4420">
        <v>880</v>
      </c>
      <c r="AT81" s="53">
        <f>+((AP81*AP79)+(AR79*AR81))/AT79</f>
        <v>921.25841328024569</v>
      </c>
      <c r="AU81" s="242">
        <f>+$D$81</f>
        <v>880</v>
      </c>
      <c r="AV81" s="3616">
        <v>916.737560957087</v>
      </c>
      <c r="AW81" s="4648">
        <v>880</v>
      </c>
      <c r="AX81" s="53">
        <f>+((AT81*AT79)+(AV79*AV81))/AX79</f>
        <v>920.84559618060905</v>
      </c>
      <c r="AY81" s="242">
        <f>+$D$81</f>
        <v>880</v>
      </c>
      <c r="AZ81" s="3616">
        <v>911.28634495185054</v>
      </c>
      <c r="BA81" s="956">
        <v>880</v>
      </c>
      <c r="BB81" s="98">
        <f>+((AR81*AR79)+(AV81*AV79)+(AZ79*AZ81))/BB79</f>
        <v>911.90739254071002</v>
      </c>
      <c r="BC81" s="1011">
        <v>880</v>
      </c>
      <c r="BD81" s="546">
        <f>+((AN81*AN79)+(BB79*BB81))/BD79</f>
        <v>907.45410343594278</v>
      </c>
      <c r="BE81" s="5037">
        <v>880</v>
      </c>
      <c r="BF81" s="53">
        <f>+((AX81*AX79)+(AZ79*AZ81))/BF79</f>
        <v>920.03047037071735</v>
      </c>
      <c r="BG81" s="147"/>
      <c r="BH81" s="147"/>
      <c r="BI81" s="147"/>
      <c r="BJ81" s="147"/>
    </row>
    <row r="82" spans="1:62" x14ac:dyDescent="0.25">
      <c r="A82" s="181"/>
      <c r="B82" s="2588" t="s">
        <v>262</v>
      </c>
      <c r="C82" s="672" t="s">
        <v>308</v>
      </c>
      <c r="D82" s="327">
        <v>5.5</v>
      </c>
      <c r="E82" s="327">
        <f>+(EMD!D24/E2/24)</f>
        <v>5.5</v>
      </c>
      <c r="F82" s="1415">
        <f>+(EMD!E24/F2/24)</f>
        <v>5.6969444444444441</v>
      </c>
      <c r="G82" s="327">
        <f>+(EMD!F24/G2/24)</f>
        <v>5.5</v>
      </c>
      <c r="H82" s="1415">
        <f>+(EMD!G24/H2/24)</f>
        <v>4.8920698924731179</v>
      </c>
      <c r="I82" s="112">
        <f>+((E82*E2)+(G82*G2))/I2</f>
        <v>5.5</v>
      </c>
      <c r="J82" s="136">
        <f>+((F82*F$2)+(H82*H$2))/J$2</f>
        <v>5.2879098360655741</v>
      </c>
      <c r="K82" s="327">
        <f>+(EMD!J24/K2/24)</f>
        <v>5.5</v>
      </c>
      <c r="L82" s="1415">
        <f>+(EMD!K24/L2/24)</f>
        <v>6.2040277777777773</v>
      </c>
      <c r="M82" s="459">
        <f>+((E82*E2)+(G82*G2)+(K82*K2))/M2</f>
        <v>5.5</v>
      </c>
      <c r="N82" s="427">
        <f>+((F82*F$2)+(H82*H$2)+(L82*L$2))/N$2</f>
        <v>5.5899267399267396</v>
      </c>
      <c r="O82" s="327">
        <f>+(EMD!N24/O2/24)</f>
        <v>5.5</v>
      </c>
      <c r="P82" s="1415">
        <f>+(EMD!O24/P2/24)</f>
        <v>6.6963709677419345</v>
      </c>
      <c r="Q82" s="112">
        <f>+((M82*M2)+(O82*O2))/Q2</f>
        <v>5.5</v>
      </c>
      <c r="R82" s="136">
        <f>+((N82*N$2)+(P82*P$2))/R$2</f>
        <v>5.8710724043715841</v>
      </c>
      <c r="S82" s="327">
        <f>+(EMD!R24/S2/24)</f>
        <v>5.5</v>
      </c>
      <c r="T82" s="2658">
        <f>+(EMD!S24/T2/24)</f>
        <v>7.0898790322580671</v>
      </c>
      <c r="U82" s="112">
        <f>+((Q82*Q2)+(S82*S2))/U2</f>
        <v>5.5</v>
      </c>
      <c r="V82" s="136">
        <f>+((R82*R$2)+(T82*T$2))/V$2</f>
        <v>6.118020152505447</v>
      </c>
      <c r="W82" s="1225">
        <f>+(EMD!V24/W2/24)</f>
        <v>5.5</v>
      </c>
      <c r="X82" s="197">
        <f>+(EMD!W24/X2/24)</f>
        <v>6.9908472222222215</v>
      </c>
      <c r="Y82" s="790">
        <f>(O82*O2+S82*S2+W82*W2)/Y2</f>
        <v>5.5</v>
      </c>
      <c r="Z82" s="790">
        <f>(P82*P2+T82*T2+X82*X2)/Z2</f>
        <v>6.9249909420289866</v>
      </c>
      <c r="AA82" s="786">
        <f>(M82*M2+Y82*Y2)/AA2</f>
        <v>5.5</v>
      </c>
      <c r="AB82" s="786">
        <f>(N82*N2+Z82*Z2)/AB2</f>
        <v>6.2611065573770492</v>
      </c>
      <c r="AC82" s="327">
        <f>+(EMD!AB24/AC2/24)</f>
        <v>5.5</v>
      </c>
      <c r="AD82" s="1415">
        <f>+(EMD!AC24/AD2/24)</f>
        <v>6.7192069892473123</v>
      </c>
      <c r="AE82" s="112">
        <f>+((AA82*AA2)+(AC82*AC2))/AE2</f>
        <v>5.5</v>
      </c>
      <c r="AF82" s="136">
        <f>+((AB82*AB$2)+(AD82*AD$2))/AF$2</f>
        <v>6.327466900311526</v>
      </c>
      <c r="AG82" s="327">
        <f>+(EMD!AF24/AG2/24)</f>
        <v>5.5</v>
      </c>
      <c r="AH82" s="1415">
        <f>+(EMD!AG24/AH2/24)</f>
        <v>6.470625000000001</v>
      </c>
      <c r="AI82" s="112">
        <f>+((AE82*AE2)+(AG82*AG2))/AI2</f>
        <v>5.5</v>
      </c>
      <c r="AJ82" s="136">
        <f>+((AF82*AF$2)+(AH82*AH$2))/AJ$2</f>
        <v>6.345068306010929</v>
      </c>
      <c r="AK82" s="327">
        <f>+(EMD!AJ24/AK2/24)</f>
        <v>5.5</v>
      </c>
      <c r="AL82" s="1415">
        <f>+(EMD!AK24/AL2/24)</f>
        <v>6.3920698924731196</v>
      </c>
      <c r="AM82" s="790">
        <f>(AC82*AC2+AG82*AG2+AK82*AK2)/AM2</f>
        <v>5.5</v>
      </c>
      <c r="AN82" s="790">
        <f>(AD82*AD2+AH82*AH2+AL82*AL2)/AN2</f>
        <v>6.527916666666667</v>
      </c>
      <c r="AO82" s="70">
        <f>+((AK82*AK2)+(AI82*AI2))/AO2</f>
        <v>5.5</v>
      </c>
      <c r="AP82" s="136">
        <f>+((AL82*AL$2)+(AJ82*AJ$2))/AP$2</f>
        <v>6.3503666666666669</v>
      </c>
      <c r="AQ82" s="327">
        <f>+(EMD!AP24/AQ2/24)</f>
        <v>5.5</v>
      </c>
      <c r="AR82" s="1415">
        <f>+(EMD!AQ24/AR2/24)</f>
        <v>6.1964247311827956</v>
      </c>
      <c r="AS82" s="112">
        <f>+((AO82*AO2)+(AQ82*AQ2))/AS2</f>
        <v>5.5</v>
      </c>
      <c r="AT82" s="136">
        <f>+((AP82*AP$2)+(AR82*AR$2))/AT$2</f>
        <v>6.3347712418300652</v>
      </c>
      <c r="AU82" s="327">
        <f>+(EMD!AT24/AU2/24)</f>
        <v>5.5</v>
      </c>
      <c r="AV82" s="1415">
        <f>+(EMD!AU24/AV2/24)</f>
        <v>6.5132183908045986</v>
      </c>
      <c r="AW82" s="112">
        <f>+((AS82*AS2)+(AU82*AU2))/AW2</f>
        <v>5.5</v>
      </c>
      <c r="AX82" s="136">
        <f>+((AT82*AT$2)+(AV82*AV$2))/AX$2</f>
        <v>6.3502189054726363</v>
      </c>
      <c r="AY82" s="327">
        <f>+(EMD!AX24/AY2/24)</f>
        <v>5.5</v>
      </c>
      <c r="AZ82" s="1415">
        <f>+(EMD!AY24/AZ2/24)</f>
        <v>6.5932795698924727</v>
      </c>
      <c r="BA82" s="790">
        <f>+(EMD!AZ24/BA2/24)</f>
        <v>5.5</v>
      </c>
      <c r="BB82" s="790">
        <f>+(EMD!BA24/BB2/24)</f>
        <v>6.4325732600732612</v>
      </c>
      <c r="BC82" s="786">
        <f>+(EMD!BB24/BC2/24)</f>
        <v>5.5</v>
      </c>
      <c r="BD82" s="786">
        <f>+(EMD!BC24/BD2/24)</f>
        <v>6.4805054644808751</v>
      </c>
      <c r="BE82" s="112">
        <f>+(EMD!BD24/BE2/24)</f>
        <v>5.5</v>
      </c>
      <c r="BF82" s="136">
        <f>+(EMD!BE24/BF2/24)</f>
        <v>6.3708060109289617</v>
      </c>
      <c r="BG82" s="147"/>
      <c r="BH82" s="147"/>
      <c r="BI82" s="147"/>
      <c r="BJ82" s="147"/>
    </row>
    <row r="83" spans="1:62" x14ac:dyDescent="0.25">
      <c r="A83" s="181"/>
      <c r="B83" s="2588" t="s">
        <v>455</v>
      </c>
      <c r="C83" s="672" t="s">
        <v>308</v>
      </c>
      <c r="D83" s="227">
        <v>228.27573319342383</v>
      </c>
      <c r="E83" s="1415">
        <f>+(EMD!D58/E2/24)</f>
        <v>235.4643308080808</v>
      </c>
      <c r="F83" s="227">
        <f>+(EMD!E58/F2/24)</f>
        <v>205.10138888888901</v>
      </c>
      <c r="G83" s="1415">
        <f>+(EMD!F58/G2/24)</f>
        <v>185.12017350928639</v>
      </c>
      <c r="H83" s="227">
        <f>+(EMD!G58/H2/24)</f>
        <v>169.71236559139791</v>
      </c>
      <c r="I83" s="112">
        <f>+(EMD!H58/I2/24)</f>
        <v>209.87959513164432</v>
      </c>
      <c r="J83" s="136">
        <f>+(EMD!I58/J2/24)</f>
        <v>187.11680327868862</v>
      </c>
      <c r="K83" s="1415">
        <f>+(EMD!J58/K2/24)</f>
        <v>196.61410984848484</v>
      </c>
      <c r="L83" s="227">
        <f>+(EMD!K58/L2/24)</f>
        <v>189.49722222222223</v>
      </c>
      <c r="M83" s="459">
        <f>+((E83*E2)+(G83*G2)+(K83*K2))/M2</f>
        <v>205.50635822510822</v>
      </c>
      <c r="N83" s="459">
        <f>+((F83*F2)+(H83*H2)+(L83*L2))/N2</f>
        <v>187.90155677655682</v>
      </c>
      <c r="O83" s="1415">
        <f>+(EMD!N58/O2/24)</f>
        <v>230.23655913978496</v>
      </c>
      <c r="P83" s="227">
        <f>+(EMD!O58/P2/24)</f>
        <v>201.83602150537629</v>
      </c>
      <c r="Q83" s="112">
        <f>+(EMD!P58/Q2/24)</f>
        <v>211.7902617362146</v>
      </c>
      <c r="R83" s="136">
        <f>+(EMD!Q58/R2/24)</f>
        <v>191.44228142076508</v>
      </c>
      <c r="S83" s="1415">
        <f>+(EMD!R58/S2/24)</f>
        <v>230.23655913978496</v>
      </c>
      <c r="T83" s="2657">
        <f>+(EMD!S58/T2/24)</f>
        <v>205.38709677419354</v>
      </c>
      <c r="U83" s="112">
        <f>+(EMD!T58/U2/24)</f>
        <v>215.52774683105565</v>
      </c>
      <c r="V83" s="136">
        <f>+(EMD!U58/V2/24)</f>
        <v>194.26770152505449</v>
      </c>
      <c r="W83" s="487">
        <f>+(EMD!V58/W2/24)</f>
        <v>231.02430555555554</v>
      </c>
      <c r="X83" s="164">
        <f>+(EMD!W58/X2/24)</f>
        <v>194.03749999999999</v>
      </c>
      <c r="Y83" s="791">
        <f>(O83*O6+S83*S6+W83*W6)/Y6</f>
        <v>230.49396360240297</v>
      </c>
      <c r="Z83" s="791">
        <f>(P83*P6+T83*T6+X83*X6)/Z6</f>
        <v>200.52976800532863</v>
      </c>
      <c r="AA83" s="787">
        <f>(M83*M2+Y83*Y2)/AA2</f>
        <v>218.06843305959518</v>
      </c>
      <c r="AB83" s="787">
        <f>(N83*N2+Z83*Z2)/AB2</f>
        <v>194.25016570031096</v>
      </c>
      <c r="AC83" s="1415">
        <f>+(EMD!AB58/AC2/24)</f>
        <v>237.75595674486803</v>
      </c>
      <c r="AD83" s="227">
        <f>+(EMD!AC58/AD2/24)</f>
        <v>202.11559139784944</v>
      </c>
      <c r="AE83" s="112">
        <f>+(EMD!AD58/AE2/24)</f>
        <v>220.92013593882754</v>
      </c>
      <c r="AF83" s="136">
        <f>+(EMD!AE58/AF2/24)</f>
        <v>195.37227414330221</v>
      </c>
      <c r="AG83" s="1415">
        <f>+(EMD!AF58/AG2/24)</f>
        <v>237.68434343434339</v>
      </c>
      <c r="AH83" s="227">
        <f>+(EMD!AG58/AH2/24)</f>
        <v>195.02222222222204</v>
      </c>
      <c r="AI83" s="112">
        <f>+(EMD!AH58/AI2/24)</f>
        <v>222.9813089915549</v>
      </c>
      <c r="AJ83" s="136">
        <f>+(EMD!AI58/AJ2/24)</f>
        <v>195.3292349726776</v>
      </c>
      <c r="AK83" s="1415">
        <f>+(EMD!AJ58/AK2/24)</f>
        <v>238.83015640273706</v>
      </c>
      <c r="AL83" s="227">
        <f>+(EMD!AK58/AL2/24)</f>
        <v>196.47580645161293</v>
      </c>
      <c r="AM83" s="790">
        <f>+(EMD!AL58/AM2/24)</f>
        <v>238.0945631587615</v>
      </c>
      <c r="AN83" s="790">
        <f>+(EMD!AM58/AN2/24)</f>
        <v>197.90217391304341</v>
      </c>
      <c r="AO83" s="70">
        <f>+(EMD!AN58/AO2/24)</f>
        <v>224.76790633608812</v>
      </c>
      <c r="AP83" s="136">
        <f>+(EMD!AO58/AP2/24)</f>
        <v>195.45848484848486</v>
      </c>
      <c r="AQ83" s="1415">
        <f>+(EMD!AP58/AQ2/24)</f>
        <v>238.83015640273706</v>
      </c>
      <c r="AR83" s="227">
        <f>+(EMD!AQ58/AR2/24)</f>
        <v>191.57258064516131</v>
      </c>
      <c r="AS83" s="112">
        <f>+(EMD!AR58/AS2/24)</f>
        <v>226.19251336898392</v>
      </c>
      <c r="AT83" s="136">
        <f>+(EMD!AS58/AT2/24)</f>
        <v>195.06481481481481</v>
      </c>
      <c r="AU83" s="1415">
        <f>+(EMD!AT58/AU2/24)</f>
        <v>237.60779127481712</v>
      </c>
      <c r="AV83" s="227">
        <f>+(EMD!AU58/AV2/24)</f>
        <v>203.42672413793102</v>
      </c>
      <c r="AW83" s="112">
        <f>+(EMD!AV58/AW2/24)</f>
        <v>227.18070160560828</v>
      </c>
      <c r="AX83" s="136">
        <f>+(EMD!AW58/AX2/24)</f>
        <v>195.78868159203981</v>
      </c>
      <c r="AY83" s="1415">
        <f>+(EMD!AX58/AY2/24)</f>
        <v>239.90435606060603</v>
      </c>
      <c r="AZ83" s="227">
        <f>+(EMD!AY58/AZ2/24)</f>
        <v>193.16263440860214</v>
      </c>
      <c r="BA83" s="430">
        <f>+(EMD!AZ58/BA2/24)</f>
        <v>238.80654761904759</v>
      </c>
      <c r="BB83" s="430">
        <f>+(EMD!BA58/BB2/24)</f>
        <v>195.8919413919414</v>
      </c>
      <c r="BC83" s="580">
        <f>+(EMD!BB58/BC2/24)</f>
        <v>238.44861007617155</v>
      </c>
      <c r="BD83" s="580">
        <f>+(EMD!BC58/BD2/24)</f>
        <v>196.90255009107466</v>
      </c>
      <c r="BE83" s="70">
        <f>+(EMD!BD58/BE2/24)</f>
        <v>228.25838818512992</v>
      </c>
      <c r="BF83" s="136">
        <f>+(EMD!BE58/BF2/24)</f>
        <v>195.56625683060111</v>
      </c>
      <c r="BG83" s="147"/>
      <c r="BH83" s="147"/>
      <c r="BI83" s="147"/>
      <c r="BJ83" s="147"/>
    </row>
    <row r="84" spans="1:62" x14ac:dyDescent="0.25">
      <c r="A84" s="181"/>
      <c r="B84" s="2607" t="s">
        <v>264</v>
      </c>
      <c r="C84" s="672" t="s">
        <v>1139</v>
      </c>
      <c r="D84" s="327">
        <v>0.70799999999999996</v>
      </c>
      <c r="E84" s="327">
        <f>+$D$84</f>
        <v>0.70799999999999996</v>
      </c>
      <c r="F84" s="327">
        <v>0.6774</v>
      </c>
      <c r="G84" s="327">
        <v>0.70904050761421344</v>
      </c>
      <c r="H84" s="327">
        <v>0.72599999999999998</v>
      </c>
      <c r="I84" s="455">
        <f>+((E84*E6)+(G84*G6))/I6</f>
        <v>0.70847339491916872</v>
      </c>
      <c r="J84" s="229">
        <f>+((F84*F6)+(H84*H6))/J6</f>
        <v>0.69906206326389564</v>
      </c>
      <c r="K84" s="327">
        <v>0.70904050761421344</v>
      </c>
      <c r="L84" s="327">
        <v>0.68799999999999994</v>
      </c>
      <c r="M84" s="456">
        <f>+((E84*E6)+(G84*G6)+(K84*K6))/M6</f>
        <v>0.70865318932248722</v>
      </c>
      <c r="N84" s="232">
        <f>+((F84*F6)+(H84*H6)+(L84*L6))/N6</f>
        <v>0.6953239465440505</v>
      </c>
      <c r="O84" s="327">
        <v>0.70803171548117161</v>
      </c>
      <c r="P84" s="327">
        <v>0.65900000000000003</v>
      </c>
      <c r="Q84" s="455">
        <f>+((M84*M6)+(O84*O6))/Q6</f>
        <v>0.70848304929032857</v>
      </c>
      <c r="R84" s="229">
        <f>+((N84*N6)+(P84*P6))/R6</f>
        <v>0.68516177101837805</v>
      </c>
      <c r="S84" s="327">
        <v>0.70803171548117161</v>
      </c>
      <c r="T84" s="2708">
        <v>0.68400000000000005</v>
      </c>
      <c r="U84" s="455">
        <f>+((Q84*Q6)+(S84*S6))/U6</f>
        <v>0.70838604499141811</v>
      </c>
      <c r="V84" s="229">
        <f>+((R84*R6)+(T84*T6))/V6</f>
        <v>0.68491183957754231</v>
      </c>
      <c r="W84" s="1225">
        <v>0.70801724137931032</v>
      </c>
      <c r="X84" s="475">
        <v>0.66239999999999999</v>
      </c>
      <c r="Y84" s="458">
        <f>+((O84*O6)+(S84*S6)+(W84*W6))/Y6</f>
        <v>0.70802698591549296</v>
      </c>
      <c r="Z84" s="458">
        <f>+((P84*P6)+(T84*T6)+(X84*X6))/Z6</f>
        <v>0.66849561050009787</v>
      </c>
      <c r="AA84" s="796">
        <f>(M84*M6+Y84*Y6)/AA6</f>
        <v>0.70832238246313761</v>
      </c>
      <c r="AB84" s="796">
        <f>(N84*N6+Z84*Z6)/AB6</f>
        <v>0.68107995425730183</v>
      </c>
      <c r="AC84" s="327">
        <v>0.70789707317073158</v>
      </c>
      <c r="AD84" s="475">
        <v>0.65100000000000002</v>
      </c>
      <c r="AE84" s="455">
        <f>+((AA84*AA6)+(AC84*AC6))/AE6</f>
        <v>0.7082565798933691</v>
      </c>
      <c r="AF84" s="229">
        <f>+((AB84*AB6)+(AD84*AD6))/AF6</f>
        <v>0.67647504949933157</v>
      </c>
      <c r="AG84" s="327">
        <v>0.70789831932773095</v>
      </c>
      <c r="AH84" s="475">
        <v>0.71199999999999997</v>
      </c>
      <c r="AI84" s="455">
        <f>+((AE84*AE6)+(AG84*AG6))/AI6</f>
        <v>0.70820993546523903</v>
      </c>
      <c r="AJ84" s="229">
        <f>+((AF84*AF6)+(AH84*AH6))/AJ6</f>
        <v>0.68055282546428675</v>
      </c>
      <c r="AK84" s="327">
        <v>0.70787846153846157</v>
      </c>
      <c r="AL84" s="475">
        <v>0.6694</v>
      </c>
      <c r="AM84" s="458">
        <f>+((AC84*AC6)+(AG84*AG6)+(AK84*AK6))/AM6</f>
        <v>0.70789119015047874</v>
      </c>
      <c r="AN84" s="458">
        <f>+((AD84*AD6)+(AH84*AH6)+(AL84*AL6))/AN6</f>
        <v>0.67574960944965223</v>
      </c>
      <c r="AO84" s="455">
        <f>+((AK84*AK6)+(AI84*AI6))/AO6</f>
        <v>0.7081704780869672</v>
      </c>
      <c r="AP84" s="229">
        <f>+((AL84*AL6)+(AJ84*AJ6))/AP6</f>
        <v>0.67929510340511778</v>
      </c>
      <c r="AQ84" s="327">
        <v>0.70787846153846157</v>
      </c>
      <c r="AR84" s="475">
        <v>0.64639999999999997</v>
      </c>
      <c r="AS84" s="455">
        <f>+((AO84*AO6)+(AQ84*AQ6))/AS6</f>
        <v>0.70813941517246204</v>
      </c>
      <c r="AT84" s="229">
        <f>+((AP84*AP6)+(AR84*AR6))/AT6</f>
        <v>0.6759049113357487</v>
      </c>
      <c r="AU84" s="327">
        <v>0.70789965217391282</v>
      </c>
      <c r="AV84" s="475">
        <v>0.65339999999999998</v>
      </c>
      <c r="AW84" s="455">
        <f>+((AS84*AS6)+(AU84*AU6))/AW6</f>
        <v>0.70811780643826672</v>
      </c>
      <c r="AX84" s="229">
        <f>+((AT84*AT6)+(AV84*AV6))/AX6-0.001</f>
        <v>0.67282132827594643</v>
      </c>
      <c r="AY84" s="327">
        <v>0.70799999999999996</v>
      </c>
      <c r="AZ84" s="475">
        <v>0.65139999999999998</v>
      </c>
      <c r="BA84" s="458">
        <f>+((AQ84*AQ6)+(AU84*AU6)+(AY84*AY6))/BA6</f>
        <v>0.70792675862068966</v>
      </c>
      <c r="BB84" s="458">
        <f>+((AR84*AR6)+(AV84*AV6)+(AZ84*AZ6))/BB6</f>
        <v>0.65039336134857328</v>
      </c>
      <c r="BC84" s="796">
        <f>(AM84*AM6+BA84*BA6)/BC6</f>
        <v>0.70790890109890114</v>
      </c>
      <c r="BD84" s="796">
        <f>(AN84*AN6+BB84*BB6)/BD6</f>
        <v>0.66288732854708321</v>
      </c>
      <c r="BE84" s="455">
        <f>+((AW84*AW6)+(AY84*AY6))/BE6</f>
        <v>0.70810737215373454</v>
      </c>
      <c r="BF84" s="229">
        <f>+((AX84*AX6)+(AZ84*AZ6))/BF6+0.001</f>
        <v>0.67197245775967462</v>
      </c>
      <c r="BG84" s="147"/>
      <c r="BH84" s="147"/>
      <c r="BI84" s="147"/>
      <c r="BJ84" s="147"/>
    </row>
    <row r="85" spans="1:62" x14ac:dyDescent="0.25">
      <c r="A85" s="181"/>
      <c r="B85" s="2607" t="s">
        <v>236</v>
      </c>
      <c r="C85" s="672" t="s">
        <v>218</v>
      </c>
      <c r="D85" s="1411">
        <f>15.7970934118359*D2*24*1000</f>
        <v>138761668.52956656</v>
      </c>
      <c r="E85" s="1411">
        <f>+'POWER DISTRIBUTION'!I23</f>
        <v>11509523.490349162</v>
      </c>
      <c r="F85" s="1411">
        <f>+'POWER DISTRIBUTION'!J23</f>
        <v>11353889.999999983</v>
      </c>
      <c r="G85" s="1411">
        <f>+'POWER DISTRIBUTION'!K23</f>
        <v>11095525.964401629</v>
      </c>
      <c r="H85" s="1411">
        <f>+'POWER DISTRIBUTION'!L23</f>
        <v>10323350.000000017</v>
      </c>
      <c r="I85" s="88">
        <f>+'POWER DISTRIBUTION'!M23</f>
        <v>22605049.454750791</v>
      </c>
      <c r="J85" s="118">
        <f>+'POWER DISTRIBUTION'!N23</f>
        <v>21677240</v>
      </c>
      <c r="K85" s="1411">
        <f>+'POWER DISTRIBUTION'!O23</f>
        <v>10522602.633729583</v>
      </c>
      <c r="L85" s="1411">
        <f>+'POWER DISTRIBUTION'!P23</f>
        <v>10922676.000000007</v>
      </c>
      <c r="M85" s="3578">
        <f>E85+G85+K85</f>
        <v>33127652.088480376</v>
      </c>
      <c r="N85" s="3578">
        <f>F85+H85+L85</f>
        <v>32599916.000000007</v>
      </c>
      <c r="O85" s="1411">
        <f>+'POWER DISTRIBUTION'!S23</f>
        <v>11655830.992345126</v>
      </c>
      <c r="P85" s="1411">
        <f>+'POWER DISTRIBUTION'!T23</f>
        <v>11807405.999999989</v>
      </c>
      <c r="Q85" s="88">
        <f>+'POWER DISTRIBUTION'!U23</f>
        <v>44783483.0808255</v>
      </c>
      <c r="R85" s="118">
        <f>+'POWER DISTRIBUTION'!V23</f>
        <v>44407322</v>
      </c>
      <c r="S85" s="189">
        <f>+'POWER DISTRIBUTION'!W23</f>
        <v>11655830.992345126</v>
      </c>
      <c r="T85" s="2697">
        <f>+'POWER DISTRIBUTION'!X23</f>
        <v>12114454</v>
      </c>
      <c r="U85" s="3268">
        <f>+'POWER DISTRIBUTION'!Y23</f>
        <v>56439314.073170625</v>
      </c>
      <c r="V85" s="118">
        <f>+'POWER DISTRIBUTION'!Z23</f>
        <v>56521776</v>
      </c>
      <c r="W85" s="189">
        <f>+'POWER DISTRIBUTION'!AA23</f>
        <v>11314446.82102121</v>
      </c>
      <c r="X85" s="217">
        <f>+'POWER DISTRIBUTION'!AB23</f>
        <v>10674859.999999991</v>
      </c>
      <c r="Y85" s="946">
        <f>O85+S85+W85</f>
        <v>34626108.805711463</v>
      </c>
      <c r="Z85" s="636">
        <f>P85+T85+X85</f>
        <v>34596719.999999978</v>
      </c>
      <c r="AA85" s="558">
        <f>M85+Y85</f>
        <v>67753760.894191831</v>
      </c>
      <c r="AB85" s="788">
        <f>N85+Z85</f>
        <v>67196635.999999985</v>
      </c>
      <c r="AC85" s="4072">
        <f>+'POWER DISTRIBUTION'!AG23</f>
        <v>11997215.163669042</v>
      </c>
      <c r="AD85" s="2697">
        <f>+'POWER DISTRIBUTION'!AH23</f>
        <v>11450532.000000006</v>
      </c>
      <c r="AE85" s="4071">
        <f>+'POWER DISTRIBUTION'!AI23</f>
        <v>79750976.057860881</v>
      </c>
      <c r="AF85" s="118">
        <f>+'POWER DISTRIBUTION'!AJ23</f>
        <v>78647167.999999985</v>
      </c>
      <c r="AG85" s="4179">
        <f>+'POWER DISTRIBUTION'!AK23</f>
        <v>11607061.825013138</v>
      </c>
      <c r="AH85" s="2697">
        <f>+'POWER DISTRIBUTION'!AL23</f>
        <v>10444469.999999993</v>
      </c>
      <c r="AI85" s="4178">
        <f>+'POWER DISTRIBUTION'!AM23</f>
        <v>91358037.882874012</v>
      </c>
      <c r="AJ85" s="118">
        <f>+'POWER DISTRIBUTION'!AN23</f>
        <v>89091637.99999997</v>
      </c>
      <c r="AK85" s="4311">
        <f>+'POWER DISTRIBUTION'!AO23</f>
        <v>12045984.331001025</v>
      </c>
      <c r="AL85" s="2697">
        <f>+'POWER DISTRIBUTION'!AP23</f>
        <v>11233764.000000004</v>
      </c>
      <c r="AM85" s="956">
        <f>+'POWER DISTRIBUTION'!AQ23</f>
        <v>35650261.319683209</v>
      </c>
      <c r="AN85" s="98">
        <f>+'POWER DISTRIBUTION'!AR23</f>
        <v>33128766.000000004</v>
      </c>
      <c r="AO85" s="4370">
        <f>+'POWER DISTRIBUTION'!AS23</f>
        <v>103404022.21387504</v>
      </c>
      <c r="AP85" s="53">
        <f>+'POWER DISTRIBUTION'!AT23</f>
        <v>100325401.99999997</v>
      </c>
      <c r="AQ85" s="4421">
        <f>+'POWER DISTRIBUTION'!AU23</f>
        <v>12045984.331001025</v>
      </c>
      <c r="AR85" s="2697">
        <f>+'POWER DISTRIBUTION'!AV23</f>
        <v>12079834.000000007</v>
      </c>
      <c r="AS85" s="4420">
        <f>+'POWER DISTRIBUTION'!AW23</f>
        <v>115450006.54487607</v>
      </c>
      <c r="AT85" s="118">
        <f>+'POWER DISTRIBUTION'!AX23</f>
        <v>112405235.99999997</v>
      </c>
      <c r="AU85" s="4649">
        <f>+'POWER DISTRIBUTION'!AY23</f>
        <v>11216908.486357234</v>
      </c>
      <c r="AV85" s="2697">
        <f>+'POWER DISTRIBUTION'!AZ23</f>
        <v>10709244.000000004</v>
      </c>
      <c r="AW85" s="4648">
        <f>+'POWER DISTRIBUTION'!BA23</f>
        <v>126666915.03123331</v>
      </c>
      <c r="AX85" s="118">
        <f>+'POWER DISTRIBUTION'!BB23</f>
        <v>123114479.99999997</v>
      </c>
      <c r="AY85" s="5040">
        <f>+'POWER DISTRIBUTION'!BC23</f>
        <v>12094753.498333015</v>
      </c>
      <c r="AZ85" s="2697">
        <f>+'POWER DISTRIBUTION'!BD23</f>
        <v>11770342.000000006</v>
      </c>
      <c r="BA85" s="956">
        <f>+'POWER DISTRIBUTION'!BE23</f>
        <v>35357646.315691277</v>
      </c>
      <c r="BB85" s="98">
        <f>+'POWER DISTRIBUTION'!BF23</f>
        <v>34559420.000000015</v>
      </c>
      <c r="BC85" s="1011">
        <f>+'POWER DISTRIBUTION'!BG23</f>
        <v>71007907.635374486</v>
      </c>
      <c r="BD85" s="546">
        <f>+'POWER DISTRIBUTION'!BH23</f>
        <v>67688186.000000015</v>
      </c>
      <c r="BE85" s="5094">
        <f>+'POWER DISTRIBUTION'!BI23</f>
        <v>138761668.52956632</v>
      </c>
      <c r="BF85" s="53">
        <f>+'POWER DISTRIBUTION'!BJ23</f>
        <v>134884821.99999997</v>
      </c>
      <c r="BG85" s="147"/>
      <c r="BH85" s="147"/>
      <c r="BI85" s="147"/>
      <c r="BJ85" s="147"/>
    </row>
    <row r="86" spans="1:62" x14ac:dyDescent="0.25">
      <c r="A86" s="181"/>
      <c r="B86" s="2610" t="s">
        <v>237</v>
      </c>
      <c r="C86" s="672" t="s">
        <v>263</v>
      </c>
      <c r="D86" s="131">
        <f t="shared" ref="D86:AB86" si="377">+D85/D6</f>
        <v>49.557738760559488</v>
      </c>
      <c r="E86" s="131">
        <f t="shared" si="377"/>
        <v>48.769167331987973</v>
      </c>
      <c r="F86" s="227">
        <f t="shared" si="377"/>
        <v>49.001488962257973</v>
      </c>
      <c r="G86" s="131">
        <f t="shared" si="377"/>
        <v>56.322466824373748</v>
      </c>
      <c r="H86" s="227">
        <f t="shared" si="377"/>
        <v>55.405101518906044</v>
      </c>
      <c r="I86" s="331">
        <f t="shared" si="377"/>
        <v>52.205656939378272</v>
      </c>
      <c r="J86" s="331">
        <f t="shared" si="377"/>
        <v>51.855716540850302</v>
      </c>
      <c r="K86" s="131">
        <f t="shared" si="377"/>
        <v>52.351256884226778</v>
      </c>
      <c r="L86" s="227">
        <f t="shared" si="377"/>
        <v>51.193404605340277</v>
      </c>
      <c r="M86" s="427">
        <f t="shared" si="377"/>
        <v>52.251817174259266</v>
      </c>
      <c r="N86" s="427">
        <f t="shared" si="377"/>
        <v>51.631906636601833</v>
      </c>
      <c r="O86" s="131">
        <f t="shared" si="377"/>
        <v>48.76916733198798</v>
      </c>
      <c r="P86" s="227">
        <f t="shared" si="377"/>
        <v>48.143385455953961</v>
      </c>
      <c r="Q86" s="331">
        <f t="shared" si="377"/>
        <v>51.298376953981098</v>
      </c>
      <c r="R86" s="331">
        <f t="shared" si="377"/>
        <v>50.655939872644133</v>
      </c>
      <c r="S86" s="939">
        <f t="shared" si="377"/>
        <v>48.76916733198798</v>
      </c>
      <c r="T86" s="2701">
        <f t="shared" si="377"/>
        <v>50.41702145369041</v>
      </c>
      <c r="U86" s="331">
        <f t="shared" ref="U86:X86" si="378">+U85/U6</f>
        <v>50.754778842779338</v>
      </c>
      <c r="V86" s="331">
        <f t="shared" si="378"/>
        <v>50.604541426868934</v>
      </c>
      <c r="W86" s="939">
        <f t="shared" si="378"/>
        <v>48.769167331987973</v>
      </c>
      <c r="X86" s="164">
        <f t="shared" si="378"/>
        <v>46.590694832402193</v>
      </c>
      <c r="Y86" s="427">
        <f t="shared" si="377"/>
        <v>48.76916733198798</v>
      </c>
      <c r="Z86" s="430">
        <f t="shared" si="377"/>
        <v>48.410041138443425</v>
      </c>
      <c r="AA86" s="559">
        <f t="shared" si="377"/>
        <v>50.412024474845111</v>
      </c>
      <c r="AB86" s="580">
        <f t="shared" si="377"/>
        <v>49.921318725762887</v>
      </c>
      <c r="AC86" s="939">
        <f t="shared" ref="AC86:AF86" si="379">+AC85/AC6</f>
        <v>48.76916733198798</v>
      </c>
      <c r="AD86" s="2701">
        <f t="shared" si="379"/>
        <v>47.060719892813424</v>
      </c>
      <c r="AE86" s="331">
        <f t="shared" si="379"/>
        <v>50.157846577270995</v>
      </c>
      <c r="AF86" s="331">
        <f t="shared" si="379"/>
        <v>49.483393020696496</v>
      </c>
      <c r="AG86" s="939">
        <f t="shared" ref="AG86:AJ86" si="380">+AG85/AG6</f>
        <v>48.76916733198798</v>
      </c>
      <c r="AH86" s="2701">
        <f t="shared" si="380"/>
        <v>50.678185682261457</v>
      </c>
      <c r="AI86" s="331">
        <f t="shared" si="380"/>
        <v>49.977044793694752</v>
      </c>
      <c r="AJ86" s="331">
        <f t="shared" si="380"/>
        <v>49.620538793731214</v>
      </c>
      <c r="AK86" s="939">
        <f t="shared" ref="AK86:AV86" si="381">+AK85/AK6</f>
        <v>48.769167331987951</v>
      </c>
      <c r="AL86" s="2701">
        <f t="shared" si="381"/>
        <v>49.224973018591889</v>
      </c>
      <c r="AM86" s="427">
        <f t="shared" si="381"/>
        <v>48.769167331987973</v>
      </c>
      <c r="AN86" s="430">
        <f t="shared" si="381"/>
        <v>48.889837633354482</v>
      </c>
      <c r="AO86" s="331">
        <f t="shared" si="381"/>
        <v>49.833263717530137</v>
      </c>
      <c r="AP86" s="331">
        <f t="shared" si="381"/>
        <v>49.575930205276379</v>
      </c>
      <c r="AQ86" s="939">
        <f t="shared" ref="AQ86:AR86" si="382">+AQ85/AQ6</f>
        <v>48.769167331987951</v>
      </c>
      <c r="AR86" s="2701">
        <f t="shared" si="382"/>
        <v>51.950644489285494</v>
      </c>
      <c r="AS86" s="331">
        <f t="shared" si="381"/>
        <v>49.720071724752827</v>
      </c>
      <c r="AT86" s="331">
        <f t="shared" si="381"/>
        <v>49.820669899008799</v>
      </c>
      <c r="AU86" s="939">
        <f t="shared" si="381"/>
        <v>48.769167331987973</v>
      </c>
      <c r="AV86" s="2701">
        <f t="shared" si="381"/>
        <v>46.521638650351527</v>
      </c>
      <c r="AW86" s="331">
        <f t="shared" ref="AW86:BD86" si="383">+AW85/AW6</f>
        <v>49.634371093743461</v>
      </c>
      <c r="AX86" s="331">
        <f t="shared" si="383"/>
        <v>49.515234097866944</v>
      </c>
      <c r="AY86" s="939">
        <f t="shared" si="383"/>
        <v>48.769167331987958</v>
      </c>
      <c r="AZ86" s="2701">
        <f t="shared" si="383"/>
        <v>50.113836424164489</v>
      </c>
      <c r="BA86" s="427">
        <f t="shared" si="383"/>
        <v>48.769167331987965</v>
      </c>
      <c r="BB86" s="430">
        <f t="shared" si="383"/>
        <v>49.540701537350046</v>
      </c>
      <c r="BC86" s="559">
        <f t="shared" si="383"/>
        <v>48.769167331987973</v>
      </c>
      <c r="BD86" s="580">
        <f t="shared" si="383"/>
        <v>49.219996666708361</v>
      </c>
      <c r="BE86" s="331">
        <f t="shared" ref="BE86:BF86" si="384">+BE85/BE6</f>
        <v>49.557738760559403</v>
      </c>
      <c r="BF86" s="331">
        <f t="shared" si="384"/>
        <v>49.566899343728743</v>
      </c>
      <c r="BG86" s="147"/>
      <c r="BH86" s="147"/>
      <c r="BI86" s="147"/>
      <c r="BJ86" s="147"/>
    </row>
    <row r="87" spans="1:62" x14ac:dyDescent="0.25">
      <c r="A87" s="181"/>
      <c r="B87" s="2611" t="s">
        <v>831</v>
      </c>
      <c r="C87" s="1413" t="s">
        <v>51</v>
      </c>
      <c r="D87" s="441"/>
      <c r="E87" s="441">
        <v>4.8</v>
      </c>
      <c r="F87" s="1430">
        <v>4.6253453548829624</v>
      </c>
      <c r="G87" s="441">
        <v>4.8</v>
      </c>
      <c r="H87" s="1430">
        <v>4.2581716889087264</v>
      </c>
      <c r="I87" s="793">
        <v>4.8</v>
      </c>
      <c r="J87" s="2338">
        <f>AVERAGE(F87,H87)</f>
        <v>4.441758521895844</v>
      </c>
      <c r="K87" s="441">
        <v>4.8</v>
      </c>
      <c r="L87" s="1430">
        <v>4.1103672967207485</v>
      </c>
      <c r="M87" s="792">
        <v>4.8</v>
      </c>
      <c r="N87" s="2363">
        <f>AVERAGE(F87,H87,L87)</f>
        <v>4.3312947801708122</v>
      </c>
      <c r="O87" s="441">
        <v>4.8</v>
      </c>
      <c r="P87" s="1430">
        <v>4.7873696467536</v>
      </c>
      <c r="Q87" s="793">
        <v>4.8</v>
      </c>
      <c r="R87" s="2338">
        <f>AVERAGE(F87,H87,L87,P87)</f>
        <v>4.4453134968165093</v>
      </c>
      <c r="S87" s="441">
        <v>4.8</v>
      </c>
      <c r="T87" s="2709">
        <v>4.0913342675014315</v>
      </c>
      <c r="U87" s="793">
        <v>4.8</v>
      </c>
      <c r="V87" s="2338">
        <f>AVERAGE(F87,H87,L87,P87,T87)</f>
        <v>4.3745176509534938</v>
      </c>
      <c r="W87" s="479">
        <v>4.8</v>
      </c>
      <c r="X87" s="1430">
        <v>4.678167568084227</v>
      </c>
      <c r="Y87" s="792">
        <v>4.8</v>
      </c>
      <c r="Z87" s="2363">
        <f>AVERAGE(P87,T87,X87)</f>
        <v>4.5189571607797525</v>
      </c>
      <c r="AA87" s="789">
        <v>4.8</v>
      </c>
      <c r="AB87" s="3374">
        <f>AVERAGE(F87,H87,L87,P87,T87,X87)</f>
        <v>4.4251259704752828</v>
      </c>
      <c r="AC87" s="441">
        <v>4.8</v>
      </c>
      <c r="AD87" s="2709">
        <v>4.5219387042723183</v>
      </c>
      <c r="AE87" s="793">
        <v>4.8</v>
      </c>
      <c r="AF87" s="2338">
        <f>AVERAGE(F87,H87,L87,P87,T87,X87,AD87)</f>
        <v>4.4389563610177163</v>
      </c>
      <c r="AG87" s="441">
        <v>4.8</v>
      </c>
      <c r="AH87" s="2709">
        <v>3.0285974770271813</v>
      </c>
      <c r="AI87" s="793">
        <v>4.8</v>
      </c>
      <c r="AJ87" s="2338">
        <f>AVERAGE(F87,H87,L87,P87,T87,X87,AD87,AH87)</f>
        <v>4.2626615005188997</v>
      </c>
      <c r="AK87" s="441">
        <v>4.8</v>
      </c>
      <c r="AL87" s="2709">
        <v>3.8504203835374033</v>
      </c>
      <c r="AM87" s="792">
        <v>4.8</v>
      </c>
      <c r="AN87" s="2363">
        <f>AVERAGE(AD87,AH87,AL87)</f>
        <v>3.8003188549456346</v>
      </c>
      <c r="AO87" s="793">
        <v>4.8</v>
      </c>
      <c r="AP87" s="2338">
        <f>AVERAGE(F87,H87,L87,P87,T87,X87,AD87,AH87,AL87)</f>
        <v>4.2168569319653999</v>
      </c>
      <c r="AQ87" s="441">
        <v>4.8</v>
      </c>
      <c r="AR87" s="2709">
        <v>4.5960450611449239</v>
      </c>
      <c r="AS87" s="793">
        <v>4.8</v>
      </c>
      <c r="AT87" s="2338">
        <f>AVERAGE(F87,H87,L87,P87,T87,X87,AD87,AH87,AL87,AR87)</f>
        <v>4.2547757448833519</v>
      </c>
      <c r="AU87" s="441">
        <v>4.8</v>
      </c>
      <c r="AV87" s="2709">
        <v>4.8144098383978235</v>
      </c>
      <c r="AW87" s="793">
        <v>4.8</v>
      </c>
      <c r="AX87" s="2338">
        <f>AVERAGE(F87,H87,L87,P87,T87,X87,AD87,AH87,AL87,AR87,AV87)</f>
        <v>4.3056515715664858</v>
      </c>
      <c r="AY87" s="441"/>
      <c r="AZ87" s="2709">
        <v>4.7380199144622912</v>
      </c>
      <c r="BA87" s="792">
        <v>4.8</v>
      </c>
      <c r="BB87" s="2363">
        <f>AVERAGE(AR87,AV87,AZ87)</f>
        <v>4.7161582713350123</v>
      </c>
      <c r="BC87" s="789">
        <v>4.8</v>
      </c>
      <c r="BD87" s="3374">
        <f>AVERAGE(AD87,AH87,AL87,AR87,AV87,AZ87)</f>
        <v>4.2582385631403241</v>
      </c>
      <c r="BE87" s="793">
        <v>4.8</v>
      </c>
      <c r="BF87" s="2338">
        <f>AVERAGE(F87,H87,L87,P87,T87,X87,AD87,AH87,AL87,AR87,AV87,AZ87)</f>
        <v>4.341682266807803</v>
      </c>
      <c r="BG87" s="147"/>
      <c r="BH87" s="147"/>
      <c r="BI87" s="147"/>
      <c r="BJ87" s="147"/>
    </row>
    <row r="88" spans="1:62" x14ac:dyDescent="0.25">
      <c r="A88" s="181"/>
      <c r="B88" s="1013" t="s">
        <v>849</v>
      </c>
      <c r="C88" s="2293"/>
      <c r="D88" s="1013"/>
      <c r="E88" s="1013"/>
      <c r="F88" s="473">
        <f>+SMS!F68</f>
        <v>0</v>
      </c>
      <c r="G88" s="1013"/>
      <c r="H88" s="473">
        <f>+SMS!H68</f>
        <v>0</v>
      </c>
      <c r="I88" s="779"/>
      <c r="J88" s="947">
        <f>+F88+H88</f>
        <v>0</v>
      </c>
      <c r="K88" s="1013"/>
      <c r="L88" s="473">
        <f>+SMS!L68</f>
        <v>0</v>
      </c>
      <c r="M88" s="778"/>
      <c r="N88" s="946">
        <f>+L88+H88+F88</f>
        <v>0</v>
      </c>
      <c r="O88" s="1013"/>
      <c r="P88" s="473">
        <f>+SMS!P68</f>
        <v>1800</v>
      </c>
      <c r="Q88" s="779"/>
      <c r="R88" s="947">
        <f>+N88+P88</f>
        <v>1800</v>
      </c>
      <c r="S88" s="1013"/>
      <c r="T88" s="2667">
        <f>+SMS!T68</f>
        <v>3520</v>
      </c>
      <c r="U88" s="779"/>
      <c r="V88" s="3269">
        <f>+R88+T88</f>
        <v>5320</v>
      </c>
      <c r="W88" s="1013"/>
      <c r="X88" s="473">
        <f>+SMS!X68</f>
        <v>2833</v>
      </c>
      <c r="Y88" s="778"/>
      <c r="Z88" s="98">
        <f>+X88+T88+P88</f>
        <v>8153</v>
      </c>
      <c r="AA88" s="1014"/>
      <c r="AB88" s="571">
        <f>+N88+Z88</f>
        <v>8153</v>
      </c>
      <c r="AC88" s="1013"/>
      <c r="AD88" s="2667">
        <f>+SMS!AD68</f>
        <v>1709</v>
      </c>
      <c r="AE88" s="779"/>
      <c r="AF88" s="3615">
        <f>+AB88+AD88</f>
        <v>9862</v>
      </c>
      <c r="AG88" s="1013"/>
      <c r="AH88" s="2667">
        <f>+SMS!AH68</f>
        <v>1387.5</v>
      </c>
      <c r="AI88" s="779"/>
      <c r="AJ88" s="3615">
        <f>+AF88+AH88</f>
        <v>11249.5</v>
      </c>
      <c r="AK88" s="1013"/>
      <c r="AL88" s="2667">
        <f>+SMS!AL68</f>
        <v>900</v>
      </c>
      <c r="AM88" s="778"/>
      <c r="AN88" s="98">
        <f>+AL88+AH88+AD88</f>
        <v>3996.5</v>
      </c>
      <c r="AO88" s="779"/>
      <c r="AP88" s="3615">
        <f>+AL88+AJ88</f>
        <v>12149.5</v>
      </c>
      <c r="AQ88" s="1013"/>
      <c r="AR88" s="2667">
        <f>+SMS!AR68</f>
        <v>1278.55</v>
      </c>
      <c r="AS88" s="779"/>
      <c r="AT88" s="3615">
        <f>+AP88+AR88</f>
        <v>13428.05</v>
      </c>
      <c r="AU88" s="1013"/>
      <c r="AV88" s="2667">
        <f>+SMS!AV68</f>
        <v>0</v>
      </c>
      <c r="AW88" s="779"/>
      <c r="AX88" s="3615">
        <f>+AT88+AV88</f>
        <v>13428.05</v>
      </c>
      <c r="AY88" s="1013"/>
      <c r="AZ88" s="2667">
        <f>+SMS!AZ68</f>
        <v>1040.25</v>
      </c>
      <c r="BA88" s="778"/>
      <c r="BB88" s="98">
        <f>+AZ88+AV88+AR88</f>
        <v>2318.8000000000002</v>
      </c>
      <c r="BC88" s="1014"/>
      <c r="BD88" s="571">
        <f>+AN88+BB88</f>
        <v>6315.3</v>
      </c>
      <c r="BE88" s="779"/>
      <c r="BF88" s="3615">
        <f>+AX88+AZ88</f>
        <v>14468.3</v>
      </c>
      <c r="BG88" s="147"/>
      <c r="BH88" s="147"/>
      <c r="BI88" s="147"/>
      <c r="BJ88" s="147"/>
    </row>
    <row r="89" spans="1:62" x14ac:dyDescent="0.25">
      <c r="A89" s="181"/>
      <c r="B89" s="122"/>
      <c r="C89" s="419"/>
      <c r="D89" s="1106"/>
      <c r="E89" s="1106"/>
      <c r="F89" s="220"/>
      <c r="G89" s="1106"/>
      <c r="H89" s="220"/>
      <c r="I89" s="419"/>
      <c r="J89" s="419"/>
      <c r="K89" s="1106"/>
      <c r="L89" s="220"/>
      <c r="M89" s="419"/>
      <c r="N89" s="419"/>
      <c r="O89" s="1106"/>
      <c r="P89" s="220"/>
      <c r="Q89" s="419"/>
      <c r="R89" s="419"/>
      <c r="S89" s="1700"/>
      <c r="T89" s="2710"/>
      <c r="U89" s="419"/>
      <c r="V89" s="419"/>
      <c r="W89" s="1700"/>
      <c r="X89" s="1701"/>
      <c r="Y89" s="419"/>
      <c r="Z89" s="419"/>
      <c r="AC89" s="1700"/>
      <c r="AD89" s="2710"/>
      <c r="AE89" s="419"/>
      <c r="AF89" s="419"/>
      <c r="AG89" s="1700"/>
      <c r="AH89" s="2710"/>
      <c r="AI89" s="419"/>
      <c r="AJ89" s="419"/>
      <c r="AK89" s="1700"/>
      <c r="AL89" s="2710"/>
      <c r="AM89" s="419"/>
      <c r="AN89" s="419"/>
      <c r="AO89" s="419"/>
      <c r="AP89" s="419"/>
      <c r="AQ89" s="1700"/>
      <c r="AR89" s="2710"/>
      <c r="AS89" s="419"/>
      <c r="AT89" s="419"/>
      <c r="AU89" s="1700"/>
      <c r="AV89" s="2710"/>
      <c r="AW89" s="419"/>
      <c r="AX89" s="419"/>
      <c r="AY89" s="1700"/>
      <c r="AZ89" s="2710"/>
      <c r="BA89" s="419"/>
      <c r="BB89" s="419"/>
      <c r="BE89" s="419"/>
      <c r="BF89" s="419"/>
      <c r="BG89" s="147"/>
      <c r="BH89" s="147"/>
      <c r="BI89" s="147"/>
      <c r="BJ89" s="147"/>
    </row>
    <row r="90" spans="1:62" ht="15" customHeight="1" x14ac:dyDescent="0.25">
      <c r="A90" s="181"/>
      <c r="B90" s="1015" t="s">
        <v>964</v>
      </c>
      <c r="C90" s="419"/>
      <c r="D90" s="1106"/>
      <c r="E90" s="1106"/>
      <c r="F90" s="220"/>
      <c r="G90" s="1106"/>
      <c r="H90" s="220"/>
      <c r="I90" s="419"/>
      <c r="J90" s="419"/>
      <c r="K90" s="1106"/>
      <c r="L90" s="220"/>
      <c r="M90" s="419"/>
      <c r="N90" s="419"/>
      <c r="O90" s="1106"/>
      <c r="P90" s="220"/>
      <c r="Q90" s="419"/>
      <c r="R90" s="419"/>
      <c r="S90" s="1700"/>
      <c r="T90" s="2710"/>
      <c r="U90" s="419"/>
      <c r="V90" s="419"/>
      <c r="W90" s="1700"/>
      <c r="X90" s="1701"/>
      <c r="Y90" s="419"/>
      <c r="Z90" s="419"/>
      <c r="AC90" s="1700"/>
      <c r="AD90" s="2710"/>
      <c r="AE90" s="419"/>
      <c r="AF90" s="419"/>
      <c r="AG90" s="1700"/>
      <c r="AH90" s="2710"/>
      <c r="AI90" s="419"/>
      <c r="AJ90" s="419"/>
      <c r="AK90" s="1700"/>
      <c r="AL90" s="2710"/>
      <c r="AM90" s="419"/>
      <c r="AN90" s="419"/>
      <c r="AO90" s="419"/>
      <c r="AP90" s="419"/>
      <c r="AQ90" s="1700"/>
      <c r="AR90" s="2710"/>
      <c r="AS90" s="419"/>
      <c r="AT90" s="419"/>
      <c r="AU90" s="1700"/>
      <c r="AV90" s="2710"/>
      <c r="AW90" s="419"/>
      <c r="AX90" s="419"/>
      <c r="AY90" s="1700"/>
      <c r="AZ90" s="2710"/>
      <c r="BA90" s="419"/>
      <c r="BB90" s="419"/>
      <c r="BE90" s="419"/>
      <c r="BF90" s="419"/>
      <c r="BG90" s="147"/>
      <c r="BH90" s="147"/>
      <c r="BI90" s="147"/>
      <c r="BJ90" s="147"/>
    </row>
    <row r="91" spans="1:62" ht="18.75" x14ac:dyDescent="0.3">
      <c r="A91" s="181"/>
      <c r="B91" s="1355" t="s">
        <v>959</v>
      </c>
      <c r="C91" s="419"/>
      <c r="D91" s="1106"/>
      <c r="E91" s="1106"/>
      <c r="F91" s="220"/>
      <c r="G91" s="1106"/>
      <c r="H91" s="220"/>
      <c r="I91" s="419"/>
      <c r="J91" s="419"/>
      <c r="K91" s="1106"/>
      <c r="L91" s="220"/>
      <c r="M91" s="419"/>
      <c r="N91" s="419"/>
      <c r="O91" s="1106"/>
      <c r="P91" s="220"/>
      <c r="Q91" s="419"/>
      <c r="R91" s="419"/>
      <c r="S91" s="1700"/>
      <c r="T91" s="2710"/>
      <c r="U91" s="419"/>
      <c r="V91" s="419"/>
      <c r="W91" s="1700"/>
      <c r="X91" s="1701"/>
      <c r="Y91" s="419"/>
      <c r="Z91" s="419"/>
      <c r="AC91" s="1700"/>
      <c r="AD91" s="2710"/>
      <c r="AE91" s="419"/>
      <c r="AF91" s="419"/>
      <c r="AG91" s="1700"/>
      <c r="AH91" s="2710"/>
      <c r="AI91" s="419"/>
      <c r="AJ91" s="419"/>
      <c r="AK91" s="1700"/>
      <c r="AL91" s="2710"/>
      <c r="AM91" s="419"/>
      <c r="AN91" s="419"/>
      <c r="AO91" s="419"/>
      <c r="AP91" s="419"/>
      <c r="AQ91" s="1700"/>
      <c r="AR91" s="2710"/>
      <c r="AS91" s="419"/>
      <c r="AT91" s="419"/>
      <c r="AU91" s="1700"/>
      <c r="AV91" s="2710"/>
      <c r="AW91" s="419"/>
      <c r="AX91" s="419"/>
      <c r="AY91" s="1700"/>
      <c r="AZ91" s="2710"/>
      <c r="BA91" s="419"/>
      <c r="BB91" s="419"/>
      <c r="BE91" s="419"/>
      <c r="BF91" s="419"/>
      <c r="BG91" s="147"/>
      <c r="BH91" s="147"/>
      <c r="BI91" s="147"/>
      <c r="BJ91" s="147"/>
    </row>
    <row r="92" spans="1:62" s="659" customFormat="1" ht="18.75" x14ac:dyDescent="0.3">
      <c r="A92" s="780"/>
      <c r="B92" s="1020" t="s">
        <v>246</v>
      </c>
      <c r="C92" s="1016" t="s">
        <v>52</v>
      </c>
      <c r="D92" s="335"/>
      <c r="E92" s="335"/>
      <c r="F92" s="748">
        <v>74866.000000000015</v>
      </c>
      <c r="G92" s="335"/>
      <c r="H92" s="748">
        <v>71519</v>
      </c>
      <c r="I92" s="782"/>
      <c r="J92" s="782">
        <f>+F92+H92</f>
        <v>146385</v>
      </c>
      <c r="K92" s="335"/>
      <c r="L92" s="748">
        <v>50373.910000000011</v>
      </c>
      <c r="M92" s="783"/>
      <c r="N92" s="783">
        <f>+F92+H92+L92</f>
        <v>196758.91</v>
      </c>
      <c r="O92" s="335"/>
      <c r="P92" s="748">
        <v>38890.299999999996</v>
      </c>
      <c r="Q92" s="782"/>
      <c r="R92" s="782">
        <f>+N92+P92</f>
        <v>235649.21</v>
      </c>
      <c r="S92" s="1702"/>
      <c r="T92" s="2711">
        <v>55164</v>
      </c>
      <c r="U92" s="3271"/>
      <c r="V92" s="3271">
        <f>+R92+T92</f>
        <v>290813.20999999996</v>
      </c>
      <c r="W92" s="1702"/>
      <c r="X92" s="306">
        <v>51727.3</v>
      </c>
      <c r="Y92" s="783"/>
      <c r="Z92" s="783">
        <f>+P92+T92+X92</f>
        <v>145781.59999999998</v>
      </c>
      <c r="AA92" s="784"/>
      <c r="AB92" s="784">
        <f>+N92+Z92</f>
        <v>342540.51</v>
      </c>
      <c r="AC92" s="1702"/>
      <c r="AD92" s="2711">
        <v>81947.7</v>
      </c>
      <c r="AE92" s="4074"/>
      <c r="AF92" s="4074">
        <f>+AB92+AD92</f>
        <v>424488.21</v>
      </c>
      <c r="AG92" s="1702"/>
      <c r="AH92" s="2711">
        <v>73293.999999999985</v>
      </c>
      <c r="AI92" s="4183"/>
      <c r="AJ92" s="4183">
        <f>+AF92+AH92</f>
        <v>497782.21</v>
      </c>
      <c r="AK92" s="1702"/>
      <c r="AL92" s="2711">
        <v>82132.600000000006</v>
      </c>
      <c r="AM92" s="4320"/>
      <c r="AN92" s="4320">
        <f>+AD92+AH92+AL92</f>
        <v>237374.3</v>
      </c>
      <c r="AO92" s="4319"/>
      <c r="AP92" s="4319">
        <f>+AL92+AJ92</f>
        <v>579914.81000000006</v>
      </c>
      <c r="AQ92" s="1702"/>
      <c r="AR92" s="2711">
        <v>79741</v>
      </c>
      <c r="AS92" s="4423"/>
      <c r="AT92" s="4423">
        <f>+AP92+AR92</f>
        <v>659655.81000000006</v>
      </c>
      <c r="AU92" s="1702"/>
      <c r="AV92" s="2711">
        <v>66343.3</v>
      </c>
      <c r="AW92" s="4655"/>
      <c r="AX92" s="4655">
        <f>+AT92+AV92</f>
        <v>725999.1100000001</v>
      </c>
      <c r="AY92" s="1702"/>
      <c r="AZ92" s="2711">
        <v>53192.299999999988</v>
      </c>
      <c r="BA92" s="5046"/>
      <c r="BB92" s="5046">
        <f>+AR92+AV92+AZ92</f>
        <v>199276.59999999998</v>
      </c>
      <c r="BC92" s="784"/>
      <c r="BD92" s="784">
        <f t="shared" ref="BD92:BD127" si="385">+AN92+BB92</f>
        <v>436650.89999999997</v>
      </c>
      <c r="BE92" s="5045"/>
      <c r="BF92" s="5045">
        <f>+AX92+AZ92</f>
        <v>779191.41000000015</v>
      </c>
      <c r="BG92" s="147"/>
      <c r="BH92" s="147"/>
      <c r="BI92" s="147"/>
      <c r="BJ92" s="147"/>
    </row>
    <row r="93" spans="1:62" ht="15" hidden="1" customHeight="1" x14ac:dyDescent="0.25">
      <c r="A93" s="181"/>
      <c r="B93" s="1017" t="s">
        <v>963</v>
      </c>
      <c r="C93" s="1018" t="s">
        <v>52</v>
      </c>
      <c r="D93" s="242"/>
      <c r="E93" s="242"/>
      <c r="F93" s="1411"/>
      <c r="G93" s="242"/>
      <c r="H93" s="1411"/>
      <c r="I93" s="947"/>
      <c r="J93" s="947">
        <f t="shared" ref="J93:J109" si="386">+F93+H93</f>
        <v>0</v>
      </c>
      <c r="K93" s="242"/>
      <c r="L93" s="1411"/>
      <c r="M93" s="454"/>
      <c r="N93" s="946">
        <f>+J93+L93</f>
        <v>0</v>
      </c>
      <c r="O93" s="242"/>
      <c r="P93" s="1411"/>
      <c r="Q93" s="947"/>
      <c r="R93" s="947">
        <f>+N93+P93</f>
        <v>0</v>
      </c>
      <c r="S93" s="1693"/>
      <c r="T93" s="2697"/>
      <c r="U93" s="3269"/>
      <c r="V93" s="3269">
        <f>+R93+T93</f>
        <v>0</v>
      </c>
      <c r="W93" s="1693"/>
      <c r="X93" s="217"/>
      <c r="Y93" s="454"/>
      <c r="Z93" s="946">
        <f>+X93+T93+P93</f>
        <v>0</v>
      </c>
      <c r="AA93" s="558"/>
      <c r="AB93" s="558">
        <f t="shared" ref="AB93:AB122" si="387">+V93+X93</f>
        <v>0</v>
      </c>
      <c r="AC93" s="1693"/>
      <c r="AD93" s="2697"/>
      <c r="AE93" s="3615"/>
      <c r="AF93" s="3615">
        <f>+AB93+AD93</f>
        <v>0</v>
      </c>
      <c r="AG93" s="1693"/>
      <c r="AH93" s="2697"/>
      <c r="AI93" s="3615"/>
      <c r="AJ93" s="3615">
        <f>+AF93+AH93</f>
        <v>0</v>
      </c>
      <c r="AK93" s="1693"/>
      <c r="AL93" s="2697"/>
      <c r="AM93" s="454"/>
      <c r="AN93" s="4312">
        <f>+AL93+AH93+AD93</f>
        <v>0</v>
      </c>
      <c r="AO93" s="3615"/>
      <c r="AP93" s="3615">
        <f t="shared" ref="AP93:AP127" si="388">+AL93+AJ93</f>
        <v>0</v>
      </c>
      <c r="AQ93" s="1693"/>
      <c r="AR93" s="2697"/>
      <c r="AS93" s="3615"/>
      <c r="AT93" s="3615">
        <f>+AP93+AR93</f>
        <v>0</v>
      </c>
      <c r="AU93" s="1693"/>
      <c r="AV93" s="2697"/>
      <c r="AW93" s="3615"/>
      <c r="AX93" s="3615">
        <f>+AT93+AV93</f>
        <v>0</v>
      </c>
      <c r="AY93" s="1693"/>
      <c r="AZ93" s="2697"/>
      <c r="BA93" s="454"/>
      <c r="BB93" s="5036">
        <f>+AZ93+AV93+AR93</f>
        <v>0</v>
      </c>
      <c r="BC93" s="5038"/>
      <c r="BD93" s="5711">
        <f t="shared" si="385"/>
        <v>0</v>
      </c>
      <c r="BE93" s="3615"/>
      <c r="BF93" s="3615">
        <f>+AX93+AZ93</f>
        <v>0</v>
      </c>
      <c r="BG93" s="147"/>
      <c r="BH93" s="147"/>
      <c r="BI93" s="147"/>
      <c r="BJ93" s="147"/>
    </row>
    <row r="94" spans="1:62" ht="15" hidden="1" customHeight="1" x14ac:dyDescent="0.25">
      <c r="A94" s="181"/>
      <c r="B94" s="1017" t="s">
        <v>962</v>
      </c>
      <c r="C94" s="1018" t="s">
        <v>52</v>
      </c>
      <c r="D94" s="242"/>
      <c r="E94" s="242"/>
      <c r="F94" s="1411"/>
      <c r="G94" s="242"/>
      <c r="H94" s="1411"/>
      <c r="I94" s="947"/>
      <c r="J94" s="947">
        <v>25</v>
      </c>
      <c r="K94" s="242"/>
      <c r="L94" s="1411"/>
      <c r="M94" s="454"/>
      <c r="N94" s="946">
        <v>25</v>
      </c>
      <c r="O94" s="242"/>
      <c r="P94" s="1411"/>
      <c r="Q94" s="947"/>
      <c r="R94" s="947">
        <v>25</v>
      </c>
      <c r="S94" s="1693"/>
      <c r="T94" s="2697"/>
      <c r="U94" s="3269"/>
      <c r="V94" s="3269">
        <v>25</v>
      </c>
      <c r="W94" s="1693"/>
      <c r="X94" s="217"/>
      <c r="Y94" s="454"/>
      <c r="Z94" s="946">
        <v>25</v>
      </c>
      <c r="AA94" s="558"/>
      <c r="AB94" s="558">
        <f t="shared" si="387"/>
        <v>25</v>
      </c>
      <c r="AC94" s="1693"/>
      <c r="AD94" s="2697"/>
      <c r="AE94" s="3615"/>
      <c r="AF94" s="3615">
        <v>25</v>
      </c>
      <c r="AG94" s="1693"/>
      <c r="AH94" s="2697"/>
      <c r="AI94" s="3615"/>
      <c r="AJ94" s="3615">
        <v>25</v>
      </c>
      <c r="AK94" s="1693"/>
      <c r="AL94" s="2697"/>
      <c r="AM94" s="454"/>
      <c r="AN94" s="4312">
        <v>25</v>
      </c>
      <c r="AO94" s="3615"/>
      <c r="AP94" s="3615">
        <f t="shared" si="388"/>
        <v>25</v>
      </c>
      <c r="AQ94" s="1693"/>
      <c r="AR94" s="2697"/>
      <c r="AS94" s="3615"/>
      <c r="AT94" s="3615">
        <v>25</v>
      </c>
      <c r="AU94" s="1693"/>
      <c r="AV94" s="2697"/>
      <c r="AW94" s="3615"/>
      <c r="AX94" s="3615">
        <v>25</v>
      </c>
      <c r="AY94" s="1693"/>
      <c r="AZ94" s="2697"/>
      <c r="BA94" s="454"/>
      <c r="BB94" s="5036">
        <v>25</v>
      </c>
      <c r="BC94" s="5038"/>
      <c r="BD94" s="5711">
        <f t="shared" si="385"/>
        <v>50</v>
      </c>
      <c r="BE94" s="3615"/>
      <c r="BF94" s="3615">
        <v>25</v>
      </c>
      <c r="BG94" s="147"/>
      <c r="BH94" s="147"/>
      <c r="BI94" s="147"/>
      <c r="BJ94" s="147"/>
    </row>
    <row r="95" spans="1:62" ht="15" hidden="1" customHeight="1" x14ac:dyDescent="0.25">
      <c r="A95" s="181"/>
      <c r="B95" s="1017" t="s">
        <v>958</v>
      </c>
      <c r="C95" s="1018" t="s">
        <v>52</v>
      </c>
      <c r="D95" s="242"/>
      <c r="E95" s="242"/>
      <c r="F95" s="1411"/>
      <c r="G95" s="242"/>
      <c r="H95" s="1411"/>
      <c r="I95" s="947"/>
      <c r="J95" s="947">
        <f t="shared" si="386"/>
        <v>0</v>
      </c>
      <c r="K95" s="242"/>
      <c r="L95" s="1411"/>
      <c r="M95" s="454"/>
      <c r="N95" s="946">
        <f>+J95+L95</f>
        <v>0</v>
      </c>
      <c r="O95" s="242"/>
      <c r="P95" s="1411"/>
      <c r="Q95" s="947"/>
      <c r="R95" s="947">
        <f>+N95+P95</f>
        <v>0</v>
      </c>
      <c r="S95" s="1693"/>
      <c r="T95" s="2697"/>
      <c r="U95" s="3269"/>
      <c r="V95" s="3269">
        <f>+R95+T95</f>
        <v>0</v>
      </c>
      <c r="W95" s="1693"/>
      <c r="X95" s="217"/>
      <c r="Y95" s="454"/>
      <c r="Z95" s="946">
        <f>+X95+T95+P95</f>
        <v>0</v>
      </c>
      <c r="AA95" s="558"/>
      <c r="AB95" s="558">
        <f t="shared" si="387"/>
        <v>0</v>
      </c>
      <c r="AC95" s="1693"/>
      <c r="AD95" s="2697"/>
      <c r="AE95" s="3615"/>
      <c r="AF95" s="3615">
        <f>+AB95+AD95</f>
        <v>0</v>
      </c>
      <c r="AG95" s="1693"/>
      <c r="AH95" s="2697"/>
      <c r="AI95" s="3615"/>
      <c r="AJ95" s="3615">
        <f>+AF95+AH95</f>
        <v>0</v>
      </c>
      <c r="AK95" s="1693"/>
      <c r="AL95" s="2697"/>
      <c r="AM95" s="454"/>
      <c r="AN95" s="4312">
        <f>+AL95+AH95+AD95</f>
        <v>0</v>
      </c>
      <c r="AO95" s="3615"/>
      <c r="AP95" s="3615">
        <f t="shared" si="388"/>
        <v>0</v>
      </c>
      <c r="AQ95" s="1693"/>
      <c r="AR95" s="2697"/>
      <c r="AS95" s="3615"/>
      <c r="AT95" s="3615">
        <f>+AP95+AR95</f>
        <v>0</v>
      </c>
      <c r="AU95" s="1693"/>
      <c r="AV95" s="2697"/>
      <c r="AW95" s="3615"/>
      <c r="AX95" s="3615">
        <f>+AT95+AV95</f>
        <v>0</v>
      </c>
      <c r="AY95" s="1693"/>
      <c r="AZ95" s="2697"/>
      <c r="BA95" s="454"/>
      <c r="BB95" s="5036">
        <f>+AZ95+AV95+AR95</f>
        <v>0</v>
      </c>
      <c r="BC95" s="5038"/>
      <c r="BD95" s="5711">
        <f t="shared" si="385"/>
        <v>0</v>
      </c>
      <c r="BE95" s="3615"/>
      <c r="BF95" s="3615">
        <f>+AX95+AZ95</f>
        <v>0</v>
      </c>
      <c r="BG95" s="147"/>
      <c r="BH95" s="147"/>
      <c r="BI95" s="147"/>
      <c r="BJ95" s="147"/>
    </row>
    <row r="96" spans="1:62" ht="15" hidden="1" customHeight="1" x14ac:dyDescent="0.25">
      <c r="A96" s="181"/>
      <c r="B96" s="1017" t="s">
        <v>23</v>
      </c>
      <c r="C96" s="1018" t="s">
        <v>52</v>
      </c>
      <c r="D96" s="242"/>
      <c r="E96" s="242"/>
      <c r="F96" s="1411"/>
      <c r="G96" s="242"/>
      <c r="H96" s="1411"/>
      <c r="I96" s="947"/>
      <c r="J96" s="947">
        <f t="shared" si="386"/>
        <v>0</v>
      </c>
      <c r="K96" s="242"/>
      <c r="L96" s="1411"/>
      <c r="M96" s="454"/>
      <c r="N96" s="946">
        <f>+J96+L96</f>
        <v>0</v>
      </c>
      <c r="O96" s="242"/>
      <c r="P96" s="1411"/>
      <c r="Q96" s="947"/>
      <c r="R96" s="947">
        <f>+N96+P96</f>
        <v>0</v>
      </c>
      <c r="S96" s="1693"/>
      <c r="T96" s="2697"/>
      <c r="U96" s="3269"/>
      <c r="V96" s="3269">
        <f>+R96+T96</f>
        <v>0</v>
      </c>
      <c r="W96" s="1693"/>
      <c r="X96" s="217"/>
      <c r="Y96" s="454"/>
      <c r="Z96" s="946">
        <f>+X96+T96+P96</f>
        <v>0</v>
      </c>
      <c r="AA96" s="558"/>
      <c r="AB96" s="558">
        <f t="shared" si="387"/>
        <v>0</v>
      </c>
      <c r="AC96" s="1693"/>
      <c r="AD96" s="2697"/>
      <c r="AE96" s="3615"/>
      <c r="AF96" s="3615">
        <f>+AB96+AD96</f>
        <v>0</v>
      </c>
      <c r="AG96" s="1693"/>
      <c r="AH96" s="2697"/>
      <c r="AI96" s="3615"/>
      <c r="AJ96" s="3615">
        <f>+AF96+AH96</f>
        <v>0</v>
      </c>
      <c r="AK96" s="1693"/>
      <c r="AL96" s="2697"/>
      <c r="AM96" s="454"/>
      <c r="AN96" s="4312">
        <f>+AL96+AH96+AD96</f>
        <v>0</v>
      </c>
      <c r="AO96" s="3615"/>
      <c r="AP96" s="3615">
        <f t="shared" si="388"/>
        <v>0</v>
      </c>
      <c r="AQ96" s="1693"/>
      <c r="AR96" s="2697"/>
      <c r="AS96" s="3615"/>
      <c r="AT96" s="3615">
        <f>+AP96+AR96</f>
        <v>0</v>
      </c>
      <c r="AU96" s="1693"/>
      <c r="AV96" s="2697"/>
      <c r="AW96" s="3615"/>
      <c r="AX96" s="3615">
        <f>+AT96+AV96</f>
        <v>0</v>
      </c>
      <c r="AY96" s="1693"/>
      <c r="AZ96" s="2697"/>
      <c r="BA96" s="454"/>
      <c r="BB96" s="5036">
        <f>+AZ96+AV96+AR96</f>
        <v>0</v>
      </c>
      <c r="BC96" s="5038"/>
      <c r="BD96" s="5711">
        <f t="shared" si="385"/>
        <v>0</v>
      </c>
      <c r="BE96" s="3615"/>
      <c r="BF96" s="3615">
        <f>+AX96+AZ96</f>
        <v>0</v>
      </c>
      <c r="BG96" s="147"/>
      <c r="BH96" s="147"/>
      <c r="BI96" s="147"/>
      <c r="BJ96" s="147"/>
    </row>
    <row r="97" spans="1:62" ht="15" hidden="1" customHeight="1" x14ac:dyDescent="0.25">
      <c r="A97" s="181"/>
      <c r="B97" s="1017" t="s">
        <v>214</v>
      </c>
      <c r="C97" s="1018" t="s">
        <v>52</v>
      </c>
      <c r="D97" s="242"/>
      <c r="E97" s="242"/>
      <c r="F97" s="227"/>
      <c r="G97" s="242"/>
      <c r="H97" s="227"/>
      <c r="I97" s="331"/>
      <c r="J97" s="331">
        <f>+((J92-J93)/J92)*100</f>
        <v>100</v>
      </c>
      <c r="K97" s="242"/>
      <c r="L97" s="227"/>
      <c r="M97" s="747"/>
      <c r="N97" s="427">
        <f>+((N92-N93)/N92)*100</f>
        <v>100</v>
      </c>
      <c r="O97" s="242"/>
      <c r="P97" s="227"/>
      <c r="Q97" s="331"/>
      <c r="R97" s="331">
        <f>+((R92-R93)/R92)*100</f>
        <v>100</v>
      </c>
      <c r="S97" s="1693"/>
      <c r="T97" s="2701"/>
      <c r="U97" s="331"/>
      <c r="V97" s="331">
        <f>+((V92-V93)/V92)*100</f>
        <v>100</v>
      </c>
      <c r="W97" s="1693"/>
      <c r="X97" s="164"/>
      <c r="Y97" s="747"/>
      <c r="Z97" s="427">
        <f>+((Z92-Z93)/Z92)*100</f>
        <v>100</v>
      </c>
      <c r="AA97" s="559"/>
      <c r="AB97" s="558">
        <f t="shared" si="387"/>
        <v>100</v>
      </c>
      <c r="AC97" s="1693"/>
      <c r="AD97" s="2701"/>
      <c r="AE97" s="331"/>
      <c r="AF97" s="331">
        <f>+((AF92-AF93)/AF92)*100</f>
        <v>100</v>
      </c>
      <c r="AG97" s="1693"/>
      <c r="AH97" s="2701"/>
      <c r="AI97" s="331"/>
      <c r="AJ97" s="331">
        <f>+((AJ92-AJ93)/AJ92)*100</f>
        <v>100</v>
      </c>
      <c r="AK97" s="1693"/>
      <c r="AL97" s="2701"/>
      <c r="AM97" s="747"/>
      <c r="AN97" s="427">
        <f>+((AN92-AN93)/AN92)*100</f>
        <v>100</v>
      </c>
      <c r="AO97" s="331"/>
      <c r="AP97" s="331">
        <f t="shared" si="388"/>
        <v>100</v>
      </c>
      <c r="AQ97" s="1693"/>
      <c r="AR97" s="2701"/>
      <c r="AS97" s="331"/>
      <c r="AT97" s="331">
        <f>+((AT92-AT93)/AT92)*100</f>
        <v>100</v>
      </c>
      <c r="AU97" s="1693"/>
      <c r="AV97" s="2701"/>
      <c r="AW97" s="331"/>
      <c r="AX97" s="331">
        <f>+((AX92-AX93)/AX92)*100</f>
        <v>100</v>
      </c>
      <c r="AY97" s="1693"/>
      <c r="AZ97" s="2701"/>
      <c r="BA97" s="747"/>
      <c r="BB97" s="427">
        <f>+((BB92-BB93)/BB92)*100</f>
        <v>100</v>
      </c>
      <c r="BC97" s="559"/>
      <c r="BD97" s="5711">
        <f t="shared" si="385"/>
        <v>200</v>
      </c>
      <c r="BE97" s="331"/>
      <c r="BF97" s="331">
        <f>+((BF92-BF93)/BF92)*100</f>
        <v>100</v>
      </c>
      <c r="BG97" s="147"/>
      <c r="BH97" s="147"/>
      <c r="BI97" s="147"/>
      <c r="BJ97" s="147"/>
    </row>
    <row r="98" spans="1:62" ht="15" hidden="1" customHeight="1" x14ac:dyDescent="0.25">
      <c r="A98" s="181"/>
      <c r="B98" s="1017" t="s">
        <v>214</v>
      </c>
      <c r="C98" s="1018" t="s">
        <v>52</v>
      </c>
      <c r="D98" s="242"/>
      <c r="E98" s="242"/>
      <c r="F98" s="1411"/>
      <c r="G98" s="242"/>
      <c r="H98" s="1411"/>
      <c r="I98" s="947"/>
      <c r="J98" s="947">
        <f t="shared" si="386"/>
        <v>0</v>
      </c>
      <c r="K98" s="242"/>
      <c r="L98" s="1411"/>
      <c r="M98" s="454"/>
      <c r="N98" s="946">
        <f>+J98+L98</f>
        <v>0</v>
      </c>
      <c r="O98" s="242"/>
      <c r="P98" s="1411"/>
      <c r="Q98" s="947"/>
      <c r="R98" s="947">
        <f>+N98+P98</f>
        <v>0</v>
      </c>
      <c r="S98" s="1693"/>
      <c r="T98" s="2697"/>
      <c r="U98" s="3269"/>
      <c r="V98" s="3269">
        <f>+R98+T98</f>
        <v>0</v>
      </c>
      <c r="W98" s="1693"/>
      <c r="X98" s="217"/>
      <c r="Y98" s="454"/>
      <c r="Z98" s="946">
        <f>+X98+T98+P98</f>
        <v>0</v>
      </c>
      <c r="AA98" s="558"/>
      <c r="AB98" s="558">
        <f t="shared" si="387"/>
        <v>0</v>
      </c>
      <c r="AC98" s="1693"/>
      <c r="AD98" s="2697"/>
      <c r="AE98" s="3615"/>
      <c r="AF98" s="3615">
        <f>+AB98+AD98</f>
        <v>0</v>
      </c>
      <c r="AG98" s="1693"/>
      <c r="AH98" s="2697"/>
      <c r="AI98" s="3615"/>
      <c r="AJ98" s="3615">
        <f>+AF98+AH98</f>
        <v>0</v>
      </c>
      <c r="AK98" s="1693"/>
      <c r="AL98" s="2697"/>
      <c r="AM98" s="454"/>
      <c r="AN98" s="4312">
        <f>+AL98+AH98+AD98</f>
        <v>0</v>
      </c>
      <c r="AO98" s="3615"/>
      <c r="AP98" s="3615">
        <f t="shared" si="388"/>
        <v>0</v>
      </c>
      <c r="AQ98" s="1693"/>
      <c r="AR98" s="2697"/>
      <c r="AS98" s="3615"/>
      <c r="AT98" s="3615">
        <f>+AP98+AR98</f>
        <v>0</v>
      </c>
      <c r="AU98" s="1693"/>
      <c r="AV98" s="2697"/>
      <c r="AW98" s="3615"/>
      <c r="AX98" s="3615">
        <f>+AT98+AV98</f>
        <v>0</v>
      </c>
      <c r="AY98" s="1693"/>
      <c r="AZ98" s="2697"/>
      <c r="BA98" s="454"/>
      <c r="BB98" s="5036">
        <f>+AZ98+AV98+AR98</f>
        <v>0</v>
      </c>
      <c r="BC98" s="5038"/>
      <c r="BD98" s="5711">
        <f t="shared" si="385"/>
        <v>0</v>
      </c>
      <c r="BE98" s="3615"/>
      <c r="BF98" s="3615">
        <f>+AX98+AZ98</f>
        <v>0</v>
      </c>
      <c r="BG98" s="147"/>
      <c r="BH98" s="147"/>
      <c r="BI98" s="147"/>
      <c r="BJ98" s="147"/>
    </row>
    <row r="99" spans="1:62" ht="15" hidden="1" customHeight="1" x14ac:dyDescent="0.25">
      <c r="A99" s="181"/>
      <c r="B99" s="1017" t="s">
        <v>874</v>
      </c>
      <c r="C99" s="1018" t="s">
        <v>52</v>
      </c>
      <c r="D99" s="242"/>
      <c r="E99" s="242"/>
      <c r="F99" s="227"/>
      <c r="G99" s="242"/>
      <c r="H99" s="227"/>
      <c r="I99" s="331"/>
      <c r="J99" s="331">
        <v>2.5</v>
      </c>
      <c r="K99" s="242"/>
      <c r="L99" s="227"/>
      <c r="M99" s="747"/>
      <c r="N99" s="427">
        <v>2.5</v>
      </c>
      <c r="O99" s="242"/>
      <c r="P99" s="227"/>
      <c r="Q99" s="331"/>
      <c r="R99" s="331">
        <v>2.5</v>
      </c>
      <c r="S99" s="1693"/>
      <c r="T99" s="2701"/>
      <c r="U99" s="331"/>
      <c r="V99" s="331">
        <v>2.5</v>
      </c>
      <c r="W99" s="1693"/>
      <c r="X99" s="164"/>
      <c r="Y99" s="747"/>
      <c r="Z99" s="427">
        <v>2.5</v>
      </c>
      <c r="AA99" s="559"/>
      <c r="AB99" s="558">
        <f t="shared" si="387"/>
        <v>2.5</v>
      </c>
      <c r="AC99" s="1693"/>
      <c r="AD99" s="2701"/>
      <c r="AE99" s="331"/>
      <c r="AF99" s="331">
        <v>2.5</v>
      </c>
      <c r="AG99" s="1693"/>
      <c r="AH99" s="2701"/>
      <c r="AI99" s="331"/>
      <c r="AJ99" s="331">
        <v>2.5</v>
      </c>
      <c r="AK99" s="1693"/>
      <c r="AL99" s="2701"/>
      <c r="AM99" s="747"/>
      <c r="AN99" s="427">
        <v>2.5</v>
      </c>
      <c r="AO99" s="331"/>
      <c r="AP99" s="331">
        <f t="shared" si="388"/>
        <v>2.5</v>
      </c>
      <c r="AQ99" s="1693"/>
      <c r="AR99" s="2701"/>
      <c r="AS99" s="331"/>
      <c r="AT99" s="331">
        <v>2.5</v>
      </c>
      <c r="AU99" s="1693"/>
      <c r="AV99" s="2701"/>
      <c r="AW99" s="331"/>
      <c r="AX99" s="331">
        <v>2.5</v>
      </c>
      <c r="AY99" s="1693"/>
      <c r="AZ99" s="2701"/>
      <c r="BA99" s="747"/>
      <c r="BB99" s="427">
        <v>2.5</v>
      </c>
      <c r="BC99" s="559"/>
      <c r="BD99" s="5711">
        <f t="shared" si="385"/>
        <v>5</v>
      </c>
      <c r="BE99" s="331"/>
      <c r="BF99" s="331">
        <v>2.5</v>
      </c>
      <c r="BG99" s="147"/>
      <c r="BH99" s="147"/>
      <c r="BI99" s="147"/>
      <c r="BJ99" s="147"/>
    </row>
    <row r="100" spans="1:62" ht="15" hidden="1" customHeight="1" x14ac:dyDescent="0.25">
      <c r="A100" s="181"/>
      <c r="B100" s="1017" t="s">
        <v>874</v>
      </c>
      <c r="C100" s="1018" t="s">
        <v>52</v>
      </c>
      <c r="D100" s="242"/>
      <c r="E100" s="242"/>
      <c r="F100" s="1411"/>
      <c r="G100" s="242"/>
      <c r="H100" s="1411"/>
      <c r="I100" s="947"/>
      <c r="J100" s="947">
        <f t="shared" si="386"/>
        <v>0</v>
      </c>
      <c r="K100" s="242"/>
      <c r="L100" s="1411"/>
      <c r="M100" s="454"/>
      <c r="N100" s="946">
        <f>+J100+L100</f>
        <v>0</v>
      </c>
      <c r="O100" s="242"/>
      <c r="P100" s="1411"/>
      <c r="Q100" s="947"/>
      <c r="R100" s="947">
        <f t="shared" ref="R100:R109" si="389">+N100+P100</f>
        <v>0</v>
      </c>
      <c r="S100" s="1693"/>
      <c r="T100" s="2697"/>
      <c r="U100" s="3269"/>
      <c r="V100" s="3269">
        <f t="shared" ref="V100:V104" si="390">+R100+T100</f>
        <v>0</v>
      </c>
      <c r="W100" s="1693"/>
      <c r="X100" s="217"/>
      <c r="Y100" s="454"/>
      <c r="Z100" s="946">
        <f>+X100+T100+P100</f>
        <v>0</v>
      </c>
      <c r="AA100" s="558"/>
      <c r="AB100" s="558">
        <f t="shared" si="387"/>
        <v>0</v>
      </c>
      <c r="AC100" s="1693"/>
      <c r="AD100" s="2697"/>
      <c r="AE100" s="3615"/>
      <c r="AF100" s="3615">
        <f t="shared" ref="AF100:AF104" si="391">+AB100+AD100</f>
        <v>0</v>
      </c>
      <c r="AG100" s="1693"/>
      <c r="AH100" s="2697"/>
      <c r="AI100" s="3615"/>
      <c r="AJ100" s="3615">
        <f t="shared" ref="AJ100:AJ104" si="392">+AF100+AH100</f>
        <v>0</v>
      </c>
      <c r="AK100" s="1693"/>
      <c r="AL100" s="2697"/>
      <c r="AM100" s="454"/>
      <c r="AN100" s="4312">
        <f>+AL100+AH100+AD100</f>
        <v>0</v>
      </c>
      <c r="AO100" s="3615"/>
      <c r="AP100" s="3615">
        <f t="shared" si="388"/>
        <v>0</v>
      </c>
      <c r="AQ100" s="1693"/>
      <c r="AR100" s="2697"/>
      <c r="AS100" s="3615"/>
      <c r="AT100" s="3615">
        <f t="shared" ref="AT100:AT104" si="393">+AP100+AR100</f>
        <v>0</v>
      </c>
      <c r="AU100" s="1693"/>
      <c r="AV100" s="2697"/>
      <c r="AW100" s="3615"/>
      <c r="AX100" s="3615">
        <f t="shared" ref="AX100:AX104" si="394">+AT100+AV100</f>
        <v>0</v>
      </c>
      <c r="AY100" s="1693"/>
      <c r="AZ100" s="2697"/>
      <c r="BA100" s="454"/>
      <c r="BB100" s="5036">
        <f>+AZ100+AV100+AR100</f>
        <v>0</v>
      </c>
      <c r="BC100" s="5038"/>
      <c r="BD100" s="5711">
        <f t="shared" si="385"/>
        <v>0</v>
      </c>
      <c r="BE100" s="3615"/>
      <c r="BF100" s="3615">
        <f t="shared" ref="BF100:BF104" si="395">+AX100+AZ100</f>
        <v>0</v>
      </c>
      <c r="BG100" s="147"/>
      <c r="BH100" s="147"/>
      <c r="BI100" s="147"/>
      <c r="BJ100" s="147"/>
    </row>
    <row r="101" spans="1:62" ht="15" hidden="1" customHeight="1" x14ac:dyDescent="0.25">
      <c r="A101" s="181"/>
      <c r="B101" s="1017" t="s">
        <v>957</v>
      </c>
      <c r="C101" s="1018" t="s">
        <v>52</v>
      </c>
      <c r="D101" s="242"/>
      <c r="E101" s="242"/>
      <c r="F101" s="1411"/>
      <c r="G101" s="242"/>
      <c r="H101" s="1411"/>
      <c r="I101" s="947"/>
      <c r="J101" s="947">
        <f t="shared" si="386"/>
        <v>0</v>
      </c>
      <c r="K101" s="242"/>
      <c r="L101" s="1411"/>
      <c r="M101" s="454"/>
      <c r="N101" s="946">
        <f>+J101+L101</f>
        <v>0</v>
      </c>
      <c r="O101" s="242"/>
      <c r="P101" s="1411"/>
      <c r="Q101" s="947"/>
      <c r="R101" s="947">
        <f t="shared" si="389"/>
        <v>0</v>
      </c>
      <c r="S101" s="1693"/>
      <c r="T101" s="2697"/>
      <c r="U101" s="3269"/>
      <c r="V101" s="3269">
        <f t="shared" si="390"/>
        <v>0</v>
      </c>
      <c r="W101" s="1693"/>
      <c r="X101" s="217"/>
      <c r="Y101" s="454"/>
      <c r="Z101" s="946">
        <f>+X101+T101+P101</f>
        <v>0</v>
      </c>
      <c r="AA101" s="558"/>
      <c r="AB101" s="558">
        <f t="shared" si="387"/>
        <v>0</v>
      </c>
      <c r="AC101" s="1693"/>
      <c r="AD101" s="2697"/>
      <c r="AE101" s="3615"/>
      <c r="AF101" s="3615">
        <f t="shared" si="391"/>
        <v>0</v>
      </c>
      <c r="AG101" s="1693"/>
      <c r="AH101" s="2697"/>
      <c r="AI101" s="3615"/>
      <c r="AJ101" s="3615">
        <f t="shared" si="392"/>
        <v>0</v>
      </c>
      <c r="AK101" s="1693"/>
      <c r="AL101" s="2697"/>
      <c r="AM101" s="454"/>
      <c r="AN101" s="4312">
        <f>+AL101+AH101+AD101</f>
        <v>0</v>
      </c>
      <c r="AO101" s="3615"/>
      <c r="AP101" s="3615">
        <f t="shared" si="388"/>
        <v>0</v>
      </c>
      <c r="AQ101" s="1693"/>
      <c r="AR101" s="2697"/>
      <c r="AS101" s="3615"/>
      <c r="AT101" s="3615">
        <f t="shared" si="393"/>
        <v>0</v>
      </c>
      <c r="AU101" s="1693"/>
      <c r="AV101" s="2697"/>
      <c r="AW101" s="3615"/>
      <c r="AX101" s="3615">
        <f t="shared" si="394"/>
        <v>0</v>
      </c>
      <c r="AY101" s="1693"/>
      <c r="AZ101" s="2697"/>
      <c r="BA101" s="454"/>
      <c r="BB101" s="5036">
        <f>+AZ101+AV101+AR101</f>
        <v>0</v>
      </c>
      <c r="BC101" s="5038"/>
      <c r="BD101" s="5711">
        <f t="shared" si="385"/>
        <v>0</v>
      </c>
      <c r="BE101" s="3615"/>
      <c r="BF101" s="3615">
        <f t="shared" si="395"/>
        <v>0</v>
      </c>
      <c r="BG101" s="147"/>
      <c r="BH101" s="147"/>
      <c r="BI101" s="147"/>
      <c r="BJ101" s="147"/>
    </row>
    <row r="102" spans="1:62" ht="15" hidden="1" customHeight="1" x14ac:dyDescent="0.25">
      <c r="A102" s="181"/>
      <c r="B102" s="1017" t="s">
        <v>510</v>
      </c>
      <c r="C102" s="1018" t="s">
        <v>52</v>
      </c>
      <c r="D102" s="242"/>
      <c r="E102" s="242"/>
      <c r="F102" s="1411"/>
      <c r="G102" s="242"/>
      <c r="H102" s="1411"/>
      <c r="I102" s="947"/>
      <c r="J102" s="947">
        <f t="shared" si="386"/>
        <v>0</v>
      </c>
      <c r="K102" s="242"/>
      <c r="L102" s="1411"/>
      <c r="M102" s="454"/>
      <c r="N102" s="946">
        <f>+J102+L102</f>
        <v>0</v>
      </c>
      <c r="O102" s="242"/>
      <c r="P102" s="1411"/>
      <c r="Q102" s="947"/>
      <c r="R102" s="947">
        <f t="shared" si="389"/>
        <v>0</v>
      </c>
      <c r="S102" s="1693"/>
      <c r="T102" s="2697"/>
      <c r="U102" s="3269"/>
      <c r="V102" s="3269">
        <f t="shared" si="390"/>
        <v>0</v>
      </c>
      <c r="W102" s="1693"/>
      <c r="X102" s="217"/>
      <c r="Y102" s="454"/>
      <c r="Z102" s="946">
        <f>+X102+T102+P102</f>
        <v>0</v>
      </c>
      <c r="AA102" s="558"/>
      <c r="AB102" s="558">
        <f t="shared" si="387"/>
        <v>0</v>
      </c>
      <c r="AC102" s="1693"/>
      <c r="AD102" s="2697"/>
      <c r="AE102" s="3615"/>
      <c r="AF102" s="3615">
        <f t="shared" si="391"/>
        <v>0</v>
      </c>
      <c r="AG102" s="1693"/>
      <c r="AH102" s="2697"/>
      <c r="AI102" s="3615"/>
      <c r="AJ102" s="3615">
        <f t="shared" si="392"/>
        <v>0</v>
      </c>
      <c r="AK102" s="1693"/>
      <c r="AL102" s="2697"/>
      <c r="AM102" s="454"/>
      <c r="AN102" s="4312">
        <f>+AL102+AH102+AD102</f>
        <v>0</v>
      </c>
      <c r="AO102" s="3615"/>
      <c r="AP102" s="3615">
        <f t="shared" si="388"/>
        <v>0</v>
      </c>
      <c r="AQ102" s="1693"/>
      <c r="AR102" s="2697"/>
      <c r="AS102" s="3615"/>
      <c r="AT102" s="3615">
        <f t="shared" si="393"/>
        <v>0</v>
      </c>
      <c r="AU102" s="1693"/>
      <c r="AV102" s="2697"/>
      <c r="AW102" s="3615"/>
      <c r="AX102" s="3615">
        <f t="shared" si="394"/>
        <v>0</v>
      </c>
      <c r="AY102" s="1693"/>
      <c r="AZ102" s="2697"/>
      <c r="BA102" s="454"/>
      <c r="BB102" s="5036">
        <f>+AZ102+AV102+AR102</f>
        <v>0</v>
      </c>
      <c r="BC102" s="5038"/>
      <c r="BD102" s="5711">
        <f t="shared" si="385"/>
        <v>0</v>
      </c>
      <c r="BE102" s="3615"/>
      <c r="BF102" s="3615">
        <f t="shared" si="395"/>
        <v>0</v>
      </c>
      <c r="BG102" s="147"/>
      <c r="BH102" s="147"/>
      <c r="BI102" s="147"/>
      <c r="BJ102" s="147"/>
    </row>
    <row r="103" spans="1:62" ht="15" hidden="1" customHeight="1" x14ac:dyDescent="0.25">
      <c r="A103" s="181"/>
      <c r="B103" s="336"/>
      <c r="C103" s="1018" t="s">
        <v>52</v>
      </c>
      <c r="D103" s="1106"/>
      <c r="E103" s="1106"/>
      <c r="F103" s="1106"/>
      <c r="G103" s="1106"/>
      <c r="H103" s="1106"/>
      <c r="I103" s="779"/>
      <c r="J103" s="947">
        <f t="shared" si="386"/>
        <v>0</v>
      </c>
      <c r="K103" s="1106"/>
      <c r="L103" s="1106"/>
      <c r="M103" s="778"/>
      <c r="N103" s="778"/>
      <c r="O103" s="1106"/>
      <c r="P103" s="1106"/>
      <c r="Q103" s="779"/>
      <c r="R103" s="947">
        <f t="shared" si="389"/>
        <v>0</v>
      </c>
      <c r="S103" s="1700"/>
      <c r="T103" s="2710"/>
      <c r="U103" s="779"/>
      <c r="V103" s="3269">
        <f t="shared" si="390"/>
        <v>0</v>
      </c>
      <c r="W103" s="1700"/>
      <c r="X103" s="1701"/>
      <c r="Y103" s="778"/>
      <c r="Z103" s="778"/>
      <c r="AA103" s="1014"/>
      <c r="AB103" s="558">
        <f t="shared" si="387"/>
        <v>0</v>
      </c>
      <c r="AC103" s="1700"/>
      <c r="AD103" s="2710"/>
      <c r="AE103" s="779"/>
      <c r="AF103" s="3615">
        <f t="shared" si="391"/>
        <v>0</v>
      </c>
      <c r="AG103" s="1700"/>
      <c r="AH103" s="2710"/>
      <c r="AI103" s="779"/>
      <c r="AJ103" s="3615">
        <f t="shared" si="392"/>
        <v>0</v>
      </c>
      <c r="AK103" s="1700"/>
      <c r="AL103" s="2710"/>
      <c r="AM103" s="778"/>
      <c r="AN103" s="778"/>
      <c r="AO103" s="779"/>
      <c r="AP103" s="3615">
        <f t="shared" si="388"/>
        <v>0</v>
      </c>
      <c r="AQ103" s="1700"/>
      <c r="AR103" s="2710"/>
      <c r="AS103" s="779"/>
      <c r="AT103" s="3615">
        <f t="shared" si="393"/>
        <v>0</v>
      </c>
      <c r="AU103" s="1700"/>
      <c r="AV103" s="2710"/>
      <c r="AW103" s="779"/>
      <c r="AX103" s="3615">
        <f t="shared" si="394"/>
        <v>0</v>
      </c>
      <c r="AY103" s="1700"/>
      <c r="AZ103" s="2710"/>
      <c r="BA103" s="778"/>
      <c r="BB103" s="778"/>
      <c r="BC103" s="1014"/>
      <c r="BD103" s="564">
        <f t="shared" si="385"/>
        <v>0</v>
      </c>
      <c r="BE103" s="779"/>
      <c r="BF103" s="3615">
        <f t="shared" si="395"/>
        <v>0</v>
      </c>
      <c r="BG103" s="147"/>
      <c r="BH103" s="147"/>
      <c r="BI103" s="147"/>
      <c r="BJ103" s="147"/>
    </row>
    <row r="104" spans="1:62" ht="15" hidden="1" customHeight="1" x14ac:dyDescent="0.25">
      <c r="A104" s="181"/>
      <c r="B104" s="1020"/>
      <c r="C104" s="1018" t="s">
        <v>52</v>
      </c>
      <c r="D104" s="1106"/>
      <c r="E104" s="1106"/>
      <c r="F104" s="1106"/>
      <c r="G104" s="1106"/>
      <c r="H104" s="1106"/>
      <c r="I104" s="779"/>
      <c r="J104" s="947">
        <f t="shared" si="386"/>
        <v>0</v>
      </c>
      <c r="K104" s="1106"/>
      <c r="L104" s="1106"/>
      <c r="M104" s="778"/>
      <c r="N104" s="778"/>
      <c r="O104" s="1106"/>
      <c r="P104" s="1106"/>
      <c r="Q104" s="779"/>
      <c r="R104" s="947">
        <f t="shared" si="389"/>
        <v>0</v>
      </c>
      <c r="S104" s="1700"/>
      <c r="T104" s="2710"/>
      <c r="U104" s="779"/>
      <c r="V104" s="3269">
        <f t="shared" si="390"/>
        <v>0</v>
      </c>
      <c r="W104" s="1700"/>
      <c r="X104" s="1701"/>
      <c r="Y104" s="778"/>
      <c r="Z104" s="778"/>
      <c r="AA104" s="1014"/>
      <c r="AB104" s="558">
        <f t="shared" si="387"/>
        <v>0</v>
      </c>
      <c r="AC104" s="1700"/>
      <c r="AD104" s="2710"/>
      <c r="AE104" s="779"/>
      <c r="AF104" s="3615">
        <f t="shared" si="391"/>
        <v>0</v>
      </c>
      <c r="AG104" s="1700"/>
      <c r="AH104" s="2710"/>
      <c r="AI104" s="779"/>
      <c r="AJ104" s="3615">
        <f t="shared" si="392"/>
        <v>0</v>
      </c>
      <c r="AK104" s="1700"/>
      <c r="AL104" s="2710"/>
      <c r="AM104" s="778"/>
      <c r="AN104" s="778"/>
      <c r="AO104" s="779"/>
      <c r="AP104" s="3615">
        <f t="shared" si="388"/>
        <v>0</v>
      </c>
      <c r="AQ104" s="1700"/>
      <c r="AR104" s="2710"/>
      <c r="AS104" s="779"/>
      <c r="AT104" s="3615">
        <f t="shared" si="393"/>
        <v>0</v>
      </c>
      <c r="AU104" s="1700"/>
      <c r="AV104" s="2710"/>
      <c r="AW104" s="779"/>
      <c r="AX104" s="3615">
        <f t="shared" si="394"/>
        <v>0</v>
      </c>
      <c r="AY104" s="1700"/>
      <c r="AZ104" s="2710"/>
      <c r="BA104" s="778"/>
      <c r="BB104" s="778"/>
      <c r="BC104" s="1014"/>
      <c r="BD104" s="564">
        <f t="shared" si="385"/>
        <v>0</v>
      </c>
      <c r="BE104" s="779"/>
      <c r="BF104" s="3615">
        <f t="shared" si="395"/>
        <v>0</v>
      </c>
      <c r="BG104" s="147"/>
      <c r="BH104" s="147"/>
      <c r="BI104" s="147"/>
      <c r="BJ104" s="147"/>
    </row>
    <row r="105" spans="1:62" s="659" customFormat="1" ht="18.75" x14ac:dyDescent="0.3">
      <c r="A105" s="780"/>
      <c r="B105" s="1020" t="s">
        <v>27</v>
      </c>
      <c r="C105" s="1016" t="s">
        <v>52</v>
      </c>
      <c r="D105" s="2286"/>
      <c r="E105" s="2286"/>
      <c r="F105" s="748">
        <v>94135.22703398559</v>
      </c>
      <c r="G105" s="2286"/>
      <c r="H105" s="748">
        <v>77300.873724439836</v>
      </c>
      <c r="I105" s="1407"/>
      <c r="J105" s="782">
        <f t="shared" si="386"/>
        <v>171436.10075842543</v>
      </c>
      <c r="K105" s="2286"/>
      <c r="L105" s="748">
        <v>91028.59916934112</v>
      </c>
      <c r="M105" s="783"/>
      <c r="N105" s="3591">
        <f>+F105+H105+L105</f>
        <v>262464.69992776657</v>
      </c>
      <c r="O105" s="2286"/>
      <c r="P105" s="748">
        <v>97817.663472319662</v>
      </c>
      <c r="Q105" s="1407"/>
      <c r="R105" s="782">
        <f>+N105+P105</f>
        <v>360282.36340008624</v>
      </c>
      <c r="S105" s="2074"/>
      <c r="T105" s="2711">
        <v>98502.393227555513</v>
      </c>
      <c r="U105" s="1407"/>
      <c r="V105" s="3271">
        <f>+R105+T105</f>
        <v>458784.75662764173</v>
      </c>
      <c r="W105" s="2074"/>
      <c r="X105" s="306">
        <v>91044.181537707351</v>
      </c>
      <c r="Y105" s="783"/>
      <c r="Z105" s="3591">
        <f>+P105+T105+X105</f>
        <v>287364.2382375825</v>
      </c>
      <c r="AA105" s="1409"/>
      <c r="AB105" s="784">
        <f>+N105+Z105</f>
        <v>549828.93816534907</v>
      </c>
      <c r="AC105" s="2074"/>
      <c r="AD105" s="2711">
        <v>96447.019782569783</v>
      </c>
      <c r="AE105" s="1407"/>
      <c r="AF105" s="4074">
        <f>+AB105+AD105</f>
        <v>646275.95794791891</v>
      </c>
      <c r="AG105" s="2074"/>
      <c r="AH105" s="2711">
        <v>87338.2032842591</v>
      </c>
      <c r="AI105" s="1407"/>
      <c r="AJ105" s="4183">
        <f>+AF105+AH105</f>
        <v>733614.16123217798</v>
      </c>
      <c r="AK105" s="2074"/>
      <c r="AL105" s="2711">
        <v>91982.224776423973</v>
      </c>
      <c r="AM105" s="4320"/>
      <c r="AN105" s="4320">
        <f>+AD105+AH105+AL105</f>
        <v>275767.44784325286</v>
      </c>
      <c r="AO105" s="1407"/>
      <c r="AP105" s="4319">
        <f t="shared" si="388"/>
        <v>825596.38600860198</v>
      </c>
      <c r="AQ105" s="2074"/>
      <c r="AR105" s="2711">
        <v>89386.701996238029</v>
      </c>
      <c r="AS105" s="1407"/>
      <c r="AT105" s="4423">
        <f>+AP105+AR105</f>
        <v>914983.08800484007</v>
      </c>
      <c r="AU105" s="2074"/>
      <c r="AV105" s="2711">
        <v>88340.062022703802</v>
      </c>
      <c r="AW105" s="1407"/>
      <c r="AX105" s="4655">
        <f>+AT105+AV105</f>
        <v>1003323.1500275439</v>
      </c>
      <c r="AY105" s="2074"/>
      <c r="AZ105" s="2711">
        <v>91076.120742256287</v>
      </c>
      <c r="BA105" s="5046"/>
      <c r="BB105" s="5046">
        <f>+AR105+AV105+AZ105</f>
        <v>268802.88476119813</v>
      </c>
      <c r="BC105" s="1409"/>
      <c r="BD105" s="5721">
        <f t="shared" si="385"/>
        <v>544570.33260445099</v>
      </c>
      <c r="BE105" s="1407"/>
      <c r="BF105" s="5045">
        <f>+AX105+AZ105</f>
        <v>1094399.2707698001</v>
      </c>
      <c r="BG105" s="147"/>
      <c r="BH105" s="147"/>
      <c r="BI105" s="147"/>
      <c r="BJ105" s="147"/>
    </row>
    <row r="106" spans="1:62" ht="18.75" hidden="1" customHeight="1" x14ac:dyDescent="0.25">
      <c r="A106" s="181"/>
      <c r="B106" s="336"/>
      <c r="C106" s="1018" t="s">
        <v>52</v>
      </c>
      <c r="D106" s="1106"/>
      <c r="E106" s="1106"/>
      <c r="F106" s="1106"/>
      <c r="G106" s="1106"/>
      <c r="H106" s="1106"/>
      <c r="I106" s="779"/>
      <c r="J106" s="947">
        <f t="shared" si="386"/>
        <v>0</v>
      </c>
      <c r="K106" s="1106"/>
      <c r="L106" s="1106"/>
      <c r="M106" s="778"/>
      <c r="N106" s="778"/>
      <c r="O106" s="1106"/>
      <c r="P106" s="1106"/>
      <c r="Q106" s="779"/>
      <c r="R106" s="947">
        <f t="shared" si="389"/>
        <v>0</v>
      </c>
      <c r="S106" s="1700"/>
      <c r="T106" s="2710"/>
      <c r="U106" s="779"/>
      <c r="V106" s="3269">
        <f t="shared" ref="V106:V107" si="396">+R106+T106</f>
        <v>0</v>
      </c>
      <c r="W106" s="1700"/>
      <c r="X106" s="1701"/>
      <c r="Y106" s="778"/>
      <c r="Z106" s="778"/>
      <c r="AA106" s="1014"/>
      <c r="AB106" s="784">
        <f t="shared" si="387"/>
        <v>0</v>
      </c>
      <c r="AC106" s="1700"/>
      <c r="AD106" s="2710"/>
      <c r="AE106" s="779"/>
      <c r="AF106" s="3615">
        <f t="shared" ref="AF106:AF107" si="397">+AB106+AD106</f>
        <v>0</v>
      </c>
      <c r="AG106" s="1700"/>
      <c r="AH106" s="2710"/>
      <c r="AI106" s="779"/>
      <c r="AJ106" s="3615">
        <f t="shared" ref="AJ106:AJ107" si="398">+AF106+AH106</f>
        <v>0</v>
      </c>
      <c r="AK106" s="1700"/>
      <c r="AL106" s="2710"/>
      <c r="AM106" s="778"/>
      <c r="AN106" s="778"/>
      <c r="AO106" s="779"/>
      <c r="AP106" s="3615">
        <f t="shared" si="388"/>
        <v>0</v>
      </c>
      <c r="AQ106" s="1700"/>
      <c r="AR106" s="2710"/>
      <c r="AS106" s="779"/>
      <c r="AT106" s="3615">
        <f t="shared" ref="AT106:AT107" si="399">+AP106+AR106</f>
        <v>0</v>
      </c>
      <c r="AU106" s="1700"/>
      <c r="AV106" s="2710"/>
      <c r="AW106" s="779"/>
      <c r="AX106" s="3615">
        <f t="shared" ref="AX106:AX107" si="400">+AT106+AV106</f>
        <v>0</v>
      </c>
      <c r="AY106" s="1700"/>
      <c r="AZ106" s="2710"/>
      <c r="BA106" s="778"/>
      <c r="BB106" s="778"/>
      <c r="BC106" s="1014"/>
      <c r="BD106" s="564">
        <f t="shared" si="385"/>
        <v>0</v>
      </c>
      <c r="BE106" s="779"/>
      <c r="BF106" s="3615">
        <f t="shared" ref="BF106:BF107" si="401">+AX106+AZ106</f>
        <v>0</v>
      </c>
      <c r="BG106" s="147"/>
      <c r="BH106" s="147"/>
      <c r="BI106" s="147"/>
      <c r="BJ106" s="147"/>
    </row>
    <row r="107" spans="1:62" ht="18.75" hidden="1" customHeight="1" x14ac:dyDescent="0.25">
      <c r="A107" s="181"/>
      <c r="B107" s="1020"/>
      <c r="C107" s="1018" t="s">
        <v>52</v>
      </c>
      <c r="D107" s="1106"/>
      <c r="E107" s="1106"/>
      <c r="F107" s="1106"/>
      <c r="G107" s="1106"/>
      <c r="H107" s="1106"/>
      <c r="I107" s="779"/>
      <c r="J107" s="947">
        <f t="shared" si="386"/>
        <v>0</v>
      </c>
      <c r="K107" s="1106"/>
      <c r="L107" s="1106"/>
      <c r="M107" s="778"/>
      <c r="N107" s="778"/>
      <c r="O107" s="1106"/>
      <c r="P107" s="1106"/>
      <c r="Q107" s="779"/>
      <c r="R107" s="947">
        <f t="shared" si="389"/>
        <v>0</v>
      </c>
      <c r="S107" s="1700"/>
      <c r="T107" s="2710"/>
      <c r="U107" s="779"/>
      <c r="V107" s="3269">
        <f t="shared" si="396"/>
        <v>0</v>
      </c>
      <c r="W107" s="1700"/>
      <c r="X107" s="1701"/>
      <c r="Y107" s="778"/>
      <c r="Z107" s="778"/>
      <c r="AA107" s="1014"/>
      <c r="AB107" s="784">
        <f t="shared" si="387"/>
        <v>0</v>
      </c>
      <c r="AC107" s="1700"/>
      <c r="AD107" s="2710"/>
      <c r="AE107" s="779"/>
      <c r="AF107" s="3615">
        <f t="shared" si="397"/>
        <v>0</v>
      </c>
      <c r="AG107" s="1700"/>
      <c r="AH107" s="2710"/>
      <c r="AI107" s="779"/>
      <c r="AJ107" s="3615">
        <f t="shared" si="398"/>
        <v>0</v>
      </c>
      <c r="AK107" s="1700"/>
      <c r="AL107" s="2710"/>
      <c r="AM107" s="778"/>
      <c r="AN107" s="778"/>
      <c r="AO107" s="779"/>
      <c r="AP107" s="3615">
        <f t="shared" si="388"/>
        <v>0</v>
      </c>
      <c r="AQ107" s="1700"/>
      <c r="AR107" s="2710"/>
      <c r="AS107" s="779"/>
      <c r="AT107" s="3615">
        <f t="shared" si="399"/>
        <v>0</v>
      </c>
      <c r="AU107" s="1700"/>
      <c r="AV107" s="2710"/>
      <c r="AW107" s="779"/>
      <c r="AX107" s="3615">
        <f t="shared" si="400"/>
        <v>0</v>
      </c>
      <c r="AY107" s="1700"/>
      <c r="AZ107" s="2710"/>
      <c r="BA107" s="778"/>
      <c r="BB107" s="778"/>
      <c r="BC107" s="1014"/>
      <c r="BD107" s="564">
        <f t="shared" si="385"/>
        <v>0</v>
      </c>
      <c r="BE107" s="779"/>
      <c r="BF107" s="3615">
        <f t="shared" si="401"/>
        <v>0</v>
      </c>
      <c r="BG107" s="147"/>
      <c r="BH107" s="147"/>
      <c r="BI107" s="147"/>
      <c r="BJ107" s="147"/>
    </row>
    <row r="108" spans="1:62" s="659" customFormat="1" ht="18.75" x14ac:dyDescent="0.3">
      <c r="A108" s="780"/>
      <c r="B108" s="1020" t="s">
        <v>960</v>
      </c>
      <c r="C108" s="1016" t="s">
        <v>52</v>
      </c>
      <c r="D108" s="2286"/>
      <c r="E108" s="2286"/>
      <c r="F108" s="657">
        <v>8946.056076210094</v>
      </c>
      <c r="G108" s="2286"/>
      <c r="H108" s="657">
        <v>7783.5133150882002</v>
      </c>
      <c r="I108" s="1407"/>
      <c r="J108" s="782">
        <f t="shared" si="386"/>
        <v>16729.569391298293</v>
      </c>
      <c r="K108" s="2286"/>
      <c r="L108" s="657">
        <v>9334.9840612713833</v>
      </c>
      <c r="M108" s="783"/>
      <c r="N108" s="3591">
        <f>+F108+H108+L108</f>
        <v>26064.553452569678</v>
      </c>
      <c r="O108" s="2286"/>
      <c r="P108" s="657">
        <v>12167.594876685498</v>
      </c>
      <c r="Q108" s="1407"/>
      <c r="R108" s="782">
        <f>+N108+P108</f>
        <v>38232.148329255178</v>
      </c>
      <c r="S108" s="2074"/>
      <c r="T108" s="2712">
        <v>12751.630794810337</v>
      </c>
      <c r="U108" s="1407"/>
      <c r="V108" s="3271">
        <f>+R108+T108</f>
        <v>50983.779124065513</v>
      </c>
      <c r="W108" s="2074"/>
      <c r="X108" s="1703">
        <v>11960.427076224172</v>
      </c>
      <c r="Y108" s="783"/>
      <c r="Z108" s="3591">
        <f>+P108+T108+X108</f>
        <v>36879.652747720007</v>
      </c>
      <c r="AA108" s="1409"/>
      <c r="AB108" s="784">
        <f>+N108+Z108</f>
        <v>62944.206200289686</v>
      </c>
      <c r="AC108" s="2074"/>
      <c r="AD108" s="2712">
        <v>12348.236827887</v>
      </c>
      <c r="AE108" s="1407"/>
      <c r="AF108" s="4074">
        <f>+AB108+AD108</f>
        <v>75292.443028176684</v>
      </c>
      <c r="AG108" s="2074"/>
      <c r="AH108" s="2712">
        <v>10796.335759606125</v>
      </c>
      <c r="AI108" s="1407"/>
      <c r="AJ108" s="4183">
        <f>+AF108+AH108</f>
        <v>86088.778787782809</v>
      </c>
      <c r="AK108" s="2074"/>
      <c r="AL108" s="2712">
        <v>12210.667275536473</v>
      </c>
      <c r="AM108" s="4320"/>
      <c r="AN108" s="4320">
        <f>+AD108+AH108+AL108</f>
        <v>35355.239863029594</v>
      </c>
      <c r="AO108" s="1407"/>
      <c r="AP108" s="4319">
        <f t="shared" si="388"/>
        <v>98299.446063319279</v>
      </c>
      <c r="AQ108" s="2074"/>
      <c r="AR108" s="2712">
        <v>12742.66510978453</v>
      </c>
      <c r="AS108" s="1407"/>
      <c r="AT108" s="4423">
        <f>+AP108+AR108</f>
        <v>111042.11117310381</v>
      </c>
      <c r="AU108" s="2074"/>
      <c r="AV108" s="2712">
        <v>10464.707533539733</v>
      </c>
      <c r="AW108" s="1407"/>
      <c r="AX108" s="4655">
        <f>+AT108+AV108</f>
        <v>121506.81870664355</v>
      </c>
      <c r="AY108" s="2074"/>
      <c r="AZ108" s="2712">
        <v>10966.827970594521</v>
      </c>
      <c r="BA108" s="5046"/>
      <c r="BB108" s="5046">
        <f>+AR108+AV108+AZ108</f>
        <v>34174.200613918787</v>
      </c>
      <c r="BC108" s="1409"/>
      <c r="BD108" s="5721">
        <f t="shared" si="385"/>
        <v>69529.440476948381</v>
      </c>
      <c r="BE108" s="1407"/>
      <c r="BF108" s="5045">
        <f>+AX108+AZ108</f>
        <v>132473.64667723808</v>
      </c>
      <c r="BG108" s="147"/>
      <c r="BH108" s="147"/>
      <c r="BI108" s="147"/>
      <c r="BJ108" s="147"/>
    </row>
    <row r="109" spans="1:62" ht="18.75" hidden="1" customHeight="1" x14ac:dyDescent="0.25">
      <c r="A109" s="181"/>
      <c r="B109" s="336"/>
      <c r="C109" s="1018" t="s">
        <v>52</v>
      </c>
      <c r="D109" s="1106"/>
      <c r="E109" s="1106"/>
      <c r="F109" s="1106"/>
      <c r="G109" s="1106"/>
      <c r="H109" s="1106"/>
      <c r="I109" s="779"/>
      <c r="J109" s="947">
        <f t="shared" si="386"/>
        <v>0</v>
      </c>
      <c r="K109" s="1106"/>
      <c r="L109" s="1106"/>
      <c r="M109" s="778"/>
      <c r="N109" s="778"/>
      <c r="O109" s="1106"/>
      <c r="P109" s="1106"/>
      <c r="Q109" s="779"/>
      <c r="R109" s="947">
        <f t="shared" si="389"/>
        <v>0</v>
      </c>
      <c r="S109" s="1700"/>
      <c r="T109" s="2710"/>
      <c r="U109" s="779"/>
      <c r="V109" s="3269">
        <f t="shared" ref="V109" si="402">+R109+T109</f>
        <v>0</v>
      </c>
      <c r="W109" s="1700"/>
      <c r="X109" s="1701"/>
      <c r="Y109" s="778"/>
      <c r="Z109" s="778"/>
      <c r="AA109" s="1014"/>
      <c r="AB109" s="784">
        <f t="shared" si="387"/>
        <v>0</v>
      </c>
      <c r="AC109" s="1700"/>
      <c r="AD109" s="2710"/>
      <c r="AE109" s="779"/>
      <c r="AF109" s="3615">
        <f t="shared" ref="AF109" si="403">+AB109+AD109</f>
        <v>0</v>
      </c>
      <c r="AG109" s="1700"/>
      <c r="AH109" s="2710"/>
      <c r="AI109" s="779"/>
      <c r="AJ109" s="3615">
        <f t="shared" ref="AJ109" si="404">+AF109+AH109</f>
        <v>0</v>
      </c>
      <c r="AK109" s="1700"/>
      <c r="AL109" s="2710"/>
      <c r="AM109" s="778"/>
      <c r="AN109" s="778"/>
      <c r="AO109" s="779"/>
      <c r="AP109" s="3615">
        <f t="shared" si="388"/>
        <v>0</v>
      </c>
      <c r="AQ109" s="1700"/>
      <c r="AR109" s="2710"/>
      <c r="AS109" s="779"/>
      <c r="AT109" s="3615">
        <f t="shared" ref="AT109" si="405">+AP109+AR109</f>
        <v>0</v>
      </c>
      <c r="AU109" s="1700"/>
      <c r="AV109" s="2710"/>
      <c r="AW109" s="779"/>
      <c r="AX109" s="3615">
        <f t="shared" ref="AX109" si="406">+AT109+AV109</f>
        <v>0</v>
      </c>
      <c r="AY109" s="1700"/>
      <c r="AZ109" s="2710"/>
      <c r="BA109" s="778"/>
      <c r="BB109" s="778"/>
      <c r="BC109" s="1014"/>
      <c r="BD109" s="564">
        <f t="shared" si="385"/>
        <v>0</v>
      </c>
      <c r="BE109" s="779"/>
      <c r="BF109" s="3615">
        <f t="shared" ref="BF109" si="407">+AX109+AZ109</f>
        <v>0</v>
      </c>
      <c r="BG109" s="147"/>
      <c r="BH109" s="147"/>
      <c r="BI109" s="147"/>
      <c r="BJ109" s="147"/>
    </row>
    <row r="110" spans="1:62" ht="18.75" hidden="1" customHeight="1" x14ac:dyDescent="0.25">
      <c r="A110" s="181"/>
      <c r="B110" s="1020"/>
      <c r="C110" s="1018" t="s">
        <v>52</v>
      </c>
      <c r="D110" s="1106"/>
      <c r="E110" s="1106"/>
      <c r="F110" s="1106"/>
      <c r="G110" s="1106"/>
      <c r="H110" s="1106"/>
      <c r="I110" s="779"/>
      <c r="J110" s="779"/>
      <c r="K110" s="1106"/>
      <c r="L110" s="1106"/>
      <c r="M110" s="778"/>
      <c r="N110" s="778"/>
      <c r="O110" s="1106"/>
      <c r="P110" s="1106"/>
      <c r="Q110" s="779"/>
      <c r="R110" s="779"/>
      <c r="S110" s="1700"/>
      <c r="T110" s="2710"/>
      <c r="U110" s="779"/>
      <c r="V110" s="779"/>
      <c r="W110" s="1700"/>
      <c r="X110" s="1701"/>
      <c r="Y110" s="778"/>
      <c r="Z110" s="778"/>
      <c r="AA110" s="1014"/>
      <c r="AB110" s="784">
        <f t="shared" si="387"/>
        <v>0</v>
      </c>
      <c r="AC110" s="1700"/>
      <c r="AD110" s="2710"/>
      <c r="AE110" s="779"/>
      <c r="AF110" s="779"/>
      <c r="AG110" s="1700"/>
      <c r="AH110" s="2710"/>
      <c r="AI110" s="779"/>
      <c r="AJ110" s="779"/>
      <c r="AK110" s="1700"/>
      <c r="AL110" s="2710"/>
      <c r="AM110" s="778"/>
      <c r="AN110" s="778"/>
      <c r="AO110" s="779"/>
      <c r="AP110" s="779">
        <f t="shared" si="388"/>
        <v>0</v>
      </c>
      <c r="AQ110" s="1700"/>
      <c r="AR110" s="2710"/>
      <c r="AS110" s="779"/>
      <c r="AT110" s="779"/>
      <c r="AU110" s="1700"/>
      <c r="AV110" s="2710"/>
      <c r="AW110" s="779"/>
      <c r="AX110" s="779"/>
      <c r="AY110" s="1700"/>
      <c r="AZ110" s="2710"/>
      <c r="BA110" s="778"/>
      <c r="BB110" s="778"/>
      <c r="BC110" s="1014"/>
      <c r="BD110" s="564">
        <f t="shared" si="385"/>
        <v>0</v>
      </c>
      <c r="BE110" s="779"/>
      <c r="BF110" s="779"/>
      <c r="BG110" s="147"/>
      <c r="BH110" s="147"/>
      <c r="BI110" s="147"/>
      <c r="BJ110" s="147"/>
    </row>
    <row r="111" spans="1:62" s="659" customFormat="1" ht="18.75" x14ac:dyDescent="0.3">
      <c r="A111" s="780"/>
      <c r="B111" s="1020" t="s">
        <v>128</v>
      </c>
      <c r="C111" s="1016" t="s">
        <v>52</v>
      </c>
      <c r="D111" s="2286"/>
      <c r="E111" s="2286"/>
      <c r="F111" s="748">
        <v>32880.307692307695</v>
      </c>
      <c r="G111" s="2286"/>
      <c r="H111" s="748">
        <v>25479.890109890115</v>
      </c>
      <c r="I111" s="782"/>
      <c r="J111" s="782">
        <f>+F111+H111</f>
        <v>58360.197802197814</v>
      </c>
      <c r="K111" s="2286"/>
      <c r="L111" s="748">
        <v>26079.406593406602</v>
      </c>
      <c r="M111" s="783"/>
      <c r="N111" s="3591">
        <f>+F111+H111+L111</f>
        <v>84439.604395604416</v>
      </c>
      <c r="O111" s="2286"/>
      <c r="P111" s="748">
        <v>34101.888131868123</v>
      </c>
      <c r="Q111" s="782"/>
      <c r="R111" s="782">
        <f>+N111+P111</f>
        <v>118541.49252747254</v>
      </c>
      <c r="S111" s="2074"/>
      <c r="T111" s="2711">
        <v>32465.235164835158</v>
      </c>
      <c r="U111" s="3271"/>
      <c r="V111" s="3271">
        <f>+R111+T111</f>
        <v>151006.7276923077</v>
      </c>
      <c r="W111" s="2074"/>
      <c r="X111" s="306">
        <v>33665.048351648351</v>
      </c>
      <c r="Y111" s="783"/>
      <c r="Z111" s="3591">
        <f>+P111+T111+X111</f>
        <v>100232.17164835164</v>
      </c>
      <c r="AA111" s="784"/>
      <c r="AB111" s="784">
        <f>+N111+Z111</f>
        <v>184671.77604395605</v>
      </c>
      <c r="AC111" s="2074"/>
      <c r="AD111" s="2711">
        <v>38628.070329670329</v>
      </c>
      <c r="AE111" s="4074"/>
      <c r="AF111" s="4074">
        <f>+AB111+AD111</f>
        <v>223299.84637362638</v>
      </c>
      <c r="AG111" s="2074"/>
      <c r="AH111" s="2711">
        <v>28385.165934065939</v>
      </c>
      <c r="AI111" s="4183"/>
      <c r="AJ111" s="4183">
        <f>+AF111+AH111</f>
        <v>251685.01230769232</v>
      </c>
      <c r="AK111" s="2074"/>
      <c r="AL111" s="2711">
        <v>33283.028791208788</v>
      </c>
      <c r="AM111" s="4320"/>
      <c r="AN111" s="4320">
        <f>+AD111+AH111+AL111</f>
        <v>100296.26505494505</v>
      </c>
      <c r="AO111" s="4319"/>
      <c r="AP111" s="4319">
        <f t="shared" si="388"/>
        <v>284968.04109890113</v>
      </c>
      <c r="AQ111" s="2074"/>
      <c r="AR111" s="2711">
        <v>36742.722747252752</v>
      </c>
      <c r="AS111" s="4423"/>
      <c r="AT111" s="4423">
        <f>+AP111+AR111</f>
        <v>321710.76384615386</v>
      </c>
      <c r="AU111" s="2074"/>
      <c r="AV111" s="2711">
        <v>36468.377142857142</v>
      </c>
      <c r="AW111" s="4655"/>
      <c r="AX111" s="4655">
        <f>+AT111+AV111</f>
        <v>358179.14098901098</v>
      </c>
      <c r="AY111" s="2074"/>
      <c r="AZ111" s="2711">
        <v>33141.653318681318</v>
      </c>
      <c r="BA111" s="5046"/>
      <c r="BB111" s="5046">
        <f>+AR111+AV111+AZ111</f>
        <v>106352.75320879121</v>
      </c>
      <c r="BC111" s="784"/>
      <c r="BD111" s="784">
        <f t="shared" si="385"/>
        <v>206649.01826373627</v>
      </c>
      <c r="BE111" s="5045"/>
      <c r="BF111" s="5045">
        <f>+AX111+AZ111</f>
        <v>391320.79430769233</v>
      </c>
      <c r="BG111" s="147"/>
      <c r="BH111" s="147"/>
      <c r="BI111" s="147"/>
      <c r="BJ111" s="147"/>
    </row>
    <row r="112" spans="1:62" ht="18.75" hidden="1" customHeight="1" x14ac:dyDescent="0.25">
      <c r="A112" s="181"/>
      <c r="B112" s="1017" t="s">
        <v>874</v>
      </c>
      <c r="C112" s="1018" t="s">
        <v>52</v>
      </c>
      <c r="D112" s="1106"/>
      <c r="E112" s="1106"/>
      <c r="F112" s="1415"/>
      <c r="G112" s="1106"/>
      <c r="H112" s="1415"/>
      <c r="I112" s="451"/>
      <c r="J112" s="782">
        <f t="shared" ref="J112:J122" si="408">+F112+H112</f>
        <v>0</v>
      </c>
      <c r="K112" s="1106"/>
      <c r="L112" s="1415"/>
      <c r="M112" s="1021"/>
      <c r="N112" s="453">
        <v>3</v>
      </c>
      <c r="O112" s="1106"/>
      <c r="P112" s="1415"/>
      <c r="Q112" s="451"/>
      <c r="R112" s="451">
        <v>3</v>
      </c>
      <c r="S112" s="1700"/>
      <c r="T112" s="2703"/>
      <c r="U112" s="3273"/>
      <c r="V112" s="3273">
        <v>3</v>
      </c>
      <c r="W112" s="1700"/>
      <c r="X112" s="197"/>
      <c r="Y112" s="1021"/>
      <c r="Z112" s="453">
        <v>3</v>
      </c>
      <c r="AA112" s="588"/>
      <c r="AB112" s="784">
        <f t="shared" si="387"/>
        <v>3</v>
      </c>
      <c r="AC112" s="1700"/>
      <c r="AD112" s="2703"/>
      <c r="AE112" s="3313"/>
      <c r="AF112" s="3313">
        <v>3</v>
      </c>
      <c r="AG112" s="1700"/>
      <c r="AH112" s="2703"/>
      <c r="AI112" s="3313"/>
      <c r="AJ112" s="3313">
        <v>3</v>
      </c>
      <c r="AK112" s="1700"/>
      <c r="AL112" s="2703"/>
      <c r="AM112" s="1021"/>
      <c r="AN112" s="3402">
        <v>3</v>
      </c>
      <c r="AO112" s="3313"/>
      <c r="AP112" s="3313">
        <f t="shared" si="388"/>
        <v>3</v>
      </c>
      <c r="AQ112" s="1700"/>
      <c r="AR112" s="2703"/>
      <c r="AS112" s="3313"/>
      <c r="AT112" s="3313">
        <v>3</v>
      </c>
      <c r="AU112" s="1700"/>
      <c r="AV112" s="2703"/>
      <c r="AW112" s="3313"/>
      <c r="AX112" s="3313">
        <v>3</v>
      </c>
      <c r="AY112" s="1700"/>
      <c r="AZ112" s="2703"/>
      <c r="BA112" s="1021"/>
      <c r="BB112" s="3402">
        <v>3</v>
      </c>
      <c r="BC112" s="3401"/>
      <c r="BD112" s="5711">
        <f t="shared" si="385"/>
        <v>6</v>
      </c>
      <c r="BE112" s="3313"/>
      <c r="BF112" s="3313">
        <v>3</v>
      </c>
      <c r="BG112" s="147"/>
      <c r="BH112" s="147"/>
      <c r="BI112" s="147"/>
      <c r="BJ112" s="147"/>
    </row>
    <row r="113" spans="1:62" ht="18.75" hidden="1" customHeight="1" x14ac:dyDescent="0.25">
      <c r="A113" s="181"/>
      <c r="B113" s="1017" t="s">
        <v>874</v>
      </c>
      <c r="C113" s="1018" t="s">
        <v>52</v>
      </c>
      <c r="D113" s="1106"/>
      <c r="E113" s="1106"/>
      <c r="F113" s="1411"/>
      <c r="G113" s="1106"/>
      <c r="H113" s="1411"/>
      <c r="I113" s="947"/>
      <c r="J113" s="782">
        <f t="shared" si="408"/>
        <v>0</v>
      </c>
      <c r="K113" s="1106"/>
      <c r="L113" s="1411"/>
      <c r="M113" s="454"/>
      <c r="N113" s="946">
        <f>+N112*N111/(100-N112)</f>
        <v>2611.5341565650851</v>
      </c>
      <c r="O113" s="1106"/>
      <c r="P113" s="1411"/>
      <c r="Q113" s="947"/>
      <c r="R113" s="947">
        <f>+R112*R111/(100-R112)</f>
        <v>3666.2317276537897</v>
      </c>
      <c r="S113" s="1700"/>
      <c r="T113" s="2697"/>
      <c r="U113" s="3269"/>
      <c r="V113" s="3269">
        <f>+V112*V111/(100-V112)</f>
        <v>4670.3111657414756</v>
      </c>
      <c r="W113" s="1700"/>
      <c r="X113" s="217"/>
      <c r="Y113" s="454"/>
      <c r="Z113" s="946">
        <f>+Z112*Z111/(100-Z112)</f>
        <v>3099.9640715985042</v>
      </c>
      <c r="AA113" s="558"/>
      <c r="AB113" s="784">
        <f t="shared" si="387"/>
        <v>4670.3111657414756</v>
      </c>
      <c r="AC113" s="1700"/>
      <c r="AD113" s="2697"/>
      <c r="AE113" s="3615"/>
      <c r="AF113" s="3615">
        <f>+AF112*AF111/(100-AF112)</f>
        <v>6906.1808156791667</v>
      </c>
      <c r="AG113" s="1700"/>
      <c r="AH113" s="2697"/>
      <c r="AI113" s="3615"/>
      <c r="AJ113" s="3615">
        <f>+AJ112*AJ111/(100-AJ112)</f>
        <v>7784.0725455987313</v>
      </c>
      <c r="AK113" s="1700"/>
      <c r="AL113" s="2697"/>
      <c r="AM113" s="454"/>
      <c r="AN113" s="4312">
        <f>+AN112*AN111/(100-AN112)</f>
        <v>3101.9463419055173</v>
      </c>
      <c r="AO113" s="3615"/>
      <c r="AP113" s="3615">
        <f t="shared" si="388"/>
        <v>7784.0725455987313</v>
      </c>
      <c r="AQ113" s="1700"/>
      <c r="AR113" s="2697"/>
      <c r="AS113" s="3615"/>
      <c r="AT113" s="3615">
        <f>+AT112*AT111/(100-AT112)</f>
        <v>9949.8174385408402</v>
      </c>
      <c r="AU113" s="1700"/>
      <c r="AV113" s="2697"/>
      <c r="AW113" s="3615"/>
      <c r="AX113" s="3615">
        <f>+AX112*AX111/(100-AX112)</f>
        <v>11077.705391412712</v>
      </c>
      <c r="AY113" s="1700"/>
      <c r="AZ113" s="2697"/>
      <c r="BA113" s="454"/>
      <c r="BB113" s="5036">
        <f>+BB112*BB111/(100-BB112)</f>
        <v>3289.2604085193161</v>
      </c>
      <c r="BC113" s="5038"/>
      <c r="BD113" s="5711">
        <f t="shared" si="385"/>
        <v>6391.2067504248334</v>
      </c>
      <c r="BE113" s="3615"/>
      <c r="BF113" s="3615">
        <f>+BF112*BF111/(100-BF112)</f>
        <v>12102.704978588421</v>
      </c>
      <c r="BG113" s="147"/>
      <c r="BH113" s="147"/>
      <c r="BI113" s="147"/>
      <c r="BJ113" s="147"/>
    </row>
    <row r="114" spans="1:62" ht="18.75" hidden="1" customHeight="1" x14ac:dyDescent="0.25">
      <c r="A114" s="181"/>
      <c r="B114" s="1017" t="s">
        <v>510</v>
      </c>
      <c r="C114" s="1018" t="s">
        <v>52</v>
      </c>
      <c r="D114" s="1106"/>
      <c r="E114" s="1106"/>
      <c r="F114" s="1411"/>
      <c r="G114" s="1106"/>
      <c r="H114" s="1411"/>
      <c r="I114" s="947"/>
      <c r="J114" s="782">
        <f t="shared" si="408"/>
        <v>0</v>
      </c>
      <c r="K114" s="1106"/>
      <c r="L114" s="1411"/>
      <c r="M114" s="454"/>
      <c r="N114" s="946">
        <f>+N111+N113</f>
        <v>87051.138552169505</v>
      </c>
      <c r="O114" s="1106"/>
      <c r="P114" s="1411"/>
      <c r="Q114" s="947"/>
      <c r="R114" s="947">
        <f>+R111+R113</f>
        <v>122207.72425512633</v>
      </c>
      <c r="S114" s="1700"/>
      <c r="T114" s="2697"/>
      <c r="U114" s="3269"/>
      <c r="V114" s="3269">
        <f>+V111+V113</f>
        <v>155677.03885804917</v>
      </c>
      <c r="W114" s="1700"/>
      <c r="X114" s="217"/>
      <c r="Y114" s="454"/>
      <c r="Z114" s="946">
        <f>+Z111+Z113</f>
        <v>103332.13571995014</v>
      </c>
      <c r="AA114" s="558"/>
      <c r="AB114" s="784">
        <f t="shared" si="387"/>
        <v>155677.03885804917</v>
      </c>
      <c r="AC114" s="1700"/>
      <c r="AD114" s="2697"/>
      <c r="AE114" s="3615"/>
      <c r="AF114" s="3615">
        <f>+AF111+AF113</f>
        <v>230206.02718930555</v>
      </c>
      <c r="AG114" s="1700"/>
      <c r="AH114" s="2697"/>
      <c r="AI114" s="3615"/>
      <c r="AJ114" s="3615">
        <f>+AJ111+AJ113</f>
        <v>259469.08485329105</v>
      </c>
      <c r="AK114" s="1700"/>
      <c r="AL114" s="2697"/>
      <c r="AM114" s="454"/>
      <c r="AN114" s="4312">
        <f>+AN111+AN113</f>
        <v>103398.21139685056</v>
      </c>
      <c r="AO114" s="3615"/>
      <c r="AP114" s="3615">
        <f t="shared" si="388"/>
        <v>259469.08485329105</v>
      </c>
      <c r="AQ114" s="1700"/>
      <c r="AR114" s="2697"/>
      <c r="AS114" s="3615"/>
      <c r="AT114" s="3615">
        <f>+AT111+AT113</f>
        <v>331660.58128469472</v>
      </c>
      <c r="AU114" s="1700"/>
      <c r="AV114" s="2697"/>
      <c r="AW114" s="3615"/>
      <c r="AX114" s="3615">
        <f>+AX111+AX113</f>
        <v>369256.8463804237</v>
      </c>
      <c r="AY114" s="1700"/>
      <c r="AZ114" s="2697"/>
      <c r="BA114" s="454"/>
      <c r="BB114" s="5036">
        <f>+BB111+BB113</f>
        <v>109642.01361731053</v>
      </c>
      <c r="BC114" s="5038"/>
      <c r="BD114" s="5711">
        <f t="shared" si="385"/>
        <v>213040.22501416109</v>
      </c>
      <c r="BE114" s="3615"/>
      <c r="BF114" s="3615">
        <f>+BF111+BF113</f>
        <v>403423.49928628077</v>
      </c>
      <c r="BG114" s="147"/>
      <c r="BH114" s="147"/>
      <c r="BI114" s="147"/>
      <c r="BJ114" s="147"/>
    </row>
    <row r="115" spans="1:62" ht="18.75" hidden="1" customHeight="1" x14ac:dyDescent="0.25">
      <c r="A115" s="181"/>
      <c r="B115" s="336"/>
      <c r="C115" s="1018" t="s">
        <v>52</v>
      </c>
      <c r="D115" s="1106"/>
      <c r="E115" s="1106"/>
      <c r="F115" s="1106"/>
      <c r="G115" s="1106"/>
      <c r="H115" s="1106"/>
      <c r="I115" s="779"/>
      <c r="J115" s="782">
        <f t="shared" si="408"/>
        <v>0</v>
      </c>
      <c r="K115" s="1106"/>
      <c r="L115" s="1106"/>
      <c r="M115" s="778"/>
      <c r="N115" s="778"/>
      <c r="O115" s="1106"/>
      <c r="P115" s="1106"/>
      <c r="Q115" s="779"/>
      <c r="R115" s="779"/>
      <c r="S115" s="1700"/>
      <c r="T115" s="2710"/>
      <c r="U115" s="779"/>
      <c r="V115" s="779"/>
      <c r="W115" s="1700"/>
      <c r="X115" s="1701"/>
      <c r="Y115" s="778"/>
      <c r="Z115" s="778"/>
      <c r="AA115" s="1014"/>
      <c r="AB115" s="784">
        <f t="shared" si="387"/>
        <v>0</v>
      </c>
      <c r="AC115" s="1700"/>
      <c r="AD115" s="2710"/>
      <c r="AE115" s="779"/>
      <c r="AF115" s="779"/>
      <c r="AG115" s="1700"/>
      <c r="AH115" s="2710"/>
      <c r="AI115" s="779"/>
      <c r="AJ115" s="779"/>
      <c r="AK115" s="1700"/>
      <c r="AL115" s="2710"/>
      <c r="AM115" s="778"/>
      <c r="AN115" s="778"/>
      <c r="AO115" s="779"/>
      <c r="AP115" s="779">
        <f t="shared" si="388"/>
        <v>0</v>
      </c>
      <c r="AQ115" s="1700"/>
      <c r="AR115" s="2710"/>
      <c r="AS115" s="779"/>
      <c r="AT115" s="779"/>
      <c r="AU115" s="1700"/>
      <c r="AV115" s="2710"/>
      <c r="AW115" s="779"/>
      <c r="AX115" s="779"/>
      <c r="AY115" s="1700"/>
      <c r="AZ115" s="2710"/>
      <c r="BA115" s="778"/>
      <c r="BB115" s="778"/>
      <c r="BC115" s="1014"/>
      <c r="BD115" s="564">
        <f t="shared" si="385"/>
        <v>0</v>
      </c>
      <c r="BE115" s="779"/>
      <c r="BF115" s="779"/>
      <c r="BG115" s="147"/>
      <c r="BH115" s="147"/>
      <c r="BI115" s="147"/>
      <c r="BJ115" s="147"/>
    </row>
    <row r="116" spans="1:62" ht="18.75" hidden="1" customHeight="1" x14ac:dyDescent="0.25">
      <c r="A116" s="181"/>
      <c r="B116" s="1020"/>
      <c r="C116" s="1018" t="s">
        <v>52</v>
      </c>
      <c r="D116" s="1106"/>
      <c r="E116" s="1106"/>
      <c r="F116" s="1106"/>
      <c r="G116" s="1106"/>
      <c r="H116" s="1106"/>
      <c r="I116" s="779"/>
      <c r="J116" s="782">
        <f t="shared" si="408"/>
        <v>0</v>
      </c>
      <c r="K116" s="1106"/>
      <c r="L116" s="1106"/>
      <c r="M116" s="778"/>
      <c r="N116" s="778"/>
      <c r="O116" s="1106"/>
      <c r="P116" s="1106"/>
      <c r="Q116" s="779"/>
      <c r="R116" s="779"/>
      <c r="S116" s="1700"/>
      <c r="T116" s="2710"/>
      <c r="U116" s="779"/>
      <c r="V116" s="779"/>
      <c r="W116" s="1700"/>
      <c r="X116" s="1701"/>
      <c r="Y116" s="778"/>
      <c r="Z116" s="778"/>
      <c r="AA116" s="1014"/>
      <c r="AB116" s="784">
        <f t="shared" si="387"/>
        <v>0</v>
      </c>
      <c r="AC116" s="1700"/>
      <c r="AD116" s="2710"/>
      <c r="AE116" s="779"/>
      <c r="AF116" s="779"/>
      <c r="AG116" s="1700"/>
      <c r="AH116" s="2710"/>
      <c r="AI116" s="779"/>
      <c r="AJ116" s="779"/>
      <c r="AK116" s="1700"/>
      <c r="AL116" s="2710"/>
      <c r="AM116" s="778"/>
      <c r="AN116" s="778"/>
      <c r="AO116" s="779"/>
      <c r="AP116" s="779">
        <f t="shared" si="388"/>
        <v>0</v>
      </c>
      <c r="AQ116" s="1700"/>
      <c r="AR116" s="2710"/>
      <c r="AS116" s="779"/>
      <c r="AT116" s="779"/>
      <c r="AU116" s="1700"/>
      <c r="AV116" s="2710"/>
      <c r="AW116" s="779"/>
      <c r="AX116" s="779"/>
      <c r="AY116" s="1700"/>
      <c r="AZ116" s="2710"/>
      <c r="BA116" s="778"/>
      <c r="BB116" s="778"/>
      <c r="BC116" s="1014"/>
      <c r="BD116" s="564">
        <f t="shared" si="385"/>
        <v>0</v>
      </c>
      <c r="BE116" s="779"/>
      <c r="BF116" s="779"/>
      <c r="BG116" s="147"/>
      <c r="BH116" s="147"/>
      <c r="BI116" s="147"/>
      <c r="BJ116" s="147"/>
    </row>
    <row r="117" spans="1:62" s="659" customFormat="1" ht="18.75" x14ac:dyDescent="0.3">
      <c r="A117" s="780"/>
      <c r="B117" s="1020" t="s">
        <v>20</v>
      </c>
      <c r="C117" s="1016" t="s">
        <v>52</v>
      </c>
      <c r="D117" s="2286"/>
      <c r="E117" s="2286"/>
      <c r="F117" s="657">
        <v>306770</v>
      </c>
      <c r="G117" s="2286"/>
      <c r="H117" s="657">
        <v>253997</v>
      </c>
      <c r="I117" s="1407"/>
      <c r="J117" s="782">
        <f t="shared" si="408"/>
        <v>560767</v>
      </c>
      <c r="K117" s="2286"/>
      <c r="L117" s="748">
        <v>267188.8</v>
      </c>
      <c r="M117" s="783"/>
      <c r="N117" s="3591">
        <f>+F117+H117+L117</f>
        <v>827955.8</v>
      </c>
      <c r="O117" s="2286"/>
      <c r="P117" s="748">
        <v>316727.7</v>
      </c>
      <c r="Q117" s="1407"/>
      <c r="R117" s="782">
        <f>+N117+P117</f>
        <v>1144683.5</v>
      </c>
      <c r="S117" s="2074"/>
      <c r="T117" s="2712">
        <v>320208</v>
      </c>
      <c r="U117" s="1407"/>
      <c r="V117" s="3271">
        <f>+R117+T117</f>
        <v>1464891.5</v>
      </c>
      <c r="W117" s="2074"/>
      <c r="X117" s="1703">
        <v>306847.2</v>
      </c>
      <c r="Y117" s="783"/>
      <c r="Z117" s="3591">
        <f>+P117+T117+X117</f>
        <v>943782.89999999991</v>
      </c>
      <c r="AA117" s="1409"/>
      <c r="AB117" s="784">
        <f>+N117+Z117</f>
        <v>1771738.7</v>
      </c>
      <c r="AC117" s="2074"/>
      <c r="AD117" s="2712">
        <v>321670</v>
      </c>
      <c r="AE117" s="1407"/>
      <c r="AF117" s="4074">
        <f>+AB117+AD117</f>
        <v>2093408.7</v>
      </c>
      <c r="AG117" s="2074"/>
      <c r="AH117" s="2712">
        <v>279563.8</v>
      </c>
      <c r="AI117" s="1407"/>
      <c r="AJ117" s="4183">
        <f>+AF117+AH117</f>
        <v>2372972.5</v>
      </c>
      <c r="AK117" s="2074"/>
      <c r="AL117" s="2712">
        <v>305557</v>
      </c>
      <c r="AM117" s="4320"/>
      <c r="AN117" s="4320">
        <f>+AD117+AH117+AL117</f>
        <v>906790.8</v>
      </c>
      <c r="AO117" s="1407"/>
      <c r="AP117" s="4319">
        <f t="shared" si="388"/>
        <v>2678529.5</v>
      </c>
      <c r="AQ117" s="2074"/>
      <c r="AR117" s="2712">
        <v>300015</v>
      </c>
      <c r="AS117" s="1407"/>
      <c r="AT117" s="4423">
        <f>+AP117+AR117</f>
        <v>2978544.5</v>
      </c>
      <c r="AU117" s="2074"/>
      <c r="AV117" s="2712">
        <v>306930.7</v>
      </c>
      <c r="AW117" s="1407"/>
      <c r="AX117" s="4655">
        <f>+AT117+AV117</f>
        <v>3285475.2</v>
      </c>
      <c r="AY117" s="2074"/>
      <c r="AZ117" s="2712">
        <v>289175</v>
      </c>
      <c r="BA117" s="5046"/>
      <c r="BB117" s="5046">
        <f>+AR117+AV117+AZ117</f>
        <v>896120.7</v>
      </c>
      <c r="BC117" s="1409"/>
      <c r="BD117" s="5721">
        <f t="shared" si="385"/>
        <v>1802911.5</v>
      </c>
      <c r="BE117" s="1407"/>
      <c r="BF117" s="5045">
        <f>+AX117+AZ117</f>
        <v>3574650.2</v>
      </c>
      <c r="BG117" s="147"/>
      <c r="BH117" s="147"/>
      <c r="BI117" s="147"/>
      <c r="BJ117" s="147"/>
    </row>
    <row r="118" spans="1:62" ht="18.75" hidden="1" customHeight="1" x14ac:dyDescent="0.25">
      <c r="A118" s="181"/>
      <c r="B118" s="336"/>
      <c r="C118" s="1018" t="s">
        <v>52</v>
      </c>
      <c r="D118" s="1106"/>
      <c r="E118" s="1106"/>
      <c r="F118" s="1106"/>
      <c r="G118" s="1106"/>
      <c r="H118" s="1106"/>
      <c r="I118" s="779"/>
      <c r="J118" s="782">
        <f t="shared" si="408"/>
        <v>0</v>
      </c>
      <c r="K118" s="1106"/>
      <c r="L118" s="1106"/>
      <c r="M118" s="778"/>
      <c r="N118" s="778"/>
      <c r="O118" s="1106"/>
      <c r="P118" s="1106"/>
      <c r="Q118" s="779"/>
      <c r="R118" s="779"/>
      <c r="S118" s="1700"/>
      <c r="T118" s="2710"/>
      <c r="U118" s="779"/>
      <c r="V118" s="779"/>
      <c r="W118" s="1700"/>
      <c r="X118" s="1701"/>
      <c r="Y118" s="778"/>
      <c r="Z118" s="778"/>
      <c r="AA118" s="1014"/>
      <c r="AB118" s="784">
        <f t="shared" si="387"/>
        <v>0</v>
      </c>
      <c r="AC118" s="1700"/>
      <c r="AD118" s="2710"/>
      <c r="AE118" s="779"/>
      <c r="AF118" s="779"/>
      <c r="AG118" s="1700"/>
      <c r="AH118" s="2710"/>
      <c r="AI118" s="779"/>
      <c r="AJ118" s="779"/>
      <c r="AK118" s="1700"/>
      <c r="AL118" s="2710"/>
      <c r="AM118" s="778"/>
      <c r="AN118" s="778"/>
      <c r="AO118" s="779"/>
      <c r="AP118" s="779">
        <f t="shared" si="388"/>
        <v>0</v>
      </c>
      <c r="AQ118" s="1700"/>
      <c r="AR118" s="2710"/>
      <c r="AS118" s="779"/>
      <c r="AT118" s="779"/>
      <c r="AU118" s="1700"/>
      <c r="AV118" s="2710"/>
      <c r="AW118" s="779"/>
      <c r="AX118" s="779"/>
      <c r="AY118" s="1700"/>
      <c r="AZ118" s="2710"/>
      <c r="BA118" s="778"/>
      <c r="BB118" s="778"/>
      <c r="BC118" s="1014"/>
      <c r="BD118" s="564">
        <f t="shared" si="385"/>
        <v>0</v>
      </c>
      <c r="BE118" s="779"/>
      <c r="BF118" s="779"/>
      <c r="BG118" s="147"/>
      <c r="BH118" s="147"/>
      <c r="BI118" s="147"/>
      <c r="BJ118" s="147"/>
    </row>
    <row r="119" spans="1:62" ht="18.75" hidden="1" customHeight="1" x14ac:dyDescent="0.25">
      <c r="A119" s="181"/>
      <c r="B119" s="1020"/>
      <c r="C119" s="1018" t="s">
        <v>52</v>
      </c>
      <c r="D119" s="1106"/>
      <c r="E119" s="1106"/>
      <c r="F119" s="1106"/>
      <c r="G119" s="1106"/>
      <c r="H119" s="1106"/>
      <c r="I119" s="779"/>
      <c r="J119" s="782">
        <f t="shared" si="408"/>
        <v>0</v>
      </c>
      <c r="K119" s="1106"/>
      <c r="L119" s="1106"/>
      <c r="M119" s="778"/>
      <c r="N119" s="778"/>
      <c r="O119" s="1106"/>
      <c r="P119" s="1106"/>
      <c r="Q119" s="779"/>
      <c r="R119" s="779"/>
      <c r="S119" s="1700"/>
      <c r="T119" s="2710"/>
      <c r="U119" s="779"/>
      <c r="V119" s="779"/>
      <c r="W119" s="1700"/>
      <c r="X119" s="1701"/>
      <c r="Y119" s="778"/>
      <c r="Z119" s="778"/>
      <c r="AA119" s="1014"/>
      <c r="AB119" s="784">
        <f t="shared" si="387"/>
        <v>0</v>
      </c>
      <c r="AC119" s="1700"/>
      <c r="AD119" s="2710"/>
      <c r="AE119" s="779"/>
      <c r="AF119" s="779"/>
      <c r="AG119" s="1700"/>
      <c r="AH119" s="2710"/>
      <c r="AI119" s="779"/>
      <c r="AJ119" s="779"/>
      <c r="AK119" s="1700"/>
      <c r="AL119" s="2710"/>
      <c r="AM119" s="778"/>
      <c r="AN119" s="778"/>
      <c r="AO119" s="779"/>
      <c r="AP119" s="779">
        <f t="shared" si="388"/>
        <v>0</v>
      </c>
      <c r="AQ119" s="1700"/>
      <c r="AR119" s="2710"/>
      <c r="AS119" s="779"/>
      <c r="AT119" s="779"/>
      <c r="AU119" s="1700"/>
      <c r="AV119" s="2710"/>
      <c r="AW119" s="779"/>
      <c r="AX119" s="779"/>
      <c r="AY119" s="1700"/>
      <c r="AZ119" s="2710"/>
      <c r="BA119" s="778"/>
      <c r="BB119" s="778"/>
      <c r="BC119" s="1014"/>
      <c r="BD119" s="564">
        <f t="shared" si="385"/>
        <v>0</v>
      </c>
      <c r="BE119" s="779"/>
      <c r="BF119" s="779"/>
      <c r="BG119" s="147"/>
      <c r="BH119" s="147"/>
      <c r="BI119" s="147"/>
      <c r="BJ119" s="147"/>
    </row>
    <row r="120" spans="1:62" s="659" customFormat="1" ht="18.75" x14ac:dyDescent="0.3">
      <c r="A120" s="780"/>
      <c r="B120" s="1020" t="s">
        <v>961</v>
      </c>
      <c r="C120" s="1016" t="s">
        <v>52</v>
      </c>
      <c r="D120" s="2286"/>
      <c r="E120" s="2286"/>
      <c r="F120" s="657">
        <v>2086.1</v>
      </c>
      <c r="G120" s="2286"/>
      <c r="H120" s="657">
        <v>0</v>
      </c>
      <c r="I120" s="1407"/>
      <c r="J120" s="782">
        <f t="shared" si="408"/>
        <v>2086.1</v>
      </c>
      <c r="K120" s="2286"/>
      <c r="L120" s="657">
        <v>3238.3</v>
      </c>
      <c r="M120" s="783"/>
      <c r="N120" s="3591">
        <f>+F120+H120+L120</f>
        <v>5324.4</v>
      </c>
      <c r="O120" s="2286"/>
      <c r="P120" s="657">
        <v>34</v>
      </c>
      <c r="Q120" s="1407"/>
      <c r="R120" s="782">
        <f>+N120+P120</f>
        <v>5358.4</v>
      </c>
      <c r="S120" s="2074"/>
      <c r="T120" s="2712">
        <v>0</v>
      </c>
      <c r="U120" s="1407"/>
      <c r="V120" s="3271">
        <f>+R120+T120</f>
        <v>5358.4</v>
      </c>
      <c r="W120" s="2074"/>
      <c r="X120" s="1703">
        <v>1.5</v>
      </c>
      <c r="Y120" s="783"/>
      <c r="Z120" s="3591">
        <f>+P120+T120+X120</f>
        <v>35.5</v>
      </c>
      <c r="AA120" s="1409"/>
      <c r="AB120" s="784">
        <f>+N120+Z120</f>
        <v>5359.9</v>
      </c>
      <c r="AC120" s="2074"/>
      <c r="AD120" s="2712">
        <v>0</v>
      </c>
      <c r="AE120" s="1407"/>
      <c r="AF120" s="4074">
        <f>+AB120+AD120</f>
        <v>5359.9</v>
      </c>
      <c r="AG120" s="2074"/>
      <c r="AH120" s="2712">
        <v>86</v>
      </c>
      <c r="AI120" s="1407"/>
      <c r="AJ120" s="4183">
        <f>+AF120+AH120</f>
        <v>5445.9</v>
      </c>
      <c r="AK120" s="2074"/>
      <c r="AL120" s="2712">
        <v>0</v>
      </c>
      <c r="AM120" s="4320"/>
      <c r="AN120" s="4320">
        <f>+AD120+AH120+AL120</f>
        <v>86</v>
      </c>
      <c r="AO120" s="1407"/>
      <c r="AP120" s="4319">
        <f t="shared" si="388"/>
        <v>5445.9</v>
      </c>
      <c r="AQ120" s="2074"/>
      <c r="AR120" s="2712">
        <v>2118.1000000000004</v>
      </c>
      <c r="AS120" s="1407"/>
      <c r="AT120" s="4423">
        <f>+AP120+AR120</f>
        <v>7564</v>
      </c>
      <c r="AU120" s="2074"/>
      <c r="AV120" s="2712">
        <v>205.39999999999998</v>
      </c>
      <c r="AW120" s="1407"/>
      <c r="AX120" s="4655">
        <f>+AT120+AV120</f>
        <v>7769.4</v>
      </c>
      <c r="AY120" s="2074"/>
      <c r="AZ120" s="2712">
        <v>0</v>
      </c>
      <c r="BA120" s="5046"/>
      <c r="BB120" s="5046">
        <f>+AR120+AV120+AZ120</f>
        <v>2323.5000000000005</v>
      </c>
      <c r="BC120" s="1409"/>
      <c r="BD120" s="5721">
        <f t="shared" si="385"/>
        <v>2409.5000000000005</v>
      </c>
      <c r="BE120" s="1407"/>
      <c r="BF120" s="5045">
        <f>+AX120+AZ120</f>
        <v>7769.4</v>
      </c>
      <c r="BG120" s="147"/>
      <c r="BH120" s="147"/>
      <c r="BI120" s="147"/>
      <c r="BJ120" s="147"/>
    </row>
    <row r="121" spans="1:62" ht="18.75" hidden="1" customHeight="1" x14ac:dyDescent="0.25">
      <c r="A121" s="181"/>
      <c r="B121" s="336"/>
      <c r="C121" s="1018" t="s">
        <v>52</v>
      </c>
      <c r="D121" s="1106"/>
      <c r="E121" s="1106"/>
      <c r="F121" s="1106"/>
      <c r="G121" s="1106"/>
      <c r="H121" s="1106"/>
      <c r="I121" s="779"/>
      <c r="J121" s="782">
        <f t="shared" si="408"/>
        <v>0</v>
      </c>
      <c r="K121" s="1106"/>
      <c r="L121" s="1106"/>
      <c r="M121" s="778"/>
      <c r="N121" s="778"/>
      <c r="O121" s="1106"/>
      <c r="P121" s="1106"/>
      <c r="Q121" s="779"/>
      <c r="R121" s="779"/>
      <c r="S121" s="1700"/>
      <c r="T121" s="2710"/>
      <c r="U121" s="779"/>
      <c r="V121" s="779"/>
      <c r="W121" s="1700"/>
      <c r="X121" s="1701"/>
      <c r="Y121" s="778"/>
      <c r="Z121" s="778"/>
      <c r="AA121" s="1014"/>
      <c r="AB121" s="784">
        <f t="shared" si="387"/>
        <v>0</v>
      </c>
      <c r="AC121" s="1700"/>
      <c r="AD121" s="2710"/>
      <c r="AE121" s="779"/>
      <c r="AF121" s="779"/>
      <c r="AG121" s="1700"/>
      <c r="AH121" s="2710"/>
      <c r="AI121" s="779"/>
      <c r="AJ121" s="779"/>
      <c r="AK121" s="1700"/>
      <c r="AL121" s="2710"/>
      <c r="AM121" s="778"/>
      <c r="AN121" s="778"/>
      <c r="AO121" s="779"/>
      <c r="AP121" s="779">
        <f t="shared" si="388"/>
        <v>0</v>
      </c>
      <c r="AQ121" s="1700"/>
      <c r="AR121" s="2710"/>
      <c r="AS121" s="779"/>
      <c r="AT121" s="779"/>
      <c r="AU121" s="1700"/>
      <c r="AV121" s="2710"/>
      <c r="AW121" s="779"/>
      <c r="AX121" s="779"/>
      <c r="AY121" s="1700"/>
      <c r="AZ121" s="2710"/>
      <c r="BA121" s="778"/>
      <c r="BB121" s="778"/>
      <c r="BC121" s="1014"/>
      <c r="BD121" s="564">
        <f t="shared" si="385"/>
        <v>0</v>
      </c>
      <c r="BE121" s="779"/>
      <c r="BF121" s="779"/>
      <c r="BG121" s="147"/>
      <c r="BH121" s="147"/>
      <c r="BI121" s="147"/>
      <c r="BJ121" s="147"/>
    </row>
    <row r="122" spans="1:62" ht="18.75" hidden="1" customHeight="1" x14ac:dyDescent="0.25">
      <c r="A122" s="181"/>
      <c r="B122" s="1020"/>
      <c r="C122" s="1018" t="s">
        <v>52</v>
      </c>
      <c r="D122" s="1106"/>
      <c r="E122" s="1106"/>
      <c r="F122" s="1106"/>
      <c r="G122" s="1106"/>
      <c r="H122" s="1106"/>
      <c r="I122" s="779"/>
      <c r="J122" s="782">
        <f t="shared" si="408"/>
        <v>0</v>
      </c>
      <c r="K122" s="1106"/>
      <c r="L122" s="1106"/>
      <c r="M122" s="778"/>
      <c r="N122" s="778"/>
      <c r="O122" s="1106"/>
      <c r="P122" s="1106"/>
      <c r="Q122" s="779"/>
      <c r="R122" s="779"/>
      <c r="S122" s="1700"/>
      <c r="T122" s="2710"/>
      <c r="U122" s="779"/>
      <c r="V122" s="779"/>
      <c r="W122" s="1700"/>
      <c r="X122" s="1701"/>
      <c r="Y122" s="778"/>
      <c r="Z122" s="778"/>
      <c r="AA122" s="1014"/>
      <c r="AB122" s="784">
        <f t="shared" si="387"/>
        <v>0</v>
      </c>
      <c r="AC122" s="1700"/>
      <c r="AD122" s="2710"/>
      <c r="AE122" s="779"/>
      <c r="AF122" s="779"/>
      <c r="AG122" s="1700"/>
      <c r="AH122" s="2710"/>
      <c r="AI122" s="779"/>
      <c r="AJ122" s="779"/>
      <c r="AK122" s="1700"/>
      <c r="AL122" s="2710"/>
      <c r="AM122" s="778"/>
      <c r="AN122" s="778"/>
      <c r="AO122" s="779"/>
      <c r="AP122" s="779">
        <f t="shared" si="388"/>
        <v>0</v>
      </c>
      <c r="AQ122" s="1700"/>
      <c r="AR122" s="2710"/>
      <c r="AS122" s="779"/>
      <c r="AT122" s="779"/>
      <c r="AU122" s="1700"/>
      <c r="AV122" s="2710"/>
      <c r="AW122" s="779"/>
      <c r="AX122" s="779"/>
      <c r="AY122" s="1700"/>
      <c r="AZ122" s="2710"/>
      <c r="BA122" s="778"/>
      <c r="BB122" s="778"/>
      <c r="BC122" s="1014"/>
      <c r="BD122" s="564">
        <f t="shared" si="385"/>
        <v>0</v>
      </c>
      <c r="BE122" s="779"/>
      <c r="BF122" s="779"/>
      <c r="BG122" s="147"/>
      <c r="BH122" s="147"/>
      <c r="BI122" s="147"/>
      <c r="BJ122" s="147"/>
    </row>
    <row r="123" spans="1:62" s="659" customFormat="1" ht="19.5" thickBot="1" x14ac:dyDescent="0.35">
      <c r="A123" s="780"/>
      <c r="B123" s="1020" t="s">
        <v>6</v>
      </c>
      <c r="C123" s="1016" t="s">
        <v>52</v>
      </c>
      <c r="D123" s="2286"/>
      <c r="E123" s="2286"/>
      <c r="F123" s="748">
        <v>885.70000000000027</v>
      </c>
      <c r="G123" s="2286"/>
      <c r="H123" s="748">
        <v>2913.3999999999996</v>
      </c>
      <c r="I123" s="782"/>
      <c r="J123" s="782">
        <f>+F123+H123</f>
        <v>3799.1</v>
      </c>
      <c r="K123" s="2286"/>
      <c r="L123" s="748">
        <v>4879.3999999999996</v>
      </c>
      <c r="M123" s="783"/>
      <c r="N123" s="3591">
        <f>+F123+H123+L123</f>
        <v>8678.5</v>
      </c>
      <c r="O123" s="2286"/>
      <c r="P123" s="748">
        <v>3322.400000000001</v>
      </c>
      <c r="Q123" s="782"/>
      <c r="R123" s="782">
        <f>+N123+P123</f>
        <v>12000.900000000001</v>
      </c>
      <c r="S123" s="2075"/>
      <c r="T123" s="2713">
        <v>3853.0999999999995</v>
      </c>
      <c r="U123" s="3271"/>
      <c r="V123" s="3271">
        <f>+R123+T123</f>
        <v>15854</v>
      </c>
      <c r="W123" s="2075"/>
      <c r="X123" s="297">
        <v>2743.6999999999994</v>
      </c>
      <c r="Y123" s="783"/>
      <c r="Z123" s="3591">
        <f>+P123+T123+X123</f>
        <v>9919.1999999999989</v>
      </c>
      <c r="AA123" s="784"/>
      <c r="AB123" s="784">
        <f>+N123+Z123</f>
        <v>18597.699999999997</v>
      </c>
      <c r="AC123" s="2075"/>
      <c r="AD123" s="2713">
        <v>3469.7999999999997</v>
      </c>
      <c r="AE123" s="4074"/>
      <c r="AF123" s="4074">
        <f>+AB123+AD123</f>
        <v>22067.499999999996</v>
      </c>
      <c r="AG123" s="2075"/>
      <c r="AH123" s="2713">
        <v>3587.8000000000011</v>
      </c>
      <c r="AI123" s="4183"/>
      <c r="AJ123" s="4183">
        <f>+AF123+AH123</f>
        <v>25655.299999999996</v>
      </c>
      <c r="AK123" s="2075"/>
      <c r="AL123" s="2713">
        <v>4736.8999999999996</v>
      </c>
      <c r="AM123" s="4320"/>
      <c r="AN123" s="4320">
        <f>+AD123+AH123+AL123</f>
        <v>11794.5</v>
      </c>
      <c r="AO123" s="4319"/>
      <c r="AP123" s="4319">
        <f t="shared" si="388"/>
        <v>30392.199999999997</v>
      </c>
      <c r="AQ123" s="2075"/>
      <c r="AR123" s="2713">
        <v>5167.4999999999991</v>
      </c>
      <c r="AS123" s="4423"/>
      <c r="AT123" s="4423">
        <f>+AP123+AR123</f>
        <v>35559.699999999997</v>
      </c>
      <c r="AU123" s="2075"/>
      <c r="AV123" s="2713">
        <v>4504.2000000000007</v>
      </c>
      <c r="AW123" s="4655"/>
      <c r="AX123" s="4655">
        <f>+AT123+AV123</f>
        <v>40063.899999999994</v>
      </c>
      <c r="AY123" s="2075"/>
      <c r="AZ123" s="2713">
        <v>3418</v>
      </c>
      <c r="BA123" s="5046"/>
      <c r="BB123" s="5046">
        <f>+AR123+AV123+AZ123</f>
        <v>13089.7</v>
      </c>
      <c r="BC123" s="784"/>
      <c r="BD123" s="784">
        <f t="shared" si="385"/>
        <v>24884.2</v>
      </c>
      <c r="BE123" s="5045"/>
      <c r="BF123" s="5045">
        <f>+AX123+AZ123</f>
        <v>43481.899999999994</v>
      </c>
      <c r="BG123" s="147"/>
      <c r="BH123" s="147"/>
      <c r="BI123" s="147"/>
      <c r="BJ123" s="147"/>
    </row>
    <row r="124" spans="1:62" ht="15" hidden="1" customHeight="1" x14ac:dyDescent="0.25">
      <c r="A124" s="181"/>
      <c r="B124" s="1017" t="s">
        <v>874</v>
      </c>
      <c r="C124" s="1018" t="s">
        <v>52</v>
      </c>
      <c r="D124" s="1106"/>
      <c r="E124" s="1106"/>
      <c r="F124" s="1415"/>
      <c r="G124" s="1106"/>
      <c r="H124" s="1415"/>
      <c r="I124" s="451"/>
      <c r="J124" s="451">
        <v>1.25</v>
      </c>
      <c r="K124" s="1106"/>
      <c r="L124" s="1415"/>
      <c r="M124" s="1021"/>
      <c r="N124" s="453">
        <v>1.25</v>
      </c>
      <c r="O124" s="1106"/>
      <c r="P124" s="1415"/>
      <c r="Q124" s="451"/>
      <c r="R124" s="451">
        <v>1.25</v>
      </c>
      <c r="S124" s="1415"/>
      <c r="T124" s="2658">
        <v>1.25</v>
      </c>
      <c r="U124" s="3273"/>
      <c r="V124" s="3273">
        <v>1.25</v>
      </c>
      <c r="W124" s="1415"/>
      <c r="X124" s="1415"/>
      <c r="Y124" s="1021"/>
      <c r="Z124" s="453">
        <v>1.25</v>
      </c>
      <c r="AA124" s="588"/>
      <c r="AB124" s="588">
        <v>1.25</v>
      </c>
      <c r="AC124" s="1415"/>
      <c r="AD124" s="2658">
        <v>1.25</v>
      </c>
      <c r="AE124" s="3313"/>
      <c r="AF124" s="3313">
        <v>1.25</v>
      </c>
      <c r="AG124" s="1415"/>
      <c r="AH124" s="2658"/>
      <c r="AI124" s="3313"/>
      <c r="AJ124" s="3313">
        <v>1.25</v>
      </c>
      <c r="AK124" s="1415"/>
      <c r="AL124" s="2658"/>
      <c r="AM124" s="1021"/>
      <c r="AN124" s="3402">
        <v>1.25</v>
      </c>
      <c r="AO124" s="3313"/>
      <c r="AP124" s="3313">
        <f t="shared" si="388"/>
        <v>1.25</v>
      </c>
      <c r="AQ124" s="1415"/>
      <c r="AR124" s="2658"/>
      <c r="AS124" s="3313"/>
      <c r="AT124" s="3313">
        <v>1.25</v>
      </c>
      <c r="AU124" s="1415"/>
      <c r="AV124" s="2658"/>
      <c r="AW124" s="3313"/>
      <c r="AX124" s="3313">
        <v>1.25</v>
      </c>
      <c r="AY124" s="1415"/>
      <c r="AZ124" s="2658"/>
      <c r="BA124" s="1021"/>
      <c r="BB124" s="3402">
        <v>1.25</v>
      </c>
      <c r="BC124" s="3401"/>
      <c r="BD124" s="5711">
        <f t="shared" si="385"/>
        <v>2.5</v>
      </c>
      <c r="BE124" s="3313"/>
      <c r="BF124" s="3313">
        <v>1.25</v>
      </c>
      <c r="BG124" s="147"/>
      <c r="BH124" s="147"/>
      <c r="BI124" s="147"/>
      <c r="BJ124" s="147"/>
    </row>
    <row r="125" spans="1:62" ht="15" hidden="1" customHeight="1" x14ac:dyDescent="0.25">
      <c r="A125" s="181"/>
      <c r="B125" s="1017" t="s">
        <v>874</v>
      </c>
      <c r="C125" s="1018" t="s">
        <v>52</v>
      </c>
      <c r="D125" s="1106"/>
      <c r="E125" s="1106"/>
      <c r="F125" s="1411"/>
      <c r="G125" s="1106"/>
      <c r="H125" s="1411"/>
      <c r="I125" s="947"/>
      <c r="J125" s="947">
        <f>+J124*J123/(100-J124)</f>
        <v>48.08987341772152</v>
      </c>
      <c r="K125" s="1106"/>
      <c r="L125" s="1411"/>
      <c r="M125" s="454"/>
      <c r="N125" s="946">
        <f>+N124*N123/(100-N124)</f>
        <v>109.85443037974683</v>
      </c>
      <c r="O125" s="1106"/>
      <c r="P125" s="1411"/>
      <c r="Q125" s="947"/>
      <c r="R125" s="947">
        <f>+R124*R123/(100-R124)</f>
        <v>151.91012658227851</v>
      </c>
      <c r="S125" s="242"/>
      <c r="T125" s="2627">
        <f>+T124*T123/(100-T124)</f>
        <v>48.773417721518975</v>
      </c>
      <c r="U125" s="3269"/>
      <c r="V125" s="3269">
        <f>+V124*V123/(100-V124)</f>
        <v>200.68354430379748</v>
      </c>
      <c r="W125" s="242"/>
      <c r="X125" s="1411"/>
      <c r="Y125" s="454"/>
      <c r="Z125" s="946">
        <f>+Z124*Z123/(100-Z124)</f>
        <v>125.55949367088606</v>
      </c>
      <c r="AA125" s="558"/>
      <c r="AB125" s="558">
        <f>+AB124*AB123/(100-AB124)</f>
        <v>235.41392405063289</v>
      </c>
      <c r="AC125" s="242"/>
      <c r="AD125" s="2627">
        <f>+AD124*AD123/(100-AD124)</f>
        <v>43.92151898734177</v>
      </c>
      <c r="AE125" s="3615"/>
      <c r="AF125" s="3615">
        <f>+AF124*AF123/(100-AF124)</f>
        <v>279.33544303797464</v>
      </c>
      <c r="AG125" s="242"/>
      <c r="AH125" s="2627"/>
      <c r="AI125" s="3615"/>
      <c r="AJ125" s="3615">
        <f>+AJ124*AJ123/(100-AJ124)</f>
        <v>324.75063291139236</v>
      </c>
      <c r="AK125" s="242"/>
      <c r="AL125" s="2627"/>
      <c r="AM125" s="454"/>
      <c r="AN125" s="4312">
        <f>+AN124*AN123/(100-AN124)</f>
        <v>149.29746835443038</v>
      </c>
      <c r="AO125" s="3615"/>
      <c r="AP125" s="3615">
        <f t="shared" si="388"/>
        <v>324.75063291139236</v>
      </c>
      <c r="AQ125" s="242"/>
      <c r="AR125" s="2627"/>
      <c r="AS125" s="3615"/>
      <c r="AT125" s="3615">
        <f>+AT124*AT123/(100-AT124)</f>
        <v>450.12278481012657</v>
      </c>
      <c r="AU125" s="242"/>
      <c r="AV125" s="2627"/>
      <c r="AW125" s="3615"/>
      <c r="AX125" s="3615">
        <f>+AX124*AX123/(100-AX124)</f>
        <v>507.13797468354426</v>
      </c>
      <c r="AY125" s="242"/>
      <c r="AZ125" s="2627"/>
      <c r="BA125" s="454"/>
      <c r="BB125" s="5036">
        <f>+BB124*BB123/(100-BB124)</f>
        <v>165.69240506329115</v>
      </c>
      <c r="BC125" s="5038"/>
      <c r="BD125" s="5711">
        <f t="shared" si="385"/>
        <v>314.98987341772153</v>
      </c>
      <c r="BE125" s="3615"/>
      <c r="BF125" s="3615">
        <f>+BF124*BF123/(100-BF124)</f>
        <v>550.40379746835436</v>
      </c>
      <c r="BG125" s="147"/>
      <c r="BH125" s="147"/>
      <c r="BI125" s="147"/>
      <c r="BJ125" s="147"/>
    </row>
    <row r="126" spans="1:62" ht="15" hidden="1" customHeight="1" x14ac:dyDescent="0.25">
      <c r="A126" s="181"/>
      <c r="B126" s="1017" t="s">
        <v>510</v>
      </c>
      <c r="C126" s="1018" t="s">
        <v>52</v>
      </c>
      <c r="D126" s="1106"/>
      <c r="E126" s="1106"/>
      <c r="F126" s="1411"/>
      <c r="G126" s="1106"/>
      <c r="H126" s="1411"/>
      <c r="I126" s="947"/>
      <c r="J126" s="947">
        <f>+J123+J125</f>
        <v>3847.1898734177216</v>
      </c>
      <c r="K126" s="1106"/>
      <c r="L126" s="1411"/>
      <c r="M126" s="454"/>
      <c r="N126" s="946">
        <f>+N123+N125</f>
        <v>8788.3544303797462</v>
      </c>
      <c r="O126" s="1106"/>
      <c r="P126" s="1411"/>
      <c r="Q126" s="947"/>
      <c r="R126" s="947">
        <f>+F126+H126+L126+P126</f>
        <v>0</v>
      </c>
      <c r="S126" s="242"/>
      <c r="T126" s="2627">
        <f>+T123+T125</f>
        <v>3901.8734177215183</v>
      </c>
      <c r="U126" s="3269"/>
      <c r="V126" s="3269">
        <f>+J126+L126+P126+T126</f>
        <v>7749.0632911392404</v>
      </c>
      <c r="W126" s="242"/>
      <c r="X126" s="1411"/>
      <c r="Y126" s="454"/>
      <c r="Z126" s="946">
        <f>+Z123+Z125</f>
        <v>10044.759493670885</v>
      </c>
      <c r="AA126" s="558"/>
      <c r="AB126" s="558">
        <f>+AB123+AB125</f>
        <v>18833.113924050631</v>
      </c>
      <c r="AC126" s="242"/>
      <c r="AD126" s="2627">
        <f>+AD123+AD125</f>
        <v>3513.7215189873414</v>
      </c>
      <c r="AE126" s="3615"/>
      <c r="AF126" s="3615">
        <f>+T126+V126+Z126+AD126</f>
        <v>25209.417721518985</v>
      </c>
      <c r="AG126" s="242"/>
      <c r="AH126" s="2627"/>
      <c r="AI126" s="3615"/>
      <c r="AJ126" s="3615">
        <f>+X126+Z126+AD126+AH126</f>
        <v>13558.481012658227</v>
      </c>
      <c r="AK126" s="242"/>
      <c r="AL126" s="2627"/>
      <c r="AM126" s="454"/>
      <c r="AN126" s="4312">
        <f>+AN123+AN125</f>
        <v>11943.797468354431</v>
      </c>
      <c r="AO126" s="3615"/>
      <c r="AP126" s="3615">
        <f t="shared" si="388"/>
        <v>13558.481012658227</v>
      </c>
      <c r="AQ126" s="242"/>
      <c r="AR126" s="2627"/>
      <c r="AS126" s="3615"/>
      <c r="AT126" s="3615">
        <f>+AH126+AJ126+AN126+AR126</f>
        <v>25502.278481012658</v>
      </c>
      <c r="AU126" s="242"/>
      <c r="AV126" s="2627"/>
      <c r="AW126" s="3615"/>
      <c r="AX126" s="3615">
        <f>+AL126+AN126+AR126+AV126</f>
        <v>11943.797468354431</v>
      </c>
      <c r="AY126" s="242"/>
      <c r="AZ126" s="2627"/>
      <c r="BA126" s="454"/>
      <c r="BB126" s="5036">
        <f>+BB123+BB125</f>
        <v>13255.392405063292</v>
      </c>
      <c r="BC126" s="5038"/>
      <c r="BD126" s="5711">
        <f t="shared" si="385"/>
        <v>25199.189873417723</v>
      </c>
      <c r="BE126" s="3615"/>
      <c r="BF126" s="3615">
        <f>+AP126+AR126+AV126+AZ126</f>
        <v>13558.481012658227</v>
      </c>
      <c r="BG126" s="147"/>
      <c r="BH126" s="147"/>
      <c r="BI126" s="147"/>
      <c r="BJ126" s="147"/>
    </row>
    <row r="127" spans="1:62" ht="19.5" thickBot="1" x14ac:dyDescent="0.3">
      <c r="A127" s="181"/>
      <c r="B127" s="1020" t="s">
        <v>1390</v>
      </c>
      <c r="C127" s="1016" t="s">
        <v>52</v>
      </c>
      <c r="D127" s="2286"/>
      <c r="E127" s="2286"/>
      <c r="F127" s="748">
        <v>23349</v>
      </c>
      <c r="G127" s="2286"/>
      <c r="H127" s="748">
        <v>0</v>
      </c>
      <c r="I127" s="782"/>
      <c r="J127" s="782">
        <f>+F127+H127</f>
        <v>23349</v>
      </c>
      <c r="K127" s="2286"/>
      <c r="L127" s="748">
        <v>39681</v>
      </c>
      <c r="M127" s="783"/>
      <c r="N127" s="3591">
        <f>+F127+H127+L127</f>
        <v>63030</v>
      </c>
      <c r="O127" s="2286"/>
      <c r="P127" s="748">
        <v>63903.91</v>
      </c>
      <c r="Q127" s="782"/>
      <c r="R127" s="782">
        <f>+N127+P127</f>
        <v>126933.91</v>
      </c>
      <c r="S127" s="2075"/>
      <c r="T127" s="2713">
        <v>46929</v>
      </c>
      <c r="U127" s="3271"/>
      <c r="V127" s="3271">
        <f>+R127+T127</f>
        <v>173862.91</v>
      </c>
      <c r="W127" s="2075"/>
      <c r="X127" s="297">
        <v>39920.199999999997</v>
      </c>
      <c r="Y127" s="783"/>
      <c r="Z127" s="3591">
        <f>+P127+T127+X127</f>
        <v>150753.10999999999</v>
      </c>
      <c r="AA127" s="784"/>
      <c r="AB127" s="784">
        <f>+N127+Z127</f>
        <v>213783.11</v>
      </c>
      <c r="AC127" s="2075"/>
      <c r="AD127" s="2713">
        <v>9690.9</v>
      </c>
      <c r="AE127" s="4074"/>
      <c r="AF127" s="4074">
        <f>+AB127+AD127</f>
        <v>223474.00999999998</v>
      </c>
      <c r="AG127" s="2075"/>
      <c r="AH127" s="2713">
        <v>0</v>
      </c>
      <c r="AI127" s="4183"/>
      <c r="AJ127" s="4183">
        <f>+AF127+AH127</f>
        <v>223474.00999999998</v>
      </c>
      <c r="AK127" s="2075"/>
      <c r="AL127" s="2713">
        <v>0</v>
      </c>
      <c r="AM127" s="4320"/>
      <c r="AN127" s="4320">
        <f>+AD127+AH127+AL127</f>
        <v>9690.9</v>
      </c>
      <c r="AO127" s="4319"/>
      <c r="AP127" s="4319">
        <f t="shared" si="388"/>
        <v>223474.00999999998</v>
      </c>
      <c r="AQ127" s="2075"/>
      <c r="AR127" s="2713">
        <v>13098.4</v>
      </c>
      <c r="AS127" s="4423"/>
      <c r="AT127" s="4423">
        <f>+AP127+AR127</f>
        <v>236572.40999999997</v>
      </c>
      <c r="AU127" s="2075"/>
      <c r="AV127" s="2713">
        <v>16454.3</v>
      </c>
      <c r="AW127" s="4655"/>
      <c r="AX127" s="4655">
        <f>+AT127+AV127</f>
        <v>253026.70999999996</v>
      </c>
      <c r="AY127" s="2075"/>
      <c r="AZ127" s="2713">
        <v>60126</v>
      </c>
      <c r="BA127" s="5046"/>
      <c r="BB127" s="5046">
        <f>+AR127+AV127+AZ127</f>
        <v>89678.7</v>
      </c>
      <c r="BC127" s="784"/>
      <c r="BD127" s="784">
        <f t="shared" si="385"/>
        <v>99369.599999999991</v>
      </c>
      <c r="BE127" s="5045"/>
      <c r="BF127" s="5045">
        <f>+AX127+AZ127</f>
        <v>313152.70999999996</v>
      </c>
      <c r="BG127" s="147"/>
      <c r="BH127" s="147"/>
      <c r="BI127" s="147"/>
      <c r="BJ127" s="147"/>
    </row>
    <row r="128" spans="1:62" x14ac:dyDescent="0.25">
      <c r="A128" s="181"/>
      <c r="B128" s="122"/>
      <c r="C128" s="419"/>
      <c r="D128" s="419"/>
      <c r="E128" s="419"/>
      <c r="F128" s="419"/>
      <c r="G128" s="419"/>
      <c r="H128" s="419"/>
      <c r="I128" s="419"/>
      <c r="J128" s="419"/>
      <c r="K128" s="700"/>
      <c r="L128" s="419"/>
      <c r="M128" s="419"/>
      <c r="N128" s="419"/>
      <c r="O128" s="700"/>
      <c r="P128" s="419"/>
      <c r="Q128" s="419"/>
      <c r="R128" s="419"/>
      <c r="S128" s="419"/>
      <c r="T128" s="2676"/>
      <c r="U128" s="419"/>
      <c r="V128" s="419"/>
      <c r="W128" s="419"/>
      <c r="X128" s="419"/>
      <c r="Y128" s="419"/>
      <c r="Z128" s="419"/>
      <c r="AA128" s="419"/>
      <c r="AB128" s="419"/>
      <c r="AC128" s="419"/>
      <c r="AD128" s="2676"/>
      <c r="AE128" s="419"/>
      <c r="AF128" s="419"/>
      <c r="AG128" s="419"/>
      <c r="AH128" s="2676"/>
      <c r="AI128" s="419"/>
      <c r="AJ128" s="419"/>
      <c r="AK128" s="419"/>
      <c r="AL128" s="2676"/>
      <c r="AM128" s="419"/>
      <c r="AN128" s="419"/>
      <c r="AO128" s="419"/>
      <c r="AP128" s="419"/>
      <c r="AQ128" s="419"/>
      <c r="AR128" s="2676"/>
      <c r="AS128" s="419"/>
      <c r="AT128" s="419"/>
      <c r="AU128" s="419"/>
      <c r="AV128" s="2676"/>
      <c r="AW128" s="419"/>
      <c r="AX128" s="419"/>
      <c r="AY128" s="419"/>
      <c r="AZ128" s="2676"/>
      <c r="BA128" s="419"/>
      <c r="BB128" s="419"/>
      <c r="BC128" s="419"/>
      <c r="BD128" s="419"/>
      <c r="BE128" s="419"/>
      <c r="BF128" s="419"/>
      <c r="BG128" s="147"/>
      <c r="BH128" s="147"/>
      <c r="BI128" s="147"/>
      <c r="BJ128" s="147"/>
    </row>
    <row r="129" spans="1:62" x14ac:dyDescent="0.25">
      <c r="A129" s="181"/>
      <c r="B129" s="272" t="s">
        <v>1423</v>
      </c>
      <c r="C129" s="419" t="s">
        <v>1424</v>
      </c>
      <c r="D129" s="1709">
        <f t="shared" ref="D129" si="409">+D26+D27+D29</f>
        <v>4747578.8762885528</v>
      </c>
      <c r="E129" s="1709">
        <f t="shared" ref="E129" si="410">+E26+E27+E29</f>
        <v>400153.07671574946</v>
      </c>
      <c r="F129" s="1709">
        <f>+F26+F27+F29</f>
        <v>400473.62080000003</v>
      </c>
      <c r="G129" s="1709">
        <f t="shared" ref="G129" si="411">+G26+G27+G29</f>
        <v>334026.08522458741</v>
      </c>
      <c r="H129" s="1709">
        <f t="shared" ref="H129:N129" si="412">+H26+H27+H29</f>
        <v>321317.83470000001</v>
      </c>
      <c r="I129" s="1709">
        <f t="shared" si="412"/>
        <v>734179.16194033693</v>
      </c>
      <c r="J129" s="1709">
        <f t="shared" si="412"/>
        <v>721791.45550000004</v>
      </c>
      <c r="K129" s="1709">
        <f t="shared" si="412"/>
        <v>340808.34076214256</v>
      </c>
      <c r="L129" s="1709">
        <f t="shared" si="412"/>
        <v>354088.35648299998</v>
      </c>
      <c r="M129" s="1709">
        <f t="shared" si="412"/>
        <v>1074987.5027024795</v>
      </c>
      <c r="N129" s="1709">
        <f t="shared" si="412"/>
        <v>1075879.8119830003</v>
      </c>
      <c r="O129" s="1709">
        <f t="shared" ref="O129:R129" si="413">+O26+O27+O29</f>
        <v>405239.76836891571</v>
      </c>
      <c r="P129" s="1709">
        <f t="shared" si="413"/>
        <v>416919.52984000003</v>
      </c>
      <c r="Q129" s="1709">
        <f t="shared" si="413"/>
        <v>1480227.2710713951</v>
      </c>
      <c r="R129" s="1709">
        <f t="shared" si="413"/>
        <v>1492799.341823</v>
      </c>
      <c r="S129" s="1709">
        <f t="shared" ref="S129:V129" si="414">+S26+S27+S29</f>
        <v>405239.76836891571</v>
      </c>
      <c r="T129" s="2714">
        <f t="shared" si="414"/>
        <v>418828.22820000001</v>
      </c>
      <c r="U129" s="1709">
        <f t="shared" si="414"/>
        <v>1885467.039440311</v>
      </c>
      <c r="V129" s="1709">
        <f t="shared" si="414"/>
        <v>1911627.5700230002</v>
      </c>
      <c r="W129" s="419">
        <f t="shared" ref="W129:Z129" si="415">+W26+W27+W29</f>
        <v>393370.82117819437</v>
      </c>
      <c r="X129" s="1709">
        <f t="shared" si="415"/>
        <v>395258.70649000001</v>
      </c>
      <c r="Y129" s="1709">
        <f t="shared" si="415"/>
        <v>1203850.3579160257</v>
      </c>
      <c r="Z129" s="1709">
        <f t="shared" si="415"/>
        <v>1231006.4645299998</v>
      </c>
      <c r="AA129" s="1709">
        <f t="shared" ref="AA129:AF129" si="416">+AA26+AA27+AA29</f>
        <v>2278837.8606185056</v>
      </c>
      <c r="AB129" s="1709">
        <f t="shared" si="416"/>
        <v>2306886.276513</v>
      </c>
      <c r="AC129" s="1709">
        <f t="shared" si="416"/>
        <v>417108.71555963717</v>
      </c>
      <c r="AD129" s="2714">
        <f t="shared" si="416"/>
        <v>408449.81550999999</v>
      </c>
      <c r="AE129" s="1709">
        <f t="shared" si="416"/>
        <v>2695946.5761781423</v>
      </c>
      <c r="AF129" s="1709">
        <f t="shared" si="416"/>
        <v>2715336.0920230001</v>
      </c>
      <c r="AG129" s="1709">
        <f t="shared" ref="AG129:AJ129" si="417">+AG26+AG27+AG29</f>
        <v>403544.20448452694</v>
      </c>
      <c r="AH129" s="2714">
        <f t="shared" si="417"/>
        <v>348555.44219999999</v>
      </c>
      <c r="AI129" s="1709">
        <f t="shared" si="417"/>
        <v>3099490.7806626698</v>
      </c>
      <c r="AJ129" s="1709">
        <f t="shared" si="417"/>
        <v>3063891.5342230001</v>
      </c>
      <c r="AK129" s="1709">
        <f t="shared" ref="AK129:AV129" si="418">+AK26+AK27+AK29</f>
        <v>418804.27944402595</v>
      </c>
      <c r="AL129" s="2714">
        <f t="shared" si="418"/>
        <v>382868.41638000001</v>
      </c>
      <c r="AM129" s="1709">
        <f t="shared" si="418"/>
        <v>1239457.19948819</v>
      </c>
      <c r="AN129" s="1709">
        <f t="shared" si="418"/>
        <v>1139873.6740899999</v>
      </c>
      <c r="AO129" s="1709">
        <f t="shared" si="418"/>
        <v>3518295.0601066956</v>
      </c>
      <c r="AP129" s="1709">
        <f t="shared" si="418"/>
        <v>3446759.9506030004</v>
      </c>
      <c r="AQ129" s="1709">
        <f t="shared" ref="AQ129:AR129" si="419">+AQ26+AQ27+AQ29</f>
        <v>418804.27944402595</v>
      </c>
      <c r="AR129" s="2714">
        <f t="shared" si="419"/>
        <v>388108.11129999999</v>
      </c>
      <c r="AS129" s="1709">
        <f t="shared" si="418"/>
        <v>3937099.339550721</v>
      </c>
      <c r="AT129" s="1709">
        <f t="shared" si="418"/>
        <v>3834868.0619030003</v>
      </c>
      <c r="AU129" s="1709">
        <f t="shared" si="418"/>
        <v>389979.69340941682</v>
      </c>
      <c r="AV129" s="2714">
        <f t="shared" si="418"/>
        <v>385751.67679000006</v>
      </c>
      <c r="AW129" s="1709">
        <f t="shared" ref="AW129:BD129" si="420">+AW26+AW27+AW29</f>
        <v>4327079.0329601383</v>
      </c>
      <c r="AX129" s="1709">
        <f t="shared" si="420"/>
        <v>4220619.7386929998</v>
      </c>
      <c r="AY129" s="1709">
        <f t="shared" si="420"/>
        <v>420499.84332841466</v>
      </c>
      <c r="AZ129" s="2714">
        <f t="shared" si="420"/>
        <v>399070.28198999999</v>
      </c>
      <c r="BA129" s="1709">
        <f t="shared" si="420"/>
        <v>1229283.8161818576</v>
      </c>
      <c r="BB129" s="1709">
        <f t="shared" si="420"/>
        <v>1172930.07008</v>
      </c>
      <c r="BC129" s="1709">
        <f t="shared" si="420"/>
        <v>2468741.0156700476</v>
      </c>
      <c r="BD129" s="1709">
        <f t="shared" si="420"/>
        <v>2312803.7441699998</v>
      </c>
      <c r="BE129" s="1709">
        <f t="shared" ref="BE129:BF129" si="421">+BE26+BE27+BE29</f>
        <v>4747578.8762885528</v>
      </c>
      <c r="BF129" s="1709">
        <f t="shared" si="421"/>
        <v>4619690.0206829999</v>
      </c>
      <c r="BG129" s="147"/>
      <c r="BH129" s="147"/>
      <c r="BI129" s="147"/>
      <c r="BJ129" s="147"/>
    </row>
    <row r="130" spans="1:62" x14ac:dyDescent="0.25">
      <c r="A130" s="181"/>
      <c r="B130" s="122"/>
      <c r="C130" s="419" t="s">
        <v>1425</v>
      </c>
      <c r="D130" s="2250">
        <f t="shared" ref="D130" si="422">+D26*100/D129</f>
        <v>74.999999999999986</v>
      </c>
      <c r="E130" s="2250">
        <f t="shared" ref="E130" si="423">+E26*100/E129</f>
        <v>75</v>
      </c>
      <c r="F130" s="2250">
        <f>+F26*100/F129</f>
        <v>76.601799486114857</v>
      </c>
      <c r="G130" s="2250">
        <f t="shared" ref="G130" si="424">+G26*100/G129</f>
        <v>75</v>
      </c>
      <c r="H130" s="2250">
        <f t="shared" ref="H130" si="425">+H26*100/H129</f>
        <v>79.04852223255692</v>
      </c>
      <c r="I130" s="2250">
        <f t="shared" ref="I130:T130" si="426">+I26*100/I129</f>
        <v>74.999999999999986</v>
      </c>
      <c r="J130" s="2250">
        <f t="shared" si="426"/>
        <v>77.69100004260163</v>
      </c>
      <c r="K130" s="2250">
        <f t="shared" si="426"/>
        <v>75</v>
      </c>
      <c r="L130" s="2250">
        <f t="shared" si="426"/>
        <v>75.458228181763985</v>
      </c>
      <c r="M130" s="2250">
        <f t="shared" si="426"/>
        <v>75</v>
      </c>
      <c r="N130" s="2250">
        <f t="shared" si="426"/>
        <v>76.956160974334026</v>
      </c>
      <c r="O130" s="2250">
        <f t="shared" si="426"/>
        <v>75</v>
      </c>
      <c r="P130" s="2250">
        <f t="shared" si="426"/>
        <v>75.968544846423882</v>
      </c>
      <c r="Q130" s="2250">
        <f t="shared" si="426"/>
        <v>75</v>
      </c>
      <c r="R130" s="2250">
        <f t="shared" si="426"/>
        <v>76.680332575851594</v>
      </c>
      <c r="S130" s="2250">
        <f t="shared" si="426"/>
        <v>75</v>
      </c>
      <c r="T130" s="2250">
        <f t="shared" si="426"/>
        <v>76.453299572514339</v>
      </c>
      <c r="U130" s="2250">
        <f t="shared" ref="U130:Z130" si="427">+U26*100/U129</f>
        <v>74.999999999999986</v>
      </c>
      <c r="V130" s="2250">
        <f t="shared" si="427"/>
        <v>76.630590757925447</v>
      </c>
      <c r="W130" s="419">
        <f t="shared" si="427"/>
        <v>75</v>
      </c>
      <c r="X130" s="2250">
        <f t="shared" si="427"/>
        <v>77.631990127398538</v>
      </c>
      <c r="Y130" s="2250">
        <f t="shared" si="427"/>
        <v>75</v>
      </c>
      <c r="Z130" s="2250">
        <f t="shared" si="427"/>
        <v>76.66758276207247</v>
      </c>
      <c r="AA130" s="2250">
        <f t="shared" ref="AA130:AF130" si="428">+AA26*100/AA129</f>
        <v>75</v>
      </c>
      <c r="AB130" s="2250">
        <f t="shared" si="428"/>
        <v>76.802169141952319</v>
      </c>
      <c r="AC130" s="2250">
        <f t="shared" si="428"/>
        <v>75</v>
      </c>
      <c r="AD130" s="2250">
        <f t="shared" si="428"/>
        <v>78.753861009425435</v>
      </c>
      <c r="AE130" s="2250">
        <f t="shared" si="428"/>
        <v>75.000000000000014</v>
      </c>
      <c r="AF130" s="2250">
        <f t="shared" si="428"/>
        <v>77.095749073196785</v>
      </c>
      <c r="AG130" s="2250">
        <f t="shared" ref="AG130:AJ130" si="429">+AG26*100/AG129</f>
        <v>75</v>
      </c>
      <c r="AH130" s="2250">
        <f t="shared" si="429"/>
        <v>80.206407977869759</v>
      </c>
      <c r="AI130" s="2250">
        <f t="shared" si="429"/>
        <v>74.999999999999986</v>
      </c>
      <c r="AJ130" s="2250">
        <f t="shared" si="429"/>
        <v>77.449624880463773</v>
      </c>
      <c r="AK130" s="2250">
        <f t="shared" ref="AK130:AV130" si="430">+AK26*100/AK129</f>
        <v>74.999999999999986</v>
      </c>
      <c r="AL130" s="2250">
        <f t="shared" si="430"/>
        <v>79.807314191393687</v>
      </c>
      <c r="AM130" s="2250">
        <f t="shared" si="430"/>
        <v>75</v>
      </c>
      <c r="AN130" s="2250">
        <f t="shared" si="430"/>
        <v>79.551867949220082</v>
      </c>
      <c r="AO130" s="2250">
        <f t="shared" si="430"/>
        <v>75</v>
      </c>
      <c r="AP130" s="2250">
        <f t="shared" si="430"/>
        <v>77.711518596802748</v>
      </c>
      <c r="AQ130" s="2250">
        <f t="shared" ref="AQ130:AR130" si="431">+AQ26*100/AQ129</f>
        <v>74.999999999999986</v>
      </c>
      <c r="AR130" s="2250">
        <f t="shared" si="431"/>
        <v>77.301914406033703</v>
      </c>
      <c r="AS130" s="2250">
        <f t="shared" si="430"/>
        <v>75</v>
      </c>
      <c r="AT130" s="2250">
        <f t="shared" si="430"/>
        <v>77.670064573797575</v>
      </c>
      <c r="AU130" s="2250">
        <f t="shared" si="430"/>
        <v>75</v>
      </c>
      <c r="AV130" s="2250">
        <f t="shared" si="430"/>
        <v>79.566912723257062</v>
      </c>
      <c r="AW130" s="2250">
        <f t="shared" ref="AW130:BD130" si="432">+AW26*100/AW129</f>
        <v>75</v>
      </c>
      <c r="AX130" s="2250">
        <f t="shared" si="432"/>
        <v>77.843430666829363</v>
      </c>
      <c r="AY130" s="2250">
        <f t="shared" si="432"/>
        <v>75</v>
      </c>
      <c r="AZ130" s="2250">
        <f t="shared" si="432"/>
        <v>72.462173469295379</v>
      </c>
      <c r="BA130" s="2250">
        <f t="shared" si="432"/>
        <v>74.999999999999986</v>
      </c>
      <c r="BB130" s="2250">
        <f t="shared" si="432"/>
        <v>76.400181294600102</v>
      </c>
      <c r="BC130" s="2250">
        <f t="shared" si="432"/>
        <v>75</v>
      </c>
      <c r="BD130" s="2250">
        <f t="shared" si="432"/>
        <v>77.953501439311026</v>
      </c>
      <c r="BE130" s="2250">
        <f t="shared" ref="BE130:BF130" si="433">+BE26*100/BE129</f>
        <v>74.999999999999986</v>
      </c>
      <c r="BF130" s="2250">
        <f t="shared" si="433"/>
        <v>77.378572674698731</v>
      </c>
      <c r="BG130" s="147"/>
      <c r="BH130" s="147"/>
      <c r="BI130" s="147"/>
      <c r="BJ130" s="147"/>
    </row>
    <row r="131" spans="1:62" x14ac:dyDescent="0.25">
      <c r="A131" s="181"/>
      <c r="B131" s="122"/>
      <c r="C131" s="419" t="s">
        <v>1426</v>
      </c>
      <c r="D131" s="1709">
        <f t="shared" ref="D131" si="434">+D27*100/D129</f>
        <v>10.000000000000002</v>
      </c>
      <c r="E131" s="1709">
        <f t="shared" ref="E131" si="435">+E27*100/E129</f>
        <v>10.000000000000002</v>
      </c>
      <c r="F131" s="1709">
        <f>+F27*100/F129</f>
        <v>17.597005680230314</v>
      </c>
      <c r="G131" s="1709">
        <f t="shared" ref="G131" si="436">+G27*100/G129</f>
        <v>10</v>
      </c>
      <c r="H131" s="1709">
        <f t="shared" ref="H131" si="437">+H27*100/H129</f>
        <v>20.95147776744308</v>
      </c>
      <c r="I131" s="1709">
        <f t="shared" ref="I131:T131" si="438">+I27*100/I129</f>
        <v>10</v>
      </c>
      <c r="J131" s="1709">
        <f t="shared" si="438"/>
        <v>19.090306410533568</v>
      </c>
      <c r="K131" s="1709">
        <f t="shared" si="438"/>
        <v>10</v>
      </c>
      <c r="L131" s="1709">
        <f t="shared" si="438"/>
        <v>13.391279497007842</v>
      </c>
      <c r="M131" s="1709">
        <f t="shared" si="438"/>
        <v>10</v>
      </c>
      <c r="N131" s="1709">
        <f t="shared" si="438"/>
        <v>17.214670255930642</v>
      </c>
      <c r="O131" s="1709">
        <f t="shared" si="438"/>
        <v>10</v>
      </c>
      <c r="P131" s="1709">
        <f t="shared" si="438"/>
        <v>8.7804568435661263</v>
      </c>
      <c r="Q131" s="1709">
        <f t="shared" si="438"/>
        <v>10</v>
      </c>
      <c r="R131" s="1709">
        <f t="shared" si="438"/>
        <v>14.859103642296533</v>
      </c>
      <c r="S131" s="1709">
        <f t="shared" si="438"/>
        <v>10</v>
      </c>
      <c r="T131" s="1709">
        <f t="shared" si="438"/>
        <v>12.397892430307781</v>
      </c>
      <c r="U131" s="1709">
        <f t="shared" ref="U131:Z131" si="439">+U27*100/U129</f>
        <v>9.9999999999999982</v>
      </c>
      <c r="V131" s="1709">
        <f t="shared" si="439"/>
        <v>14.319864332659028</v>
      </c>
      <c r="W131" s="419">
        <f t="shared" si="439"/>
        <v>10</v>
      </c>
      <c r="X131" s="2250">
        <f t="shared" si="439"/>
        <v>12.318743822846539</v>
      </c>
      <c r="Y131" s="1709">
        <f t="shared" si="439"/>
        <v>10.000000000000004</v>
      </c>
      <c r="Z131" s="1709">
        <f t="shared" si="439"/>
        <v>11.147319208627586</v>
      </c>
      <c r="AA131" s="1709">
        <f t="shared" ref="AA131:AF131" si="440">+AA27*100/AA129</f>
        <v>10</v>
      </c>
      <c r="AB131" s="1709">
        <f t="shared" si="440"/>
        <v>13.976995110065758</v>
      </c>
      <c r="AC131" s="1709">
        <f t="shared" si="440"/>
        <v>10.000000000000002</v>
      </c>
      <c r="AD131" s="1709">
        <f t="shared" si="440"/>
        <v>18.885397197127993</v>
      </c>
      <c r="AE131" s="1709">
        <f t="shared" si="440"/>
        <v>10</v>
      </c>
      <c r="AF131" s="1709">
        <f t="shared" si="440"/>
        <v>14.715333149617912</v>
      </c>
      <c r="AG131" s="1709">
        <f t="shared" ref="AG131:AJ131" si="441">+AG27*100/AG129</f>
        <v>10.000000000000004</v>
      </c>
      <c r="AH131" s="1709">
        <f t="shared" si="441"/>
        <v>19.793592022130245</v>
      </c>
      <c r="AI131" s="1709">
        <f t="shared" si="441"/>
        <v>10</v>
      </c>
      <c r="AJ131" s="1709">
        <f t="shared" si="441"/>
        <v>15.293047715275176</v>
      </c>
      <c r="AK131" s="1709">
        <f t="shared" ref="AK131:AV131" si="442">+AK27*100/AK129</f>
        <v>9.9999999999999982</v>
      </c>
      <c r="AL131" s="1709">
        <f t="shared" si="442"/>
        <v>20.192685808606317</v>
      </c>
      <c r="AM131" s="1709">
        <f t="shared" si="442"/>
        <v>10</v>
      </c>
      <c r="AN131" s="1709">
        <f t="shared" si="442"/>
        <v>19.602209759636754</v>
      </c>
      <c r="AO131" s="1709">
        <f t="shared" si="442"/>
        <v>10</v>
      </c>
      <c r="AP131" s="1709">
        <f t="shared" si="442"/>
        <v>15.837302814125515</v>
      </c>
      <c r="AQ131" s="1709">
        <f t="shared" ref="AQ131:AR131" si="443">+AQ27*100/AQ129</f>
        <v>9.9999999999999982</v>
      </c>
      <c r="AR131" s="1709">
        <f t="shared" si="443"/>
        <v>19.340024368101894</v>
      </c>
      <c r="AS131" s="1709">
        <f t="shared" si="442"/>
        <v>10</v>
      </c>
      <c r="AT131" s="1709">
        <f t="shared" si="442"/>
        <v>16.191796013051626</v>
      </c>
      <c r="AU131" s="1709">
        <f t="shared" si="442"/>
        <v>9.9999999999999982</v>
      </c>
      <c r="AV131" s="1709">
        <f t="shared" si="442"/>
        <v>16.188898726160737</v>
      </c>
      <c r="AW131" s="1709">
        <f t="shared" ref="AW131:BD131" si="444">+AW27*100/AW129</f>
        <v>9.9999999999999982</v>
      </c>
      <c r="AX131" s="1709">
        <f t="shared" si="444"/>
        <v>16.191531209931352</v>
      </c>
      <c r="AY131" s="1709">
        <f t="shared" si="444"/>
        <v>10</v>
      </c>
      <c r="AZ131" s="1709">
        <f t="shared" si="444"/>
        <v>12.546640090643146</v>
      </c>
      <c r="BA131" s="1709">
        <f t="shared" si="444"/>
        <v>9.9999999999999982</v>
      </c>
      <c r="BB131" s="1709">
        <f t="shared" si="444"/>
        <v>15.992348424250574</v>
      </c>
      <c r="BC131" s="1709">
        <f t="shared" si="444"/>
        <v>9.9999999999999982</v>
      </c>
      <c r="BD131" s="1709">
        <f t="shared" si="444"/>
        <v>17.771481614299418</v>
      </c>
      <c r="BE131" s="1709">
        <f t="shared" ref="BE131:BF131" si="445">+BE27*100/BE129</f>
        <v>10</v>
      </c>
      <c r="BF131" s="2250">
        <f t="shared" si="445"/>
        <v>15.876668584888357</v>
      </c>
      <c r="BG131" s="147"/>
      <c r="BH131" s="147"/>
      <c r="BI131" s="147"/>
      <c r="BJ131" s="147"/>
    </row>
    <row r="132" spans="1:62" x14ac:dyDescent="0.25">
      <c r="A132" s="181"/>
      <c r="B132" s="122"/>
      <c r="C132" s="419" t="s">
        <v>1427</v>
      </c>
      <c r="D132" s="2250">
        <f t="shared" ref="D132" si="446">100-D130-D131</f>
        <v>15.000000000000012</v>
      </c>
      <c r="E132" s="2250">
        <f t="shared" ref="E132" si="447">100-E130-E131</f>
        <v>14.999999999999998</v>
      </c>
      <c r="F132" s="2250">
        <f>100-F130-F131</f>
        <v>5.8011948336548294</v>
      </c>
      <c r="G132" s="2250">
        <f t="shared" ref="G132" si="448">100-G130-G131</f>
        <v>15</v>
      </c>
      <c r="H132" s="2250">
        <f t="shared" ref="H132" si="449">100-H130-H131</f>
        <v>0</v>
      </c>
      <c r="I132" s="2250">
        <f t="shared" ref="I132:T132" si="450">100-I130-I131</f>
        <v>15.000000000000014</v>
      </c>
      <c r="J132" s="2250">
        <f t="shared" si="450"/>
        <v>3.2186935468648024</v>
      </c>
      <c r="K132" s="2250">
        <f t="shared" si="450"/>
        <v>15</v>
      </c>
      <c r="L132" s="2250">
        <f t="shared" si="450"/>
        <v>11.150492321228173</v>
      </c>
      <c r="M132" s="2250">
        <f t="shared" si="450"/>
        <v>15</v>
      </c>
      <c r="N132" s="2250">
        <f t="shared" si="450"/>
        <v>5.8291687697353325</v>
      </c>
      <c r="O132" s="2250">
        <f t="shared" si="450"/>
        <v>15</v>
      </c>
      <c r="P132" s="2250">
        <f t="shared" si="450"/>
        <v>15.250998310009992</v>
      </c>
      <c r="Q132" s="2250">
        <f t="shared" si="450"/>
        <v>15</v>
      </c>
      <c r="R132" s="2250">
        <f t="shared" si="450"/>
        <v>8.4605637818518726</v>
      </c>
      <c r="S132" s="2250">
        <f t="shared" si="450"/>
        <v>15</v>
      </c>
      <c r="T132" s="2250">
        <f t="shared" si="450"/>
        <v>11.14880799717788</v>
      </c>
      <c r="U132" s="2250">
        <f t="shared" ref="U132:Z132" si="451">100-U130-U131</f>
        <v>15.000000000000016</v>
      </c>
      <c r="V132" s="2250">
        <f t="shared" si="451"/>
        <v>9.0495449094155251</v>
      </c>
      <c r="W132" s="419">
        <f t="shared" si="451"/>
        <v>15</v>
      </c>
      <c r="X132" s="2250">
        <f t="shared" si="451"/>
        <v>10.049266049754923</v>
      </c>
      <c r="Y132" s="2250">
        <f t="shared" si="451"/>
        <v>14.999999999999996</v>
      </c>
      <c r="Z132" s="2250">
        <f t="shared" si="451"/>
        <v>12.185098029299944</v>
      </c>
      <c r="AA132" s="2250">
        <f t="shared" ref="AA132:AF132" si="452">100-AA130-AA131</f>
        <v>15</v>
      </c>
      <c r="AB132" s="2250">
        <f t="shared" si="452"/>
        <v>9.2208357479819227</v>
      </c>
      <c r="AC132" s="2250">
        <f t="shared" si="452"/>
        <v>14.999999999999998</v>
      </c>
      <c r="AD132" s="2250">
        <f t="shared" si="452"/>
        <v>2.3607417934465715</v>
      </c>
      <c r="AE132" s="2250">
        <f t="shared" si="452"/>
        <v>14.999999999999986</v>
      </c>
      <c r="AF132" s="2250">
        <f t="shared" si="452"/>
        <v>8.1889177771853028</v>
      </c>
      <c r="AG132" s="2250">
        <f t="shared" ref="AG132:AJ132" si="453">100-AG130-AG131</f>
        <v>14.999999999999996</v>
      </c>
      <c r="AH132" s="2250">
        <f t="shared" si="453"/>
        <v>0</v>
      </c>
      <c r="AI132" s="2250">
        <f t="shared" si="453"/>
        <v>15.000000000000014</v>
      </c>
      <c r="AJ132" s="2250">
        <f t="shared" si="453"/>
        <v>7.2573274042610514</v>
      </c>
      <c r="AK132" s="2250">
        <f t="shared" ref="AK132:AV132" si="454">100-AK130-AK131</f>
        <v>15.000000000000016</v>
      </c>
      <c r="AL132" s="2250">
        <f t="shared" si="454"/>
        <v>0</v>
      </c>
      <c r="AM132" s="2250">
        <f t="shared" si="454"/>
        <v>15</v>
      </c>
      <c r="AN132" s="2250">
        <f t="shared" si="454"/>
        <v>0.84592229114316453</v>
      </c>
      <c r="AO132" s="2250">
        <f t="shared" si="454"/>
        <v>15</v>
      </c>
      <c r="AP132" s="2250">
        <f t="shared" si="454"/>
        <v>6.4511785890717377</v>
      </c>
      <c r="AQ132" s="2250">
        <f t="shared" ref="AQ132:AR132" si="455">100-AQ130-AQ131</f>
        <v>15.000000000000016</v>
      </c>
      <c r="AR132" s="2250">
        <f t="shared" si="455"/>
        <v>3.3580612258644038</v>
      </c>
      <c r="AS132" s="2250">
        <f t="shared" si="454"/>
        <v>15</v>
      </c>
      <c r="AT132" s="2250">
        <f t="shared" si="454"/>
        <v>6.1381394131507996</v>
      </c>
      <c r="AU132" s="2250">
        <f t="shared" si="454"/>
        <v>15.000000000000002</v>
      </c>
      <c r="AV132" s="2250">
        <f t="shared" si="454"/>
        <v>4.2441885505822015</v>
      </c>
      <c r="AW132" s="2250">
        <f t="shared" ref="AW132:BD132" si="456">100-AW130-AW131</f>
        <v>15.000000000000002</v>
      </c>
      <c r="AX132" s="2250">
        <f t="shared" si="456"/>
        <v>5.9650381232392853</v>
      </c>
      <c r="AY132" s="2250">
        <f t="shared" si="456"/>
        <v>15</v>
      </c>
      <c r="AZ132" s="2250">
        <f t="shared" si="456"/>
        <v>14.991186440061474</v>
      </c>
      <c r="BA132" s="2250">
        <f t="shared" si="456"/>
        <v>15.000000000000016</v>
      </c>
      <c r="BB132" s="2250">
        <f t="shared" si="456"/>
        <v>7.6074702811493236</v>
      </c>
      <c r="BC132" s="2250">
        <f t="shared" si="456"/>
        <v>15.000000000000002</v>
      </c>
      <c r="BD132" s="2250">
        <f t="shared" si="456"/>
        <v>4.275016946389556</v>
      </c>
      <c r="BE132" s="2250">
        <f t="shared" ref="BE132:BF132" si="457">100-BE130-BE131</f>
        <v>15.000000000000014</v>
      </c>
      <c r="BF132" s="2250">
        <f t="shared" si="457"/>
        <v>6.7447587404129123</v>
      </c>
      <c r="BG132" s="147"/>
      <c r="BH132" s="147"/>
      <c r="BI132" s="147"/>
      <c r="BJ132" s="147"/>
    </row>
  </sheetData>
  <mergeCells count="30">
    <mergeCell ref="AY4:AZ4"/>
    <mergeCell ref="BE4:BF4"/>
    <mergeCell ref="BA4:BB4"/>
    <mergeCell ref="BC4:BD4"/>
    <mergeCell ref="AK4:AL4"/>
    <mergeCell ref="AM4:AN4"/>
    <mergeCell ref="AO4:AP4"/>
    <mergeCell ref="AU4:AV4"/>
    <mergeCell ref="AW4:AX4"/>
    <mergeCell ref="AQ4:AR4"/>
    <mergeCell ref="AS4:AT4"/>
    <mergeCell ref="S4:T4"/>
    <mergeCell ref="U4:V4"/>
    <mergeCell ref="AG4:AH4"/>
    <mergeCell ref="AI4:AJ4"/>
    <mergeCell ref="AC4:AD4"/>
    <mergeCell ref="AE4:AF4"/>
    <mergeCell ref="W4:X4"/>
    <mergeCell ref="AA4:AB4"/>
    <mergeCell ref="Y4:Z4"/>
    <mergeCell ref="K4:L4"/>
    <mergeCell ref="M4:N4"/>
    <mergeCell ref="O4:P4"/>
    <mergeCell ref="Q4:R4"/>
    <mergeCell ref="B4:B5"/>
    <mergeCell ref="C4:C5"/>
    <mergeCell ref="E4:F4"/>
    <mergeCell ref="G4:H4"/>
    <mergeCell ref="I4:J4"/>
    <mergeCell ref="D4:D5"/>
  </mergeCells>
  <conditionalFormatting sqref="X52:X55">
    <cfRule type="expression" dxfId="176" priority="1">
      <formula>ISBLANK(X52)</formula>
    </cfRule>
  </conditionalFormatting>
  <printOptions horizontalCentered="1" verticalCentered="1"/>
  <pageMargins left="0" right="0" top="0" bottom="0" header="0" footer="0"/>
  <pageSetup scale="38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tabColor theme="2" tint="-0.499984740745262"/>
    <pageSetUpPr fitToPage="1"/>
  </sheetPr>
  <dimension ref="A1:BJ508"/>
  <sheetViews>
    <sheetView topLeftCell="A64" zoomScale="70" zoomScaleNormal="70" workbookViewId="0">
      <pane xSplit="4" topLeftCell="AY1" activePane="topRight" state="frozen"/>
      <selection pane="topRight" activeCell="C94" sqref="C94"/>
    </sheetView>
  </sheetViews>
  <sheetFormatPr defaultRowHeight="21" customHeight="1" x14ac:dyDescent="0.25"/>
  <cols>
    <col min="1" max="1" width="2.7109375" customWidth="1"/>
    <col min="2" max="2" width="76.5703125" customWidth="1"/>
    <col min="3" max="3" width="20.7109375" customWidth="1"/>
    <col min="4" max="4" width="19.5703125" style="776" customWidth="1"/>
    <col min="5" max="5" width="17.7109375" style="116" customWidth="1"/>
    <col min="6" max="6" width="17.7109375" style="122" customWidth="1"/>
    <col min="7" max="7" width="17.7109375" style="116" customWidth="1"/>
    <col min="8" max="8" width="17.7109375" style="122" customWidth="1"/>
    <col min="9" max="9" width="17.7109375" style="116" hidden="1" customWidth="1"/>
    <col min="10" max="10" width="17.7109375" style="122" hidden="1" customWidth="1"/>
    <col min="11" max="11" width="17.7109375" style="239" customWidth="1"/>
    <col min="12" max="12" width="17.7109375" customWidth="1"/>
    <col min="13" max="13" width="17.7109375" style="116" customWidth="1"/>
    <col min="14" max="14" width="17.7109375" customWidth="1"/>
    <col min="15" max="15" width="17.7109375" style="239" customWidth="1"/>
    <col min="16" max="16" width="17.7109375" customWidth="1"/>
    <col min="17" max="17" width="17.7109375" style="116" hidden="1" customWidth="1"/>
    <col min="18" max="18" width="17.7109375" hidden="1" customWidth="1"/>
    <col min="19" max="19" width="17.7109375" customWidth="1"/>
    <col min="20" max="20" width="17.7109375" style="2637" customWidth="1"/>
    <col min="21" max="22" width="17.7109375" hidden="1" customWidth="1"/>
    <col min="23" max="30" width="17.7109375" customWidth="1"/>
    <col min="31" max="32" width="17.7109375" hidden="1" customWidth="1"/>
    <col min="33" max="34" width="17.7109375" customWidth="1"/>
    <col min="35" max="36" width="17.7109375" hidden="1" customWidth="1"/>
    <col min="37" max="40" width="17.7109375" customWidth="1"/>
    <col min="41" max="42" width="17.7109375" hidden="1" customWidth="1"/>
    <col min="43" max="44" width="17.7109375" customWidth="1"/>
    <col min="45" max="46" width="17.7109375" hidden="1" customWidth="1"/>
    <col min="47" max="50" width="17.7109375" customWidth="1"/>
    <col min="51" max="51" width="14" bestFit="1" customWidth="1"/>
    <col min="52" max="52" width="14.85546875" customWidth="1"/>
    <col min="53" max="53" width="14" style="5060" bestFit="1" customWidth="1"/>
    <col min="54" max="54" width="21" style="5060" customWidth="1"/>
    <col min="55" max="55" width="15.5703125" style="5060" bestFit="1" customWidth="1"/>
    <col min="56" max="56" width="14.42578125" style="5060" customWidth="1"/>
    <col min="57" max="57" width="15.5703125" bestFit="1" customWidth="1"/>
    <col min="58" max="58" width="27.7109375" customWidth="1"/>
    <col min="59" max="60" width="12" bestFit="1" customWidth="1"/>
    <col min="61" max="61" width="10" bestFit="1" customWidth="1"/>
  </cols>
  <sheetData>
    <row r="1" spans="1:62" ht="21" customHeight="1" x14ac:dyDescent="0.3">
      <c r="B1" s="465" t="s">
        <v>269</v>
      </c>
      <c r="C1" s="1022" t="s">
        <v>596</v>
      </c>
      <c r="D1" s="1022"/>
      <c r="E1" s="476"/>
      <c r="F1" s="126"/>
      <c r="G1" s="126"/>
      <c r="H1" s="126"/>
      <c r="I1" s="126"/>
      <c r="J1" s="126"/>
      <c r="K1" s="2071"/>
      <c r="L1" s="560"/>
      <c r="M1" s="126"/>
      <c r="N1" s="126"/>
      <c r="O1" s="2071"/>
      <c r="P1" s="122"/>
      <c r="Q1" s="126"/>
      <c r="R1" s="126"/>
      <c r="S1" s="147"/>
      <c r="T1" s="2652"/>
      <c r="U1" s="122"/>
      <c r="V1" s="122"/>
      <c r="W1" s="122"/>
      <c r="X1" s="122"/>
      <c r="Y1" s="122"/>
      <c r="Z1" s="122"/>
      <c r="AA1" s="122"/>
      <c r="AB1" s="122"/>
    </row>
    <row r="2" spans="1:62" s="186" customFormat="1" ht="21" customHeight="1" thickBot="1" x14ac:dyDescent="0.3">
      <c r="B2" s="3944"/>
      <c r="C2" s="3944" t="s">
        <v>597</v>
      </c>
      <c r="D2" s="3945">
        <v>366</v>
      </c>
      <c r="E2" s="3946">
        <v>30</v>
      </c>
      <c r="F2" s="3946">
        <v>30</v>
      </c>
      <c r="G2" s="3946">
        <v>31</v>
      </c>
      <c r="H2" s="3946">
        <v>31</v>
      </c>
      <c r="I2" s="3946">
        <f>+E2+G2</f>
        <v>61</v>
      </c>
      <c r="J2" s="3946">
        <f>+F2+H2</f>
        <v>61</v>
      </c>
      <c r="K2" s="3947">
        <v>30</v>
      </c>
      <c r="L2" s="3946">
        <v>30</v>
      </c>
      <c r="M2" s="3946">
        <f>+I2+K2</f>
        <v>91</v>
      </c>
      <c r="N2" s="3946">
        <f>+J2+L2</f>
        <v>91</v>
      </c>
      <c r="O2" s="3947">
        <v>31</v>
      </c>
      <c r="P2" s="3946">
        <v>31</v>
      </c>
      <c r="Q2" s="3946">
        <f>+M2+O2</f>
        <v>122</v>
      </c>
      <c r="R2" s="3946">
        <f>+N2+P2</f>
        <v>122</v>
      </c>
      <c r="S2" s="3946">
        <v>31</v>
      </c>
      <c r="T2" s="3948">
        <v>31</v>
      </c>
      <c r="U2" s="3946">
        <f>+Q2+S2</f>
        <v>153</v>
      </c>
      <c r="V2" s="3946">
        <f>+R2+T2</f>
        <v>153</v>
      </c>
      <c r="W2" s="3946">
        <v>30</v>
      </c>
      <c r="X2" s="3946">
        <v>30</v>
      </c>
      <c r="Y2" s="3946">
        <f>O2+S2+W2</f>
        <v>92</v>
      </c>
      <c r="Z2" s="3946">
        <f>P2+T2+X2</f>
        <v>92</v>
      </c>
      <c r="AA2" s="3946">
        <f>+U2+W2</f>
        <v>183</v>
      </c>
      <c r="AB2" s="3946">
        <f>+V2+X2</f>
        <v>183</v>
      </c>
      <c r="AC2" s="3946">
        <v>31</v>
      </c>
      <c r="AD2" s="3946">
        <v>31</v>
      </c>
      <c r="AE2" s="3946">
        <f>+AA2+AC2</f>
        <v>214</v>
      </c>
      <c r="AF2" s="3946">
        <f>+AB2+AD2</f>
        <v>214</v>
      </c>
      <c r="AG2" s="3946">
        <v>30</v>
      </c>
      <c r="AH2" s="3946">
        <v>30</v>
      </c>
      <c r="AI2" s="3946">
        <f>+AE2+AG2</f>
        <v>244</v>
      </c>
      <c r="AJ2" s="3946">
        <f>+AF2+AH2</f>
        <v>244</v>
      </c>
      <c r="AK2" s="3946">
        <v>31</v>
      </c>
      <c r="AL2" s="3946">
        <v>31</v>
      </c>
      <c r="AM2" s="3946">
        <f>AC2+AG2+AK2</f>
        <v>92</v>
      </c>
      <c r="AN2" s="3946">
        <f>AD2+AH2+AL2</f>
        <v>92</v>
      </c>
      <c r="AO2" s="3946">
        <f>AI2+AK2</f>
        <v>275</v>
      </c>
      <c r="AP2" s="3946">
        <f>AJ2+AL2</f>
        <v>275</v>
      </c>
      <c r="AQ2" s="3946">
        <v>31</v>
      </c>
      <c r="AR2" s="3946">
        <v>31</v>
      </c>
      <c r="AS2" s="3946">
        <f>+AO2+AQ2</f>
        <v>306</v>
      </c>
      <c r="AT2" s="3946">
        <f>+AP2+AR2</f>
        <v>306</v>
      </c>
      <c r="AU2" s="3946">
        <v>29</v>
      </c>
      <c r="AV2" s="3946">
        <v>29</v>
      </c>
      <c r="AW2" s="3946">
        <f>+AS2+AU2</f>
        <v>335</v>
      </c>
      <c r="AX2" s="3946">
        <f>+AT2+AV2</f>
        <v>335</v>
      </c>
      <c r="AY2" s="3946">
        <v>31</v>
      </c>
      <c r="AZ2" s="3946">
        <v>31</v>
      </c>
      <c r="BA2" s="3946">
        <f>AQ2+AU2+AY2</f>
        <v>91</v>
      </c>
      <c r="BB2" s="3946">
        <f>AR2+AV2+AZ2</f>
        <v>91</v>
      </c>
      <c r="BC2" s="3946">
        <f>+AM2+BA2</f>
        <v>183</v>
      </c>
      <c r="BD2" s="3946">
        <f>+AN2+BB2</f>
        <v>183</v>
      </c>
      <c r="BE2" s="3946">
        <f>+AW2+AY2</f>
        <v>366</v>
      </c>
      <c r="BF2" s="3946">
        <f>+AX2+AZ2</f>
        <v>366</v>
      </c>
    </row>
    <row r="3" spans="1:62" ht="21" customHeight="1" x14ac:dyDescent="0.25">
      <c r="B3" s="6394" t="s">
        <v>175</v>
      </c>
      <c r="C3" s="6396" t="s">
        <v>176</v>
      </c>
      <c r="D3" s="6399" t="s">
        <v>1469</v>
      </c>
      <c r="E3" s="6398" t="s">
        <v>1470</v>
      </c>
      <c r="F3" s="6398"/>
      <c r="G3" s="6398" t="s">
        <v>1526</v>
      </c>
      <c r="H3" s="6398"/>
      <c r="I3" s="6377" t="s">
        <v>15</v>
      </c>
      <c r="J3" s="6377"/>
      <c r="K3" s="6398" t="s">
        <v>1620</v>
      </c>
      <c r="L3" s="6398"/>
      <c r="M3" s="6362" t="s">
        <v>658</v>
      </c>
      <c r="N3" s="6362"/>
      <c r="O3" s="6376" t="s">
        <v>1689</v>
      </c>
      <c r="P3" s="6376"/>
      <c r="Q3" s="6377" t="s">
        <v>18</v>
      </c>
      <c r="R3" s="6377"/>
      <c r="S3" s="6376" t="s">
        <v>1731</v>
      </c>
      <c r="T3" s="6376"/>
      <c r="U3" s="6377" t="s">
        <v>19</v>
      </c>
      <c r="V3" s="6377"/>
      <c r="W3" s="6376" t="s">
        <v>1766</v>
      </c>
      <c r="X3" s="6376"/>
      <c r="Y3" s="6362" t="s">
        <v>682</v>
      </c>
      <c r="Z3" s="6362"/>
      <c r="AA3" s="6363" t="s">
        <v>679</v>
      </c>
      <c r="AB3" s="6363"/>
      <c r="AC3" s="6376" t="s">
        <v>1831</v>
      </c>
      <c r="AD3" s="6376"/>
      <c r="AE3" s="6377" t="s">
        <v>26</v>
      </c>
      <c r="AF3" s="6377"/>
      <c r="AG3" s="6376" t="s">
        <v>1863</v>
      </c>
      <c r="AH3" s="6376"/>
      <c r="AI3" s="6377" t="s">
        <v>29</v>
      </c>
      <c r="AJ3" s="6377"/>
      <c r="AK3" s="6376" t="s">
        <v>1888</v>
      </c>
      <c r="AL3" s="6376"/>
      <c r="AM3" s="6362" t="s">
        <v>684</v>
      </c>
      <c r="AN3" s="6362"/>
      <c r="AO3" s="6377" t="s">
        <v>1890</v>
      </c>
      <c r="AP3" s="6377"/>
      <c r="AQ3" s="6376" t="s">
        <v>1918</v>
      </c>
      <c r="AR3" s="6376"/>
      <c r="AS3" s="6377" t="s">
        <v>30</v>
      </c>
      <c r="AT3" s="6377"/>
      <c r="AU3" s="6376" t="s">
        <v>1940</v>
      </c>
      <c r="AV3" s="6376"/>
      <c r="AW3" s="6377" t="s">
        <v>32</v>
      </c>
      <c r="AX3" s="6377"/>
      <c r="AY3" s="6376" t="s">
        <v>1965</v>
      </c>
      <c r="AZ3" s="6376"/>
      <c r="BA3" s="6362" t="s">
        <v>685</v>
      </c>
      <c r="BB3" s="6362"/>
      <c r="BC3" s="6363" t="s">
        <v>693</v>
      </c>
      <c r="BD3" s="6363"/>
      <c r="BE3" s="6377" t="s">
        <v>1513</v>
      </c>
      <c r="BF3" s="6378"/>
    </row>
    <row r="4" spans="1:62" ht="21" customHeight="1" thickBot="1" x14ac:dyDescent="0.3">
      <c r="B4" s="6395"/>
      <c r="C4" s="6397"/>
      <c r="D4" s="6400"/>
      <c r="E4" s="5463" t="s">
        <v>177</v>
      </c>
      <c r="F4" s="5463" t="s">
        <v>178</v>
      </c>
      <c r="G4" s="5463" t="s">
        <v>177</v>
      </c>
      <c r="H4" s="5463" t="s">
        <v>178</v>
      </c>
      <c r="I4" s="5464" t="s">
        <v>177</v>
      </c>
      <c r="J4" s="5464" t="s">
        <v>178</v>
      </c>
      <c r="K4" s="5465" t="s">
        <v>177</v>
      </c>
      <c r="L4" s="5463" t="s">
        <v>178</v>
      </c>
      <c r="M4" s="5466" t="s">
        <v>177</v>
      </c>
      <c r="N4" s="5466" t="s">
        <v>178</v>
      </c>
      <c r="O4" s="5465" t="s">
        <v>177</v>
      </c>
      <c r="P4" s="5463" t="s">
        <v>178</v>
      </c>
      <c r="Q4" s="5464" t="s">
        <v>177</v>
      </c>
      <c r="R4" s="5464" t="s">
        <v>178</v>
      </c>
      <c r="S4" s="5465" t="s">
        <v>177</v>
      </c>
      <c r="T4" s="5467" t="s">
        <v>178</v>
      </c>
      <c r="U4" s="5464" t="s">
        <v>177</v>
      </c>
      <c r="V4" s="5464" t="s">
        <v>178</v>
      </c>
      <c r="W4" s="5465" t="s">
        <v>177</v>
      </c>
      <c r="X4" s="5463" t="s">
        <v>178</v>
      </c>
      <c r="Y4" s="5466" t="s">
        <v>177</v>
      </c>
      <c r="Z4" s="5466" t="s">
        <v>178</v>
      </c>
      <c r="AA4" s="5468" t="s">
        <v>177</v>
      </c>
      <c r="AB4" s="5468" t="s">
        <v>178</v>
      </c>
      <c r="AC4" s="5465" t="s">
        <v>177</v>
      </c>
      <c r="AD4" s="5463" t="s">
        <v>178</v>
      </c>
      <c r="AE4" s="5464" t="s">
        <v>177</v>
      </c>
      <c r="AF4" s="5464" t="s">
        <v>178</v>
      </c>
      <c r="AG4" s="5465" t="s">
        <v>177</v>
      </c>
      <c r="AH4" s="5463" t="s">
        <v>178</v>
      </c>
      <c r="AI4" s="5464" t="s">
        <v>177</v>
      </c>
      <c r="AJ4" s="5464" t="s">
        <v>178</v>
      </c>
      <c r="AK4" s="5465" t="s">
        <v>177</v>
      </c>
      <c r="AL4" s="5463" t="s">
        <v>178</v>
      </c>
      <c r="AM4" s="5466" t="s">
        <v>177</v>
      </c>
      <c r="AN4" s="5466" t="s">
        <v>178</v>
      </c>
      <c r="AO4" s="5464" t="s">
        <v>177</v>
      </c>
      <c r="AP4" s="5464" t="s">
        <v>178</v>
      </c>
      <c r="AQ4" s="5465" t="s">
        <v>177</v>
      </c>
      <c r="AR4" s="5463" t="s">
        <v>178</v>
      </c>
      <c r="AS4" s="5464" t="s">
        <v>177</v>
      </c>
      <c r="AT4" s="5464" t="s">
        <v>178</v>
      </c>
      <c r="AU4" s="5465" t="s">
        <v>177</v>
      </c>
      <c r="AV4" s="5463" t="s">
        <v>178</v>
      </c>
      <c r="AW4" s="5464" t="s">
        <v>177</v>
      </c>
      <c r="AX4" s="5464" t="s">
        <v>178</v>
      </c>
      <c r="AY4" s="5465" t="s">
        <v>177</v>
      </c>
      <c r="AZ4" s="5463" t="s">
        <v>178</v>
      </c>
      <c r="BA4" s="5466" t="s">
        <v>177</v>
      </c>
      <c r="BB4" s="5466" t="s">
        <v>178</v>
      </c>
      <c r="BC4" s="5468" t="s">
        <v>177</v>
      </c>
      <c r="BD4" s="5468" t="s">
        <v>178</v>
      </c>
      <c r="BE4" s="5464" t="s">
        <v>177</v>
      </c>
      <c r="BF4" s="5525" t="s">
        <v>178</v>
      </c>
    </row>
    <row r="5" spans="1:62" ht="21" customHeight="1" thickBot="1" x14ac:dyDescent="0.3">
      <c r="A5" s="183"/>
      <c r="B5" s="5549" t="s">
        <v>275</v>
      </c>
      <c r="C5" s="5550" t="s">
        <v>52</v>
      </c>
      <c r="D5" s="3184">
        <v>2620075.4716981133</v>
      </c>
      <c r="E5" s="5551">
        <f>+'Maj Production Summ'!E18</f>
        <v>221509.43396226401</v>
      </c>
      <c r="F5" s="5551">
        <f>+'Maj Production Summ'!F18</f>
        <v>215539</v>
      </c>
      <c r="G5" s="5551">
        <f>+'Maj Production Summ'!G18</f>
        <v>184716.98113207502</v>
      </c>
      <c r="H5" s="5551">
        <f>+'Maj Production Summ'!H18</f>
        <v>175895</v>
      </c>
      <c r="I5" s="5551">
        <f>+'Maj Production Summ'!I18</f>
        <v>406226.41509433906</v>
      </c>
      <c r="J5" s="5551">
        <f>+'Maj Production Summ'!J18</f>
        <v>391434</v>
      </c>
      <c r="K5" s="5551">
        <f>+'Maj Production Summ'!K18</f>
        <v>180641.509433962</v>
      </c>
      <c r="L5" s="5551">
        <f>+'Maj Production Summ'!L18</f>
        <v>187063</v>
      </c>
      <c r="M5" s="5551">
        <f>+'Maj Production Summ'!M18</f>
        <v>586867.924528301</v>
      </c>
      <c r="N5" s="5551">
        <f>+'Maj Production Summ'!N18</f>
        <v>578497</v>
      </c>
      <c r="O5" s="5551">
        <f>+'Maj Production Summ'!O18</f>
        <v>224339.62264150902</v>
      </c>
      <c r="P5" s="5551">
        <f>+'Maj Production Summ'!P18</f>
        <v>230148</v>
      </c>
      <c r="Q5" s="5551">
        <f>+'Maj Production Summ'!Q18</f>
        <v>811207.54716981004</v>
      </c>
      <c r="R5" s="5551">
        <f>+'Maj Production Summ'!R18</f>
        <v>808645</v>
      </c>
      <c r="S5" s="5551">
        <f>+'Maj Production Summ'!S18</f>
        <v>224339.62264150943</v>
      </c>
      <c r="T5" s="5552">
        <f>+'Maj Production Summ'!T18</f>
        <v>224642</v>
      </c>
      <c r="U5" s="5551">
        <f>+'Maj Production Summ'!U18</f>
        <v>1035547.1698113194</v>
      </c>
      <c r="V5" s="5551">
        <f>+'Maj Production Summ'!V18</f>
        <v>1033287</v>
      </c>
      <c r="W5" s="5551">
        <f>+'Maj Production Summ'!W18</f>
        <v>217735.84905660377</v>
      </c>
      <c r="X5" s="5552">
        <f>+'Maj Production Summ'!X18</f>
        <v>210766</v>
      </c>
      <c r="Y5" s="5551">
        <f>+'Maj Production Summ'!Y18</f>
        <v>666415.09433962218</v>
      </c>
      <c r="Z5" s="5551">
        <f>+'Maj Production Summ'!Z18</f>
        <v>665556</v>
      </c>
      <c r="AA5" s="5551">
        <f>+'Maj Production Summ'!AA18</f>
        <v>1253283.0188679232</v>
      </c>
      <c r="AB5" s="5551">
        <f>+'Maj Production Summ'!AB18</f>
        <v>1244053</v>
      </c>
      <c r="AC5" s="5551">
        <f>+'Maj Production Summ'!AC18</f>
        <v>230943.396226415</v>
      </c>
      <c r="AD5" s="5552">
        <f>+'Maj Production Summ'!AD18</f>
        <v>223439</v>
      </c>
      <c r="AE5" s="5551">
        <f>+'Maj Production Summ'!AE18</f>
        <v>1484226.4150943381</v>
      </c>
      <c r="AF5" s="5551">
        <f>+'Maj Production Summ'!AF18</f>
        <v>1467492</v>
      </c>
      <c r="AG5" s="5551">
        <f>+'Maj Production Summ'!AG18</f>
        <v>223396.22641509399</v>
      </c>
      <c r="AH5" s="5552">
        <f>+'Maj Production Summ'!AH18</f>
        <v>192334</v>
      </c>
      <c r="AI5" s="5551">
        <f>+'Maj Production Summ'!AI18</f>
        <v>1707622.6415094321</v>
      </c>
      <c r="AJ5" s="5551">
        <f>+'Maj Production Summ'!AJ18</f>
        <v>1659826</v>
      </c>
      <c r="AK5" s="5551">
        <f>+'Maj Production Summ'!AK18</f>
        <v>231886.79245283001</v>
      </c>
      <c r="AL5" s="5552">
        <f>+'Maj Production Summ'!AL18</f>
        <v>217585</v>
      </c>
      <c r="AM5" s="5551">
        <f>+'Maj Production Summ'!AM18</f>
        <v>686226.41509433906</v>
      </c>
      <c r="AN5" s="5551">
        <f>+'Maj Production Summ'!AN18</f>
        <v>633358</v>
      </c>
      <c r="AO5" s="5551">
        <f>+'Maj Production Summ'!AO18</f>
        <v>1939509.4339622622</v>
      </c>
      <c r="AP5" s="5551">
        <f>+'Maj Production Summ'!AP18</f>
        <v>1877411</v>
      </c>
      <c r="AQ5" s="5551">
        <f>+'Maj Production Summ'!AQ18</f>
        <v>231886.79245283001</v>
      </c>
      <c r="AR5" s="5552">
        <f>+'Maj Production Summ'!AR18</f>
        <v>217679</v>
      </c>
      <c r="AS5" s="5551">
        <f>+'Maj Production Summ'!AS18</f>
        <v>2171396.2264150921</v>
      </c>
      <c r="AT5" s="5551">
        <f>+'Maj Production Summ'!AT18</f>
        <v>2095090</v>
      </c>
      <c r="AU5" s="5551">
        <f>+'Maj Production Summ'!AU18</f>
        <v>215849.05660377399</v>
      </c>
      <c r="AV5" s="5552">
        <f>+'Maj Production Summ'!AV18</f>
        <v>214408</v>
      </c>
      <c r="AW5" s="5551">
        <f>+'Maj Production Summ'!AW18</f>
        <v>2387245.2830188661</v>
      </c>
      <c r="AX5" s="5551">
        <f>+'Maj Production Summ'!AX18</f>
        <v>2309498</v>
      </c>
      <c r="AY5" s="5551">
        <f>+'Maj Production Summ'!AY18</f>
        <v>232830.18867924501</v>
      </c>
      <c r="AZ5" s="5552">
        <f>+'Maj Production Summ'!AZ18</f>
        <v>219427</v>
      </c>
      <c r="BA5" s="5551">
        <f>+'Maj Production Summ'!BA18</f>
        <v>680566.03773584892</v>
      </c>
      <c r="BB5" s="5551">
        <f>+'Maj Production Summ'!BB18</f>
        <v>651514</v>
      </c>
      <c r="BC5" s="5551">
        <f>+'Maj Production Summ'!BC18</f>
        <v>1366792.452830188</v>
      </c>
      <c r="BD5" s="5551">
        <f>+'Maj Production Summ'!BD18</f>
        <v>1284872</v>
      </c>
      <c r="BE5" s="5551">
        <f>+'Maj Production Summ'!BE18</f>
        <v>2620075.4716981109</v>
      </c>
      <c r="BF5" s="3185">
        <f>+'Maj Production Summ'!BF18</f>
        <v>2528925</v>
      </c>
      <c r="BG5" s="26"/>
      <c r="BH5" s="26"/>
      <c r="BI5" s="26"/>
      <c r="BJ5" s="26"/>
    </row>
    <row r="6" spans="1:62" ht="21" customHeight="1" x14ac:dyDescent="0.25">
      <c r="A6" s="183"/>
      <c r="B6" s="5553" t="s">
        <v>505</v>
      </c>
      <c r="C6" s="5393"/>
      <c r="D6" s="5448"/>
      <c r="E6" s="5554"/>
      <c r="F6" s="5554"/>
      <c r="G6" s="5554"/>
      <c r="H6" s="5554"/>
      <c r="I6" s="5554"/>
      <c r="J6" s="5554"/>
      <c r="K6" s="5554"/>
      <c r="L6" s="5554"/>
      <c r="M6" s="5554"/>
      <c r="N6" s="5554"/>
      <c r="O6" s="5554"/>
      <c r="P6" s="5554"/>
      <c r="Q6" s="5554"/>
      <c r="R6" s="5554"/>
      <c r="S6" s="5554"/>
      <c r="T6" s="5555"/>
      <c r="U6" s="5554"/>
      <c r="V6" s="5554"/>
      <c r="W6" s="5554"/>
      <c r="X6" s="5555"/>
      <c r="Y6" s="5554"/>
      <c r="Z6" s="5554"/>
      <c r="AA6" s="5554"/>
      <c r="AB6" s="5554"/>
      <c r="AC6" s="5554"/>
      <c r="AD6" s="5555"/>
      <c r="AE6" s="5554"/>
      <c r="AF6" s="5554"/>
      <c r="AG6" s="5554"/>
      <c r="AH6" s="5555"/>
      <c r="AI6" s="5554"/>
      <c r="AJ6" s="5554"/>
      <c r="AK6" s="5554"/>
      <c r="AL6" s="5555"/>
      <c r="AM6" s="5554"/>
      <c r="AN6" s="5554"/>
      <c r="AO6" s="5554"/>
      <c r="AP6" s="5554"/>
      <c r="AQ6" s="5554"/>
      <c r="AR6" s="5555"/>
      <c r="AS6" s="5554"/>
      <c r="AT6" s="5554"/>
      <c r="AU6" s="5554"/>
      <c r="AV6" s="5555"/>
      <c r="AW6" s="5554"/>
      <c r="AX6" s="5554"/>
      <c r="AY6" s="5554"/>
      <c r="AZ6" s="5555"/>
      <c r="BA6" s="5554"/>
      <c r="BB6" s="5554"/>
      <c r="BC6" s="5554"/>
      <c r="BD6" s="5554"/>
      <c r="BE6" s="5554"/>
      <c r="BF6" s="5556"/>
      <c r="BG6" s="26"/>
      <c r="BH6" s="26"/>
      <c r="BI6" s="26"/>
      <c r="BJ6" s="26"/>
    </row>
    <row r="7" spans="1:62" ht="21" customHeight="1" x14ac:dyDescent="0.25">
      <c r="A7" s="6386" t="s">
        <v>478</v>
      </c>
      <c r="B7" s="3977" t="s">
        <v>270</v>
      </c>
      <c r="C7" s="5458" t="s">
        <v>179</v>
      </c>
      <c r="D7" s="6401">
        <f>+(D5/D52)</f>
        <v>17467.169811320757</v>
      </c>
      <c r="E7" s="6379">
        <f>+(E5/E52)</f>
        <v>1476.7295597484267</v>
      </c>
      <c r="F7" s="5471">
        <v>490</v>
      </c>
      <c r="G7" s="6379">
        <f>+(G5/G52)</f>
        <v>1231.4465408805002</v>
      </c>
      <c r="H7" s="5471">
        <v>336</v>
      </c>
      <c r="I7" s="6381">
        <f>+(I5/I52)</f>
        <v>2708.1761006289271</v>
      </c>
      <c r="J7" s="5472">
        <f>+F7+H7</f>
        <v>826</v>
      </c>
      <c r="K7" s="6379">
        <f>+(K5/K52)</f>
        <v>1204.2767295597466</v>
      </c>
      <c r="L7" s="5471">
        <v>380</v>
      </c>
      <c r="M7" s="6364">
        <f>+(M5/M52)</f>
        <v>3912.4528301886735</v>
      </c>
      <c r="N7" s="5473">
        <f>+L7+H7+F7</f>
        <v>1206</v>
      </c>
      <c r="O7" s="6379">
        <f>+(O5/O52)</f>
        <v>1495.5974842767268</v>
      </c>
      <c r="P7" s="5471">
        <v>467</v>
      </c>
      <c r="Q7" s="6381">
        <f>+(Q5/Q52)</f>
        <v>5408.0503144654003</v>
      </c>
      <c r="R7" s="5472">
        <f>+N7+P7</f>
        <v>1673</v>
      </c>
      <c r="S7" s="6379">
        <f>+(S5/S52)</f>
        <v>1495.5974842767296</v>
      </c>
      <c r="T7" s="5474">
        <v>498</v>
      </c>
      <c r="U7" s="6381">
        <f>+(U5/U52)</f>
        <v>6903.6477987421295</v>
      </c>
      <c r="V7" s="5472">
        <f>+R7+T7</f>
        <v>2171</v>
      </c>
      <c r="W7" s="6379">
        <f>+(W5/W52)</f>
        <v>1451.5723270440251</v>
      </c>
      <c r="X7" s="5474">
        <v>416</v>
      </c>
      <c r="Y7" s="6364">
        <f>+(Y5/Y52)</f>
        <v>4442.7672955974813</v>
      </c>
      <c r="Z7" s="5473">
        <f>+P7+T7+X7</f>
        <v>1381</v>
      </c>
      <c r="AA7" s="6366">
        <f>+(AA5/AA52)</f>
        <v>8355.2201257861525</v>
      </c>
      <c r="AB7" s="5475">
        <f>+Z7+N7</f>
        <v>2587</v>
      </c>
      <c r="AC7" s="6379">
        <f>+(AC5/AC52)</f>
        <v>1539.6226415094334</v>
      </c>
      <c r="AD7" s="5474">
        <v>269</v>
      </c>
      <c r="AE7" s="6381">
        <f>+(AE5/AE52)</f>
        <v>9894.8427672955877</v>
      </c>
      <c r="AF7" s="5472">
        <f>+AB7+AD7</f>
        <v>2856</v>
      </c>
      <c r="AG7" s="6379">
        <f>+(AG5/AG52)</f>
        <v>1489.3081761006265</v>
      </c>
      <c r="AH7" s="5474">
        <v>592</v>
      </c>
      <c r="AI7" s="6381">
        <f>+(AI5/AI52)</f>
        <v>11384.150943396215</v>
      </c>
      <c r="AJ7" s="5472">
        <f>+AF7+AH7</f>
        <v>3448</v>
      </c>
      <c r="AK7" s="6379">
        <f>+(AK5/AK52)</f>
        <v>1545.9119496855333</v>
      </c>
      <c r="AL7" s="5474">
        <v>523</v>
      </c>
      <c r="AM7" s="6364">
        <f>+(AM5/AM52)</f>
        <v>4574.8427672955931</v>
      </c>
      <c r="AN7" s="5473">
        <f>+AD7+AH7+AL7</f>
        <v>1384</v>
      </c>
      <c r="AO7" s="6381">
        <f>+(AO5/AO52)</f>
        <v>12930.062893081747</v>
      </c>
      <c r="AP7" s="5472">
        <f>+AL7+AJ7</f>
        <v>3971</v>
      </c>
      <c r="AQ7" s="6379">
        <f>+(AQ5/AQ52)</f>
        <v>1545.9119496855333</v>
      </c>
      <c r="AR7" s="5474">
        <v>507</v>
      </c>
      <c r="AS7" s="6381">
        <f>+(AS5/AS52)</f>
        <v>14475.974842767284</v>
      </c>
      <c r="AT7" s="5472">
        <f>+AP7+AR7</f>
        <v>4478</v>
      </c>
      <c r="AU7" s="6379">
        <f>+(AU5/AU52)</f>
        <v>1438.9937106918267</v>
      </c>
      <c r="AV7" s="5474">
        <v>519</v>
      </c>
      <c r="AW7" s="6381">
        <f>+(AW5/AW52)</f>
        <v>15914.96855345911</v>
      </c>
      <c r="AX7" s="5472">
        <f>+AT7+AV7</f>
        <v>4997</v>
      </c>
      <c r="AY7" s="6379">
        <f>+(AY5/AY52)</f>
        <v>1552.2012578616334</v>
      </c>
      <c r="AZ7" s="5474">
        <v>533</v>
      </c>
      <c r="BA7" s="6364">
        <f>+(BA5/BA52)</f>
        <v>4537.1069182389929</v>
      </c>
      <c r="BB7" s="5473">
        <f>+AR7+AV7+AZ7</f>
        <v>1559</v>
      </c>
      <c r="BC7" s="6366">
        <f>+(BC5/BC52)</f>
        <v>9111.9496855345842</v>
      </c>
      <c r="BD7" s="5475">
        <f>+BB7+AN7</f>
        <v>2943</v>
      </c>
      <c r="BE7" s="6381">
        <f>+(BE5/BE52)</f>
        <v>17467.169811320739</v>
      </c>
      <c r="BF7" s="5394">
        <f>+AX7+AZ7</f>
        <v>5530</v>
      </c>
      <c r="BG7" s="26"/>
      <c r="BH7" s="26"/>
      <c r="BI7" s="26"/>
      <c r="BJ7" s="26"/>
    </row>
    <row r="8" spans="1:62" ht="21" customHeight="1" x14ac:dyDescent="0.25">
      <c r="A8" s="6386"/>
      <c r="B8" s="3977" t="s">
        <v>271</v>
      </c>
      <c r="C8" s="5458" t="s">
        <v>179</v>
      </c>
      <c r="D8" s="6401"/>
      <c r="E8" s="6379"/>
      <c r="F8" s="5471">
        <v>666</v>
      </c>
      <c r="G8" s="6379"/>
      <c r="H8" s="5471">
        <v>403</v>
      </c>
      <c r="I8" s="6381"/>
      <c r="J8" s="5472">
        <f>+F8+H8</f>
        <v>1069</v>
      </c>
      <c r="K8" s="6379"/>
      <c r="L8" s="5471">
        <v>385</v>
      </c>
      <c r="M8" s="6364"/>
      <c r="N8" s="5473">
        <f t="shared" ref="N8:N14" si="0">+L8+H8+F8</f>
        <v>1454</v>
      </c>
      <c r="O8" s="6379"/>
      <c r="P8" s="5471">
        <v>528</v>
      </c>
      <c r="Q8" s="6381"/>
      <c r="R8" s="5472">
        <f>+N8+P8</f>
        <v>1982</v>
      </c>
      <c r="S8" s="6379"/>
      <c r="T8" s="5474">
        <v>449</v>
      </c>
      <c r="U8" s="6381"/>
      <c r="V8" s="5472">
        <f>+R8+T8</f>
        <v>2431</v>
      </c>
      <c r="W8" s="6379"/>
      <c r="X8" s="5474">
        <v>484</v>
      </c>
      <c r="Y8" s="6364"/>
      <c r="Z8" s="5473">
        <f>+P8+T8+X8</f>
        <v>1461</v>
      </c>
      <c r="AA8" s="6366"/>
      <c r="AB8" s="5475">
        <f>+Z8+N8</f>
        <v>2915</v>
      </c>
      <c r="AC8" s="6379"/>
      <c r="AD8" s="5474">
        <v>598</v>
      </c>
      <c r="AE8" s="6381"/>
      <c r="AF8" s="5472">
        <f>+AB8+AD8</f>
        <v>3513</v>
      </c>
      <c r="AG8" s="6379"/>
      <c r="AH8" s="5474">
        <v>232</v>
      </c>
      <c r="AI8" s="6381"/>
      <c r="AJ8" s="5472">
        <f>+AF8+AH8</f>
        <v>3745</v>
      </c>
      <c r="AK8" s="6379"/>
      <c r="AL8" s="5474">
        <v>427</v>
      </c>
      <c r="AM8" s="6364"/>
      <c r="AN8" s="5473">
        <f>+AD8+AH8+AL8</f>
        <v>1257</v>
      </c>
      <c r="AO8" s="6381"/>
      <c r="AP8" s="5472">
        <f t="shared" ref="AP8:AP14" si="1">+AL8+AJ8</f>
        <v>4172</v>
      </c>
      <c r="AQ8" s="6379"/>
      <c r="AR8" s="5474">
        <v>472</v>
      </c>
      <c r="AS8" s="6381"/>
      <c r="AT8" s="5472">
        <f>+AP8+AR8</f>
        <v>4644</v>
      </c>
      <c r="AU8" s="6379"/>
      <c r="AV8" s="5474">
        <v>447</v>
      </c>
      <c r="AW8" s="6381"/>
      <c r="AX8" s="5472">
        <f>+AT8+AV8</f>
        <v>5091</v>
      </c>
      <c r="AY8" s="6379"/>
      <c r="AZ8" s="5474">
        <v>485</v>
      </c>
      <c r="BA8" s="6364"/>
      <c r="BB8" s="5473">
        <f>+AR8+AV8+AZ8</f>
        <v>1404</v>
      </c>
      <c r="BC8" s="6366"/>
      <c r="BD8" s="5475">
        <f t="shared" ref="BD8:BD9" si="2">+BB8+AN8</f>
        <v>2661</v>
      </c>
      <c r="BE8" s="6381"/>
      <c r="BF8" s="5394">
        <f>+AX8+AZ8</f>
        <v>5576</v>
      </c>
      <c r="BG8" s="26"/>
      <c r="BH8" s="26"/>
      <c r="BI8" s="26"/>
      <c r="BJ8" s="26"/>
    </row>
    <row r="9" spans="1:62" ht="21" customHeight="1" thickBot="1" x14ac:dyDescent="0.3">
      <c r="A9" s="6386"/>
      <c r="B9" s="5395" t="s">
        <v>272</v>
      </c>
      <c r="C9" s="5396" t="s">
        <v>179</v>
      </c>
      <c r="D9" s="6401"/>
      <c r="E9" s="6379"/>
      <c r="F9" s="5471">
        <v>305</v>
      </c>
      <c r="G9" s="6379"/>
      <c r="H9" s="5471">
        <v>436</v>
      </c>
      <c r="I9" s="6381"/>
      <c r="J9" s="5472">
        <f>+F9+H9</f>
        <v>741</v>
      </c>
      <c r="K9" s="6379"/>
      <c r="L9" s="5471">
        <v>495</v>
      </c>
      <c r="M9" s="6364"/>
      <c r="N9" s="5473">
        <f t="shared" si="0"/>
        <v>1236</v>
      </c>
      <c r="O9" s="6379"/>
      <c r="P9" s="5471">
        <v>549</v>
      </c>
      <c r="Q9" s="6381"/>
      <c r="R9" s="5472">
        <f>+N9+P9</f>
        <v>1785</v>
      </c>
      <c r="S9" s="6379"/>
      <c r="T9" s="5474">
        <v>552</v>
      </c>
      <c r="U9" s="6381"/>
      <c r="V9" s="5472">
        <f>+R9+T9</f>
        <v>2337</v>
      </c>
      <c r="W9" s="6379"/>
      <c r="X9" s="5474">
        <v>511</v>
      </c>
      <c r="Y9" s="6364"/>
      <c r="Z9" s="5473">
        <f t="shared" ref="Z9:Z14" si="3">+P9+T9+X9</f>
        <v>1612</v>
      </c>
      <c r="AA9" s="6366"/>
      <c r="AB9" s="5475">
        <f>+Z9+N9</f>
        <v>2848</v>
      </c>
      <c r="AC9" s="6379"/>
      <c r="AD9" s="5474">
        <v>630</v>
      </c>
      <c r="AE9" s="6381"/>
      <c r="AF9" s="5472">
        <f>+AB9+AD9</f>
        <v>3478</v>
      </c>
      <c r="AG9" s="6379"/>
      <c r="AH9" s="5474">
        <v>450</v>
      </c>
      <c r="AI9" s="6381"/>
      <c r="AJ9" s="5472">
        <f>+AF9+AH9</f>
        <v>3928</v>
      </c>
      <c r="AK9" s="6379"/>
      <c r="AL9" s="5474">
        <v>498</v>
      </c>
      <c r="AM9" s="6364"/>
      <c r="AN9" s="5473">
        <f t="shared" ref="AN9" si="4">+AD9+AH9+AL9</f>
        <v>1578</v>
      </c>
      <c r="AO9" s="6381"/>
      <c r="AP9" s="5472">
        <f t="shared" si="1"/>
        <v>4426</v>
      </c>
      <c r="AQ9" s="6379"/>
      <c r="AR9" s="5474">
        <v>478</v>
      </c>
      <c r="AS9" s="6381"/>
      <c r="AT9" s="5472">
        <f>+AP9+AR9</f>
        <v>4904</v>
      </c>
      <c r="AU9" s="6379"/>
      <c r="AV9" s="5474">
        <v>465</v>
      </c>
      <c r="AW9" s="6381"/>
      <c r="AX9" s="5472">
        <f>+AT9+AV9</f>
        <v>5369</v>
      </c>
      <c r="AY9" s="6379"/>
      <c r="AZ9" s="5474">
        <v>455</v>
      </c>
      <c r="BA9" s="6364"/>
      <c r="BB9" s="5473">
        <f t="shared" ref="BB9" si="5">+AR9+AV9+AZ9</f>
        <v>1398</v>
      </c>
      <c r="BC9" s="6366"/>
      <c r="BD9" s="5475">
        <f t="shared" si="2"/>
        <v>2976</v>
      </c>
      <c r="BE9" s="6381"/>
      <c r="BF9" s="5394">
        <f>+AX9+AZ9</f>
        <v>5824</v>
      </c>
      <c r="BG9" s="26"/>
      <c r="BH9" s="26"/>
      <c r="BI9" s="26"/>
      <c r="BJ9" s="26"/>
    </row>
    <row r="10" spans="1:62" ht="21" customHeight="1" thickBot="1" x14ac:dyDescent="0.3">
      <c r="A10" s="6386"/>
      <c r="B10" s="5397" t="s">
        <v>273</v>
      </c>
      <c r="C10" s="5398" t="s">
        <v>179</v>
      </c>
      <c r="D10" s="6402"/>
      <c r="E10" s="6380"/>
      <c r="F10" s="5544">
        <f>SUM(F7:F9)</f>
        <v>1461</v>
      </c>
      <c r="G10" s="6380"/>
      <c r="H10" s="5544">
        <f>SUM(H7:H9)</f>
        <v>1175</v>
      </c>
      <c r="I10" s="6382"/>
      <c r="J10" s="5540">
        <f>SUM(J7:J9)</f>
        <v>2636</v>
      </c>
      <c r="K10" s="6380"/>
      <c r="L10" s="5544">
        <f>SUM(L7:L9)</f>
        <v>1260</v>
      </c>
      <c r="M10" s="6365"/>
      <c r="N10" s="5542">
        <f>SUM(N7:N9)</f>
        <v>3896</v>
      </c>
      <c r="O10" s="6380"/>
      <c r="P10" s="5544">
        <f>SUM(P7:P9)</f>
        <v>1544</v>
      </c>
      <c r="Q10" s="6382"/>
      <c r="R10" s="5540">
        <f>SUM(R7:R9)</f>
        <v>5440</v>
      </c>
      <c r="S10" s="6380"/>
      <c r="T10" s="5557">
        <f>SUM(T7:T9)</f>
        <v>1499</v>
      </c>
      <c r="U10" s="6382"/>
      <c r="V10" s="5540">
        <f>SUM(V7:V9)</f>
        <v>6939</v>
      </c>
      <c r="W10" s="6380"/>
      <c r="X10" s="5557">
        <f>SUM(X7:X9)</f>
        <v>1411</v>
      </c>
      <c r="Y10" s="6365"/>
      <c r="Z10" s="5542">
        <f>SUM(Z7:Z9)</f>
        <v>4454</v>
      </c>
      <c r="AA10" s="6367"/>
      <c r="AB10" s="5546">
        <f>SUM(AB7:AB9)</f>
        <v>8350</v>
      </c>
      <c r="AC10" s="6380"/>
      <c r="AD10" s="5557">
        <f>SUM(AD7:AD9)</f>
        <v>1497</v>
      </c>
      <c r="AE10" s="6382"/>
      <c r="AF10" s="5540">
        <f>SUM(AF7:AF9)</f>
        <v>9847</v>
      </c>
      <c r="AG10" s="6380"/>
      <c r="AH10" s="5557">
        <f>SUM(AH7:AH9)</f>
        <v>1274</v>
      </c>
      <c r="AI10" s="6382"/>
      <c r="AJ10" s="5540">
        <f>SUM(AJ7:AJ9)</f>
        <v>11121</v>
      </c>
      <c r="AK10" s="6380"/>
      <c r="AL10" s="5557">
        <f>SUM(AL7:AL9)</f>
        <v>1448</v>
      </c>
      <c r="AM10" s="6365"/>
      <c r="AN10" s="5542">
        <f>SUM(AN7:AN9)</f>
        <v>4219</v>
      </c>
      <c r="AO10" s="6382"/>
      <c r="AP10" s="5540">
        <f>SUM(AP7:AP9)</f>
        <v>12569</v>
      </c>
      <c r="AQ10" s="6380"/>
      <c r="AR10" s="5557">
        <f>SUM(AR7:AR9)</f>
        <v>1457</v>
      </c>
      <c r="AS10" s="6382"/>
      <c r="AT10" s="5540">
        <f>SUM(AT7:AT9)</f>
        <v>14026</v>
      </c>
      <c r="AU10" s="6380"/>
      <c r="AV10" s="5557">
        <f>SUM(AV7:AV9)</f>
        <v>1431</v>
      </c>
      <c r="AW10" s="6382"/>
      <c r="AX10" s="5540">
        <f>SUM(AX7:AX9)</f>
        <v>15457</v>
      </c>
      <c r="AY10" s="6380"/>
      <c r="AZ10" s="5557">
        <f>SUM(AZ7:AZ9)</f>
        <v>1473</v>
      </c>
      <c r="BA10" s="6365"/>
      <c r="BB10" s="5542">
        <f>SUM(BB7:BB9)</f>
        <v>4361</v>
      </c>
      <c r="BC10" s="6367"/>
      <c r="BD10" s="5546">
        <f>SUM(BD7:BD9)</f>
        <v>8580</v>
      </c>
      <c r="BE10" s="6382"/>
      <c r="BF10" s="5558">
        <f>SUM(BF7:BF9)</f>
        <v>16930</v>
      </c>
      <c r="BG10" s="26"/>
      <c r="BH10" s="26"/>
      <c r="BI10" s="26"/>
      <c r="BJ10" s="26"/>
    </row>
    <row r="11" spans="1:62" ht="21" customHeight="1" x14ac:dyDescent="0.25">
      <c r="B11" s="5399" t="s">
        <v>628</v>
      </c>
      <c r="C11" s="5400" t="s">
        <v>179</v>
      </c>
      <c r="D11" s="5401" t="s">
        <v>34</v>
      </c>
      <c r="E11" s="5559" t="s">
        <v>34</v>
      </c>
      <c r="F11" s="5560">
        <v>16</v>
      </c>
      <c r="G11" s="5559" t="s">
        <v>34</v>
      </c>
      <c r="H11" s="5560">
        <v>9</v>
      </c>
      <c r="I11" s="5561" t="s">
        <v>34</v>
      </c>
      <c r="J11" s="5562">
        <f t="shared" ref="J11:J20" si="6">+F11+H11</f>
        <v>25</v>
      </c>
      <c r="K11" s="5559" t="s">
        <v>34</v>
      </c>
      <c r="L11" s="5560">
        <v>6</v>
      </c>
      <c r="M11" s="5563" t="s">
        <v>34</v>
      </c>
      <c r="N11" s="5564">
        <f t="shared" si="0"/>
        <v>31</v>
      </c>
      <c r="O11" s="5559" t="s">
        <v>34</v>
      </c>
      <c r="P11" s="5560">
        <v>6</v>
      </c>
      <c r="Q11" s="5561" t="s">
        <v>34</v>
      </c>
      <c r="R11" s="5562">
        <f t="shared" ref="R11:R20" si="7">+N11+P11</f>
        <v>37</v>
      </c>
      <c r="S11" s="5565" t="s">
        <v>34</v>
      </c>
      <c r="T11" s="5566">
        <v>6</v>
      </c>
      <c r="U11" s="5561" t="s">
        <v>34</v>
      </c>
      <c r="V11" s="5562">
        <f t="shared" ref="V11:V20" si="8">+R11+T11</f>
        <v>43</v>
      </c>
      <c r="W11" s="5565" t="s">
        <v>34</v>
      </c>
      <c r="X11" s="5566">
        <v>9</v>
      </c>
      <c r="Y11" s="5563" t="s">
        <v>34</v>
      </c>
      <c r="Z11" s="5564">
        <f t="shared" si="3"/>
        <v>21</v>
      </c>
      <c r="AA11" s="5567" t="s">
        <v>34</v>
      </c>
      <c r="AB11" s="5568">
        <f>+Z11+N11</f>
        <v>52</v>
      </c>
      <c r="AC11" s="5565" t="s">
        <v>34</v>
      </c>
      <c r="AD11" s="5566">
        <v>9</v>
      </c>
      <c r="AE11" s="5561" t="s">
        <v>34</v>
      </c>
      <c r="AF11" s="5562">
        <f t="shared" ref="AF11:AF20" si="9">+AB11+AD11</f>
        <v>61</v>
      </c>
      <c r="AG11" s="5565" t="s">
        <v>34</v>
      </c>
      <c r="AH11" s="5566">
        <v>7</v>
      </c>
      <c r="AI11" s="5561" t="s">
        <v>34</v>
      </c>
      <c r="AJ11" s="5562">
        <f t="shared" ref="AJ11:AJ20" si="10">+AF11+AH11</f>
        <v>68</v>
      </c>
      <c r="AK11" s="5565" t="s">
        <v>34</v>
      </c>
      <c r="AL11" s="5566">
        <v>11</v>
      </c>
      <c r="AM11" s="5563" t="s">
        <v>34</v>
      </c>
      <c r="AN11" s="5564">
        <f t="shared" ref="AN11:AN14" si="11">+AD11+AH11+AL11</f>
        <v>27</v>
      </c>
      <c r="AO11" s="5561" t="s">
        <v>34</v>
      </c>
      <c r="AP11" s="5562">
        <f t="shared" si="1"/>
        <v>79</v>
      </c>
      <c r="AQ11" s="5565" t="s">
        <v>34</v>
      </c>
      <c r="AR11" s="5566">
        <v>3</v>
      </c>
      <c r="AS11" s="5561" t="s">
        <v>34</v>
      </c>
      <c r="AT11" s="5562">
        <f t="shared" ref="AT11:AT20" si="12">+AP11+AR11</f>
        <v>82</v>
      </c>
      <c r="AU11" s="5565" t="s">
        <v>34</v>
      </c>
      <c r="AV11" s="5566">
        <v>3</v>
      </c>
      <c r="AW11" s="5561" t="s">
        <v>34</v>
      </c>
      <c r="AX11" s="5562">
        <f t="shared" ref="AX11:AX20" si="13">+AT11+AV11</f>
        <v>85</v>
      </c>
      <c r="AY11" s="5565" t="s">
        <v>34</v>
      </c>
      <c r="AZ11" s="5566">
        <v>5</v>
      </c>
      <c r="BA11" s="5563" t="s">
        <v>34</v>
      </c>
      <c r="BB11" s="5564">
        <f t="shared" ref="BB11:BB14" si="14">+AR11+AV11+AZ11</f>
        <v>11</v>
      </c>
      <c r="BC11" s="5567" t="s">
        <v>34</v>
      </c>
      <c r="BD11" s="5568">
        <f t="shared" ref="BD11:BD13" si="15">+BB11+AN11</f>
        <v>38</v>
      </c>
      <c r="BE11" s="5561" t="s">
        <v>34</v>
      </c>
      <c r="BF11" s="5402">
        <f t="shared" ref="BF11:BF20" si="16">+AX11+AZ11</f>
        <v>90</v>
      </c>
      <c r="BG11" s="26"/>
      <c r="BH11" s="26"/>
      <c r="BI11" s="26"/>
      <c r="BJ11" s="26"/>
    </row>
    <row r="12" spans="1:62" ht="21" customHeight="1" x14ac:dyDescent="0.25">
      <c r="B12" s="5403" t="s">
        <v>99</v>
      </c>
      <c r="C12" s="5458" t="s">
        <v>179</v>
      </c>
      <c r="D12" s="5404" t="s">
        <v>34</v>
      </c>
      <c r="E12" s="5476" t="s">
        <v>34</v>
      </c>
      <c r="F12" s="5471">
        <v>8</v>
      </c>
      <c r="G12" s="5476" t="s">
        <v>34</v>
      </c>
      <c r="H12" s="5471">
        <v>2</v>
      </c>
      <c r="I12" s="5472" t="s">
        <v>34</v>
      </c>
      <c r="J12" s="5472">
        <f t="shared" si="6"/>
        <v>10</v>
      </c>
      <c r="K12" s="5476" t="s">
        <v>34</v>
      </c>
      <c r="L12" s="5471">
        <v>3</v>
      </c>
      <c r="M12" s="5473" t="s">
        <v>34</v>
      </c>
      <c r="N12" s="5473">
        <f t="shared" si="0"/>
        <v>13</v>
      </c>
      <c r="O12" s="5476" t="s">
        <v>34</v>
      </c>
      <c r="P12" s="5471">
        <v>4</v>
      </c>
      <c r="Q12" s="5472" t="s">
        <v>34</v>
      </c>
      <c r="R12" s="5472">
        <f t="shared" si="7"/>
        <v>17</v>
      </c>
      <c r="S12" s="5471" t="s">
        <v>34</v>
      </c>
      <c r="T12" s="5474">
        <v>1</v>
      </c>
      <c r="U12" s="5472" t="s">
        <v>34</v>
      </c>
      <c r="V12" s="5472">
        <f t="shared" si="8"/>
        <v>18</v>
      </c>
      <c r="W12" s="5471" t="s">
        <v>34</v>
      </c>
      <c r="X12" s="5474">
        <v>10</v>
      </c>
      <c r="Y12" s="5473" t="s">
        <v>34</v>
      </c>
      <c r="Z12" s="5473">
        <f t="shared" si="3"/>
        <v>15</v>
      </c>
      <c r="AA12" s="5475" t="s">
        <v>34</v>
      </c>
      <c r="AB12" s="5475">
        <f>+Z12+N12</f>
        <v>28</v>
      </c>
      <c r="AC12" s="5471" t="s">
        <v>34</v>
      </c>
      <c r="AD12" s="5474">
        <v>8</v>
      </c>
      <c r="AE12" s="5472" t="s">
        <v>34</v>
      </c>
      <c r="AF12" s="5472">
        <f t="shared" si="9"/>
        <v>36</v>
      </c>
      <c r="AG12" s="5471" t="s">
        <v>34</v>
      </c>
      <c r="AH12" s="5474">
        <v>4</v>
      </c>
      <c r="AI12" s="5472" t="s">
        <v>34</v>
      </c>
      <c r="AJ12" s="5472">
        <f t="shared" si="10"/>
        <v>40</v>
      </c>
      <c r="AK12" s="5471" t="s">
        <v>34</v>
      </c>
      <c r="AL12" s="5474">
        <v>9</v>
      </c>
      <c r="AM12" s="5473" t="s">
        <v>34</v>
      </c>
      <c r="AN12" s="5473">
        <f t="shared" si="11"/>
        <v>21</v>
      </c>
      <c r="AO12" s="5472" t="s">
        <v>34</v>
      </c>
      <c r="AP12" s="5472">
        <f t="shared" si="1"/>
        <v>49</v>
      </c>
      <c r="AQ12" s="5471" t="s">
        <v>34</v>
      </c>
      <c r="AR12" s="5474">
        <v>2</v>
      </c>
      <c r="AS12" s="5472" t="s">
        <v>34</v>
      </c>
      <c r="AT12" s="5472">
        <f t="shared" si="12"/>
        <v>51</v>
      </c>
      <c r="AU12" s="5471" t="s">
        <v>34</v>
      </c>
      <c r="AV12" s="5474">
        <v>5</v>
      </c>
      <c r="AW12" s="5472" t="s">
        <v>34</v>
      </c>
      <c r="AX12" s="5472">
        <f t="shared" si="13"/>
        <v>56</v>
      </c>
      <c r="AY12" s="5471" t="s">
        <v>34</v>
      </c>
      <c r="AZ12" s="5474">
        <v>6</v>
      </c>
      <c r="BA12" s="5473" t="s">
        <v>34</v>
      </c>
      <c r="BB12" s="5473">
        <f t="shared" si="14"/>
        <v>13</v>
      </c>
      <c r="BC12" s="5475" t="s">
        <v>34</v>
      </c>
      <c r="BD12" s="5475">
        <f t="shared" si="15"/>
        <v>34</v>
      </c>
      <c r="BE12" s="5472" t="s">
        <v>34</v>
      </c>
      <c r="BF12" s="5394">
        <f t="shared" si="16"/>
        <v>62</v>
      </c>
      <c r="BG12" s="26"/>
      <c r="BH12" s="26"/>
      <c r="BI12" s="26"/>
      <c r="BJ12" s="26"/>
    </row>
    <row r="13" spans="1:62" ht="40.5" x14ac:dyDescent="0.25">
      <c r="B13" s="5403" t="s">
        <v>155</v>
      </c>
      <c r="C13" s="5458" t="s">
        <v>179</v>
      </c>
      <c r="D13" s="5404" t="s">
        <v>34</v>
      </c>
      <c r="E13" s="5476" t="s">
        <v>34</v>
      </c>
      <c r="F13" s="5471"/>
      <c r="G13" s="5476" t="s">
        <v>34</v>
      </c>
      <c r="H13" s="5471"/>
      <c r="I13" s="5472" t="s">
        <v>34</v>
      </c>
      <c r="J13" s="5472">
        <f t="shared" si="6"/>
        <v>0</v>
      </c>
      <c r="K13" s="5476" t="s">
        <v>34</v>
      </c>
      <c r="L13" s="5471">
        <v>0</v>
      </c>
      <c r="M13" s="5473" t="s">
        <v>34</v>
      </c>
      <c r="N13" s="5473">
        <f t="shared" si="0"/>
        <v>0</v>
      </c>
      <c r="O13" s="5476" t="s">
        <v>34</v>
      </c>
      <c r="P13" s="5471">
        <v>0</v>
      </c>
      <c r="Q13" s="5472" t="s">
        <v>34</v>
      </c>
      <c r="R13" s="5472">
        <f t="shared" si="7"/>
        <v>0</v>
      </c>
      <c r="S13" s="5471" t="s">
        <v>34</v>
      </c>
      <c r="T13" s="5474">
        <v>0</v>
      </c>
      <c r="U13" s="5472" t="s">
        <v>34</v>
      </c>
      <c r="V13" s="5472">
        <f t="shared" si="8"/>
        <v>0</v>
      </c>
      <c r="W13" s="5471" t="s">
        <v>34</v>
      </c>
      <c r="X13" s="5474">
        <v>0</v>
      </c>
      <c r="Y13" s="5473" t="s">
        <v>34</v>
      </c>
      <c r="Z13" s="5473">
        <f t="shared" si="3"/>
        <v>0</v>
      </c>
      <c r="AA13" s="5475" t="s">
        <v>34</v>
      </c>
      <c r="AB13" s="5475">
        <f>+Z13+N13</f>
        <v>0</v>
      </c>
      <c r="AC13" s="5471" t="s">
        <v>34</v>
      </c>
      <c r="AD13" s="5474">
        <v>0</v>
      </c>
      <c r="AE13" s="5472" t="s">
        <v>34</v>
      </c>
      <c r="AF13" s="5472">
        <f t="shared" si="9"/>
        <v>0</v>
      </c>
      <c r="AG13" s="5471" t="s">
        <v>34</v>
      </c>
      <c r="AH13" s="5474">
        <v>0</v>
      </c>
      <c r="AI13" s="5472" t="s">
        <v>34</v>
      </c>
      <c r="AJ13" s="5472">
        <f t="shared" si="10"/>
        <v>0</v>
      </c>
      <c r="AK13" s="5471" t="s">
        <v>34</v>
      </c>
      <c r="AL13" s="5474">
        <v>0</v>
      </c>
      <c r="AM13" s="5473" t="s">
        <v>34</v>
      </c>
      <c r="AN13" s="5473">
        <f t="shared" si="11"/>
        <v>0</v>
      </c>
      <c r="AO13" s="5472" t="s">
        <v>34</v>
      </c>
      <c r="AP13" s="5472">
        <f t="shared" si="1"/>
        <v>0</v>
      </c>
      <c r="AQ13" s="5471" t="s">
        <v>34</v>
      </c>
      <c r="AR13" s="5474">
        <v>0</v>
      </c>
      <c r="AS13" s="5472" t="s">
        <v>34</v>
      </c>
      <c r="AT13" s="5472">
        <f t="shared" si="12"/>
        <v>0</v>
      </c>
      <c r="AU13" s="5471" t="s">
        <v>34</v>
      </c>
      <c r="AV13" s="5474">
        <v>0</v>
      </c>
      <c r="AW13" s="5472" t="s">
        <v>34</v>
      </c>
      <c r="AX13" s="5472">
        <f t="shared" si="13"/>
        <v>0</v>
      </c>
      <c r="AY13" s="5471" t="s">
        <v>34</v>
      </c>
      <c r="AZ13" s="5474">
        <v>0</v>
      </c>
      <c r="BA13" s="5473" t="s">
        <v>34</v>
      </c>
      <c r="BB13" s="5473">
        <f t="shared" si="14"/>
        <v>0</v>
      </c>
      <c r="BC13" s="5475" t="s">
        <v>34</v>
      </c>
      <c r="BD13" s="5475">
        <f t="shared" si="15"/>
        <v>0</v>
      </c>
      <c r="BE13" s="5472" t="s">
        <v>34</v>
      </c>
      <c r="BF13" s="5394">
        <f t="shared" si="16"/>
        <v>0</v>
      </c>
      <c r="BG13" s="26"/>
      <c r="BH13" s="26"/>
      <c r="BI13" s="26"/>
      <c r="BJ13" s="26"/>
    </row>
    <row r="14" spans="1:62" ht="21" customHeight="1" thickBot="1" x14ac:dyDescent="0.3">
      <c r="B14" s="5569" t="s">
        <v>122</v>
      </c>
      <c r="C14" s="5413" t="s">
        <v>179</v>
      </c>
      <c r="D14" s="5407" t="s">
        <v>34</v>
      </c>
      <c r="E14" s="5570" t="s">
        <v>34</v>
      </c>
      <c r="F14" s="5571">
        <f>+F10+F13-F11-F25</f>
        <v>3</v>
      </c>
      <c r="G14" s="5570" t="s">
        <v>34</v>
      </c>
      <c r="H14" s="5571">
        <f>+H10+H13-H11-H25</f>
        <v>-4</v>
      </c>
      <c r="I14" s="5572" t="s">
        <v>34</v>
      </c>
      <c r="J14" s="5572">
        <f t="shared" si="6"/>
        <v>-1</v>
      </c>
      <c r="K14" s="5570" t="s">
        <v>34</v>
      </c>
      <c r="L14" s="5571">
        <f>+L10+L13-L11-L25</f>
        <v>2</v>
      </c>
      <c r="M14" s="5573" t="s">
        <v>34</v>
      </c>
      <c r="N14" s="5573">
        <f t="shared" si="0"/>
        <v>1</v>
      </c>
      <c r="O14" s="5570" t="s">
        <v>34</v>
      </c>
      <c r="P14" s="5571">
        <f>+P10+P13-P11-P25</f>
        <v>1</v>
      </c>
      <c r="Q14" s="5572" t="s">
        <v>34</v>
      </c>
      <c r="R14" s="5572">
        <f t="shared" si="7"/>
        <v>2</v>
      </c>
      <c r="S14" s="5571" t="s">
        <v>34</v>
      </c>
      <c r="T14" s="5574">
        <f>+T10+T13-T11-T25</f>
        <v>0</v>
      </c>
      <c r="U14" s="5572" t="s">
        <v>34</v>
      </c>
      <c r="V14" s="5572">
        <f t="shared" si="8"/>
        <v>2</v>
      </c>
      <c r="W14" s="5571" t="s">
        <v>34</v>
      </c>
      <c r="X14" s="5574">
        <f>+X10+X13-X11-X25</f>
        <v>2</v>
      </c>
      <c r="Y14" s="5573" t="s">
        <v>34</v>
      </c>
      <c r="Z14" s="5573">
        <f t="shared" si="3"/>
        <v>3</v>
      </c>
      <c r="AA14" s="5575" t="s">
        <v>34</v>
      </c>
      <c r="AB14" s="5575">
        <f>+Z14+N14</f>
        <v>4</v>
      </c>
      <c r="AC14" s="5571" t="s">
        <v>34</v>
      </c>
      <c r="AD14" s="5574">
        <f>+AD10+AD13-AD11-AD25</f>
        <v>-2</v>
      </c>
      <c r="AE14" s="5572" t="s">
        <v>34</v>
      </c>
      <c r="AF14" s="5572">
        <f t="shared" si="9"/>
        <v>2</v>
      </c>
      <c r="AG14" s="5571" t="s">
        <v>34</v>
      </c>
      <c r="AH14" s="5574">
        <f>+AH10+AH13-AH11-AH25</f>
        <v>2</v>
      </c>
      <c r="AI14" s="5572" t="s">
        <v>34</v>
      </c>
      <c r="AJ14" s="5572">
        <f t="shared" si="10"/>
        <v>4</v>
      </c>
      <c r="AK14" s="5571" t="s">
        <v>34</v>
      </c>
      <c r="AL14" s="5574">
        <f>+AL10+AL13-AL11-AL25</f>
        <v>-2</v>
      </c>
      <c r="AM14" s="5573" t="s">
        <v>34</v>
      </c>
      <c r="AN14" s="5573">
        <f t="shared" si="11"/>
        <v>-2</v>
      </c>
      <c r="AO14" s="5572" t="s">
        <v>34</v>
      </c>
      <c r="AP14" s="5572">
        <f t="shared" si="1"/>
        <v>2</v>
      </c>
      <c r="AQ14" s="5571" t="s">
        <v>34</v>
      </c>
      <c r="AR14" s="5574">
        <f>+AR10+AR13-AR11-AR25</f>
        <v>2</v>
      </c>
      <c r="AS14" s="5572" t="s">
        <v>34</v>
      </c>
      <c r="AT14" s="5572">
        <f t="shared" si="12"/>
        <v>4</v>
      </c>
      <c r="AU14" s="5571" t="s">
        <v>34</v>
      </c>
      <c r="AV14" s="5574">
        <f>+AV10+AV13-AV11-AV25</f>
        <v>-1</v>
      </c>
      <c r="AW14" s="5572" t="s">
        <v>34</v>
      </c>
      <c r="AX14" s="5572">
        <f t="shared" si="13"/>
        <v>3</v>
      </c>
      <c r="AY14" s="5571" t="s">
        <v>34</v>
      </c>
      <c r="AZ14" s="5574">
        <f>+AZ10+AZ13-AZ11-AZ25</f>
        <v>2</v>
      </c>
      <c r="BA14" s="5573" t="s">
        <v>34</v>
      </c>
      <c r="BB14" s="5573">
        <f t="shared" si="14"/>
        <v>3</v>
      </c>
      <c r="BC14" s="5575" t="s">
        <v>34</v>
      </c>
      <c r="BD14" s="5575">
        <f>+BB14+AN14</f>
        <v>1</v>
      </c>
      <c r="BE14" s="5572" t="s">
        <v>34</v>
      </c>
      <c r="BF14" s="5408">
        <f t="shared" si="16"/>
        <v>5</v>
      </c>
      <c r="BG14" s="26"/>
      <c r="BH14" s="26"/>
      <c r="BI14" s="26"/>
      <c r="BJ14" s="26"/>
    </row>
    <row r="15" spans="1:62" ht="21" customHeight="1" x14ac:dyDescent="0.25">
      <c r="B15" s="5576" t="s">
        <v>850</v>
      </c>
      <c r="C15" s="5400" t="s">
        <v>52</v>
      </c>
      <c r="D15" s="5577">
        <v>2777280</v>
      </c>
      <c r="E15" s="5578">
        <v>234800</v>
      </c>
      <c r="F15" s="5560">
        <v>230943</v>
      </c>
      <c r="G15" s="5578">
        <v>195800</v>
      </c>
      <c r="H15" s="5560">
        <v>187019</v>
      </c>
      <c r="I15" s="5579">
        <f>+E15+G15</f>
        <v>430600</v>
      </c>
      <c r="J15" s="5579">
        <f t="shared" si="6"/>
        <v>417962</v>
      </c>
      <c r="K15" s="5578">
        <v>191480</v>
      </c>
      <c r="L15" s="5560">
        <v>199871</v>
      </c>
      <c r="M15" s="5580">
        <f>+K15+G15+E15</f>
        <v>622080</v>
      </c>
      <c r="N15" s="5580">
        <f>+L15+H15+F15</f>
        <v>617833</v>
      </c>
      <c r="O15" s="5578">
        <v>237800</v>
      </c>
      <c r="P15" s="5581">
        <v>244282.4</v>
      </c>
      <c r="Q15" s="5579">
        <f>+M15+O15</f>
        <v>859880</v>
      </c>
      <c r="R15" s="5579">
        <f t="shared" si="7"/>
        <v>862115.4</v>
      </c>
      <c r="S15" s="5581">
        <v>237800</v>
      </c>
      <c r="T15" s="5582">
        <v>239007.1</v>
      </c>
      <c r="U15" s="5579">
        <f>+Q15+S15</f>
        <v>1097680</v>
      </c>
      <c r="V15" s="5579">
        <f t="shared" si="8"/>
        <v>1101122.5</v>
      </c>
      <c r="W15" s="5581">
        <v>230800</v>
      </c>
      <c r="X15" s="5582">
        <v>227357.44</v>
      </c>
      <c r="Y15" s="5580">
        <f>+W15+S15+O15</f>
        <v>706400</v>
      </c>
      <c r="Z15" s="5580">
        <f>+X15+T15+P15</f>
        <v>710646.94000000006</v>
      </c>
      <c r="AA15" s="5583">
        <f>+Y15+M15</f>
        <v>1328480</v>
      </c>
      <c r="AB15" s="5583">
        <f t="shared" ref="AB15:AB24" si="17">+Z15+N15</f>
        <v>1328479.94</v>
      </c>
      <c r="AC15" s="5581">
        <v>244800</v>
      </c>
      <c r="AD15" s="5582">
        <v>242707.18</v>
      </c>
      <c r="AE15" s="5579">
        <f>+AA15+AC15</f>
        <v>1573280</v>
      </c>
      <c r="AF15" s="5579">
        <f t="shared" si="9"/>
        <v>1571187.1199999999</v>
      </c>
      <c r="AG15" s="5581">
        <v>236800</v>
      </c>
      <c r="AH15" s="5582">
        <v>204405.82</v>
      </c>
      <c r="AI15" s="5579">
        <f>+AE15+AG15</f>
        <v>1810080</v>
      </c>
      <c r="AJ15" s="5579">
        <f t="shared" si="10"/>
        <v>1775592.94</v>
      </c>
      <c r="AK15" s="5581">
        <v>245800</v>
      </c>
      <c r="AL15" s="5582">
        <v>227419.6</v>
      </c>
      <c r="AM15" s="5580">
        <f>+AK15+AG15+AC15</f>
        <v>727400</v>
      </c>
      <c r="AN15" s="5580">
        <f>+AL15+AH15+AD15</f>
        <v>674532.60000000009</v>
      </c>
      <c r="AO15" s="5579">
        <f>+AK15+AI15</f>
        <v>2055880</v>
      </c>
      <c r="AP15" s="5579">
        <f>+AL15+AJ15</f>
        <v>2003012.54</v>
      </c>
      <c r="AQ15" s="5581">
        <v>245800</v>
      </c>
      <c r="AR15" s="5582">
        <v>230658.33</v>
      </c>
      <c r="AS15" s="5579">
        <f>+AO15+AQ15</f>
        <v>2301680</v>
      </c>
      <c r="AT15" s="5579">
        <f t="shared" si="12"/>
        <v>2233670.87</v>
      </c>
      <c r="AU15" s="5581">
        <v>228800</v>
      </c>
      <c r="AV15" s="5582">
        <v>228613.19</v>
      </c>
      <c r="AW15" s="5579">
        <f>+AS15+AU15</f>
        <v>2530480</v>
      </c>
      <c r="AX15" s="5579">
        <f t="shared" si="13"/>
        <v>2462284.06</v>
      </c>
      <c r="AY15" s="5581">
        <v>246800</v>
      </c>
      <c r="AZ15" s="5582">
        <v>233578.77</v>
      </c>
      <c r="BA15" s="5580">
        <f>+AY15+AU15+AQ15</f>
        <v>721400</v>
      </c>
      <c r="BB15" s="5580">
        <f>+AZ15+AV15+AR15</f>
        <v>692850.28999999992</v>
      </c>
      <c r="BC15" s="5583">
        <f>+BA15+AM15</f>
        <v>1448800</v>
      </c>
      <c r="BD15" s="5583">
        <f>+BB15+AN15</f>
        <v>1367382.8900000001</v>
      </c>
      <c r="BE15" s="5579">
        <f>+AW15+AY15</f>
        <v>2777280</v>
      </c>
      <c r="BF15" s="5420">
        <f t="shared" si="16"/>
        <v>2695862.83</v>
      </c>
      <c r="BG15" s="26"/>
      <c r="BH15" s="26"/>
      <c r="BI15" s="26"/>
      <c r="BJ15" s="26"/>
    </row>
    <row r="16" spans="1:62" ht="21" customHeight="1" x14ac:dyDescent="0.25">
      <c r="B16" s="5411" t="s">
        <v>838</v>
      </c>
      <c r="C16" s="5458" t="s">
        <v>52</v>
      </c>
      <c r="D16" s="5404"/>
      <c r="E16" s="5477"/>
      <c r="F16" s="5480">
        <v>2449</v>
      </c>
      <c r="G16" s="5477"/>
      <c r="H16" s="5480">
        <v>3413</v>
      </c>
      <c r="I16" s="5478"/>
      <c r="J16" s="5472">
        <f t="shared" si="6"/>
        <v>5862</v>
      </c>
      <c r="K16" s="5477"/>
      <c r="L16" s="5480">
        <v>2754</v>
      </c>
      <c r="M16" s="5479"/>
      <c r="N16" s="5479">
        <f t="shared" ref="N16:N24" si="18">+L16+H16+F16</f>
        <v>8616</v>
      </c>
      <c r="O16" s="5477"/>
      <c r="P16" s="5480">
        <v>3972</v>
      </c>
      <c r="Q16" s="5478"/>
      <c r="R16" s="5472">
        <f t="shared" si="7"/>
        <v>12588</v>
      </c>
      <c r="S16" s="5480"/>
      <c r="T16" s="5481">
        <v>3630</v>
      </c>
      <c r="U16" s="5478"/>
      <c r="V16" s="5478">
        <f t="shared" si="8"/>
        <v>16218</v>
      </c>
      <c r="W16" s="5480"/>
      <c r="X16" s="5481">
        <v>2082.1999999999998</v>
      </c>
      <c r="Y16" s="5479"/>
      <c r="Z16" s="5479">
        <f t="shared" ref="Y16:Z24" si="19">+X16+T16+P16</f>
        <v>9684.2000000000007</v>
      </c>
      <c r="AA16" s="5482"/>
      <c r="AB16" s="5482">
        <f t="shared" si="17"/>
        <v>18300.2</v>
      </c>
      <c r="AC16" s="5480"/>
      <c r="AD16" s="5481">
        <v>1286</v>
      </c>
      <c r="AE16" s="5478"/>
      <c r="AF16" s="5478">
        <f t="shared" si="9"/>
        <v>19586.2</v>
      </c>
      <c r="AG16" s="5480"/>
      <c r="AH16" s="5481">
        <v>3180</v>
      </c>
      <c r="AI16" s="5478"/>
      <c r="AJ16" s="5478">
        <f t="shared" si="10"/>
        <v>22766.2</v>
      </c>
      <c r="AK16" s="5480"/>
      <c r="AL16" s="5481">
        <v>5287</v>
      </c>
      <c r="AM16" s="5479"/>
      <c r="AN16" s="5479">
        <f t="shared" ref="AN16:AN20" si="20">+AL16+AH16+AD16</f>
        <v>9753</v>
      </c>
      <c r="AO16" s="5478"/>
      <c r="AP16" s="5478">
        <f t="shared" ref="AO16:AP24" si="21">+AL16+AJ16</f>
        <v>28053.200000000001</v>
      </c>
      <c r="AQ16" s="5480"/>
      <c r="AR16" s="5481">
        <v>3222</v>
      </c>
      <c r="AS16" s="5478"/>
      <c r="AT16" s="5478">
        <f t="shared" si="12"/>
        <v>31275.200000000001</v>
      </c>
      <c r="AU16" s="5480"/>
      <c r="AV16" s="5481">
        <v>2677</v>
      </c>
      <c r="AW16" s="5478"/>
      <c r="AX16" s="5478">
        <f t="shared" si="13"/>
        <v>33952.199999999997</v>
      </c>
      <c r="AY16" s="5480"/>
      <c r="AZ16" s="5481">
        <v>2720</v>
      </c>
      <c r="BA16" s="5479"/>
      <c r="BB16" s="5479">
        <f t="shared" ref="BB16:BB20" si="22">+AZ16+AV16+AR16</f>
        <v>8619</v>
      </c>
      <c r="BC16" s="5482"/>
      <c r="BD16" s="5482">
        <f>+BB16+AN16</f>
        <v>18372</v>
      </c>
      <c r="BE16" s="5478"/>
      <c r="BF16" s="5437">
        <f t="shared" si="16"/>
        <v>36672.199999999997</v>
      </c>
      <c r="BG16" s="26"/>
      <c r="BH16" s="26"/>
      <c r="BI16" s="26"/>
      <c r="BJ16" s="26"/>
    </row>
    <row r="17" spans="1:62" ht="21" customHeight="1" x14ac:dyDescent="0.25">
      <c r="B17" s="5411" t="s">
        <v>839</v>
      </c>
      <c r="C17" s="5458" t="s">
        <v>52</v>
      </c>
      <c r="D17" s="5404"/>
      <c r="E17" s="5477"/>
      <c r="F17" s="5480">
        <v>3892.8</v>
      </c>
      <c r="G17" s="5477"/>
      <c r="H17" s="5480">
        <v>3696</v>
      </c>
      <c r="I17" s="5478"/>
      <c r="J17" s="5472">
        <f t="shared" si="6"/>
        <v>7588.8</v>
      </c>
      <c r="K17" s="5477"/>
      <c r="L17" s="5480">
        <v>3364.8</v>
      </c>
      <c r="M17" s="5479"/>
      <c r="N17" s="5479">
        <f t="shared" si="18"/>
        <v>10953.6</v>
      </c>
      <c r="O17" s="5477"/>
      <c r="P17" s="5480">
        <v>4272</v>
      </c>
      <c r="Q17" s="5478"/>
      <c r="R17" s="5472">
        <f t="shared" si="7"/>
        <v>15225.6</v>
      </c>
      <c r="S17" s="5480"/>
      <c r="T17" s="5481">
        <v>3640</v>
      </c>
      <c r="U17" s="5478"/>
      <c r="V17" s="5478">
        <f t="shared" si="8"/>
        <v>18865.599999999999</v>
      </c>
      <c r="W17" s="5480"/>
      <c r="X17" s="5481">
        <v>1888.65</v>
      </c>
      <c r="Y17" s="5479"/>
      <c r="Z17" s="5479">
        <f t="shared" si="19"/>
        <v>9800.65</v>
      </c>
      <c r="AA17" s="5482"/>
      <c r="AB17" s="5482">
        <f t="shared" si="17"/>
        <v>20754.25</v>
      </c>
      <c r="AC17" s="5480"/>
      <c r="AD17" s="5481">
        <v>1405.16</v>
      </c>
      <c r="AE17" s="5478"/>
      <c r="AF17" s="5478">
        <f t="shared" si="9"/>
        <v>22159.41</v>
      </c>
      <c r="AG17" s="5480"/>
      <c r="AH17" s="5481">
        <v>2496.31</v>
      </c>
      <c r="AI17" s="5478"/>
      <c r="AJ17" s="5478">
        <f t="shared" si="10"/>
        <v>24655.72</v>
      </c>
      <c r="AK17" s="5480"/>
      <c r="AL17" s="5481">
        <v>5379.11</v>
      </c>
      <c r="AM17" s="5479"/>
      <c r="AN17" s="5479">
        <f t="shared" si="20"/>
        <v>9280.58</v>
      </c>
      <c r="AO17" s="5478"/>
      <c r="AP17" s="5478">
        <f t="shared" si="21"/>
        <v>30034.83</v>
      </c>
      <c r="AQ17" s="5480"/>
      <c r="AR17" s="5481">
        <v>4179.1899999999996</v>
      </c>
      <c r="AS17" s="5478"/>
      <c r="AT17" s="5478">
        <f t="shared" si="12"/>
        <v>34214.020000000004</v>
      </c>
      <c r="AU17" s="5480"/>
      <c r="AV17" s="5481">
        <v>3178.7</v>
      </c>
      <c r="AW17" s="5478"/>
      <c r="AX17" s="5478">
        <f t="shared" si="13"/>
        <v>37392.720000000001</v>
      </c>
      <c r="AY17" s="5480"/>
      <c r="AZ17" s="5481">
        <v>3635.1</v>
      </c>
      <c r="BA17" s="5479"/>
      <c r="BB17" s="5479">
        <f t="shared" si="22"/>
        <v>10992.989999999998</v>
      </c>
      <c r="BC17" s="5482"/>
      <c r="BD17" s="5482">
        <f>+BB17+AN17</f>
        <v>20273.57</v>
      </c>
      <c r="BE17" s="5478"/>
      <c r="BF17" s="5437">
        <f t="shared" si="16"/>
        <v>41027.82</v>
      </c>
      <c r="BG17" s="26"/>
      <c r="BH17" s="26"/>
      <c r="BI17" s="26"/>
      <c r="BJ17" s="26"/>
    </row>
    <row r="18" spans="1:62" ht="21" customHeight="1" x14ac:dyDescent="0.25">
      <c r="B18" s="5411" t="s">
        <v>1073</v>
      </c>
      <c r="C18" s="5458" t="s">
        <v>52</v>
      </c>
      <c r="D18" s="5404"/>
      <c r="E18" s="5477"/>
      <c r="F18" s="5480">
        <v>511</v>
      </c>
      <c r="G18" s="5477"/>
      <c r="H18" s="5480">
        <v>454</v>
      </c>
      <c r="I18" s="5478"/>
      <c r="J18" s="5472">
        <f t="shared" si="6"/>
        <v>965</v>
      </c>
      <c r="K18" s="5477"/>
      <c r="L18" s="5480">
        <v>622</v>
      </c>
      <c r="M18" s="5479"/>
      <c r="N18" s="5479">
        <f t="shared" si="18"/>
        <v>1587</v>
      </c>
      <c r="O18" s="5477"/>
      <c r="P18" s="5480">
        <v>540</v>
      </c>
      <c r="Q18" s="5478"/>
      <c r="R18" s="5472">
        <f t="shared" si="7"/>
        <v>2127</v>
      </c>
      <c r="S18" s="5480"/>
      <c r="T18" s="5481">
        <v>396</v>
      </c>
      <c r="U18" s="5478"/>
      <c r="V18" s="5478">
        <f t="shared" si="8"/>
        <v>2523</v>
      </c>
      <c r="W18" s="5480"/>
      <c r="X18" s="5481">
        <v>693</v>
      </c>
      <c r="Y18" s="5479"/>
      <c r="Z18" s="5479">
        <f t="shared" si="19"/>
        <v>1629</v>
      </c>
      <c r="AA18" s="5482"/>
      <c r="AB18" s="5482">
        <f t="shared" si="17"/>
        <v>3216</v>
      </c>
      <c r="AC18" s="5480"/>
      <c r="AD18" s="5481">
        <v>479</v>
      </c>
      <c r="AE18" s="5478"/>
      <c r="AF18" s="5478">
        <f t="shared" si="9"/>
        <v>3695</v>
      </c>
      <c r="AG18" s="5480"/>
      <c r="AH18" s="5481">
        <v>491</v>
      </c>
      <c r="AI18" s="5478"/>
      <c r="AJ18" s="5478">
        <f t="shared" si="10"/>
        <v>4186</v>
      </c>
      <c r="AK18" s="5480"/>
      <c r="AL18" s="5481">
        <v>1134</v>
      </c>
      <c r="AM18" s="5479"/>
      <c r="AN18" s="5479">
        <f t="shared" si="20"/>
        <v>2104</v>
      </c>
      <c r="AO18" s="5478"/>
      <c r="AP18" s="5478">
        <f t="shared" si="21"/>
        <v>5320</v>
      </c>
      <c r="AQ18" s="5480"/>
      <c r="AR18" s="5481">
        <v>1366.5</v>
      </c>
      <c r="AS18" s="5478"/>
      <c r="AT18" s="5478">
        <f t="shared" si="12"/>
        <v>6686.5</v>
      </c>
      <c r="AU18" s="5480"/>
      <c r="AV18" s="5481">
        <v>1317</v>
      </c>
      <c r="AW18" s="5478"/>
      <c r="AX18" s="5478">
        <f t="shared" si="13"/>
        <v>8003.5</v>
      </c>
      <c r="AY18" s="5480"/>
      <c r="AZ18" s="5481">
        <v>1370</v>
      </c>
      <c r="BA18" s="5479"/>
      <c r="BB18" s="5479">
        <f t="shared" si="22"/>
        <v>4053.5</v>
      </c>
      <c r="BC18" s="5482"/>
      <c r="BD18" s="5482">
        <f>+BB18+AN18</f>
        <v>6157.5</v>
      </c>
      <c r="BE18" s="5478"/>
      <c r="BF18" s="5437">
        <f t="shared" si="16"/>
        <v>9373.5</v>
      </c>
      <c r="BG18" s="26"/>
      <c r="BH18" s="26"/>
      <c r="BI18" s="26"/>
      <c r="BJ18" s="26"/>
    </row>
    <row r="19" spans="1:62" ht="21" customHeight="1" x14ac:dyDescent="0.25">
      <c r="A19" s="186" t="s">
        <v>478</v>
      </c>
      <c r="B19" s="5431" t="s">
        <v>287</v>
      </c>
      <c r="C19" s="5458" t="s">
        <v>52</v>
      </c>
      <c r="D19" s="5432">
        <f>+D5*D90/1000</f>
        <v>104803.01886792452</v>
      </c>
      <c r="E19" s="5480">
        <f>+E5*E90/1000</f>
        <v>8860.3773584905575</v>
      </c>
      <c r="F19" s="5480">
        <f>SUM(F16:F18)</f>
        <v>6852.8</v>
      </c>
      <c r="G19" s="5480">
        <f>+G5*G90/1000</f>
        <v>7388.6792452829995</v>
      </c>
      <c r="H19" s="5480">
        <f>SUM(H16:H18)</f>
        <v>7563</v>
      </c>
      <c r="I19" s="5478">
        <f>+E19+G19</f>
        <v>16249.056603773557</v>
      </c>
      <c r="J19" s="5472">
        <f t="shared" si="6"/>
        <v>14415.8</v>
      </c>
      <c r="K19" s="5480">
        <f>+K5*K90/1000</f>
        <v>7225.6603773584784</v>
      </c>
      <c r="L19" s="5480">
        <f>SUM(L16:L18)</f>
        <v>6740.8</v>
      </c>
      <c r="M19" s="5479">
        <f>+K19+G19+E19</f>
        <v>23474.716981132035</v>
      </c>
      <c r="N19" s="5479">
        <f t="shared" si="18"/>
        <v>21156.6</v>
      </c>
      <c r="O19" s="5480">
        <f>+O5*O90/1000</f>
        <v>8973.5849056603583</v>
      </c>
      <c r="P19" s="5480">
        <f>SUM(P16:P18)</f>
        <v>8784</v>
      </c>
      <c r="Q19" s="5478">
        <f>+M19+O19</f>
        <v>32448.301886792393</v>
      </c>
      <c r="R19" s="5472">
        <f t="shared" si="7"/>
        <v>29940.6</v>
      </c>
      <c r="S19" s="5480">
        <f>+S5*S90/1000</f>
        <v>8973.5849056603765</v>
      </c>
      <c r="T19" s="5481">
        <f>SUM(T16:T18)</f>
        <v>7666</v>
      </c>
      <c r="U19" s="5478">
        <f>+Q19+S19</f>
        <v>41421.886792452773</v>
      </c>
      <c r="V19" s="5478">
        <f t="shared" si="8"/>
        <v>37606.6</v>
      </c>
      <c r="W19" s="5480">
        <f>+W5*W90/1000</f>
        <v>8709.4339622641492</v>
      </c>
      <c r="X19" s="5481">
        <f>SUM(X16:X18)</f>
        <v>4663.8500000000004</v>
      </c>
      <c r="Y19" s="5479">
        <f t="shared" si="19"/>
        <v>26656.603773584884</v>
      </c>
      <c r="Z19" s="5479">
        <f t="shared" si="19"/>
        <v>21113.85</v>
      </c>
      <c r="AA19" s="5482">
        <f>+Y19+M19</f>
        <v>50131.320754716915</v>
      </c>
      <c r="AB19" s="5482">
        <f t="shared" si="17"/>
        <v>42270.45</v>
      </c>
      <c r="AC19" s="5480">
        <f>+AC5*AC90/1000</f>
        <v>9237.7358490565985</v>
      </c>
      <c r="AD19" s="5481">
        <f>SUM(AD16:AD18)</f>
        <v>3170.16</v>
      </c>
      <c r="AE19" s="5478">
        <f>+AA19+AC19</f>
        <v>59369.056603773512</v>
      </c>
      <c r="AF19" s="5478">
        <f t="shared" si="9"/>
        <v>45440.61</v>
      </c>
      <c r="AG19" s="5480">
        <f>+AG5*AG90/1000</f>
        <v>8935.8490566037581</v>
      </c>
      <c r="AH19" s="5481">
        <f>SUM(AH16:AH18)</f>
        <v>6167.3099999999995</v>
      </c>
      <c r="AI19" s="5478">
        <f>+AE19+AG19</f>
        <v>68304.905660377262</v>
      </c>
      <c r="AJ19" s="5478">
        <f t="shared" si="10"/>
        <v>51607.92</v>
      </c>
      <c r="AK19" s="5480">
        <f>+AK5*AK90/1000</f>
        <v>9275.4716981131987</v>
      </c>
      <c r="AL19" s="5481">
        <f>SUM(AL16:AL18)</f>
        <v>11800.11</v>
      </c>
      <c r="AM19" s="5479">
        <f t="shared" ref="AM19:AM20" si="23">+AK19+AG19+AC19</f>
        <v>27449.056603773555</v>
      </c>
      <c r="AN19" s="5479">
        <f t="shared" si="20"/>
        <v>21137.579999999998</v>
      </c>
      <c r="AO19" s="5478">
        <f>+AK19+AI19</f>
        <v>77580.377358490456</v>
      </c>
      <c r="AP19" s="5478">
        <f t="shared" si="21"/>
        <v>63408.03</v>
      </c>
      <c r="AQ19" s="5480">
        <f>+AQ5*AQ90/1000</f>
        <v>9275.4716981131987</v>
      </c>
      <c r="AR19" s="5481">
        <f>SUM(AR16:AR18)</f>
        <v>8767.6899999999987</v>
      </c>
      <c r="AS19" s="5478">
        <f>+AO19+AQ19</f>
        <v>86855.849056603649</v>
      </c>
      <c r="AT19" s="5478">
        <f t="shared" si="12"/>
        <v>72175.72</v>
      </c>
      <c r="AU19" s="5480">
        <f>+AU5*AU90/1000</f>
        <v>8633.9622641509577</v>
      </c>
      <c r="AV19" s="5481">
        <f>SUM(AV16:AV18)</f>
        <v>7172.7</v>
      </c>
      <c r="AW19" s="5478">
        <f>+AS19+AU19</f>
        <v>95489.811320754612</v>
      </c>
      <c r="AX19" s="5478">
        <f t="shared" si="13"/>
        <v>79348.42</v>
      </c>
      <c r="AY19" s="5480">
        <f>+AY5*AY90/1000</f>
        <v>9313.207547169799</v>
      </c>
      <c r="AZ19" s="5481">
        <f>SUM(AZ16:AZ18)</f>
        <v>7725.1</v>
      </c>
      <c r="BA19" s="5479">
        <f t="shared" ref="BA19:BA20" si="24">+AY19+AU19+AQ19</f>
        <v>27222.641509433954</v>
      </c>
      <c r="BB19" s="5479">
        <f t="shared" si="22"/>
        <v>23665.489999999998</v>
      </c>
      <c r="BC19" s="5482">
        <f t="shared" ref="BC19:BC20" si="25">+BA19+AM19</f>
        <v>54671.698113207509</v>
      </c>
      <c r="BD19" s="5482">
        <f t="shared" ref="BD19:BD20" si="26">+BB19+AN19</f>
        <v>44803.069999999992</v>
      </c>
      <c r="BE19" s="5478">
        <f>+AW19+AY19</f>
        <v>104803.01886792442</v>
      </c>
      <c r="BF19" s="5437">
        <f t="shared" si="16"/>
        <v>87073.52</v>
      </c>
      <c r="BG19" s="26"/>
      <c r="BH19" s="26"/>
      <c r="BI19" s="26"/>
      <c r="BJ19" s="26"/>
    </row>
    <row r="20" spans="1:62" ht="21" customHeight="1" thickBot="1" x14ac:dyDescent="0.3">
      <c r="A20" s="186" t="s">
        <v>478</v>
      </c>
      <c r="B20" s="5584" t="s">
        <v>288</v>
      </c>
      <c r="C20" s="5413" t="s">
        <v>52</v>
      </c>
      <c r="D20" s="5585">
        <v>2701108.7337093949</v>
      </c>
      <c r="E20" s="5586">
        <v>228360.24119821048</v>
      </c>
      <c r="F20" s="5571">
        <v>218814</v>
      </c>
      <c r="G20" s="5586">
        <v>190429.87745574789</v>
      </c>
      <c r="H20" s="5571">
        <v>178646</v>
      </c>
      <c r="I20" s="5587">
        <f>+E20+G20</f>
        <v>418790.11865395837</v>
      </c>
      <c r="J20" s="5572">
        <f t="shared" si="6"/>
        <v>397460</v>
      </c>
      <c r="K20" s="5586">
        <v>186228.36024119821</v>
      </c>
      <c r="L20" s="5571">
        <v>189892</v>
      </c>
      <c r="M20" s="5588">
        <f>+K20+G20+E20</f>
        <v>605018.47889515664</v>
      </c>
      <c r="N20" s="5588">
        <f t="shared" si="18"/>
        <v>587352</v>
      </c>
      <c r="O20" s="5586">
        <v>231277.96148609219</v>
      </c>
      <c r="P20" s="5571">
        <v>233369</v>
      </c>
      <c r="Q20" s="5587">
        <f>+M20+O20</f>
        <v>836296.44038124883</v>
      </c>
      <c r="R20" s="5572">
        <f t="shared" si="7"/>
        <v>820721</v>
      </c>
      <c r="S20" s="5589">
        <v>231277.96148609219</v>
      </c>
      <c r="T20" s="5590">
        <v>227472.41</v>
      </c>
      <c r="U20" s="5587">
        <f>+Q20+S20</f>
        <v>1067574.401867341</v>
      </c>
      <c r="V20" s="5587">
        <f t="shared" si="8"/>
        <v>1048193.41</v>
      </c>
      <c r="W20" s="5589">
        <v>224469.94748103482</v>
      </c>
      <c r="X20" s="5590">
        <v>213289.17</v>
      </c>
      <c r="Y20" s="5588">
        <f t="shared" si="19"/>
        <v>687025.87045321916</v>
      </c>
      <c r="Z20" s="5588">
        <f t="shared" si="19"/>
        <v>674130.58000000007</v>
      </c>
      <c r="AA20" s="5591">
        <f>+Y20+M20</f>
        <v>1292044.3493483758</v>
      </c>
      <c r="AB20" s="5591">
        <f t="shared" si="17"/>
        <v>1261482.58</v>
      </c>
      <c r="AC20" s="5589">
        <v>238085.97549114958</v>
      </c>
      <c r="AD20" s="5590">
        <v>226295.92</v>
      </c>
      <c r="AE20" s="5587">
        <f>+AA20+AC20</f>
        <v>1530130.3248395254</v>
      </c>
      <c r="AF20" s="5587">
        <f t="shared" si="9"/>
        <v>1487778.5</v>
      </c>
      <c r="AG20" s="5589">
        <v>230305.38805679829</v>
      </c>
      <c r="AH20" s="5590">
        <v>194939.91</v>
      </c>
      <c r="AI20" s="5587">
        <f>+AE20+AG20</f>
        <v>1760435.7128963238</v>
      </c>
      <c r="AJ20" s="5587">
        <f t="shared" si="10"/>
        <v>1682718.41</v>
      </c>
      <c r="AK20" s="5589">
        <v>239058.54892044349</v>
      </c>
      <c r="AL20" s="5590">
        <v>220465.59</v>
      </c>
      <c r="AM20" s="5588">
        <f t="shared" si="23"/>
        <v>707449.91246839135</v>
      </c>
      <c r="AN20" s="5588">
        <f t="shared" si="20"/>
        <v>641701.42000000004</v>
      </c>
      <c r="AO20" s="5587">
        <f>+AK20+AI20</f>
        <v>1999494.2618167673</v>
      </c>
      <c r="AP20" s="5587">
        <f t="shared" si="21"/>
        <v>1903184</v>
      </c>
      <c r="AQ20" s="5589">
        <v>239058.54892044349</v>
      </c>
      <c r="AR20" s="5590">
        <v>220532</v>
      </c>
      <c r="AS20" s="5587">
        <f>+AO20+AQ20</f>
        <v>2238552.8107372108</v>
      </c>
      <c r="AT20" s="5587">
        <f t="shared" si="12"/>
        <v>2123716</v>
      </c>
      <c r="AU20" s="5589">
        <v>222524.80062244699</v>
      </c>
      <c r="AV20" s="5590">
        <v>217237.69</v>
      </c>
      <c r="AW20" s="5587">
        <f>+AS20+AU20</f>
        <v>2461077.6113596577</v>
      </c>
      <c r="AX20" s="5587">
        <f t="shared" si="13"/>
        <v>2340953.69</v>
      </c>
      <c r="AY20" s="5589">
        <v>240031.12234973739</v>
      </c>
      <c r="AZ20" s="5590">
        <v>222249.87</v>
      </c>
      <c r="BA20" s="5588">
        <f t="shared" si="24"/>
        <v>701614.47189262789</v>
      </c>
      <c r="BB20" s="5588">
        <f t="shared" si="22"/>
        <v>660019.56000000006</v>
      </c>
      <c r="BC20" s="5591">
        <f t="shared" si="25"/>
        <v>1409064.3843610194</v>
      </c>
      <c r="BD20" s="5591">
        <f t="shared" si="26"/>
        <v>1301720.98</v>
      </c>
      <c r="BE20" s="5587">
        <f>+AW20+AY20</f>
        <v>2701108.7337093949</v>
      </c>
      <c r="BF20" s="5592">
        <f t="shared" si="16"/>
        <v>2563203.56</v>
      </c>
      <c r="BG20" s="26"/>
      <c r="BH20" s="26"/>
      <c r="BI20" s="26"/>
      <c r="BJ20" s="26"/>
    </row>
    <row r="21" spans="1:62" ht="21" customHeight="1" x14ac:dyDescent="0.25">
      <c r="A21" s="424" t="s">
        <v>478</v>
      </c>
      <c r="B21" s="5553" t="s">
        <v>304</v>
      </c>
      <c r="C21" s="5393"/>
      <c r="D21" s="5448"/>
      <c r="E21" s="5554"/>
      <c r="F21" s="5554"/>
      <c r="G21" s="5554"/>
      <c r="H21" s="5554"/>
      <c r="I21" s="5554"/>
      <c r="J21" s="5554"/>
      <c r="K21" s="5554"/>
      <c r="L21" s="5554"/>
      <c r="M21" s="5554"/>
      <c r="N21" s="5554"/>
      <c r="O21" s="5554"/>
      <c r="P21" s="5554"/>
      <c r="Q21" s="5554"/>
      <c r="R21" s="5554"/>
      <c r="S21" s="5554"/>
      <c r="T21" s="5555"/>
      <c r="U21" s="5554"/>
      <c r="V21" s="5554"/>
      <c r="W21" s="5554"/>
      <c r="X21" s="5555"/>
      <c r="Y21" s="5554"/>
      <c r="Z21" s="5554"/>
      <c r="AA21" s="5554"/>
      <c r="AB21" s="5554"/>
      <c r="AC21" s="5554"/>
      <c r="AD21" s="5555"/>
      <c r="AE21" s="5554"/>
      <c r="AF21" s="5554"/>
      <c r="AG21" s="5554"/>
      <c r="AH21" s="5555"/>
      <c r="AI21" s="5554"/>
      <c r="AJ21" s="5554"/>
      <c r="AK21" s="5554"/>
      <c r="AL21" s="5555"/>
      <c r="AM21" s="5554"/>
      <c r="AN21" s="5554"/>
      <c r="AO21" s="5554"/>
      <c r="AP21" s="5554"/>
      <c r="AQ21" s="5554"/>
      <c r="AR21" s="5555"/>
      <c r="AS21" s="5554"/>
      <c r="AT21" s="5554"/>
      <c r="AU21" s="5554"/>
      <c r="AV21" s="5555"/>
      <c r="AW21" s="5554"/>
      <c r="AX21" s="5554"/>
      <c r="AY21" s="5554"/>
      <c r="AZ21" s="5555"/>
      <c r="BA21" s="5554"/>
      <c r="BB21" s="5554"/>
      <c r="BC21" s="5554"/>
      <c r="BD21" s="5554"/>
      <c r="BE21" s="5554"/>
      <c r="BF21" s="5556"/>
      <c r="BG21" s="26"/>
      <c r="BH21" s="26"/>
      <c r="BI21" s="26"/>
      <c r="BJ21" s="26"/>
    </row>
    <row r="22" spans="1:62" ht="21" customHeight="1" x14ac:dyDescent="0.25">
      <c r="A22" s="186" t="s">
        <v>478</v>
      </c>
      <c r="B22" s="5409" t="s">
        <v>289</v>
      </c>
      <c r="C22" s="5410" t="s">
        <v>179</v>
      </c>
      <c r="D22" s="6403">
        <f>+D29/150</f>
        <v>13334</v>
      </c>
      <c r="E22" s="6383">
        <f>+E29/150</f>
        <v>1134</v>
      </c>
      <c r="F22" s="5480">
        <v>531</v>
      </c>
      <c r="G22" s="6383">
        <f>+G29/150</f>
        <v>943</v>
      </c>
      <c r="H22" s="5480">
        <v>437</v>
      </c>
      <c r="I22" s="6384">
        <f>+E22+G22</f>
        <v>2077</v>
      </c>
      <c r="J22" s="5472">
        <f>+F22+H22</f>
        <v>968</v>
      </c>
      <c r="K22" s="6383">
        <f>+K29/150</f>
        <v>924</v>
      </c>
      <c r="L22" s="5480">
        <v>481</v>
      </c>
      <c r="M22" s="6368">
        <f>+K22+G22+E22</f>
        <v>3001</v>
      </c>
      <c r="N22" s="5479">
        <f t="shared" si="18"/>
        <v>1449</v>
      </c>
      <c r="O22" s="6383">
        <f>+O29/150</f>
        <v>1148</v>
      </c>
      <c r="P22" s="5480">
        <v>532</v>
      </c>
      <c r="Q22" s="6384">
        <f>+M22+O22</f>
        <v>4149</v>
      </c>
      <c r="R22" s="5472">
        <f>+N22+P22</f>
        <v>1981</v>
      </c>
      <c r="S22" s="6383">
        <f>+S29/150</f>
        <v>1148</v>
      </c>
      <c r="T22" s="5481">
        <v>532</v>
      </c>
      <c r="U22" s="6384">
        <f>+Q22+S22</f>
        <v>5297</v>
      </c>
      <c r="V22" s="5472">
        <f>+R22+T22</f>
        <v>2513</v>
      </c>
      <c r="W22" s="6383">
        <f>+W29/150</f>
        <v>1107</v>
      </c>
      <c r="X22" s="5481">
        <v>510</v>
      </c>
      <c r="Y22" s="6368">
        <f>+W22+S22+O22</f>
        <v>3403</v>
      </c>
      <c r="Z22" s="5479">
        <f t="shared" si="19"/>
        <v>1574</v>
      </c>
      <c r="AA22" s="6369">
        <f>+Y22+M22</f>
        <v>6404</v>
      </c>
      <c r="AB22" s="5475">
        <f t="shared" si="17"/>
        <v>3023</v>
      </c>
      <c r="AC22" s="6383">
        <f>+AC29/150</f>
        <v>1176</v>
      </c>
      <c r="AD22" s="5481">
        <v>524</v>
      </c>
      <c r="AE22" s="6384">
        <f>+AA22+AC22</f>
        <v>7580</v>
      </c>
      <c r="AF22" s="5472">
        <f>+AB22+AD22</f>
        <v>3547</v>
      </c>
      <c r="AG22" s="6383">
        <f>+AG29/150</f>
        <v>1134</v>
      </c>
      <c r="AH22" s="5481">
        <v>429</v>
      </c>
      <c r="AI22" s="6384">
        <f>+AE22+AG22</f>
        <v>8714</v>
      </c>
      <c r="AJ22" s="5472">
        <f>+AF22+AH22</f>
        <v>3976</v>
      </c>
      <c r="AK22" s="6383">
        <f>+AK29/150</f>
        <v>1176</v>
      </c>
      <c r="AL22" s="5481">
        <v>533</v>
      </c>
      <c r="AM22" s="6368">
        <f>+AK22+AG22+AC22</f>
        <v>3486</v>
      </c>
      <c r="AN22" s="5479">
        <f t="shared" ref="AN22:AN24" si="27">+AL22+AH22+AD22</f>
        <v>1486</v>
      </c>
      <c r="AO22" s="6384">
        <f>+AK22+AI22</f>
        <v>9890</v>
      </c>
      <c r="AP22" s="5478">
        <f t="shared" si="21"/>
        <v>4509</v>
      </c>
      <c r="AQ22" s="6383">
        <f>+AQ29/150</f>
        <v>1176</v>
      </c>
      <c r="AR22" s="5481">
        <v>515</v>
      </c>
      <c r="AS22" s="6384">
        <f>+AO22+AQ22</f>
        <v>11066</v>
      </c>
      <c r="AT22" s="5472">
        <f>+AP22+AR22</f>
        <v>5024</v>
      </c>
      <c r="AU22" s="6383">
        <f>+AU29/150</f>
        <v>1092</v>
      </c>
      <c r="AV22" s="5481">
        <v>539</v>
      </c>
      <c r="AW22" s="6384">
        <f>+AS22+AU22</f>
        <v>12158</v>
      </c>
      <c r="AX22" s="5472">
        <f>+AT22+AV22</f>
        <v>5563</v>
      </c>
      <c r="AY22" s="6383">
        <f>+AY29/150</f>
        <v>1176</v>
      </c>
      <c r="AZ22" s="5481">
        <v>478</v>
      </c>
      <c r="BA22" s="6368">
        <f>+AY22+AU22+AQ22</f>
        <v>3444</v>
      </c>
      <c r="BB22" s="5479">
        <f t="shared" ref="BB22:BB24" si="28">+AZ22+AV22+AR22</f>
        <v>1532</v>
      </c>
      <c r="BC22" s="6369">
        <f>+BA22+AM22</f>
        <v>6930</v>
      </c>
      <c r="BD22" s="5482">
        <f t="shared" ref="BD22:BD24" si="29">+BB22+AN22</f>
        <v>3018</v>
      </c>
      <c r="BE22" s="6384">
        <f>+AW22+AY22</f>
        <v>13334</v>
      </c>
      <c r="BF22" s="5394">
        <f>+AX22+AZ22</f>
        <v>6041</v>
      </c>
      <c r="BG22" s="26"/>
      <c r="BH22" s="26"/>
      <c r="BI22" s="26"/>
      <c r="BJ22" s="26"/>
    </row>
    <row r="23" spans="1:62" ht="21" customHeight="1" x14ac:dyDescent="0.25">
      <c r="A23" s="186" t="s">
        <v>478</v>
      </c>
      <c r="B23" s="5411" t="s">
        <v>290</v>
      </c>
      <c r="C23" s="5458" t="s">
        <v>179</v>
      </c>
      <c r="D23" s="6403"/>
      <c r="E23" s="6383"/>
      <c r="F23" s="5480">
        <v>565</v>
      </c>
      <c r="G23" s="6383"/>
      <c r="H23" s="5480">
        <v>481</v>
      </c>
      <c r="I23" s="6384"/>
      <c r="J23" s="5472">
        <f>+F23+H23</f>
        <v>1046</v>
      </c>
      <c r="K23" s="6383"/>
      <c r="L23" s="5480">
        <v>469</v>
      </c>
      <c r="M23" s="6368"/>
      <c r="N23" s="5479">
        <f t="shared" si="18"/>
        <v>1515</v>
      </c>
      <c r="O23" s="6383"/>
      <c r="P23" s="5480">
        <v>635</v>
      </c>
      <c r="Q23" s="6384"/>
      <c r="R23" s="5472">
        <f>+N23+P23</f>
        <v>2150</v>
      </c>
      <c r="S23" s="6383"/>
      <c r="T23" s="5481">
        <v>622</v>
      </c>
      <c r="U23" s="6384"/>
      <c r="V23" s="5472">
        <f>+R23+T23</f>
        <v>2772</v>
      </c>
      <c r="W23" s="6383"/>
      <c r="X23" s="5481">
        <v>571</v>
      </c>
      <c r="Y23" s="6368"/>
      <c r="Z23" s="5479">
        <f t="shared" si="19"/>
        <v>1828</v>
      </c>
      <c r="AA23" s="6369"/>
      <c r="AB23" s="5475">
        <f t="shared" si="17"/>
        <v>3343</v>
      </c>
      <c r="AC23" s="6383"/>
      <c r="AD23" s="5481">
        <v>600</v>
      </c>
      <c r="AE23" s="6384"/>
      <c r="AF23" s="5472">
        <f>+AB23+AD23</f>
        <v>3943</v>
      </c>
      <c r="AG23" s="6383"/>
      <c r="AH23" s="5481">
        <v>508</v>
      </c>
      <c r="AI23" s="6384"/>
      <c r="AJ23" s="5472">
        <f>+AF23+AH23</f>
        <v>4451</v>
      </c>
      <c r="AK23" s="6383"/>
      <c r="AL23" s="5481">
        <v>559</v>
      </c>
      <c r="AM23" s="6368"/>
      <c r="AN23" s="5479">
        <f t="shared" si="27"/>
        <v>1667</v>
      </c>
      <c r="AO23" s="6384"/>
      <c r="AP23" s="5478">
        <f t="shared" si="21"/>
        <v>5010</v>
      </c>
      <c r="AQ23" s="6383"/>
      <c r="AR23" s="5481">
        <v>573</v>
      </c>
      <c r="AS23" s="6384"/>
      <c r="AT23" s="5472">
        <f>+AP23+AR23</f>
        <v>5583</v>
      </c>
      <c r="AU23" s="6383"/>
      <c r="AV23" s="5481">
        <v>545</v>
      </c>
      <c r="AW23" s="6384"/>
      <c r="AX23" s="5472">
        <f>+AT23+AV23</f>
        <v>6128</v>
      </c>
      <c r="AY23" s="6383"/>
      <c r="AZ23" s="5481">
        <v>623</v>
      </c>
      <c r="BA23" s="6368"/>
      <c r="BB23" s="5479">
        <f t="shared" si="28"/>
        <v>1741</v>
      </c>
      <c r="BC23" s="6369"/>
      <c r="BD23" s="5482">
        <f t="shared" si="29"/>
        <v>3408</v>
      </c>
      <c r="BE23" s="6384"/>
      <c r="BF23" s="5394">
        <f>+AX23+AZ23</f>
        <v>6751</v>
      </c>
      <c r="BG23" s="26"/>
      <c r="BH23" s="26"/>
      <c r="BI23" s="26"/>
      <c r="BJ23" s="26"/>
    </row>
    <row r="24" spans="1:62" ht="21" customHeight="1" thickBot="1" x14ac:dyDescent="0.3">
      <c r="A24" s="186" t="s">
        <v>478</v>
      </c>
      <c r="B24" s="5412" t="s">
        <v>291</v>
      </c>
      <c r="C24" s="5413" t="s">
        <v>179</v>
      </c>
      <c r="D24" s="5432">
        <f>+D38/150</f>
        <v>4133.166666666667</v>
      </c>
      <c r="E24" s="5480">
        <f>+E38/150</f>
        <v>342.72666666666669</v>
      </c>
      <c r="F24" s="5480">
        <v>346</v>
      </c>
      <c r="G24" s="5480">
        <f>+G38/150</f>
        <v>288.44666666666666</v>
      </c>
      <c r="H24" s="5480">
        <v>252</v>
      </c>
      <c r="I24" s="5478">
        <f>+E24+G24</f>
        <v>631.1733333333334</v>
      </c>
      <c r="J24" s="5472">
        <f>+F24+H24</f>
        <v>598</v>
      </c>
      <c r="K24" s="5480">
        <f>+K38/150</f>
        <v>280.27666666666664</v>
      </c>
      <c r="L24" s="5480">
        <v>302</v>
      </c>
      <c r="M24" s="5479">
        <f>+K24+G24+E24</f>
        <v>911.45</v>
      </c>
      <c r="N24" s="5479">
        <f t="shared" si="18"/>
        <v>900</v>
      </c>
      <c r="O24" s="5480">
        <f>+O38/150</f>
        <v>347.6</v>
      </c>
      <c r="P24" s="5480">
        <v>370</v>
      </c>
      <c r="Q24" s="5478">
        <f>+M24+O24</f>
        <v>1259.0500000000002</v>
      </c>
      <c r="R24" s="5472">
        <f>+N24+P24</f>
        <v>1270</v>
      </c>
      <c r="S24" s="5480">
        <f>+S38/150</f>
        <v>347.59748427672952</v>
      </c>
      <c r="T24" s="5481">
        <v>339</v>
      </c>
      <c r="U24" s="5478">
        <f>+Q24+S24</f>
        <v>1606.6474842767298</v>
      </c>
      <c r="V24" s="5472">
        <f>+R24+T24</f>
        <v>1609</v>
      </c>
      <c r="W24" s="5480">
        <f>+W38/150</f>
        <v>344.57232704402509</v>
      </c>
      <c r="X24" s="5481">
        <v>319</v>
      </c>
      <c r="Y24" s="5479">
        <f t="shared" si="19"/>
        <v>1039.7698113207548</v>
      </c>
      <c r="Z24" s="5479">
        <f t="shared" si="19"/>
        <v>1028</v>
      </c>
      <c r="AA24" s="5482">
        <f>+Y24+M24</f>
        <v>1951.2198113207548</v>
      </c>
      <c r="AB24" s="5475">
        <f t="shared" si="17"/>
        <v>1928</v>
      </c>
      <c r="AC24" s="5480">
        <f>+AC38/150</f>
        <v>363.62264150943395</v>
      </c>
      <c r="AD24" s="5481">
        <v>366</v>
      </c>
      <c r="AE24" s="5478">
        <f>+AA24+AC24</f>
        <v>2314.8424528301889</v>
      </c>
      <c r="AF24" s="5472">
        <f>+AB24+AD24</f>
        <v>2294</v>
      </c>
      <c r="AG24" s="5480">
        <f>+AG38/150</f>
        <v>355.30817610062894</v>
      </c>
      <c r="AH24" s="5481">
        <v>328</v>
      </c>
      <c r="AI24" s="5478">
        <f>+AE24+AG24</f>
        <v>2670.1506289308177</v>
      </c>
      <c r="AJ24" s="5472">
        <f>+AF24+AH24</f>
        <v>2622</v>
      </c>
      <c r="AK24" s="5480">
        <f>+AK38/150</f>
        <v>369.91194968553452</v>
      </c>
      <c r="AL24" s="5481">
        <v>347</v>
      </c>
      <c r="AM24" s="5479">
        <f t="shared" ref="AM24" si="30">+AK24+AG24+AC24</f>
        <v>1088.8427672955972</v>
      </c>
      <c r="AN24" s="5479">
        <f t="shared" si="27"/>
        <v>1041</v>
      </c>
      <c r="AO24" s="5478">
        <f t="shared" si="21"/>
        <v>3040.0625786163523</v>
      </c>
      <c r="AP24" s="5478">
        <f t="shared" si="21"/>
        <v>2969</v>
      </c>
      <c r="AQ24" s="5480">
        <f>+AQ38/150</f>
        <v>369.91194968553452</v>
      </c>
      <c r="AR24" s="5481">
        <v>364</v>
      </c>
      <c r="AS24" s="5478">
        <f>+AO24+AQ24</f>
        <v>3409.9745283018869</v>
      </c>
      <c r="AT24" s="5472">
        <f>+AP24+AR24</f>
        <v>3333</v>
      </c>
      <c r="AU24" s="5480">
        <f>+AU38/150</f>
        <v>346.99371069182388</v>
      </c>
      <c r="AV24" s="5481">
        <v>345</v>
      </c>
      <c r="AW24" s="5478">
        <f>+AS24+AU24</f>
        <v>3756.9682389937107</v>
      </c>
      <c r="AX24" s="5472">
        <f>+AT24+AV24</f>
        <v>3678</v>
      </c>
      <c r="AY24" s="5480">
        <f>+AY38/150</f>
        <v>376.20125786163516</v>
      </c>
      <c r="AZ24" s="5481">
        <v>365</v>
      </c>
      <c r="BA24" s="5479">
        <f t="shared" ref="BA24" si="31">+AY24+AU24+AQ24</f>
        <v>1093.1069182389936</v>
      </c>
      <c r="BB24" s="5479">
        <f t="shared" si="28"/>
        <v>1074</v>
      </c>
      <c r="BC24" s="5482">
        <f>+BA24+AM24</f>
        <v>2181.9496855345906</v>
      </c>
      <c r="BD24" s="5482">
        <f t="shared" si="29"/>
        <v>2115</v>
      </c>
      <c r="BE24" s="5478">
        <f>+AW24+AY24</f>
        <v>4133.1694968553456</v>
      </c>
      <c r="BF24" s="5394">
        <f>+AX24+AZ24</f>
        <v>4043</v>
      </c>
      <c r="BG24" s="26"/>
      <c r="BH24" s="26"/>
      <c r="BI24" s="26"/>
      <c r="BJ24" s="26"/>
    </row>
    <row r="25" spans="1:62" ht="21" customHeight="1" thickBot="1" x14ac:dyDescent="0.3">
      <c r="A25" s="186"/>
      <c r="B25" s="5414" t="s">
        <v>292</v>
      </c>
      <c r="C25" s="5398" t="s">
        <v>179</v>
      </c>
      <c r="D25" s="5439">
        <f t="shared" ref="D25:J25" si="32">SUM(D22:D24)</f>
        <v>17467.166666666668</v>
      </c>
      <c r="E25" s="5483">
        <f>SUM(E22:E24)</f>
        <v>1476.7266666666667</v>
      </c>
      <c r="F25" s="5465">
        <f>SUM(F22:F24)</f>
        <v>1442</v>
      </c>
      <c r="G25" s="5483">
        <f>SUM(G22:G24)</f>
        <v>1231.4466666666667</v>
      </c>
      <c r="H25" s="5465">
        <f>SUM(H22:H24)</f>
        <v>1170</v>
      </c>
      <c r="I25" s="5484">
        <f t="shared" si="32"/>
        <v>2708.1733333333332</v>
      </c>
      <c r="J25" s="5464">
        <f t="shared" si="32"/>
        <v>2612</v>
      </c>
      <c r="K25" s="5483">
        <f>SUM(K22:K24)</f>
        <v>1204.2766666666666</v>
      </c>
      <c r="L25" s="5465">
        <f>SUM(L22:L24)</f>
        <v>1252</v>
      </c>
      <c r="M25" s="5485">
        <f t="shared" ref="M25:T25" si="33">SUM(M22:M24)</f>
        <v>3912.45</v>
      </c>
      <c r="N25" s="5466">
        <f t="shared" si="33"/>
        <v>3864</v>
      </c>
      <c r="O25" s="5483">
        <f>SUM(O22:O24)</f>
        <v>1495.6</v>
      </c>
      <c r="P25" s="5465">
        <f>SUM(P22:P24)</f>
        <v>1537</v>
      </c>
      <c r="Q25" s="5484">
        <f t="shared" si="33"/>
        <v>5408.05</v>
      </c>
      <c r="R25" s="5464">
        <f t="shared" si="33"/>
        <v>5401</v>
      </c>
      <c r="S25" s="5469">
        <f t="shared" si="33"/>
        <v>1495.5974842767296</v>
      </c>
      <c r="T25" s="5467">
        <f t="shared" si="33"/>
        <v>1493</v>
      </c>
      <c r="U25" s="5484">
        <f t="shared" ref="U25:X25" si="34">SUM(U22:U24)</f>
        <v>6903.6474842767293</v>
      </c>
      <c r="V25" s="5464">
        <f t="shared" si="34"/>
        <v>6894</v>
      </c>
      <c r="W25" s="5469">
        <f t="shared" si="34"/>
        <v>1451.5723270440251</v>
      </c>
      <c r="X25" s="5467">
        <f t="shared" si="34"/>
        <v>1400</v>
      </c>
      <c r="Y25" s="5485">
        <f t="shared" ref="Y25:AF25" si="35">SUM(Y22:Y24)</f>
        <v>4442.7698113207553</v>
      </c>
      <c r="Z25" s="5466">
        <f t="shared" si="35"/>
        <v>4430</v>
      </c>
      <c r="AA25" s="5486">
        <f t="shared" si="35"/>
        <v>8355.2198113207542</v>
      </c>
      <c r="AB25" s="5468">
        <f t="shared" si="35"/>
        <v>8294</v>
      </c>
      <c r="AC25" s="5469">
        <f t="shared" si="35"/>
        <v>1539.6226415094338</v>
      </c>
      <c r="AD25" s="5467">
        <f t="shared" si="35"/>
        <v>1490</v>
      </c>
      <c r="AE25" s="5484">
        <f t="shared" si="35"/>
        <v>9894.8424528301894</v>
      </c>
      <c r="AF25" s="5464">
        <f t="shared" si="35"/>
        <v>9784</v>
      </c>
      <c r="AG25" s="5469">
        <f t="shared" ref="AG25:AJ25" si="36">SUM(AG22:AG24)</f>
        <v>1489.308176100629</v>
      </c>
      <c r="AH25" s="5467">
        <f t="shared" si="36"/>
        <v>1265</v>
      </c>
      <c r="AI25" s="5484">
        <f t="shared" si="36"/>
        <v>11384.150628930818</v>
      </c>
      <c r="AJ25" s="5464">
        <f t="shared" si="36"/>
        <v>11049</v>
      </c>
      <c r="AK25" s="5469">
        <f t="shared" ref="AK25:AV25" si="37">SUM(AK22:AK24)</f>
        <v>1545.9119496855346</v>
      </c>
      <c r="AL25" s="5467">
        <f t="shared" si="37"/>
        <v>1439</v>
      </c>
      <c r="AM25" s="5485">
        <f t="shared" si="37"/>
        <v>4574.8427672955968</v>
      </c>
      <c r="AN25" s="5466">
        <f t="shared" si="37"/>
        <v>4194</v>
      </c>
      <c r="AO25" s="5484">
        <f t="shared" si="37"/>
        <v>12930.062578616353</v>
      </c>
      <c r="AP25" s="5464">
        <f t="shared" si="37"/>
        <v>12488</v>
      </c>
      <c r="AQ25" s="5469">
        <f t="shared" ref="AQ25:AR25" si="38">SUM(AQ22:AQ24)</f>
        <v>1545.9119496855346</v>
      </c>
      <c r="AR25" s="5467">
        <f t="shared" si="38"/>
        <v>1452</v>
      </c>
      <c r="AS25" s="5484">
        <f t="shared" si="37"/>
        <v>14475.974528301887</v>
      </c>
      <c r="AT25" s="5464">
        <f t="shared" si="37"/>
        <v>13940</v>
      </c>
      <c r="AU25" s="5469">
        <f t="shared" si="37"/>
        <v>1438.9937106918239</v>
      </c>
      <c r="AV25" s="5467">
        <f t="shared" si="37"/>
        <v>1429</v>
      </c>
      <c r="AW25" s="5484">
        <f t="shared" ref="AW25:BD25" si="39">SUM(AW22:AW24)</f>
        <v>15914.968238993712</v>
      </c>
      <c r="AX25" s="5464">
        <f t="shared" si="39"/>
        <v>15369</v>
      </c>
      <c r="AY25" s="5469">
        <f t="shared" si="39"/>
        <v>1552.2012578616352</v>
      </c>
      <c r="AZ25" s="5467">
        <f t="shared" si="39"/>
        <v>1466</v>
      </c>
      <c r="BA25" s="5485">
        <f t="shared" si="39"/>
        <v>4537.1069182389938</v>
      </c>
      <c r="BB25" s="5466">
        <f t="shared" si="39"/>
        <v>4347</v>
      </c>
      <c r="BC25" s="5486">
        <f t="shared" si="39"/>
        <v>9111.9496855345897</v>
      </c>
      <c r="BD25" s="5468">
        <f t="shared" si="39"/>
        <v>8541</v>
      </c>
      <c r="BE25" s="5484">
        <f t="shared" ref="BE25:BF25" si="40">SUM(BE22:BE24)</f>
        <v>17467.169496855346</v>
      </c>
      <c r="BF25" s="5525">
        <f t="shared" si="40"/>
        <v>16835</v>
      </c>
      <c r="BG25" s="26"/>
      <c r="BH25" s="26"/>
      <c r="BI25" s="26"/>
      <c r="BJ25" s="26"/>
    </row>
    <row r="26" spans="1:62" ht="21" customHeight="1" thickBot="1" x14ac:dyDescent="0.3">
      <c r="A26" s="186"/>
      <c r="B26" s="5414" t="s">
        <v>567</v>
      </c>
      <c r="C26" s="5415" t="s">
        <v>360</v>
      </c>
      <c r="D26" s="5593">
        <f>+D25/D2</f>
        <v>47.724499089253193</v>
      </c>
      <c r="E26" s="5594">
        <f>+'Maj Production Summ'!E19</f>
        <v>50.92170895684233</v>
      </c>
      <c r="F26" s="5594">
        <f>+'Maj Production Summ'!F19</f>
        <v>48.881355932203391</v>
      </c>
      <c r="G26" s="5594">
        <f>+'Maj Production Summ'!G19</f>
        <v>49.257861635220124</v>
      </c>
      <c r="H26" s="5594">
        <f>+'Maj Production Summ'!H19</f>
        <v>43.670295489891132</v>
      </c>
      <c r="I26" s="5595">
        <f>+'Maj Production Summ'!I19</f>
        <v>50.151409270906122</v>
      </c>
      <c r="J26" s="5595">
        <f>+'Maj Production Summ'!J19</f>
        <v>46.401184307920055</v>
      </c>
      <c r="K26" s="5594">
        <f>+'Maj Production Summ'!K19</f>
        <v>44.602841835546236</v>
      </c>
      <c r="L26" s="5594">
        <f>+'Maj Production Summ'!L19</f>
        <v>50.671163575042158</v>
      </c>
      <c r="M26" s="5596">
        <f>+'Maj Production Summ'!M19</f>
        <v>48.301886792452834</v>
      </c>
      <c r="N26" s="5596">
        <f>+'Maj Production Summ'!N19</f>
        <v>47.703703703703702</v>
      </c>
      <c r="O26" s="5594">
        <f>+'Maj Production Summ'!O19</f>
        <v>49.853249475890983</v>
      </c>
      <c r="P26" s="5594">
        <f>+'Maj Production Summ'!P19</f>
        <v>50.393442622950822</v>
      </c>
      <c r="Q26" s="5594">
        <f>+'Maj Production Summ'!Q19</f>
        <v>48.721174004192868</v>
      </c>
      <c r="R26" s="5594">
        <f>+'Maj Production Summ'!R19</f>
        <v>48.439461883408072</v>
      </c>
      <c r="S26" s="5597">
        <f>+'Maj Production Summ'!S19</f>
        <v>49.853249475890983</v>
      </c>
      <c r="T26" s="5598">
        <f>+'Maj Production Summ'!T19</f>
        <v>48.161290322580648</v>
      </c>
      <c r="U26" s="5594">
        <f>+'Maj Production Summ'!U19</f>
        <v>48.962041125830773</v>
      </c>
      <c r="V26" s="5594">
        <f>+'Maj Production Summ'!V19</f>
        <v>48.378947368421052</v>
      </c>
      <c r="W26" s="5597">
        <f>+'Maj Production Summ'!W19</f>
        <v>50.054218173931901</v>
      </c>
      <c r="X26" s="5598">
        <f>+'Maj Production Summ'!X19</f>
        <v>49.194729136163986</v>
      </c>
      <c r="Y26" s="5594">
        <f>+'Maj Production Summ'!Y19</f>
        <v>49.918733658398693</v>
      </c>
      <c r="Z26" s="5594">
        <f>+'Maj Production Summ'!Z19</f>
        <v>49.245020842982868</v>
      </c>
      <c r="AA26" s="5594">
        <f>+'Maj Production Summ'!AA19</f>
        <v>49.148353681095081</v>
      </c>
      <c r="AB26" s="5594">
        <f>+'Maj Production Summ'!AB19</f>
        <v>48.514745308310992</v>
      </c>
      <c r="AC26" s="5597">
        <f>+'Maj Production Summ'!AC19</f>
        <v>51.320754716981128</v>
      </c>
      <c r="AD26" s="5598">
        <f>+'Maj Production Summ'!AD19</f>
        <v>48.852459016393439</v>
      </c>
      <c r="AE26" s="5594">
        <f>+'Maj Production Summ'!AE19</f>
        <v>49.474213836477986</v>
      </c>
      <c r="AF26" s="5594">
        <f>+'Maj Production Summ'!AF19</f>
        <v>48.565873836608063</v>
      </c>
      <c r="AG26" s="5597">
        <f>+'Maj Production Summ'!AG19</f>
        <v>51.355454348297549</v>
      </c>
      <c r="AH26" s="5598">
        <f>+'Maj Production Summ'!AH19</f>
        <v>43.620689655172413</v>
      </c>
      <c r="AI26" s="5594">
        <f>+'Maj Production Summ'!AI19</f>
        <v>49.712449534481337</v>
      </c>
      <c r="AJ26" s="5594">
        <f>+'Maj Production Summ'!AJ19</f>
        <v>47.943590670764777</v>
      </c>
      <c r="AK26" s="5597">
        <f>+'Maj Production Summ'!AK19</f>
        <v>51.530398322851156</v>
      </c>
      <c r="AL26" s="5598">
        <f>+'Maj Production Summ'!AL19</f>
        <v>47.115961800818553</v>
      </c>
      <c r="AM26" s="5594">
        <f>+'Maj Production Summ'!AM19</f>
        <v>51.402727722422448</v>
      </c>
      <c r="AN26" s="5594">
        <f>+'Maj Production Summ'!AN19</f>
        <v>46.578435909301248</v>
      </c>
      <c r="AO26" s="5594">
        <f>+'Maj Production Summ'!AO19</f>
        <v>49.923022753211427</v>
      </c>
      <c r="AP26" s="5594">
        <f>+'Maj Production Summ'!AP19</f>
        <v>47.846743295019159</v>
      </c>
      <c r="AQ26" s="5597">
        <f>+'Maj Production Summ'!AQ19</f>
        <v>51.530398322851156</v>
      </c>
      <c r="AR26" s="5598">
        <f>+'Maj Production Summ'!AR19</f>
        <v>48.4</v>
      </c>
      <c r="AS26" s="5594">
        <f>+'Maj Production Summ'!AS19</f>
        <v>50.089878348675761</v>
      </c>
      <c r="AT26" s="5594">
        <f>+'Maj Production Summ'!AT19</f>
        <v>47.903780068728523</v>
      </c>
      <c r="AU26" s="5597">
        <f>+'Maj Production Summ'!AU19</f>
        <v>51.392632524707999</v>
      </c>
      <c r="AV26" s="5598">
        <f>+'Maj Production Summ'!AV19</f>
        <v>49.275862068965516</v>
      </c>
      <c r="AW26" s="5594">
        <f>+'Maj Production Summ'!AW19</f>
        <v>50.204948118167565</v>
      </c>
      <c r="AX26" s="5594">
        <f>+'Maj Production Summ'!AX19</f>
        <v>48.028125000000003</v>
      </c>
      <c r="AY26" s="5597">
        <f>+'Maj Production Summ'!AY19</f>
        <v>51.740041928721176</v>
      </c>
      <c r="AZ26" s="5598">
        <f>+'Maj Production Summ'!AZ19</f>
        <v>49.229047152651468</v>
      </c>
      <c r="BA26" s="5594">
        <f>+'Maj Production Summ'!BA19</f>
        <v>51.558033161806748</v>
      </c>
      <c r="BB26" s="5594">
        <f>+'Maj Production Summ'!BB19</f>
        <v>48.96419017224386</v>
      </c>
      <c r="BC26" s="5594">
        <f>+'Maj Production Summ'!BC19</f>
        <v>51.47994172618413</v>
      </c>
      <c r="BD26" s="5594">
        <f>+'Maj Production Summ'!BD19</f>
        <v>47.762891162010391</v>
      </c>
      <c r="BE26" s="5594">
        <f>+'Maj Production Summ'!BE19</f>
        <v>50.337665162307644</v>
      </c>
      <c r="BF26" s="5599">
        <f>+'Maj Production Summ'!BF19</f>
        <v>48.13036797026696</v>
      </c>
      <c r="BG26" s="26"/>
      <c r="BH26" s="26"/>
      <c r="BI26" s="26"/>
      <c r="BJ26" s="26"/>
    </row>
    <row r="27" spans="1:62" ht="21" customHeight="1" thickBot="1" x14ac:dyDescent="0.3">
      <c r="A27" s="186"/>
      <c r="B27" s="5416" t="s">
        <v>456</v>
      </c>
      <c r="C27" s="5417" t="s">
        <v>52</v>
      </c>
      <c r="D27" s="5600">
        <f>+D20-D5</f>
        <v>81033.26201128168</v>
      </c>
      <c r="E27" s="5601">
        <f>+E20-E5</f>
        <v>6850.8072359464713</v>
      </c>
      <c r="F27" s="5602">
        <v>3275</v>
      </c>
      <c r="G27" s="5601">
        <f>+G20-G5</f>
        <v>5712.8963236728741</v>
      </c>
      <c r="H27" s="5602">
        <v>2751</v>
      </c>
      <c r="I27" s="5603">
        <f>+E27+G27</f>
        <v>12563.703559619345</v>
      </c>
      <c r="J27" s="5603">
        <f>+F27+H27</f>
        <v>6026</v>
      </c>
      <c r="K27" s="5601">
        <f>+K20-K5</f>
        <v>5586.8508072362165</v>
      </c>
      <c r="L27" s="5602">
        <v>2829</v>
      </c>
      <c r="M27" s="5604">
        <f>+K27+G27+E27</f>
        <v>18150.554366855562</v>
      </c>
      <c r="N27" s="5604">
        <f>+L27+H27+F27</f>
        <v>8855</v>
      </c>
      <c r="O27" s="5601">
        <f>+O20-O5</f>
        <v>6938.3388445831661</v>
      </c>
      <c r="P27" s="5602">
        <v>3221</v>
      </c>
      <c r="Q27" s="5603">
        <f>+M27+O27</f>
        <v>25088.893211438728</v>
      </c>
      <c r="R27" s="5603">
        <f>+N27+P27</f>
        <v>12076</v>
      </c>
      <c r="S27" s="5602">
        <f>+S20-S5</f>
        <v>6938.3388445827586</v>
      </c>
      <c r="T27" s="5605">
        <v>2830.41</v>
      </c>
      <c r="U27" s="5603">
        <f>+Q27+S27</f>
        <v>32027.232056021487</v>
      </c>
      <c r="V27" s="5603">
        <f>+R27+T27</f>
        <v>14906.41</v>
      </c>
      <c r="W27" s="5602">
        <f>+W20-W5</f>
        <v>6734.098424431053</v>
      </c>
      <c r="X27" s="5605">
        <v>2523.17</v>
      </c>
      <c r="Y27" s="5606">
        <f>+W27+S27+O27</f>
        <v>20610.776113596978</v>
      </c>
      <c r="Z27" s="5606">
        <f>+X27+T27+P27</f>
        <v>8574.58</v>
      </c>
      <c r="AA27" s="5607">
        <f>+Y27+M27</f>
        <v>38761.33048045254</v>
      </c>
      <c r="AB27" s="5607">
        <f t="shared" ref="AB27:AB33" si="41">+Z27+N27</f>
        <v>17429.580000000002</v>
      </c>
      <c r="AC27" s="5602">
        <f>+AC20-AC5</f>
        <v>7142.5792647345806</v>
      </c>
      <c r="AD27" s="5605">
        <v>2856.92</v>
      </c>
      <c r="AE27" s="5603">
        <f>+AA27+AC27</f>
        <v>45903.90974518712</v>
      </c>
      <c r="AF27" s="5603">
        <f>+AB27+AD27</f>
        <v>20286.5</v>
      </c>
      <c r="AG27" s="5602">
        <f>+AG20-AG5</f>
        <v>6909.1616417042969</v>
      </c>
      <c r="AH27" s="5605">
        <v>2605.91</v>
      </c>
      <c r="AI27" s="5603">
        <f>+AE27+AG27</f>
        <v>52813.071386891417</v>
      </c>
      <c r="AJ27" s="5603">
        <f>+AF27+AH27</f>
        <v>22892.41</v>
      </c>
      <c r="AK27" s="5602">
        <f>+AK20-AK5</f>
        <v>7171.7564676134789</v>
      </c>
      <c r="AL27" s="5605">
        <v>2880.59</v>
      </c>
      <c r="AM27" s="5606">
        <f>+AK27+AG27+AC27</f>
        <v>21223.497374052356</v>
      </c>
      <c r="AN27" s="5606">
        <f>+AL27+AH27+AD27</f>
        <v>8343.42</v>
      </c>
      <c r="AO27" s="5603">
        <f>+AK27+AI27</f>
        <v>59984.827854504896</v>
      </c>
      <c r="AP27" s="5603">
        <f>+AL27+AJ27</f>
        <v>25773</v>
      </c>
      <c r="AQ27" s="5602">
        <f>+AQ20-AQ5</f>
        <v>7171.7564676134789</v>
      </c>
      <c r="AR27" s="5605">
        <v>2853</v>
      </c>
      <c r="AS27" s="5603">
        <f>+AO27+AQ27</f>
        <v>67156.584322118375</v>
      </c>
      <c r="AT27" s="5603">
        <f>+AP27+AR27</f>
        <v>28626</v>
      </c>
      <c r="AU27" s="5602">
        <f>+AU20-AU5</f>
        <v>6675.7440186729946</v>
      </c>
      <c r="AV27" s="5605">
        <v>2829.69</v>
      </c>
      <c r="AW27" s="5603">
        <f>+AS27+AU27</f>
        <v>73832.32834079137</v>
      </c>
      <c r="AX27" s="5603">
        <f>+AT27+AV27</f>
        <v>31455.69</v>
      </c>
      <c r="AY27" s="5602">
        <f>+AY20-AY5</f>
        <v>7200.9336704923771</v>
      </c>
      <c r="AZ27" s="5605">
        <v>2822.87</v>
      </c>
      <c r="BA27" s="5606">
        <f>+AY27+AU27+AQ27</f>
        <v>21048.434156778851</v>
      </c>
      <c r="BB27" s="5606">
        <f>+AZ27+AV27+AR27</f>
        <v>8505.56</v>
      </c>
      <c r="BC27" s="5607">
        <f t="shared" ref="BC27:BD33" si="42">+BA27+AM27</f>
        <v>42271.931530831207</v>
      </c>
      <c r="BD27" s="5607">
        <f t="shared" si="42"/>
        <v>16848.98</v>
      </c>
      <c r="BE27" s="5603">
        <f>+AW27+AY27</f>
        <v>81033.262011283747</v>
      </c>
      <c r="BF27" s="5608">
        <f>+AX27+AZ27</f>
        <v>34278.559999999998</v>
      </c>
      <c r="BG27" s="26"/>
      <c r="BH27" s="26"/>
      <c r="BI27" s="26"/>
      <c r="BJ27" s="26"/>
    </row>
    <row r="28" spans="1:62" ht="21" customHeight="1" thickBot="1" x14ac:dyDescent="0.3">
      <c r="A28" s="183"/>
      <c r="B28" s="5418" t="s">
        <v>276</v>
      </c>
      <c r="C28" s="5419"/>
      <c r="D28" s="5448"/>
      <c r="E28" s="5554"/>
      <c r="F28" s="5616"/>
      <c r="G28" s="5554"/>
      <c r="H28" s="5616"/>
      <c r="I28" s="5554"/>
      <c r="J28" s="5616"/>
      <c r="K28" s="5554"/>
      <c r="L28" s="5616"/>
      <c r="M28" s="5554"/>
      <c r="N28" s="5616"/>
      <c r="O28" s="5554"/>
      <c r="P28" s="5616"/>
      <c r="Q28" s="5554"/>
      <c r="R28" s="5616"/>
      <c r="S28" s="5554"/>
      <c r="T28" s="5617"/>
      <c r="U28" s="5554"/>
      <c r="V28" s="5616"/>
      <c r="W28" s="5554"/>
      <c r="X28" s="5617"/>
      <c r="Y28" s="5554"/>
      <c r="Z28" s="5616"/>
      <c r="AA28" s="5554"/>
      <c r="AB28" s="5616"/>
      <c r="AC28" s="5554"/>
      <c r="AD28" s="5617"/>
      <c r="AE28" s="5554"/>
      <c r="AF28" s="5616"/>
      <c r="AG28" s="5554"/>
      <c r="AH28" s="5617"/>
      <c r="AI28" s="5554"/>
      <c r="AJ28" s="5616"/>
      <c r="AK28" s="5554"/>
      <c r="AL28" s="5617"/>
      <c r="AM28" s="5554"/>
      <c r="AN28" s="5616"/>
      <c r="AO28" s="5554"/>
      <c r="AP28" s="5616"/>
      <c r="AQ28" s="5554"/>
      <c r="AR28" s="5617"/>
      <c r="AS28" s="5554"/>
      <c r="AT28" s="5616"/>
      <c r="AU28" s="5554"/>
      <c r="AV28" s="5617"/>
      <c r="AW28" s="5554"/>
      <c r="AX28" s="5616"/>
      <c r="AY28" s="5554"/>
      <c r="AZ28" s="5617"/>
      <c r="BA28" s="5554"/>
      <c r="BB28" s="5616"/>
      <c r="BC28" s="5554"/>
      <c r="BD28" s="5616"/>
      <c r="BE28" s="5554"/>
      <c r="BF28" s="5618"/>
      <c r="BG28" s="26"/>
      <c r="BH28" s="26"/>
      <c r="BI28" s="26"/>
      <c r="BJ28" s="26"/>
    </row>
    <row r="29" spans="1:62" ht="21" customHeight="1" x14ac:dyDescent="0.25">
      <c r="B29" s="5399" t="s">
        <v>164</v>
      </c>
      <c r="C29" s="5400" t="s">
        <v>52</v>
      </c>
      <c r="D29" s="6404">
        <v>2000100</v>
      </c>
      <c r="E29" s="6390">
        <v>170100</v>
      </c>
      <c r="F29" s="5480">
        <v>78950</v>
      </c>
      <c r="G29" s="6390">
        <v>141450</v>
      </c>
      <c r="H29" s="5480">
        <v>65669</v>
      </c>
      <c r="I29" s="6385">
        <f>+E29+G29</f>
        <v>311550</v>
      </c>
      <c r="J29" s="5478">
        <f>+F29+H29</f>
        <v>144619</v>
      </c>
      <c r="K29" s="6390">
        <v>138600</v>
      </c>
      <c r="L29" s="5480">
        <v>71590</v>
      </c>
      <c r="M29" s="6370">
        <f>+K29+G29+E29</f>
        <v>450150</v>
      </c>
      <c r="N29" s="5479">
        <f>+L29+H29+F29</f>
        <v>216209</v>
      </c>
      <c r="O29" s="6390">
        <v>172200</v>
      </c>
      <c r="P29" s="5480">
        <v>79612</v>
      </c>
      <c r="Q29" s="6385">
        <f>+M29+O29</f>
        <v>622350</v>
      </c>
      <c r="R29" s="5478">
        <f>+N29+P29</f>
        <v>295821</v>
      </c>
      <c r="S29" s="5488">
        <v>172200</v>
      </c>
      <c r="T29" s="5481">
        <v>79869</v>
      </c>
      <c r="U29" s="6385">
        <f>+Q29+S29</f>
        <v>794550</v>
      </c>
      <c r="V29" s="5478">
        <f>+R29+T29</f>
        <v>375690</v>
      </c>
      <c r="W29" s="6383">
        <v>166050</v>
      </c>
      <c r="X29" s="5481">
        <v>76275</v>
      </c>
      <c r="Y29" s="6370">
        <f>+W29+S29+O29</f>
        <v>510450</v>
      </c>
      <c r="Z29" s="5479">
        <f>+X29+T29+P29</f>
        <v>235756</v>
      </c>
      <c r="AA29" s="6371">
        <f>+Y29+M29</f>
        <v>960600</v>
      </c>
      <c r="AB29" s="5475">
        <f t="shared" si="41"/>
        <v>451965</v>
      </c>
      <c r="AC29" s="5489">
        <v>176400</v>
      </c>
      <c r="AD29" s="5481">
        <v>78098</v>
      </c>
      <c r="AE29" s="6385">
        <f>AA29+AC29</f>
        <v>1137000</v>
      </c>
      <c r="AF29" s="5478">
        <f>+AB29+AD29</f>
        <v>530063</v>
      </c>
      <c r="AG29" s="5489">
        <v>170100</v>
      </c>
      <c r="AH29" s="5481">
        <v>65464</v>
      </c>
      <c r="AI29" s="6385">
        <f>AE29+AG29</f>
        <v>1307100</v>
      </c>
      <c r="AJ29" s="5478">
        <f>+AF29+AH29</f>
        <v>595527</v>
      </c>
      <c r="AK29" s="5489">
        <v>176400</v>
      </c>
      <c r="AL29" s="5481">
        <v>80144</v>
      </c>
      <c r="AM29" s="6370">
        <f>+AK29+AG29+AC29</f>
        <v>522900</v>
      </c>
      <c r="AN29" s="5479">
        <f>+AL29+AH29+AD29</f>
        <v>223706</v>
      </c>
      <c r="AO29" s="6385">
        <f>AK29+AI29</f>
        <v>1483500</v>
      </c>
      <c r="AP29" s="5478">
        <f t="shared" ref="AP29:AP33" si="43">+AL29+AJ29</f>
        <v>675671</v>
      </c>
      <c r="AQ29" s="5489">
        <v>176400</v>
      </c>
      <c r="AR29" s="5481">
        <v>77157</v>
      </c>
      <c r="AS29" s="6385">
        <f>AO29+AQ29</f>
        <v>1659900</v>
      </c>
      <c r="AT29" s="5478">
        <f>+AP29+AR29</f>
        <v>752828</v>
      </c>
      <c r="AU29" s="5489">
        <v>163800</v>
      </c>
      <c r="AV29" s="5481">
        <v>80657</v>
      </c>
      <c r="AW29" s="6385">
        <f>AS29+AU29</f>
        <v>1823700</v>
      </c>
      <c r="AX29" s="5478">
        <f>+AT29+AV29</f>
        <v>833485</v>
      </c>
      <c r="AY29" s="5489">
        <v>176400</v>
      </c>
      <c r="AZ29" s="5481">
        <v>71559</v>
      </c>
      <c r="BA29" s="6370">
        <f>+AY29+AU29+AQ29</f>
        <v>516600</v>
      </c>
      <c r="BB29" s="5479">
        <f>+AZ29+AV29+AR29</f>
        <v>229373</v>
      </c>
      <c r="BC29" s="6371">
        <f>+BA29+AM29</f>
        <v>1039500</v>
      </c>
      <c r="BD29" s="5482">
        <f t="shared" si="42"/>
        <v>453079</v>
      </c>
      <c r="BE29" s="6385">
        <f>AW29+AY29</f>
        <v>2000100</v>
      </c>
      <c r="BF29" s="5437">
        <f t="shared" ref="BF29:BF49" si="44">+AX29+AZ29</f>
        <v>905044</v>
      </c>
      <c r="BG29" s="26"/>
      <c r="BH29" s="26"/>
      <c r="BI29" s="26"/>
      <c r="BJ29" s="26"/>
    </row>
    <row r="30" spans="1:62" ht="21" customHeight="1" thickBot="1" x14ac:dyDescent="0.3">
      <c r="B30" s="5406" t="s">
        <v>1990</v>
      </c>
      <c r="C30" s="5396" t="s">
        <v>52</v>
      </c>
      <c r="D30" s="6404"/>
      <c r="E30" s="6390"/>
      <c r="F30" s="5480">
        <v>208</v>
      </c>
      <c r="G30" s="6390"/>
      <c r="H30" s="5480">
        <v>173.3</v>
      </c>
      <c r="I30" s="6385"/>
      <c r="J30" s="5478">
        <f t="shared" ref="J30:J49" si="45">+F30+H30</f>
        <v>381.3</v>
      </c>
      <c r="K30" s="6390"/>
      <c r="L30" s="5480">
        <v>195</v>
      </c>
      <c r="M30" s="6370"/>
      <c r="N30" s="5479">
        <f>+L30+H30+F30</f>
        <v>576.29999999999995</v>
      </c>
      <c r="O30" s="6390"/>
      <c r="P30" s="5480">
        <v>134.5</v>
      </c>
      <c r="Q30" s="6385"/>
      <c r="R30" s="5478">
        <f t="shared" ref="R30:R49" si="46">+N30+P30</f>
        <v>710.8</v>
      </c>
      <c r="S30" s="5489"/>
      <c r="T30" s="5481">
        <f>(448-SUM(T42:T45))/2</f>
        <v>128</v>
      </c>
      <c r="U30" s="6385"/>
      <c r="V30" s="5478">
        <f t="shared" ref="V30:V49" si="47">+R30+T30</f>
        <v>838.8</v>
      </c>
      <c r="W30" s="6383"/>
      <c r="X30" s="5481">
        <v>311</v>
      </c>
      <c r="Y30" s="6370"/>
      <c r="Z30" s="5479">
        <f>+X30+T30+P30</f>
        <v>573.5</v>
      </c>
      <c r="AA30" s="6371"/>
      <c r="AB30" s="5475">
        <f t="shared" si="41"/>
        <v>1149.8</v>
      </c>
      <c r="AC30" s="5489"/>
      <c r="AD30" s="5481">
        <v>142.5</v>
      </c>
      <c r="AE30" s="6385"/>
      <c r="AF30" s="5478">
        <f t="shared" ref="AF30:AF49" si="48">+AB30+AD30</f>
        <v>1292.3</v>
      </c>
      <c r="AG30" s="5489"/>
      <c r="AH30" s="5481">
        <v>12</v>
      </c>
      <c r="AI30" s="6385"/>
      <c r="AJ30" s="5478">
        <f t="shared" ref="AJ30:AJ49" si="49">+AF30+AH30</f>
        <v>1304.3</v>
      </c>
      <c r="AK30" s="5489"/>
      <c r="AL30" s="5481">
        <v>297</v>
      </c>
      <c r="AM30" s="6370"/>
      <c r="AN30" s="5479">
        <f>+AL30+AH30+AD30</f>
        <v>451.5</v>
      </c>
      <c r="AO30" s="6385"/>
      <c r="AP30" s="5478">
        <f t="shared" si="43"/>
        <v>1601.3</v>
      </c>
      <c r="AQ30" s="5489"/>
      <c r="AR30" s="5481">
        <v>166.5</v>
      </c>
      <c r="AS30" s="6385"/>
      <c r="AT30" s="5478">
        <f t="shared" ref="AT30:AT49" si="50">+AP30+AR30</f>
        <v>1767.8</v>
      </c>
      <c r="AU30" s="5489"/>
      <c r="AV30" s="5481">
        <v>185.5</v>
      </c>
      <c r="AW30" s="6385"/>
      <c r="AX30" s="5478">
        <f t="shared" ref="AX30:AX49" si="51">+AT30+AV30</f>
        <v>1953.3</v>
      </c>
      <c r="AY30" s="5489"/>
      <c r="AZ30" s="5481">
        <v>173</v>
      </c>
      <c r="BA30" s="6370"/>
      <c r="BB30" s="5479">
        <f>+AZ30+AV30+AR30</f>
        <v>525</v>
      </c>
      <c r="BC30" s="6371"/>
      <c r="BD30" s="5482">
        <f t="shared" si="42"/>
        <v>976.5</v>
      </c>
      <c r="BE30" s="6385"/>
      <c r="BF30" s="5437">
        <f t="shared" si="44"/>
        <v>2126.3000000000002</v>
      </c>
      <c r="BG30" s="26"/>
      <c r="BH30" s="26"/>
      <c r="BI30" s="26"/>
      <c r="BJ30" s="26"/>
    </row>
    <row r="31" spans="1:62" ht="21" customHeight="1" thickBot="1" x14ac:dyDescent="0.3">
      <c r="B31" s="5421" t="s">
        <v>165</v>
      </c>
      <c r="C31" s="5398" t="s">
        <v>52</v>
      </c>
      <c r="D31" s="6404"/>
      <c r="E31" s="6390"/>
      <c r="F31" s="5469">
        <f>SUM(F29:F30)</f>
        <v>79158</v>
      </c>
      <c r="G31" s="6390"/>
      <c r="H31" s="5469">
        <f>SUM(H29:H30)</f>
        <v>65842.3</v>
      </c>
      <c r="I31" s="6385"/>
      <c r="J31" s="5484">
        <f t="shared" si="45"/>
        <v>145000.29999999999</v>
      </c>
      <c r="K31" s="6390"/>
      <c r="L31" s="5469">
        <f>SUM(L29:L30)</f>
        <v>71785</v>
      </c>
      <c r="M31" s="6370"/>
      <c r="N31" s="5485">
        <f>SUM(N29:N30)</f>
        <v>216785.3</v>
      </c>
      <c r="O31" s="6390"/>
      <c r="P31" s="5469">
        <f>SUM(P29:P30)</f>
        <v>79746.5</v>
      </c>
      <c r="Q31" s="6385"/>
      <c r="R31" s="5484">
        <f t="shared" si="46"/>
        <v>296531.8</v>
      </c>
      <c r="S31" s="5489"/>
      <c r="T31" s="5470">
        <f>SUM(T29:T30)</f>
        <v>79997</v>
      </c>
      <c r="U31" s="6385"/>
      <c r="V31" s="5484">
        <f t="shared" si="47"/>
        <v>376528.8</v>
      </c>
      <c r="W31" s="6383"/>
      <c r="X31" s="5470">
        <f>SUM(X29:X30)</f>
        <v>76586</v>
      </c>
      <c r="Y31" s="6370"/>
      <c r="Z31" s="5485">
        <f>SUM(Z29:Z30)</f>
        <v>236329.5</v>
      </c>
      <c r="AA31" s="6371"/>
      <c r="AB31" s="5486">
        <f>SUM(AB29:AB30)</f>
        <v>453114.8</v>
      </c>
      <c r="AC31" s="5489"/>
      <c r="AD31" s="5470">
        <f>SUM(AD29:AD30)</f>
        <v>78240.5</v>
      </c>
      <c r="AE31" s="6385"/>
      <c r="AF31" s="5484">
        <f t="shared" si="48"/>
        <v>531355.30000000005</v>
      </c>
      <c r="AG31" s="5489"/>
      <c r="AH31" s="5470">
        <f>SUM(AH29:AH30)</f>
        <v>65476</v>
      </c>
      <c r="AI31" s="6385"/>
      <c r="AJ31" s="5484">
        <f t="shared" si="49"/>
        <v>596831.30000000005</v>
      </c>
      <c r="AK31" s="5489"/>
      <c r="AL31" s="5470">
        <f>SUM(AL29:AL30)</f>
        <v>80441</v>
      </c>
      <c r="AM31" s="6370"/>
      <c r="AN31" s="5485">
        <f>SUM(AN29:AN30)</f>
        <v>224157.5</v>
      </c>
      <c r="AO31" s="6385"/>
      <c r="AP31" s="5484">
        <f>+AL31+AJ31</f>
        <v>677272.3</v>
      </c>
      <c r="AQ31" s="5489"/>
      <c r="AR31" s="5470">
        <f>SUM(AR29:AR30)</f>
        <v>77323.5</v>
      </c>
      <c r="AS31" s="6385"/>
      <c r="AT31" s="5484">
        <f t="shared" si="50"/>
        <v>754595.8</v>
      </c>
      <c r="AU31" s="5489"/>
      <c r="AV31" s="5470">
        <f>SUM(AV29:AV30)</f>
        <v>80842.5</v>
      </c>
      <c r="AW31" s="6385"/>
      <c r="AX31" s="5484">
        <f t="shared" si="51"/>
        <v>835438.3</v>
      </c>
      <c r="AY31" s="5489"/>
      <c r="AZ31" s="5470">
        <f>SUM(AZ29:AZ30)</f>
        <v>71732</v>
      </c>
      <c r="BA31" s="6370"/>
      <c r="BB31" s="5485">
        <f>SUM(BB29:BB30)</f>
        <v>229898</v>
      </c>
      <c r="BC31" s="6371"/>
      <c r="BD31" s="5486">
        <f>SUM(BD29:BD30)</f>
        <v>454055.5</v>
      </c>
      <c r="BE31" s="6385"/>
      <c r="BF31" s="5440">
        <f t="shared" si="44"/>
        <v>907170.3</v>
      </c>
      <c r="BG31" s="26"/>
      <c r="BH31" s="26"/>
      <c r="BI31" s="26"/>
      <c r="BJ31" s="26"/>
    </row>
    <row r="32" spans="1:62" ht="21" customHeight="1" x14ac:dyDescent="0.25">
      <c r="B32" s="5422" t="s">
        <v>166</v>
      </c>
      <c r="C32" s="5410" t="s">
        <v>52</v>
      </c>
      <c r="D32" s="6404"/>
      <c r="E32" s="6390"/>
      <c r="F32" s="5480">
        <v>84591</v>
      </c>
      <c r="G32" s="6390"/>
      <c r="H32" s="5480">
        <v>72416</v>
      </c>
      <c r="I32" s="6385"/>
      <c r="J32" s="5478">
        <f t="shared" si="45"/>
        <v>157007</v>
      </c>
      <c r="K32" s="6390"/>
      <c r="L32" s="5480">
        <v>70144</v>
      </c>
      <c r="M32" s="6370"/>
      <c r="N32" s="5479">
        <f>+L32+H32+F32</f>
        <v>227151</v>
      </c>
      <c r="O32" s="6390"/>
      <c r="P32" s="5480">
        <v>95314</v>
      </c>
      <c r="Q32" s="6385"/>
      <c r="R32" s="5478">
        <f t="shared" si="46"/>
        <v>322465</v>
      </c>
      <c r="S32" s="5489"/>
      <c r="T32" s="5481">
        <v>93536</v>
      </c>
      <c r="U32" s="6385"/>
      <c r="V32" s="5478">
        <f t="shared" si="47"/>
        <v>416001</v>
      </c>
      <c r="W32" s="6383"/>
      <c r="X32" s="5481">
        <v>85879</v>
      </c>
      <c r="Y32" s="6370"/>
      <c r="Z32" s="5479">
        <f>+X32+T32+P32</f>
        <v>274729</v>
      </c>
      <c r="AA32" s="6371"/>
      <c r="AB32" s="5475">
        <f t="shared" si="41"/>
        <v>501880</v>
      </c>
      <c r="AC32" s="5489"/>
      <c r="AD32" s="5481">
        <v>89868</v>
      </c>
      <c r="AE32" s="6385"/>
      <c r="AF32" s="5478">
        <f t="shared" si="48"/>
        <v>591748</v>
      </c>
      <c r="AG32" s="5489"/>
      <c r="AH32" s="5481">
        <v>77330</v>
      </c>
      <c r="AI32" s="6385"/>
      <c r="AJ32" s="5478">
        <f t="shared" si="49"/>
        <v>669078</v>
      </c>
      <c r="AK32" s="5489"/>
      <c r="AL32" s="5481">
        <v>84201</v>
      </c>
      <c r="AM32" s="6370"/>
      <c r="AN32" s="5479">
        <f>+AL32+AH32+AD32</f>
        <v>251399</v>
      </c>
      <c r="AO32" s="6385"/>
      <c r="AP32" s="5478">
        <f t="shared" si="43"/>
        <v>753279</v>
      </c>
      <c r="AQ32" s="5489"/>
      <c r="AR32" s="5481">
        <v>85558</v>
      </c>
      <c r="AS32" s="6385"/>
      <c r="AT32" s="5478">
        <f t="shared" si="50"/>
        <v>838837</v>
      </c>
      <c r="AU32" s="5489"/>
      <c r="AV32" s="5481">
        <v>81542</v>
      </c>
      <c r="AW32" s="6385"/>
      <c r="AX32" s="5478">
        <f t="shared" si="51"/>
        <v>920379</v>
      </c>
      <c r="AY32" s="5489"/>
      <c r="AZ32" s="5481">
        <v>92954</v>
      </c>
      <c r="BA32" s="6370"/>
      <c r="BB32" s="5479">
        <f>+AZ32+AV32+AR32</f>
        <v>260054</v>
      </c>
      <c r="BC32" s="6371"/>
      <c r="BD32" s="5482">
        <f t="shared" si="42"/>
        <v>511453</v>
      </c>
      <c r="BE32" s="6385"/>
      <c r="BF32" s="5437">
        <f t="shared" si="44"/>
        <v>1013333</v>
      </c>
      <c r="BG32" s="26"/>
      <c r="BH32" s="26"/>
      <c r="BI32" s="26"/>
      <c r="BJ32" s="26"/>
    </row>
    <row r="33" spans="1:62" ht="21" customHeight="1" thickBot="1" x14ac:dyDescent="0.3">
      <c r="B33" s="5406" t="s">
        <v>1991</v>
      </c>
      <c r="C33" s="5396" t="s">
        <v>52</v>
      </c>
      <c r="D33" s="6404"/>
      <c r="E33" s="6390"/>
      <c r="F33" s="5480">
        <v>208</v>
      </c>
      <c r="G33" s="6390"/>
      <c r="H33" s="5480">
        <v>173.3</v>
      </c>
      <c r="I33" s="6385"/>
      <c r="J33" s="5478">
        <f t="shared" si="45"/>
        <v>381.3</v>
      </c>
      <c r="K33" s="6390"/>
      <c r="L33" s="5480">
        <v>195</v>
      </c>
      <c r="M33" s="6370"/>
      <c r="N33" s="5479">
        <f>+L33+H33+F33</f>
        <v>576.29999999999995</v>
      </c>
      <c r="O33" s="6390"/>
      <c r="P33" s="5480">
        <v>134.5</v>
      </c>
      <c r="Q33" s="6385"/>
      <c r="R33" s="5478">
        <f t="shared" si="46"/>
        <v>710.8</v>
      </c>
      <c r="S33" s="5489"/>
      <c r="T33" s="5481">
        <f>(448-SUM(T42:T45))/2</f>
        <v>128</v>
      </c>
      <c r="U33" s="6385"/>
      <c r="V33" s="5478">
        <f t="shared" si="47"/>
        <v>838.8</v>
      </c>
      <c r="W33" s="6383"/>
      <c r="X33" s="5481">
        <v>311</v>
      </c>
      <c r="Y33" s="6370"/>
      <c r="Z33" s="5479">
        <f>+X33+T33+P33</f>
        <v>573.5</v>
      </c>
      <c r="AA33" s="6371"/>
      <c r="AB33" s="5475">
        <f t="shared" si="41"/>
        <v>1149.8</v>
      </c>
      <c r="AC33" s="5489"/>
      <c r="AD33" s="5481">
        <v>142.5</v>
      </c>
      <c r="AE33" s="6385"/>
      <c r="AF33" s="5478">
        <f t="shared" si="48"/>
        <v>1292.3</v>
      </c>
      <c r="AG33" s="5489"/>
      <c r="AH33" s="5481">
        <v>12</v>
      </c>
      <c r="AI33" s="6385"/>
      <c r="AJ33" s="5478">
        <f t="shared" si="49"/>
        <v>1304.3</v>
      </c>
      <c r="AK33" s="5489"/>
      <c r="AL33" s="5481">
        <v>297</v>
      </c>
      <c r="AM33" s="6370"/>
      <c r="AN33" s="5479">
        <f>+AL33+AH33+AD33</f>
        <v>451.5</v>
      </c>
      <c r="AO33" s="6385"/>
      <c r="AP33" s="5478">
        <f t="shared" si="43"/>
        <v>1601.3</v>
      </c>
      <c r="AQ33" s="5489"/>
      <c r="AR33" s="5481">
        <v>166.5</v>
      </c>
      <c r="AS33" s="6385"/>
      <c r="AT33" s="5478">
        <f t="shared" si="50"/>
        <v>1767.8</v>
      </c>
      <c r="AU33" s="5489"/>
      <c r="AV33" s="5481">
        <v>185.5</v>
      </c>
      <c r="AW33" s="6385"/>
      <c r="AX33" s="5478">
        <f t="shared" si="51"/>
        <v>1953.3</v>
      </c>
      <c r="AY33" s="5489"/>
      <c r="AZ33" s="5481">
        <v>173</v>
      </c>
      <c r="BA33" s="6370"/>
      <c r="BB33" s="5479">
        <f>+AZ33+AV33+AR33</f>
        <v>525</v>
      </c>
      <c r="BC33" s="6371"/>
      <c r="BD33" s="5482">
        <f t="shared" si="42"/>
        <v>976.5</v>
      </c>
      <c r="BE33" s="6385"/>
      <c r="BF33" s="5437">
        <f t="shared" si="44"/>
        <v>2126.3000000000002</v>
      </c>
      <c r="BG33" s="26"/>
      <c r="BH33" s="26"/>
      <c r="BI33" s="26"/>
      <c r="BJ33" s="26"/>
    </row>
    <row r="34" spans="1:62" ht="21" customHeight="1" thickBot="1" x14ac:dyDescent="0.3">
      <c r="B34" s="5421" t="s">
        <v>167</v>
      </c>
      <c r="C34" s="5398" t="s">
        <v>52</v>
      </c>
      <c r="D34" s="6404"/>
      <c r="E34" s="6390"/>
      <c r="F34" s="5469">
        <f>SUM(F32:F33)</f>
        <v>84799</v>
      </c>
      <c r="G34" s="6390"/>
      <c r="H34" s="5469">
        <f>SUM(H32:H33)</f>
        <v>72589.3</v>
      </c>
      <c r="I34" s="6385"/>
      <c r="J34" s="5484">
        <f t="shared" si="45"/>
        <v>157388.29999999999</v>
      </c>
      <c r="K34" s="6390"/>
      <c r="L34" s="5469">
        <f>SUM(L32:L33)</f>
        <v>70339</v>
      </c>
      <c r="M34" s="6370"/>
      <c r="N34" s="5485">
        <f>SUM(N32:N33)</f>
        <v>227727.3</v>
      </c>
      <c r="O34" s="6390"/>
      <c r="P34" s="5469">
        <f>SUM(P32:P33)</f>
        <v>95448.5</v>
      </c>
      <c r="Q34" s="6385"/>
      <c r="R34" s="5484">
        <f t="shared" si="46"/>
        <v>323175.8</v>
      </c>
      <c r="S34" s="5489"/>
      <c r="T34" s="5470">
        <f>SUM(T32:T33)</f>
        <v>93664</v>
      </c>
      <c r="U34" s="6385"/>
      <c r="V34" s="5484">
        <f t="shared" si="47"/>
        <v>416839.8</v>
      </c>
      <c r="W34" s="6383"/>
      <c r="X34" s="5470">
        <f>SUM(X32:X33)</f>
        <v>86190</v>
      </c>
      <c r="Y34" s="6370"/>
      <c r="Z34" s="5485">
        <f>SUM(Z32:Z33)</f>
        <v>275302.5</v>
      </c>
      <c r="AA34" s="6371"/>
      <c r="AB34" s="5486">
        <f>SUM(AB32:AB33)</f>
        <v>503029.8</v>
      </c>
      <c r="AC34" s="5489"/>
      <c r="AD34" s="5470">
        <f>SUM(AD32:AD33)</f>
        <v>90010.5</v>
      </c>
      <c r="AE34" s="6385"/>
      <c r="AF34" s="5484">
        <f t="shared" si="48"/>
        <v>593040.30000000005</v>
      </c>
      <c r="AG34" s="5489"/>
      <c r="AH34" s="5470">
        <f>SUM(AH32:AH33)</f>
        <v>77342</v>
      </c>
      <c r="AI34" s="6385"/>
      <c r="AJ34" s="5484">
        <f t="shared" si="49"/>
        <v>670382.30000000005</v>
      </c>
      <c r="AK34" s="5489"/>
      <c r="AL34" s="5470">
        <f>SUM(AL32:AL33)</f>
        <v>84498</v>
      </c>
      <c r="AM34" s="6370"/>
      <c r="AN34" s="5485">
        <f>SUM(AN32:AN33)</f>
        <v>251850.5</v>
      </c>
      <c r="AO34" s="6385"/>
      <c r="AP34" s="5484">
        <f>+AL34+AJ34</f>
        <v>754880.3</v>
      </c>
      <c r="AQ34" s="5489"/>
      <c r="AR34" s="5470">
        <f>SUM(AR32:AR33)</f>
        <v>85724.5</v>
      </c>
      <c r="AS34" s="6385"/>
      <c r="AT34" s="5484">
        <f t="shared" si="50"/>
        <v>840604.8</v>
      </c>
      <c r="AU34" s="5489"/>
      <c r="AV34" s="5470">
        <f>SUM(AV32:AV33)</f>
        <v>81727.5</v>
      </c>
      <c r="AW34" s="6385"/>
      <c r="AX34" s="5484">
        <f t="shared" si="51"/>
        <v>922332.3</v>
      </c>
      <c r="AY34" s="5489"/>
      <c r="AZ34" s="5470">
        <f>SUM(AZ32:AZ33)</f>
        <v>93127</v>
      </c>
      <c r="BA34" s="6370"/>
      <c r="BB34" s="5485">
        <f>SUM(BB32:BB33)</f>
        <v>260579</v>
      </c>
      <c r="BC34" s="6371"/>
      <c r="BD34" s="5486">
        <f>SUM(BD32:BD33)</f>
        <v>512429.5</v>
      </c>
      <c r="BE34" s="6385"/>
      <c r="BF34" s="5440">
        <f t="shared" si="44"/>
        <v>1015459.3</v>
      </c>
      <c r="BG34" s="26"/>
      <c r="BH34" s="26"/>
      <c r="BI34" s="26"/>
      <c r="BJ34" s="26"/>
    </row>
    <row r="35" spans="1:62" ht="20.25" x14ac:dyDescent="0.25">
      <c r="B35" s="5423" t="s">
        <v>458</v>
      </c>
      <c r="C35" s="5424" t="s">
        <v>52</v>
      </c>
      <c r="D35" s="6404"/>
      <c r="E35" s="6390"/>
      <c r="F35" s="5469">
        <f>+F29+F32</f>
        <v>163541</v>
      </c>
      <c r="G35" s="6390"/>
      <c r="H35" s="5469">
        <f>+H29+H32</f>
        <v>138085</v>
      </c>
      <c r="I35" s="6385"/>
      <c r="J35" s="5484">
        <f t="shared" si="45"/>
        <v>301626</v>
      </c>
      <c r="K35" s="6390"/>
      <c r="L35" s="5469">
        <f>+L29+L32</f>
        <v>141734</v>
      </c>
      <c r="M35" s="6370"/>
      <c r="N35" s="5485">
        <f>+N29+N32</f>
        <v>443360</v>
      </c>
      <c r="O35" s="6390"/>
      <c r="P35" s="5469">
        <f>+P29+P32</f>
        <v>174926</v>
      </c>
      <c r="Q35" s="6385"/>
      <c r="R35" s="5484">
        <f t="shared" si="46"/>
        <v>618286</v>
      </c>
      <c r="S35" s="5489"/>
      <c r="T35" s="5470">
        <f>+T29+T32</f>
        <v>173405</v>
      </c>
      <c r="U35" s="6385"/>
      <c r="V35" s="5484">
        <f t="shared" si="47"/>
        <v>791691</v>
      </c>
      <c r="W35" s="6383"/>
      <c r="X35" s="5470">
        <f>+X29+X32</f>
        <v>162154</v>
      </c>
      <c r="Y35" s="6370"/>
      <c r="Z35" s="5485">
        <f>+Z29+Z32</f>
        <v>510485</v>
      </c>
      <c r="AA35" s="6371"/>
      <c r="AB35" s="5486">
        <f>+AB29+AB32</f>
        <v>953845</v>
      </c>
      <c r="AC35" s="5489"/>
      <c r="AD35" s="5470">
        <f>+AD29+AD32</f>
        <v>167966</v>
      </c>
      <c r="AE35" s="6385"/>
      <c r="AF35" s="5484">
        <f t="shared" si="48"/>
        <v>1121811</v>
      </c>
      <c r="AG35" s="5489"/>
      <c r="AH35" s="5470">
        <f>+AH29+AH32</f>
        <v>142794</v>
      </c>
      <c r="AI35" s="6385"/>
      <c r="AJ35" s="5484">
        <f t="shared" si="49"/>
        <v>1264605</v>
      </c>
      <c r="AK35" s="5489"/>
      <c r="AL35" s="5470">
        <f>+AL29+AL32</f>
        <v>164345</v>
      </c>
      <c r="AM35" s="6370"/>
      <c r="AN35" s="5485">
        <f>+AN29+AN32</f>
        <v>475105</v>
      </c>
      <c r="AO35" s="6385"/>
      <c r="AP35" s="5484">
        <f t="shared" ref="AP35:AP49" si="52">+AL35+AJ35</f>
        <v>1428950</v>
      </c>
      <c r="AQ35" s="5489"/>
      <c r="AR35" s="5470">
        <f>+AR29+AR32</f>
        <v>162715</v>
      </c>
      <c r="AS35" s="6385"/>
      <c r="AT35" s="5484">
        <f t="shared" si="50"/>
        <v>1591665</v>
      </c>
      <c r="AU35" s="5489"/>
      <c r="AV35" s="5470">
        <f>+AV29+AV32</f>
        <v>162199</v>
      </c>
      <c r="AW35" s="6385"/>
      <c r="AX35" s="5484">
        <f t="shared" si="51"/>
        <v>1753864</v>
      </c>
      <c r="AY35" s="5489"/>
      <c r="AZ35" s="5470">
        <f>+AZ29+AZ32</f>
        <v>164513</v>
      </c>
      <c r="BA35" s="6370"/>
      <c r="BB35" s="5485">
        <f>+BB29+BB32</f>
        <v>489427</v>
      </c>
      <c r="BC35" s="6371"/>
      <c r="BD35" s="5486">
        <f>+BD29+BD32</f>
        <v>964532</v>
      </c>
      <c r="BE35" s="6385"/>
      <c r="BF35" s="5440">
        <f t="shared" si="44"/>
        <v>1918377</v>
      </c>
      <c r="BG35" s="26"/>
      <c r="BH35" s="26"/>
      <c r="BI35" s="26"/>
      <c r="BJ35" s="26"/>
    </row>
    <row r="36" spans="1:62" thickBot="1" x14ac:dyDescent="0.3">
      <c r="B36" s="5425" t="s">
        <v>1992</v>
      </c>
      <c r="C36" s="5426" t="s">
        <v>52</v>
      </c>
      <c r="D36" s="6404"/>
      <c r="E36" s="6390"/>
      <c r="F36" s="5469">
        <f>+F30+F33</f>
        <v>416</v>
      </c>
      <c r="G36" s="6390"/>
      <c r="H36" s="5469">
        <f>+H30+H33</f>
        <v>346.6</v>
      </c>
      <c r="I36" s="6385"/>
      <c r="J36" s="5484">
        <f t="shared" si="45"/>
        <v>762.6</v>
      </c>
      <c r="K36" s="6390"/>
      <c r="L36" s="5469">
        <f>+L30+L33</f>
        <v>390</v>
      </c>
      <c r="M36" s="6370"/>
      <c r="N36" s="5485">
        <f>+N30+N33</f>
        <v>1152.5999999999999</v>
      </c>
      <c r="O36" s="6390"/>
      <c r="P36" s="5469">
        <f>+P30+P33</f>
        <v>269</v>
      </c>
      <c r="Q36" s="6385"/>
      <c r="R36" s="5484">
        <f t="shared" si="46"/>
        <v>1421.6</v>
      </c>
      <c r="S36" s="5489"/>
      <c r="T36" s="5470">
        <f>+T30+T33</f>
        <v>256</v>
      </c>
      <c r="U36" s="6385"/>
      <c r="V36" s="5484">
        <f t="shared" si="47"/>
        <v>1677.6</v>
      </c>
      <c r="W36" s="6383"/>
      <c r="X36" s="5470">
        <f>+X30+X33</f>
        <v>622</v>
      </c>
      <c r="Y36" s="6370"/>
      <c r="Z36" s="5485">
        <f>+Z30+Z33</f>
        <v>1147</v>
      </c>
      <c r="AA36" s="6371"/>
      <c r="AB36" s="5486">
        <f>+AB30+AB33</f>
        <v>2299.6</v>
      </c>
      <c r="AC36" s="5489"/>
      <c r="AD36" s="5470">
        <f>+AD30+AD33</f>
        <v>285</v>
      </c>
      <c r="AE36" s="6385"/>
      <c r="AF36" s="5484">
        <f t="shared" si="48"/>
        <v>2584.6</v>
      </c>
      <c r="AG36" s="5489"/>
      <c r="AH36" s="5470">
        <f>+AH30+AH33</f>
        <v>24</v>
      </c>
      <c r="AI36" s="6385"/>
      <c r="AJ36" s="5484">
        <f t="shared" si="49"/>
        <v>2608.6</v>
      </c>
      <c r="AK36" s="5489"/>
      <c r="AL36" s="5470">
        <f>+AL30+AL33</f>
        <v>594</v>
      </c>
      <c r="AM36" s="6370"/>
      <c r="AN36" s="5485">
        <f>+AN30+AN33</f>
        <v>903</v>
      </c>
      <c r="AO36" s="6385"/>
      <c r="AP36" s="5484">
        <f t="shared" si="52"/>
        <v>3202.6</v>
      </c>
      <c r="AQ36" s="5489"/>
      <c r="AR36" s="5470">
        <f>+AR30+AR33</f>
        <v>333</v>
      </c>
      <c r="AS36" s="6385"/>
      <c r="AT36" s="5484">
        <f t="shared" si="50"/>
        <v>3535.6</v>
      </c>
      <c r="AU36" s="5489"/>
      <c r="AV36" s="5470">
        <f>+AV30+AV33</f>
        <v>371</v>
      </c>
      <c r="AW36" s="6385"/>
      <c r="AX36" s="5484">
        <f t="shared" si="51"/>
        <v>3906.6</v>
      </c>
      <c r="AY36" s="5489"/>
      <c r="AZ36" s="5470">
        <f>+AZ30+AZ33</f>
        <v>346</v>
      </c>
      <c r="BA36" s="6370"/>
      <c r="BB36" s="5485">
        <f>+BB30+BB33</f>
        <v>1050</v>
      </c>
      <c r="BC36" s="6371"/>
      <c r="BD36" s="5486">
        <f>+BD30+BD33</f>
        <v>1953</v>
      </c>
      <c r="BE36" s="6385"/>
      <c r="BF36" s="5440">
        <f t="shared" si="44"/>
        <v>4252.6000000000004</v>
      </c>
      <c r="BG36" s="26"/>
      <c r="BH36" s="26"/>
      <c r="BI36" s="26"/>
      <c r="BJ36" s="26"/>
    </row>
    <row r="37" spans="1:62" ht="21" customHeight="1" x14ac:dyDescent="0.25">
      <c r="B37" s="5427" t="s">
        <v>457</v>
      </c>
      <c r="C37" s="5428" t="s">
        <v>52</v>
      </c>
      <c r="D37" s="6404"/>
      <c r="E37" s="6390"/>
      <c r="F37" s="5469">
        <f>+F31+F34</f>
        <v>163957</v>
      </c>
      <c r="G37" s="6390"/>
      <c r="H37" s="5469">
        <f>+H31+H34</f>
        <v>138431.6</v>
      </c>
      <c r="I37" s="6385"/>
      <c r="J37" s="5484">
        <f t="shared" si="45"/>
        <v>302388.59999999998</v>
      </c>
      <c r="K37" s="6390"/>
      <c r="L37" s="5469">
        <f>+L31+L34</f>
        <v>142124</v>
      </c>
      <c r="M37" s="6370"/>
      <c r="N37" s="5485">
        <f>+N31+N34</f>
        <v>444512.6</v>
      </c>
      <c r="O37" s="6390"/>
      <c r="P37" s="5469">
        <f>+P31+P34</f>
        <v>175195</v>
      </c>
      <c r="Q37" s="6385"/>
      <c r="R37" s="5484">
        <f t="shared" si="46"/>
        <v>619707.6</v>
      </c>
      <c r="S37" s="5489"/>
      <c r="T37" s="5470">
        <f>+T31+T34</f>
        <v>173661</v>
      </c>
      <c r="U37" s="6385"/>
      <c r="V37" s="5484">
        <f t="shared" si="47"/>
        <v>793368.6</v>
      </c>
      <c r="W37" s="6383"/>
      <c r="X37" s="5470">
        <f>+X31+X34</f>
        <v>162776</v>
      </c>
      <c r="Y37" s="6370"/>
      <c r="Z37" s="5485">
        <f>+Z31+Z34</f>
        <v>511632</v>
      </c>
      <c r="AA37" s="6371"/>
      <c r="AB37" s="5486">
        <f>+AB31+AB34</f>
        <v>956144.6</v>
      </c>
      <c r="AC37" s="5489"/>
      <c r="AD37" s="5470">
        <f>+AD31+AD34</f>
        <v>168251</v>
      </c>
      <c r="AE37" s="6385"/>
      <c r="AF37" s="5484">
        <f t="shared" si="48"/>
        <v>1124395.6000000001</v>
      </c>
      <c r="AG37" s="5489"/>
      <c r="AH37" s="5470">
        <f>+AH31+AH34</f>
        <v>142818</v>
      </c>
      <c r="AI37" s="6385"/>
      <c r="AJ37" s="5484">
        <f t="shared" si="49"/>
        <v>1267213.6000000001</v>
      </c>
      <c r="AK37" s="5489"/>
      <c r="AL37" s="5470">
        <f>+AL31+AL34</f>
        <v>164939</v>
      </c>
      <c r="AM37" s="6370"/>
      <c r="AN37" s="5485">
        <f>+AN31+AN34</f>
        <v>476008</v>
      </c>
      <c r="AO37" s="6385"/>
      <c r="AP37" s="5484">
        <f t="shared" si="52"/>
        <v>1432152.6</v>
      </c>
      <c r="AQ37" s="5489"/>
      <c r="AR37" s="5470">
        <f>+AR31+AR34</f>
        <v>163048</v>
      </c>
      <c r="AS37" s="6385"/>
      <c r="AT37" s="5484">
        <f t="shared" si="50"/>
        <v>1595200.6</v>
      </c>
      <c r="AU37" s="5489"/>
      <c r="AV37" s="5470">
        <f>+AV31+AV34</f>
        <v>162570</v>
      </c>
      <c r="AW37" s="6385"/>
      <c r="AX37" s="5484">
        <f t="shared" si="51"/>
        <v>1757770.6</v>
      </c>
      <c r="AY37" s="5489"/>
      <c r="AZ37" s="5470">
        <f>+AZ31+AZ34</f>
        <v>164859</v>
      </c>
      <c r="BA37" s="6370"/>
      <c r="BB37" s="5485">
        <f>+BB31+BB34</f>
        <v>490477</v>
      </c>
      <c r="BC37" s="6371"/>
      <c r="BD37" s="5486">
        <f>+BD31+BD34</f>
        <v>966485</v>
      </c>
      <c r="BE37" s="6385"/>
      <c r="BF37" s="5440">
        <f t="shared" si="44"/>
        <v>1922629.6</v>
      </c>
      <c r="BG37" s="26"/>
      <c r="BH37" s="26"/>
      <c r="BI37" s="26"/>
      <c r="BJ37" s="26"/>
    </row>
    <row r="38" spans="1:62" ht="20.25" x14ac:dyDescent="0.25">
      <c r="B38" s="5403" t="s">
        <v>523</v>
      </c>
      <c r="C38" s="5458" t="s">
        <v>52</v>
      </c>
      <c r="D38" s="6404">
        <v>619975</v>
      </c>
      <c r="E38" s="6390">
        <v>51409</v>
      </c>
      <c r="F38" s="5480">
        <v>12443.56</v>
      </c>
      <c r="G38" s="6390">
        <v>43267</v>
      </c>
      <c r="H38" s="5480">
        <v>4474.9399999999996</v>
      </c>
      <c r="I38" s="6385">
        <f>+E38+G38</f>
        <v>94676</v>
      </c>
      <c r="J38" s="5478">
        <f t="shared" si="45"/>
        <v>16918.5</v>
      </c>
      <c r="K38" s="6391">
        <v>42041.5</v>
      </c>
      <c r="L38" s="5480">
        <v>16183.81</v>
      </c>
      <c r="M38" s="6370">
        <f>+K38+G38+E38</f>
        <v>136717.5</v>
      </c>
      <c r="N38" s="5479">
        <f t="shared" ref="N38:N48" si="53">+L38+H38+F38</f>
        <v>33102.31</v>
      </c>
      <c r="O38" s="6391">
        <v>52140</v>
      </c>
      <c r="P38" s="5480">
        <v>13527.21</v>
      </c>
      <c r="Q38" s="6385">
        <f>+M38+O38</f>
        <v>188857.5</v>
      </c>
      <c r="R38" s="5478">
        <f t="shared" si="46"/>
        <v>46629.52</v>
      </c>
      <c r="S38" s="5490">
        <v>52139.622641509428</v>
      </c>
      <c r="T38" s="5481">
        <v>1475.84</v>
      </c>
      <c r="U38" s="6385">
        <f>+Q38+S38</f>
        <v>240997.12264150943</v>
      </c>
      <c r="V38" s="5478">
        <f t="shared" si="47"/>
        <v>48105.359999999993</v>
      </c>
      <c r="W38" s="6391">
        <v>51685.849056603765</v>
      </c>
      <c r="X38" s="5481">
        <v>9657.66</v>
      </c>
      <c r="Y38" s="6370">
        <f>+W38+S38+O38</f>
        <v>155965.47169811319</v>
      </c>
      <c r="Z38" s="5479">
        <f t="shared" ref="Z38:Z45" si="54">+X38+T38+P38</f>
        <v>24660.71</v>
      </c>
      <c r="AA38" s="6371">
        <f>+Y38+M38</f>
        <v>292682.97169811319</v>
      </c>
      <c r="AB38" s="5482">
        <f t="shared" ref="AB38:AB45" si="55">+Z38+N38</f>
        <v>57763.02</v>
      </c>
      <c r="AC38" s="5490">
        <v>54543.39622641509</v>
      </c>
      <c r="AD38" s="5481">
        <v>12078.53</v>
      </c>
      <c r="AE38" s="6385">
        <f>+AA38+AC38</f>
        <v>347226.36792452831</v>
      </c>
      <c r="AF38" s="5478">
        <f t="shared" si="48"/>
        <v>69841.55</v>
      </c>
      <c r="AG38" s="5490">
        <v>53296.226415094337</v>
      </c>
      <c r="AH38" s="5481">
        <v>0</v>
      </c>
      <c r="AI38" s="6385">
        <f>+AE38+AG38</f>
        <v>400522.59433962265</v>
      </c>
      <c r="AJ38" s="5478">
        <f t="shared" si="49"/>
        <v>69841.55</v>
      </c>
      <c r="AK38" s="5490">
        <v>55486.792452830181</v>
      </c>
      <c r="AL38" s="5481">
        <v>10142.58</v>
      </c>
      <c r="AM38" s="6370">
        <f>+AK38+AG38+AC38</f>
        <v>163326.41509433961</v>
      </c>
      <c r="AN38" s="5479">
        <f t="shared" ref="AN38:AN45" si="56">+AL38+AH38+AD38</f>
        <v>22221.11</v>
      </c>
      <c r="AO38" s="6385">
        <f>+AK38+AI38</f>
        <v>456009.38679245283</v>
      </c>
      <c r="AP38" s="5478">
        <f t="shared" si="52"/>
        <v>79984.13</v>
      </c>
      <c r="AQ38" s="5490">
        <v>55486.792452830181</v>
      </c>
      <c r="AR38" s="5481">
        <v>12096.62</v>
      </c>
      <c r="AS38" s="6385">
        <f>+AO38+AQ38</f>
        <v>511496.17924528301</v>
      </c>
      <c r="AT38" s="5478">
        <f t="shared" si="50"/>
        <v>92080.75</v>
      </c>
      <c r="AU38" s="5490">
        <v>52049.056603773584</v>
      </c>
      <c r="AV38" s="5481">
        <v>4807.97</v>
      </c>
      <c r="AW38" s="6385">
        <f>+AS38+AU38</f>
        <v>563545.23584905663</v>
      </c>
      <c r="AX38" s="5478">
        <f t="shared" si="51"/>
        <v>96888.72</v>
      </c>
      <c r="AY38" s="5490">
        <v>56430.188679245271</v>
      </c>
      <c r="AZ38" s="5481">
        <v>2454.4299999999998</v>
      </c>
      <c r="BA38" s="6370">
        <f>+AY38+AU38+AQ38</f>
        <v>163966.03773584904</v>
      </c>
      <c r="BB38" s="5479">
        <f t="shared" ref="BB38:BB45" si="57">+AZ38+AV38+AR38</f>
        <v>19359.02</v>
      </c>
      <c r="BC38" s="6371">
        <f>+BA38+AM38</f>
        <v>327292.45283018867</v>
      </c>
      <c r="BD38" s="5482">
        <f t="shared" ref="BD38:BD45" si="58">+BB38+AN38</f>
        <v>41580.130000000005</v>
      </c>
      <c r="BE38" s="6385">
        <f>+AW38+AY38</f>
        <v>619975.42452830193</v>
      </c>
      <c r="BF38" s="5437">
        <f t="shared" si="44"/>
        <v>99343.15</v>
      </c>
      <c r="BG38" s="26"/>
      <c r="BH38" s="26"/>
      <c r="BI38" s="26"/>
      <c r="BJ38" s="26"/>
    </row>
    <row r="39" spans="1:62" ht="20.25" x14ac:dyDescent="0.25">
      <c r="B39" s="5403" t="s">
        <v>1256</v>
      </c>
      <c r="C39" s="5458" t="s">
        <v>52</v>
      </c>
      <c r="D39" s="6404"/>
      <c r="E39" s="6390"/>
      <c r="F39" s="5480">
        <v>0</v>
      </c>
      <c r="G39" s="6390"/>
      <c r="H39" s="5480">
        <v>6069.91</v>
      </c>
      <c r="I39" s="6385"/>
      <c r="J39" s="5478">
        <f t="shared" si="45"/>
        <v>6069.91</v>
      </c>
      <c r="K39" s="6391"/>
      <c r="L39" s="5480">
        <v>0</v>
      </c>
      <c r="M39" s="6370"/>
      <c r="N39" s="5479">
        <f t="shared" si="53"/>
        <v>6069.91</v>
      </c>
      <c r="O39" s="6391"/>
      <c r="P39" s="5480">
        <v>5344.29</v>
      </c>
      <c r="Q39" s="6385"/>
      <c r="R39" s="5478">
        <f t="shared" si="46"/>
        <v>11414.2</v>
      </c>
      <c r="S39" s="5490"/>
      <c r="T39" s="5481">
        <v>4903.91</v>
      </c>
      <c r="U39" s="6385"/>
      <c r="V39" s="5478">
        <f t="shared" si="47"/>
        <v>16318.11</v>
      </c>
      <c r="W39" s="6391"/>
      <c r="X39" s="5481">
        <v>5931.62</v>
      </c>
      <c r="Y39" s="6370"/>
      <c r="Z39" s="5479">
        <f t="shared" si="54"/>
        <v>16179.82</v>
      </c>
      <c r="AA39" s="6371"/>
      <c r="AB39" s="5482">
        <f t="shared" si="55"/>
        <v>22249.73</v>
      </c>
      <c r="AC39" s="5490"/>
      <c r="AD39" s="5481">
        <v>6174.45</v>
      </c>
      <c r="AE39" s="6385"/>
      <c r="AF39" s="5478">
        <f t="shared" si="48"/>
        <v>28424.18</v>
      </c>
      <c r="AG39" s="5490"/>
      <c r="AH39" s="5481">
        <v>5759.72</v>
      </c>
      <c r="AI39" s="6385"/>
      <c r="AJ39" s="5478">
        <f t="shared" si="49"/>
        <v>34183.9</v>
      </c>
      <c r="AK39" s="5490"/>
      <c r="AL39" s="5481">
        <v>6871.63</v>
      </c>
      <c r="AM39" s="6370"/>
      <c r="AN39" s="5479">
        <f t="shared" si="56"/>
        <v>18805.8</v>
      </c>
      <c r="AO39" s="6385"/>
      <c r="AP39" s="5478">
        <f t="shared" si="52"/>
        <v>41055.53</v>
      </c>
      <c r="AQ39" s="5490"/>
      <c r="AR39" s="5481">
        <v>6406.85</v>
      </c>
      <c r="AS39" s="6385"/>
      <c r="AT39" s="5478">
        <f t="shared" si="50"/>
        <v>47462.38</v>
      </c>
      <c r="AU39" s="5490"/>
      <c r="AV39" s="5481">
        <v>8612.08</v>
      </c>
      <c r="AW39" s="6385"/>
      <c r="AX39" s="5478">
        <f t="shared" si="51"/>
        <v>56074.46</v>
      </c>
      <c r="AY39" s="5490"/>
      <c r="AZ39" s="5481">
        <v>4810.8900000000003</v>
      </c>
      <c r="BA39" s="6370"/>
      <c r="BB39" s="5479">
        <f t="shared" si="57"/>
        <v>19829.82</v>
      </c>
      <c r="BC39" s="6371"/>
      <c r="BD39" s="5482">
        <f t="shared" si="58"/>
        <v>38635.619999999995</v>
      </c>
      <c r="BE39" s="6385"/>
      <c r="BF39" s="5437">
        <f t="shared" si="44"/>
        <v>60885.35</v>
      </c>
      <c r="BG39" s="26"/>
      <c r="BH39" s="26"/>
      <c r="BI39" s="26"/>
      <c r="BJ39" s="26"/>
    </row>
    <row r="40" spans="1:62" ht="20.25" x14ac:dyDescent="0.25">
      <c r="B40" s="5403" t="s">
        <v>1257</v>
      </c>
      <c r="C40" s="5458" t="s">
        <v>52</v>
      </c>
      <c r="D40" s="6404"/>
      <c r="E40" s="6390"/>
      <c r="F40" s="5480">
        <v>28678.07</v>
      </c>
      <c r="G40" s="6390"/>
      <c r="H40" s="5480">
        <v>22869.24</v>
      </c>
      <c r="I40" s="6385"/>
      <c r="J40" s="5478">
        <f t="shared" si="45"/>
        <v>51547.31</v>
      </c>
      <c r="K40" s="6391"/>
      <c r="L40" s="5480">
        <v>28567.96</v>
      </c>
      <c r="M40" s="6370"/>
      <c r="N40" s="5479">
        <f t="shared" si="53"/>
        <v>80115.26999999999</v>
      </c>
      <c r="O40" s="6391"/>
      <c r="P40" s="5480">
        <v>27287.75</v>
      </c>
      <c r="Q40" s="6385"/>
      <c r="R40" s="5478">
        <f t="shared" si="46"/>
        <v>107403.01999999999</v>
      </c>
      <c r="S40" s="5490"/>
      <c r="T40" s="5481">
        <v>38434.129999999997</v>
      </c>
      <c r="U40" s="6385"/>
      <c r="V40" s="5478">
        <f t="shared" si="47"/>
        <v>145837.15</v>
      </c>
      <c r="W40" s="6391"/>
      <c r="X40" s="5481">
        <v>23213.77</v>
      </c>
      <c r="Y40" s="6370"/>
      <c r="Z40" s="5479">
        <f t="shared" si="54"/>
        <v>88935.65</v>
      </c>
      <c r="AA40" s="6371"/>
      <c r="AB40" s="5482">
        <f t="shared" si="55"/>
        <v>169050.91999999998</v>
      </c>
      <c r="AC40" s="5490"/>
      <c r="AD40" s="5481">
        <v>28659.57</v>
      </c>
      <c r="AE40" s="6385"/>
      <c r="AF40" s="5478">
        <f t="shared" si="48"/>
        <v>197710.49</v>
      </c>
      <c r="AG40" s="5490"/>
      <c r="AH40" s="5481">
        <v>39827.57</v>
      </c>
      <c r="AI40" s="6385"/>
      <c r="AJ40" s="5478">
        <f t="shared" si="49"/>
        <v>237538.06</v>
      </c>
      <c r="AK40" s="5490"/>
      <c r="AL40" s="5481">
        <v>30301.5</v>
      </c>
      <c r="AM40" s="6370"/>
      <c r="AN40" s="5479">
        <f t="shared" si="56"/>
        <v>98788.640000000014</v>
      </c>
      <c r="AO40" s="6385"/>
      <c r="AP40" s="5478">
        <f t="shared" si="52"/>
        <v>267839.56</v>
      </c>
      <c r="AQ40" s="5490"/>
      <c r="AR40" s="5481">
        <v>32942.22</v>
      </c>
      <c r="AS40" s="6385"/>
      <c r="AT40" s="5478">
        <f t="shared" si="50"/>
        <v>300781.78000000003</v>
      </c>
      <c r="AU40" s="5490"/>
      <c r="AV40" s="5481">
        <v>27662.43</v>
      </c>
      <c r="AW40" s="6385"/>
      <c r="AX40" s="5478">
        <f t="shared" si="51"/>
        <v>328444.21000000002</v>
      </c>
      <c r="AY40" s="5490"/>
      <c r="AZ40" s="5481">
        <v>45256.26</v>
      </c>
      <c r="BA40" s="6370"/>
      <c r="BB40" s="5479">
        <f t="shared" si="57"/>
        <v>105860.91</v>
      </c>
      <c r="BC40" s="6371"/>
      <c r="BD40" s="5482">
        <f t="shared" si="58"/>
        <v>204649.55000000002</v>
      </c>
      <c r="BE40" s="6385"/>
      <c r="BF40" s="5437">
        <f t="shared" si="44"/>
        <v>373700.47000000003</v>
      </c>
      <c r="BG40" s="26"/>
      <c r="BH40" s="26"/>
      <c r="BI40" s="26"/>
      <c r="BJ40" s="26"/>
    </row>
    <row r="41" spans="1:62" ht="20.25" x14ac:dyDescent="0.25">
      <c r="A41" s="26">
        <f>+J38+J39+J40+J41</f>
        <v>88411.67</v>
      </c>
      <c r="B41" s="5403" t="s">
        <v>1258</v>
      </c>
      <c r="C41" s="5458" t="s">
        <v>52</v>
      </c>
      <c r="D41" s="6404"/>
      <c r="E41" s="6390"/>
      <c r="F41" s="5480">
        <v>10114.49</v>
      </c>
      <c r="G41" s="6390"/>
      <c r="H41" s="5480">
        <v>3761.46</v>
      </c>
      <c r="I41" s="6385"/>
      <c r="J41" s="5478">
        <f t="shared" si="45"/>
        <v>13875.95</v>
      </c>
      <c r="K41" s="6391"/>
      <c r="L41" s="5480">
        <v>0</v>
      </c>
      <c r="M41" s="6370"/>
      <c r="N41" s="5479">
        <f t="shared" si="53"/>
        <v>13875.95</v>
      </c>
      <c r="O41" s="6391"/>
      <c r="P41" s="5480">
        <v>8588.35</v>
      </c>
      <c r="Q41" s="6385"/>
      <c r="R41" s="5478">
        <f t="shared" si="46"/>
        <v>22464.300000000003</v>
      </c>
      <c r="S41" s="5490"/>
      <c r="T41" s="5481">
        <v>5974.76</v>
      </c>
      <c r="U41" s="6385"/>
      <c r="V41" s="5478">
        <f t="shared" si="47"/>
        <v>28439.060000000005</v>
      </c>
      <c r="W41" s="6391"/>
      <c r="X41" s="5481">
        <v>8963.7800000000007</v>
      </c>
      <c r="Y41" s="6370"/>
      <c r="Z41" s="5479">
        <f t="shared" si="54"/>
        <v>23526.89</v>
      </c>
      <c r="AA41" s="6371"/>
      <c r="AB41" s="5482">
        <f t="shared" si="55"/>
        <v>37402.839999999997</v>
      </c>
      <c r="AC41" s="5490"/>
      <c r="AD41" s="5481">
        <v>7927.94</v>
      </c>
      <c r="AE41" s="6385"/>
      <c r="AF41" s="5478">
        <f t="shared" si="48"/>
        <v>45330.78</v>
      </c>
      <c r="AG41" s="5490"/>
      <c r="AH41" s="5481">
        <v>3907.89</v>
      </c>
      <c r="AI41" s="6385"/>
      <c r="AJ41" s="5478">
        <f t="shared" si="49"/>
        <v>49238.67</v>
      </c>
      <c r="AK41" s="5490"/>
      <c r="AL41" s="5481">
        <v>4993.7</v>
      </c>
      <c r="AM41" s="6370"/>
      <c r="AN41" s="5479">
        <f t="shared" si="56"/>
        <v>16829.53</v>
      </c>
      <c r="AO41" s="6385"/>
      <c r="AP41" s="5478">
        <f t="shared" si="52"/>
        <v>54232.369999999995</v>
      </c>
      <c r="AQ41" s="5490"/>
      <c r="AR41" s="5481">
        <v>3005.99</v>
      </c>
      <c r="AS41" s="6385"/>
      <c r="AT41" s="5478">
        <f t="shared" si="50"/>
        <v>57238.359999999993</v>
      </c>
      <c r="AU41" s="5490"/>
      <c r="AV41" s="5481">
        <v>10537.86</v>
      </c>
      <c r="AW41" s="6385"/>
      <c r="AX41" s="5478">
        <f t="shared" si="51"/>
        <v>67776.22</v>
      </c>
      <c r="AY41" s="5490"/>
      <c r="AZ41" s="5481">
        <v>1682.6</v>
      </c>
      <c r="BA41" s="6370"/>
      <c r="BB41" s="5479">
        <f t="shared" si="57"/>
        <v>15226.45</v>
      </c>
      <c r="BC41" s="6371"/>
      <c r="BD41" s="5482">
        <f t="shared" si="58"/>
        <v>32055.98</v>
      </c>
      <c r="BE41" s="6385"/>
      <c r="BF41" s="5437">
        <f t="shared" si="44"/>
        <v>69458.820000000007</v>
      </c>
      <c r="BG41" s="26"/>
      <c r="BH41" s="26"/>
      <c r="BI41" s="26"/>
      <c r="BJ41" s="26"/>
    </row>
    <row r="42" spans="1:62" ht="20.25" x14ac:dyDescent="0.25">
      <c r="B42" s="5403" t="s">
        <v>1993</v>
      </c>
      <c r="C42" s="5458" t="s">
        <v>52</v>
      </c>
      <c r="D42" s="6404"/>
      <c r="E42" s="6390"/>
      <c r="F42" s="5480">
        <v>80</v>
      </c>
      <c r="G42" s="6390"/>
      <c r="H42" s="5480">
        <v>25</v>
      </c>
      <c r="I42" s="6385"/>
      <c r="J42" s="5478">
        <f t="shared" si="45"/>
        <v>105</v>
      </c>
      <c r="K42" s="6391"/>
      <c r="L42" s="5480">
        <v>87</v>
      </c>
      <c r="M42" s="6370"/>
      <c r="N42" s="5479">
        <f t="shared" si="53"/>
        <v>192</v>
      </c>
      <c r="O42" s="6391"/>
      <c r="P42" s="5480">
        <v>51</v>
      </c>
      <c r="Q42" s="6385"/>
      <c r="R42" s="5478">
        <f t="shared" si="46"/>
        <v>243</v>
      </c>
      <c r="S42" s="5490"/>
      <c r="T42" s="5481">
        <v>0</v>
      </c>
      <c r="U42" s="6385"/>
      <c r="V42" s="5478">
        <f t="shared" si="47"/>
        <v>243</v>
      </c>
      <c r="W42" s="6391"/>
      <c r="X42" s="5481">
        <v>22</v>
      </c>
      <c r="Y42" s="6370"/>
      <c r="Z42" s="5479">
        <f t="shared" si="54"/>
        <v>73</v>
      </c>
      <c r="AA42" s="6371"/>
      <c r="AB42" s="5482">
        <f t="shared" si="55"/>
        <v>265</v>
      </c>
      <c r="AC42" s="5490"/>
      <c r="AD42" s="5481">
        <v>28</v>
      </c>
      <c r="AE42" s="6385"/>
      <c r="AF42" s="5478">
        <f t="shared" si="48"/>
        <v>293</v>
      </c>
      <c r="AG42" s="5490"/>
      <c r="AH42" s="5481">
        <v>0</v>
      </c>
      <c r="AI42" s="6385"/>
      <c r="AJ42" s="5478">
        <f t="shared" si="49"/>
        <v>293</v>
      </c>
      <c r="AK42" s="5490"/>
      <c r="AL42" s="5481">
        <v>28</v>
      </c>
      <c r="AM42" s="6370"/>
      <c r="AN42" s="5479">
        <f t="shared" si="56"/>
        <v>56</v>
      </c>
      <c r="AO42" s="6385"/>
      <c r="AP42" s="5478">
        <f t="shared" si="52"/>
        <v>321</v>
      </c>
      <c r="AQ42" s="5490"/>
      <c r="AR42" s="5481">
        <v>22</v>
      </c>
      <c r="AS42" s="6385"/>
      <c r="AT42" s="5478">
        <f t="shared" si="50"/>
        <v>343</v>
      </c>
      <c r="AU42" s="5490"/>
      <c r="AV42" s="5481">
        <v>25</v>
      </c>
      <c r="AW42" s="6385"/>
      <c r="AX42" s="5478">
        <f t="shared" si="51"/>
        <v>368</v>
      </c>
      <c r="AY42" s="5490"/>
      <c r="AZ42" s="5481">
        <v>0</v>
      </c>
      <c r="BA42" s="6370"/>
      <c r="BB42" s="5479">
        <f t="shared" si="57"/>
        <v>47</v>
      </c>
      <c r="BC42" s="6371"/>
      <c r="BD42" s="5482">
        <f t="shared" si="58"/>
        <v>103</v>
      </c>
      <c r="BE42" s="6385"/>
      <c r="BF42" s="5437">
        <f t="shared" si="44"/>
        <v>368</v>
      </c>
      <c r="BG42" s="26"/>
      <c r="BH42" s="26"/>
      <c r="BI42" s="26"/>
      <c r="BJ42" s="26"/>
    </row>
    <row r="43" spans="1:62" ht="21" customHeight="1" x14ac:dyDescent="0.25">
      <c r="B43" s="5403" t="s">
        <v>1994</v>
      </c>
      <c r="C43" s="5458" t="s">
        <v>52</v>
      </c>
      <c r="D43" s="6404"/>
      <c r="E43" s="6390"/>
      <c r="F43" s="5480">
        <v>0</v>
      </c>
      <c r="G43" s="6390"/>
      <c r="H43" s="5480">
        <v>33</v>
      </c>
      <c r="I43" s="6385"/>
      <c r="J43" s="5478">
        <f t="shared" si="45"/>
        <v>33</v>
      </c>
      <c r="K43" s="6391"/>
      <c r="L43" s="5480">
        <v>0</v>
      </c>
      <c r="M43" s="6370"/>
      <c r="N43" s="5479">
        <f t="shared" si="53"/>
        <v>33</v>
      </c>
      <c r="O43" s="6391"/>
      <c r="P43" s="5480">
        <v>14</v>
      </c>
      <c r="Q43" s="6385"/>
      <c r="R43" s="5478">
        <f t="shared" si="46"/>
        <v>47</v>
      </c>
      <c r="S43" s="5490"/>
      <c r="T43" s="5481">
        <v>21</v>
      </c>
      <c r="U43" s="6385"/>
      <c r="V43" s="5478">
        <f t="shared" si="47"/>
        <v>68</v>
      </c>
      <c r="W43" s="6391"/>
      <c r="X43" s="5481">
        <v>25</v>
      </c>
      <c r="Y43" s="6370"/>
      <c r="Z43" s="5479">
        <f t="shared" si="54"/>
        <v>60</v>
      </c>
      <c r="AA43" s="6371"/>
      <c r="AB43" s="5482">
        <f t="shared" si="55"/>
        <v>93</v>
      </c>
      <c r="AC43" s="5490"/>
      <c r="AD43" s="5481">
        <v>24</v>
      </c>
      <c r="AE43" s="6385"/>
      <c r="AF43" s="5478">
        <f t="shared" si="48"/>
        <v>117</v>
      </c>
      <c r="AG43" s="5490"/>
      <c r="AH43" s="5481">
        <v>0</v>
      </c>
      <c r="AI43" s="6385"/>
      <c r="AJ43" s="5478">
        <f t="shared" si="49"/>
        <v>117</v>
      </c>
      <c r="AK43" s="5490"/>
      <c r="AL43" s="5481">
        <v>32</v>
      </c>
      <c r="AM43" s="6370"/>
      <c r="AN43" s="5479">
        <f t="shared" si="56"/>
        <v>56</v>
      </c>
      <c r="AO43" s="6385"/>
      <c r="AP43" s="5478">
        <f t="shared" si="52"/>
        <v>149</v>
      </c>
      <c r="AQ43" s="5490"/>
      <c r="AR43" s="5481">
        <v>9</v>
      </c>
      <c r="AS43" s="6385"/>
      <c r="AT43" s="5478">
        <f t="shared" si="50"/>
        <v>158</v>
      </c>
      <c r="AU43" s="5490"/>
      <c r="AV43" s="5481">
        <v>18</v>
      </c>
      <c r="AW43" s="6385"/>
      <c r="AX43" s="5478">
        <f t="shared" si="51"/>
        <v>176</v>
      </c>
      <c r="AY43" s="5490"/>
      <c r="AZ43" s="5481">
        <v>8</v>
      </c>
      <c r="BA43" s="6370"/>
      <c r="BB43" s="5479">
        <f t="shared" si="57"/>
        <v>35</v>
      </c>
      <c r="BC43" s="6371"/>
      <c r="BD43" s="5482">
        <f t="shared" si="58"/>
        <v>91</v>
      </c>
      <c r="BE43" s="6385"/>
      <c r="BF43" s="5437">
        <f t="shared" si="44"/>
        <v>184</v>
      </c>
      <c r="BG43" s="26"/>
      <c r="BH43" s="26"/>
      <c r="BI43" s="26"/>
      <c r="BJ43" s="26"/>
    </row>
    <row r="44" spans="1:62" ht="21" customHeight="1" x14ac:dyDescent="0.25">
      <c r="B44" s="5403" t="s">
        <v>1995</v>
      </c>
      <c r="C44" s="5458" t="s">
        <v>52</v>
      </c>
      <c r="D44" s="6404"/>
      <c r="E44" s="6390"/>
      <c r="F44" s="5480">
        <v>168</v>
      </c>
      <c r="G44" s="6390"/>
      <c r="H44" s="5480">
        <v>186</v>
      </c>
      <c r="I44" s="6385"/>
      <c r="J44" s="5478">
        <f t="shared" si="45"/>
        <v>354</v>
      </c>
      <c r="K44" s="6391"/>
      <c r="L44" s="5480">
        <v>100</v>
      </c>
      <c r="M44" s="6370"/>
      <c r="N44" s="5479">
        <f t="shared" si="53"/>
        <v>454</v>
      </c>
      <c r="O44" s="6391"/>
      <c r="P44" s="5480">
        <v>81</v>
      </c>
      <c r="Q44" s="6385"/>
      <c r="R44" s="5478">
        <f t="shared" si="46"/>
        <v>535</v>
      </c>
      <c r="S44" s="5490"/>
      <c r="T44" s="5481">
        <v>126</v>
      </c>
      <c r="U44" s="6385"/>
      <c r="V44" s="5478">
        <f t="shared" si="47"/>
        <v>661</v>
      </c>
      <c r="W44" s="6391"/>
      <c r="X44" s="5481">
        <v>145</v>
      </c>
      <c r="Y44" s="6370"/>
      <c r="Z44" s="5479">
        <f t="shared" si="54"/>
        <v>352</v>
      </c>
      <c r="AA44" s="6371"/>
      <c r="AB44" s="5482">
        <f t="shared" si="55"/>
        <v>806</v>
      </c>
      <c r="AC44" s="5490"/>
      <c r="AD44" s="5481">
        <v>244</v>
      </c>
      <c r="AE44" s="6385"/>
      <c r="AF44" s="5478">
        <f t="shared" si="48"/>
        <v>1050</v>
      </c>
      <c r="AG44" s="5490"/>
      <c r="AH44" s="5481">
        <v>20</v>
      </c>
      <c r="AI44" s="6385"/>
      <c r="AJ44" s="5478">
        <f t="shared" si="49"/>
        <v>1070</v>
      </c>
      <c r="AK44" s="5490"/>
      <c r="AL44" s="5481">
        <v>253</v>
      </c>
      <c r="AM44" s="6370"/>
      <c r="AN44" s="5479">
        <f t="shared" si="56"/>
        <v>517</v>
      </c>
      <c r="AO44" s="6385"/>
      <c r="AP44" s="5478">
        <f t="shared" si="52"/>
        <v>1323</v>
      </c>
      <c r="AQ44" s="5490"/>
      <c r="AR44" s="5481">
        <v>148</v>
      </c>
      <c r="AS44" s="6385"/>
      <c r="AT44" s="5478">
        <f t="shared" si="50"/>
        <v>1471</v>
      </c>
      <c r="AU44" s="5490"/>
      <c r="AV44" s="5481">
        <v>72</v>
      </c>
      <c r="AW44" s="6385"/>
      <c r="AX44" s="5478">
        <f t="shared" si="51"/>
        <v>1543</v>
      </c>
      <c r="AY44" s="5490"/>
      <c r="AZ44" s="5481">
        <v>304</v>
      </c>
      <c r="BA44" s="6370"/>
      <c r="BB44" s="5479">
        <f t="shared" si="57"/>
        <v>524</v>
      </c>
      <c r="BC44" s="6371"/>
      <c r="BD44" s="5482">
        <f t="shared" si="58"/>
        <v>1041</v>
      </c>
      <c r="BE44" s="6385"/>
      <c r="BF44" s="5437">
        <f t="shared" si="44"/>
        <v>1847</v>
      </c>
      <c r="BG44" s="26"/>
      <c r="BH44" s="26"/>
      <c r="BI44" s="26"/>
      <c r="BJ44" s="26"/>
    </row>
    <row r="45" spans="1:62" ht="21" customHeight="1" x14ac:dyDescent="0.25">
      <c r="A45" s="26"/>
      <c r="B45" s="5403" t="s">
        <v>1996</v>
      </c>
      <c r="C45" s="5458" t="s">
        <v>52</v>
      </c>
      <c r="D45" s="6404"/>
      <c r="E45" s="6390"/>
      <c r="F45" s="5480">
        <v>98</v>
      </c>
      <c r="G45" s="6390"/>
      <c r="H45" s="5480">
        <v>44</v>
      </c>
      <c r="I45" s="6385"/>
      <c r="J45" s="5478">
        <f t="shared" si="45"/>
        <v>142</v>
      </c>
      <c r="K45" s="6391"/>
      <c r="L45" s="5480">
        <v>0</v>
      </c>
      <c r="M45" s="6370"/>
      <c r="N45" s="5479">
        <f t="shared" si="53"/>
        <v>142</v>
      </c>
      <c r="O45" s="6391"/>
      <c r="P45" s="5480">
        <v>59</v>
      </c>
      <c r="Q45" s="6385"/>
      <c r="R45" s="5478">
        <f t="shared" si="46"/>
        <v>201</v>
      </c>
      <c r="S45" s="5490"/>
      <c r="T45" s="5481">
        <v>45</v>
      </c>
      <c r="U45" s="6385"/>
      <c r="V45" s="5478">
        <f t="shared" si="47"/>
        <v>246</v>
      </c>
      <c r="W45" s="6391"/>
      <c r="X45" s="5481">
        <v>31</v>
      </c>
      <c r="Y45" s="6370"/>
      <c r="Z45" s="5479">
        <f t="shared" si="54"/>
        <v>135</v>
      </c>
      <c r="AA45" s="6371"/>
      <c r="AB45" s="5482">
        <f t="shared" si="55"/>
        <v>277</v>
      </c>
      <c r="AC45" s="5490"/>
      <c r="AD45" s="5481">
        <v>52</v>
      </c>
      <c r="AE45" s="6385"/>
      <c r="AF45" s="5478">
        <f t="shared" si="48"/>
        <v>329</v>
      </c>
      <c r="AG45" s="5490"/>
      <c r="AH45" s="5481">
        <v>0</v>
      </c>
      <c r="AI45" s="6385"/>
      <c r="AJ45" s="5478">
        <f t="shared" si="49"/>
        <v>329</v>
      </c>
      <c r="AK45" s="5490"/>
      <c r="AL45" s="5481">
        <v>24</v>
      </c>
      <c r="AM45" s="6370"/>
      <c r="AN45" s="5479">
        <f t="shared" si="56"/>
        <v>76</v>
      </c>
      <c r="AO45" s="6385"/>
      <c r="AP45" s="5478">
        <f t="shared" si="52"/>
        <v>353</v>
      </c>
      <c r="AQ45" s="5490"/>
      <c r="AR45" s="5481">
        <v>0</v>
      </c>
      <c r="AS45" s="6385"/>
      <c r="AT45" s="5478">
        <f t="shared" si="50"/>
        <v>353</v>
      </c>
      <c r="AU45" s="5490"/>
      <c r="AV45" s="5481">
        <v>103</v>
      </c>
      <c r="AW45" s="6385"/>
      <c r="AX45" s="5478">
        <f t="shared" si="51"/>
        <v>456</v>
      </c>
      <c r="AY45" s="5490"/>
      <c r="AZ45" s="5481">
        <v>52</v>
      </c>
      <c r="BA45" s="6370"/>
      <c r="BB45" s="5479">
        <f t="shared" si="57"/>
        <v>155</v>
      </c>
      <c r="BC45" s="6371"/>
      <c r="BD45" s="5482">
        <f t="shared" si="58"/>
        <v>231</v>
      </c>
      <c r="BE45" s="6385"/>
      <c r="BF45" s="5437">
        <f t="shared" si="44"/>
        <v>508</v>
      </c>
      <c r="BG45" s="26"/>
      <c r="BH45" s="26"/>
      <c r="BI45" s="26"/>
      <c r="BJ45" s="26"/>
    </row>
    <row r="46" spans="1:62" ht="21" customHeight="1" thickBot="1" x14ac:dyDescent="0.3">
      <c r="A46" s="26"/>
      <c r="B46" s="5429" t="s">
        <v>168</v>
      </c>
      <c r="C46" s="5430" t="s">
        <v>52</v>
      </c>
      <c r="D46" s="6404"/>
      <c r="E46" s="6390"/>
      <c r="F46" s="5469">
        <f>SUM(F38:F45)</f>
        <v>51582.119999999995</v>
      </c>
      <c r="G46" s="6390"/>
      <c r="H46" s="5469">
        <f>SUM(H38:H45)</f>
        <v>37463.549999999996</v>
      </c>
      <c r="I46" s="6385"/>
      <c r="J46" s="5484">
        <f t="shared" si="45"/>
        <v>89045.669999999984</v>
      </c>
      <c r="K46" s="6391"/>
      <c r="L46" s="5469">
        <f>SUM(L38:L45)</f>
        <v>44938.77</v>
      </c>
      <c r="M46" s="6370"/>
      <c r="N46" s="5485">
        <f>SUM(N38:N45)</f>
        <v>133984.44</v>
      </c>
      <c r="O46" s="6391"/>
      <c r="P46" s="5469">
        <f>SUM(P38:P45)</f>
        <v>54952.6</v>
      </c>
      <c r="Q46" s="6385"/>
      <c r="R46" s="5484">
        <f t="shared" si="46"/>
        <v>188937.04</v>
      </c>
      <c r="S46" s="5490"/>
      <c r="T46" s="5470">
        <f>SUM(T38:T45)</f>
        <v>50980.639999999999</v>
      </c>
      <c r="U46" s="6385"/>
      <c r="V46" s="5484">
        <f t="shared" si="47"/>
        <v>239917.68</v>
      </c>
      <c r="W46" s="6391"/>
      <c r="X46" s="5470">
        <f>SUM(X38:X45)</f>
        <v>47989.83</v>
      </c>
      <c r="Y46" s="6370"/>
      <c r="Z46" s="5485">
        <f>SUM(Z38:Z45)</f>
        <v>153923.07</v>
      </c>
      <c r="AA46" s="6371"/>
      <c r="AB46" s="5486">
        <f>SUM(AB38:AB45)</f>
        <v>287907.51</v>
      </c>
      <c r="AC46" s="5490"/>
      <c r="AD46" s="5470">
        <f>SUM(AD38:AD45)</f>
        <v>55188.490000000005</v>
      </c>
      <c r="AE46" s="6385"/>
      <c r="AF46" s="5484">
        <f t="shared" si="48"/>
        <v>343096</v>
      </c>
      <c r="AG46" s="5490"/>
      <c r="AH46" s="5470">
        <f>SUM(AH38:AH45)</f>
        <v>49515.18</v>
      </c>
      <c r="AI46" s="6385"/>
      <c r="AJ46" s="5484">
        <f t="shared" si="49"/>
        <v>392611.18</v>
      </c>
      <c r="AK46" s="5490"/>
      <c r="AL46" s="5470">
        <f>SUM(AL38:AL45)</f>
        <v>52646.409999999996</v>
      </c>
      <c r="AM46" s="6370"/>
      <c r="AN46" s="5485">
        <f>SUM(AN38:AN45)</f>
        <v>157350.08000000002</v>
      </c>
      <c r="AO46" s="6385"/>
      <c r="AP46" s="5484">
        <f t="shared" si="52"/>
        <v>445257.58999999997</v>
      </c>
      <c r="AQ46" s="5490"/>
      <c r="AR46" s="5470">
        <f>SUM(AR38:AR45)</f>
        <v>54630.68</v>
      </c>
      <c r="AS46" s="6385"/>
      <c r="AT46" s="5484">
        <f t="shared" si="50"/>
        <v>499888.26999999996</v>
      </c>
      <c r="AU46" s="5490"/>
      <c r="AV46" s="5470">
        <f>SUM(AV38:AV45)</f>
        <v>51838.34</v>
      </c>
      <c r="AW46" s="6385"/>
      <c r="AX46" s="5484">
        <f t="shared" si="51"/>
        <v>551726.61</v>
      </c>
      <c r="AY46" s="5490"/>
      <c r="AZ46" s="5470">
        <f>SUM(AZ38:AZ45)</f>
        <v>54568.18</v>
      </c>
      <c r="BA46" s="6370"/>
      <c r="BB46" s="5485">
        <f>SUM(BB38:BB45)</f>
        <v>161037.20000000001</v>
      </c>
      <c r="BC46" s="6371"/>
      <c r="BD46" s="5486">
        <f>SUM(BD38:BD45)</f>
        <v>318387.28000000003</v>
      </c>
      <c r="BE46" s="6385"/>
      <c r="BF46" s="5440">
        <f t="shared" si="44"/>
        <v>606294.79</v>
      </c>
      <c r="BG46" s="26"/>
      <c r="BH46" s="26"/>
      <c r="BI46" s="26"/>
      <c r="BJ46" s="26"/>
    </row>
    <row r="47" spans="1:62" ht="21" customHeight="1" x14ac:dyDescent="0.25">
      <c r="A47" s="6387"/>
      <c r="B47" s="5422" t="s">
        <v>169</v>
      </c>
      <c r="C47" s="5410" t="s">
        <v>52</v>
      </c>
      <c r="D47" s="6405">
        <f>+D29+D38</f>
        <v>2620075</v>
      </c>
      <c r="E47" s="6388">
        <f>+E29+E38</f>
        <v>221509</v>
      </c>
      <c r="F47" s="5480">
        <f>+F35+F38+F39+F40+F41</f>
        <v>214777.12</v>
      </c>
      <c r="G47" s="6388">
        <f>+G29+G38</f>
        <v>184717</v>
      </c>
      <c r="H47" s="5480">
        <f>+H35+H38+H39+H40+H41</f>
        <v>175260.55</v>
      </c>
      <c r="I47" s="6385">
        <f>+E47+G47</f>
        <v>406226</v>
      </c>
      <c r="J47" s="5478">
        <f t="shared" si="45"/>
        <v>390037.67</v>
      </c>
      <c r="K47" s="6388">
        <f>+K29+K38</f>
        <v>180641.5</v>
      </c>
      <c r="L47" s="5480">
        <f>+L35+L38+L39+L40+L41</f>
        <v>186485.77</v>
      </c>
      <c r="M47" s="6364">
        <f>+K47+G47+E47</f>
        <v>586867.5</v>
      </c>
      <c r="N47" s="5479">
        <f t="shared" si="53"/>
        <v>576523.43999999994</v>
      </c>
      <c r="O47" s="6388">
        <f>+O29+O38</f>
        <v>224340</v>
      </c>
      <c r="P47" s="5480">
        <f>+P35+P38+P39+P40+P41</f>
        <v>229673.60000000001</v>
      </c>
      <c r="Q47" s="6381">
        <f>+M47+O47</f>
        <v>811207.5</v>
      </c>
      <c r="R47" s="5478">
        <f t="shared" si="46"/>
        <v>806197.03999999992</v>
      </c>
      <c r="S47" s="6379">
        <f>+S29+S38</f>
        <v>224339.62264150943</v>
      </c>
      <c r="T47" s="5481">
        <f>+T35+T38+T39+T40+T41</f>
        <v>224193.64</v>
      </c>
      <c r="U47" s="6381">
        <f>+Q47+S47</f>
        <v>1035547.1226415094</v>
      </c>
      <c r="V47" s="5478">
        <f t="shared" si="47"/>
        <v>1030390.6799999999</v>
      </c>
      <c r="W47" s="6379">
        <f>+W29+W38</f>
        <v>217735.84905660377</v>
      </c>
      <c r="X47" s="5481">
        <f>+X35+X38+X39+X40+X41</f>
        <v>209920.83</v>
      </c>
      <c r="Y47" s="6370">
        <f>+W47+S47+O47</f>
        <v>666415.47169811325</v>
      </c>
      <c r="Z47" s="5479">
        <f>+X47+T47+P47</f>
        <v>663788.06999999995</v>
      </c>
      <c r="AA47" s="6371">
        <f>+Y47+M47</f>
        <v>1253282.9716981133</v>
      </c>
      <c r="AB47" s="5482">
        <f>+Z47+N47</f>
        <v>1240311.5099999998</v>
      </c>
      <c r="AC47" s="6379">
        <f>+AC29+AC38</f>
        <v>230943.39622641509</v>
      </c>
      <c r="AD47" s="5481">
        <f>+AD35+AD38+AD39+AD40+AD41</f>
        <v>222806.49000000002</v>
      </c>
      <c r="AE47" s="6381">
        <f>+AA47+AC47</f>
        <v>1484226.3679245284</v>
      </c>
      <c r="AF47" s="5478">
        <f t="shared" si="48"/>
        <v>1463117.9999999998</v>
      </c>
      <c r="AG47" s="6379">
        <f>+AG29+AG38</f>
        <v>223396.22641509434</v>
      </c>
      <c r="AH47" s="5481">
        <f>+AH35+AH38+AH39+AH40+AH41</f>
        <v>192289.18000000002</v>
      </c>
      <c r="AI47" s="6381">
        <f>+AE47+AG47</f>
        <v>1707622.5943396227</v>
      </c>
      <c r="AJ47" s="5478">
        <f t="shared" si="49"/>
        <v>1655407.1799999997</v>
      </c>
      <c r="AK47" s="6379">
        <f>+AK29+AK38</f>
        <v>231886.79245283018</v>
      </c>
      <c r="AL47" s="5481">
        <f>+AL35+AL38+AL39+AL40+AL41</f>
        <v>216654.41</v>
      </c>
      <c r="AM47" s="6370">
        <f>+AK47+AG47+AC47</f>
        <v>686226.41509433964</v>
      </c>
      <c r="AN47" s="5479">
        <f>+AL47+AH47+AD47</f>
        <v>631750.08000000007</v>
      </c>
      <c r="AO47" s="6381">
        <f>+AK47+AI47</f>
        <v>1939509.3867924528</v>
      </c>
      <c r="AP47" s="5478">
        <f t="shared" si="52"/>
        <v>1872061.5899999996</v>
      </c>
      <c r="AQ47" s="6379">
        <f>+AQ29+AQ38</f>
        <v>231886.79245283018</v>
      </c>
      <c r="AR47" s="5481">
        <f>+AR35+AR38+AR39+AR40+AR41</f>
        <v>217166.68</v>
      </c>
      <c r="AS47" s="6381">
        <f>+AO47+AQ47</f>
        <v>2171396.1792452829</v>
      </c>
      <c r="AT47" s="5478">
        <f t="shared" si="50"/>
        <v>2089228.2699999996</v>
      </c>
      <c r="AU47" s="6379">
        <f>+AU29+AU38</f>
        <v>215849.05660377358</v>
      </c>
      <c r="AV47" s="5481">
        <f>+AV35+AV38+AV39+AV40+AV41</f>
        <v>213819.33999999997</v>
      </c>
      <c r="AW47" s="6381">
        <f>+AS47+AU47</f>
        <v>2387245.2358490564</v>
      </c>
      <c r="AX47" s="5478">
        <f t="shared" si="51"/>
        <v>2303047.6099999994</v>
      </c>
      <c r="AY47" s="6379">
        <f>+AY29+AY38</f>
        <v>232830.18867924527</v>
      </c>
      <c r="AZ47" s="5481">
        <f>+AZ35+AZ38+AZ39+AZ40+AZ41</f>
        <v>218717.18000000002</v>
      </c>
      <c r="BA47" s="6370">
        <f>+AY47+AU47+AQ47</f>
        <v>680566.03773584904</v>
      </c>
      <c r="BB47" s="5479">
        <f>+AZ47+AV47+AR47</f>
        <v>649703.19999999995</v>
      </c>
      <c r="BC47" s="6371">
        <f>+BA47+AM47</f>
        <v>1366792.4528301887</v>
      </c>
      <c r="BD47" s="5482">
        <f t="shared" ref="BD47:BD48" si="59">+BB47+AN47</f>
        <v>1281453.28</v>
      </c>
      <c r="BE47" s="6381">
        <f>+AW47+AY47</f>
        <v>2620075.4245283017</v>
      </c>
      <c r="BF47" s="5437">
        <f t="shared" si="44"/>
        <v>2521764.7899999996</v>
      </c>
      <c r="BG47" s="26"/>
      <c r="BH47" s="26"/>
      <c r="BI47" s="26"/>
      <c r="BJ47" s="26"/>
    </row>
    <row r="48" spans="1:62" ht="21" customHeight="1" thickBot="1" x14ac:dyDescent="0.3">
      <c r="A48" s="6387"/>
      <c r="B48" s="5406" t="s">
        <v>1997</v>
      </c>
      <c r="C48" s="5396" t="s">
        <v>52</v>
      </c>
      <c r="D48" s="6405"/>
      <c r="E48" s="6388"/>
      <c r="F48" s="5480">
        <f>+F36+F42+F43+F44+F45</f>
        <v>762</v>
      </c>
      <c r="G48" s="6388"/>
      <c r="H48" s="5480">
        <f>+H36+H42+H43+H44+H45</f>
        <v>634.6</v>
      </c>
      <c r="I48" s="6385"/>
      <c r="J48" s="5478">
        <f t="shared" si="45"/>
        <v>1396.6</v>
      </c>
      <c r="K48" s="6388"/>
      <c r="L48" s="5480">
        <f>+L36+L42+L43+L44+L45</f>
        <v>577</v>
      </c>
      <c r="M48" s="6364"/>
      <c r="N48" s="5479">
        <f t="shared" si="53"/>
        <v>1973.6</v>
      </c>
      <c r="O48" s="6388"/>
      <c r="P48" s="5480">
        <f>+P36+P42+P43+P44+P45</f>
        <v>474</v>
      </c>
      <c r="Q48" s="6381"/>
      <c r="R48" s="5478">
        <f t="shared" si="46"/>
        <v>2447.6</v>
      </c>
      <c r="S48" s="6379"/>
      <c r="T48" s="5481">
        <f>+T36+T42+T43+T44+T45</f>
        <v>448</v>
      </c>
      <c r="U48" s="6381"/>
      <c r="V48" s="5478">
        <f t="shared" si="47"/>
        <v>2895.6</v>
      </c>
      <c r="W48" s="6379"/>
      <c r="X48" s="5481">
        <f>+X36+X42+X43+X44+X45</f>
        <v>845</v>
      </c>
      <c r="Y48" s="6370"/>
      <c r="Z48" s="5479">
        <f>+X48+T48+P48</f>
        <v>1767</v>
      </c>
      <c r="AA48" s="6371"/>
      <c r="AB48" s="5482">
        <f>+Z48+N48</f>
        <v>3740.6</v>
      </c>
      <c r="AC48" s="6379"/>
      <c r="AD48" s="5481">
        <f>+AD36+AD42+AD43+AD44+AD45</f>
        <v>633</v>
      </c>
      <c r="AE48" s="6381"/>
      <c r="AF48" s="5478">
        <f t="shared" si="48"/>
        <v>4373.6000000000004</v>
      </c>
      <c r="AG48" s="6379"/>
      <c r="AH48" s="5481">
        <f>+AH36+AH42+AH43+AH44+AH45</f>
        <v>44</v>
      </c>
      <c r="AI48" s="6381"/>
      <c r="AJ48" s="5478">
        <f t="shared" si="49"/>
        <v>4417.6000000000004</v>
      </c>
      <c r="AK48" s="6379"/>
      <c r="AL48" s="5481">
        <f>+AL36+AL42+AL43+AL44+AL45</f>
        <v>931</v>
      </c>
      <c r="AM48" s="6370"/>
      <c r="AN48" s="5479">
        <f>+AL48+AH48+AD48</f>
        <v>1608</v>
      </c>
      <c r="AO48" s="6381"/>
      <c r="AP48" s="5478">
        <f t="shared" si="52"/>
        <v>5348.6</v>
      </c>
      <c r="AQ48" s="6379"/>
      <c r="AR48" s="5481">
        <f>+AR36+AR42+AR43+AR44+AR45</f>
        <v>512</v>
      </c>
      <c r="AS48" s="6381"/>
      <c r="AT48" s="5478">
        <f t="shared" si="50"/>
        <v>5860.6</v>
      </c>
      <c r="AU48" s="6379"/>
      <c r="AV48" s="5481">
        <f>+AV36+AV42+AV43+AV44+AV45</f>
        <v>589</v>
      </c>
      <c r="AW48" s="6381"/>
      <c r="AX48" s="5478">
        <f t="shared" si="51"/>
        <v>6449.6</v>
      </c>
      <c r="AY48" s="6379"/>
      <c r="AZ48" s="5481">
        <f>+AZ36+AZ42+AZ43+AZ44+AZ45</f>
        <v>710</v>
      </c>
      <c r="BA48" s="6370"/>
      <c r="BB48" s="5479">
        <f>+AZ48+AV48+AR48</f>
        <v>1811</v>
      </c>
      <c r="BC48" s="6371"/>
      <c r="BD48" s="5482">
        <f t="shared" si="59"/>
        <v>3419</v>
      </c>
      <c r="BE48" s="6381"/>
      <c r="BF48" s="5437">
        <f t="shared" si="44"/>
        <v>7159.6</v>
      </c>
      <c r="BG48" s="26"/>
      <c r="BH48" s="26"/>
      <c r="BI48" s="26"/>
      <c r="BJ48" s="26"/>
    </row>
    <row r="49" spans="1:62" ht="21" customHeight="1" thickBot="1" x14ac:dyDescent="0.3">
      <c r="A49" s="6387"/>
      <c r="B49" s="5421" t="s">
        <v>303</v>
      </c>
      <c r="C49" s="5398" t="s">
        <v>52</v>
      </c>
      <c r="D49" s="6406"/>
      <c r="E49" s="6389"/>
      <c r="F49" s="5594">
        <f>SUM(F47:F48)</f>
        <v>215539.12</v>
      </c>
      <c r="G49" s="6389"/>
      <c r="H49" s="5594">
        <f>SUM(H47:H48)</f>
        <v>175895.15</v>
      </c>
      <c r="I49" s="6392"/>
      <c r="J49" s="5595">
        <f t="shared" si="45"/>
        <v>391434.27</v>
      </c>
      <c r="K49" s="6389"/>
      <c r="L49" s="5594">
        <f>SUM(L47:L48)</f>
        <v>187062.77</v>
      </c>
      <c r="M49" s="6365"/>
      <c r="N49" s="5596">
        <f>SUM(N47:N48)</f>
        <v>578497.03999999992</v>
      </c>
      <c r="O49" s="6389"/>
      <c r="P49" s="5594">
        <f>SUM(P47:P48)</f>
        <v>230147.6</v>
      </c>
      <c r="Q49" s="6382"/>
      <c r="R49" s="5595">
        <f t="shared" si="46"/>
        <v>808644.6399999999</v>
      </c>
      <c r="S49" s="6380"/>
      <c r="T49" s="5598">
        <f>SUM(T47:T48)</f>
        <v>224641.64</v>
      </c>
      <c r="U49" s="6382"/>
      <c r="V49" s="5595">
        <f t="shared" si="47"/>
        <v>1033286.2799999999</v>
      </c>
      <c r="W49" s="6380"/>
      <c r="X49" s="5598">
        <f>SUM(X47:X48)</f>
        <v>210765.83</v>
      </c>
      <c r="Y49" s="6372"/>
      <c r="Z49" s="5596">
        <f>SUM(Z47:Z48)</f>
        <v>665555.06999999995</v>
      </c>
      <c r="AA49" s="6373"/>
      <c r="AB49" s="5619">
        <f>SUM(AB47:AB48)</f>
        <v>1244052.1099999999</v>
      </c>
      <c r="AC49" s="6380"/>
      <c r="AD49" s="5598">
        <f>SUM(AD47:AD48)</f>
        <v>223439.49000000002</v>
      </c>
      <c r="AE49" s="6382"/>
      <c r="AF49" s="5595">
        <f t="shared" si="48"/>
        <v>1467491.5999999999</v>
      </c>
      <c r="AG49" s="6380"/>
      <c r="AH49" s="5598">
        <f>SUM(AH47:AH48)</f>
        <v>192333.18000000002</v>
      </c>
      <c r="AI49" s="6382"/>
      <c r="AJ49" s="5595">
        <f t="shared" si="49"/>
        <v>1659824.7799999998</v>
      </c>
      <c r="AK49" s="6380"/>
      <c r="AL49" s="5598">
        <f>SUM(AL47:AL48)</f>
        <v>217585.41</v>
      </c>
      <c r="AM49" s="6372"/>
      <c r="AN49" s="5596">
        <f>SUM(AN47:AN48)</f>
        <v>633358.08000000007</v>
      </c>
      <c r="AO49" s="6382"/>
      <c r="AP49" s="5595">
        <f t="shared" si="52"/>
        <v>1877410.1899999997</v>
      </c>
      <c r="AQ49" s="6380"/>
      <c r="AR49" s="5598">
        <f>SUM(AR47:AR48)</f>
        <v>217678.68</v>
      </c>
      <c r="AS49" s="6382"/>
      <c r="AT49" s="5595">
        <f t="shared" si="50"/>
        <v>2095088.8699999996</v>
      </c>
      <c r="AU49" s="6380"/>
      <c r="AV49" s="5598">
        <f>SUM(AV47:AV48)</f>
        <v>214408.33999999997</v>
      </c>
      <c r="AW49" s="6382"/>
      <c r="AX49" s="5595">
        <f t="shared" si="51"/>
        <v>2309497.2099999995</v>
      </c>
      <c r="AY49" s="6380"/>
      <c r="AZ49" s="5598">
        <f>SUM(AZ47:AZ48)</f>
        <v>219427.18000000002</v>
      </c>
      <c r="BA49" s="6372"/>
      <c r="BB49" s="5596">
        <f>SUM(BB47:BB48)</f>
        <v>651514.19999999995</v>
      </c>
      <c r="BC49" s="6373"/>
      <c r="BD49" s="5619">
        <f>SUM(BD47:BD48)</f>
        <v>1284872.28</v>
      </c>
      <c r="BE49" s="6382"/>
      <c r="BF49" s="5620">
        <f t="shared" si="44"/>
        <v>2528924.3899999997</v>
      </c>
      <c r="BG49" s="26"/>
      <c r="BH49" s="26"/>
      <c r="BI49" s="26"/>
      <c r="BJ49" s="26"/>
    </row>
    <row r="50" spans="1:62" ht="21" customHeight="1" x14ac:dyDescent="0.25">
      <c r="A50" s="670"/>
      <c r="B50" s="5609" t="s">
        <v>274</v>
      </c>
      <c r="C50" s="5610"/>
      <c r="D50" s="5611"/>
      <c r="E50" s="5612"/>
      <c r="F50" s="5612"/>
      <c r="G50" s="5612"/>
      <c r="H50" s="5612"/>
      <c r="I50" s="5612"/>
      <c r="J50" s="5612"/>
      <c r="K50" s="5612"/>
      <c r="L50" s="5613"/>
      <c r="M50" s="5612"/>
      <c r="N50" s="5612"/>
      <c r="O50" s="5612"/>
      <c r="P50" s="5613"/>
      <c r="Q50" s="5612"/>
      <c r="R50" s="5612"/>
      <c r="S50" s="5612"/>
      <c r="T50" s="5614"/>
      <c r="U50" s="5612"/>
      <c r="V50" s="5612"/>
      <c r="W50" s="5612"/>
      <c r="X50" s="5614"/>
      <c r="Y50" s="5612"/>
      <c r="Z50" s="5612"/>
      <c r="AA50" s="5612"/>
      <c r="AB50" s="5612"/>
      <c r="AC50" s="5612"/>
      <c r="AD50" s="5614"/>
      <c r="AE50" s="5612"/>
      <c r="AF50" s="5612"/>
      <c r="AG50" s="5612"/>
      <c r="AH50" s="5614"/>
      <c r="AI50" s="5612"/>
      <c r="AJ50" s="5612"/>
      <c r="AK50" s="5612"/>
      <c r="AL50" s="5614"/>
      <c r="AM50" s="5612"/>
      <c r="AN50" s="5612"/>
      <c r="AO50" s="5612"/>
      <c r="AP50" s="5612"/>
      <c r="AQ50" s="5612"/>
      <c r="AR50" s="5614"/>
      <c r="AS50" s="5612"/>
      <c r="AT50" s="5612"/>
      <c r="AU50" s="5612"/>
      <c r="AV50" s="5614"/>
      <c r="AW50" s="5612"/>
      <c r="AX50" s="5612"/>
      <c r="AY50" s="5612"/>
      <c r="AZ50" s="5614"/>
      <c r="BA50" s="5612"/>
      <c r="BB50" s="5612"/>
      <c r="BC50" s="5612"/>
      <c r="BD50" s="5612"/>
      <c r="BE50" s="5612"/>
      <c r="BF50" s="5615"/>
      <c r="BG50" s="26"/>
      <c r="BH50" s="26"/>
      <c r="BI50" s="26"/>
      <c r="BJ50" s="26"/>
    </row>
    <row r="51" spans="1:62" ht="21" customHeight="1" x14ac:dyDescent="0.25">
      <c r="A51" s="221"/>
      <c r="B51" s="5431" t="s">
        <v>281</v>
      </c>
      <c r="C51" s="5458" t="s">
        <v>51</v>
      </c>
      <c r="D51" s="5404">
        <v>89.999999999999986</v>
      </c>
      <c r="E51" s="5480">
        <f>+$D$51</f>
        <v>89.999999999999986</v>
      </c>
      <c r="F51" s="5491">
        <v>91.446840521564695</v>
      </c>
      <c r="G51" s="5480">
        <f>+$D$51</f>
        <v>89.999999999999986</v>
      </c>
      <c r="H51" s="5491">
        <v>91.164523372116761</v>
      </c>
      <c r="I51" s="5492">
        <f>+((E51*E15)+(G15*G51))/I15</f>
        <v>89.999999999999986</v>
      </c>
      <c r="J51" s="5492">
        <f>+((F51*F15)+(H15*H51))/J15</f>
        <v>91.320516427573835</v>
      </c>
      <c r="K51" s="5480">
        <f>+$D$51</f>
        <v>89.999999999999986</v>
      </c>
      <c r="L51" s="5491">
        <v>91.261324041811847</v>
      </c>
      <c r="M51" s="5479">
        <f>+$D$51</f>
        <v>89.999999999999986</v>
      </c>
      <c r="N51" s="5493">
        <f>+((F51*F15)+(H51*H15)+(L15*L51))/N15</f>
        <v>91.30136749681968</v>
      </c>
      <c r="O51" s="5480">
        <f>+$D$51</f>
        <v>89.999999999999986</v>
      </c>
      <c r="P51" s="5491">
        <v>91.63</v>
      </c>
      <c r="Q51" s="5492">
        <f>+((M51*M15)+(O15*O51))/Q15</f>
        <v>89.999999999999986</v>
      </c>
      <c r="R51" s="5492">
        <f>+((N51*N15)+(P15*P51))/R15</f>
        <v>91.394486279519626</v>
      </c>
      <c r="S51" s="5480">
        <f>+$D$51</f>
        <v>89.999999999999986</v>
      </c>
      <c r="T51" s="5494">
        <v>91.730476479671069</v>
      </c>
      <c r="U51" s="5492">
        <f>+((Q51*Q15)+(S15*S51))/U15</f>
        <v>89.999999999999986</v>
      </c>
      <c r="V51" s="5492">
        <f>+((R51*R15)+(T15*T51))/V15</f>
        <v>91.467415534317922</v>
      </c>
      <c r="W51" s="5480">
        <f>+$D$51</f>
        <v>89.999999999999986</v>
      </c>
      <c r="X51" s="5494">
        <v>91.298479257370516</v>
      </c>
      <c r="Y51" s="5493">
        <f>+((O51*O15)+(S51*S15)+(W15*W51))/Y15</f>
        <v>89.999999999999986</v>
      </c>
      <c r="Z51" s="5493">
        <f>+((P51*P15)+(T51*T15)+(X15*X51))/Z15</f>
        <v>91.557729069899665</v>
      </c>
      <c r="AA51" s="5495">
        <f>+((Y51*Y15)+(M15*M51))/AA15</f>
        <v>89.999999999999986</v>
      </c>
      <c r="AB51" s="5495">
        <f>+((Z51*Z15)+(N15*N51))/AB15</f>
        <v>91.438503604003117</v>
      </c>
      <c r="AC51" s="5480">
        <f>+$D$51</f>
        <v>89.999999999999986</v>
      </c>
      <c r="AD51" s="5494">
        <v>91.59138674126217</v>
      </c>
      <c r="AE51" s="5492">
        <f>+((AA51*AA15)+(AC15*AC51))/AE15</f>
        <v>89.999999999999986</v>
      </c>
      <c r="AF51" s="5492">
        <f>+((AB51*AB15)+(AD15*AD51))/AF15</f>
        <v>91.462120036852752</v>
      </c>
      <c r="AG51" s="5480">
        <f>+$D$51</f>
        <v>89.999999999999986</v>
      </c>
      <c r="AH51" s="5494">
        <v>91.805630239302261</v>
      </c>
      <c r="AI51" s="5492">
        <f>+((AE51*AE15)+(AG15*AG51))/AI15</f>
        <v>89.999999999999986</v>
      </c>
      <c r="AJ51" s="5492">
        <f>+((AF51*AF15)+(AH15*AH51))/AJ15</f>
        <v>91.501664846379896</v>
      </c>
      <c r="AK51" s="5480">
        <f>+$D$51</f>
        <v>89.999999999999986</v>
      </c>
      <c r="AL51" s="5494">
        <v>90.688289635734051</v>
      </c>
      <c r="AM51" s="5493">
        <f>+((AC51*AC15)+(AG51*AG15)+(AK15*AK51))/AM15</f>
        <v>89.999999999999986</v>
      </c>
      <c r="AN51" s="5493">
        <f>+((AD51*AD15)+(AH51*AH15)+(AL15*AL51))/AN15</f>
        <v>91.35182920971539</v>
      </c>
      <c r="AO51" s="5492">
        <f>+((AK51*AK15)+(AI15*AI51))/AO15</f>
        <v>89.999999999999986</v>
      </c>
      <c r="AP51" s="5492">
        <f>+((AL51*AL15)+(AJ15*AJ51))/AP15</f>
        <v>91.409315217328157</v>
      </c>
      <c r="AQ51" s="5480">
        <f>+$D$51</f>
        <v>89.999999999999986</v>
      </c>
      <c r="AR51" s="5494">
        <v>90.824427344473591</v>
      </c>
      <c r="AS51" s="5492">
        <f>+((AO51*AO15)+(AQ15*AQ51))/AS15</f>
        <v>89.999999999999986</v>
      </c>
      <c r="AT51" s="5492">
        <f>+((AP51*AP15)+(AR15*AR51))/AT15</f>
        <v>91.348917214291163</v>
      </c>
      <c r="AU51" s="5480">
        <f>+$D$51</f>
        <v>89.999999999999986</v>
      </c>
      <c r="AV51" s="5494">
        <v>91.098281472444683</v>
      </c>
      <c r="AW51" s="5492">
        <f>+((AS51*AS15)+(AU15*AU51))/AW15</f>
        <v>89.999999999999986</v>
      </c>
      <c r="AX51" s="5492">
        <f>+((AT51*AT15)+(AV15*AV51))/AX15</f>
        <v>91.325646691851304</v>
      </c>
      <c r="AY51" s="5480">
        <f>+$D$51</f>
        <v>89.999999999999986</v>
      </c>
      <c r="AZ51" s="5494">
        <v>90.999573888360231</v>
      </c>
      <c r="BA51" s="5493">
        <f>+((AQ51*AQ15)+(AU51*AU15)+(AY15*AY51))/BA15</f>
        <v>89.999999999999986</v>
      </c>
      <c r="BB51" s="5493">
        <f>+((AR51*AR15)+(AV51*AV15)+(AZ15*AZ51))/BB15</f>
        <v>90.973835061515814</v>
      </c>
      <c r="BC51" s="5495">
        <f>+((BA51*BA15)+(AM15*AM51))/BC15</f>
        <v>89.999999999999986</v>
      </c>
      <c r="BD51" s="5495">
        <f>+((BB51*BB15)+(AN15*AN51))/BD15</f>
        <v>91.160300299185892</v>
      </c>
      <c r="BE51" s="5492">
        <f>+((AW51*AW15)+(AY15*AY51))/BE15</f>
        <v>89.999999999999986</v>
      </c>
      <c r="BF51" s="5433">
        <f>+((AX51*AX15)+(AZ15*AZ51))/BF15</f>
        <v>91.297394629646092</v>
      </c>
      <c r="BG51" s="26"/>
      <c r="BH51" s="26"/>
      <c r="BI51" s="26"/>
      <c r="BJ51" s="26"/>
    </row>
    <row r="52" spans="1:62" ht="21" customHeight="1" x14ac:dyDescent="0.25">
      <c r="B52" s="5431" t="s">
        <v>545</v>
      </c>
      <c r="C52" s="5458" t="s">
        <v>546</v>
      </c>
      <c r="D52" s="5404">
        <v>150</v>
      </c>
      <c r="E52" s="5476">
        <f>+$D$52</f>
        <v>150</v>
      </c>
      <c r="F52" s="5491">
        <f>+F49/F25</f>
        <v>149.47234396671288</v>
      </c>
      <c r="G52" s="5476">
        <f>+$D$52</f>
        <v>150</v>
      </c>
      <c r="H52" s="5491">
        <f>+H49/H25</f>
        <v>150.33773504273503</v>
      </c>
      <c r="I52" s="5478">
        <f>+I47/I25</f>
        <v>150</v>
      </c>
      <c r="J52" s="5492">
        <f>+J49/J25</f>
        <v>149.85998085758041</v>
      </c>
      <c r="K52" s="5476">
        <f>+$D$52</f>
        <v>150</v>
      </c>
      <c r="L52" s="5491">
        <f>+L49/L25</f>
        <v>149.41115814696485</v>
      </c>
      <c r="M52" s="5473">
        <f>+$D$52</f>
        <v>150</v>
      </c>
      <c r="N52" s="5493">
        <f>+N49/N25</f>
        <v>149.71455486542442</v>
      </c>
      <c r="O52" s="5476">
        <f>+$D$52</f>
        <v>150</v>
      </c>
      <c r="P52" s="5491">
        <f>+P49/P25</f>
        <v>149.73819128171763</v>
      </c>
      <c r="Q52" s="5478">
        <f>+Q47/Q25</f>
        <v>150</v>
      </c>
      <c r="R52" s="5492">
        <f>+R49/R25</f>
        <v>149.72128124421403</v>
      </c>
      <c r="S52" s="5471">
        <f>+$D$52</f>
        <v>150</v>
      </c>
      <c r="T52" s="5481">
        <f>+T49/T25</f>
        <v>150.46325519089083</v>
      </c>
      <c r="U52" s="5478">
        <f>+U47/U25</f>
        <v>150</v>
      </c>
      <c r="V52" s="5492">
        <f>+V49/V25</f>
        <v>149.88196692776327</v>
      </c>
      <c r="W52" s="5471">
        <f>+$D$52</f>
        <v>150</v>
      </c>
      <c r="X52" s="5494">
        <f>+X49/X25</f>
        <v>150.54702142857141</v>
      </c>
      <c r="Y52" s="5479">
        <f>+Y47/Y25</f>
        <v>150</v>
      </c>
      <c r="Z52" s="5493">
        <f>+Z49/Z25</f>
        <v>150.23816478555304</v>
      </c>
      <c r="AA52" s="5482">
        <f>+AA47/AA25</f>
        <v>150.00000000000003</v>
      </c>
      <c r="AB52" s="5495">
        <f>+AB49/AB25</f>
        <v>149.99422594646731</v>
      </c>
      <c r="AC52" s="5471">
        <f>+$D$52</f>
        <v>150</v>
      </c>
      <c r="AD52" s="5494">
        <f>+AD49/AD25</f>
        <v>149.95938926174497</v>
      </c>
      <c r="AE52" s="5478">
        <f>+AE47/AE25</f>
        <v>150</v>
      </c>
      <c r="AF52" s="5492">
        <f>+AF49/AF25</f>
        <v>149.98892068683563</v>
      </c>
      <c r="AG52" s="5471">
        <f>+$D$52</f>
        <v>150</v>
      </c>
      <c r="AH52" s="5494">
        <f>+AH49/AH25</f>
        <v>152.04203952569171</v>
      </c>
      <c r="AI52" s="5478">
        <f>+AI47/AI25</f>
        <v>150</v>
      </c>
      <c r="AJ52" s="5492">
        <f>+AJ49/AJ25</f>
        <v>150.22398226083806</v>
      </c>
      <c r="AK52" s="5471">
        <f>+$D$52</f>
        <v>150</v>
      </c>
      <c r="AL52" s="5494">
        <f>+AL49/AL25</f>
        <v>151.20598332175121</v>
      </c>
      <c r="AM52" s="5479">
        <f>+AM47/AM25</f>
        <v>150.00000000000003</v>
      </c>
      <c r="AN52" s="5493">
        <f>+AN49/AN25</f>
        <v>151.01527896995711</v>
      </c>
      <c r="AO52" s="5478">
        <f>+AO47/AO25</f>
        <v>150</v>
      </c>
      <c r="AP52" s="5492">
        <f>+AP49/AP25</f>
        <v>150.33713885329914</v>
      </c>
      <c r="AQ52" s="5471">
        <f>+$D$52</f>
        <v>150</v>
      </c>
      <c r="AR52" s="5494">
        <f>+AR49/AR25</f>
        <v>149.91644628099172</v>
      </c>
      <c r="AS52" s="5478">
        <f>+AS47/AS25</f>
        <v>149.99999999999997</v>
      </c>
      <c r="AT52" s="5492">
        <f>+AT49/AT25</f>
        <v>150.29331922525105</v>
      </c>
      <c r="AU52" s="5471">
        <f>+$D$52</f>
        <v>150</v>
      </c>
      <c r="AV52" s="5494">
        <f>+AV49/AV25</f>
        <v>150.04082575227429</v>
      </c>
      <c r="AW52" s="5478">
        <f>+AW47/AW25</f>
        <v>149.99999999999997</v>
      </c>
      <c r="AX52" s="5492">
        <f>+AX49/AX25</f>
        <v>150.26984254017825</v>
      </c>
      <c r="AY52" s="5471">
        <f>+$D$52</f>
        <v>150</v>
      </c>
      <c r="AZ52" s="5494">
        <f>+AZ49/AZ25</f>
        <v>149.67747612551162</v>
      </c>
      <c r="BA52" s="5479">
        <f>+BA47/BA25</f>
        <v>150</v>
      </c>
      <c r="BB52" s="5493">
        <f>+BB49/BB25</f>
        <v>149.87674258109038</v>
      </c>
      <c r="BC52" s="5482">
        <f>+BC47/BC25</f>
        <v>150.00000000000003</v>
      </c>
      <c r="BD52" s="5495">
        <f>+BD49/BD25</f>
        <v>150.43581313663506</v>
      </c>
      <c r="BE52" s="5478">
        <f>+BE47/BE25</f>
        <v>150</v>
      </c>
      <c r="BF52" s="5433">
        <f>+BF49/BF25</f>
        <v>150.21825898425897</v>
      </c>
      <c r="BG52" s="26"/>
      <c r="BH52" s="26"/>
      <c r="BI52" s="26"/>
      <c r="BJ52" s="26"/>
    </row>
    <row r="53" spans="1:62" ht="21" customHeight="1" x14ac:dyDescent="0.25">
      <c r="B53" s="5431" t="s">
        <v>282</v>
      </c>
      <c r="C53" s="5458" t="s">
        <v>51</v>
      </c>
      <c r="D53" s="5404">
        <v>96.999999999999972</v>
      </c>
      <c r="E53" s="5477">
        <f>+$D$53</f>
        <v>96.999999999999972</v>
      </c>
      <c r="F53" s="5496">
        <f>+F49/F20*100</f>
        <v>98.503349877064537</v>
      </c>
      <c r="G53" s="5477">
        <f>+$D$53</f>
        <v>96.999999999999972</v>
      </c>
      <c r="H53" s="5496">
        <f>+H49/H20*100</f>
        <v>98.460167034246496</v>
      </c>
      <c r="I53" s="5478">
        <f>+I47/I20*100</f>
        <v>96.999900882489555</v>
      </c>
      <c r="J53" s="5492">
        <f>+J49/J20*100</f>
        <v>98.483940522316715</v>
      </c>
      <c r="K53" s="5477">
        <f>+$D$53</f>
        <v>96.999999999999972</v>
      </c>
      <c r="L53" s="5496">
        <f>+L49/L20*100</f>
        <v>98.510084679712676</v>
      </c>
      <c r="M53" s="5479">
        <f>+$D$53</f>
        <v>96.999999999999972</v>
      </c>
      <c r="N53" s="5493">
        <f>+N49/N20*100</f>
        <v>98.492392977294699</v>
      </c>
      <c r="O53" s="5477">
        <f>+$D$53</f>
        <v>96.999999999999972</v>
      </c>
      <c r="P53" s="5496">
        <f>+P49/P20*100</f>
        <v>98.619611002318223</v>
      </c>
      <c r="Q53" s="5478">
        <f>+Q47/Q20*100</f>
        <v>96.999994359678084</v>
      </c>
      <c r="R53" s="5492">
        <f>+R49/R20*100</f>
        <v>98.528566955152826</v>
      </c>
      <c r="S53" s="5480">
        <f>+$D$53</f>
        <v>96.999999999999972</v>
      </c>
      <c r="T53" s="5497">
        <f>+T49/T20*100</f>
        <v>98.755554574728436</v>
      </c>
      <c r="U53" s="5478">
        <f>+U47/U20*100</f>
        <v>96.999995581590255</v>
      </c>
      <c r="V53" s="5492">
        <f>+V49/V20*100</f>
        <v>98.577826395607644</v>
      </c>
      <c r="W53" s="5480">
        <f>+$D$53</f>
        <v>96.999999999999972</v>
      </c>
      <c r="X53" s="5497">
        <f>+X49/X20*100</f>
        <v>98.816939462983498</v>
      </c>
      <c r="Y53" s="5479">
        <f>+Y47/Y20*100</f>
        <v>97.000054926387335</v>
      </c>
      <c r="Z53" s="5493">
        <f>+Z49/Z20*100</f>
        <v>98.727915591664726</v>
      </c>
      <c r="AA53" s="5482">
        <f>+AA47/AA20*100</f>
        <v>96.999996349211131</v>
      </c>
      <c r="AB53" s="5495">
        <f>+AB49/AB20*100</f>
        <v>98.618255196199371</v>
      </c>
      <c r="AC53" s="5480">
        <f>+$D$53</f>
        <v>96.999999999999972</v>
      </c>
      <c r="AD53" s="5497">
        <f>+AD49/AD20*100</f>
        <v>98.737745691570581</v>
      </c>
      <c r="AE53" s="5478">
        <f>+AE47/AE20*100</f>
        <v>96.99999691726839</v>
      </c>
      <c r="AF53" s="5492">
        <f>+AF49/AF20*100</f>
        <v>98.636430086871115</v>
      </c>
      <c r="AG53" s="5480">
        <f>+$D$53</f>
        <v>96.999999999999972</v>
      </c>
      <c r="AH53" s="5497">
        <f>+AH49/AH20*100</f>
        <v>98.662803322316108</v>
      </c>
      <c r="AI53" s="5478">
        <f>+AI47/AI20*100</f>
        <v>96.999997320560411</v>
      </c>
      <c r="AJ53" s="5492">
        <f>+AJ49/AJ20*100</f>
        <v>98.639485378899479</v>
      </c>
      <c r="AK53" s="5480">
        <f>+$D$53</f>
        <v>96.999999999999972</v>
      </c>
      <c r="AL53" s="5497">
        <f>+AL49/AL20*100</f>
        <v>98.69359204762975</v>
      </c>
      <c r="AM53" s="5479">
        <f>+AM47/AM20*100</f>
        <v>97.000000000000014</v>
      </c>
      <c r="AN53" s="5493">
        <f>+AN49/AN20*100</f>
        <v>98.699809640439952</v>
      </c>
      <c r="AO53" s="5478">
        <f>+AO47/AO20*100</f>
        <v>96.999997640912881</v>
      </c>
      <c r="AP53" s="5492">
        <f>+AP49/AP20*100</f>
        <v>98.645753116882005</v>
      </c>
      <c r="AQ53" s="5480">
        <f>+$D$53</f>
        <v>96.999999999999972</v>
      </c>
      <c r="AR53" s="5497">
        <f>+AR49/AR20*100</f>
        <v>98.706165091687367</v>
      </c>
      <c r="AS53" s="5478">
        <f>+AS47/AS20*100</f>
        <v>96.999997892843481</v>
      </c>
      <c r="AT53" s="5492">
        <f>+AT49/AT20*100</f>
        <v>98.652026447980788</v>
      </c>
      <c r="AU53" s="5480">
        <f>+$D$53</f>
        <v>96.999999999999972</v>
      </c>
      <c r="AV53" s="5497">
        <f>+AV49/AV20*100</f>
        <v>98.697578675228954</v>
      </c>
      <c r="AW53" s="5478">
        <f>+AW47/AW20*100</f>
        <v>96.999998083367572</v>
      </c>
      <c r="AX53" s="5492">
        <f>+AX49/AX20*100</f>
        <v>98.656253639942776</v>
      </c>
      <c r="AY53" s="5480">
        <f>+$D$53</f>
        <v>96.999999999999972</v>
      </c>
      <c r="AZ53" s="5494">
        <f>+AZ49/AZ20*100</f>
        <v>98.7299475135801</v>
      </c>
      <c r="BA53" s="5479">
        <f>+BA47/BA20*100</f>
        <v>97</v>
      </c>
      <c r="BB53" s="5493">
        <f>+BB49/BB20*100</f>
        <v>98.71134728188963</v>
      </c>
      <c r="BC53" s="5482">
        <f>+BC47/BC20*100</f>
        <v>97</v>
      </c>
      <c r="BD53" s="5495">
        <f>+BD49/BD20*100</f>
        <v>98.705659641438686</v>
      </c>
      <c r="BE53" s="5478">
        <f>+BE47/BE20*100</f>
        <v>96.999998253687053</v>
      </c>
      <c r="BF53" s="5433">
        <f>+BF49/BF20*100</f>
        <v>98.662643477289791</v>
      </c>
      <c r="BG53" s="26"/>
      <c r="BH53" s="26"/>
      <c r="BI53" s="26"/>
      <c r="BJ53" s="26"/>
    </row>
    <row r="54" spans="1:62" ht="21" customHeight="1" x14ac:dyDescent="0.25">
      <c r="A54" s="183"/>
      <c r="B54" s="5435" t="s">
        <v>283</v>
      </c>
      <c r="C54" s="5436"/>
      <c r="D54" s="3976"/>
      <c r="E54" s="5498"/>
      <c r="F54" s="5498"/>
      <c r="G54" s="5498"/>
      <c r="H54" s="5498"/>
      <c r="I54" s="5498"/>
      <c r="J54" s="5498"/>
      <c r="K54" s="5498"/>
      <c r="L54" s="5498"/>
      <c r="M54" s="5498"/>
      <c r="N54" s="5498"/>
      <c r="O54" s="5498"/>
      <c r="P54" s="5498"/>
      <c r="Q54" s="5498"/>
      <c r="R54" s="5498"/>
      <c r="S54" s="5498"/>
      <c r="T54" s="5499"/>
      <c r="U54" s="5498"/>
      <c r="V54" s="5498"/>
      <c r="W54" s="5498"/>
      <c r="X54" s="5499"/>
      <c r="Y54" s="5498"/>
      <c r="Z54" s="5498"/>
      <c r="AA54" s="5498"/>
      <c r="AB54" s="5498"/>
      <c r="AC54" s="5498"/>
      <c r="AD54" s="5499"/>
      <c r="AE54" s="5498"/>
      <c r="AF54" s="5498"/>
      <c r="AG54" s="5498"/>
      <c r="AH54" s="5499"/>
      <c r="AI54" s="5498"/>
      <c r="AJ54" s="5498"/>
      <c r="AK54" s="5498"/>
      <c r="AL54" s="5499"/>
      <c r="AM54" s="5498"/>
      <c r="AN54" s="5498"/>
      <c r="AO54" s="5498"/>
      <c r="AP54" s="5498"/>
      <c r="AQ54" s="5498"/>
      <c r="AR54" s="5499"/>
      <c r="AS54" s="5498"/>
      <c r="AT54" s="5498"/>
      <c r="AU54" s="5498"/>
      <c r="AV54" s="5499"/>
      <c r="AW54" s="5498"/>
      <c r="AX54" s="5498"/>
      <c r="AY54" s="5498"/>
      <c r="AZ54" s="5499"/>
      <c r="BA54" s="5498"/>
      <c r="BB54" s="5498"/>
      <c r="BC54" s="5498"/>
      <c r="BD54" s="5498"/>
      <c r="BE54" s="5498"/>
      <c r="BF54" s="5526"/>
      <c r="BG54" s="26"/>
      <c r="BH54" s="26"/>
      <c r="BI54" s="26"/>
      <c r="BJ54" s="26"/>
    </row>
    <row r="55" spans="1:62" ht="21" customHeight="1" x14ac:dyDescent="0.25">
      <c r="B55" s="3981" t="s">
        <v>85</v>
      </c>
      <c r="C55" s="5458" t="s">
        <v>52</v>
      </c>
      <c r="D55" s="5432">
        <f>+D72*D$5/1000</f>
        <v>3385.0942571672476</v>
      </c>
      <c r="E55" s="5480">
        <f>+E72*E$5/1000</f>
        <v>286.18653199636668</v>
      </c>
      <c r="F55" s="5480">
        <v>361</v>
      </c>
      <c r="G55" s="5480">
        <f>+G72*G$5/1000</f>
        <v>238.65129031042798</v>
      </c>
      <c r="H55" s="5480">
        <v>259</v>
      </c>
      <c r="I55" s="5478">
        <f>+E55+G55</f>
        <v>524.83782230679469</v>
      </c>
      <c r="J55" s="5478">
        <f>+F55+H55</f>
        <v>620</v>
      </c>
      <c r="K55" s="5480">
        <f>+K72*K$5/1000</f>
        <v>233.38584815444736</v>
      </c>
      <c r="L55" s="5480">
        <v>313</v>
      </c>
      <c r="M55" s="5479">
        <f t="shared" ref="M55:N70" si="60">+K55+G55+E55</f>
        <v>758.22367046124202</v>
      </c>
      <c r="N55" s="5479">
        <f t="shared" si="60"/>
        <v>933</v>
      </c>
      <c r="O55" s="5480">
        <f>+O72*O$5/1000</f>
        <v>289.84308904913081</v>
      </c>
      <c r="P55" s="5480">
        <v>465</v>
      </c>
      <c r="Q55" s="5478">
        <f>+M55+O55</f>
        <v>1048.0667595103728</v>
      </c>
      <c r="R55" s="5478">
        <f>+N55+P55</f>
        <v>1398</v>
      </c>
      <c r="S55" s="5480">
        <f>+S72*S$5/1000</f>
        <v>289.84308904913132</v>
      </c>
      <c r="T55" s="5480">
        <v>488</v>
      </c>
      <c r="U55" s="5478">
        <f>+Q55+S55</f>
        <v>1337.9098485595041</v>
      </c>
      <c r="V55" s="5478">
        <f>+R55+T55</f>
        <v>1886</v>
      </c>
      <c r="W55" s="5480">
        <f>+W72*W$5/1000</f>
        <v>281.31112259268087</v>
      </c>
      <c r="X55" s="5480">
        <v>460</v>
      </c>
      <c r="Y55" s="5479">
        <f t="shared" ref="Y55:Y70" si="61">+W55+S55+O55</f>
        <v>860.99730069094312</v>
      </c>
      <c r="Z55" s="5479">
        <f t="shared" ref="Z55:Z70" si="62">+X55+T55+P55</f>
        <v>1413</v>
      </c>
      <c r="AA55" s="5482">
        <f>+Y55+M55</f>
        <v>1619.220971152185</v>
      </c>
      <c r="AB55" s="5482">
        <f>+Z55+N55</f>
        <v>2346</v>
      </c>
      <c r="AC55" s="5480">
        <f>+AC72*AC$5/1000</f>
        <v>298.37505550558166</v>
      </c>
      <c r="AD55" s="5480">
        <v>438</v>
      </c>
      <c r="AE55" s="5478">
        <f>+AA55+AC55</f>
        <v>1917.5960266577667</v>
      </c>
      <c r="AF55" s="5478">
        <f>+AB55+AD55</f>
        <v>2784</v>
      </c>
      <c r="AG55" s="5480">
        <f>+AG72*AG$5/1000</f>
        <v>288.62423669820936</v>
      </c>
      <c r="AH55" s="5480">
        <v>383</v>
      </c>
      <c r="AI55" s="5478">
        <f>+AE55+AG55</f>
        <v>2206.2202633559759</v>
      </c>
      <c r="AJ55" s="5478">
        <f>+AF55+AH55</f>
        <v>3167</v>
      </c>
      <c r="AK55" s="5480">
        <f>+AK72*AK$5/1000</f>
        <v>299.59390785650305</v>
      </c>
      <c r="AL55" s="5480">
        <v>468</v>
      </c>
      <c r="AM55" s="5479">
        <f t="shared" ref="AM55:AM70" si="63">+AK55+AG55+AC55</f>
        <v>886.59320006029407</v>
      </c>
      <c r="AN55" s="5479">
        <f t="shared" ref="AN55:AN70" si="64">+AL55+AH55+AD55</f>
        <v>1289</v>
      </c>
      <c r="AO55" s="5478">
        <f t="shared" ref="AO55" si="65">+AK55+AI55</f>
        <v>2505.8141712124789</v>
      </c>
      <c r="AP55" s="5478">
        <f t="shared" ref="AP55" si="66">+AL55+AJ55</f>
        <v>3635</v>
      </c>
      <c r="AQ55" s="5480">
        <f>+AQ72*AQ$5/1000</f>
        <v>299.59390785650305</v>
      </c>
      <c r="AR55" s="5480">
        <v>509</v>
      </c>
      <c r="AS55" s="5478">
        <f>+AO55+AQ55</f>
        <v>2805.4080790689818</v>
      </c>
      <c r="AT55" s="5478">
        <f>+AP55+AR55</f>
        <v>4144</v>
      </c>
      <c r="AU55" s="5480">
        <f>+AU72*AU$5/1000</f>
        <v>278.87341789083843</v>
      </c>
      <c r="AV55" s="5480">
        <v>351</v>
      </c>
      <c r="AW55" s="5478">
        <f>+AS55+AU55</f>
        <v>3084.2814969598203</v>
      </c>
      <c r="AX55" s="5478">
        <f>+AT55+AV55</f>
        <v>4495</v>
      </c>
      <c r="AY55" s="5480">
        <f>+AY72*AY$5/1000</f>
        <v>300.81276020742439</v>
      </c>
      <c r="AZ55" s="5480">
        <v>232</v>
      </c>
      <c r="BA55" s="5479">
        <f t="shared" ref="BA55:BA70" si="67">+AY55+AU55+AQ55</f>
        <v>879.28008595476592</v>
      </c>
      <c r="BB55" s="5479">
        <f t="shared" ref="BB55:BB70" si="68">+AZ55+AV55+AR55</f>
        <v>1092</v>
      </c>
      <c r="BC55" s="5482">
        <f t="shared" ref="BC55:BD56" si="69">+BA55+AM55</f>
        <v>1765.8732860150599</v>
      </c>
      <c r="BD55" s="5482">
        <f t="shared" si="69"/>
        <v>2381</v>
      </c>
      <c r="BE55" s="5478">
        <f t="shared" ref="BE55:BE70" si="70">+AW55+AY55</f>
        <v>3385.0942571672449</v>
      </c>
      <c r="BF55" s="5437">
        <f t="shared" ref="BF55:BF70" si="71">+AX55+AZ55</f>
        <v>4727</v>
      </c>
      <c r="BG55" s="26"/>
      <c r="BH55" s="26"/>
      <c r="BI55" s="26"/>
      <c r="BJ55" s="26"/>
    </row>
    <row r="56" spans="1:62" ht="21" customHeight="1" x14ac:dyDescent="0.25">
      <c r="B56" s="3981" t="s">
        <v>869</v>
      </c>
      <c r="C56" s="5458" t="s">
        <v>52</v>
      </c>
      <c r="D56" s="5432">
        <f>+D73*D$5/1000</f>
        <v>628.81811320754707</v>
      </c>
      <c r="E56" s="5480">
        <f>+E73*E$5/1000</f>
        <v>53.162264150943358</v>
      </c>
      <c r="F56" s="5480">
        <v>172</v>
      </c>
      <c r="G56" s="5480">
        <f>+G73*G$5/1000</f>
        <v>44.332075471697998</v>
      </c>
      <c r="H56" s="5480">
        <v>132.1</v>
      </c>
      <c r="I56" s="5478">
        <f t="shared" ref="I56:I62" si="72">+E56+G56</f>
        <v>97.494339622641348</v>
      </c>
      <c r="J56" s="5478">
        <f t="shared" ref="J56:J62" si="73">+F56+H56</f>
        <v>304.10000000000002</v>
      </c>
      <c r="K56" s="5480">
        <f>+K73*K$5/1000</f>
        <v>43.353962264150873</v>
      </c>
      <c r="L56" s="5480">
        <v>115</v>
      </c>
      <c r="M56" s="5479">
        <f t="shared" si="60"/>
        <v>140.84830188679223</v>
      </c>
      <c r="N56" s="5479">
        <f t="shared" si="60"/>
        <v>419.1</v>
      </c>
      <c r="O56" s="5480">
        <f>+O73*O$5/1000</f>
        <v>53.841509433962166</v>
      </c>
      <c r="P56" s="5480">
        <v>53</v>
      </c>
      <c r="Q56" s="5478">
        <f t="shared" ref="Q56:Q62" si="74">+M56+O56</f>
        <v>194.68981132075439</v>
      </c>
      <c r="R56" s="5478">
        <f t="shared" ref="R56:R62" si="75">+N56+P56</f>
        <v>472.1</v>
      </c>
      <c r="S56" s="5480">
        <f>+S73*S$5/1000</f>
        <v>53.841509433962258</v>
      </c>
      <c r="T56" s="5480">
        <v>161.90700000000001</v>
      </c>
      <c r="U56" s="5478">
        <f t="shared" ref="U56:U70" si="76">+Q56+S56</f>
        <v>248.53132075471666</v>
      </c>
      <c r="V56" s="5478">
        <f t="shared" ref="V56:V70" si="77">+R56+T56</f>
        <v>634.00700000000006</v>
      </c>
      <c r="W56" s="5480">
        <f>+W73*W$5/1000</f>
        <v>52.256603773584899</v>
      </c>
      <c r="X56" s="5480">
        <v>138</v>
      </c>
      <c r="Y56" s="5479">
        <f t="shared" si="61"/>
        <v>159.93962264150932</v>
      </c>
      <c r="Z56" s="5479">
        <f t="shared" si="62"/>
        <v>352.90700000000004</v>
      </c>
      <c r="AA56" s="5482">
        <f>+Y56+M56</f>
        <v>300.78792452830157</v>
      </c>
      <c r="AB56" s="5482">
        <f>+Z56+N56</f>
        <v>772.00700000000006</v>
      </c>
      <c r="AC56" s="5480">
        <f>+AC73*AC$5/1000</f>
        <v>55.426415094339603</v>
      </c>
      <c r="AD56" s="5480">
        <v>141</v>
      </c>
      <c r="AE56" s="5478">
        <f t="shared" ref="AE56:AE70" si="78">+AA56+AC56</f>
        <v>356.21433962264121</v>
      </c>
      <c r="AF56" s="5478">
        <f t="shared" ref="AF56:AF70" si="79">+AB56+AD56</f>
        <v>913.00700000000006</v>
      </c>
      <c r="AG56" s="5480">
        <f>+AG73*AG$5/1000</f>
        <v>53.615094339622559</v>
      </c>
      <c r="AH56" s="5480">
        <v>180</v>
      </c>
      <c r="AI56" s="5478">
        <f t="shared" ref="AI56:AI70" si="80">+AE56+AG56</f>
        <v>409.82943396226375</v>
      </c>
      <c r="AJ56" s="5478">
        <f t="shared" ref="AJ56:AJ70" si="81">+AF56+AH56</f>
        <v>1093.0070000000001</v>
      </c>
      <c r="AK56" s="5480">
        <f>+AK73*AK$5/1000</f>
        <v>55.652830188679197</v>
      </c>
      <c r="AL56" s="5480">
        <v>154</v>
      </c>
      <c r="AM56" s="5479">
        <f t="shared" si="63"/>
        <v>164.69433962264137</v>
      </c>
      <c r="AN56" s="5479">
        <f t="shared" si="64"/>
        <v>475</v>
      </c>
      <c r="AO56" s="5478">
        <f t="shared" ref="AO56:AO70" si="82">+AK56+AI56</f>
        <v>465.48226415094297</v>
      </c>
      <c r="AP56" s="5478">
        <f t="shared" ref="AP56:AP70" si="83">+AL56+AJ56</f>
        <v>1247.0070000000001</v>
      </c>
      <c r="AQ56" s="5480">
        <f>+AQ73*AQ$5/1000</f>
        <v>55.652830188679197</v>
      </c>
      <c r="AR56" s="5480">
        <v>147.51900000000001</v>
      </c>
      <c r="AS56" s="5478">
        <f t="shared" ref="AS56:AS70" si="84">+AO56+AQ56</f>
        <v>521.13509433962213</v>
      </c>
      <c r="AT56" s="5478">
        <f t="shared" ref="AT56:AT70" si="85">+AP56+AR56</f>
        <v>1394.5260000000001</v>
      </c>
      <c r="AU56" s="5480">
        <f>+AU73*AU$5/1000</f>
        <v>51.803773584905755</v>
      </c>
      <c r="AV56" s="5480">
        <v>149.779</v>
      </c>
      <c r="AW56" s="5478">
        <f t="shared" ref="AW56:AW70" si="86">+AS56+AU56</f>
        <v>572.93886792452793</v>
      </c>
      <c r="AX56" s="5478">
        <f t="shared" ref="AX56:AX70" si="87">+AT56+AV56</f>
        <v>1544.3050000000001</v>
      </c>
      <c r="AY56" s="5480">
        <f>+AY73*AY$5/1000</f>
        <v>55.879245283018797</v>
      </c>
      <c r="AZ56" s="5480">
        <v>124</v>
      </c>
      <c r="BA56" s="5479">
        <f t="shared" si="67"/>
        <v>163.33584905660373</v>
      </c>
      <c r="BB56" s="5479">
        <f t="shared" si="68"/>
        <v>421.298</v>
      </c>
      <c r="BC56" s="5482">
        <f t="shared" si="69"/>
        <v>328.0301886792451</v>
      </c>
      <c r="BD56" s="5482">
        <f t="shared" si="69"/>
        <v>896.298</v>
      </c>
      <c r="BE56" s="5478">
        <f t="shared" si="70"/>
        <v>628.81811320754673</v>
      </c>
      <c r="BF56" s="5437">
        <f t="shared" si="71"/>
        <v>1668.3050000000001</v>
      </c>
      <c r="BG56" s="26"/>
      <c r="BH56" s="26"/>
      <c r="BI56" s="26"/>
      <c r="BJ56" s="26"/>
    </row>
    <row r="57" spans="1:62" ht="21" customHeight="1" x14ac:dyDescent="0.25">
      <c r="B57" s="905" t="s">
        <v>911</v>
      </c>
      <c r="C57" s="5459" t="s">
        <v>52</v>
      </c>
      <c r="D57" s="3183">
        <f>SUM(D55:D56)</f>
        <v>4013.9123703747946</v>
      </c>
      <c r="E57" s="5469">
        <f>SUM(E55:E56)</f>
        <v>339.34879614731005</v>
      </c>
      <c r="F57" s="5469">
        <f>SUM(F55:F56)</f>
        <v>533</v>
      </c>
      <c r="G57" s="5469">
        <f>SUM(G55:G56)</f>
        <v>282.98336578212599</v>
      </c>
      <c r="H57" s="5469">
        <f>SUM(H55:H56)</f>
        <v>391.1</v>
      </c>
      <c r="I57" s="5478">
        <f t="shared" si="72"/>
        <v>622.3321619294361</v>
      </c>
      <c r="J57" s="5478">
        <f t="shared" si="73"/>
        <v>924.1</v>
      </c>
      <c r="K57" s="5469">
        <f>SUM(K55:K56)</f>
        <v>276.73981041859821</v>
      </c>
      <c r="L57" s="5469">
        <f>SUM(L55:L56)</f>
        <v>428</v>
      </c>
      <c r="M57" s="5479">
        <f t="shared" si="60"/>
        <v>899.07197234803425</v>
      </c>
      <c r="N57" s="5479">
        <f t="shared" si="60"/>
        <v>1352.1</v>
      </c>
      <c r="O57" s="5469">
        <f>SUM(O55:O56)</f>
        <v>343.684598483093</v>
      </c>
      <c r="P57" s="5469">
        <f>SUM(P55:P56)</f>
        <v>518</v>
      </c>
      <c r="Q57" s="5478">
        <f t="shared" si="74"/>
        <v>1242.7565708311272</v>
      </c>
      <c r="R57" s="5478">
        <f t="shared" si="75"/>
        <v>1870.1</v>
      </c>
      <c r="S57" s="5469">
        <f>SUM(S55:S56)</f>
        <v>343.68459848309357</v>
      </c>
      <c r="T57" s="5469">
        <f t="shared" ref="T57" si="88">SUM(T55:T56)</f>
        <v>649.90700000000004</v>
      </c>
      <c r="U57" s="5478">
        <f t="shared" si="76"/>
        <v>1586.4411693142208</v>
      </c>
      <c r="V57" s="5478">
        <f t="shared" si="77"/>
        <v>2520.0070000000001</v>
      </c>
      <c r="W57" s="5469">
        <f>SUM(W55:W56)</f>
        <v>333.56772636626579</v>
      </c>
      <c r="X57" s="5469">
        <f t="shared" ref="X57" si="89">SUM(X55:X56)</f>
        <v>598</v>
      </c>
      <c r="Y57" s="5485">
        <f t="shared" si="61"/>
        <v>1020.9369233324524</v>
      </c>
      <c r="Z57" s="5485">
        <f t="shared" si="62"/>
        <v>1765.9070000000002</v>
      </c>
      <c r="AA57" s="5500">
        <f t="shared" ref="AA57:AB57" si="90">SUM(AA55:AA56)</f>
        <v>1920.0088956804866</v>
      </c>
      <c r="AB57" s="5500">
        <f t="shared" si="90"/>
        <v>3118.0070000000001</v>
      </c>
      <c r="AC57" s="5469">
        <f>SUM(AC55:AC56)</f>
        <v>353.80147059992123</v>
      </c>
      <c r="AD57" s="5469">
        <f t="shared" ref="AD57" si="91">SUM(AD55:AD56)</f>
        <v>579</v>
      </c>
      <c r="AE57" s="5478">
        <f t="shared" si="78"/>
        <v>2273.8103662804078</v>
      </c>
      <c r="AF57" s="5478">
        <f t="shared" si="79"/>
        <v>3697.0070000000001</v>
      </c>
      <c r="AG57" s="5469">
        <f>SUM(AG55:AG56)</f>
        <v>342.2393310378319</v>
      </c>
      <c r="AH57" s="5469">
        <f t="shared" ref="AH57" si="92">SUM(AH55:AH56)</f>
        <v>563</v>
      </c>
      <c r="AI57" s="5478">
        <f t="shared" si="80"/>
        <v>2616.0496973182399</v>
      </c>
      <c r="AJ57" s="5478">
        <f t="shared" si="81"/>
        <v>4260.0069999999996</v>
      </c>
      <c r="AK57" s="5469">
        <f>SUM(AK55:AK56)</f>
        <v>355.24673804518227</v>
      </c>
      <c r="AL57" s="5469">
        <f t="shared" ref="AL57" si="93">SUM(AL55:AL56)</f>
        <v>622</v>
      </c>
      <c r="AM57" s="5485">
        <f t="shared" si="63"/>
        <v>1051.2875396829354</v>
      </c>
      <c r="AN57" s="5485">
        <f t="shared" si="64"/>
        <v>1764</v>
      </c>
      <c r="AO57" s="5478">
        <f t="shared" si="82"/>
        <v>2971.296435363422</v>
      </c>
      <c r="AP57" s="5478">
        <f t="shared" si="83"/>
        <v>4882.0069999999996</v>
      </c>
      <c r="AQ57" s="5469">
        <f>SUM(AQ55:AQ56)</f>
        <v>355.24673804518227</v>
      </c>
      <c r="AR57" s="5469">
        <f t="shared" ref="AR57" si="94">SUM(AR55:AR56)</f>
        <v>656.51900000000001</v>
      </c>
      <c r="AS57" s="5478">
        <f t="shared" si="84"/>
        <v>3326.5431734086042</v>
      </c>
      <c r="AT57" s="5478">
        <f t="shared" si="85"/>
        <v>5538.5259999999998</v>
      </c>
      <c r="AU57" s="5469">
        <f>SUM(AU55:AU56)</f>
        <v>330.67719147574417</v>
      </c>
      <c r="AV57" s="5469">
        <f t="shared" ref="AV57" si="95">SUM(AV55:AV56)</f>
        <v>500.779</v>
      </c>
      <c r="AW57" s="5478">
        <f t="shared" si="86"/>
        <v>3657.2203648843483</v>
      </c>
      <c r="AX57" s="5478">
        <f t="shared" si="87"/>
        <v>6039.3050000000003</v>
      </c>
      <c r="AY57" s="5469">
        <f>SUM(AY55:AY56)</f>
        <v>356.69200549044319</v>
      </c>
      <c r="AZ57" s="5469">
        <f t="shared" ref="AZ57" si="96">SUM(AZ55:AZ56)</f>
        <v>356</v>
      </c>
      <c r="BA57" s="5485">
        <f t="shared" si="67"/>
        <v>1042.6159350113696</v>
      </c>
      <c r="BB57" s="5485">
        <f t="shared" si="68"/>
        <v>1513.298</v>
      </c>
      <c r="BC57" s="5500">
        <f t="shared" ref="BC57:BD57" si="97">SUM(BC55:BC56)</f>
        <v>2093.9034746943048</v>
      </c>
      <c r="BD57" s="5500">
        <f t="shared" si="97"/>
        <v>3277.2979999999998</v>
      </c>
      <c r="BE57" s="5478">
        <f t="shared" si="70"/>
        <v>4013.9123703747914</v>
      </c>
      <c r="BF57" s="5437">
        <f t="shared" si="71"/>
        <v>6395.3050000000003</v>
      </c>
      <c r="BG57" s="26"/>
      <c r="BH57" s="26"/>
      <c r="BI57" s="26"/>
      <c r="BJ57" s="26"/>
    </row>
    <row r="58" spans="1:62" ht="21" customHeight="1" x14ac:dyDescent="0.25">
      <c r="B58" s="3981" t="s">
        <v>86</v>
      </c>
      <c r="C58" s="5458" t="s">
        <v>52</v>
      </c>
      <c r="D58" s="5432">
        <f>+D75*D$5/1000</f>
        <v>44076.080225204045</v>
      </c>
      <c r="E58" s="5480">
        <f>+E75*E$5/1000</f>
        <v>3726.3306677317023</v>
      </c>
      <c r="F58" s="5480">
        <v>4210</v>
      </c>
      <c r="G58" s="5480">
        <f>+G75*G$5/1000</f>
        <v>3107.3915874866525</v>
      </c>
      <c r="H58" s="5480">
        <v>3389</v>
      </c>
      <c r="I58" s="5478">
        <f t="shared" si="72"/>
        <v>6833.7222552183548</v>
      </c>
      <c r="J58" s="5478">
        <f t="shared" si="73"/>
        <v>7599</v>
      </c>
      <c r="K58" s="5480">
        <f>+K75*K$5/1000</f>
        <v>3038.8321816748967</v>
      </c>
      <c r="L58" s="5480">
        <v>3467</v>
      </c>
      <c r="M58" s="5479">
        <f t="shared" si="60"/>
        <v>9872.5544368932515</v>
      </c>
      <c r="N58" s="5479">
        <f t="shared" si="60"/>
        <v>11066</v>
      </c>
      <c r="O58" s="5480">
        <f>+O75*O$5/1000</f>
        <v>3773.941366212086</v>
      </c>
      <c r="P58" s="5480">
        <v>4239</v>
      </c>
      <c r="Q58" s="5478">
        <f t="shared" si="74"/>
        <v>13646.495803105337</v>
      </c>
      <c r="R58" s="5478">
        <f t="shared" si="75"/>
        <v>15305</v>
      </c>
      <c r="S58" s="5480">
        <f>+S75*S$5/1000</f>
        <v>3773.9413662120928</v>
      </c>
      <c r="T58" s="5480">
        <v>4070</v>
      </c>
      <c r="U58" s="5478">
        <f t="shared" si="76"/>
        <v>17420.437169317429</v>
      </c>
      <c r="V58" s="5478">
        <f t="shared" si="77"/>
        <v>19375</v>
      </c>
      <c r="W58" s="5480">
        <f>+W75*W$5/1000</f>
        <v>3662.8497364245204</v>
      </c>
      <c r="X58" s="5480">
        <v>3797</v>
      </c>
      <c r="Y58" s="5479">
        <f t="shared" si="61"/>
        <v>11210.732468848699</v>
      </c>
      <c r="Z58" s="5479">
        <f t="shared" si="62"/>
        <v>12106</v>
      </c>
      <c r="AA58" s="5482">
        <f t="shared" ref="AA58:AB70" si="98">+Y58+M58</f>
        <v>21083.286905741952</v>
      </c>
      <c r="AB58" s="5482">
        <f t="shared" si="98"/>
        <v>23172</v>
      </c>
      <c r="AC58" s="5480">
        <f>+AC75*AC$5/1000</f>
        <v>3885.0329959996634</v>
      </c>
      <c r="AD58" s="5480">
        <v>4187</v>
      </c>
      <c r="AE58" s="5478">
        <f t="shared" si="78"/>
        <v>24968.319901741615</v>
      </c>
      <c r="AF58" s="5478">
        <f t="shared" si="79"/>
        <v>27359</v>
      </c>
      <c r="AG58" s="5480">
        <f>+AG75*AG$5/1000</f>
        <v>3758.071133385291</v>
      </c>
      <c r="AH58" s="5480">
        <v>3639</v>
      </c>
      <c r="AI58" s="5478">
        <f t="shared" si="80"/>
        <v>28726.391035126908</v>
      </c>
      <c r="AJ58" s="5478">
        <f t="shared" si="81"/>
        <v>30998</v>
      </c>
      <c r="AK58" s="5480">
        <f>+AK75*AK$5/1000</f>
        <v>3900.9032288264575</v>
      </c>
      <c r="AL58" s="5480">
        <v>3809</v>
      </c>
      <c r="AM58" s="5479">
        <f t="shared" si="63"/>
        <v>11544.007358211413</v>
      </c>
      <c r="AN58" s="5479">
        <f t="shared" si="64"/>
        <v>11635</v>
      </c>
      <c r="AO58" s="5478">
        <f t="shared" si="82"/>
        <v>32627.294263953365</v>
      </c>
      <c r="AP58" s="5478">
        <f t="shared" si="83"/>
        <v>34807</v>
      </c>
      <c r="AQ58" s="5480">
        <f>+AQ75*AQ$5/1000</f>
        <v>3900.9032288264575</v>
      </c>
      <c r="AR58" s="5480">
        <v>3467</v>
      </c>
      <c r="AS58" s="5478">
        <f t="shared" si="84"/>
        <v>36528.197492779822</v>
      </c>
      <c r="AT58" s="5478">
        <f t="shared" si="85"/>
        <v>38274</v>
      </c>
      <c r="AU58" s="5480">
        <f>+AU75*AU$5/1000</f>
        <v>3631.1092707709354</v>
      </c>
      <c r="AV58" s="5480">
        <v>3544</v>
      </c>
      <c r="AW58" s="5478">
        <f t="shared" si="86"/>
        <v>40159.306763550754</v>
      </c>
      <c r="AX58" s="5478">
        <f t="shared" si="87"/>
        <v>41818</v>
      </c>
      <c r="AY58" s="5480">
        <f>+AY75*AY$5/1000</f>
        <v>3916.7734616532521</v>
      </c>
      <c r="AZ58" s="5480">
        <v>3862</v>
      </c>
      <c r="BA58" s="5479">
        <f t="shared" si="67"/>
        <v>11448.785961250645</v>
      </c>
      <c r="BB58" s="5479">
        <f t="shared" si="68"/>
        <v>10873</v>
      </c>
      <c r="BC58" s="5482">
        <f t="shared" ref="BC58:BD59" si="99">+BA58+AM58</f>
        <v>22992.793319462056</v>
      </c>
      <c r="BD58" s="5482">
        <f t="shared" si="99"/>
        <v>22508</v>
      </c>
      <c r="BE58" s="5478">
        <f t="shared" si="70"/>
        <v>44076.080225204008</v>
      </c>
      <c r="BF58" s="5437">
        <f t="shared" si="71"/>
        <v>45680</v>
      </c>
      <c r="BG58" s="26"/>
      <c r="BH58" s="26"/>
      <c r="BI58" s="26"/>
      <c r="BJ58" s="26"/>
    </row>
    <row r="59" spans="1:62" ht="21" customHeight="1" x14ac:dyDescent="0.25">
      <c r="B59" s="3981" t="s">
        <v>1753</v>
      </c>
      <c r="C59" s="5458" t="s">
        <v>52</v>
      </c>
      <c r="D59" s="5432">
        <f>+D76*D$5/1000</f>
        <v>0</v>
      </c>
      <c r="E59" s="5480">
        <f>+E76*E$5/1000</f>
        <v>0</v>
      </c>
      <c r="F59" s="5480">
        <v>0</v>
      </c>
      <c r="G59" s="5480">
        <f>+G76*G$5/1000</f>
        <v>0</v>
      </c>
      <c r="H59" s="5480">
        <v>0</v>
      </c>
      <c r="I59" s="5478">
        <f t="shared" si="72"/>
        <v>0</v>
      </c>
      <c r="J59" s="5478">
        <f t="shared" si="73"/>
        <v>0</v>
      </c>
      <c r="K59" s="5480">
        <f>+K76*K$5/1000</f>
        <v>0</v>
      </c>
      <c r="L59" s="5480">
        <v>0</v>
      </c>
      <c r="M59" s="5479">
        <f t="shared" si="60"/>
        <v>0</v>
      </c>
      <c r="N59" s="5479">
        <f t="shared" si="60"/>
        <v>0</v>
      </c>
      <c r="O59" s="5480">
        <f>+O76*O$5/1000</f>
        <v>0</v>
      </c>
      <c r="P59" s="5480">
        <v>0</v>
      </c>
      <c r="Q59" s="5478">
        <f t="shared" si="74"/>
        <v>0</v>
      </c>
      <c r="R59" s="5478">
        <f t="shared" si="75"/>
        <v>0</v>
      </c>
      <c r="S59" s="5480">
        <f>+S76*S$5/1000</f>
        <v>0</v>
      </c>
      <c r="T59" s="5480">
        <v>25.81</v>
      </c>
      <c r="U59" s="5478">
        <f t="shared" si="76"/>
        <v>0</v>
      </c>
      <c r="V59" s="5478">
        <f t="shared" si="77"/>
        <v>25.81</v>
      </c>
      <c r="W59" s="5480">
        <f>+W76*W$5/1000</f>
        <v>0</v>
      </c>
      <c r="X59" s="5480">
        <v>0</v>
      </c>
      <c r="Y59" s="5479">
        <f t="shared" si="61"/>
        <v>0</v>
      </c>
      <c r="Z59" s="5479">
        <f t="shared" si="62"/>
        <v>25.81</v>
      </c>
      <c r="AA59" s="5482">
        <f t="shared" si="98"/>
        <v>0</v>
      </c>
      <c r="AB59" s="5482">
        <f t="shared" si="98"/>
        <v>25.81</v>
      </c>
      <c r="AC59" s="5480">
        <f>+AC76*AC$5/1000</f>
        <v>0</v>
      </c>
      <c r="AD59" s="5480">
        <v>0</v>
      </c>
      <c r="AE59" s="5478">
        <f t="shared" si="78"/>
        <v>0</v>
      </c>
      <c r="AF59" s="5478">
        <f t="shared" si="79"/>
        <v>25.81</v>
      </c>
      <c r="AG59" s="5480">
        <f>+AG76*AG$5/1000</f>
        <v>0</v>
      </c>
      <c r="AH59" s="5480">
        <v>0</v>
      </c>
      <c r="AI59" s="5478">
        <f t="shared" si="80"/>
        <v>0</v>
      </c>
      <c r="AJ59" s="5478">
        <f t="shared" si="81"/>
        <v>25.81</v>
      </c>
      <c r="AK59" s="5480">
        <f>+AK76*AK$5/1000</f>
        <v>0</v>
      </c>
      <c r="AL59" s="5480">
        <v>0</v>
      </c>
      <c r="AM59" s="5479">
        <f t="shared" si="63"/>
        <v>0</v>
      </c>
      <c r="AN59" s="5479">
        <f t="shared" si="64"/>
        <v>0</v>
      </c>
      <c r="AO59" s="5478">
        <f t="shared" si="82"/>
        <v>0</v>
      </c>
      <c r="AP59" s="5478">
        <f t="shared" si="83"/>
        <v>25.81</v>
      </c>
      <c r="AQ59" s="5480">
        <f>+AQ76*AQ$5/1000</f>
        <v>0</v>
      </c>
      <c r="AR59" s="5480">
        <v>0</v>
      </c>
      <c r="AS59" s="5478">
        <f t="shared" si="84"/>
        <v>0</v>
      </c>
      <c r="AT59" s="5478">
        <f t="shared" si="85"/>
        <v>25.81</v>
      </c>
      <c r="AU59" s="5480">
        <f>+AU76*AU$5/1000</f>
        <v>0</v>
      </c>
      <c r="AV59" s="5480">
        <v>0</v>
      </c>
      <c r="AW59" s="5478">
        <f t="shared" si="86"/>
        <v>0</v>
      </c>
      <c r="AX59" s="5478">
        <f t="shared" si="87"/>
        <v>25.81</v>
      </c>
      <c r="AY59" s="5480">
        <f>+AY76*AY$5/1000</f>
        <v>0</v>
      </c>
      <c r="AZ59" s="5480">
        <v>0</v>
      </c>
      <c r="BA59" s="5479">
        <f t="shared" si="67"/>
        <v>0</v>
      </c>
      <c r="BB59" s="5479">
        <f t="shared" si="68"/>
        <v>0</v>
      </c>
      <c r="BC59" s="5482">
        <f t="shared" si="99"/>
        <v>0</v>
      </c>
      <c r="BD59" s="5482">
        <f t="shared" si="99"/>
        <v>0</v>
      </c>
      <c r="BE59" s="5478">
        <f t="shared" si="70"/>
        <v>0</v>
      </c>
      <c r="BF59" s="5437">
        <f t="shared" si="71"/>
        <v>25.81</v>
      </c>
      <c r="BG59" s="26"/>
      <c r="BH59" s="26"/>
      <c r="BI59" s="26"/>
      <c r="BJ59" s="26"/>
    </row>
    <row r="60" spans="1:62" ht="21" customHeight="1" x14ac:dyDescent="0.25">
      <c r="A60" s="34"/>
      <c r="B60" s="905" t="s">
        <v>1754</v>
      </c>
      <c r="C60" s="5460" t="s">
        <v>52</v>
      </c>
      <c r="D60" s="3183">
        <f>SUM(D58:D59)</f>
        <v>44076.080225204045</v>
      </c>
      <c r="E60" s="5469">
        <f>SUM(E58:E59)</f>
        <v>3726.3306677317023</v>
      </c>
      <c r="F60" s="5469">
        <f t="shared" ref="F60:H60" si="100">+F58+F59</f>
        <v>4210</v>
      </c>
      <c r="G60" s="5469">
        <f>SUM(G58:G59)</f>
        <v>3107.3915874866525</v>
      </c>
      <c r="H60" s="5469">
        <f t="shared" si="100"/>
        <v>3389</v>
      </c>
      <c r="I60" s="5478">
        <f t="shared" si="72"/>
        <v>6833.7222552183548</v>
      </c>
      <c r="J60" s="5478">
        <f t="shared" si="73"/>
        <v>7599</v>
      </c>
      <c r="K60" s="5469">
        <f>SUM(K58:K59)</f>
        <v>3038.8321816748967</v>
      </c>
      <c r="L60" s="5469">
        <f>+L58+L59</f>
        <v>3467</v>
      </c>
      <c r="M60" s="5485">
        <f t="shared" si="60"/>
        <v>9872.5544368932515</v>
      </c>
      <c r="N60" s="5485">
        <f t="shared" si="60"/>
        <v>11066</v>
      </c>
      <c r="O60" s="5469">
        <f>SUM(O58:O59)</f>
        <v>3773.941366212086</v>
      </c>
      <c r="P60" s="5469">
        <f>+P58+P59</f>
        <v>4239</v>
      </c>
      <c r="Q60" s="5478">
        <f t="shared" si="74"/>
        <v>13646.495803105337</v>
      </c>
      <c r="R60" s="5478">
        <f t="shared" si="75"/>
        <v>15305</v>
      </c>
      <c r="S60" s="5469">
        <f>SUM(S58:S59)</f>
        <v>3773.9413662120928</v>
      </c>
      <c r="T60" s="5469">
        <f>+T58+T59</f>
        <v>4095.81</v>
      </c>
      <c r="U60" s="5478">
        <f t="shared" si="76"/>
        <v>17420.437169317429</v>
      </c>
      <c r="V60" s="5478">
        <f t="shared" si="77"/>
        <v>19400.810000000001</v>
      </c>
      <c r="W60" s="5469">
        <f>SUM(W58:W59)</f>
        <v>3662.8497364245204</v>
      </c>
      <c r="X60" s="5469">
        <f>+X58+X59</f>
        <v>3797</v>
      </c>
      <c r="Y60" s="5485">
        <f t="shared" si="61"/>
        <v>11210.732468848699</v>
      </c>
      <c r="Z60" s="5485">
        <f t="shared" si="62"/>
        <v>12131.81</v>
      </c>
      <c r="AA60" s="5486">
        <f t="shared" si="98"/>
        <v>21083.286905741952</v>
      </c>
      <c r="AB60" s="5486">
        <f t="shared" si="98"/>
        <v>23197.809999999998</v>
      </c>
      <c r="AC60" s="5469">
        <f>SUM(AC58:AC59)</f>
        <v>3885.0329959996634</v>
      </c>
      <c r="AD60" s="5469">
        <f>+AD58+AD59</f>
        <v>4187</v>
      </c>
      <c r="AE60" s="5478">
        <f t="shared" si="78"/>
        <v>24968.319901741615</v>
      </c>
      <c r="AF60" s="5478">
        <f t="shared" si="79"/>
        <v>27384.809999999998</v>
      </c>
      <c r="AG60" s="5469">
        <f>SUM(AG58:AG59)</f>
        <v>3758.071133385291</v>
      </c>
      <c r="AH60" s="5469">
        <f>+AH58+AH59</f>
        <v>3639</v>
      </c>
      <c r="AI60" s="5478">
        <f t="shared" si="80"/>
        <v>28726.391035126908</v>
      </c>
      <c r="AJ60" s="5478">
        <f t="shared" si="81"/>
        <v>31023.809999999998</v>
      </c>
      <c r="AK60" s="5469">
        <f>SUM(AK58:AK59)</f>
        <v>3900.9032288264575</v>
      </c>
      <c r="AL60" s="5469">
        <f>+AL58+AL59</f>
        <v>3809</v>
      </c>
      <c r="AM60" s="5485">
        <f t="shared" si="63"/>
        <v>11544.007358211413</v>
      </c>
      <c r="AN60" s="5485">
        <f t="shared" si="64"/>
        <v>11635</v>
      </c>
      <c r="AO60" s="5478">
        <f t="shared" si="82"/>
        <v>32627.294263953365</v>
      </c>
      <c r="AP60" s="5478">
        <f t="shared" si="83"/>
        <v>34832.81</v>
      </c>
      <c r="AQ60" s="5469">
        <f>SUM(AQ58:AQ59)</f>
        <v>3900.9032288264575</v>
      </c>
      <c r="AR60" s="5469">
        <f>+AR58+AR59</f>
        <v>3467</v>
      </c>
      <c r="AS60" s="5478">
        <f t="shared" si="84"/>
        <v>36528.197492779822</v>
      </c>
      <c r="AT60" s="5478">
        <f t="shared" si="85"/>
        <v>38299.81</v>
      </c>
      <c r="AU60" s="5469">
        <f>SUM(AU58:AU59)</f>
        <v>3631.1092707709354</v>
      </c>
      <c r="AV60" s="5469">
        <f>+AV58+AV59</f>
        <v>3544</v>
      </c>
      <c r="AW60" s="5478">
        <f t="shared" si="86"/>
        <v>40159.306763550754</v>
      </c>
      <c r="AX60" s="5478">
        <f t="shared" si="87"/>
        <v>41843.81</v>
      </c>
      <c r="AY60" s="5469">
        <f>SUM(AY58:AY59)</f>
        <v>3916.7734616532521</v>
      </c>
      <c r="AZ60" s="5469">
        <f>+AZ58+AZ59</f>
        <v>3862</v>
      </c>
      <c r="BA60" s="5485">
        <f t="shared" si="67"/>
        <v>11448.785961250645</v>
      </c>
      <c r="BB60" s="5485">
        <f t="shared" si="68"/>
        <v>10873</v>
      </c>
      <c r="BC60" s="5486">
        <f>+BA60+AM60</f>
        <v>22992.793319462056</v>
      </c>
      <c r="BD60" s="5486">
        <f>+BB60+AN60</f>
        <v>22508</v>
      </c>
      <c r="BE60" s="5478">
        <f t="shared" si="70"/>
        <v>44076.080225204008</v>
      </c>
      <c r="BF60" s="5437">
        <f t="shared" si="71"/>
        <v>45705.81</v>
      </c>
      <c r="BG60" s="26"/>
      <c r="BH60" s="26"/>
      <c r="BI60" s="26"/>
      <c r="BJ60" s="26"/>
    </row>
    <row r="61" spans="1:62" ht="21" customHeight="1" x14ac:dyDescent="0.25">
      <c r="A61" s="34"/>
      <c r="B61" s="905" t="s">
        <v>87</v>
      </c>
      <c r="C61" s="5460" t="s">
        <v>52</v>
      </c>
      <c r="D61" s="3183">
        <f>+D78*D$5/1000</f>
        <v>7386.6389028388858</v>
      </c>
      <c r="E61" s="5469">
        <f>+E78*E$5/1000</f>
        <v>624.48972173730033</v>
      </c>
      <c r="F61" s="5469">
        <v>488</v>
      </c>
      <c r="G61" s="5469">
        <f>+G78*G$5/1000</f>
        <v>520.76272366338662</v>
      </c>
      <c r="H61" s="5469">
        <v>366</v>
      </c>
      <c r="I61" s="5478">
        <f t="shared" si="72"/>
        <v>1145.2524454006871</v>
      </c>
      <c r="J61" s="5478">
        <f t="shared" si="73"/>
        <v>854</v>
      </c>
      <c r="K61" s="5469">
        <f>+K78*K$5/1000</f>
        <v>509.27296387673834</v>
      </c>
      <c r="L61" s="5469">
        <v>389</v>
      </c>
      <c r="M61" s="5485">
        <f t="shared" si="60"/>
        <v>1654.5254092774253</v>
      </c>
      <c r="N61" s="5485">
        <f t="shared" si="60"/>
        <v>1243</v>
      </c>
      <c r="O61" s="5469">
        <f>+O78*O$5/1000</f>
        <v>632.46872158913891</v>
      </c>
      <c r="P61" s="5469">
        <v>450</v>
      </c>
      <c r="Q61" s="5478">
        <f t="shared" si="74"/>
        <v>2286.9941308665643</v>
      </c>
      <c r="R61" s="5478">
        <f t="shared" si="75"/>
        <v>1693</v>
      </c>
      <c r="S61" s="5469">
        <f>+S78*S$5/1000</f>
        <v>632.46872158914016</v>
      </c>
      <c r="T61" s="5469">
        <v>467</v>
      </c>
      <c r="U61" s="5478">
        <f t="shared" si="76"/>
        <v>2919.4628524557047</v>
      </c>
      <c r="V61" s="5478">
        <f t="shared" si="77"/>
        <v>2160</v>
      </c>
      <c r="W61" s="5469">
        <f>+W78*W$5/1000</f>
        <v>613.85105526818143</v>
      </c>
      <c r="X61" s="5469">
        <v>436</v>
      </c>
      <c r="Y61" s="5485">
        <f t="shared" si="61"/>
        <v>1878.7884984464604</v>
      </c>
      <c r="Z61" s="5485">
        <f t="shared" si="62"/>
        <v>1353</v>
      </c>
      <c r="AA61" s="5486">
        <f t="shared" si="98"/>
        <v>3533.3139077238857</v>
      </c>
      <c r="AB61" s="5486">
        <f t="shared" si="98"/>
        <v>2596</v>
      </c>
      <c r="AC61" s="5469">
        <f>+AC78*AC$5/1000</f>
        <v>651.08638791009855</v>
      </c>
      <c r="AD61" s="5469">
        <v>481</v>
      </c>
      <c r="AE61" s="5478">
        <f t="shared" si="78"/>
        <v>4184.4002956339846</v>
      </c>
      <c r="AF61" s="5478">
        <f t="shared" si="79"/>
        <v>3077</v>
      </c>
      <c r="AG61" s="5469">
        <f>+AG78*AG$5/1000</f>
        <v>629.80905497185927</v>
      </c>
      <c r="AH61" s="5469">
        <v>365</v>
      </c>
      <c r="AI61" s="5478">
        <f t="shared" si="80"/>
        <v>4814.2093506058436</v>
      </c>
      <c r="AJ61" s="5478">
        <f t="shared" si="81"/>
        <v>3442</v>
      </c>
      <c r="AK61" s="5469">
        <f>+AK78*AK$5/1000</f>
        <v>653.74605452737819</v>
      </c>
      <c r="AL61" s="5469">
        <v>497</v>
      </c>
      <c r="AM61" s="5485">
        <f t="shared" si="63"/>
        <v>1934.6414974093359</v>
      </c>
      <c r="AN61" s="5485">
        <f t="shared" si="64"/>
        <v>1343</v>
      </c>
      <c r="AO61" s="5478">
        <f t="shared" si="82"/>
        <v>5467.9554051332216</v>
      </c>
      <c r="AP61" s="5478">
        <f t="shared" si="83"/>
        <v>3939</v>
      </c>
      <c r="AQ61" s="5469">
        <f>+AQ78*AQ$5/1000</f>
        <v>653.74605452737819</v>
      </c>
      <c r="AR61" s="5469">
        <v>469</v>
      </c>
      <c r="AS61" s="5478">
        <f t="shared" si="84"/>
        <v>6121.7014596605995</v>
      </c>
      <c r="AT61" s="5478">
        <f t="shared" si="85"/>
        <v>4408</v>
      </c>
      <c r="AU61" s="5469">
        <f>+AU78*AU$5/1000</f>
        <v>608.53172203362294</v>
      </c>
      <c r="AV61" s="5469">
        <v>470</v>
      </c>
      <c r="AW61" s="5478">
        <f t="shared" si="86"/>
        <v>6730.2331816942224</v>
      </c>
      <c r="AX61" s="5478">
        <f t="shared" si="87"/>
        <v>4878</v>
      </c>
      <c r="AY61" s="5469">
        <f>+AY78*AY$5/1000</f>
        <v>656.40572114465772</v>
      </c>
      <c r="AZ61" s="5469">
        <v>432</v>
      </c>
      <c r="BA61" s="5485">
        <f t="shared" si="67"/>
        <v>1918.683497705659</v>
      </c>
      <c r="BB61" s="5485">
        <f t="shared" si="68"/>
        <v>1371</v>
      </c>
      <c r="BC61" s="5486">
        <f t="shared" ref="BC61:BC70" si="101">+BA61+AM61</f>
        <v>3853.3249951149946</v>
      </c>
      <c r="BD61" s="5486">
        <f t="shared" ref="BD61:BD70" si="102">+BB61+AN61</f>
        <v>2714</v>
      </c>
      <c r="BE61" s="5478">
        <f t="shared" si="70"/>
        <v>7386.6389028388803</v>
      </c>
      <c r="BF61" s="5437">
        <f t="shared" si="71"/>
        <v>5310</v>
      </c>
      <c r="BG61" s="26"/>
      <c r="BH61" s="26"/>
      <c r="BI61" s="26"/>
      <c r="BJ61" s="26"/>
    </row>
    <row r="62" spans="1:62" ht="21" customHeight="1" x14ac:dyDescent="0.25">
      <c r="A62" s="34"/>
      <c r="B62" s="3978" t="str">
        <f>+'Maj Techno Summ'!B19</f>
        <v>Ferro Alloys (inc LCFeMn)</v>
      </c>
      <c r="C62" s="5460" t="s">
        <v>52</v>
      </c>
      <c r="D62" s="3183">
        <f>+D57+D60+D61</f>
        <v>55476.63149841773</v>
      </c>
      <c r="E62" s="5469">
        <f>+E57+E60+E61</f>
        <v>4690.1691856163125</v>
      </c>
      <c r="F62" s="5469">
        <f>+F57+F60+F61</f>
        <v>5231</v>
      </c>
      <c r="G62" s="5469">
        <f>+G57+G60+G61</f>
        <v>3911.137676932165</v>
      </c>
      <c r="H62" s="5469">
        <f>+H57+H60+H61</f>
        <v>4146.1000000000004</v>
      </c>
      <c r="I62" s="5478">
        <f t="shared" si="72"/>
        <v>8601.3068625484775</v>
      </c>
      <c r="J62" s="5478">
        <f t="shared" si="73"/>
        <v>9377.1</v>
      </c>
      <c r="K62" s="5469">
        <f>+K57+K60+K61</f>
        <v>3824.8449559702331</v>
      </c>
      <c r="L62" s="5469">
        <f>+L57+L60+L61</f>
        <v>4284</v>
      </c>
      <c r="M62" s="5485">
        <f t="shared" si="60"/>
        <v>12426.151818518711</v>
      </c>
      <c r="N62" s="5485">
        <f t="shared" si="60"/>
        <v>13661.1</v>
      </c>
      <c r="O62" s="5469">
        <f>+O57+O60+O61</f>
        <v>4750.0946862843184</v>
      </c>
      <c r="P62" s="5469">
        <f>+P57+P60+P61</f>
        <v>5207</v>
      </c>
      <c r="Q62" s="5478">
        <f t="shared" si="74"/>
        <v>17176.246504803028</v>
      </c>
      <c r="R62" s="5478">
        <f t="shared" si="75"/>
        <v>18868.099999999999</v>
      </c>
      <c r="S62" s="5469">
        <f>+S57+S60+S61</f>
        <v>4750.0946862843266</v>
      </c>
      <c r="T62" s="5469">
        <f>+T57+T60+T61</f>
        <v>5212.7169999999996</v>
      </c>
      <c r="U62" s="5478">
        <f t="shared" si="76"/>
        <v>21926.341191087355</v>
      </c>
      <c r="V62" s="5478">
        <f t="shared" si="77"/>
        <v>24080.816999999999</v>
      </c>
      <c r="W62" s="5469">
        <f>+W57+W60+W61</f>
        <v>4610.2685180589669</v>
      </c>
      <c r="X62" s="5469">
        <f>+X57+X60+X61</f>
        <v>4831</v>
      </c>
      <c r="Y62" s="5485">
        <f t="shared" si="61"/>
        <v>14110.457890627611</v>
      </c>
      <c r="Z62" s="5485">
        <f t="shared" si="62"/>
        <v>15250.717000000001</v>
      </c>
      <c r="AA62" s="5486">
        <f t="shared" si="98"/>
        <v>26536.609709146323</v>
      </c>
      <c r="AB62" s="5486">
        <f t="shared" si="98"/>
        <v>28911.817000000003</v>
      </c>
      <c r="AC62" s="5469">
        <f>+AC57+AC60+AC61</f>
        <v>4889.9208545096835</v>
      </c>
      <c r="AD62" s="5469">
        <f>+AD57+AD60+AD61</f>
        <v>5247</v>
      </c>
      <c r="AE62" s="5478">
        <f t="shared" si="78"/>
        <v>31426.530563656008</v>
      </c>
      <c r="AF62" s="5478">
        <f t="shared" si="79"/>
        <v>34158.817000000003</v>
      </c>
      <c r="AG62" s="5469">
        <f>+AG57+AG60+AG61</f>
        <v>4730.1195193949816</v>
      </c>
      <c r="AH62" s="5469">
        <f>+AH57+AH60+AH61</f>
        <v>4567</v>
      </c>
      <c r="AI62" s="5478">
        <f t="shared" si="80"/>
        <v>36156.65008305099</v>
      </c>
      <c r="AJ62" s="5478">
        <f t="shared" si="81"/>
        <v>38725.817000000003</v>
      </c>
      <c r="AK62" s="5469">
        <f>+AK57+AK60+AK61</f>
        <v>4909.8960213990176</v>
      </c>
      <c r="AL62" s="5469">
        <f>+AL57+AL60+AL61</f>
        <v>4928</v>
      </c>
      <c r="AM62" s="5485">
        <f t="shared" si="63"/>
        <v>14529.936395303685</v>
      </c>
      <c r="AN62" s="5485">
        <f t="shared" si="64"/>
        <v>14742</v>
      </c>
      <c r="AO62" s="5478">
        <f t="shared" si="82"/>
        <v>41066.546104450012</v>
      </c>
      <c r="AP62" s="5478">
        <f t="shared" si="83"/>
        <v>43653.817000000003</v>
      </c>
      <c r="AQ62" s="5469">
        <f>+AQ57+AQ60+AQ61</f>
        <v>4909.8960213990176</v>
      </c>
      <c r="AR62" s="5469">
        <f>+AR57+AR60+AR61</f>
        <v>4592.5190000000002</v>
      </c>
      <c r="AS62" s="5478">
        <f t="shared" si="84"/>
        <v>45976.442125849033</v>
      </c>
      <c r="AT62" s="5478">
        <f t="shared" si="85"/>
        <v>48246.336000000003</v>
      </c>
      <c r="AU62" s="5469">
        <f>+AU57+AU60+AU61</f>
        <v>4570.3181842803024</v>
      </c>
      <c r="AV62" s="5469">
        <f>+AV57+AV60+AV61</f>
        <v>4514.7790000000005</v>
      </c>
      <c r="AW62" s="5478">
        <f t="shared" si="86"/>
        <v>50546.760310129335</v>
      </c>
      <c r="AX62" s="5478">
        <f t="shared" si="87"/>
        <v>52761.115000000005</v>
      </c>
      <c r="AY62" s="5469">
        <f>+AY57+AY60+AY61</f>
        <v>4929.8711882883536</v>
      </c>
      <c r="AZ62" s="5469">
        <f>+AZ57+AZ60+AZ61</f>
        <v>4650</v>
      </c>
      <c r="BA62" s="5485">
        <f t="shared" si="67"/>
        <v>14410.085393967674</v>
      </c>
      <c r="BB62" s="5485">
        <f t="shared" si="68"/>
        <v>13757.298000000001</v>
      </c>
      <c r="BC62" s="5486">
        <f t="shared" si="101"/>
        <v>28940.021789271359</v>
      </c>
      <c r="BD62" s="5486">
        <f t="shared" si="102"/>
        <v>28499.298000000003</v>
      </c>
      <c r="BE62" s="5478">
        <f t="shared" si="70"/>
        <v>55476.631498417686</v>
      </c>
      <c r="BF62" s="5437">
        <f t="shared" si="71"/>
        <v>57411.115000000005</v>
      </c>
      <c r="BG62" s="26"/>
      <c r="BH62" s="26"/>
      <c r="BI62" s="26"/>
      <c r="BJ62" s="26"/>
    </row>
    <row r="63" spans="1:62" ht="21" customHeight="1" x14ac:dyDescent="0.25">
      <c r="B63" s="3981" t="s">
        <v>88</v>
      </c>
      <c r="C63" s="5458" t="s">
        <v>52</v>
      </c>
      <c r="D63" s="5432">
        <f t="shared" ref="D63:E70" si="103">+D80*D$5/1000</f>
        <v>5916.1304150943397</v>
      </c>
      <c r="E63" s="5480">
        <f t="shared" si="103"/>
        <v>500.16830188679211</v>
      </c>
      <c r="F63" s="5480">
        <v>294</v>
      </c>
      <c r="G63" s="5480">
        <f t="shared" ref="G63:G70" si="104">+G80*G$5/1000</f>
        <v>417.09094339622538</v>
      </c>
      <c r="H63" s="5480">
        <v>228</v>
      </c>
      <c r="I63" s="5478">
        <f t="shared" ref="I63:I70" si="105">+E63+G63</f>
        <v>917.25924528301744</v>
      </c>
      <c r="J63" s="5478">
        <f t="shared" ref="J63:J70" si="106">+F63+H63</f>
        <v>522</v>
      </c>
      <c r="K63" s="5480">
        <f t="shared" ref="K63:K70" si="107">+K80*K$5/1000</f>
        <v>407.88852830188614</v>
      </c>
      <c r="L63" s="5480">
        <v>234.5</v>
      </c>
      <c r="M63" s="5479">
        <f t="shared" si="60"/>
        <v>1325.1477735849037</v>
      </c>
      <c r="N63" s="5479">
        <f t="shared" si="60"/>
        <v>756.5</v>
      </c>
      <c r="O63" s="5480">
        <f t="shared" ref="O63:O70" si="108">+O80*O$5/1000</f>
        <v>506.55886792452736</v>
      </c>
      <c r="P63" s="5480">
        <v>254.5</v>
      </c>
      <c r="Q63" s="5478">
        <f t="shared" ref="Q63:Q70" si="109">+M63+O63</f>
        <v>1831.7066415094309</v>
      </c>
      <c r="R63" s="5478">
        <f t="shared" ref="R63:R70" si="110">+N63+P63</f>
        <v>1011</v>
      </c>
      <c r="S63" s="5480">
        <f t="shared" ref="S63:S70" si="111">+S80*S$5/1000</f>
        <v>506.55886792452833</v>
      </c>
      <c r="T63" s="5480">
        <v>319.5</v>
      </c>
      <c r="U63" s="5478">
        <f t="shared" si="76"/>
        <v>2338.2655094339593</v>
      </c>
      <c r="V63" s="5478">
        <f t="shared" si="77"/>
        <v>1330.5</v>
      </c>
      <c r="W63" s="5480">
        <f t="shared" ref="W63:W70" si="112">+W80*W$5/1000</f>
        <v>491.64754716981133</v>
      </c>
      <c r="X63" s="5480">
        <v>319</v>
      </c>
      <c r="Y63" s="5479">
        <f t="shared" si="61"/>
        <v>1504.7652830188672</v>
      </c>
      <c r="Z63" s="5479">
        <f t="shared" si="62"/>
        <v>893</v>
      </c>
      <c r="AA63" s="5482">
        <f t="shared" si="98"/>
        <v>2829.9130566037711</v>
      </c>
      <c r="AB63" s="5482">
        <f t="shared" si="98"/>
        <v>1649.5</v>
      </c>
      <c r="AC63" s="5480">
        <f t="shared" ref="AC63:AC70" si="113">+AC80*AC$5/1000</f>
        <v>521.4701886792451</v>
      </c>
      <c r="AD63" s="5480">
        <v>364.5</v>
      </c>
      <c r="AE63" s="5478">
        <f t="shared" si="78"/>
        <v>3351.3832452830161</v>
      </c>
      <c r="AF63" s="5478">
        <f t="shared" si="79"/>
        <v>2014</v>
      </c>
      <c r="AG63" s="5480">
        <f t="shared" ref="AG63:AG70" si="114">+AG80*AG$5/1000</f>
        <v>504.42867924528224</v>
      </c>
      <c r="AH63" s="5480">
        <v>291</v>
      </c>
      <c r="AI63" s="5478">
        <f t="shared" si="80"/>
        <v>3855.8119245282983</v>
      </c>
      <c r="AJ63" s="5478">
        <f t="shared" si="81"/>
        <v>2305</v>
      </c>
      <c r="AK63" s="5480">
        <f t="shared" ref="AK63:AK70" si="115">+AK80*AK$5/1000</f>
        <v>523.60037735849016</v>
      </c>
      <c r="AL63" s="5480">
        <v>330.5</v>
      </c>
      <c r="AM63" s="5479">
        <f t="shared" si="63"/>
        <v>1549.4992452830174</v>
      </c>
      <c r="AN63" s="5479">
        <f t="shared" si="64"/>
        <v>986</v>
      </c>
      <c r="AO63" s="5478">
        <f t="shared" si="82"/>
        <v>4379.4123018867886</v>
      </c>
      <c r="AP63" s="5478">
        <f t="shared" si="83"/>
        <v>2635.5</v>
      </c>
      <c r="AQ63" s="5480">
        <f t="shared" ref="AQ63:AQ70" si="116">+AQ80*AQ$5/1000</f>
        <v>523.60037735849016</v>
      </c>
      <c r="AR63" s="5480">
        <v>313.5</v>
      </c>
      <c r="AS63" s="5478">
        <f t="shared" si="84"/>
        <v>4903.0126792452784</v>
      </c>
      <c r="AT63" s="5478">
        <f t="shared" si="85"/>
        <v>2949</v>
      </c>
      <c r="AU63" s="5480">
        <f t="shared" ref="AU63:AU70" si="117">+AU80*AU$5/1000</f>
        <v>487.38716981132166</v>
      </c>
      <c r="AV63" s="5480">
        <v>360</v>
      </c>
      <c r="AW63" s="5478">
        <f t="shared" si="86"/>
        <v>5390.3998490566</v>
      </c>
      <c r="AX63" s="5478">
        <f t="shared" si="87"/>
        <v>3309</v>
      </c>
      <c r="AY63" s="5480">
        <f t="shared" ref="AY63:AY70" si="118">+AY80*AY$5/1000</f>
        <v>525.73056603773523</v>
      </c>
      <c r="AZ63" s="5480">
        <v>382.5</v>
      </c>
      <c r="BA63" s="5479">
        <f t="shared" si="67"/>
        <v>1536.718113207547</v>
      </c>
      <c r="BB63" s="5479">
        <f t="shared" si="68"/>
        <v>1056</v>
      </c>
      <c r="BC63" s="5482">
        <f t="shared" si="101"/>
        <v>3086.2173584905645</v>
      </c>
      <c r="BD63" s="5482">
        <f t="shared" si="102"/>
        <v>2042</v>
      </c>
      <c r="BE63" s="5478">
        <f t="shared" si="70"/>
        <v>5916.1304150943351</v>
      </c>
      <c r="BF63" s="5437">
        <f t="shared" si="71"/>
        <v>3691.5</v>
      </c>
      <c r="BG63" s="26"/>
      <c r="BH63" s="26"/>
      <c r="BI63" s="26"/>
      <c r="BJ63" s="26"/>
    </row>
    <row r="64" spans="1:62" ht="21" customHeight="1" x14ac:dyDescent="0.25">
      <c r="B64" s="3981" t="s">
        <v>879</v>
      </c>
      <c r="C64" s="5458" t="s">
        <v>52</v>
      </c>
      <c r="D64" s="5434">
        <f t="shared" si="103"/>
        <v>1257.6362264150941</v>
      </c>
      <c r="E64" s="5480">
        <f t="shared" si="103"/>
        <v>106.32452830188672</v>
      </c>
      <c r="F64" s="5480">
        <v>142.047</v>
      </c>
      <c r="G64" s="5480">
        <f t="shared" si="104"/>
        <v>88.664150943395995</v>
      </c>
      <c r="H64" s="5480">
        <v>96.043999999999997</v>
      </c>
      <c r="I64" s="5478">
        <f t="shared" si="105"/>
        <v>194.9886792452827</v>
      </c>
      <c r="J64" s="5478">
        <f t="shared" si="106"/>
        <v>238.09100000000001</v>
      </c>
      <c r="K64" s="5480">
        <f t="shared" si="107"/>
        <v>86.707924528301746</v>
      </c>
      <c r="L64" s="5480">
        <v>110.53</v>
      </c>
      <c r="M64" s="5479">
        <f t="shared" si="60"/>
        <v>281.69660377358446</v>
      </c>
      <c r="N64" s="5479">
        <f t="shared" si="60"/>
        <v>348.62099999999998</v>
      </c>
      <c r="O64" s="5480">
        <f t="shared" si="108"/>
        <v>107.68301886792433</v>
      </c>
      <c r="P64" s="5480">
        <v>148.584</v>
      </c>
      <c r="Q64" s="5478">
        <f t="shared" si="109"/>
        <v>389.37962264150877</v>
      </c>
      <c r="R64" s="5478">
        <f t="shared" si="110"/>
        <v>497.20499999999998</v>
      </c>
      <c r="S64" s="5480">
        <f t="shared" si="111"/>
        <v>107.68301886792452</v>
      </c>
      <c r="T64" s="5481">
        <f>7.2+124.08</f>
        <v>131.28</v>
      </c>
      <c r="U64" s="5478">
        <f t="shared" si="76"/>
        <v>497.06264150943332</v>
      </c>
      <c r="V64" s="5478">
        <f t="shared" si="77"/>
        <v>628.48500000000001</v>
      </c>
      <c r="W64" s="5480">
        <f t="shared" si="112"/>
        <v>104.5132075471698</v>
      </c>
      <c r="X64" s="5481">
        <v>135.76999999999998</v>
      </c>
      <c r="Y64" s="5479">
        <f t="shared" si="61"/>
        <v>319.87924528301863</v>
      </c>
      <c r="Z64" s="5479">
        <f t="shared" si="62"/>
        <v>415.63399999999996</v>
      </c>
      <c r="AA64" s="5482">
        <f t="shared" si="98"/>
        <v>601.57584905660315</v>
      </c>
      <c r="AB64" s="5482">
        <f t="shared" si="98"/>
        <v>764.25499999999988</v>
      </c>
      <c r="AC64" s="5480">
        <f t="shared" si="113"/>
        <v>110.85283018867921</v>
      </c>
      <c r="AD64" s="5481">
        <v>139.62299999999999</v>
      </c>
      <c r="AE64" s="5478">
        <f t="shared" si="78"/>
        <v>712.42867924528241</v>
      </c>
      <c r="AF64" s="5478">
        <f t="shared" si="79"/>
        <v>903.87799999999993</v>
      </c>
      <c r="AG64" s="5480">
        <f t="shared" si="114"/>
        <v>107.23018867924512</v>
      </c>
      <c r="AH64" s="5481">
        <v>129.13499999999999</v>
      </c>
      <c r="AI64" s="5478">
        <f t="shared" si="80"/>
        <v>819.6588679245275</v>
      </c>
      <c r="AJ64" s="5478">
        <f t="shared" si="81"/>
        <v>1033.0129999999999</v>
      </c>
      <c r="AK64" s="5480">
        <f t="shared" si="115"/>
        <v>111.30566037735839</v>
      </c>
      <c r="AL64" s="5481">
        <v>138.94399999999999</v>
      </c>
      <c r="AM64" s="5479">
        <f t="shared" si="63"/>
        <v>329.38867924528273</v>
      </c>
      <c r="AN64" s="5479">
        <f t="shared" si="64"/>
        <v>407.70199999999994</v>
      </c>
      <c r="AO64" s="5478">
        <f t="shared" si="82"/>
        <v>930.96452830188593</v>
      </c>
      <c r="AP64" s="5478">
        <f t="shared" si="83"/>
        <v>1171.9569999999999</v>
      </c>
      <c r="AQ64" s="5480">
        <f t="shared" si="116"/>
        <v>111.30566037735839</v>
      </c>
      <c r="AR64" s="5481">
        <v>115.38500000000001</v>
      </c>
      <c r="AS64" s="5478">
        <f t="shared" si="84"/>
        <v>1042.2701886792443</v>
      </c>
      <c r="AT64" s="5478">
        <f t="shared" si="85"/>
        <v>1287.3419999999999</v>
      </c>
      <c r="AU64" s="5480">
        <f t="shared" si="117"/>
        <v>105.33433962264171</v>
      </c>
      <c r="AV64" s="5481">
        <v>124.89400000000001</v>
      </c>
      <c r="AW64" s="5478">
        <f t="shared" si="86"/>
        <v>1147.6045283018859</v>
      </c>
      <c r="AX64" s="5478">
        <f t="shared" si="87"/>
        <v>1412.2359999999999</v>
      </c>
      <c r="AY64" s="5480">
        <f t="shared" si="118"/>
        <v>111.75849056603759</v>
      </c>
      <c r="AZ64" s="5481">
        <v>122.88500000000001</v>
      </c>
      <c r="BA64" s="5479">
        <f t="shared" si="67"/>
        <v>328.39849056603771</v>
      </c>
      <c r="BB64" s="5479">
        <f t="shared" si="68"/>
        <v>363.16399999999999</v>
      </c>
      <c r="BC64" s="5482">
        <f t="shared" si="101"/>
        <v>657.78716981132038</v>
      </c>
      <c r="BD64" s="5482">
        <f t="shared" si="102"/>
        <v>770.86599999999999</v>
      </c>
      <c r="BE64" s="5478">
        <f t="shared" si="70"/>
        <v>1259.3630188679235</v>
      </c>
      <c r="BF64" s="5437">
        <f t="shared" si="71"/>
        <v>1535.1209999999999</v>
      </c>
      <c r="BG64" s="26"/>
      <c r="BH64" s="26"/>
      <c r="BI64" s="26"/>
      <c r="BJ64" s="26"/>
    </row>
    <row r="65" spans="1:62" ht="21" customHeight="1" x14ac:dyDescent="0.25">
      <c r="B65" s="3981" t="s">
        <v>133</v>
      </c>
      <c r="C65" s="5458" t="s">
        <v>52</v>
      </c>
      <c r="D65" s="5434">
        <f t="shared" si="103"/>
        <v>52401.509433962259</v>
      </c>
      <c r="E65" s="5480">
        <f t="shared" si="103"/>
        <v>4430.1886792452788</v>
      </c>
      <c r="F65" s="5480">
        <v>3840</v>
      </c>
      <c r="G65" s="5480">
        <f t="shared" si="104"/>
        <v>3694.3396226415002</v>
      </c>
      <c r="H65" s="5480">
        <v>0</v>
      </c>
      <c r="I65" s="5478">
        <f t="shared" si="105"/>
        <v>8124.5283018867794</v>
      </c>
      <c r="J65" s="5478">
        <f t="shared" si="106"/>
        <v>3840</v>
      </c>
      <c r="K65" s="5480">
        <f t="shared" si="107"/>
        <v>3612.8301886792397</v>
      </c>
      <c r="L65" s="5480">
        <v>1988</v>
      </c>
      <c r="M65" s="5479">
        <f t="shared" si="60"/>
        <v>11737.358490566019</v>
      </c>
      <c r="N65" s="5479">
        <f t="shared" si="60"/>
        <v>5828</v>
      </c>
      <c r="O65" s="5480">
        <f t="shared" si="108"/>
        <v>4486.7924528301801</v>
      </c>
      <c r="P65" s="5480">
        <v>4088</v>
      </c>
      <c r="Q65" s="5478">
        <f t="shared" si="109"/>
        <v>16224.150943396198</v>
      </c>
      <c r="R65" s="5478">
        <f t="shared" si="110"/>
        <v>9916</v>
      </c>
      <c r="S65" s="5480">
        <f t="shared" si="111"/>
        <v>4486.7924528301892</v>
      </c>
      <c r="T65" s="5481">
        <v>4450</v>
      </c>
      <c r="U65" s="5478">
        <f t="shared" si="76"/>
        <v>20710.943396226387</v>
      </c>
      <c r="V65" s="5478">
        <f t="shared" si="77"/>
        <v>14366</v>
      </c>
      <c r="W65" s="5480">
        <f t="shared" si="112"/>
        <v>4354.7169811320755</v>
      </c>
      <c r="X65" s="5481">
        <v>4575</v>
      </c>
      <c r="Y65" s="5479">
        <f t="shared" si="61"/>
        <v>13328.301886792444</v>
      </c>
      <c r="Z65" s="5479">
        <f t="shared" si="62"/>
        <v>13113</v>
      </c>
      <c r="AA65" s="5482">
        <f t="shared" si="98"/>
        <v>25065.660377358465</v>
      </c>
      <c r="AB65" s="5482">
        <f t="shared" si="98"/>
        <v>18941</v>
      </c>
      <c r="AC65" s="5480">
        <f t="shared" si="113"/>
        <v>4618.8679245283001</v>
      </c>
      <c r="AD65" s="5481">
        <v>1386</v>
      </c>
      <c r="AE65" s="5478">
        <f t="shared" si="78"/>
        <v>29684.528301886763</v>
      </c>
      <c r="AF65" s="5478">
        <f t="shared" si="79"/>
        <v>20327</v>
      </c>
      <c r="AG65" s="5480">
        <f t="shared" si="114"/>
        <v>4467.9245283018799</v>
      </c>
      <c r="AH65" s="5481">
        <v>2080</v>
      </c>
      <c r="AI65" s="5478">
        <f t="shared" si="80"/>
        <v>34152.452830188646</v>
      </c>
      <c r="AJ65" s="5478">
        <f t="shared" si="81"/>
        <v>22407</v>
      </c>
      <c r="AK65" s="5480">
        <f t="shared" si="115"/>
        <v>4637.7358490565994</v>
      </c>
      <c r="AL65" s="5481">
        <v>2851.9</v>
      </c>
      <c r="AM65" s="5479">
        <f t="shared" si="63"/>
        <v>13724.528301886779</v>
      </c>
      <c r="AN65" s="5479">
        <f t="shared" si="64"/>
        <v>6317.9</v>
      </c>
      <c r="AO65" s="5478">
        <f t="shared" si="82"/>
        <v>38790.188679245242</v>
      </c>
      <c r="AP65" s="5478">
        <f t="shared" si="83"/>
        <v>25258.9</v>
      </c>
      <c r="AQ65" s="5480">
        <f t="shared" si="116"/>
        <v>4637.7358490565994</v>
      </c>
      <c r="AR65" s="5481">
        <v>2159</v>
      </c>
      <c r="AS65" s="5478">
        <f t="shared" si="84"/>
        <v>43427.924528301839</v>
      </c>
      <c r="AT65" s="5478">
        <f t="shared" si="85"/>
        <v>27417.9</v>
      </c>
      <c r="AU65" s="5480">
        <f t="shared" si="117"/>
        <v>4316.9811320754798</v>
      </c>
      <c r="AV65" s="5481">
        <v>3925.74</v>
      </c>
      <c r="AW65" s="5478">
        <f t="shared" si="86"/>
        <v>47744.905660377321</v>
      </c>
      <c r="AX65" s="5478">
        <f t="shared" si="87"/>
        <v>31343.64</v>
      </c>
      <c r="AY65" s="5480">
        <f t="shared" si="118"/>
        <v>4656.6037735849004</v>
      </c>
      <c r="AZ65" s="5481">
        <v>5688.2759999999998</v>
      </c>
      <c r="BA65" s="5479">
        <f t="shared" si="67"/>
        <v>13611.32075471698</v>
      </c>
      <c r="BB65" s="5479">
        <f t="shared" si="68"/>
        <v>11773.016</v>
      </c>
      <c r="BC65" s="5482">
        <f t="shared" si="101"/>
        <v>27335.849056603758</v>
      </c>
      <c r="BD65" s="5482">
        <f t="shared" si="102"/>
        <v>18090.915999999997</v>
      </c>
      <c r="BE65" s="5478">
        <f t="shared" si="70"/>
        <v>52401.509433962223</v>
      </c>
      <c r="BF65" s="5437">
        <f t="shared" si="71"/>
        <v>37031.915999999997</v>
      </c>
      <c r="BG65" s="26"/>
      <c r="BH65" s="26"/>
      <c r="BI65" s="26"/>
      <c r="BJ65" s="26"/>
    </row>
    <row r="66" spans="1:62" ht="21" customHeight="1" x14ac:dyDescent="0.25">
      <c r="B66" s="3981" t="s">
        <v>552</v>
      </c>
      <c r="C66" s="5458" t="s">
        <v>52</v>
      </c>
      <c r="D66" s="5434">
        <f t="shared" si="103"/>
        <v>0</v>
      </c>
      <c r="E66" s="5480">
        <f t="shared" si="103"/>
        <v>0</v>
      </c>
      <c r="F66" s="5480">
        <v>8</v>
      </c>
      <c r="G66" s="5480">
        <f t="shared" si="104"/>
        <v>0</v>
      </c>
      <c r="H66" s="5480">
        <v>0</v>
      </c>
      <c r="I66" s="5478">
        <f t="shared" si="105"/>
        <v>0</v>
      </c>
      <c r="J66" s="5478">
        <f t="shared" si="106"/>
        <v>8</v>
      </c>
      <c r="K66" s="5480">
        <f t="shared" si="107"/>
        <v>0</v>
      </c>
      <c r="L66" s="5480"/>
      <c r="M66" s="5479">
        <f t="shared" si="60"/>
        <v>0</v>
      </c>
      <c r="N66" s="5479">
        <f t="shared" si="60"/>
        <v>8</v>
      </c>
      <c r="O66" s="5480">
        <f t="shared" si="108"/>
        <v>0</v>
      </c>
      <c r="P66" s="5480">
        <v>0</v>
      </c>
      <c r="Q66" s="5478">
        <f t="shared" si="109"/>
        <v>0</v>
      </c>
      <c r="R66" s="5478">
        <f t="shared" si="110"/>
        <v>8</v>
      </c>
      <c r="S66" s="5480">
        <f t="shared" si="111"/>
        <v>0</v>
      </c>
      <c r="T66" s="5481">
        <v>0</v>
      </c>
      <c r="U66" s="5478">
        <f t="shared" si="76"/>
        <v>0</v>
      </c>
      <c r="V66" s="5478">
        <f t="shared" si="77"/>
        <v>8</v>
      </c>
      <c r="W66" s="5480">
        <f t="shared" si="112"/>
        <v>0</v>
      </c>
      <c r="X66" s="5481">
        <v>0</v>
      </c>
      <c r="Y66" s="5479">
        <f t="shared" si="61"/>
        <v>0</v>
      </c>
      <c r="Z66" s="5479">
        <f t="shared" si="62"/>
        <v>0</v>
      </c>
      <c r="AA66" s="5482">
        <f t="shared" si="98"/>
        <v>0</v>
      </c>
      <c r="AB66" s="5482">
        <f t="shared" si="98"/>
        <v>8</v>
      </c>
      <c r="AC66" s="5480">
        <f t="shared" si="113"/>
        <v>0</v>
      </c>
      <c r="AD66" s="5481">
        <v>0</v>
      </c>
      <c r="AE66" s="5478">
        <f t="shared" si="78"/>
        <v>0</v>
      </c>
      <c r="AF66" s="5478">
        <f t="shared" si="79"/>
        <v>8</v>
      </c>
      <c r="AG66" s="5480">
        <f t="shared" si="114"/>
        <v>0</v>
      </c>
      <c r="AH66" s="5481">
        <v>0</v>
      </c>
      <c r="AI66" s="5478">
        <f t="shared" si="80"/>
        <v>0</v>
      </c>
      <c r="AJ66" s="5478">
        <f t="shared" si="81"/>
        <v>8</v>
      </c>
      <c r="AK66" s="5480">
        <f t="shared" si="115"/>
        <v>0</v>
      </c>
      <c r="AL66" s="5481"/>
      <c r="AM66" s="5479">
        <f t="shared" si="63"/>
        <v>0</v>
      </c>
      <c r="AN66" s="5479">
        <f t="shared" si="64"/>
        <v>0</v>
      </c>
      <c r="AO66" s="5478">
        <f t="shared" si="82"/>
        <v>0</v>
      </c>
      <c r="AP66" s="5478">
        <f t="shared" si="83"/>
        <v>8</v>
      </c>
      <c r="AQ66" s="5480">
        <f t="shared" si="116"/>
        <v>0</v>
      </c>
      <c r="AR66" s="5481">
        <v>0</v>
      </c>
      <c r="AS66" s="5478">
        <f t="shared" si="84"/>
        <v>0</v>
      </c>
      <c r="AT66" s="5478">
        <f t="shared" si="85"/>
        <v>8</v>
      </c>
      <c r="AU66" s="5480">
        <f t="shared" si="117"/>
        <v>0</v>
      </c>
      <c r="AV66" s="5481">
        <v>111.49</v>
      </c>
      <c r="AW66" s="5478">
        <f t="shared" si="86"/>
        <v>0</v>
      </c>
      <c r="AX66" s="5478">
        <f t="shared" si="87"/>
        <v>119.49</v>
      </c>
      <c r="AY66" s="5480">
        <f t="shared" si="118"/>
        <v>0</v>
      </c>
      <c r="AZ66" s="5481">
        <v>0</v>
      </c>
      <c r="BA66" s="5479">
        <f t="shared" si="67"/>
        <v>0</v>
      </c>
      <c r="BB66" s="5479">
        <f t="shared" si="68"/>
        <v>111.49</v>
      </c>
      <c r="BC66" s="5482">
        <f t="shared" si="101"/>
        <v>0</v>
      </c>
      <c r="BD66" s="5482">
        <f t="shared" si="102"/>
        <v>111.49</v>
      </c>
      <c r="BE66" s="5478">
        <f t="shared" si="70"/>
        <v>0</v>
      </c>
      <c r="BF66" s="5437">
        <f t="shared" si="71"/>
        <v>119.49</v>
      </c>
      <c r="BG66" s="26"/>
      <c r="BH66" s="26"/>
      <c r="BI66" s="26"/>
      <c r="BJ66" s="26"/>
    </row>
    <row r="67" spans="1:62" ht="21" customHeight="1" x14ac:dyDescent="0.25">
      <c r="B67" s="3981" t="s">
        <v>134</v>
      </c>
      <c r="C67" s="5458" t="s">
        <v>52</v>
      </c>
      <c r="D67" s="5434">
        <f t="shared" si="103"/>
        <v>26200.75471698113</v>
      </c>
      <c r="E67" s="5480">
        <f t="shared" si="103"/>
        <v>2215.0943396226394</v>
      </c>
      <c r="F67" s="5480">
        <v>600</v>
      </c>
      <c r="G67" s="5480">
        <f t="shared" si="104"/>
        <v>1847.1698113207501</v>
      </c>
      <c r="H67" s="5480">
        <v>3500</v>
      </c>
      <c r="I67" s="5478">
        <f t="shared" si="105"/>
        <v>4062.2641509433897</v>
      </c>
      <c r="J67" s="5478">
        <f t="shared" si="106"/>
        <v>4100</v>
      </c>
      <c r="K67" s="5480">
        <f t="shared" si="107"/>
        <v>1806.4150943396198</v>
      </c>
      <c r="L67" s="5480">
        <v>1500</v>
      </c>
      <c r="M67" s="5479">
        <f t="shared" si="60"/>
        <v>5868.6792452830095</v>
      </c>
      <c r="N67" s="5479">
        <f t="shared" si="60"/>
        <v>5600</v>
      </c>
      <c r="O67" s="5480">
        <f t="shared" si="108"/>
        <v>2243.39622641509</v>
      </c>
      <c r="P67" s="5480">
        <v>150</v>
      </c>
      <c r="Q67" s="5478">
        <f t="shared" si="109"/>
        <v>8112.0754716980991</v>
      </c>
      <c r="R67" s="5478">
        <f t="shared" si="110"/>
        <v>5750</v>
      </c>
      <c r="S67" s="5480">
        <f t="shared" si="111"/>
        <v>2243.3962264150946</v>
      </c>
      <c r="T67" s="5481">
        <v>0</v>
      </c>
      <c r="U67" s="5478">
        <f t="shared" si="76"/>
        <v>10355.471698113193</v>
      </c>
      <c r="V67" s="5478">
        <f t="shared" si="77"/>
        <v>5750</v>
      </c>
      <c r="W67" s="5480">
        <f t="shared" si="112"/>
        <v>2177.3584905660377</v>
      </c>
      <c r="X67" s="5481">
        <v>0</v>
      </c>
      <c r="Y67" s="5479">
        <f t="shared" si="61"/>
        <v>6664.1509433962219</v>
      </c>
      <c r="Z67" s="5479">
        <f t="shared" si="62"/>
        <v>150</v>
      </c>
      <c r="AA67" s="5482">
        <f t="shared" si="98"/>
        <v>12532.830188679232</v>
      </c>
      <c r="AB67" s="5482">
        <f t="shared" si="98"/>
        <v>5750</v>
      </c>
      <c r="AC67" s="5480">
        <f t="shared" si="113"/>
        <v>2309.4339622641501</v>
      </c>
      <c r="AD67" s="5481">
        <v>3804</v>
      </c>
      <c r="AE67" s="5478">
        <f t="shared" si="78"/>
        <v>14842.264150943382</v>
      </c>
      <c r="AF67" s="5478">
        <f t="shared" si="79"/>
        <v>9554</v>
      </c>
      <c r="AG67" s="5480">
        <f t="shared" si="114"/>
        <v>2233.96226415094</v>
      </c>
      <c r="AH67" s="5481">
        <v>1148.5</v>
      </c>
      <c r="AI67" s="5478">
        <f t="shared" si="80"/>
        <v>17076.226415094323</v>
      </c>
      <c r="AJ67" s="5478">
        <f t="shared" si="81"/>
        <v>10702.5</v>
      </c>
      <c r="AK67" s="5480">
        <f t="shared" si="115"/>
        <v>2318.8679245282997</v>
      </c>
      <c r="AL67" s="5481">
        <v>1673</v>
      </c>
      <c r="AM67" s="5479">
        <f t="shared" si="63"/>
        <v>6862.2641509433897</v>
      </c>
      <c r="AN67" s="5479">
        <f t="shared" si="64"/>
        <v>6625.5</v>
      </c>
      <c r="AO67" s="5478">
        <f t="shared" si="82"/>
        <v>19395.094339622621</v>
      </c>
      <c r="AP67" s="5478">
        <f t="shared" si="83"/>
        <v>12375.5</v>
      </c>
      <c r="AQ67" s="5480">
        <f t="shared" si="116"/>
        <v>2318.8679245282997</v>
      </c>
      <c r="AR67" s="5481">
        <v>2331.5</v>
      </c>
      <c r="AS67" s="5478">
        <f t="shared" si="84"/>
        <v>21713.96226415092</v>
      </c>
      <c r="AT67" s="5478">
        <f t="shared" si="85"/>
        <v>14707</v>
      </c>
      <c r="AU67" s="5480">
        <f t="shared" si="117"/>
        <v>2158.4905660377399</v>
      </c>
      <c r="AV67" s="5481">
        <v>0</v>
      </c>
      <c r="AW67" s="5478">
        <f t="shared" si="86"/>
        <v>23872.45283018866</v>
      </c>
      <c r="AX67" s="5478">
        <f t="shared" si="87"/>
        <v>14707</v>
      </c>
      <c r="AY67" s="5480">
        <f t="shared" si="118"/>
        <v>2328.3018867924502</v>
      </c>
      <c r="AZ67" s="5481">
        <v>350</v>
      </c>
      <c r="BA67" s="5479">
        <f t="shared" si="67"/>
        <v>6805.6603773584902</v>
      </c>
      <c r="BB67" s="5479">
        <f t="shared" si="68"/>
        <v>2681.5</v>
      </c>
      <c r="BC67" s="5482">
        <f t="shared" si="101"/>
        <v>13667.924528301879</v>
      </c>
      <c r="BD67" s="5482">
        <f t="shared" si="102"/>
        <v>9307</v>
      </c>
      <c r="BE67" s="5478">
        <f t="shared" si="70"/>
        <v>26200.754716981111</v>
      </c>
      <c r="BF67" s="5437">
        <f t="shared" si="71"/>
        <v>15057</v>
      </c>
      <c r="BG67" s="26"/>
      <c r="BH67" s="26"/>
      <c r="BI67" s="26"/>
      <c r="BJ67" s="26"/>
    </row>
    <row r="68" spans="1:62" ht="21" customHeight="1" x14ac:dyDescent="0.25">
      <c r="B68" s="3981" t="s">
        <v>1259</v>
      </c>
      <c r="C68" s="5458" t="s">
        <v>52</v>
      </c>
      <c r="D68" s="5434">
        <f t="shared" si="103"/>
        <v>0</v>
      </c>
      <c r="E68" s="5480">
        <f t="shared" si="103"/>
        <v>0</v>
      </c>
      <c r="F68" s="5480">
        <v>0</v>
      </c>
      <c r="G68" s="5480">
        <f t="shared" si="104"/>
        <v>0</v>
      </c>
      <c r="H68" s="5480">
        <v>0</v>
      </c>
      <c r="I68" s="5478">
        <f t="shared" si="105"/>
        <v>0</v>
      </c>
      <c r="J68" s="5478">
        <f t="shared" si="106"/>
        <v>0</v>
      </c>
      <c r="K68" s="5480">
        <f t="shared" si="107"/>
        <v>0</v>
      </c>
      <c r="L68" s="5480">
        <v>0</v>
      </c>
      <c r="M68" s="5479">
        <f t="shared" si="60"/>
        <v>0</v>
      </c>
      <c r="N68" s="5479">
        <f t="shared" si="60"/>
        <v>0</v>
      </c>
      <c r="O68" s="5480">
        <f t="shared" si="108"/>
        <v>0</v>
      </c>
      <c r="P68" s="5480">
        <v>1800</v>
      </c>
      <c r="Q68" s="5478">
        <f t="shared" si="109"/>
        <v>0</v>
      </c>
      <c r="R68" s="5478">
        <f t="shared" si="110"/>
        <v>1800</v>
      </c>
      <c r="S68" s="5480">
        <f t="shared" si="111"/>
        <v>0</v>
      </c>
      <c r="T68" s="5481">
        <v>3520</v>
      </c>
      <c r="U68" s="5478">
        <f t="shared" si="76"/>
        <v>0</v>
      </c>
      <c r="V68" s="5478">
        <f t="shared" si="77"/>
        <v>5320</v>
      </c>
      <c r="W68" s="5480">
        <f t="shared" si="112"/>
        <v>0</v>
      </c>
      <c r="X68" s="5481">
        <v>2833</v>
      </c>
      <c r="Y68" s="5479">
        <f t="shared" si="61"/>
        <v>0</v>
      </c>
      <c r="Z68" s="5479">
        <f t="shared" si="62"/>
        <v>8153</v>
      </c>
      <c r="AA68" s="5482">
        <f t="shared" si="98"/>
        <v>0</v>
      </c>
      <c r="AB68" s="5482">
        <f t="shared" si="98"/>
        <v>8153</v>
      </c>
      <c r="AC68" s="5480">
        <f t="shared" si="113"/>
        <v>0</v>
      </c>
      <c r="AD68" s="5481">
        <v>1709</v>
      </c>
      <c r="AE68" s="5478">
        <f t="shared" si="78"/>
        <v>0</v>
      </c>
      <c r="AF68" s="5478">
        <f t="shared" si="79"/>
        <v>9862</v>
      </c>
      <c r="AG68" s="5480">
        <f t="shared" si="114"/>
        <v>0</v>
      </c>
      <c r="AH68" s="5481">
        <v>1387.5</v>
      </c>
      <c r="AI68" s="5478">
        <f t="shared" si="80"/>
        <v>0</v>
      </c>
      <c r="AJ68" s="5478">
        <f t="shared" si="81"/>
        <v>11249.5</v>
      </c>
      <c r="AK68" s="5480">
        <f t="shared" si="115"/>
        <v>0</v>
      </c>
      <c r="AL68" s="5481">
        <v>900</v>
      </c>
      <c r="AM68" s="5479">
        <f t="shared" si="63"/>
        <v>0</v>
      </c>
      <c r="AN68" s="5479">
        <f t="shared" si="64"/>
        <v>3996.5</v>
      </c>
      <c r="AO68" s="5478">
        <f t="shared" si="82"/>
        <v>0</v>
      </c>
      <c r="AP68" s="5478">
        <f t="shared" si="83"/>
        <v>12149.5</v>
      </c>
      <c r="AQ68" s="5480">
        <f t="shared" si="116"/>
        <v>0</v>
      </c>
      <c r="AR68" s="5481">
        <v>1278.55</v>
      </c>
      <c r="AS68" s="5478">
        <f t="shared" si="84"/>
        <v>0</v>
      </c>
      <c r="AT68" s="5478">
        <f t="shared" si="85"/>
        <v>13428.05</v>
      </c>
      <c r="AU68" s="5480">
        <f t="shared" si="117"/>
        <v>0</v>
      </c>
      <c r="AV68" s="5481">
        <v>0</v>
      </c>
      <c r="AW68" s="5478">
        <f t="shared" si="86"/>
        <v>0</v>
      </c>
      <c r="AX68" s="5478">
        <f t="shared" si="87"/>
        <v>13428.05</v>
      </c>
      <c r="AY68" s="5480">
        <f t="shared" si="118"/>
        <v>0</v>
      </c>
      <c r="AZ68" s="5481">
        <v>1040.25</v>
      </c>
      <c r="BA68" s="5479">
        <f t="shared" si="67"/>
        <v>0</v>
      </c>
      <c r="BB68" s="5479">
        <f t="shared" si="68"/>
        <v>2318.8000000000002</v>
      </c>
      <c r="BC68" s="5482">
        <f t="shared" si="101"/>
        <v>0</v>
      </c>
      <c r="BD68" s="5482">
        <f t="shared" si="102"/>
        <v>6315.3</v>
      </c>
      <c r="BE68" s="5478">
        <f t="shared" si="70"/>
        <v>0</v>
      </c>
      <c r="BF68" s="5437">
        <f t="shared" si="71"/>
        <v>14468.3</v>
      </c>
      <c r="BG68" s="26"/>
      <c r="BH68" s="26"/>
      <c r="BI68" s="26"/>
      <c r="BJ68" s="26"/>
    </row>
    <row r="69" spans="1:62" ht="21" customHeight="1" x14ac:dyDescent="0.25">
      <c r="B69" s="3981" t="s">
        <v>135</v>
      </c>
      <c r="C69" s="5458" t="s">
        <v>52</v>
      </c>
      <c r="D69" s="5434">
        <f t="shared" si="103"/>
        <v>39301.132075471687</v>
      </c>
      <c r="E69" s="5480">
        <f t="shared" si="103"/>
        <v>3322.6415094339591</v>
      </c>
      <c r="F69" s="5480">
        <v>2963</v>
      </c>
      <c r="G69" s="5480">
        <f t="shared" si="104"/>
        <v>2770.7547169811251</v>
      </c>
      <c r="H69" s="5480">
        <v>1988</v>
      </c>
      <c r="I69" s="5478">
        <f t="shared" si="105"/>
        <v>6093.3962264150841</v>
      </c>
      <c r="J69" s="5478">
        <f t="shared" si="106"/>
        <v>4951</v>
      </c>
      <c r="K69" s="5480">
        <f t="shared" si="107"/>
        <v>2709.6226415094302</v>
      </c>
      <c r="L69" s="5480">
        <v>3428</v>
      </c>
      <c r="M69" s="5479">
        <f t="shared" si="60"/>
        <v>8803.0188679245148</v>
      </c>
      <c r="N69" s="5479">
        <f t="shared" si="60"/>
        <v>8379</v>
      </c>
      <c r="O69" s="5480">
        <f t="shared" si="108"/>
        <v>3365.0943396226353</v>
      </c>
      <c r="P69" s="5480">
        <v>3286.5</v>
      </c>
      <c r="Q69" s="5478">
        <f t="shared" si="109"/>
        <v>12168.113207547151</v>
      </c>
      <c r="R69" s="5478">
        <f t="shared" si="110"/>
        <v>11665.5</v>
      </c>
      <c r="S69" s="5480">
        <f t="shared" si="111"/>
        <v>3365.0943396226417</v>
      </c>
      <c r="T69" s="5481">
        <v>2148</v>
      </c>
      <c r="U69" s="5478">
        <f t="shared" si="76"/>
        <v>15533.207547169792</v>
      </c>
      <c r="V69" s="5478">
        <f t="shared" si="77"/>
        <v>13813.5</v>
      </c>
      <c r="W69" s="5480">
        <f t="shared" si="112"/>
        <v>3266.0377358490564</v>
      </c>
      <c r="X69" s="5481">
        <v>1966</v>
      </c>
      <c r="Y69" s="5479">
        <f t="shared" si="61"/>
        <v>9996.2264150943338</v>
      </c>
      <c r="Z69" s="5479">
        <f t="shared" si="62"/>
        <v>7400.5</v>
      </c>
      <c r="AA69" s="5482">
        <f t="shared" si="98"/>
        <v>18799.245283018849</v>
      </c>
      <c r="AB69" s="5482">
        <f t="shared" si="98"/>
        <v>15779.5</v>
      </c>
      <c r="AC69" s="5480">
        <f t="shared" si="113"/>
        <v>3464.1509433962251</v>
      </c>
      <c r="AD69" s="5481">
        <v>2960</v>
      </c>
      <c r="AE69" s="5478">
        <f t="shared" si="78"/>
        <v>22263.396226415072</v>
      </c>
      <c r="AF69" s="5478">
        <f t="shared" si="79"/>
        <v>18739.5</v>
      </c>
      <c r="AG69" s="5480">
        <f t="shared" si="114"/>
        <v>3350.9433962264097</v>
      </c>
      <c r="AH69" s="5481">
        <v>3639.8</v>
      </c>
      <c r="AI69" s="5478">
        <f t="shared" si="80"/>
        <v>25614.339622641481</v>
      </c>
      <c r="AJ69" s="5478">
        <f t="shared" si="81"/>
        <v>22379.3</v>
      </c>
      <c r="AK69" s="5480">
        <f t="shared" si="115"/>
        <v>3478.3018867924502</v>
      </c>
      <c r="AL69" s="5481">
        <v>1950</v>
      </c>
      <c r="AM69" s="5479">
        <f t="shared" si="63"/>
        <v>10293.396226415085</v>
      </c>
      <c r="AN69" s="5479">
        <f t="shared" si="64"/>
        <v>8549.7999999999993</v>
      </c>
      <c r="AO69" s="5478">
        <f t="shared" si="82"/>
        <v>29092.641509433932</v>
      </c>
      <c r="AP69" s="5478">
        <f t="shared" si="83"/>
        <v>24329.3</v>
      </c>
      <c r="AQ69" s="5480">
        <f t="shared" si="116"/>
        <v>3478.3018867924502</v>
      </c>
      <c r="AR69" s="5481">
        <v>1439.65</v>
      </c>
      <c r="AS69" s="5478">
        <f t="shared" si="84"/>
        <v>32570.943396226383</v>
      </c>
      <c r="AT69" s="5478">
        <f t="shared" si="85"/>
        <v>25768.95</v>
      </c>
      <c r="AU69" s="5480">
        <f t="shared" si="117"/>
        <v>3237.7358490566098</v>
      </c>
      <c r="AV69" s="5481">
        <v>4494.6000000000004</v>
      </c>
      <c r="AW69" s="5478">
        <f t="shared" si="86"/>
        <v>35808.67924528299</v>
      </c>
      <c r="AX69" s="5478">
        <f t="shared" si="87"/>
        <v>30263.550000000003</v>
      </c>
      <c r="AY69" s="5480">
        <f t="shared" si="118"/>
        <v>3492.4528301886753</v>
      </c>
      <c r="AZ69" s="5481">
        <v>3728.75</v>
      </c>
      <c r="BA69" s="5479">
        <f t="shared" si="67"/>
        <v>10208.490566037735</v>
      </c>
      <c r="BB69" s="5479">
        <f t="shared" si="68"/>
        <v>9663</v>
      </c>
      <c r="BC69" s="5482">
        <f t="shared" si="101"/>
        <v>20501.88679245282</v>
      </c>
      <c r="BD69" s="5482">
        <f t="shared" si="102"/>
        <v>18212.8</v>
      </c>
      <c r="BE69" s="5478">
        <f t="shared" si="70"/>
        <v>39301.132075471665</v>
      </c>
      <c r="BF69" s="5437">
        <f t="shared" si="71"/>
        <v>33992.300000000003</v>
      </c>
      <c r="BG69" s="26"/>
      <c r="BH69" s="26"/>
      <c r="BI69" s="26"/>
      <c r="BJ69" s="26"/>
    </row>
    <row r="70" spans="1:62" ht="21" customHeight="1" x14ac:dyDescent="0.25">
      <c r="B70" s="3981" t="s">
        <v>121</v>
      </c>
      <c r="C70" s="5458" t="s">
        <v>52</v>
      </c>
      <c r="D70" s="5434">
        <f t="shared" si="103"/>
        <v>183405.28301886789</v>
      </c>
      <c r="E70" s="5480">
        <f t="shared" si="103"/>
        <v>15505.660377358477</v>
      </c>
      <c r="F70" s="5480">
        <v>13100</v>
      </c>
      <c r="G70" s="5480">
        <f t="shared" si="104"/>
        <v>12930.18867924525</v>
      </c>
      <c r="H70" s="5480">
        <v>11220</v>
      </c>
      <c r="I70" s="5478">
        <f t="shared" si="105"/>
        <v>28435.849056603729</v>
      </c>
      <c r="J70" s="5478">
        <f t="shared" si="106"/>
        <v>24320</v>
      </c>
      <c r="K70" s="5480">
        <f t="shared" si="107"/>
        <v>12644.905660377341</v>
      </c>
      <c r="L70" s="5480">
        <v>12055</v>
      </c>
      <c r="M70" s="5479">
        <f t="shared" si="60"/>
        <v>41080.754716981071</v>
      </c>
      <c r="N70" s="5479">
        <f t="shared" si="60"/>
        <v>36375</v>
      </c>
      <c r="O70" s="5480">
        <f t="shared" si="108"/>
        <v>15703.773584905632</v>
      </c>
      <c r="P70" s="5480">
        <v>14055</v>
      </c>
      <c r="Q70" s="5478">
        <f t="shared" si="109"/>
        <v>56784.528301886705</v>
      </c>
      <c r="R70" s="5478">
        <f t="shared" si="110"/>
        <v>50430</v>
      </c>
      <c r="S70" s="5480">
        <f t="shared" si="111"/>
        <v>15703.773584905659</v>
      </c>
      <c r="T70" s="5481">
        <v>15500</v>
      </c>
      <c r="U70" s="5478">
        <f t="shared" si="76"/>
        <v>72488.301886792367</v>
      </c>
      <c r="V70" s="5478">
        <f t="shared" si="77"/>
        <v>65930</v>
      </c>
      <c r="W70" s="5480">
        <f t="shared" si="112"/>
        <v>15241.509433962263</v>
      </c>
      <c r="X70" s="5481">
        <v>14873</v>
      </c>
      <c r="Y70" s="5479">
        <f t="shared" si="61"/>
        <v>46649.056603773555</v>
      </c>
      <c r="Z70" s="5479">
        <f t="shared" si="62"/>
        <v>44428</v>
      </c>
      <c r="AA70" s="5482">
        <f t="shared" si="98"/>
        <v>87729.811320754627</v>
      </c>
      <c r="AB70" s="5482">
        <f t="shared" si="98"/>
        <v>80803</v>
      </c>
      <c r="AC70" s="5480">
        <f t="shared" si="113"/>
        <v>16166.037735849051</v>
      </c>
      <c r="AD70" s="5481">
        <v>16300</v>
      </c>
      <c r="AE70" s="5478">
        <f t="shared" si="78"/>
        <v>103895.84905660368</v>
      </c>
      <c r="AF70" s="5478">
        <f t="shared" si="79"/>
        <v>97103</v>
      </c>
      <c r="AG70" s="5480">
        <f t="shared" si="114"/>
        <v>15637.735849056578</v>
      </c>
      <c r="AH70" s="5481">
        <v>14357.3</v>
      </c>
      <c r="AI70" s="5478">
        <f t="shared" si="80"/>
        <v>119533.58490566026</v>
      </c>
      <c r="AJ70" s="5478">
        <f t="shared" si="81"/>
        <v>111460.3</v>
      </c>
      <c r="AK70" s="5480">
        <f t="shared" si="115"/>
        <v>16232.075471698099</v>
      </c>
      <c r="AL70" s="5481">
        <v>16471</v>
      </c>
      <c r="AM70" s="5479">
        <f t="shared" si="63"/>
        <v>48035.849056603729</v>
      </c>
      <c r="AN70" s="5479">
        <f t="shared" si="64"/>
        <v>47128.3</v>
      </c>
      <c r="AO70" s="5478">
        <f t="shared" si="82"/>
        <v>135765.66037735835</v>
      </c>
      <c r="AP70" s="5478">
        <f t="shared" si="83"/>
        <v>127931.3</v>
      </c>
      <c r="AQ70" s="5480">
        <f t="shared" si="116"/>
        <v>16232.075471698099</v>
      </c>
      <c r="AR70" s="5481">
        <v>15218</v>
      </c>
      <c r="AS70" s="5478">
        <f t="shared" si="84"/>
        <v>151997.73584905645</v>
      </c>
      <c r="AT70" s="5478">
        <f t="shared" si="85"/>
        <v>143149.29999999999</v>
      </c>
      <c r="AU70" s="5480">
        <f t="shared" si="117"/>
        <v>15109.43396226418</v>
      </c>
      <c r="AV70" s="5481">
        <v>13744.86</v>
      </c>
      <c r="AW70" s="5478">
        <f t="shared" si="86"/>
        <v>167107.16981132064</v>
      </c>
      <c r="AX70" s="5478">
        <f t="shared" si="87"/>
        <v>156894.15999999997</v>
      </c>
      <c r="AY70" s="5480">
        <f t="shared" si="118"/>
        <v>16298.113207547151</v>
      </c>
      <c r="AZ70" s="5481">
        <v>15214.44</v>
      </c>
      <c r="BA70" s="5479">
        <f t="shared" si="67"/>
        <v>47639.622641509428</v>
      </c>
      <c r="BB70" s="5479">
        <f t="shared" si="68"/>
        <v>44177.3</v>
      </c>
      <c r="BC70" s="5482">
        <f t="shared" si="101"/>
        <v>95675.471698113164</v>
      </c>
      <c r="BD70" s="5482">
        <f t="shared" si="102"/>
        <v>91305.600000000006</v>
      </c>
      <c r="BE70" s="5478">
        <f t="shared" si="70"/>
        <v>183405.28301886778</v>
      </c>
      <c r="BF70" s="5437">
        <f t="shared" si="71"/>
        <v>172108.59999999998</v>
      </c>
      <c r="BG70" s="26"/>
      <c r="BH70" s="26"/>
      <c r="BI70" s="26"/>
      <c r="BJ70" s="26"/>
    </row>
    <row r="71" spans="1:62" ht="21" customHeight="1" x14ac:dyDescent="0.25">
      <c r="A71" s="183"/>
      <c r="B71" s="5435" t="s">
        <v>293</v>
      </c>
      <c r="C71" s="5436"/>
      <c r="D71" s="3976"/>
      <c r="E71" s="5498"/>
      <c r="F71" s="5498"/>
      <c r="G71" s="5498"/>
      <c r="H71" s="5498"/>
      <c r="I71" s="5498"/>
      <c r="J71" s="5498"/>
      <c r="K71" s="5498"/>
      <c r="L71" s="5498"/>
      <c r="M71" s="5498"/>
      <c r="N71" s="5498"/>
      <c r="O71" s="5498"/>
      <c r="P71" s="5498"/>
      <c r="Q71" s="5498"/>
      <c r="R71" s="5498"/>
      <c r="S71" s="5498"/>
      <c r="T71" s="5499"/>
      <c r="U71" s="5498"/>
      <c r="V71" s="5498"/>
      <c r="W71" s="5498"/>
      <c r="X71" s="5499"/>
      <c r="Y71" s="5498"/>
      <c r="Z71" s="5498"/>
      <c r="AA71" s="5498"/>
      <c r="AB71" s="5498"/>
      <c r="AC71" s="5498"/>
      <c r="AD71" s="5499"/>
      <c r="AE71" s="5498"/>
      <c r="AF71" s="5498"/>
      <c r="AG71" s="5498"/>
      <c r="AH71" s="5499"/>
      <c r="AI71" s="5498"/>
      <c r="AJ71" s="5498"/>
      <c r="AK71" s="5498"/>
      <c r="AL71" s="5499"/>
      <c r="AM71" s="5498"/>
      <c r="AN71" s="5498"/>
      <c r="AO71" s="5498"/>
      <c r="AP71" s="5498"/>
      <c r="AQ71" s="5498"/>
      <c r="AR71" s="5499"/>
      <c r="AS71" s="5498"/>
      <c r="AT71" s="5498"/>
      <c r="AU71" s="5498"/>
      <c r="AV71" s="5499"/>
      <c r="AW71" s="5498"/>
      <c r="AX71" s="5498"/>
      <c r="AY71" s="5498"/>
      <c r="AZ71" s="5499"/>
      <c r="BA71" s="5498"/>
      <c r="BB71" s="5498"/>
      <c r="BC71" s="5498"/>
      <c r="BD71" s="5498"/>
      <c r="BE71" s="5498"/>
      <c r="BF71" s="5526"/>
      <c r="BG71" s="26"/>
      <c r="BH71" s="26"/>
      <c r="BI71" s="26"/>
      <c r="BJ71" s="26"/>
    </row>
    <row r="72" spans="1:62" ht="21" customHeight="1" x14ac:dyDescent="0.25">
      <c r="B72" s="3981" t="s">
        <v>85</v>
      </c>
      <c r="C72" s="5458" t="s">
        <v>277</v>
      </c>
      <c r="D72" s="5527">
        <f>'Maj Techno Summ'!D48</f>
        <v>1.2919834919767839</v>
      </c>
      <c r="E72" s="5501">
        <f>+$D$72</f>
        <v>1.2919834919767839</v>
      </c>
      <c r="F72" s="5501">
        <f>+F55/F$49*1000</f>
        <v>1.6748699725599696</v>
      </c>
      <c r="G72" s="5501">
        <f>+$D$72</f>
        <v>1.2919834919767839</v>
      </c>
      <c r="H72" s="5501">
        <f>+H55/H$49*1000</f>
        <v>1.4724681152379699</v>
      </c>
      <c r="I72" s="5492">
        <f t="shared" ref="I72:J72" si="119">+I55/I$5*1000</f>
        <v>1.2919834919767841</v>
      </c>
      <c r="J72" s="5492">
        <f t="shared" si="119"/>
        <v>1.5839196390706989</v>
      </c>
      <c r="K72" s="5501">
        <f>+$D$72</f>
        <v>1.2919834919767839</v>
      </c>
      <c r="L72" s="5501">
        <f>+L55/L$49*1000</f>
        <v>1.6732351391995317</v>
      </c>
      <c r="M72" s="5493">
        <f>+M55/M$5*1000</f>
        <v>1.2919834919767841</v>
      </c>
      <c r="N72" s="5493">
        <f>+N55/N$5*1000</f>
        <v>1.6128000663789095</v>
      </c>
      <c r="O72" s="5501">
        <f>+$D$72</f>
        <v>1.2919834919767839</v>
      </c>
      <c r="P72" s="5501">
        <f>+P55/P$49*1000</f>
        <v>2.0204425334003049</v>
      </c>
      <c r="Q72" s="5492">
        <f t="shared" ref="Q72:R72" si="120">+Q55/Q$5*1000</f>
        <v>1.2919834919767839</v>
      </c>
      <c r="R72" s="5492">
        <f t="shared" si="120"/>
        <v>1.7288179609099172</v>
      </c>
      <c r="S72" s="5501">
        <f>+$D$72</f>
        <v>1.2919834919767839</v>
      </c>
      <c r="T72" s="5501">
        <f>+T55/T$49*1000</f>
        <v>2.1723488129805322</v>
      </c>
      <c r="U72" s="5492">
        <f t="shared" ref="U72:V72" si="121">+U55/U$5*1000</f>
        <v>1.2919834919767841</v>
      </c>
      <c r="V72" s="5492">
        <f t="shared" si="121"/>
        <v>1.8252431318694611</v>
      </c>
      <c r="W72" s="5501">
        <f>+$D$72</f>
        <v>1.2919834919767839</v>
      </c>
      <c r="X72" s="5501">
        <f>+X55/X$49*1000</f>
        <v>2.1825169668157312</v>
      </c>
      <c r="Y72" s="5493">
        <f>+Y55/Y$5*1000</f>
        <v>1.2919834919767843</v>
      </c>
      <c r="Z72" s="5493">
        <f>+Z55/Z$5*1000</f>
        <v>2.1230369796080271</v>
      </c>
      <c r="AA72" s="5495">
        <f>+AA55/AA$47*1000</f>
        <v>1.2919835406031652</v>
      </c>
      <c r="AB72" s="5495">
        <f>+AB55/AB$49*1000</f>
        <v>1.8857730967555693</v>
      </c>
      <c r="AC72" s="5501">
        <f>+$D$72</f>
        <v>1.2919834919767839</v>
      </c>
      <c r="AD72" s="5501">
        <f>+AD55/AD$49*1000</f>
        <v>1.9602622616082765</v>
      </c>
      <c r="AE72" s="5492">
        <f t="shared" ref="AE72:AF72" si="122">+AE55/AE$5*1000</f>
        <v>1.2919834919767841</v>
      </c>
      <c r="AF72" s="5492">
        <f t="shared" si="122"/>
        <v>1.8971142602480968</v>
      </c>
      <c r="AG72" s="5501">
        <f>+$D$72</f>
        <v>1.2919834919767839</v>
      </c>
      <c r="AH72" s="5501">
        <f>+AH55/AH$49*1000</f>
        <v>1.9913360762817935</v>
      </c>
      <c r="AI72" s="5492">
        <f t="shared" ref="AI72:AJ72" si="123">+AI55/AI$5*1000</f>
        <v>1.2919834919767841</v>
      </c>
      <c r="AJ72" s="5492">
        <f t="shared" si="123"/>
        <v>1.9080313237652622</v>
      </c>
      <c r="AK72" s="5501">
        <f>+$D$72</f>
        <v>1.2919834919767839</v>
      </c>
      <c r="AL72" s="5501">
        <f>+AL55/AL$49*1000</f>
        <v>2.1508795097980147</v>
      </c>
      <c r="AM72" s="5493">
        <f>+AM55/AM$5*1000</f>
        <v>1.2919834919767839</v>
      </c>
      <c r="AN72" s="5493">
        <f>+AN55/AN$5*1000</f>
        <v>2.0351838928378578</v>
      </c>
      <c r="AO72" s="5492">
        <f t="shared" ref="AO72:AP72" si="124">+AO55/AO$5*1000</f>
        <v>1.2919834919767839</v>
      </c>
      <c r="AP72" s="5492">
        <f t="shared" si="124"/>
        <v>1.9361770012000568</v>
      </c>
      <c r="AQ72" s="5501">
        <f>+$D$72</f>
        <v>1.2919834919767839</v>
      </c>
      <c r="AR72" s="5501">
        <f>+AR55/AR$49*1000</f>
        <v>2.3383089239607662</v>
      </c>
      <c r="AS72" s="5492">
        <f t="shared" ref="AS72:AT72" si="125">+AS55/AS$5*1000</f>
        <v>1.2919834919767839</v>
      </c>
      <c r="AT72" s="5492">
        <f t="shared" si="125"/>
        <v>1.9779579874850246</v>
      </c>
      <c r="AU72" s="5501">
        <f>+$D$72</f>
        <v>1.2919834919767839</v>
      </c>
      <c r="AV72" s="5501">
        <f>+AV55/AV$49*1000</f>
        <v>1.6370631851354291</v>
      </c>
      <c r="AW72" s="5492">
        <f t="shared" ref="AW72:AX72" si="126">+AW55/AW$5*1000</f>
        <v>1.2919834919767839</v>
      </c>
      <c r="AX72" s="5492">
        <f t="shared" si="126"/>
        <v>1.9463104103142761</v>
      </c>
      <c r="AY72" s="5501">
        <f>+$D$72</f>
        <v>1.2919834919767839</v>
      </c>
      <c r="AZ72" s="5501">
        <f>+AZ55/AZ$49*1000</f>
        <v>1.0572983711498274</v>
      </c>
      <c r="BA72" s="5493">
        <f>+BA55/BA$5*1000</f>
        <v>1.2919834919767843</v>
      </c>
      <c r="BB72" s="5493">
        <f>+BB55/BB$5*1000</f>
        <v>1.6760959856580211</v>
      </c>
      <c r="BC72" s="5495">
        <f>+BC55/BC$47*1000</f>
        <v>1.2919834919767832</v>
      </c>
      <c r="BD72" s="5495">
        <f>+BD55/BD$49*1000</f>
        <v>1.8531024733446657</v>
      </c>
      <c r="BE72" s="5492">
        <f t="shared" ref="BE72:BF72" si="127">+BE55/BE$5*1000</f>
        <v>1.2919834919767841</v>
      </c>
      <c r="BF72" s="5433">
        <f t="shared" si="127"/>
        <v>1.8691736607451781</v>
      </c>
      <c r="BG72" s="26"/>
      <c r="BH72" s="26"/>
      <c r="BI72" s="26"/>
      <c r="BJ72" s="26"/>
    </row>
    <row r="73" spans="1:62" ht="21" customHeight="1" x14ac:dyDescent="0.25">
      <c r="B73" s="3981" t="s">
        <v>869</v>
      </c>
      <c r="C73" s="5458" t="s">
        <v>277</v>
      </c>
      <c r="D73" s="5527">
        <f>'Maj Techno Summ'!D49</f>
        <v>0.24</v>
      </c>
      <c r="E73" s="5501">
        <f>+$D$73</f>
        <v>0.24</v>
      </c>
      <c r="F73" s="5501">
        <f>+F56/F$49*1000</f>
        <v>0.7979989896961629</v>
      </c>
      <c r="G73" s="5501">
        <f>+$D$73</f>
        <v>0.24</v>
      </c>
      <c r="H73" s="5501">
        <f>+H56/H$49*1000</f>
        <v>0.75101559082214608</v>
      </c>
      <c r="I73" s="5492">
        <f t="shared" ref="I73:J73" si="128">+I56/I$5*1000</f>
        <v>0.23999999999999994</v>
      </c>
      <c r="J73" s="5492">
        <f t="shared" si="128"/>
        <v>0.77688703587322516</v>
      </c>
      <c r="K73" s="5501">
        <f>+$D$73</f>
        <v>0.24</v>
      </c>
      <c r="L73" s="5501">
        <f>+L56/L$49*1000</f>
        <v>0.61476690417874169</v>
      </c>
      <c r="M73" s="5493">
        <f t="shared" ref="M73:N79" si="129">+M56/M$5*1000</f>
        <v>0.24</v>
      </c>
      <c r="N73" s="5493">
        <f t="shared" si="129"/>
        <v>0.72446356679464197</v>
      </c>
      <c r="O73" s="5501">
        <f>+$D$73</f>
        <v>0.24</v>
      </c>
      <c r="P73" s="5501">
        <f>+P56/P$49*1000</f>
        <v>0.23028699843057238</v>
      </c>
      <c r="Q73" s="5492">
        <f t="shared" ref="Q73:R73" si="130">+Q56/Q$5*1000</f>
        <v>0.24</v>
      </c>
      <c r="R73" s="5492">
        <f t="shared" si="130"/>
        <v>0.58381613687093847</v>
      </c>
      <c r="S73" s="5501">
        <f>+$D$73</f>
        <v>0.24</v>
      </c>
      <c r="T73" s="5501">
        <f>+T56/T$49*1000</f>
        <v>0.72073458865417828</v>
      </c>
      <c r="U73" s="5492">
        <f t="shared" ref="U73:V73" si="131">+U56/U$5*1000</f>
        <v>0.24000000000000002</v>
      </c>
      <c r="V73" s="5492">
        <f t="shared" si="131"/>
        <v>0.61358267354568485</v>
      </c>
      <c r="W73" s="5501">
        <f>+$D$73</f>
        <v>0.24</v>
      </c>
      <c r="X73" s="5501">
        <f>+X56/X$49*1000</f>
        <v>0.65475509004471932</v>
      </c>
      <c r="Y73" s="5493">
        <f t="shared" ref="Y73:Z73" si="132">+Y56/Y$5*1000</f>
        <v>0.24</v>
      </c>
      <c r="Z73" s="5493">
        <f t="shared" si="132"/>
        <v>0.53024388631460018</v>
      </c>
      <c r="AA73" s="5495">
        <f>+AA56/AA$47*1000</f>
        <v>0.24000000903287977</v>
      </c>
      <c r="AB73" s="5495">
        <f>+AB56/AB$49*1000</f>
        <v>0.62055841053153327</v>
      </c>
      <c r="AC73" s="5501">
        <f>+$D$73</f>
        <v>0.24</v>
      </c>
      <c r="AD73" s="5501">
        <f>+AD56/AD$49*1000</f>
        <v>0.63104333079170549</v>
      </c>
      <c r="AE73" s="5492">
        <f t="shared" ref="AE73:AF73" si="133">+AE56/AE$5*1000</f>
        <v>0.24000000000000005</v>
      </c>
      <c r="AF73" s="5492">
        <f t="shared" si="133"/>
        <v>0.62215466932698782</v>
      </c>
      <c r="AG73" s="5501">
        <f>+$D$73</f>
        <v>0.24</v>
      </c>
      <c r="AH73" s="5501">
        <f>+AH56/AH$49*1000</f>
        <v>0.93587596274340179</v>
      </c>
      <c r="AI73" s="5492">
        <f t="shared" ref="AI73:AJ73" si="134">+AI56/AI$5*1000</f>
        <v>0.24000000000000005</v>
      </c>
      <c r="AJ73" s="5492">
        <f t="shared" si="134"/>
        <v>0.65850697603242747</v>
      </c>
      <c r="AK73" s="5501">
        <f>+$D$73</f>
        <v>0.24</v>
      </c>
      <c r="AL73" s="5501">
        <f>+AL56/AL$49*1000</f>
        <v>0.70776804382242353</v>
      </c>
      <c r="AM73" s="5493">
        <f t="shared" ref="AM73:AP73" si="135">+AM56/AM$5*1000</f>
        <v>0.24</v>
      </c>
      <c r="AN73" s="5493">
        <f t="shared" si="135"/>
        <v>0.749970790611313</v>
      </c>
      <c r="AO73" s="5492">
        <f t="shared" si="135"/>
        <v>0.24000000000000002</v>
      </c>
      <c r="AP73" s="5492">
        <f t="shared" si="135"/>
        <v>0.6642163063921539</v>
      </c>
      <c r="AQ73" s="5501">
        <f>+$D$73</f>
        <v>0.24</v>
      </c>
      <c r="AR73" s="5501">
        <f>+AR56/AR$49*1000</f>
        <v>0.67769154057714798</v>
      </c>
      <c r="AS73" s="5492">
        <f t="shared" ref="AS73:AT73" si="136">+AS56/AS$5*1000</f>
        <v>0.24000000000000002</v>
      </c>
      <c r="AT73" s="5492">
        <f t="shared" si="136"/>
        <v>0.66561627424120207</v>
      </c>
      <c r="AU73" s="5501">
        <f>+$D$73</f>
        <v>0.24</v>
      </c>
      <c r="AV73" s="5501">
        <f>+AV56/AV$49*1000</f>
        <v>0.69856890828034024</v>
      </c>
      <c r="AW73" s="5492">
        <f t="shared" ref="AW73:AX73" si="137">+AW56/AW$5*1000</f>
        <v>0.24000000000000005</v>
      </c>
      <c r="AX73" s="5492">
        <f t="shared" si="137"/>
        <v>0.66867561695225541</v>
      </c>
      <c r="AY73" s="5501">
        <f>+$D$73</f>
        <v>0.24</v>
      </c>
      <c r="AZ73" s="5501">
        <f>+AZ56/AZ$49*1000</f>
        <v>0.5651077500973215</v>
      </c>
      <c r="BA73" s="5493">
        <f t="shared" ref="BA73:BB73" si="138">+BA56/BA$5*1000</f>
        <v>0.24</v>
      </c>
      <c r="BB73" s="5493">
        <f t="shared" si="138"/>
        <v>0.64664458476717313</v>
      </c>
      <c r="BC73" s="5495">
        <f>+BC56/BC$47*1000</f>
        <v>0.23999999999999988</v>
      </c>
      <c r="BD73" s="5495">
        <f>+BD56/BD$49*1000</f>
        <v>0.69757750552451803</v>
      </c>
      <c r="BE73" s="5492">
        <f t="shared" ref="BE73:BF73" si="139">+BE56/BE$5*1000</f>
        <v>0.24000000000000005</v>
      </c>
      <c r="BF73" s="5433">
        <f t="shared" si="139"/>
        <v>0.6596893937147208</v>
      </c>
      <c r="BG73" s="26"/>
      <c r="BH73" s="26"/>
      <c r="BI73" s="26"/>
      <c r="BJ73" s="26"/>
    </row>
    <row r="74" spans="1:62" ht="21" customHeight="1" x14ac:dyDescent="0.25">
      <c r="B74" s="905" t="s">
        <v>911</v>
      </c>
      <c r="C74" s="5460" t="s">
        <v>277</v>
      </c>
      <c r="D74" s="5528">
        <f>SUM(D72:D73)</f>
        <v>1.5319834919767839</v>
      </c>
      <c r="E74" s="5502">
        <f t="shared" ref="E74:H74" si="140">SUM(E72:E73)</f>
        <v>1.5319834919767839</v>
      </c>
      <c r="F74" s="5502">
        <f>SUM(F72:F73)</f>
        <v>2.4728689622561326</v>
      </c>
      <c r="G74" s="5502">
        <f t="shared" si="140"/>
        <v>1.5319834919767839</v>
      </c>
      <c r="H74" s="5502">
        <f t="shared" si="140"/>
        <v>2.223483706060116</v>
      </c>
      <c r="I74" s="5503">
        <f t="shared" ref="I74:J74" si="141">+I57/I$5*1000</f>
        <v>1.5319834919767841</v>
      </c>
      <c r="J74" s="5503">
        <f t="shared" si="141"/>
        <v>2.360806674943924</v>
      </c>
      <c r="K74" s="5502">
        <f t="shared" ref="K74:L74" si="142">SUM(K72:K73)</f>
        <v>1.5319834919767839</v>
      </c>
      <c r="L74" s="5502">
        <f t="shared" si="142"/>
        <v>2.2880020433782735</v>
      </c>
      <c r="M74" s="5504">
        <f t="shared" si="129"/>
        <v>1.5319834919767841</v>
      </c>
      <c r="N74" s="5504">
        <f t="shared" si="129"/>
        <v>2.3372636331735515</v>
      </c>
      <c r="O74" s="5502">
        <f t="shared" ref="O74:P74" si="143">SUM(O72:O73)</f>
        <v>1.5319834919767839</v>
      </c>
      <c r="P74" s="5502">
        <f t="shared" si="143"/>
        <v>2.2507295318308773</v>
      </c>
      <c r="Q74" s="5503">
        <f t="shared" ref="Q74:R74" si="144">+Q57/Q$5*1000</f>
        <v>1.5319834919767839</v>
      </c>
      <c r="R74" s="5503">
        <f t="shared" si="144"/>
        <v>2.3126340977808555</v>
      </c>
      <c r="S74" s="5502">
        <f t="shared" ref="S74" si="145">SUM(S72:S73)</f>
        <v>1.5319834919767839</v>
      </c>
      <c r="T74" s="5502">
        <f t="shared" ref="T74" si="146">SUM(T72:T73)</f>
        <v>2.8930834016347102</v>
      </c>
      <c r="U74" s="5503">
        <f t="shared" ref="U74:V74" si="147">+U57/U$5*1000</f>
        <v>1.5319834919767841</v>
      </c>
      <c r="V74" s="5503">
        <f t="shared" si="147"/>
        <v>2.4388258054151462</v>
      </c>
      <c r="W74" s="5502">
        <f t="shared" ref="W74" si="148">SUM(W72:W73)</f>
        <v>1.5319834919767839</v>
      </c>
      <c r="X74" s="5502">
        <f t="shared" ref="X74" si="149">SUM(X72:X73)</f>
        <v>2.8372720568604506</v>
      </c>
      <c r="Y74" s="5504">
        <f t="shared" ref="Y74:Z74" si="150">+Y57/Y$5*1000</f>
        <v>1.5319834919767841</v>
      </c>
      <c r="Z74" s="5504">
        <f t="shared" si="150"/>
        <v>2.6532808659226275</v>
      </c>
      <c r="AA74" s="5505">
        <f>+AA57/AA$47*1000</f>
        <v>1.531983549636045</v>
      </c>
      <c r="AB74" s="5505">
        <f>+AB57/AB$49*1000</f>
        <v>2.5063315072871024</v>
      </c>
      <c r="AC74" s="5502">
        <f t="shared" ref="AC74" si="151">SUM(AC72:AC73)</f>
        <v>1.5319834919767839</v>
      </c>
      <c r="AD74" s="5502">
        <f t="shared" ref="AD74" si="152">SUM(AD72:AD73)</f>
        <v>2.5913055923999821</v>
      </c>
      <c r="AE74" s="5503">
        <f t="shared" ref="AE74:AF74" si="153">+AE57/AE$5*1000</f>
        <v>1.5319834919767841</v>
      </c>
      <c r="AF74" s="5503">
        <f t="shared" si="153"/>
        <v>2.5192689295750847</v>
      </c>
      <c r="AG74" s="5502">
        <f t="shared" ref="AG74" si="154">SUM(AG72:AG73)</f>
        <v>1.5319834919767839</v>
      </c>
      <c r="AH74" s="5502">
        <f t="shared" ref="AH74" si="155">SUM(AH72:AH73)</f>
        <v>2.9272120390251954</v>
      </c>
      <c r="AI74" s="5503">
        <f t="shared" ref="AI74:AJ74" si="156">+AI57/AI$5*1000</f>
        <v>1.5319834919767841</v>
      </c>
      <c r="AJ74" s="5503">
        <f t="shared" si="156"/>
        <v>2.5665382997976893</v>
      </c>
      <c r="AK74" s="5502">
        <f t="shared" ref="AK74" si="157">SUM(AK72:AK73)</f>
        <v>1.5319834919767839</v>
      </c>
      <c r="AL74" s="5502">
        <f t="shared" ref="AL74" si="158">SUM(AL72:AL73)</f>
        <v>2.8586475536204383</v>
      </c>
      <c r="AM74" s="5504">
        <f t="shared" ref="AM74:AP74" si="159">+AM57/AM$5*1000</f>
        <v>1.5319834919767839</v>
      </c>
      <c r="AN74" s="5504">
        <f t="shared" si="159"/>
        <v>2.7851546834491709</v>
      </c>
      <c r="AO74" s="5503">
        <f t="shared" si="159"/>
        <v>1.5319834919767841</v>
      </c>
      <c r="AP74" s="5503">
        <f t="shared" si="159"/>
        <v>2.6003933075922108</v>
      </c>
      <c r="AQ74" s="5502">
        <f t="shared" ref="AQ74" si="160">SUM(AQ72:AQ73)</f>
        <v>1.5319834919767839</v>
      </c>
      <c r="AR74" s="5502">
        <f t="shared" ref="AR74" si="161">SUM(AR72:AR73)</f>
        <v>3.0160004645379139</v>
      </c>
      <c r="AS74" s="5503">
        <f t="shared" ref="AS74:AT74" si="162">+AS57/AS$5*1000</f>
        <v>1.5319834919767841</v>
      </c>
      <c r="AT74" s="5503">
        <f t="shared" si="162"/>
        <v>2.6435742617262261</v>
      </c>
      <c r="AU74" s="5502">
        <f t="shared" ref="AU74" si="163">SUM(AU72:AU73)</f>
        <v>1.5319834919767839</v>
      </c>
      <c r="AV74" s="5502">
        <f t="shared" ref="AV74" si="164">SUM(AV72:AV73)</f>
        <v>2.3356320934157693</v>
      </c>
      <c r="AW74" s="5503">
        <f t="shared" ref="AW74:AX74" si="165">+AW57/AW$5*1000</f>
        <v>1.5319834919767841</v>
      </c>
      <c r="AX74" s="5503">
        <f t="shared" si="165"/>
        <v>2.6149860272665317</v>
      </c>
      <c r="AY74" s="5502">
        <f t="shared" ref="AY74" si="166">SUM(AY72:AY73)</f>
        <v>1.5319834919767839</v>
      </c>
      <c r="AZ74" s="5502">
        <f t="shared" ref="AZ74" si="167">SUM(AZ72:AZ73)</f>
        <v>1.622406121247149</v>
      </c>
      <c r="BA74" s="5504">
        <f t="shared" ref="BA74:BB74" si="168">+BA57/BA$5*1000</f>
        <v>1.5319834919767841</v>
      </c>
      <c r="BB74" s="5504">
        <f t="shared" si="168"/>
        <v>2.3227405704251942</v>
      </c>
      <c r="BC74" s="5505">
        <f>+BC57/BC$47*1000</f>
        <v>1.531983491976783</v>
      </c>
      <c r="BD74" s="5505">
        <f>+BD57/BD$49*1000</f>
        <v>2.5506799788691836</v>
      </c>
      <c r="BE74" s="5503">
        <f t="shared" ref="BE74:BF74" si="169">+BE57/BE$5*1000</f>
        <v>1.5319834919767841</v>
      </c>
      <c r="BF74" s="5529">
        <f t="shared" si="169"/>
        <v>2.5288630544598991</v>
      </c>
      <c r="BG74" s="26"/>
      <c r="BH74" s="26"/>
      <c r="BI74" s="26"/>
      <c r="BJ74" s="26"/>
    </row>
    <row r="75" spans="1:62" ht="21" customHeight="1" x14ac:dyDescent="0.25">
      <c r="B75" s="3981" t="s">
        <v>86</v>
      </c>
      <c r="C75" s="5458" t="s">
        <v>277</v>
      </c>
      <c r="D75" s="5527">
        <f>'Maj Techno Summ'!D51</f>
        <v>16.822446796403778</v>
      </c>
      <c r="E75" s="5501">
        <f>+$D$75</f>
        <v>16.822446796403778</v>
      </c>
      <c r="F75" s="5501">
        <f>+F58/F$49*1000</f>
        <v>19.532417131516546</v>
      </c>
      <c r="G75" s="5501">
        <f>+$D$75</f>
        <v>16.822446796403778</v>
      </c>
      <c r="H75" s="5501">
        <f>+H58/H$49*1000</f>
        <v>19.267160009812663</v>
      </c>
      <c r="I75" s="5492">
        <f t="shared" ref="I75:J75" si="170">+I58/I$5*1000</f>
        <v>16.822446796403778</v>
      </c>
      <c r="J75" s="5492">
        <f t="shared" si="170"/>
        <v>19.413234414997163</v>
      </c>
      <c r="K75" s="5501">
        <f>+$D$75</f>
        <v>16.822446796403778</v>
      </c>
      <c r="L75" s="5501">
        <f>+L58/L$49*1000</f>
        <v>18.533885711197371</v>
      </c>
      <c r="M75" s="5493">
        <f t="shared" si="129"/>
        <v>16.822446796403778</v>
      </c>
      <c r="N75" s="5493">
        <f t="shared" si="129"/>
        <v>19.128880530063253</v>
      </c>
      <c r="O75" s="5501">
        <f>+$D$75</f>
        <v>16.822446796403778</v>
      </c>
      <c r="P75" s="5501">
        <f>+P58/P$49*1000</f>
        <v>18.418614836739554</v>
      </c>
      <c r="Q75" s="5492">
        <f t="shared" ref="Q75:R75" si="171">+Q58/Q$5*1000</f>
        <v>16.822446796403778</v>
      </c>
      <c r="R75" s="5492">
        <f t="shared" si="171"/>
        <v>18.926723098516657</v>
      </c>
      <c r="S75" s="5501">
        <f>+$D$75</f>
        <v>16.822446796403778</v>
      </c>
      <c r="T75" s="5501">
        <f>+T58/T$49*1000</f>
        <v>18.117745223013863</v>
      </c>
      <c r="U75" s="5492">
        <f t="shared" ref="U75:V75" si="172">+U58/U$5*1000</f>
        <v>16.822446796403778</v>
      </c>
      <c r="V75" s="5492">
        <f t="shared" si="172"/>
        <v>18.750840763505202</v>
      </c>
      <c r="W75" s="5501">
        <f>+$D$75</f>
        <v>16.822446796403778</v>
      </c>
      <c r="X75" s="5501">
        <f>+X58/X$49*1000</f>
        <v>18.015254180433331</v>
      </c>
      <c r="Y75" s="5493">
        <f t="shared" ref="Y75:Z75" si="173">+Y58/Y$5*1000</f>
        <v>16.822446796403778</v>
      </c>
      <c r="Z75" s="5493">
        <f t="shared" si="173"/>
        <v>18.189303379430129</v>
      </c>
      <c r="AA75" s="5495">
        <f>+AA58/AA$47*1000</f>
        <v>16.822447429550191</v>
      </c>
      <c r="AB75" s="5495">
        <f>+AB58/AB$49*1000</f>
        <v>18.62622941092074</v>
      </c>
      <c r="AC75" s="5501">
        <f>+$D$75</f>
        <v>16.822446796403778</v>
      </c>
      <c r="AD75" s="5501">
        <f>+AD58/AD$49*1000</f>
        <v>18.738854085282775</v>
      </c>
      <c r="AE75" s="5492">
        <f t="shared" ref="AE75:AF75" si="174">+AE58/AE$5*1000</f>
        <v>16.822446796403781</v>
      </c>
      <c r="AF75" s="5492">
        <f t="shared" si="174"/>
        <v>18.643372502201032</v>
      </c>
      <c r="AG75" s="5501">
        <f>+$D$75</f>
        <v>16.822446796403778</v>
      </c>
      <c r="AH75" s="5501">
        <f>+AH58/AH$49*1000</f>
        <v>18.920292380129105</v>
      </c>
      <c r="AI75" s="5492">
        <f t="shared" ref="AI75:AJ75" si="175">+AI58/AI$5*1000</f>
        <v>16.822446796403781</v>
      </c>
      <c r="AJ75" s="5492">
        <f t="shared" si="175"/>
        <v>18.675451523231953</v>
      </c>
      <c r="AK75" s="5501">
        <f>+$D$75</f>
        <v>16.822446796403778</v>
      </c>
      <c r="AL75" s="5501">
        <f>+AL58/AL$49*1000</f>
        <v>17.50576934363384</v>
      </c>
      <c r="AM75" s="5493">
        <f t="shared" ref="AM75:AP75" si="176">+AM58/AM$5*1000</f>
        <v>16.822446796403778</v>
      </c>
      <c r="AN75" s="5493">
        <f t="shared" si="176"/>
        <v>18.370337155289739</v>
      </c>
      <c r="AO75" s="5492">
        <f t="shared" si="176"/>
        <v>16.822446796403778</v>
      </c>
      <c r="AP75" s="5492">
        <f t="shared" si="176"/>
        <v>18.539893502275209</v>
      </c>
      <c r="AQ75" s="5501">
        <f>+$D$75</f>
        <v>16.822446796403778</v>
      </c>
      <c r="AR75" s="5501">
        <f>+AR58/AR$49*1000</f>
        <v>15.927145460455749</v>
      </c>
      <c r="AS75" s="5492">
        <f t="shared" ref="AS75:AT75" si="177">+AS58/AS$5*1000</f>
        <v>16.822446796403778</v>
      </c>
      <c r="AT75" s="5492">
        <f t="shared" si="177"/>
        <v>18.268427609315111</v>
      </c>
      <c r="AU75" s="5501">
        <f>+$D$75</f>
        <v>16.822446796403778</v>
      </c>
      <c r="AV75" s="5501">
        <f>+AV58/AV$49*1000</f>
        <v>16.52920777242154</v>
      </c>
      <c r="AW75" s="5492">
        <f t="shared" ref="AW75:AX75" si="178">+AW58/AW$5*1000</f>
        <v>16.822446796403778</v>
      </c>
      <c r="AX75" s="5492">
        <f t="shared" si="178"/>
        <v>18.106965236601198</v>
      </c>
      <c r="AY75" s="5501">
        <f>+$D$75</f>
        <v>16.822446796403778</v>
      </c>
      <c r="AZ75" s="5501">
        <f>+AZ58/AZ$49*1000</f>
        <v>17.600372023192385</v>
      </c>
      <c r="BA75" s="5493">
        <f t="shared" ref="BA75:BB75" si="179">+BA58/BA$5*1000</f>
        <v>16.822446796403781</v>
      </c>
      <c r="BB75" s="5493">
        <f t="shared" si="179"/>
        <v>16.688820194193831</v>
      </c>
      <c r="BC75" s="5495">
        <f>+BC58/BC$47*1000</f>
        <v>16.822446796403767</v>
      </c>
      <c r="BD75" s="5495">
        <f>+BD58/BD$49*1000</f>
        <v>17.517694443528658</v>
      </c>
      <c r="BE75" s="5492">
        <f t="shared" ref="BE75:BF75" si="180">+BE58/BE$5*1000</f>
        <v>16.822446796403781</v>
      </c>
      <c r="BF75" s="5433">
        <f t="shared" si="180"/>
        <v>18.06301096315628</v>
      </c>
      <c r="BG75" s="26"/>
      <c r="BH75" s="26"/>
      <c r="BI75" s="26"/>
      <c r="BJ75" s="26"/>
    </row>
    <row r="76" spans="1:62" ht="21" customHeight="1" x14ac:dyDescent="0.25">
      <c r="A76" s="3272"/>
      <c r="B76" s="3981" t="s">
        <v>1753</v>
      </c>
      <c r="C76" s="5458" t="s">
        <v>277</v>
      </c>
      <c r="D76" s="5527">
        <v>0</v>
      </c>
      <c r="E76" s="5501">
        <f>+$D$76</f>
        <v>0</v>
      </c>
      <c r="F76" s="5501">
        <f>+F59/F$49*1000</f>
        <v>0</v>
      </c>
      <c r="G76" s="5501">
        <f>+$D$76</f>
        <v>0</v>
      </c>
      <c r="H76" s="5501">
        <f>+H59/H$49*1000</f>
        <v>0</v>
      </c>
      <c r="I76" s="5492">
        <f t="shared" ref="I76:J76" si="181">+I59/I$5*1000</f>
        <v>0</v>
      </c>
      <c r="J76" s="5492">
        <f t="shared" si="181"/>
        <v>0</v>
      </c>
      <c r="K76" s="5501">
        <f>+$D$76</f>
        <v>0</v>
      </c>
      <c r="L76" s="5501">
        <f>+L59/L$49*1000</f>
        <v>0</v>
      </c>
      <c r="M76" s="5493">
        <f t="shared" si="129"/>
        <v>0</v>
      </c>
      <c r="N76" s="5493">
        <f t="shared" si="129"/>
        <v>0</v>
      </c>
      <c r="O76" s="5501">
        <f>+$D$76</f>
        <v>0</v>
      </c>
      <c r="P76" s="5501">
        <f>+P59/P$49*1000</f>
        <v>0</v>
      </c>
      <c r="Q76" s="5492">
        <f t="shared" ref="Q76:R76" si="182">+Q59/Q$5*1000</f>
        <v>0</v>
      </c>
      <c r="R76" s="5492">
        <f t="shared" si="182"/>
        <v>0</v>
      </c>
      <c r="S76" s="5501">
        <f>+$D$76</f>
        <v>0</v>
      </c>
      <c r="T76" s="5501">
        <f>+T59/T$49*1000</f>
        <v>0.11489410422751542</v>
      </c>
      <c r="U76" s="5492">
        <f t="shared" ref="U76:V76" si="183">+U59/U$5*1000</f>
        <v>0</v>
      </c>
      <c r="V76" s="5492">
        <f t="shared" si="183"/>
        <v>2.4978539360313252E-2</v>
      </c>
      <c r="W76" s="5501">
        <f>+$D$76</f>
        <v>0</v>
      </c>
      <c r="X76" s="5501">
        <f>+X59/X$49*1000</f>
        <v>0</v>
      </c>
      <c r="Y76" s="5493">
        <f t="shared" ref="Y76:Z76" si="184">+Y59/Y$5*1000</f>
        <v>0</v>
      </c>
      <c r="Z76" s="5493">
        <f t="shared" si="184"/>
        <v>3.8779606824970399E-2</v>
      </c>
      <c r="AA76" s="5495">
        <f t="shared" ref="AA76" si="185">+AA59/AA$5*1000</f>
        <v>0</v>
      </c>
      <c r="AB76" s="5495">
        <f t="shared" ref="AB76" si="186">+AB59/AB$5*1000</f>
        <v>2.074670452143116E-2</v>
      </c>
      <c r="AC76" s="5501">
        <f>+$D$76</f>
        <v>0</v>
      </c>
      <c r="AD76" s="5501">
        <f>+AD59/AD$49*1000</f>
        <v>0</v>
      </c>
      <c r="AE76" s="5492">
        <f t="shared" ref="AE76:AF76" si="187">+AE59/AE$5*1000</f>
        <v>0</v>
      </c>
      <c r="AF76" s="5492">
        <f t="shared" si="187"/>
        <v>1.7587830121050061E-2</v>
      </c>
      <c r="AG76" s="5501">
        <f>+$D$76</f>
        <v>0</v>
      </c>
      <c r="AH76" s="5501">
        <f>+AH59/AH$49*1000</f>
        <v>0</v>
      </c>
      <c r="AI76" s="5492">
        <f t="shared" ref="AI76:AJ76" si="188">+AI59/AI$5*1000</f>
        <v>0</v>
      </c>
      <c r="AJ76" s="5492">
        <f t="shared" si="188"/>
        <v>1.5549822692258105E-2</v>
      </c>
      <c r="AK76" s="5501">
        <f>+$D$76</f>
        <v>0</v>
      </c>
      <c r="AL76" s="5501">
        <f>+AL59/AL$49*1000</f>
        <v>0</v>
      </c>
      <c r="AM76" s="5493">
        <f t="shared" ref="AM76:AP76" si="189">+AM59/AM$5*1000</f>
        <v>0</v>
      </c>
      <c r="AN76" s="5493">
        <f t="shared" si="189"/>
        <v>0</v>
      </c>
      <c r="AO76" s="5492">
        <f t="shared" si="189"/>
        <v>0</v>
      </c>
      <c r="AP76" s="5492">
        <f t="shared" si="189"/>
        <v>1.3747655681148134E-2</v>
      </c>
      <c r="AQ76" s="5501">
        <f>+$D$76</f>
        <v>0</v>
      </c>
      <c r="AR76" s="5501">
        <f>+AR59/AR$49*1000</f>
        <v>0</v>
      </c>
      <c r="AS76" s="5492">
        <f t="shared" ref="AS76:AT76" si="190">+AS59/AS$5*1000</f>
        <v>0</v>
      </c>
      <c r="AT76" s="5492">
        <f t="shared" si="190"/>
        <v>1.2319279840006874E-2</v>
      </c>
      <c r="AU76" s="5501">
        <f>+$D$76</f>
        <v>0</v>
      </c>
      <c r="AV76" s="5501">
        <f>+AV59/AV$49*1000</f>
        <v>0</v>
      </c>
      <c r="AW76" s="5492">
        <f t="shared" ref="AW76:AX76" si="191">+AW59/AW$5*1000</f>
        <v>0</v>
      </c>
      <c r="AX76" s="5492">
        <f t="shared" si="191"/>
        <v>1.1175588807611004E-2</v>
      </c>
      <c r="AY76" s="5501">
        <f>+$D$76</f>
        <v>0</v>
      </c>
      <c r="AZ76" s="5501">
        <f>+AZ59/AZ$49*1000</f>
        <v>0</v>
      </c>
      <c r="BA76" s="5493">
        <f t="shared" ref="BA76:BD79" si="192">+BA59/BA$5*1000</f>
        <v>0</v>
      </c>
      <c r="BB76" s="5493">
        <f t="shared" si="192"/>
        <v>0</v>
      </c>
      <c r="BC76" s="5495">
        <f t="shared" si="192"/>
        <v>0</v>
      </c>
      <c r="BD76" s="5495">
        <f t="shared" si="192"/>
        <v>0</v>
      </c>
      <c r="BE76" s="5492">
        <f t="shared" ref="BE76:BF76" si="193">+BE59/BE$5*1000</f>
        <v>0</v>
      </c>
      <c r="BF76" s="5433">
        <f t="shared" si="193"/>
        <v>1.0205917534130115E-2</v>
      </c>
      <c r="BG76" s="26"/>
      <c r="BH76" s="26"/>
      <c r="BI76" s="26"/>
      <c r="BJ76" s="26"/>
    </row>
    <row r="77" spans="1:62" ht="21" customHeight="1" x14ac:dyDescent="0.25">
      <c r="A77" s="3272"/>
      <c r="B77" s="905" t="s">
        <v>1754</v>
      </c>
      <c r="C77" s="5460" t="s">
        <v>277</v>
      </c>
      <c r="D77" s="5528">
        <f>SUM(D75:D76)</f>
        <v>16.822446796403778</v>
      </c>
      <c r="E77" s="5502">
        <f t="shared" ref="E77:H77" si="194">SUM(E75:E76)</f>
        <v>16.822446796403778</v>
      </c>
      <c r="F77" s="5502">
        <f t="shared" si="194"/>
        <v>19.532417131516546</v>
      </c>
      <c r="G77" s="5502">
        <f t="shared" si="194"/>
        <v>16.822446796403778</v>
      </c>
      <c r="H77" s="5502">
        <f t="shared" si="194"/>
        <v>19.267160009812663</v>
      </c>
      <c r="I77" s="5503">
        <f t="shared" ref="I77:J77" si="195">+I60/I$5*1000</f>
        <v>16.822446796403778</v>
      </c>
      <c r="J77" s="5503">
        <f t="shared" si="195"/>
        <v>19.413234414997163</v>
      </c>
      <c r="K77" s="5502">
        <f t="shared" ref="K77:L77" si="196">SUM(K75:K76)</f>
        <v>16.822446796403778</v>
      </c>
      <c r="L77" s="5502">
        <f t="shared" si="196"/>
        <v>18.533885711197371</v>
      </c>
      <c r="M77" s="5504">
        <f t="shared" si="129"/>
        <v>16.822446796403778</v>
      </c>
      <c r="N77" s="5504">
        <f t="shared" si="129"/>
        <v>19.128880530063253</v>
      </c>
      <c r="O77" s="5502">
        <f t="shared" ref="O77:P77" si="197">SUM(O75:O76)</f>
        <v>16.822446796403778</v>
      </c>
      <c r="P77" s="5502">
        <f t="shared" si="197"/>
        <v>18.418614836739554</v>
      </c>
      <c r="Q77" s="5503">
        <f t="shared" ref="Q77:R77" si="198">+Q60/Q$5*1000</f>
        <v>16.822446796403778</v>
      </c>
      <c r="R77" s="5503">
        <f t="shared" si="198"/>
        <v>18.926723098516657</v>
      </c>
      <c r="S77" s="5502">
        <f t="shared" ref="S77" si="199">SUM(S75:S76)</f>
        <v>16.822446796403778</v>
      </c>
      <c r="T77" s="5502">
        <f t="shared" ref="T77" si="200">SUM(T75:T76)</f>
        <v>18.23263932724138</v>
      </c>
      <c r="U77" s="5503">
        <f t="shared" ref="U77:V77" si="201">+U60/U$5*1000</f>
        <v>16.822446796403778</v>
      </c>
      <c r="V77" s="5503">
        <f t="shared" si="201"/>
        <v>18.775819302865518</v>
      </c>
      <c r="W77" s="5502">
        <f t="shared" ref="W77" si="202">SUM(W75:W76)</f>
        <v>16.822446796403778</v>
      </c>
      <c r="X77" s="5502">
        <f t="shared" ref="X77" si="203">SUM(X75:X76)</f>
        <v>18.015254180433331</v>
      </c>
      <c r="Y77" s="5504">
        <f t="shared" ref="Y77:Z77" si="204">+Y60/Y$5*1000</f>
        <v>16.822446796403778</v>
      </c>
      <c r="Z77" s="5504">
        <f t="shared" si="204"/>
        <v>18.228082986255103</v>
      </c>
      <c r="AA77" s="5505">
        <f t="shared" ref="AA77" si="205">+AA60/AA$5*1000</f>
        <v>16.822446796403781</v>
      </c>
      <c r="AB77" s="5505">
        <f t="shared" ref="AB77" si="206">+AB60/AB$5*1000</f>
        <v>18.646962790170512</v>
      </c>
      <c r="AC77" s="5502">
        <f t="shared" ref="AC77" si="207">SUM(AC75:AC76)</f>
        <v>16.822446796403778</v>
      </c>
      <c r="AD77" s="5502">
        <f t="shared" ref="AD77" si="208">SUM(AD75:AD76)</f>
        <v>18.738854085282775</v>
      </c>
      <c r="AE77" s="5503">
        <f t="shared" ref="AE77:AF77" si="209">+AE60/AE$5*1000</f>
        <v>16.822446796403781</v>
      </c>
      <c r="AF77" s="5503">
        <f t="shared" si="209"/>
        <v>18.660960332322084</v>
      </c>
      <c r="AG77" s="5502">
        <f t="shared" ref="AG77" si="210">SUM(AG75:AG76)</f>
        <v>16.822446796403778</v>
      </c>
      <c r="AH77" s="5502">
        <f t="shared" ref="AH77" si="211">SUM(AH75:AH76)</f>
        <v>18.920292380129105</v>
      </c>
      <c r="AI77" s="5503">
        <f t="shared" ref="AI77:AJ77" si="212">+AI60/AI$5*1000</f>
        <v>16.822446796403781</v>
      </c>
      <c r="AJ77" s="5503">
        <f t="shared" si="212"/>
        <v>18.69100134592421</v>
      </c>
      <c r="AK77" s="5502">
        <f t="shared" ref="AK77" si="213">SUM(AK75:AK76)</f>
        <v>16.822446796403778</v>
      </c>
      <c r="AL77" s="5502">
        <f t="shared" ref="AL77" si="214">SUM(AL75:AL76)</f>
        <v>17.50576934363384</v>
      </c>
      <c r="AM77" s="5504">
        <f t="shared" ref="AM77:AP77" si="215">+AM60/AM$5*1000</f>
        <v>16.822446796403778</v>
      </c>
      <c r="AN77" s="5504">
        <f t="shared" si="215"/>
        <v>18.370337155289739</v>
      </c>
      <c r="AO77" s="5503">
        <f t="shared" si="215"/>
        <v>16.822446796403778</v>
      </c>
      <c r="AP77" s="5503">
        <f t="shared" si="215"/>
        <v>18.553641157956356</v>
      </c>
      <c r="AQ77" s="5502">
        <f t="shared" ref="AQ77" si="216">SUM(AQ75:AQ76)</f>
        <v>16.822446796403778</v>
      </c>
      <c r="AR77" s="5502">
        <f t="shared" ref="AR77" si="217">SUM(AR75:AR76)</f>
        <v>15.927145460455749</v>
      </c>
      <c r="AS77" s="5503">
        <f t="shared" ref="AS77:AT77" si="218">+AS60/AS$5*1000</f>
        <v>16.822446796403778</v>
      </c>
      <c r="AT77" s="5503">
        <f t="shared" si="218"/>
        <v>18.280746889155118</v>
      </c>
      <c r="AU77" s="5502">
        <f t="shared" ref="AU77" si="219">SUM(AU75:AU76)</f>
        <v>16.822446796403778</v>
      </c>
      <c r="AV77" s="5502">
        <f t="shared" ref="AV77" si="220">SUM(AV75:AV76)</f>
        <v>16.52920777242154</v>
      </c>
      <c r="AW77" s="5503">
        <f t="shared" ref="AW77:AX77" si="221">+AW60/AW$5*1000</f>
        <v>16.822446796403778</v>
      </c>
      <c r="AX77" s="5503">
        <f t="shared" si="221"/>
        <v>18.118140825408812</v>
      </c>
      <c r="AY77" s="5502">
        <f t="shared" ref="AY77" si="222">SUM(AY75:AY76)</f>
        <v>16.822446796403778</v>
      </c>
      <c r="AZ77" s="5502">
        <f t="shared" ref="AZ77" si="223">SUM(AZ75:AZ76)</f>
        <v>17.600372023192385</v>
      </c>
      <c r="BA77" s="5504">
        <f t="shared" ref="BA77:BB77" si="224">+BA60/BA$5*1000</f>
        <v>16.822446796403781</v>
      </c>
      <c r="BB77" s="5504">
        <f t="shared" si="224"/>
        <v>16.688820194193831</v>
      </c>
      <c r="BC77" s="5505">
        <f t="shared" si="192"/>
        <v>16.822446796403778</v>
      </c>
      <c r="BD77" s="5505">
        <f t="shared" si="192"/>
        <v>17.517698260994091</v>
      </c>
      <c r="BE77" s="5503">
        <f t="shared" ref="BE77:BF77" si="225">+BE60/BE$5*1000</f>
        <v>16.822446796403781</v>
      </c>
      <c r="BF77" s="5529">
        <f t="shared" si="225"/>
        <v>18.073216880690413</v>
      </c>
      <c r="BG77" s="26"/>
      <c r="BH77" s="26"/>
      <c r="BI77" s="26"/>
      <c r="BJ77" s="26"/>
    </row>
    <row r="78" spans="1:62" ht="21" customHeight="1" x14ac:dyDescent="0.25">
      <c r="A78" s="34"/>
      <c r="B78" s="905" t="s">
        <v>87</v>
      </c>
      <c r="C78" s="5460" t="s">
        <v>277</v>
      </c>
      <c r="D78" s="5528">
        <f>'Maj Techno Summ'!D54</f>
        <v>2.8192466143166044</v>
      </c>
      <c r="E78" s="5502">
        <f>+$D$78</f>
        <v>2.8192466143166044</v>
      </c>
      <c r="F78" s="5501">
        <f>+F61/F$49*1000</f>
        <v>2.2640901568123688</v>
      </c>
      <c r="G78" s="5502">
        <f>+$D$78</f>
        <v>2.8192466143166044</v>
      </c>
      <c r="H78" s="5501">
        <f>+H61/H$49*1000</f>
        <v>2.0807850585988303</v>
      </c>
      <c r="I78" s="5492">
        <f t="shared" ref="I78:J78" si="226">+I61/I$5*1000</f>
        <v>2.8192466143166044</v>
      </c>
      <c r="J78" s="5492">
        <f t="shared" si="226"/>
        <v>2.1817215673651242</v>
      </c>
      <c r="K78" s="5502">
        <f>+$D$78</f>
        <v>2.8192466143166044</v>
      </c>
      <c r="L78" s="5501">
        <f>+L61/L$49*1000</f>
        <v>2.0795158758741783</v>
      </c>
      <c r="M78" s="5493">
        <f t="shared" si="129"/>
        <v>2.8192466143166044</v>
      </c>
      <c r="N78" s="5493">
        <f t="shared" si="129"/>
        <v>2.1486714710707226</v>
      </c>
      <c r="O78" s="5502">
        <f>+$D$78</f>
        <v>2.8192466143166044</v>
      </c>
      <c r="P78" s="5501">
        <f>+P61/P$49*1000</f>
        <v>1.9552669678067465</v>
      </c>
      <c r="Q78" s="5492">
        <f t="shared" ref="Q78:R78" si="227">+Q61/Q$5*1000</f>
        <v>2.8192466143166044</v>
      </c>
      <c r="R78" s="5492">
        <f t="shared" si="227"/>
        <v>2.0936257566670173</v>
      </c>
      <c r="S78" s="5502">
        <f>+$D$78</f>
        <v>2.8192466143166044</v>
      </c>
      <c r="T78" s="5501">
        <f>+T61/T$49*1000</f>
        <v>2.0788665894711236</v>
      </c>
      <c r="U78" s="5492">
        <f t="shared" ref="U78:V78" si="228">+U61/U$5*1000</f>
        <v>2.8192466143166048</v>
      </c>
      <c r="V78" s="5492">
        <f t="shared" si="228"/>
        <v>2.0904163122152895</v>
      </c>
      <c r="W78" s="5502">
        <f>+$D$78</f>
        <v>2.8192466143166044</v>
      </c>
      <c r="X78" s="5501">
        <f>+X61/X$49*1000</f>
        <v>2.0686465163731711</v>
      </c>
      <c r="Y78" s="5504">
        <f t="shared" ref="Y78:Z78" si="229">+Y61/Y$5*1000</f>
        <v>2.8192466143166044</v>
      </c>
      <c r="Z78" s="5504">
        <f t="shared" si="229"/>
        <v>2.0328867893911258</v>
      </c>
      <c r="AA78" s="5505">
        <f t="shared" ref="AA78" si="230">+AA61/AA$5*1000</f>
        <v>2.8192466143166044</v>
      </c>
      <c r="AB78" s="5505">
        <f t="shared" ref="AB78" si="231">+AB61/AB$5*1000</f>
        <v>2.086727816258632</v>
      </c>
      <c r="AC78" s="5502">
        <f>+$D$78</f>
        <v>2.8192466143166044</v>
      </c>
      <c r="AD78" s="5501">
        <f>+AD61/AD$49*1000</f>
        <v>2.1527081000766692</v>
      </c>
      <c r="AE78" s="5492">
        <f t="shared" ref="AE78:AF78" si="232">+AE61/AE$5*1000</f>
        <v>2.8192466143166048</v>
      </c>
      <c r="AF78" s="5492">
        <f t="shared" si="232"/>
        <v>2.0967746331836903</v>
      </c>
      <c r="AG78" s="5502">
        <f>+$D$78</f>
        <v>2.8192466143166044</v>
      </c>
      <c r="AH78" s="5501">
        <f>+AH61/AH$49*1000</f>
        <v>1.8977484800074536</v>
      </c>
      <c r="AI78" s="5492">
        <f t="shared" ref="AI78:AJ78" si="233">+AI61/AI$5*1000</f>
        <v>2.8192466143166044</v>
      </c>
      <c r="AJ78" s="5492">
        <f t="shared" si="233"/>
        <v>2.0737113408272916</v>
      </c>
      <c r="AK78" s="5502">
        <f>+$D$78</f>
        <v>2.8192466143166044</v>
      </c>
      <c r="AL78" s="5501">
        <f>+AL61/AL$49*1000</f>
        <v>2.2841605050632761</v>
      </c>
      <c r="AM78" s="5504">
        <f t="shared" ref="AM78:AP78" si="234">+AM61/AM$5*1000</f>
        <v>2.8192466143166044</v>
      </c>
      <c r="AN78" s="5504">
        <f t="shared" si="234"/>
        <v>2.1204437300863019</v>
      </c>
      <c r="AO78" s="5492">
        <f t="shared" si="234"/>
        <v>2.8192466143166044</v>
      </c>
      <c r="AP78" s="5492">
        <f t="shared" si="234"/>
        <v>2.0981021204200889</v>
      </c>
      <c r="AQ78" s="5502">
        <f>+$D$78</f>
        <v>2.8192466143166044</v>
      </c>
      <c r="AR78" s="5501">
        <f>+AR61/AR$49*1000</f>
        <v>2.1545518375984276</v>
      </c>
      <c r="AS78" s="5492">
        <f t="shared" ref="AS78:AT78" si="235">+AS61/AS$5*1000</f>
        <v>2.8192466143166044</v>
      </c>
      <c r="AT78" s="5492">
        <f t="shared" si="235"/>
        <v>2.1039668940236456</v>
      </c>
      <c r="AU78" s="5502">
        <f>+$D$78</f>
        <v>2.8192466143166044</v>
      </c>
      <c r="AV78" s="5501">
        <f>+AV61/AV$49*1000</f>
        <v>2.1920789088708026</v>
      </c>
      <c r="AW78" s="5492">
        <f t="shared" ref="AW78:AX78" si="236">+AW61/AW$5*1000</f>
        <v>2.8192466143166044</v>
      </c>
      <c r="AX78" s="5492">
        <f t="shared" si="236"/>
        <v>2.1121473151308208</v>
      </c>
      <c r="AY78" s="5502">
        <f>+$D$78</f>
        <v>2.8192466143166044</v>
      </c>
      <c r="AZ78" s="5501">
        <f>+AZ61/AZ$49*1000</f>
        <v>1.9687624842100233</v>
      </c>
      <c r="BA78" s="5504">
        <f t="shared" ref="BA78:BB78" si="237">+BA61/BA$5*1000</f>
        <v>2.8192466143166048</v>
      </c>
      <c r="BB78" s="5504">
        <f t="shared" si="237"/>
        <v>2.104329300675043</v>
      </c>
      <c r="BC78" s="5505">
        <f t="shared" si="192"/>
        <v>2.8192466143166044</v>
      </c>
      <c r="BD78" s="5505">
        <f t="shared" si="192"/>
        <v>2.1122726621795791</v>
      </c>
      <c r="BE78" s="5492">
        <f t="shared" ref="BE78:BF78" si="238">+BE61/BE$5*1000</f>
        <v>2.8192466143166044</v>
      </c>
      <c r="BF78" s="5433">
        <f t="shared" si="238"/>
        <v>2.0997063969868619</v>
      </c>
      <c r="BG78" s="26"/>
      <c r="BH78" s="26"/>
      <c r="BI78" s="26"/>
      <c r="BJ78" s="26"/>
    </row>
    <row r="79" spans="1:62" ht="21" customHeight="1" x14ac:dyDescent="0.25">
      <c r="A79" s="34"/>
      <c r="B79" s="3978" t="str">
        <f>+'Maj Techno Summ'!B19</f>
        <v>Ferro Alloys (inc LCFeMn)</v>
      </c>
      <c r="C79" s="5460" t="s">
        <v>277</v>
      </c>
      <c r="D79" s="5528">
        <f>+D74+D77+D78</f>
        <v>21.173676902697167</v>
      </c>
      <c r="E79" s="5502">
        <f>+$D$79</f>
        <v>21.173676902697167</v>
      </c>
      <c r="F79" s="5502">
        <f>+F74+F77+F78</f>
        <v>24.269376250585047</v>
      </c>
      <c r="G79" s="5502">
        <f>+$D$79</f>
        <v>21.173676902697167</v>
      </c>
      <c r="H79" s="5502">
        <f>+H74+H77+H78</f>
        <v>23.57142877447161</v>
      </c>
      <c r="I79" s="5492">
        <f t="shared" ref="I79:J79" si="239">+I62/I$5*1000</f>
        <v>21.173676902697164</v>
      </c>
      <c r="J79" s="5492">
        <f t="shared" si="239"/>
        <v>23.955762657306217</v>
      </c>
      <c r="K79" s="5502">
        <f>+$D$79</f>
        <v>21.173676902697167</v>
      </c>
      <c r="L79" s="5502">
        <f>+L74+L77+L78</f>
        <v>22.901403630449824</v>
      </c>
      <c r="M79" s="5504">
        <f t="shared" si="129"/>
        <v>21.173676902697167</v>
      </c>
      <c r="N79" s="5504">
        <f t="shared" si="129"/>
        <v>23.614815634307526</v>
      </c>
      <c r="O79" s="5502">
        <f>+$D$79</f>
        <v>21.173676902697167</v>
      </c>
      <c r="P79" s="5502">
        <f>+P74+P77+P78</f>
        <v>22.624611336377178</v>
      </c>
      <c r="Q79" s="5492">
        <f t="shared" ref="Q79:R79" si="240">+Q62/Q$5*1000</f>
        <v>21.173676902697167</v>
      </c>
      <c r="R79" s="5492">
        <f t="shared" si="240"/>
        <v>23.332982952964525</v>
      </c>
      <c r="S79" s="5502">
        <f>+$D$79</f>
        <v>21.173676902697167</v>
      </c>
      <c r="T79" s="5502">
        <f>+T74+T77+T78</f>
        <v>23.204589318347214</v>
      </c>
      <c r="U79" s="5492">
        <f t="shared" ref="U79:V79" si="241">+U62/U$5*1000</f>
        <v>21.173676902697167</v>
      </c>
      <c r="V79" s="5492">
        <f t="shared" si="241"/>
        <v>23.305061420495949</v>
      </c>
      <c r="W79" s="5502">
        <f>+$D$79</f>
        <v>21.173676902697167</v>
      </c>
      <c r="X79" s="5502">
        <f>+X74+X77+X78</f>
        <v>22.921172753666951</v>
      </c>
      <c r="Y79" s="5504">
        <f t="shared" ref="Y79:Z79" si="242">+Y62/Y$5*1000</f>
        <v>21.173676902697167</v>
      </c>
      <c r="Z79" s="5504">
        <f t="shared" si="242"/>
        <v>22.914250641568856</v>
      </c>
      <c r="AA79" s="5505">
        <f t="shared" ref="AA79" si="243">+AA62/AA$5*1000</f>
        <v>21.173676902697167</v>
      </c>
      <c r="AB79" s="5505">
        <f t="shared" ref="AB79" si="244">+AB62/AB$5*1000</f>
        <v>23.240020320677658</v>
      </c>
      <c r="AC79" s="5502">
        <f>+$D$79</f>
        <v>21.173676902697167</v>
      </c>
      <c r="AD79" s="5502">
        <f>+AD74+AD77+AD78</f>
        <v>23.482867777759427</v>
      </c>
      <c r="AE79" s="5492">
        <f t="shared" ref="AE79:AF79" si="245">+AE62/AE$5*1000</f>
        <v>21.173676902697171</v>
      </c>
      <c r="AF79" s="5492">
        <f t="shared" si="245"/>
        <v>23.27700389508086</v>
      </c>
      <c r="AG79" s="5502">
        <f>+$D$79</f>
        <v>21.173676902697167</v>
      </c>
      <c r="AH79" s="5502">
        <f>+AH74+AH77+AH78</f>
        <v>23.745252899161756</v>
      </c>
      <c r="AI79" s="5492">
        <f t="shared" ref="AI79:AJ79" si="246">+AI62/AI$5*1000</f>
        <v>21.173676902697171</v>
      </c>
      <c r="AJ79" s="5492">
        <f t="shared" si="246"/>
        <v>23.331250986549193</v>
      </c>
      <c r="AK79" s="5502">
        <f>+$D$79</f>
        <v>21.173676902697167</v>
      </c>
      <c r="AL79" s="5502">
        <f>+AL74+AL77+AL78</f>
        <v>22.648577402317557</v>
      </c>
      <c r="AM79" s="5504">
        <f t="shared" ref="AM79:AP79" si="247">+AM62/AM$5*1000</f>
        <v>21.173676902697167</v>
      </c>
      <c r="AN79" s="5504">
        <f t="shared" si="247"/>
        <v>23.275935568825215</v>
      </c>
      <c r="AO79" s="5492">
        <f t="shared" si="247"/>
        <v>21.173676902697171</v>
      </c>
      <c r="AP79" s="5492">
        <f t="shared" si="247"/>
        <v>23.25213658596866</v>
      </c>
      <c r="AQ79" s="5502">
        <f>+$D$79</f>
        <v>21.173676902697167</v>
      </c>
      <c r="AR79" s="5502">
        <f>+AR74+AR77+AR78</f>
        <v>21.097697762592091</v>
      </c>
      <c r="AS79" s="5492">
        <f t="shared" ref="AS79:AT79" si="248">+AS62/AS$5*1000</f>
        <v>21.173676902697171</v>
      </c>
      <c r="AT79" s="5492">
        <f t="shared" si="248"/>
        <v>23.028288044904993</v>
      </c>
      <c r="AU79" s="5502">
        <f>+$D$79</f>
        <v>21.173676902697167</v>
      </c>
      <c r="AV79" s="5502">
        <f>+AV74+AV77+AV78</f>
        <v>21.056918774708109</v>
      </c>
      <c r="AW79" s="5492">
        <f t="shared" ref="AW79:AX79" si="249">+AW62/AW$5*1000</f>
        <v>21.173676902697171</v>
      </c>
      <c r="AX79" s="5492">
        <f t="shared" si="249"/>
        <v>22.845274167806167</v>
      </c>
      <c r="AY79" s="5502">
        <f>+$D$79</f>
        <v>21.173676902697167</v>
      </c>
      <c r="AZ79" s="5502">
        <f>+AZ74+AZ77+AZ78</f>
        <v>21.191540628649559</v>
      </c>
      <c r="BA79" s="5504">
        <f t="shared" ref="BA79:BB79" si="250">+BA62/BA$5*1000</f>
        <v>21.173676902697171</v>
      </c>
      <c r="BB79" s="5504">
        <f t="shared" si="250"/>
        <v>21.115890065294071</v>
      </c>
      <c r="BC79" s="5505">
        <f t="shared" si="192"/>
        <v>21.173676902697167</v>
      </c>
      <c r="BD79" s="5505">
        <f t="shared" si="192"/>
        <v>22.180651457888413</v>
      </c>
      <c r="BE79" s="5492">
        <f t="shared" ref="BE79:BF79" si="251">+BE62/BE$5*1000</f>
        <v>21.173676902697171</v>
      </c>
      <c r="BF79" s="5433">
        <f t="shared" si="251"/>
        <v>22.701786332137175</v>
      </c>
      <c r="BG79" s="26"/>
      <c r="BH79" s="26"/>
      <c r="BI79" s="26"/>
      <c r="BJ79" s="26"/>
    </row>
    <row r="80" spans="1:62" ht="21" customHeight="1" x14ac:dyDescent="0.25">
      <c r="B80" s="3977" t="s">
        <v>88</v>
      </c>
      <c r="C80" s="5458" t="s">
        <v>277</v>
      </c>
      <c r="D80" s="5527">
        <v>2.258</v>
      </c>
      <c r="E80" s="5501">
        <v>2.258</v>
      </c>
      <c r="F80" s="5501">
        <f t="shared" ref="F80:F87" si="252">+F63/F$49*1000</f>
        <v>1.3640215288992552</v>
      </c>
      <c r="G80" s="5501">
        <v>2.258</v>
      </c>
      <c r="H80" s="5501">
        <f t="shared" ref="H80:H87" si="253">+H63/H$49*1000</f>
        <v>1.2962267578156648</v>
      </c>
      <c r="I80" s="5492">
        <f t="shared" ref="I80:I87" si="254">+I63/I$47*1000</f>
        <v>2.2580023072945048</v>
      </c>
      <c r="J80" s="5492">
        <f t="shared" ref="J80:J87" si="255">+J63/J$49*1000</f>
        <v>1.3335572278840071</v>
      </c>
      <c r="K80" s="5501">
        <v>2.258</v>
      </c>
      <c r="L80" s="5501">
        <f t="shared" ref="L80:L87" si="256">+L63/L$49*1000</f>
        <v>1.2535899046079562</v>
      </c>
      <c r="M80" s="5493">
        <f t="shared" ref="M80:M87" si="257">+M63/M$47*1000</f>
        <v>2.2580016333923818</v>
      </c>
      <c r="N80" s="5493">
        <f t="shared" ref="N80:N87" si="258">+N63/N$49*1000</f>
        <v>1.3076989987710224</v>
      </c>
      <c r="O80" s="5501">
        <v>2.258</v>
      </c>
      <c r="P80" s="5501">
        <f t="shared" ref="P80:P87" si="259">+P63/P$49*1000</f>
        <v>1.1058120962373712</v>
      </c>
      <c r="Q80" s="5492">
        <f t="shared" ref="Q80:Q87" si="260">+Q63/Q$47*1000</f>
        <v>2.2580001312973943</v>
      </c>
      <c r="R80" s="5492">
        <f t="shared" ref="R80:R87" si="261">+R63/R$49*1000</f>
        <v>1.2502401549338162</v>
      </c>
      <c r="S80" s="5501">
        <v>2.258</v>
      </c>
      <c r="T80" s="5494">
        <f t="shared" ref="T80:T87" si="262">+T63/T$49*1000</f>
        <v>1.4222652576788521</v>
      </c>
      <c r="U80" s="5492">
        <f t="shared" ref="U80:U87" si="263">+U63/U$47*1000</f>
        <v>2.2580001028532921</v>
      </c>
      <c r="V80" s="5492">
        <f t="shared" ref="V80:V87" si="264">+V63/V$49*1000</f>
        <v>1.2876392784388855</v>
      </c>
      <c r="W80" s="5501">
        <v>2.258</v>
      </c>
      <c r="X80" s="5494">
        <f t="shared" ref="X80:X87" si="265">+X63/X$49*1000</f>
        <v>1.5135280704656917</v>
      </c>
      <c r="Y80" s="5493">
        <f t="shared" ref="Y80:Y87" si="266">+Y63/Y$47*1000</f>
        <v>2.2579987214050261</v>
      </c>
      <c r="Z80" s="5493">
        <f t="shared" ref="Z80:Z87" si="267">+Z63/Z$49*1000</f>
        <v>1.3417372059084458</v>
      </c>
      <c r="AA80" s="5495">
        <f t="shared" ref="AA80:AA87" si="268">+AA63/AA$47*1000</f>
        <v>2.2580000849843445</v>
      </c>
      <c r="AB80" s="5495">
        <f t="shared" ref="AB80:AB87" si="269">+AB63/AB$49*1000</f>
        <v>1.3259090891297152</v>
      </c>
      <c r="AC80" s="5501">
        <v>2.258</v>
      </c>
      <c r="AD80" s="5494">
        <f t="shared" ref="AD80:AD87" si="270">+AD63/AD$49*1000</f>
        <v>1.6313141423657922</v>
      </c>
      <c r="AE80" s="5492">
        <f t="shared" ref="AE80:AE87" si="271">+AE63/AE$47*1000</f>
        <v>2.2580000717609074</v>
      </c>
      <c r="AF80" s="5492">
        <f t="shared" ref="AF80:AF87" si="272">+AF63/AF$49*1000</f>
        <v>1.3724098999953391</v>
      </c>
      <c r="AG80" s="5501">
        <v>2.258</v>
      </c>
      <c r="AH80" s="5494">
        <f t="shared" ref="AH80:AH87" si="273">+AH63/AH$49*1000</f>
        <v>1.5129994731018328</v>
      </c>
      <c r="AI80" s="5492">
        <f t="shared" ref="AI80:AI87" si="274">+AI63/AI$47*1000</f>
        <v>2.258000062372933</v>
      </c>
      <c r="AJ80" s="5492">
        <f t="shared" ref="AJ80:AJ87" si="275">+AJ63/AJ$49*1000</f>
        <v>1.3887008000928871</v>
      </c>
      <c r="AK80" s="5501">
        <v>2.258</v>
      </c>
      <c r="AL80" s="5494">
        <f t="shared" ref="AL80:AL87" si="276">+AL63/AL$49*1000</f>
        <v>1.5189437563851362</v>
      </c>
      <c r="AM80" s="5493">
        <f t="shared" ref="AM80:AM87" si="277">+AM63/AM$47*1000</f>
        <v>2.2579999999999978</v>
      </c>
      <c r="AN80" s="5493">
        <f t="shared" ref="AN80:AN87" si="278">+AN63/AN$49*1000</f>
        <v>1.5567812760831912</v>
      </c>
      <c r="AO80" s="5492">
        <f t="shared" ref="AO80:AO87" si="279">+AO63/AO$47*1000</f>
        <v>2.258000054915656</v>
      </c>
      <c r="AP80" s="5492">
        <f t="shared" ref="AP80:AP87" si="280">+AP63/AP$49*1000</f>
        <v>1.4037955125832147</v>
      </c>
      <c r="AQ80" s="5501">
        <v>2.258</v>
      </c>
      <c r="AR80" s="5494">
        <f t="shared" ref="AR80:AR87" si="281">+AR63/AR$49*1000</f>
        <v>1.4401961643648336</v>
      </c>
      <c r="AS80" s="5492">
        <f t="shared" ref="AS80:AS87" si="282">+AS63/AS$47*1000</f>
        <v>2.2580000490511267</v>
      </c>
      <c r="AT80" s="5492">
        <f t="shared" ref="AT80:AT87" si="283">+AT63/AT$49*1000</f>
        <v>1.4075775219979096</v>
      </c>
      <c r="AU80" s="5501">
        <v>2.258</v>
      </c>
      <c r="AV80" s="5494">
        <f t="shared" ref="AV80:AV87" si="284">+AV63/AV$49*1000</f>
        <v>1.6790391642414659</v>
      </c>
      <c r="AW80" s="5492">
        <f t="shared" ref="AW80:AW87" si="285">+AW63/AW$47*1000</f>
        <v>2.2580000446160411</v>
      </c>
      <c r="AX80" s="5492">
        <f t="shared" ref="AX80:AX87" si="286">+AX63/AX$49*1000</f>
        <v>1.4327793883760531</v>
      </c>
      <c r="AY80" s="5501">
        <v>2.258</v>
      </c>
      <c r="AZ80" s="5494">
        <f t="shared" ref="AZ80:AZ87" si="287">+AZ63/AZ$49*1000</f>
        <v>1.7431751162276248</v>
      </c>
      <c r="BA80" s="5493">
        <f t="shared" ref="BA80:BA87" si="288">+BA63/BA$47*1000</f>
        <v>2.258</v>
      </c>
      <c r="BB80" s="5493">
        <f t="shared" ref="BB80:BB87" si="289">+BB63/BB$49*1000</f>
        <v>1.6208395764819863</v>
      </c>
      <c r="BC80" s="5495">
        <f t="shared" ref="BC80:BC87" si="290">+BC63/BC$47*1000</f>
        <v>2.2579999999999987</v>
      </c>
      <c r="BD80" s="5495">
        <f t="shared" ref="BD80:BD87" si="291">+BD63/BD$49*1000</f>
        <v>1.5892630199789195</v>
      </c>
      <c r="BE80" s="5492">
        <f t="shared" ref="BE80:BE87" si="292">+BE63/BE$47*1000</f>
        <v>2.2580000406512841</v>
      </c>
      <c r="BF80" s="5433">
        <f t="shared" ref="BF80:BF87" si="293">+BF63/BF$49*1000</f>
        <v>1.45971149418192</v>
      </c>
      <c r="BG80" s="26"/>
      <c r="BH80" s="26"/>
      <c r="BI80" s="26"/>
      <c r="BJ80" s="26"/>
    </row>
    <row r="81" spans="1:62" ht="21" customHeight="1" x14ac:dyDescent="0.25">
      <c r="B81" s="3981" t="s">
        <v>879</v>
      </c>
      <c r="C81" s="5458" t="s">
        <v>277</v>
      </c>
      <c r="D81" s="5527">
        <v>0.48</v>
      </c>
      <c r="E81" s="5501">
        <v>0.48</v>
      </c>
      <c r="F81" s="5506">
        <f t="shared" si="252"/>
        <v>0.65903117726378402</v>
      </c>
      <c r="G81" s="5501">
        <v>0.48</v>
      </c>
      <c r="H81" s="5506">
        <f t="shared" si="253"/>
        <v>0.54602983652477055</v>
      </c>
      <c r="I81" s="5507">
        <f t="shared" si="254"/>
        <v>0.48000049047890264</v>
      </c>
      <c r="J81" s="5507">
        <f t="shared" si="255"/>
        <v>0.6082528236477609</v>
      </c>
      <c r="K81" s="5501">
        <v>0.48</v>
      </c>
      <c r="L81" s="5506">
        <f t="shared" si="256"/>
        <v>0.59087118190327237</v>
      </c>
      <c r="M81" s="5508">
        <f t="shared" si="257"/>
        <v>0.48000034722247265</v>
      </c>
      <c r="N81" s="5508">
        <f t="shared" si="258"/>
        <v>0.60263229696041321</v>
      </c>
      <c r="O81" s="5501">
        <v>0.48</v>
      </c>
      <c r="P81" s="5506">
        <f t="shared" si="259"/>
        <v>0.64560308254355037</v>
      </c>
      <c r="Q81" s="5507">
        <f t="shared" si="260"/>
        <v>0.4800000279108721</v>
      </c>
      <c r="R81" s="5507">
        <f t="shared" si="261"/>
        <v>0.61486217233814855</v>
      </c>
      <c r="S81" s="5501">
        <v>0.48</v>
      </c>
      <c r="T81" s="5497">
        <f t="shared" si="262"/>
        <v>0.58439744296738572</v>
      </c>
      <c r="U81" s="5507">
        <f t="shared" si="263"/>
        <v>0.48000002186429597</v>
      </c>
      <c r="V81" s="5507">
        <f t="shared" si="264"/>
        <v>0.60823898677915289</v>
      </c>
      <c r="W81" s="5501">
        <v>0.48</v>
      </c>
      <c r="X81" s="5497">
        <f t="shared" si="265"/>
        <v>0.64417462735776476</v>
      </c>
      <c r="Y81" s="5508">
        <f t="shared" si="266"/>
        <v>0.47999972819947401</v>
      </c>
      <c r="Z81" s="5508">
        <f t="shared" si="267"/>
        <v>0.6244922752973695</v>
      </c>
      <c r="AA81" s="5509">
        <f t="shared" si="268"/>
        <v>0.48000001806575954</v>
      </c>
      <c r="AB81" s="5509">
        <f t="shared" si="269"/>
        <v>0.61432716029877554</v>
      </c>
      <c r="AC81" s="5501">
        <v>0.48</v>
      </c>
      <c r="AD81" s="5497">
        <f t="shared" si="270"/>
        <v>0.6248805884761014</v>
      </c>
      <c r="AE81" s="5507">
        <f t="shared" si="271"/>
        <v>0.48000001525475444</v>
      </c>
      <c r="AF81" s="5507">
        <f t="shared" si="272"/>
        <v>0.61593401965639871</v>
      </c>
      <c r="AG81" s="5501">
        <v>0.48</v>
      </c>
      <c r="AH81" s="5497">
        <f t="shared" si="273"/>
        <v>0.67141301360482875</v>
      </c>
      <c r="AI81" s="5507">
        <f t="shared" si="274"/>
        <v>0.48000001325908237</v>
      </c>
      <c r="AJ81" s="5507">
        <f t="shared" si="275"/>
        <v>0.62236268095720326</v>
      </c>
      <c r="AK81" s="5501">
        <v>0.48</v>
      </c>
      <c r="AL81" s="5497">
        <f t="shared" si="276"/>
        <v>0.63857222779781042</v>
      </c>
      <c r="AM81" s="5508">
        <f t="shared" si="277"/>
        <v>0.47999999999999959</v>
      </c>
      <c r="AN81" s="5508">
        <f t="shared" si="278"/>
        <v>0.64371484768931952</v>
      </c>
      <c r="AO81" s="5507">
        <f t="shared" si="279"/>
        <v>0.48000001167383299</v>
      </c>
      <c r="AP81" s="5507">
        <f t="shared" si="280"/>
        <v>0.62424131191063792</v>
      </c>
      <c r="AQ81" s="5501">
        <v>0.48</v>
      </c>
      <c r="AR81" s="5497">
        <f t="shared" si="281"/>
        <v>0.53007028524796274</v>
      </c>
      <c r="AS81" s="5507">
        <f t="shared" si="282"/>
        <v>0.48000001042716606</v>
      </c>
      <c r="AT81" s="5507">
        <f t="shared" si="283"/>
        <v>0.61445698959777306</v>
      </c>
      <c r="AU81" s="5501">
        <v>0.48799999999999999</v>
      </c>
      <c r="AV81" s="5497">
        <f t="shared" si="284"/>
        <v>0.582505326052149</v>
      </c>
      <c r="AW81" s="5507">
        <f t="shared" si="285"/>
        <v>0.48072335052486748</v>
      </c>
      <c r="AX81" s="5507">
        <f t="shared" si="286"/>
        <v>0.61149067159946913</v>
      </c>
      <c r="AY81" s="5501">
        <v>0.48</v>
      </c>
      <c r="AZ81" s="5497">
        <f t="shared" si="287"/>
        <v>0.56002633766701093</v>
      </c>
      <c r="BA81" s="5508">
        <f t="shared" si="288"/>
        <v>0.48253728860548928</v>
      </c>
      <c r="BB81" s="5508">
        <f t="shared" si="289"/>
        <v>0.55741532571354546</v>
      </c>
      <c r="BC81" s="5509">
        <f t="shared" si="290"/>
        <v>0.48126339039204835</v>
      </c>
      <c r="BD81" s="5509">
        <f t="shared" si="291"/>
        <v>0.5999553512042457</v>
      </c>
      <c r="BE81" s="5507">
        <f t="shared" si="292"/>
        <v>0.4806590707573426</v>
      </c>
      <c r="BF81" s="5443">
        <f t="shared" si="293"/>
        <v>0.6070252657889863</v>
      </c>
      <c r="BG81" s="26"/>
      <c r="BH81" s="26"/>
      <c r="BI81" s="26"/>
      <c r="BJ81" s="26"/>
    </row>
    <row r="82" spans="1:62" ht="21" customHeight="1" x14ac:dyDescent="0.25">
      <c r="B82" s="3977" t="s">
        <v>133</v>
      </c>
      <c r="C82" s="5458" t="s">
        <v>277</v>
      </c>
      <c r="D82" s="5404">
        <v>19.999999999999996</v>
      </c>
      <c r="E82" s="5476">
        <v>19.999999999999996</v>
      </c>
      <c r="F82" s="5477">
        <f t="shared" si="252"/>
        <v>17.815791397867823</v>
      </c>
      <c r="G82" s="5476">
        <v>20</v>
      </c>
      <c r="H82" s="5477">
        <f t="shared" si="253"/>
        <v>0</v>
      </c>
      <c r="I82" s="5492">
        <f t="shared" si="254"/>
        <v>20.000020436620943</v>
      </c>
      <c r="J82" s="5492">
        <f t="shared" si="255"/>
        <v>9.8100761591467194</v>
      </c>
      <c r="K82" s="5476">
        <v>20</v>
      </c>
      <c r="L82" s="5477">
        <f t="shared" si="256"/>
        <v>10.627448743542075</v>
      </c>
      <c r="M82" s="5479">
        <f t="shared" si="257"/>
        <v>20.000014467603027</v>
      </c>
      <c r="N82" s="5479">
        <f t="shared" si="258"/>
        <v>10.07438171161602</v>
      </c>
      <c r="O82" s="5476">
        <v>20</v>
      </c>
      <c r="P82" s="5477">
        <f t="shared" si="259"/>
        <v>17.762514143097732</v>
      </c>
      <c r="Q82" s="5492">
        <f t="shared" si="260"/>
        <v>20.000001162953001</v>
      </c>
      <c r="R82" s="5492">
        <f t="shared" si="261"/>
        <v>12.262493942951258</v>
      </c>
      <c r="S82" s="5476">
        <v>20</v>
      </c>
      <c r="T82" s="5481">
        <f t="shared" si="262"/>
        <v>19.809328315088866</v>
      </c>
      <c r="U82" s="5492">
        <f t="shared" si="263"/>
        <v>20.000000911012332</v>
      </c>
      <c r="V82" s="5492">
        <f t="shared" si="264"/>
        <v>13.903213734726064</v>
      </c>
      <c r="W82" s="5476">
        <v>20</v>
      </c>
      <c r="X82" s="5497">
        <f t="shared" si="265"/>
        <v>21.706554615612976</v>
      </c>
      <c r="Y82" s="5493">
        <f t="shared" si="266"/>
        <v>19.999988674978088</v>
      </c>
      <c r="Z82" s="5493">
        <f t="shared" si="267"/>
        <v>19.702351602550337</v>
      </c>
      <c r="AA82" s="5495">
        <f t="shared" si="268"/>
        <v>20.000000752739982</v>
      </c>
      <c r="AB82" s="5495">
        <f t="shared" si="269"/>
        <v>15.225246472995414</v>
      </c>
      <c r="AC82" s="5476">
        <v>20</v>
      </c>
      <c r="AD82" s="5497">
        <f t="shared" si="270"/>
        <v>6.2030216771439992</v>
      </c>
      <c r="AE82" s="5492">
        <f t="shared" si="271"/>
        <v>20.000000635614764</v>
      </c>
      <c r="AF82" s="5492">
        <f t="shared" si="272"/>
        <v>13.85152732731145</v>
      </c>
      <c r="AG82" s="5476">
        <v>20</v>
      </c>
      <c r="AH82" s="5497">
        <f t="shared" si="273"/>
        <v>10.814566680590421</v>
      </c>
      <c r="AI82" s="5492">
        <f t="shared" si="274"/>
        <v>20.000000552461763</v>
      </c>
      <c r="AJ82" s="5492">
        <f t="shared" si="275"/>
        <v>13.49961771266001</v>
      </c>
      <c r="AK82" s="5476">
        <v>20</v>
      </c>
      <c r="AL82" s="5497">
        <f t="shared" si="276"/>
        <v>13.107036910241362</v>
      </c>
      <c r="AM82" s="5493">
        <f t="shared" si="277"/>
        <v>19.999999999999979</v>
      </c>
      <c r="AN82" s="5493">
        <f t="shared" si="278"/>
        <v>9.9752418094989785</v>
      </c>
      <c r="AO82" s="5492">
        <f t="shared" si="279"/>
        <v>20.000000486409704</v>
      </c>
      <c r="AP82" s="5492">
        <f t="shared" si="280"/>
        <v>13.454118942435274</v>
      </c>
      <c r="AQ82" s="5476">
        <v>20</v>
      </c>
      <c r="AR82" s="5497">
        <f t="shared" si="281"/>
        <v>9.9182887364072592</v>
      </c>
      <c r="AS82" s="5492">
        <f t="shared" si="282"/>
        <v>20.00000043446525</v>
      </c>
      <c r="AT82" s="5492">
        <f t="shared" si="283"/>
        <v>13.086747962152081</v>
      </c>
      <c r="AU82" s="5476">
        <v>20</v>
      </c>
      <c r="AV82" s="5497">
        <f t="shared" si="284"/>
        <v>18.309642246192478</v>
      </c>
      <c r="AW82" s="5492">
        <f t="shared" si="285"/>
        <v>20.000000395181935</v>
      </c>
      <c r="AX82" s="5492">
        <f t="shared" si="286"/>
        <v>13.57162929848268</v>
      </c>
      <c r="AY82" s="5476">
        <v>20</v>
      </c>
      <c r="AZ82" s="5497">
        <f t="shared" si="287"/>
        <v>25.923297195907995</v>
      </c>
      <c r="BA82" s="5493">
        <f t="shared" si="288"/>
        <v>20</v>
      </c>
      <c r="BB82" s="5493">
        <f t="shared" si="289"/>
        <v>18.070236995601938</v>
      </c>
      <c r="BC82" s="5495">
        <f t="shared" si="290"/>
        <v>19.999999999999989</v>
      </c>
      <c r="BD82" s="5495">
        <f t="shared" si="291"/>
        <v>14.079933298895666</v>
      </c>
      <c r="BE82" s="5492">
        <f t="shared" si="292"/>
        <v>20.000000360064515</v>
      </c>
      <c r="BF82" s="5433">
        <f t="shared" si="293"/>
        <v>14.643346454497994</v>
      </c>
      <c r="BG82" s="26"/>
      <c r="BH82" s="26"/>
      <c r="BI82" s="26"/>
      <c r="BJ82" s="26"/>
    </row>
    <row r="83" spans="1:62" ht="21" customHeight="1" x14ac:dyDescent="0.25">
      <c r="B83" s="3977" t="s">
        <v>552</v>
      </c>
      <c r="C83" s="5458" t="s">
        <v>277</v>
      </c>
      <c r="D83" s="5404">
        <v>0</v>
      </c>
      <c r="E83" s="5476">
        <v>0</v>
      </c>
      <c r="F83" s="5501">
        <f t="shared" si="252"/>
        <v>3.7116232078891295E-2</v>
      </c>
      <c r="G83" s="5476">
        <v>0</v>
      </c>
      <c r="H83" s="5501">
        <f t="shared" si="253"/>
        <v>0</v>
      </c>
      <c r="I83" s="5492">
        <f t="shared" si="254"/>
        <v>0</v>
      </c>
      <c r="J83" s="5492">
        <f t="shared" si="255"/>
        <v>2.0437658664888999E-2</v>
      </c>
      <c r="K83" s="5471">
        <v>0</v>
      </c>
      <c r="L83" s="5501">
        <f t="shared" si="256"/>
        <v>0</v>
      </c>
      <c r="M83" s="5493">
        <f t="shared" si="257"/>
        <v>0</v>
      </c>
      <c r="N83" s="5493">
        <f t="shared" si="258"/>
        <v>1.3828938519719999E-2</v>
      </c>
      <c r="O83" s="5471">
        <v>0</v>
      </c>
      <c r="P83" s="5501">
        <f t="shared" si="259"/>
        <v>0</v>
      </c>
      <c r="Q83" s="5492">
        <f t="shared" si="260"/>
        <v>0</v>
      </c>
      <c r="R83" s="5492">
        <f t="shared" si="261"/>
        <v>9.8930971705939955E-3</v>
      </c>
      <c r="S83" s="5476">
        <v>0</v>
      </c>
      <c r="T83" s="5494">
        <f t="shared" si="262"/>
        <v>0</v>
      </c>
      <c r="U83" s="5492">
        <f t="shared" si="263"/>
        <v>0</v>
      </c>
      <c r="V83" s="5492">
        <f t="shared" si="264"/>
        <v>7.7422880327028066E-3</v>
      </c>
      <c r="W83" s="5476">
        <v>0</v>
      </c>
      <c r="X83" s="5494">
        <f t="shared" si="265"/>
        <v>0</v>
      </c>
      <c r="Y83" s="5493">
        <f t="shared" si="266"/>
        <v>0</v>
      </c>
      <c r="Z83" s="5493">
        <f t="shared" si="267"/>
        <v>0</v>
      </c>
      <c r="AA83" s="5495">
        <f t="shared" si="268"/>
        <v>0</v>
      </c>
      <c r="AB83" s="5495">
        <f t="shared" si="269"/>
        <v>6.4305987954154107E-3</v>
      </c>
      <c r="AC83" s="5476">
        <v>0</v>
      </c>
      <c r="AD83" s="5494">
        <f t="shared" si="270"/>
        <v>0</v>
      </c>
      <c r="AE83" s="5492">
        <f t="shared" si="271"/>
        <v>0</v>
      </c>
      <c r="AF83" s="5492">
        <f t="shared" si="272"/>
        <v>5.4514792452645053E-3</v>
      </c>
      <c r="AG83" s="5476">
        <v>0</v>
      </c>
      <c r="AH83" s="5494">
        <f t="shared" si="273"/>
        <v>0</v>
      </c>
      <c r="AI83" s="5492">
        <f t="shared" si="274"/>
        <v>0</v>
      </c>
      <c r="AJ83" s="5492">
        <f t="shared" si="275"/>
        <v>4.8197858571553563E-3</v>
      </c>
      <c r="AK83" s="5476">
        <v>0</v>
      </c>
      <c r="AL83" s="5494">
        <f t="shared" si="276"/>
        <v>0</v>
      </c>
      <c r="AM83" s="5493">
        <f t="shared" si="277"/>
        <v>0</v>
      </c>
      <c r="AN83" s="5493">
        <f t="shared" si="278"/>
        <v>0</v>
      </c>
      <c r="AO83" s="5492">
        <f t="shared" si="279"/>
        <v>0</v>
      </c>
      <c r="AP83" s="5492">
        <f t="shared" si="280"/>
        <v>4.2611891863652881E-3</v>
      </c>
      <c r="AQ83" s="5476">
        <v>0</v>
      </c>
      <c r="AR83" s="5494">
        <f t="shared" si="281"/>
        <v>0</v>
      </c>
      <c r="AS83" s="5492">
        <f t="shared" si="282"/>
        <v>0</v>
      </c>
      <c r="AT83" s="5492">
        <f t="shared" si="283"/>
        <v>3.8184537727986695E-3</v>
      </c>
      <c r="AU83" s="5476">
        <v>0</v>
      </c>
      <c r="AV83" s="5494">
        <f t="shared" si="284"/>
        <v>0.51998910117022512</v>
      </c>
      <c r="AW83" s="5492">
        <f t="shared" si="285"/>
        <v>0</v>
      </c>
      <c r="AX83" s="5492">
        <f t="shared" si="286"/>
        <v>5.1738534033561372E-2</v>
      </c>
      <c r="AY83" s="5476">
        <v>0</v>
      </c>
      <c r="AZ83" s="5494">
        <f t="shared" si="287"/>
        <v>0</v>
      </c>
      <c r="BA83" s="5493">
        <f t="shared" si="288"/>
        <v>0</v>
      </c>
      <c r="BB83" s="5493">
        <f t="shared" si="289"/>
        <v>0.1711244359677809</v>
      </c>
      <c r="BC83" s="5495">
        <f t="shared" si="290"/>
        <v>0</v>
      </c>
      <c r="BD83" s="5495">
        <f t="shared" si="291"/>
        <v>8.6771270370935238E-2</v>
      </c>
      <c r="BE83" s="5492">
        <f t="shared" si="292"/>
        <v>0</v>
      </c>
      <c r="BF83" s="5433">
        <f t="shared" si="293"/>
        <v>4.7249336703182335E-2</v>
      </c>
      <c r="BG83" s="26"/>
      <c r="BH83" s="26"/>
      <c r="BI83" s="26"/>
      <c r="BJ83" s="26"/>
    </row>
    <row r="84" spans="1:62" ht="21" customHeight="1" x14ac:dyDescent="0.25">
      <c r="A84">
        <f>5021-2500</f>
        <v>2521</v>
      </c>
      <c r="B84" s="3977" t="s">
        <v>134</v>
      </c>
      <c r="C84" s="5458" t="s">
        <v>277</v>
      </c>
      <c r="D84" s="5404">
        <v>9.9999999999999982</v>
      </c>
      <c r="E84" s="5476">
        <v>9.9999999999999982</v>
      </c>
      <c r="F84" s="5501">
        <f t="shared" si="252"/>
        <v>2.783717405916847</v>
      </c>
      <c r="G84" s="5476">
        <v>10</v>
      </c>
      <c r="H84" s="5501">
        <f t="shared" si="253"/>
        <v>19.898217773486081</v>
      </c>
      <c r="I84" s="5492">
        <f t="shared" si="254"/>
        <v>10.000010218310472</v>
      </c>
      <c r="J84" s="5492">
        <f t="shared" si="255"/>
        <v>10.474300065755612</v>
      </c>
      <c r="K84" s="5471">
        <v>10</v>
      </c>
      <c r="L84" s="5501">
        <f t="shared" si="256"/>
        <v>8.0186987501575011</v>
      </c>
      <c r="M84" s="5493">
        <f t="shared" si="257"/>
        <v>10.000007233801513</v>
      </c>
      <c r="N84" s="5493">
        <f t="shared" si="258"/>
        <v>9.6802569638040001</v>
      </c>
      <c r="O84" s="5471">
        <v>10</v>
      </c>
      <c r="P84" s="5501">
        <f t="shared" si="259"/>
        <v>0.65175565593558216</v>
      </c>
      <c r="Q84" s="5492">
        <f t="shared" si="260"/>
        <v>10.000000581476501</v>
      </c>
      <c r="R84" s="5492">
        <f t="shared" si="261"/>
        <v>7.1106635913644354</v>
      </c>
      <c r="S84" s="5476">
        <v>10</v>
      </c>
      <c r="T84" s="5494">
        <f t="shared" si="262"/>
        <v>0</v>
      </c>
      <c r="U84" s="5492">
        <f t="shared" si="263"/>
        <v>10.000000455506166</v>
      </c>
      <c r="V84" s="5492">
        <f t="shared" si="264"/>
        <v>5.5647695235051415</v>
      </c>
      <c r="W84" s="5476">
        <v>10</v>
      </c>
      <c r="X84" s="5494">
        <f t="shared" si="265"/>
        <v>0</v>
      </c>
      <c r="Y84" s="5493">
        <f t="shared" si="266"/>
        <v>9.9999943374890439</v>
      </c>
      <c r="Z84" s="5493">
        <f t="shared" si="267"/>
        <v>0.22537579046614434</v>
      </c>
      <c r="AA84" s="5495">
        <f t="shared" si="268"/>
        <v>10.000000376369991</v>
      </c>
      <c r="AB84" s="5495">
        <f t="shared" si="269"/>
        <v>4.6219928842048263</v>
      </c>
      <c r="AC84" s="5476">
        <v>10</v>
      </c>
      <c r="AD84" s="5494">
        <f t="shared" si="270"/>
        <v>17.024743477529416</v>
      </c>
      <c r="AE84" s="5492">
        <f t="shared" si="271"/>
        <v>10.000000317807382</v>
      </c>
      <c r="AF84" s="5492">
        <f t="shared" si="272"/>
        <v>6.5104290886571352</v>
      </c>
      <c r="AG84" s="5476">
        <v>10</v>
      </c>
      <c r="AH84" s="5494">
        <f t="shared" si="273"/>
        <v>5.9714085733933162</v>
      </c>
      <c r="AI84" s="5492">
        <f t="shared" si="274"/>
        <v>10.000000276230882</v>
      </c>
      <c r="AJ84" s="5492">
        <f t="shared" si="275"/>
        <v>6.4479697670256497</v>
      </c>
      <c r="AK84" s="5476">
        <v>10</v>
      </c>
      <c r="AL84" s="5494">
        <f t="shared" si="276"/>
        <v>7.6889346578890567</v>
      </c>
      <c r="AM84" s="5493">
        <f t="shared" si="277"/>
        <v>9.9999999999999893</v>
      </c>
      <c r="AN84" s="5493">
        <f t="shared" si="278"/>
        <v>10.460907043295316</v>
      </c>
      <c r="AO84" s="5492">
        <f t="shared" si="279"/>
        <v>10.000000243204852</v>
      </c>
      <c r="AP84" s="5492">
        <f t="shared" si="280"/>
        <v>6.5917933469829535</v>
      </c>
      <c r="AQ84" s="5476">
        <v>10</v>
      </c>
      <c r="AR84" s="5494">
        <f t="shared" si="281"/>
        <v>10.710741171344848</v>
      </c>
      <c r="AS84" s="5492">
        <f t="shared" si="282"/>
        <v>10.000000217232625</v>
      </c>
      <c r="AT84" s="5492">
        <f t="shared" si="283"/>
        <v>7.0197499545687547</v>
      </c>
      <c r="AU84" s="5476">
        <v>10</v>
      </c>
      <c r="AV84" s="5494">
        <f t="shared" si="284"/>
        <v>0</v>
      </c>
      <c r="AW84" s="5492">
        <f t="shared" si="285"/>
        <v>10.000000197590968</v>
      </c>
      <c r="AX84" s="5492">
        <f t="shared" si="286"/>
        <v>6.3680527243416778</v>
      </c>
      <c r="AY84" s="5476">
        <v>10</v>
      </c>
      <c r="AZ84" s="5494">
        <f t="shared" si="287"/>
        <v>1.595062197855343</v>
      </c>
      <c r="BA84" s="5493">
        <f t="shared" si="288"/>
        <v>10</v>
      </c>
      <c r="BB84" s="5493">
        <f t="shared" si="289"/>
        <v>4.1157967086519376</v>
      </c>
      <c r="BC84" s="5495">
        <f t="shared" si="290"/>
        <v>9.9999999999999947</v>
      </c>
      <c r="BD84" s="5495">
        <f t="shared" si="291"/>
        <v>7.2435215117256639</v>
      </c>
      <c r="BE84" s="5492">
        <f t="shared" si="292"/>
        <v>10.000000180032258</v>
      </c>
      <c r="BF84" s="5433">
        <f t="shared" si="293"/>
        <v>5.9539146601373885</v>
      </c>
      <c r="BG84" s="26"/>
      <c r="BH84" s="26"/>
      <c r="BI84" s="26"/>
      <c r="BJ84" s="26"/>
    </row>
    <row r="85" spans="1:62" ht="21" customHeight="1" x14ac:dyDescent="0.25">
      <c r="B85" s="3977" t="s">
        <v>1259</v>
      </c>
      <c r="C85" s="5458" t="s">
        <v>277</v>
      </c>
      <c r="D85" s="5404">
        <v>0</v>
      </c>
      <c r="E85" s="5476">
        <v>0</v>
      </c>
      <c r="F85" s="5501">
        <f t="shared" si="252"/>
        <v>0</v>
      </c>
      <c r="G85" s="5476">
        <v>0</v>
      </c>
      <c r="H85" s="5501">
        <f t="shared" si="253"/>
        <v>0</v>
      </c>
      <c r="I85" s="5492">
        <f t="shared" si="254"/>
        <v>0</v>
      </c>
      <c r="J85" s="5492">
        <f t="shared" si="255"/>
        <v>0</v>
      </c>
      <c r="K85" s="5471">
        <v>0</v>
      </c>
      <c r="L85" s="5501">
        <f t="shared" si="256"/>
        <v>0</v>
      </c>
      <c r="M85" s="5493">
        <f t="shared" si="257"/>
        <v>0</v>
      </c>
      <c r="N85" s="5493">
        <f t="shared" si="258"/>
        <v>0</v>
      </c>
      <c r="O85" s="5471">
        <v>0</v>
      </c>
      <c r="P85" s="5501">
        <f t="shared" si="259"/>
        <v>7.8210678712269859</v>
      </c>
      <c r="Q85" s="5492">
        <f t="shared" si="260"/>
        <v>0</v>
      </c>
      <c r="R85" s="5492">
        <f t="shared" si="261"/>
        <v>2.225946863383649</v>
      </c>
      <c r="S85" s="5476">
        <v>0</v>
      </c>
      <c r="T85" s="5494">
        <f t="shared" si="262"/>
        <v>15.669401273957936</v>
      </c>
      <c r="U85" s="5492">
        <f t="shared" si="263"/>
        <v>0</v>
      </c>
      <c r="V85" s="5492">
        <f t="shared" si="264"/>
        <v>5.1486215417473655</v>
      </c>
      <c r="W85" s="5476">
        <v>0</v>
      </c>
      <c r="X85" s="5494">
        <f t="shared" si="265"/>
        <v>13.44145775432384</v>
      </c>
      <c r="Y85" s="5493">
        <f t="shared" si="266"/>
        <v>0</v>
      </c>
      <c r="Z85" s="5493">
        <f t="shared" si="267"/>
        <v>12.249925464469831</v>
      </c>
      <c r="AA85" s="5495">
        <f t="shared" si="268"/>
        <v>0</v>
      </c>
      <c r="AB85" s="5495">
        <f t="shared" si="269"/>
        <v>6.5535839973777303</v>
      </c>
      <c r="AC85" s="5476">
        <v>0</v>
      </c>
      <c r="AD85" s="5494">
        <f t="shared" si="270"/>
        <v>7.6486032079647153</v>
      </c>
      <c r="AE85" s="5492">
        <f t="shared" si="271"/>
        <v>0</v>
      </c>
      <c r="AF85" s="5492">
        <f t="shared" si="272"/>
        <v>6.7203110395998191</v>
      </c>
      <c r="AG85" s="5476">
        <v>0</v>
      </c>
      <c r="AH85" s="5494">
        <f t="shared" si="273"/>
        <v>7.2140438794803883</v>
      </c>
      <c r="AI85" s="5492">
        <f t="shared" si="274"/>
        <v>0</v>
      </c>
      <c r="AJ85" s="5492">
        <f t="shared" si="275"/>
        <v>6.7775226250086478</v>
      </c>
      <c r="AK85" s="5476">
        <v>0</v>
      </c>
      <c r="AL85" s="5494">
        <f t="shared" si="276"/>
        <v>4.1363067496115669</v>
      </c>
      <c r="AM85" s="5493">
        <f t="shared" si="277"/>
        <v>0</v>
      </c>
      <c r="AN85" s="5493">
        <f t="shared" si="278"/>
        <v>6.3100166022986546</v>
      </c>
      <c r="AO85" s="5492">
        <f t="shared" si="279"/>
        <v>0</v>
      </c>
      <c r="AP85" s="5492">
        <f t="shared" si="280"/>
        <v>6.4714147524681334</v>
      </c>
      <c r="AQ85" s="5476">
        <v>0</v>
      </c>
      <c r="AR85" s="5494">
        <f t="shared" si="281"/>
        <v>5.8735655692142199</v>
      </c>
      <c r="AS85" s="5492">
        <f t="shared" si="282"/>
        <v>0</v>
      </c>
      <c r="AT85" s="5492">
        <f t="shared" si="283"/>
        <v>6.4092985229786468</v>
      </c>
      <c r="AU85" s="5476">
        <v>0</v>
      </c>
      <c r="AV85" s="5494">
        <f t="shared" si="284"/>
        <v>0</v>
      </c>
      <c r="AW85" s="5492">
        <f t="shared" si="285"/>
        <v>0</v>
      </c>
      <c r="AX85" s="5492">
        <f t="shared" si="286"/>
        <v>5.8142741813487628</v>
      </c>
      <c r="AY85" s="5476">
        <v>0</v>
      </c>
      <c r="AZ85" s="5494">
        <f t="shared" si="287"/>
        <v>4.7407527180543445</v>
      </c>
      <c r="BA85" s="5493">
        <f t="shared" si="288"/>
        <v>0</v>
      </c>
      <c r="BB85" s="5493">
        <f t="shared" si="289"/>
        <v>3.5590935700250284</v>
      </c>
      <c r="BC85" s="5495">
        <f t="shared" si="290"/>
        <v>0</v>
      </c>
      <c r="BD85" s="5495">
        <f t="shared" si="291"/>
        <v>4.9151188785861271</v>
      </c>
      <c r="BE85" s="5492">
        <f t="shared" si="292"/>
        <v>0</v>
      </c>
      <c r="BF85" s="5433">
        <f t="shared" si="293"/>
        <v>5.721127945624346</v>
      </c>
      <c r="BG85" s="26"/>
      <c r="BH85" s="26"/>
      <c r="BI85" s="26"/>
      <c r="BJ85" s="26"/>
    </row>
    <row r="86" spans="1:62" ht="21" customHeight="1" x14ac:dyDescent="0.25">
      <c r="B86" s="3977" t="s">
        <v>135</v>
      </c>
      <c r="C86" s="5458" t="s">
        <v>277</v>
      </c>
      <c r="D86" s="5404">
        <v>14.999999999999995</v>
      </c>
      <c r="E86" s="5476">
        <v>14.999999999999995</v>
      </c>
      <c r="F86" s="5501">
        <f t="shared" si="252"/>
        <v>13.746924456219363</v>
      </c>
      <c r="G86" s="5476">
        <v>15</v>
      </c>
      <c r="H86" s="5501">
        <f t="shared" si="253"/>
        <v>11.302187695340093</v>
      </c>
      <c r="I86" s="5492">
        <f t="shared" si="254"/>
        <v>15.000015327465706</v>
      </c>
      <c r="J86" s="5492">
        <f t="shared" si="255"/>
        <v>12.648356006233179</v>
      </c>
      <c r="K86" s="5471">
        <v>15</v>
      </c>
      <c r="L86" s="5501">
        <f t="shared" si="256"/>
        <v>18.325399543693276</v>
      </c>
      <c r="M86" s="5493">
        <f t="shared" si="257"/>
        <v>15.000010850702271</v>
      </c>
      <c r="N86" s="5493">
        <f t="shared" si="258"/>
        <v>14.484084482091735</v>
      </c>
      <c r="O86" s="5471">
        <v>15</v>
      </c>
      <c r="P86" s="5501">
        <f t="shared" si="259"/>
        <v>14.279966421548608</v>
      </c>
      <c r="Q86" s="5492">
        <f t="shared" si="260"/>
        <v>15.000000872214756</v>
      </c>
      <c r="R86" s="5492">
        <f t="shared" si="261"/>
        <v>14.425990630445535</v>
      </c>
      <c r="S86" s="5476">
        <v>15</v>
      </c>
      <c r="T86" s="5494">
        <f t="shared" si="262"/>
        <v>9.5618960046766031</v>
      </c>
      <c r="U86" s="5492">
        <f t="shared" si="263"/>
        <v>15.00000068325925</v>
      </c>
      <c r="V86" s="5492">
        <f t="shared" si="264"/>
        <v>13.368511967467526</v>
      </c>
      <c r="W86" s="5476">
        <v>15</v>
      </c>
      <c r="X86" s="5494">
        <f t="shared" si="265"/>
        <v>9.3278877320863636</v>
      </c>
      <c r="Y86" s="5493">
        <f t="shared" si="266"/>
        <v>14.999991506233567</v>
      </c>
      <c r="Z86" s="5493">
        <f t="shared" si="267"/>
        <v>11.119290248964674</v>
      </c>
      <c r="AA86" s="5495">
        <f t="shared" si="268"/>
        <v>15.000000564554986</v>
      </c>
      <c r="AB86" s="5495">
        <f t="shared" si="269"/>
        <v>12.683954211532185</v>
      </c>
      <c r="AC86" s="5476">
        <v>15</v>
      </c>
      <c r="AD86" s="5494">
        <f t="shared" si="270"/>
        <v>13.247434462010272</v>
      </c>
      <c r="AE86" s="5492">
        <f t="shared" si="271"/>
        <v>15.000000476711074</v>
      </c>
      <c r="AF86" s="5492">
        <f t="shared" si="272"/>
        <v>12.769749414579275</v>
      </c>
      <c r="AG86" s="5476">
        <v>15</v>
      </c>
      <c r="AH86" s="5494">
        <f t="shared" si="273"/>
        <v>18.924451828852408</v>
      </c>
      <c r="AI86" s="5492">
        <f t="shared" si="274"/>
        <v>15.000000414346323</v>
      </c>
      <c r="AJ86" s="5492">
        <f t="shared" si="275"/>
        <v>13.482929204129608</v>
      </c>
      <c r="AK86" s="5476">
        <v>15</v>
      </c>
      <c r="AL86" s="5494">
        <f t="shared" si="276"/>
        <v>8.961997957491727</v>
      </c>
      <c r="AM86" s="5493">
        <f t="shared" si="277"/>
        <v>14.999999999999986</v>
      </c>
      <c r="AN86" s="5493">
        <f t="shared" si="278"/>
        <v>13.499156748738404</v>
      </c>
      <c r="AO86" s="5492">
        <f t="shared" si="279"/>
        <v>15.000000364807278</v>
      </c>
      <c r="AP86" s="5492">
        <f t="shared" si="280"/>
        <v>12.958968758979625</v>
      </c>
      <c r="AQ86" s="5476">
        <v>15</v>
      </c>
      <c r="AR86" s="5494">
        <f t="shared" si="281"/>
        <v>6.6136472345385418</v>
      </c>
      <c r="AS86" s="5492">
        <f t="shared" si="282"/>
        <v>15.000000325848937</v>
      </c>
      <c r="AT86" s="5492">
        <f t="shared" si="283"/>
        <v>12.299693043570036</v>
      </c>
      <c r="AU86" s="5476">
        <v>15</v>
      </c>
      <c r="AV86" s="5494">
        <f t="shared" si="284"/>
        <v>20.962803965554706</v>
      </c>
      <c r="AW86" s="5492">
        <f t="shared" si="285"/>
        <v>15.000000296386451</v>
      </c>
      <c r="AX86" s="5492">
        <f t="shared" si="286"/>
        <v>13.103956077089181</v>
      </c>
      <c r="AY86" s="5476">
        <v>15</v>
      </c>
      <c r="AZ86" s="5494">
        <f t="shared" si="287"/>
        <v>16.993109057866032</v>
      </c>
      <c r="BA86" s="5493">
        <f t="shared" si="288"/>
        <v>15</v>
      </c>
      <c r="BB86" s="5493">
        <f t="shared" si="289"/>
        <v>14.831603056387721</v>
      </c>
      <c r="BC86" s="5495">
        <f t="shared" si="290"/>
        <v>14.999999999999993</v>
      </c>
      <c r="BD86" s="5495">
        <f t="shared" si="291"/>
        <v>14.174794089261541</v>
      </c>
      <c r="BE86" s="5492">
        <f t="shared" si="292"/>
        <v>15.000000270048385</v>
      </c>
      <c r="BF86" s="5433">
        <f t="shared" si="293"/>
        <v>13.441406209855094</v>
      </c>
      <c r="BG86" s="26"/>
      <c r="BH86" s="26"/>
      <c r="BI86" s="26"/>
      <c r="BJ86" s="26"/>
    </row>
    <row r="87" spans="1:62" ht="21" customHeight="1" x14ac:dyDescent="0.25">
      <c r="B87" s="3977" t="s">
        <v>121</v>
      </c>
      <c r="C87" s="5458" t="s">
        <v>277</v>
      </c>
      <c r="D87" s="5404">
        <v>69.999999999999986</v>
      </c>
      <c r="E87" s="5476">
        <v>69.999999999999986</v>
      </c>
      <c r="F87" s="5501">
        <f t="shared" si="252"/>
        <v>60.777830029184493</v>
      </c>
      <c r="G87" s="5476">
        <v>70</v>
      </c>
      <c r="H87" s="5501">
        <f t="shared" si="253"/>
        <v>63.78800097671823</v>
      </c>
      <c r="I87" s="5492">
        <f t="shared" si="254"/>
        <v>70.000071528173308</v>
      </c>
      <c r="J87" s="5492">
        <f t="shared" si="255"/>
        <v>62.130482341262557</v>
      </c>
      <c r="K87" s="5476">
        <v>70</v>
      </c>
      <c r="L87" s="5501">
        <f t="shared" si="256"/>
        <v>64.443608955432452</v>
      </c>
      <c r="M87" s="5493">
        <f t="shared" si="257"/>
        <v>70.000050636610609</v>
      </c>
      <c r="N87" s="5493">
        <f t="shared" si="258"/>
        <v>62.878454831851869</v>
      </c>
      <c r="O87" s="5476">
        <v>70</v>
      </c>
      <c r="P87" s="5501">
        <f t="shared" si="259"/>
        <v>61.069504961164057</v>
      </c>
      <c r="Q87" s="5492">
        <f t="shared" si="260"/>
        <v>70.000004070335521</v>
      </c>
      <c r="R87" s="5492">
        <f t="shared" si="261"/>
        <v>62.363611289131903</v>
      </c>
      <c r="S87" s="5476">
        <v>70</v>
      </c>
      <c r="T87" s="5494">
        <f t="shared" si="262"/>
        <v>68.998784018848866</v>
      </c>
      <c r="U87" s="5492">
        <f t="shared" si="263"/>
        <v>70.000003188543175</v>
      </c>
      <c r="V87" s="5492">
        <f t="shared" si="264"/>
        <v>63.806131249511999</v>
      </c>
      <c r="W87" s="5476">
        <v>70</v>
      </c>
      <c r="X87" s="5494">
        <f t="shared" si="265"/>
        <v>70.566467059674721</v>
      </c>
      <c r="Y87" s="5493">
        <f t="shared" si="266"/>
        <v>69.999960362423295</v>
      </c>
      <c r="Z87" s="5493">
        <f t="shared" si="267"/>
        <v>66.753304125532409</v>
      </c>
      <c r="AA87" s="5495">
        <f t="shared" si="268"/>
        <v>70.000002634589933</v>
      </c>
      <c r="AB87" s="5495">
        <f t="shared" si="269"/>
        <v>64.95145930824394</v>
      </c>
      <c r="AC87" s="5476">
        <v>70</v>
      </c>
      <c r="AD87" s="5494">
        <f t="shared" si="270"/>
        <v>72.950399233367378</v>
      </c>
      <c r="AE87" s="5492">
        <f t="shared" si="271"/>
        <v>70.000002224651681</v>
      </c>
      <c r="AF87" s="5492">
        <f t="shared" si="272"/>
        <v>66.169373644114899</v>
      </c>
      <c r="AG87" s="5476">
        <v>70</v>
      </c>
      <c r="AH87" s="5494">
        <f t="shared" si="273"/>
        <v>74.648066443865787</v>
      </c>
      <c r="AI87" s="5492">
        <f t="shared" si="274"/>
        <v>70.000001933616176</v>
      </c>
      <c r="AJ87" s="5492">
        <f t="shared" si="275"/>
        <v>67.151847196786647</v>
      </c>
      <c r="AK87" s="5476">
        <v>70</v>
      </c>
      <c r="AL87" s="5494">
        <f t="shared" si="276"/>
        <v>75.699009414280127</v>
      </c>
      <c r="AM87" s="5493">
        <f t="shared" si="277"/>
        <v>69.999999999999943</v>
      </c>
      <c r="AN87" s="5493">
        <f t="shared" si="278"/>
        <v>74.410197782587687</v>
      </c>
      <c r="AO87" s="5492">
        <f t="shared" si="279"/>
        <v>70.000001702433963</v>
      </c>
      <c r="AP87" s="5492">
        <f t="shared" si="280"/>
        <v>68.142434019706698</v>
      </c>
      <c r="AQ87" s="5476">
        <v>70</v>
      </c>
      <c r="AR87" s="5494">
        <f t="shared" si="281"/>
        <v>69.910383506551966</v>
      </c>
      <c r="AS87" s="5492">
        <f t="shared" si="282"/>
        <v>70.000001520628373</v>
      </c>
      <c r="AT87" s="5492">
        <f t="shared" si="283"/>
        <v>68.326123082311057</v>
      </c>
      <c r="AU87" s="5476">
        <v>70</v>
      </c>
      <c r="AV87" s="5494">
        <f t="shared" si="284"/>
        <v>64.105995130599879</v>
      </c>
      <c r="AW87" s="5492">
        <f t="shared" si="285"/>
        <v>70.000001383136777</v>
      </c>
      <c r="AX87" s="5492">
        <f t="shared" si="286"/>
        <v>67.934336235894392</v>
      </c>
      <c r="AY87" s="5476">
        <v>70</v>
      </c>
      <c r="AZ87" s="5494">
        <f t="shared" si="287"/>
        <v>69.337080301537839</v>
      </c>
      <c r="BA87" s="5493">
        <f t="shared" si="288"/>
        <v>69.999999999999986</v>
      </c>
      <c r="BB87" s="5493">
        <f t="shared" si="289"/>
        <v>67.807117634581104</v>
      </c>
      <c r="BC87" s="5495">
        <f t="shared" si="290"/>
        <v>69.999999999999972</v>
      </c>
      <c r="BD87" s="5495">
        <f t="shared" si="291"/>
        <v>71.062004699797868</v>
      </c>
      <c r="BE87" s="5492">
        <f t="shared" si="292"/>
        <v>70.000001260225801</v>
      </c>
      <c r="BF87" s="5433">
        <f t="shared" si="293"/>
        <v>68.056048128825239</v>
      </c>
      <c r="BG87" s="26"/>
      <c r="BH87" s="26"/>
      <c r="BI87" s="26"/>
      <c r="BJ87" s="26"/>
    </row>
    <row r="88" spans="1:62" ht="21" customHeight="1" x14ac:dyDescent="0.25">
      <c r="B88" s="5438" t="s">
        <v>568</v>
      </c>
      <c r="C88" s="5458" t="s">
        <v>179</v>
      </c>
      <c r="D88" s="5434">
        <f>12*D7</f>
        <v>209606.0377358491</v>
      </c>
      <c r="E88" s="5477">
        <f>12*E25</f>
        <v>17720.72</v>
      </c>
      <c r="F88" s="5476">
        <v>14014</v>
      </c>
      <c r="G88" s="5477">
        <f>12*G25</f>
        <v>14777.36</v>
      </c>
      <c r="H88" s="5476">
        <v>12338</v>
      </c>
      <c r="I88" s="5478">
        <f>12*I25</f>
        <v>32498.079999999998</v>
      </c>
      <c r="J88" s="5472">
        <f>+F88+H88</f>
        <v>26352</v>
      </c>
      <c r="K88" s="5477">
        <f>12*K25</f>
        <v>14451.32</v>
      </c>
      <c r="L88" s="5476">
        <v>12716</v>
      </c>
      <c r="M88" s="5479">
        <f>12*M25</f>
        <v>46949.399999999994</v>
      </c>
      <c r="N88" s="5479">
        <f>+L88+H88+F88</f>
        <v>39068</v>
      </c>
      <c r="O88" s="5477">
        <f>12*O25</f>
        <v>17947.199999999997</v>
      </c>
      <c r="P88" s="5476">
        <v>14771</v>
      </c>
      <c r="Q88" s="5478">
        <f>12*Q25</f>
        <v>64896.600000000006</v>
      </c>
      <c r="R88" s="5472">
        <f>+N88+P88</f>
        <v>53839</v>
      </c>
      <c r="S88" s="5477">
        <f>12*S25</f>
        <v>17947.169811320753</v>
      </c>
      <c r="T88" s="5474">
        <v>15728</v>
      </c>
      <c r="U88" s="5478">
        <f>12*U25</f>
        <v>82843.769811320759</v>
      </c>
      <c r="V88" s="5472">
        <f>+R88+T88</f>
        <v>69567</v>
      </c>
      <c r="W88" s="5477">
        <f>12*W25</f>
        <v>17418.867924528302</v>
      </c>
      <c r="X88" s="5474">
        <v>13492</v>
      </c>
      <c r="Y88" s="5479">
        <f>12*Y25</f>
        <v>53313.237735849063</v>
      </c>
      <c r="Z88" s="5479">
        <f>P88+T88+X88</f>
        <v>43991</v>
      </c>
      <c r="AA88" s="5482">
        <f>12*AA25</f>
        <v>100262.63773584904</v>
      </c>
      <c r="AB88" s="5482">
        <f>+Z88+N88</f>
        <v>83059</v>
      </c>
      <c r="AC88" s="5477">
        <f>12*AC25</f>
        <v>18475.471698113208</v>
      </c>
      <c r="AD88" s="5474">
        <v>14658</v>
      </c>
      <c r="AE88" s="5478">
        <f>12*AE25</f>
        <v>118738.10943396227</v>
      </c>
      <c r="AF88" s="5472">
        <f>+AB88+AD88</f>
        <v>97717</v>
      </c>
      <c r="AG88" s="5477">
        <f>12*AG25</f>
        <v>17871.698113207549</v>
      </c>
      <c r="AH88" s="5474">
        <v>11236</v>
      </c>
      <c r="AI88" s="5478">
        <f>12*AI25</f>
        <v>136609.80754716982</v>
      </c>
      <c r="AJ88" s="5472">
        <f>+AF88+AH88</f>
        <v>108953</v>
      </c>
      <c r="AK88" s="5477">
        <f>12*AK25</f>
        <v>18550.943396226416</v>
      </c>
      <c r="AL88" s="5474">
        <v>12170</v>
      </c>
      <c r="AM88" s="5479">
        <f>12*AM25</f>
        <v>54898.113207547161</v>
      </c>
      <c r="AN88" s="5479">
        <f>AD88+AH88+AL88</f>
        <v>38064</v>
      </c>
      <c r="AO88" s="5478">
        <f>12*AO25</f>
        <v>155160.75094339624</v>
      </c>
      <c r="AP88" s="5478">
        <f t="shared" ref="AP88" si="294">+AL88+AJ88</f>
        <v>121123</v>
      </c>
      <c r="AQ88" s="5477">
        <f>12*AQ25</f>
        <v>18550.943396226416</v>
      </c>
      <c r="AR88" s="5474">
        <v>12240</v>
      </c>
      <c r="AS88" s="5478">
        <f>12*AS25</f>
        <v>173711.69433962266</v>
      </c>
      <c r="AT88" s="5472">
        <f>+AP88+AR88</f>
        <v>133363</v>
      </c>
      <c r="AU88" s="5477">
        <f>12*AU25</f>
        <v>17267.924528301886</v>
      </c>
      <c r="AV88" s="5474">
        <v>12630</v>
      </c>
      <c r="AW88" s="5478">
        <f>12*AW25</f>
        <v>190979.61886792455</v>
      </c>
      <c r="AX88" s="5472">
        <f>+AT88+AV88</f>
        <v>145993</v>
      </c>
      <c r="AY88" s="5477">
        <f>12*AY25</f>
        <v>18626.415094339623</v>
      </c>
      <c r="AZ88" s="5474">
        <v>12070</v>
      </c>
      <c r="BA88" s="5479">
        <f>12*BA25</f>
        <v>54445.283018867922</v>
      </c>
      <c r="BB88" s="5479">
        <f>AR88+AV88+AZ88</f>
        <v>36940</v>
      </c>
      <c r="BC88" s="5482">
        <f>12*BC25</f>
        <v>109343.39622641508</v>
      </c>
      <c r="BD88" s="5482">
        <f t="shared" ref="BD88" si="295">+BB88+AN88</f>
        <v>75004</v>
      </c>
      <c r="BE88" s="5478">
        <f>12*BE25</f>
        <v>209606.03396226413</v>
      </c>
      <c r="BF88" s="5394">
        <f>+AX88+AZ88</f>
        <v>158063</v>
      </c>
      <c r="BG88" s="26"/>
      <c r="BH88" s="26"/>
      <c r="BI88" s="26"/>
      <c r="BJ88" s="26"/>
    </row>
    <row r="89" spans="1:62" ht="21" customHeight="1" x14ac:dyDescent="0.25">
      <c r="B89" s="3972" t="s">
        <v>305</v>
      </c>
      <c r="C89" s="5460" t="s">
        <v>277</v>
      </c>
      <c r="D89" s="5457">
        <f>+'Maj Techno Summ'!D16</f>
        <v>1060</v>
      </c>
      <c r="E89" s="5483">
        <f>+'Maj Techno Summ'!E16</f>
        <v>1060</v>
      </c>
      <c r="F89" s="5469">
        <f>+(F15*1000)/F5</f>
        <v>1071.4673446568834</v>
      </c>
      <c r="G89" s="5483">
        <f>+'Maj Techno Summ'!G16</f>
        <v>1060</v>
      </c>
      <c r="H89" s="5469">
        <f>+(H15*1000)/H5</f>
        <v>1063.2422752210125</v>
      </c>
      <c r="I89" s="5484">
        <f>+(I15*1000)/I5</f>
        <v>1060.0000000000016</v>
      </c>
      <c r="J89" s="5484">
        <f>+(J15*1000)/J5</f>
        <v>1067.7713228794637</v>
      </c>
      <c r="K89" s="5483">
        <f>+'Maj Techno Summ'!K16</f>
        <v>1060</v>
      </c>
      <c r="L89" s="5469">
        <f>+(L15*1000)/L5</f>
        <v>1068.46891154317</v>
      </c>
      <c r="M89" s="5485">
        <f>+(M15*1000)/M5</f>
        <v>1060.0000000000016</v>
      </c>
      <c r="N89" s="5485">
        <f>+(N15*1000)/N5</f>
        <v>1067.9968954030876</v>
      </c>
      <c r="O89" s="5483">
        <f>+'Maj Techno Summ'!O16</f>
        <v>1060</v>
      </c>
      <c r="P89" s="5469">
        <f>+(P15*1000)/P5</f>
        <v>1061.4143942158958</v>
      </c>
      <c r="Q89" s="5484">
        <f>+(Q15*1000)/Q5</f>
        <v>1060.0000000000016</v>
      </c>
      <c r="R89" s="5484">
        <f>+(R15*1000)/R5</f>
        <v>1066.1234534313573</v>
      </c>
      <c r="S89" s="5483">
        <f>+'Maj Techno Summ'!S16</f>
        <v>1060</v>
      </c>
      <c r="T89" s="5470">
        <f>+(T15*1000)/T5</f>
        <v>1063.9466350904995</v>
      </c>
      <c r="U89" s="5484">
        <f>+(U15*1000)/U5</f>
        <v>1060.0000000000014</v>
      </c>
      <c r="V89" s="5484">
        <f>+(V15*1000)/V5</f>
        <v>1065.6502017348521</v>
      </c>
      <c r="W89" s="5483">
        <f>+'Maj Techno Summ'!W16</f>
        <v>1060</v>
      </c>
      <c r="X89" s="5470">
        <f>+(X15*1000)/X5</f>
        <v>1078.7197176015106</v>
      </c>
      <c r="Y89" s="5485">
        <f>Y15/Y5*1000</f>
        <v>1060.0000000000007</v>
      </c>
      <c r="Z89" s="5485">
        <f>+(Z15*1000)/Z5</f>
        <v>1067.7492803009816</v>
      </c>
      <c r="AA89" s="5486">
        <f>+(AA15*1000)/AA5</f>
        <v>1060.0000000000011</v>
      </c>
      <c r="AB89" s="5486">
        <f>+(AB15*1000)/AB5</f>
        <v>1067.8644237825881</v>
      </c>
      <c r="AC89" s="5483">
        <f>+'Maj Techno Summ'!AC16</f>
        <v>1060</v>
      </c>
      <c r="AD89" s="5470">
        <f>+(AD15*1000)/AD5</f>
        <v>1086.2346322710002</v>
      </c>
      <c r="AE89" s="5484">
        <f>+(AE15*1000)/AE5</f>
        <v>1060.0000000000011</v>
      </c>
      <c r="AF89" s="5484">
        <f>+(AF15*1000)/AF5</f>
        <v>1070.6614550539286</v>
      </c>
      <c r="AG89" s="5483">
        <f>+'Maj Techno Summ'!AG16</f>
        <v>1060</v>
      </c>
      <c r="AH89" s="5470">
        <f>+(AH15*1000)/AH5</f>
        <v>1062.7648777647219</v>
      </c>
      <c r="AI89" s="5484">
        <f>+(AI15*1000)/AI5</f>
        <v>1060.0000000000011</v>
      </c>
      <c r="AJ89" s="5484">
        <f>+(AJ15*1000)/AJ5</f>
        <v>1069.7464312524326</v>
      </c>
      <c r="AK89" s="5483">
        <f>+'Maj Techno Summ'!AK16</f>
        <v>1060</v>
      </c>
      <c r="AL89" s="5470">
        <f>+(AL15*1000)/AL5</f>
        <v>1045.1988877909782</v>
      </c>
      <c r="AM89" s="5485">
        <f>AM15/AM5*1000</f>
        <v>1060.0000000000009</v>
      </c>
      <c r="AN89" s="5485">
        <f>+(AN15*1000)/AN5</f>
        <v>1065.0099943475886</v>
      </c>
      <c r="AO89" s="5484">
        <f>+(AO15*1000)/AO5</f>
        <v>1060.0000000000011</v>
      </c>
      <c r="AP89" s="5484">
        <f>+(AP15*1000)/AP5</f>
        <v>1066.9014616405252</v>
      </c>
      <c r="AQ89" s="5483">
        <f>+'Maj Techno Summ'!AQ16</f>
        <v>1060</v>
      </c>
      <c r="AR89" s="5470">
        <f>+(AR15*1000)/AR5</f>
        <v>1059.626008939769</v>
      </c>
      <c r="AS89" s="5484">
        <f>+(AS15*1000)/AS5</f>
        <v>1060.0000000000011</v>
      </c>
      <c r="AT89" s="5484">
        <f>+(AT15*1000)/AT5</f>
        <v>1066.1455450601168</v>
      </c>
      <c r="AU89" s="5483">
        <f>+'Maj Techno Summ'!AU16</f>
        <v>1060</v>
      </c>
      <c r="AV89" s="5470">
        <f>+(AV15*1000)/AV5</f>
        <v>1066.2530782433491</v>
      </c>
      <c r="AW89" s="5484">
        <f>+(AW15*1000)/AW5</f>
        <v>1060.0000000000009</v>
      </c>
      <c r="AX89" s="5484">
        <f>+(AX15*1000)/AX5</f>
        <v>1066.1555281710571</v>
      </c>
      <c r="AY89" s="5483">
        <f>+'Maj Techno Summ'!AY16</f>
        <v>1060</v>
      </c>
      <c r="AZ89" s="5470">
        <f>+(AZ15*1000)/AZ5</f>
        <v>1064.4942053621478</v>
      </c>
      <c r="BA89" s="5485">
        <f>BA15/BA5*1000</f>
        <v>1060.0000000000002</v>
      </c>
      <c r="BB89" s="5485">
        <f>+(BB15*1000)/BB5</f>
        <v>1063.4465107426699</v>
      </c>
      <c r="BC89" s="5486">
        <f>+(BC15*1000)/BC5</f>
        <v>1060.0000000000005</v>
      </c>
      <c r="BD89" s="5486">
        <f>+(BD15*1000)/BD5</f>
        <v>1064.217206071889</v>
      </c>
      <c r="BE89" s="5484">
        <f>+(BE15*1000)/BE5</f>
        <v>1060.0000000000009</v>
      </c>
      <c r="BF89" s="5440">
        <f>+(BF15*1000)/BF5</f>
        <v>1066.0113803295867</v>
      </c>
      <c r="BG89" s="26"/>
      <c r="BH89" s="26"/>
      <c r="BI89" s="26"/>
      <c r="BJ89" s="26"/>
    </row>
    <row r="90" spans="1:62" ht="21" customHeight="1" thickBot="1" x14ac:dyDescent="0.3">
      <c r="B90" s="5441" t="s">
        <v>851</v>
      </c>
      <c r="C90" s="5460" t="s">
        <v>277</v>
      </c>
      <c r="D90" s="5457">
        <f>+'Maj Techno Summ'!D17</f>
        <v>39.999999999999993</v>
      </c>
      <c r="E90" s="5483">
        <f>+'Maj Techno Summ'!E17</f>
        <v>39.999999999999993</v>
      </c>
      <c r="F90" s="5469">
        <f>+(F19*1000)/F5</f>
        <v>31.793782099759209</v>
      </c>
      <c r="G90" s="5483">
        <f>+'Maj Techno Summ'!G17</f>
        <v>39.999999999999993</v>
      </c>
      <c r="H90" s="5469">
        <f>+(H19*1000)/H5</f>
        <v>42.99724267318571</v>
      </c>
      <c r="I90" s="5484">
        <f>+(I19*1000)/I5</f>
        <v>39.999999999999986</v>
      </c>
      <c r="J90" s="5484">
        <f>+(J19*1000)/J5</f>
        <v>36.828175375669971</v>
      </c>
      <c r="K90" s="5483">
        <f>+'Maj Techno Summ'!K17</f>
        <v>39.999999999999993</v>
      </c>
      <c r="L90" s="5469">
        <f>+(L19*1000)/L5</f>
        <v>36.034918717223611</v>
      </c>
      <c r="M90" s="5485">
        <f>+(M19*1000)/M5</f>
        <v>39.999999999999993</v>
      </c>
      <c r="N90" s="5485">
        <f>+(N19*1000)/N5</f>
        <v>36.571667614525225</v>
      </c>
      <c r="O90" s="5483">
        <f>+'Maj Techno Summ'!O17</f>
        <v>39.999999999999993</v>
      </c>
      <c r="P90" s="5469">
        <f>+(P19*1000)/P5</f>
        <v>38.166744877209446</v>
      </c>
      <c r="Q90" s="5484">
        <f>+(Q19*1000)/Q5</f>
        <v>39.999999999999986</v>
      </c>
      <c r="R90" s="5484">
        <f>+(R19*1000)/R5</f>
        <v>37.025641659813637</v>
      </c>
      <c r="S90" s="5483">
        <f>+'Maj Techno Summ'!S17</f>
        <v>39.999999999999993</v>
      </c>
      <c r="T90" s="5470">
        <f>+(T19*1000)/T5</f>
        <v>34.12540842763152</v>
      </c>
      <c r="U90" s="5484">
        <f>+(U19*1000)/U5</f>
        <v>40</v>
      </c>
      <c r="V90" s="5484">
        <f>+(V19*1000)/V5</f>
        <v>36.395115780997919</v>
      </c>
      <c r="W90" s="5483">
        <f>+'Maj Techno Summ'!W17</f>
        <v>39.999999999999993</v>
      </c>
      <c r="X90" s="5470">
        <f>+(X19*1000)/X5</f>
        <v>22.128094664224779</v>
      </c>
      <c r="Y90" s="5485">
        <f>+(Y19*1000)/Y5</f>
        <v>39.999999999999993</v>
      </c>
      <c r="Z90" s="5485">
        <f>+(Z19*1000)/Z5</f>
        <v>31.723626561852047</v>
      </c>
      <c r="AA90" s="5486">
        <f>+(AA19*1000)/AA5</f>
        <v>39.999999999999993</v>
      </c>
      <c r="AB90" s="5486">
        <f>+(AB19*1000)/AB5</f>
        <v>33.978013798447492</v>
      </c>
      <c r="AC90" s="5483">
        <f>+'Maj Techno Summ'!AC17</f>
        <v>39.999999999999993</v>
      </c>
      <c r="AD90" s="5470">
        <f>+(AD19*1000)/AD5</f>
        <v>14.188033422992405</v>
      </c>
      <c r="AE90" s="5484">
        <f>+(AE19*1000)/AE5</f>
        <v>39.999999999999993</v>
      </c>
      <c r="AF90" s="5484">
        <f>+(AF19*1000)/AF5</f>
        <v>30.964809348194063</v>
      </c>
      <c r="AG90" s="5483">
        <f>+'Maj Techno Summ'!AG17</f>
        <v>39.999999999999993</v>
      </c>
      <c r="AH90" s="5470">
        <f>+(AH19*1000)/AH5</f>
        <v>32.065625422442203</v>
      </c>
      <c r="AI90" s="5484">
        <f>+(AI19*1000)/AI5</f>
        <v>39.999999999999986</v>
      </c>
      <c r="AJ90" s="5484">
        <f>+(AJ19*1000)/AJ5</f>
        <v>31.092367513221266</v>
      </c>
      <c r="AK90" s="5483">
        <f>+'Maj Techno Summ'!AK17</f>
        <v>39.999999999999993</v>
      </c>
      <c r="AL90" s="5470">
        <f>+(AL19*1000)/AL5</f>
        <v>54.232185123055359</v>
      </c>
      <c r="AM90" s="5485">
        <f>+(AM19*1000)/AM5</f>
        <v>39.999999999999993</v>
      </c>
      <c r="AN90" s="5485">
        <f>+(AN19*1000)/AN5</f>
        <v>33.373826493073423</v>
      </c>
      <c r="AO90" s="5484">
        <f>+(AO19*1000)/AO5</f>
        <v>39.999999999999979</v>
      </c>
      <c r="AP90" s="5484">
        <f>+(AP19*1000)/AP5</f>
        <v>33.774186898872969</v>
      </c>
      <c r="AQ90" s="5483">
        <f>+'Maj Techno Summ'!AQ17</f>
        <v>39.999999999999993</v>
      </c>
      <c r="AR90" s="5470">
        <f>+(AR19*1000)/AR5</f>
        <v>40.278070002159133</v>
      </c>
      <c r="AS90" s="5484">
        <f>+(AS19*1000)/AS5</f>
        <v>39.999999999999986</v>
      </c>
      <c r="AT90" s="5484">
        <f>+(AT19*1000)/AT5</f>
        <v>34.449937711506429</v>
      </c>
      <c r="AU90" s="5483">
        <f>+'Maj Techno Summ'!AU17</f>
        <v>39.999999999999993</v>
      </c>
      <c r="AV90" s="5470">
        <f>+(AV19*1000)/AV5</f>
        <v>33.453509197418008</v>
      </c>
      <c r="AW90" s="5484">
        <f>+(AW19*1000)/AW5</f>
        <v>39.999999999999986</v>
      </c>
      <c r="AX90" s="5484">
        <f>+(AX19*1000)/AX5</f>
        <v>34.357431788206789</v>
      </c>
      <c r="AY90" s="5483">
        <f>+'Maj Techno Summ'!AY17</f>
        <v>39.999999999999993</v>
      </c>
      <c r="AZ90" s="5470">
        <f t="shared" ref="AZ90:BF90" si="296">+(AZ19*1000)/AZ5</f>
        <v>35.205785978936049</v>
      </c>
      <c r="BA90" s="5485">
        <f t="shared" si="296"/>
        <v>40</v>
      </c>
      <c r="BB90" s="5485">
        <f t="shared" si="296"/>
        <v>36.323839549111753</v>
      </c>
      <c r="BC90" s="5486">
        <f t="shared" si="296"/>
        <v>39.999999999999993</v>
      </c>
      <c r="BD90" s="5486">
        <f t="shared" si="296"/>
        <v>34.869675734236559</v>
      </c>
      <c r="BE90" s="5484">
        <f t="shared" si="296"/>
        <v>39.999999999999993</v>
      </c>
      <c r="BF90" s="5440">
        <f t="shared" si="296"/>
        <v>34.431040857281253</v>
      </c>
      <c r="BG90" s="26"/>
      <c r="BH90" s="26"/>
      <c r="BI90" s="26"/>
      <c r="BJ90" s="26"/>
    </row>
    <row r="91" spans="1:62" ht="21" customHeight="1" x14ac:dyDescent="0.25">
      <c r="B91" s="5442" t="s">
        <v>294</v>
      </c>
      <c r="C91" s="5428" t="s">
        <v>277</v>
      </c>
      <c r="D91" s="5457">
        <f t="shared" ref="D91:L91" si="297">SUM(D89:D90)</f>
        <v>1100</v>
      </c>
      <c r="E91" s="5483">
        <f t="shared" si="297"/>
        <v>1100</v>
      </c>
      <c r="F91" s="5469">
        <f t="shared" si="297"/>
        <v>1103.2611267566426</v>
      </c>
      <c r="G91" s="5483">
        <f t="shared" ref="G91:H91" si="298">SUM(G89:G90)</f>
        <v>1100</v>
      </c>
      <c r="H91" s="5469">
        <f t="shared" si="298"/>
        <v>1106.2395178941981</v>
      </c>
      <c r="I91" s="5484">
        <f t="shared" si="297"/>
        <v>1100.0000000000016</v>
      </c>
      <c r="J91" s="5484">
        <f t="shared" si="297"/>
        <v>1104.5994982551338</v>
      </c>
      <c r="K91" s="5483">
        <f t="shared" si="297"/>
        <v>1100</v>
      </c>
      <c r="L91" s="5469">
        <f t="shared" si="297"/>
        <v>1104.5038302603937</v>
      </c>
      <c r="M91" s="5485">
        <f t="shared" ref="M91:AF91" si="299">SUM(M89:M90)</f>
        <v>1100.0000000000016</v>
      </c>
      <c r="N91" s="5485">
        <f t="shared" si="299"/>
        <v>1104.5685630176129</v>
      </c>
      <c r="O91" s="5483">
        <f t="shared" si="299"/>
        <v>1100</v>
      </c>
      <c r="P91" s="5469">
        <f t="shared" si="299"/>
        <v>1099.5811390931051</v>
      </c>
      <c r="Q91" s="5484">
        <f t="shared" si="299"/>
        <v>1100.0000000000016</v>
      </c>
      <c r="R91" s="5484">
        <f t="shared" si="299"/>
        <v>1103.1490950911709</v>
      </c>
      <c r="S91" s="5469">
        <f t="shared" ref="S91:V91" si="300">SUM(S89:S90)</f>
        <v>1100</v>
      </c>
      <c r="T91" s="5470">
        <f t="shared" si="300"/>
        <v>1098.0720435181311</v>
      </c>
      <c r="U91" s="5484">
        <f t="shared" si="300"/>
        <v>1100.0000000000014</v>
      </c>
      <c r="V91" s="5484">
        <f t="shared" si="300"/>
        <v>1102.04531751585</v>
      </c>
      <c r="W91" s="5469">
        <f t="shared" ref="W91:X91" si="301">SUM(W89:W90)</f>
        <v>1100</v>
      </c>
      <c r="X91" s="5470">
        <f t="shared" si="301"/>
        <v>1100.8478122657355</v>
      </c>
      <c r="Y91" s="5485">
        <f t="shared" si="299"/>
        <v>1100.0000000000007</v>
      </c>
      <c r="Z91" s="5485">
        <f t="shared" si="299"/>
        <v>1099.4729068628337</v>
      </c>
      <c r="AA91" s="5486">
        <f t="shared" si="299"/>
        <v>1100.0000000000011</v>
      </c>
      <c r="AB91" s="5486">
        <f t="shared" si="299"/>
        <v>1101.8424375810357</v>
      </c>
      <c r="AC91" s="5469">
        <f t="shared" si="299"/>
        <v>1100</v>
      </c>
      <c r="AD91" s="5470">
        <f t="shared" si="299"/>
        <v>1100.4226656939927</v>
      </c>
      <c r="AE91" s="5484">
        <f t="shared" si="299"/>
        <v>1100.0000000000011</v>
      </c>
      <c r="AF91" s="5484">
        <f t="shared" si="299"/>
        <v>1101.6262644021226</v>
      </c>
      <c r="AG91" s="5469">
        <f t="shared" ref="AG91:AJ91" si="302">SUM(AG89:AG90)</f>
        <v>1100</v>
      </c>
      <c r="AH91" s="5470">
        <f t="shared" si="302"/>
        <v>1094.8305031871641</v>
      </c>
      <c r="AI91" s="5484">
        <f t="shared" si="302"/>
        <v>1100.0000000000011</v>
      </c>
      <c r="AJ91" s="5484">
        <f t="shared" si="302"/>
        <v>1100.8387987656538</v>
      </c>
      <c r="AK91" s="5469">
        <f t="shared" ref="AK91:AV91" si="303">SUM(AK89:AK90)</f>
        <v>1100</v>
      </c>
      <c r="AL91" s="5470">
        <f t="shared" si="303"/>
        <v>1099.4310729140336</v>
      </c>
      <c r="AM91" s="5485">
        <f t="shared" si="303"/>
        <v>1100.0000000000009</v>
      </c>
      <c r="AN91" s="5485">
        <f t="shared" si="303"/>
        <v>1098.3838208406621</v>
      </c>
      <c r="AO91" s="5484">
        <f t="shared" si="303"/>
        <v>1100.0000000000011</v>
      </c>
      <c r="AP91" s="5503">
        <f t="shared" si="303"/>
        <v>1100.6756485393983</v>
      </c>
      <c r="AQ91" s="5469">
        <f t="shared" ref="AQ91:AR91" si="304">SUM(AQ89:AQ90)</f>
        <v>1100</v>
      </c>
      <c r="AR91" s="5470">
        <f t="shared" si="304"/>
        <v>1099.9040789419282</v>
      </c>
      <c r="AS91" s="5484">
        <f t="shared" si="303"/>
        <v>1100.0000000000011</v>
      </c>
      <c r="AT91" s="5484">
        <f t="shared" si="303"/>
        <v>1100.5954827716232</v>
      </c>
      <c r="AU91" s="5469">
        <f t="shared" si="303"/>
        <v>1100</v>
      </c>
      <c r="AV91" s="5470">
        <f t="shared" si="303"/>
        <v>1099.7065874407672</v>
      </c>
      <c r="AW91" s="5484">
        <f t="shared" ref="AW91:BD91" si="305">SUM(AW89:AW90)</f>
        <v>1100.0000000000009</v>
      </c>
      <c r="AX91" s="5484">
        <f t="shared" si="305"/>
        <v>1100.512959959264</v>
      </c>
      <c r="AY91" s="5469">
        <f t="shared" si="305"/>
        <v>1100</v>
      </c>
      <c r="AZ91" s="5470">
        <f t="shared" si="305"/>
        <v>1099.6999913410839</v>
      </c>
      <c r="BA91" s="5485">
        <f t="shared" si="305"/>
        <v>1100.0000000000002</v>
      </c>
      <c r="BB91" s="5485">
        <f t="shared" si="305"/>
        <v>1099.7703502917816</v>
      </c>
      <c r="BC91" s="5486">
        <f t="shared" si="305"/>
        <v>1100.0000000000005</v>
      </c>
      <c r="BD91" s="5486">
        <f t="shared" si="305"/>
        <v>1099.0868818061256</v>
      </c>
      <c r="BE91" s="5484">
        <f t="shared" ref="BE91:BF91" si="306">SUM(BE89:BE90)</f>
        <v>1100.0000000000009</v>
      </c>
      <c r="BF91" s="5440">
        <f t="shared" si="306"/>
        <v>1100.4424211868679</v>
      </c>
      <c r="BG91" s="26"/>
      <c r="BH91" s="26"/>
      <c r="BI91" s="26"/>
      <c r="BJ91" s="26"/>
    </row>
    <row r="92" spans="1:62" ht="21" customHeight="1" x14ac:dyDescent="0.25">
      <c r="B92" s="2501" t="s">
        <v>460</v>
      </c>
      <c r="C92" s="5458" t="s">
        <v>52</v>
      </c>
      <c r="D92" s="5434">
        <f>+D94*D5/1000</f>
        <v>319649.20754716976</v>
      </c>
      <c r="E92" s="5477">
        <f>+E94*E5/1000</f>
        <v>27024.150943396202</v>
      </c>
      <c r="F92" s="5477">
        <v>24069.54</v>
      </c>
      <c r="G92" s="5477">
        <f>+G94*G5/1000</f>
        <v>22535.47169811315</v>
      </c>
      <c r="H92" s="5477">
        <v>19985.12802</v>
      </c>
      <c r="I92" s="5478">
        <f>+E92+G92</f>
        <v>49559.622641509355</v>
      </c>
      <c r="J92" s="5478">
        <f>+F92+H92</f>
        <v>44054.668019999997</v>
      </c>
      <c r="K92" s="5477">
        <f>+K94*K5/1000</f>
        <v>22038.264150943363</v>
      </c>
      <c r="L92" s="5477">
        <v>22152.800719999999</v>
      </c>
      <c r="M92" s="5479">
        <f>+K92+G92+E92</f>
        <v>71597.886792452715</v>
      </c>
      <c r="N92" s="5479">
        <f>+L92+H92+F92</f>
        <v>66207.468740000011</v>
      </c>
      <c r="O92" s="5477">
        <f>+O94*O5/1000</f>
        <v>27369.433962264102</v>
      </c>
      <c r="P92" s="5477">
        <v>26683.411459999999</v>
      </c>
      <c r="Q92" s="5478">
        <f>+M92+O92</f>
        <v>98967.320754716813</v>
      </c>
      <c r="R92" s="5478">
        <f>+N92+P92</f>
        <v>92890.880200000014</v>
      </c>
      <c r="S92" s="5477">
        <f>+S94*S5/1000</f>
        <v>27369.433962264142</v>
      </c>
      <c r="T92" s="5481">
        <v>28506.842421199999</v>
      </c>
      <c r="U92" s="5478">
        <f>+Q92+S92</f>
        <v>126336.75471698095</v>
      </c>
      <c r="V92" s="5478">
        <f>+R92+T92</f>
        <v>121397.72262120001</v>
      </c>
      <c r="W92" s="5477">
        <f>+W94*W5/1000</f>
        <v>26563.773584905659</v>
      </c>
      <c r="X92" s="5481">
        <v>27343.671593999999</v>
      </c>
      <c r="Y92" s="5479">
        <f>+W92+S92+O92</f>
        <v>81302.641509433903</v>
      </c>
      <c r="Z92" s="5479">
        <f>+X92+T92+P92</f>
        <v>82533.925475199998</v>
      </c>
      <c r="AA92" s="5482">
        <f>+Y92+M92</f>
        <v>152900.52830188663</v>
      </c>
      <c r="AB92" s="5482">
        <f>+Z92+N92</f>
        <v>148741.39421520001</v>
      </c>
      <c r="AC92" s="5477">
        <f>+AC94*AC5/1000</f>
        <v>28175.094339622632</v>
      </c>
      <c r="AD92" s="5481">
        <v>32143.0724768</v>
      </c>
      <c r="AE92" s="5478">
        <f>+AA92+AC92</f>
        <v>181075.62264150925</v>
      </c>
      <c r="AF92" s="5478">
        <f>+AB92+AD92</f>
        <v>180884.46669200002</v>
      </c>
      <c r="AG92" s="5477">
        <f>+AG94*AG5/1000</f>
        <v>27254.339622641466</v>
      </c>
      <c r="AH92" s="5481">
        <v>27316.929588300001</v>
      </c>
      <c r="AI92" s="5478">
        <f>+AE92+AG92</f>
        <v>208329.96226415073</v>
      </c>
      <c r="AJ92" s="5478">
        <f>+AF92+AH92</f>
        <v>208201.39628030002</v>
      </c>
      <c r="AK92" s="5477">
        <f>+AK94*AK5/1000</f>
        <v>28290.188679245261</v>
      </c>
      <c r="AL92" s="5481">
        <v>32234.273913900004</v>
      </c>
      <c r="AM92" s="5479">
        <f>+AK92+AG92+AC92</f>
        <v>83719.622641509355</v>
      </c>
      <c r="AN92" s="5479">
        <f>+AL92+AH92+AD92</f>
        <v>91694.275978999998</v>
      </c>
      <c r="AO92" s="5478">
        <f t="shared" ref="AO92:AP92" si="307">+AK92+AI92</f>
        <v>236620.150943396</v>
      </c>
      <c r="AP92" s="5478">
        <f t="shared" si="307"/>
        <v>240435.67019420001</v>
      </c>
      <c r="AQ92" s="5477">
        <f>+AQ94*AQ5/1000</f>
        <v>28290.188679245261</v>
      </c>
      <c r="AR92" s="5481">
        <v>29099.197399999997</v>
      </c>
      <c r="AS92" s="5478">
        <f>+AO92+AQ92</f>
        <v>264910.33962264127</v>
      </c>
      <c r="AT92" s="5478">
        <f>+AP92+AR92</f>
        <v>269534.86759420001</v>
      </c>
      <c r="AU92" s="5477">
        <f>+AU94*AU5/1000</f>
        <v>26333.584905660427</v>
      </c>
      <c r="AV92" s="5481">
        <v>27356.742301700004</v>
      </c>
      <c r="AW92" s="5478">
        <f>+AS92+AU92</f>
        <v>291243.92452830169</v>
      </c>
      <c r="AX92" s="5478">
        <f>+AT92+AV92</f>
        <v>296891.60989590001</v>
      </c>
      <c r="AY92" s="5477">
        <f>+AY94*AY5/1000</f>
        <v>28405.283018867893</v>
      </c>
      <c r="AZ92" s="5481">
        <v>31392.794137500001</v>
      </c>
      <c r="BA92" s="5479">
        <f>+AY92+AU92+AQ92</f>
        <v>83029.056603773584</v>
      </c>
      <c r="BB92" s="5479">
        <f>+AZ92+AV92+AR92</f>
        <v>87848.733839199995</v>
      </c>
      <c r="BC92" s="5482">
        <f t="shared" ref="BC92" si="308">+BA92+AM92</f>
        <v>166748.67924528295</v>
      </c>
      <c r="BD92" s="5482">
        <f t="shared" ref="BD92" si="309">+BB92+AN92</f>
        <v>179543.00981819999</v>
      </c>
      <c r="BE92" s="5478">
        <f>+AW92+AY92</f>
        <v>319649.20754716959</v>
      </c>
      <c r="BF92" s="5437">
        <f>+AX92+AZ92</f>
        <v>328284.4040334</v>
      </c>
      <c r="BG92" s="26"/>
      <c r="BH92" s="26"/>
      <c r="BI92" s="26"/>
      <c r="BJ92" s="26"/>
    </row>
    <row r="93" spans="1:62" ht="21" customHeight="1" x14ac:dyDescent="0.25">
      <c r="B93" s="2501" t="s">
        <v>295</v>
      </c>
      <c r="C93" s="5458" t="s">
        <v>278</v>
      </c>
      <c r="D93" s="5434">
        <v>118.34</v>
      </c>
      <c r="E93" s="5477">
        <v>118.34</v>
      </c>
      <c r="F93" s="5477">
        <f>+F92/F20*1000</f>
        <v>110</v>
      </c>
      <c r="G93" s="5477">
        <v>118.34</v>
      </c>
      <c r="H93" s="5477">
        <f>+H92/H20*1000</f>
        <v>111.86999999999999</v>
      </c>
      <c r="I93" s="5478">
        <f>+I92/I20*1000</f>
        <v>118.3399999999998</v>
      </c>
      <c r="J93" s="5478">
        <f>+J92/J20*1000</f>
        <v>110.84050727117193</v>
      </c>
      <c r="K93" s="5477">
        <v>118.34</v>
      </c>
      <c r="L93" s="5477">
        <f>+L92/L20*1000</f>
        <v>116.66</v>
      </c>
      <c r="M93" s="5479">
        <f>+M92/M20*1000</f>
        <v>118.33999999999979</v>
      </c>
      <c r="N93" s="5479">
        <f>+N92/N20*1000</f>
        <v>112.72196015336631</v>
      </c>
      <c r="O93" s="5477">
        <v>118.34</v>
      </c>
      <c r="P93" s="5477">
        <f>+P92/P20*1000</f>
        <v>114.34</v>
      </c>
      <c r="Q93" s="5478">
        <f>+Q92/Q20*1000</f>
        <v>118.33999999999979</v>
      </c>
      <c r="R93" s="5478">
        <f>+R92/R20*1000</f>
        <v>113.18204383706524</v>
      </c>
      <c r="S93" s="5477">
        <v>118.34</v>
      </c>
      <c r="T93" s="5481">
        <f>+T92/T20*1000</f>
        <v>125.32</v>
      </c>
      <c r="U93" s="5478">
        <f>+U92/U20*1000</f>
        <v>118.33999999999983</v>
      </c>
      <c r="V93" s="5478">
        <f>+V92/V20*1000</f>
        <v>115.81614753826777</v>
      </c>
      <c r="W93" s="5477">
        <v>118.33999999999999</v>
      </c>
      <c r="X93" s="5481">
        <f>+X92/X20*1000</f>
        <v>128.19999999999999</v>
      </c>
      <c r="Y93" s="5479">
        <f>+Y92/Y20*1000</f>
        <v>118.33999999999992</v>
      </c>
      <c r="Z93" s="5479">
        <f>+Z92/Z20*1000</f>
        <v>122.43017587957512</v>
      </c>
      <c r="AA93" s="5482">
        <f>+AA92/AA20*1000</f>
        <v>118.33999999999988</v>
      </c>
      <c r="AB93" s="5482">
        <f>+AB92/AB20*1000</f>
        <v>117.90998668820302</v>
      </c>
      <c r="AC93" s="5477">
        <v>118.34</v>
      </c>
      <c r="AD93" s="5481">
        <f>+AD92/AD20*1000</f>
        <v>142.04</v>
      </c>
      <c r="AE93" s="5478">
        <f>+AE92/AE20*1000</f>
        <v>118.33999999999988</v>
      </c>
      <c r="AF93" s="5478">
        <f>+AF92/AF20*1000</f>
        <v>121.58023972788962</v>
      </c>
      <c r="AG93" s="5477">
        <v>118.33999999999999</v>
      </c>
      <c r="AH93" s="5481">
        <f>+AH92/AH20*1000</f>
        <v>140.13</v>
      </c>
      <c r="AI93" s="5478">
        <f>+AI92/AI20*1000</f>
        <v>118.33999999999988</v>
      </c>
      <c r="AJ93" s="5478">
        <f>+AJ92/AJ20*1000</f>
        <v>123.72919618814893</v>
      </c>
      <c r="AK93" s="5477">
        <v>118.33999999999999</v>
      </c>
      <c r="AL93" s="5481">
        <f>+AL92/AL20*1000</f>
        <v>146.21000000000004</v>
      </c>
      <c r="AM93" s="5479">
        <f>+AM92/AM20*1000</f>
        <v>118.33999999999989</v>
      </c>
      <c r="AN93" s="5479">
        <f>+AN92/AN20*1000</f>
        <v>142.89243115435212</v>
      </c>
      <c r="AO93" s="5478">
        <f>+AO92/AO20*1000</f>
        <v>118.33999999999988</v>
      </c>
      <c r="AP93" s="5478">
        <f>+AP92/AP20*1000</f>
        <v>126.33338142512757</v>
      </c>
      <c r="AQ93" s="5477">
        <v>118.34</v>
      </c>
      <c r="AR93" s="5481">
        <f>+AR92/AR20*1000</f>
        <v>131.94999999999999</v>
      </c>
      <c r="AS93" s="5478">
        <f>+AS92/AS20*1000</f>
        <v>118.33999999999989</v>
      </c>
      <c r="AT93" s="5478">
        <f>+AT92/AT20*1000</f>
        <v>126.91662519574182</v>
      </c>
      <c r="AU93" s="5477">
        <v>118.34</v>
      </c>
      <c r="AV93" s="5481">
        <f>+AV92/AV20*1000</f>
        <v>125.93000000000002</v>
      </c>
      <c r="AW93" s="5478">
        <f>+AW92/AW20*1000</f>
        <v>118.33999999999992</v>
      </c>
      <c r="AX93" s="5478">
        <f>+AX92/AX20*1000</f>
        <v>126.82506756291278</v>
      </c>
      <c r="AY93" s="5477">
        <v>118.34000000000002</v>
      </c>
      <c r="AZ93" s="5481">
        <f t="shared" ref="AZ93:BF93" si="310">+AZ92/AZ20*1000</f>
        <v>141.25000000000003</v>
      </c>
      <c r="BA93" s="5479">
        <f t="shared" si="310"/>
        <v>118.34</v>
      </c>
      <c r="BB93" s="5479">
        <f t="shared" si="310"/>
        <v>133.10019757475064</v>
      </c>
      <c r="BC93" s="5482">
        <f t="shared" si="310"/>
        <v>118.33999999999995</v>
      </c>
      <c r="BD93" s="5482">
        <f t="shared" si="310"/>
        <v>137.92741499656861</v>
      </c>
      <c r="BE93" s="5478">
        <f t="shared" si="310"/>
        <v>118.33999999999992</v>
      </c>
      <c r="BF93" s="5437">
        <f t="shared" si="310"/>
        <v>128.07582244205372</v>
      </c>
      <c r="BG93" s="26"/>
      <c r="BH93" s="26"/>
      <c r="BI93" s="26"/>
      <c r="BJ93" s="26"/>
    </row>
    <row r="94" spans="1:62" ht="21" customHeight="1" x14ac:dyDescent="0.25">
      <c r="B94" s="2501" t="s">
        <v>295</v>
      </c>
      <c r="C94" s="5458" t="s">
        <v>277</v>
      </c>
      <c r="D94" s="5404">
        <v>121.99999999999997</v>
      </c>
      <c r="E94" s="5476">
        <v>121.99999999999997</v>
      </c>
      <c r="F94" s="5477">
        <f>+F92/F5*1000</f>
        <v>111.67139125633877</v>
      </c>
      <c r="G94" s="5476">
        <v>122</v>
      </c>
      <c r="H94" s="5477">
        <f>+H92/H5*1000</f>
        <v>113.61964819920975</v>
      </c>
      <c r="I94" s="5478">
        <f>+I92/I5*1000</f>
        <v>121.99999999999997</v>
      </c>
      <c r="J94" s="5478">
        <f>+J92/J5*1000</f>
        <v>112.54686108002882</v>
      </c>
      <c r="K94" s="5476">
        <v>122</v>
      </c>
      <c r="L94" s="5477">
        <f>+L92/L5*1000</f>
        <v>118.42427802398123</v>
      </c>
      <c r="M94" s="5479">
        <f>+M92/M5*1000</f>
        <v>121.99999999999999</v>
      </c>
      <c r="N94" s="5479">
        <f>+N92/N5*1000</f>
        <v>114.4473847573972</v>
      </c>
      <c r="O94" s="5476">
        <v>122</v>
      </c>
      <c r="P94" s="5477">
        <f>+P92/P5*1000</f>
        <v>115.94022741887828</v>
      </c>
      <c r="Q94" s="5478">
        <f>+Q92/Q5*1000</f>
        <v>121.99999999999999</v>
      </c>
      <c r="R94" s="5478">
        <f>+R92/R5*1000</f>
        <v>114.87226187016554</v>
      </c>
      <c r="S94" s="5476">
        <v>121.99999999999997</v>
      </c>
      <c r="T94" s="5481">
        <f>+T92/T5*1000</f>
        <v>126.89898781706002</v>
      </c>
      <c r="U94" s="5478">
        <f>+U92/U5*1000</f>
        <v>121.99999999999999</v>
      </c>
      <c r="V94" s="5478">
        <f>+V92/V5*1000</f>
        <v>117.48693501534424</v>
      </c>
      <c r="W94" s="5476">
        <v>122</v>
      </c>
      <c r="X94" s="5481">
        <f>+X92/X5*1000</f>
        <v>129.73473707334199</v>
      </c>
      <c r="Y94" s="5479">
        <f>+Y92/Y5*1000</f>
        <v>122</v>
      </c>
      <c r="Z94" s="5479">
        <f>+Z92/Z5*1000</f>
        <v>124.00748468228068</v>
      </c>
      <c r="AA94" s="5482">
        <f>+AA92/AA5*1000</f>
        <v>122</v>
      </c>
      <c r="AB94" s="5482">
        <f>+AB92/AB5*1000</f>
        <v>119.56194327347791</v>
      </c>
      <c r="AC94" s="5476">
        <v>122</v>
      </c>
      <c r="AD94" s="5481">
        <f>+AD92/AD5*1000</f>
        <v>143.85614184094987</v>
      </c>
      <c r="AE94" s="5478">
        <f>+AE92/AE5*1000</f>
        <v>122</v>
      </c>
      <c r="AF94" s="5478">
        <f>+AF92/AF5*1000</f>
        <v>123.26095589754493</v>
      </c>
      <c r="AG94" s="5476">
        <v>122</v>
      </c>
      <c r="AH94" s="5481">
        <f>+AH92/AH5*1000</f>
        <v>142.02860434608547</v>
      </c>
      <c r="AI94" s="5478">
        <f>+AI92/AI5*1000</f>
        <v>122.00000000000001</v>
      </c>
      <c r="AJ94" s="5478">
        <f>+AJ92/AJ5*1000</f>
        <v>125.43567595657618</v>
      </c>
      <c r="AK94" s="5476">
        <v>122</v>
      </c>
      <c r="AL94" s="5481">
        <f>+AL92/AL5*1000</f>
        <v>148.14566221890297</v>
      </c>
      <c r="AM94" s="5479">
        <f>+AM92/AM5*1000</f>
        <v>121.99999999999999</v>
      </c>
      <c r="AN94" s="5479">
        <f>+AN92/AN5*1000</f>
        <v>144.77479715895274</v>
      </c>
      <c r="AO94" s="5478">
        <f>+AO92/AO5*1000</f>
        <v>122.00000000000001</v>
      </c>
      <c r="AP94" s="5478">
        <f>+AP92/AP5*1000</f>
        <v>128.06767947679012</v>
      </c>
      <c r="AQ94" s="5476">
        <v>122</v>
      </c>
      <c r="AR94" s="5481">
        <f>+AR92/AR5*1000</f>
        <v>133.67939672637229</v>
      </c>
      <c r="AS94" s="5478">
        <f>+AS92/AS5*1000</f>
        <v>122.00000000000001</v>
      </c>
      <c r="AT94" s="5478">
        <f>+AT92/AT5*1000</f>
        <v>128.65073461961063</v>
      </c>
      <c r="AU94" s="5476">
        <v>122</v>
      </c>
      <c r="AV94" s="5481">
        <f>+AV92/AV5*1000</f>
        <v>127.5919849152084</v>
      </c>
      <c r="AW94" s="5478">
        <f>+AW92/AW5*1000</f>
        <v>122.00000000000001</v>
      </c>
      <c r="AX94" s="5478">
        <f>+AX92/AX5*1000</f>
        <v>128.55244295336044</v>
      </c>
      <c r="AY94" s="5476">
        <v>122</v>
      </c>
      <c r="AZ94" s="5481">
        <f t="shared" ref="AZ94:BF94" si="311">+AZ92/AZ5*1000</f>
        <v>143.06714368559932</v>
      </c>
      <c r="BA94" s="5479">
        <f t="shared" si="311"/>
        <v>122.00000000000003</v>
      </c>
      <c r="BB94" s="5479">
        <f t="shared" si="311"/>
        <v>134.83782979214567</v>
      </c>
      <c r="BC94" s="5482">
        <f t="shared" si="311"/>
        <v>122.00000000000001</v>
      </c>
      <c r="BD94" s="5482">
        <f t="shared" si="311"/>
        <v>139.73610586751053</v>
      </c>
      <c r="BE94" s="5478">
        <f t="shared" si="311"/>
        <v>122.00000000000003</v>
      </c>
      <c r="BF94" s="5437">
        <f t="shared" si="311"/>
        <v>129.81183864029182</v>
      </c>
      <c r="BG94" s="26"/>
      <c r="BH94" s="26"/>
      <c r="BI94" s="26"/>
      <c r="BJ94" s="26"/>
    </row>
    <row r="95" spans="1:62" ht="21" customHeight="1" x14ac:dyDescent="0.25">
      <c r="B95" s="2501" t="s">
        <v>296</v>
      </c>
      <c r="C95" s="5458" t="s">
        <v>459</v>
      </c>
      <c r="D95" s="5434">
        <f>+D96*D5/1000</f>
        <v>141484.0754716981</v>
      </c>
      <c r="E95" s="5480">
        <f>+E96*E5/1000</f>
        <v>11961.509433962256</v>
      </c>
      <c r="F95" s="5480">
        <f>11540317/1000</f>
        <v>11540.316999999999</v>
      </c>
      <c r="G95" s="5480">
        <f>+G96*G5/1000</f>
        <v>9974.7169811320509</v>
      </c>
      <c r="H95" s="5480">
        <v>9217.4959999999992</v>
      </c>
      <c r="I95" s="5478">
        <f>+E95+G95</f>
        <v>21936.226415094308</v>
      </c>
      <c r="J95" s="5478">
        <f>+F95+H95</f>
        <v>20757.812999999998</v>
      </c>
      <c r="K95" s="5480">
        <f>+K96*K5/1000</f>
        <v>9754.6415094339482</v>
      </c>
      <c r="L95" s="5480">
        <v>9555.2060000000001</v>
      </c>
      <c r="M95" s="5479">
        <f>+K95+G95+E95</f>
        <v>31690.867924528255</v>
      </c>
      <c r="N95" s="5479">
        <f>+L95+H95+F95</f>
        <v>30313.018999999997</v>
      </c>
      <c r="O95" s="5480">
        <f>+O96*O5/1000</f>
        <v>12114.339622641488</v>
      </c>
      <c r="P95" s="5480">
        <f>11631455/1000</f>
        <v>11631.455</v>
      </c>
      <c r="Q95" s="5478">
        <f>+M95+O95</f>
        <v>43805.207547169746</v>
      </c>
      <c r="R95" s="5478">
        <f>+N95+P95</f>
        <v>41944.473999999995</v>
      </c>
      <c r="S95" s="5480">
        <f>+S96*S5/1000</f>
        <v>12114.339622641508</v>
      </c>
      <c r="T95" s="5481">
        <f>11426817/1000</f>
        <v>11426.816999999999</v>
      </c>
      <c r="U95" s="5478">
        <f>+Q95+S95</f>
        <v>55919.547169811252</v>
      </c>
      <c r="V95" s="5478">
        <f>+R95+T95</f>
        <v>53371.290999999997</v>
      </c>
      <c r="W95" s="5480">
        <f>+W96*W5/1000</f>
        <v>11757.735849056604</v>
      </c>
      <c r="X95" s="5480">
        <v>10841.424000000001</v>
      </c>
      <c r="Y95" s="5479">
        <f>+W95+S95+O95</f>
        <v>35986.415094339594</v>
      </c>
      <c r="Z95" s="5479">
        <f>+X95+T95+P95</f>
        <v>33899.696000000004</v>
      </c>
      <c r="AA95" s="5482">
        <f>+Y95+M95</f>
        <v>67677.283018867849</v>
      </c>
      <c r="AB95" s="5482">
        <f>+Z95+N95</f>
        <v>64212.714999999997</v>
      </c>
      <c r="AC95" s="5480">
        <f>+AC96*AC5/1000</f>
        <v>12470.94339622641</v>
      </c>
      <c r="AD95" s="5480">
        <f>11521349/1000</f>
        <v>11521.349</v>
      </c>
      <c r="AE95" s="5478">
        <f>+AA95+AC95</f>
        <v>80148.226415094265</v>
      </c>
      <c r="AF95" s="5478">
        <f>+AB95+AD95</f>
        <v>75734.063999999998</v>
      </c>
      <c r="AG95" s="5480">
        <f>+AG96*AG5/1000</f>
        <v>12063.396226415076</v>
      </c>
      <c r="AH95" s="5480">
        <f>9844687/1000</f>
        <v>9844.6869999999999</v>
      </c>
      <c r="AI95" s="5478">
        <f>+AE95+AG95</f>
        <v>92211.622641509341</v>
      </c>
      <c r="AJ95" s="5478">
        <f>+AF95+AH95</f>
        <v>85578.751000000004</v>
      </c>
      <c r="AK95" s="5480">
        <f>+AK96*AK5/1000</f>
        <v>12521.88679245282</v>
      </c>
      <c r="AL95" s="5480">
        <v>11237.554</v>
      </c>
      <c r="AM95" s="5479">
        <f>+AK95+AG95+AC95</f>
        <v>37056.226415094308</v>
      </c>
      <c r="AN95" s="5479">
        <f>+AL95+AH95+AD95</f>
        <v>32603.590000000004</v>
      </c>
      <c r="AO95" s="5478">
        <f t="shared" ref="AO95:AP95" si="312">+AK95+AI95</f>
        <v>104733.50943396216</v>
      </c>
      <c r="AP95" s="5478">
        <f t="shared" si="312"/>
        <v>96816.305000000008</v>
      </c>
      <c r="AQ95" s="5480">
        <f>+AQ96*AQ5/1000</f>
        <v>12521.88679245282</v>
      </c>
      <c r="AR95" s="5480">
        <v>11190.33</v>
      </c>
      <c r="AS95" s="5478">
        <f>+AO95+AQ95</f>
        <v>117255.39622641497</v>
      </c>
      <c r="AT95" s="5478">
        <f>+AP95+AR95</f>
        <v>108006.63500000001</v>
      </c>
      <c r="AU95" s="5480">
        <f>+AU96*AU5/1000</f>
        <v>11655.849056603794</v>
      </c>
      <c r="AV95" s="5480">
        <v>10883.153</v>
      </c>
      <c r="AW95" s="5478">
        <f>+AS95+AU95</f>
        <v>128911.24528301877</v>
      </c>
      <c r="AX95" s="5478">
        <f>+AT95+AV95</f>
        <v>118889.78800000002</v>
      </c>
      <c r="AY95" s="5480">
        <f>+AY96*AY5/1000</f>
        <v>12572.830188679231</v>
      </c>
      <c r="AZ95" s="5480">
        <f>11399573/1000</f>
        <v>11399.573</v>
      </c>
      <c r="BA95" s="5479">
        <f>+AY95+AU95+AQ95</f>
        <v>36750.566037735844</v>
      </c>
      <c r="BB95" s="5479">
        <f>+AZ95+AV95+AR95</f>
        <v>33473.056000000004</v>
      </c>
      <c r="BC95" s="5482">
        <f t="shared" ref="BC95" si="313">+BA95+AM95</f>
        <v>73806.792452830152</v>
      </c>
      <c r="BD95" s="5482">
        <f t="shared" ref="BD95" si="314">+BB95+AN95</f>
        <v>66076.646000000008</v>
      </c>
      <c r="BE95" s="5478">
        <f>+AW95+AY95</f>
        <v>141484.07547169799</v>
      </c>
      <c r="BF95" s="5437">
        <f>+AX95+AZ95</f>
        <v>130289.36100000002</v>
      </c>
      <c r="BG95" s="26"/>
      <c r="BH95" s="26"/>
      <c r="BI95" s="26"/>
      <c r="BJ95" s="26"/>
    </row>
    <row r="96" spans="1:62" ht="21" customHeight="1" x14ac:dyDescent="0.25">
      <c r="B96" s="2501" t="s">
        <v>297</v>
      </c>
      <c r="C96" s="5458" t="s">
        <v>279</v>
      </c>
      <c r="D96" s="5404">
        <v>53.999999999999993</v>
      </c>
      <c r="E96" s="5476">
        <v>53.999999999999993</v>
      </c>
      <c r="F96" s="5477">
        <f>+(F95*1000)/F5</f>
        <v>53.541665313469949</v>
      </c>
      <c r="G96" s="5476">
        <v>54</v>
      </c>
      <c r="H96" s="5477">
        <f>+(H95*1000)/H5</f>
        <v>52.403399755535972</v>
      </c>
      <c r="I96" s="5507">
        <f>+(I95*1000)/I5</f>
        <v>54</v>
      </c>
      <c r="J96" s="5507">
        <f>+(J95*1000)/J5</f>
        <v>53.030173669124295</v>
      </c>
      <c r="K96" s="5476">
        <v>54</v>
      </c>
      <c r="L96" s="5477">
        <f>+(L95*1000)/L5</f>
        <v>51.080149468360929</v>
      </c>
      <c r="M96" s="5508">
        <f>+(M95*1000)/M5</f>
        <v>54.000000000000007</v>
      </c>
      <c r="N96" s="5508">
        <f>+(N95*1000)/N5</f>
        <v>52.399613135418157</v>
      </c>
      <c r="O96" s="5476">
        <v>54</v>
      </c>
      <c r="P96" s="5477">
        <f>+(P95*1000)/P5</f>
        <v>50.539022715817644</v>
      </c>
      <c r="Q96" s="5507">
        <f>+(Q95*1000)/Q5</f>
        <v>54</v>
      </c>
      <c r="R96" s="5507">
        <f>+(R95*1000)/R5</f>
        <v>51.870071539427059</v>
      </c>
      <c r="S96" s="5476">
        <v>53.999999999999993</v>
      </c>
      <c r="T96" s="5481">
        <f>+(T95*1000)/T5</f>
        <v>50.866788044978229</v>
      </c>
      <c r="U96" s="5507">
        <f>+(U95*1000)/U5</f>
        <v>54</v>
      </c>
      <c r="V96" s="5507">
        <f>+(V95*1000)/V5</f>
        <v>51.651952458513463</v>
      </c>
      <c r="W96" s="5476">
        <v>54</v>
      </c>
      <c r="X96" s="5481">
        <f>+(X95*1000)/X5</f>
        <v>51.438201607469892</v>
      </c>
      <c r="Y96" s="5479">
        <f>+(Y95*1000)/Y5</f>
        <v>53.999999999999993</v>
      </c>
      <c r="Z96" s="5508">
        <f>+(Z95*1000)/Z5</f>
        <v>50.934400711585504</v>
      </c>
      <c r="AA96" s="5482">
        <f>+(AA95*1000)/AA5</f>
        <v>54</v>
      </c>
      <c r="AB96" s="5509">
        <f>+(AB95*1000)/AB5</f>
        <v>51.615739040056972</v>
      </c>
      <c r="AC96" s="5476">
        <v>54</v>
      </c>
      <c r="AD96" s="5481">
        <f>+(AD95*1000)/AD5</f>
        <v>51.563733278433936</v>
      </c>
      <c r="AE96" s="5507">
        <f>+(AE95*1000)/AE5</f>
        <v>54.000000000000007</v>
      </c>
      <c r="AF96" s="5507">
        <f>+(AF95*1000)/AF5</f>
        <v>51.607820689993538</v>
      </c>
      <c r="AG96" s="5476">
        <v>54</v>
      </c>
      <c r="AH96" s="5481">
        <f>+(AH95*1000)/AH5</f>
        <v>51.185370241350981</v>
      </c>
      <c r="AI96" s="5507">
        <f>+(AI95*1000)/AI5</f>
        <v>54</v>
      </c>
      <c r="AJ96" s="5507">
        <f>+(AJ95*1000)/AJ5</f>
        <v>51.558868821189691</v>
      </c>
      <c r="AK96" s="5476">
        <v>54</v>
      </c>
      <c r="AL96" s="5481">
        <f>+(AL95*1000)/AL5</f>
        <v>51.646731162534181</v>
      </c>
      <c r="AM96" s="5479">
        <f>+(AM95*1000)/AM5</f>
        <v>54</v>
      </c>
      <c r="AN96" s="5508">
        <f>+(AN95*1000)/AN5</f>
        <v>51.477347724351795</v>
      </c>
      <c r="AO96" s="5507">
        <f>+(AO95*1000)/AO5</f>
        <v>53.999999999999993</v>
      </c>
      <c r="AP96" s="5507">
        <f>+(AP95*1000)/AP5</f>
        <v>51.569051742000028</v>
      </c>
      <c r="AQ96" s="5476">
        <v>54</v>
      </c>
      <c r="AR96" s="5481">
        <f>+(AR95*1000)/AR5</f>
        <v>51.407485333909108</v>
      </c>
      <c r="AS96" s="5507">
        <f>+(AS95*1000)/AS5</f>
        <v>54</v>
      </c>
      <c r="AT96" s="5507">
        <f>+(AT95*1000)/AT5</f>
        <v>51.552265057825686</v>
      </c>
      <c r="AU96" s="5476">
        <v>54</v>
      </c>
      <c r="AV96" s="5481">
        <f>+(AV95*1000)/AV5</f>
        <v>50.759080817879926</v>
      </c>
      <c r="AW96" s="5507">
        <f>+(AW95*1000)/AW5</f>
        <v>54</v>
      </c>
      <c r="AX96" s="5507">
        <f>+(AX95*1000)/AX5</f>
        <v>51.47862782301609</v>
      </c>
      <c r="AY96" s="5476">
        <v>54</v>
      </c>
      <c r="AZ96" s="5497">
        <f t="shared" ref="AZ96:BF96" si="315">+(AZ95*1000)/AZ5</f>
        <v>51.951551085326784</v>
      </c>
      <c r="BA96" s="5479">
        <f t="shared" si="315"/>
        <v>54</v>
      </c>
      <c r="BB96" s="5508">
        <f t="shared" si="315"/>
        <v>51.377339550646653</v>
      </c>
      <c r="BC96" s="5482">
        <f t="shared" si="315"/>
        <v>54</v>
      </c>
      <c r="BD96" s="5509">
        <f t="shared" si="315"/>
        <v>51.426637050227576</v>
      </c>
      <c r="BE96" s="5507">
        <f t="shared" si="315"/>
        <v>54</v>
      </c>
      <c r="BF96" s="5443">
        <f t="shared" si="315"/>
        <v>51.519661911681844</v>
      </c>
      <c r="BG96" s="26"/>
      <c r="BH96" s="26"/>
      <c r="BI96" s="26"/>
      <c r="BJ96" s="26"/>
    </row>
    <row r="97" spans="2:62" ht="21" customHeight="1" x14ac:dyDescent="0.25">
      <c r="B97" s="5444" t="s">
        <v>298</v>
      </c>
      <c r="C97" s="5458" t="s">
        <v>308</v>
      </c>
      <c r="D97" s="5445">
        <v>4.9000000000000004</v>
      </c>
      <c r="E97" s="5506">
        <f>+(EMD!D30+EMD!D32)/24/E$2</f>
        <v>5.0945815838671109</v>
      </c>
      <c r="F97" s="5506">
        <f>+(EMD!E30+EMD!E32)/24/F$2</f>
        <v>4.5396666666666663</v>
      </c>
      <c r="G97" s="5506">
        <f>+(EMD!F30+EMD!F32)/24/G$2</f>
        <v>3.8920682564184803</v>
      </c>
      <c r="H97" s="5506">
        <f>+(EMD!G30+EMD!G32)/24/H$2</f>
        <v>4.012096774193548</v>
      </c>
      <c r="I97" s="5507">
        <f>+((E97*E2)+(G97*G2))/I2</f>
        <v>4.4834682535243635</v>
      </c>
      <c r="J97" s="5507">
        <f>+((F97*F2)+(H97*H2))/J2</f>
        <v>4.2715573770491799</v>
      </c>
      <c r="K97" s="5506">
        <f>+(EMD!J30+EMD!J32)/24/K$2</f>
        <v>3.945037735847952</v>
      </c>
      <c r="L97" s="5506">
        <f>+(EMD!K30+EMD!K32)/24/L$2</f>
        <v>4.2061111111111105</v>
      </c>
      <c r="M97" s="5508">
        <f>+((E97*E2)+(G97*G2)+(K97*K2))/M2</f>
        <v>4.3059636872574147</v>
      </c>
      <c r="N97" s="5508">
        <f>+((F97*F2)+(H97*H2)+(L97*L2))/N2</f>
        <v>4.2499816849816847</v>
      </c>
      <c r="O97" s="5506">
        <f>+(EMD!N30+EMD!N32)/24/O$2</f>
        <v>4.970632317199569</v>
      </c>
      <c r="P97" s="5506">
        <f>+(EMD!O30+EMD!O32)/24/P$2</f>
        <v>4.5000403225806451</v>
      </c>
      <c r="Q97" s="5507">
        <f>+((M97*M2)+(O97*O2))/Q2</f>
        <v>4.4748548965050112</v>
      </c>
      <c r="R97" s="5507">
        <f>+((N97*N2)+(P97*P2))/R2</f>
        <v>4.3135211748633884</v>
      </c>
      <c r="S97" s="5506">
        <f>+(EMD!R30+EMD!R32)/24/S$2</f>
        <v>4.970632317199569</v>
      </c>
      <c r="T97" s="5497">
        <f>+(EMD!S30+EMD!S32)/24/T$2</f>
        <v>4.6907392473118286</v>
      </c>
      <c r="U97" s="5507">
        <f>+((Q97*Q2)+(S97*S2))/U2</f>
        <v>4.5753065307633856</v>
      </c>
      <c r="V97" s="5507">
        <f>+((R97*R2)+(T97*T2))/V2</f>
        <v>4.3899509803921566</v>
      </c>
      <c r="W97" s="5506">
        <f>+(EMD!V30+EMD!V32)/24/W$2</f>
        <v>4.9884371842346855</v>
      </c>
      <c r="X97" s="5497">
        <f>+(EMD!W30+EMD!W32)/24/X$2</f>
        <v>4.6944444444444446</v>
      </c>
      <c r="Y97" s="5508">
        <f>+((O97*O2)+(S97*S2)+(W97*W2))/Y2</f>
        <v>4.9764382521023238</v>
      </c>
      <c r="Z97" s="5508">
        <f>+((P97*P2)+(T97*T2)+(X97*X2))/Z2</f>
        <v>4.6276902173913053</v>
      </c>
      <c r="AA97" s="5509">
        <f>+((Y97*Y2)+(M97*M2))/AA2</f>
        <v>4.6430328673980252</v>
      </c>
      <c r="AB97" s="5509">
        <f>+((Z97*Z2)+(N97*N2))/AB2</f>
        <v>4.4398679417122047</v>
      </c>
      <c r="AC97" s="5506">
        <f>+(EMD!AB30+EMD!AB32)/24/AC$2</f>
        <v>5.1503929939964177</v>
      </c>
      <c r="AD97" s="5497">
        <f>+(EMD!AC30+EMD!AC32)/24/AD$2</f>
        <v>4.7505510752688167</v>
      </c>
      <c r="AE97" s="5507">
        <f>+((AA97*AA2)+(AC97*AC2))/AE2</f>
        <v>4.7165289605033998</v>
      </c>
      <c r="AF97" s="5507">
        <f>+((AB97*AB2)+(AD97*AD2))/AF2</f>
        <v>4.4848734423676015</v>
      </c>
      <c r="AG97" s="5506">
        <f>+(EMD!AF30+EMD!AF32)/24/AG$2</f>
        <v>5.1476537836833236</v>
      </c>
      <c r="AH97" s="5497">
        <f>+(EMD!AG30+EMD!AG32)/24/AH$2</f>
        <v>4.9876527777777788</v>
      </c>
      <c r="AI97" s="5507">
        <f>+((AE97*AE2)+(AG97*AG2))/AI2</f>
        <v>4.7695361108943732</v>
      </c>
      <c r="AJ97" s="5507">
        <f>+((AF97*AF2)+(AH97*AH2))/AJ2</f>
        <v>4.5466905737704915</v>
      </c>
      <c r="AK97" s="5506">
        <f>+(EMD!AJ30+EMD!AJ32)/24/AK$2</f>
        <v>5.1760730906816814</v>
      </c>
      <c r="AL97" s="5497">
        <f>+(EMD!AK30+EMD!AK32)/24/AL$2</f>
        <v>5.000013440860215</v>
      </c>
      <c r="AM97" s="5508">
        <f>+((AC97*AC2)+(AG97*AG2)+(AK97*AK2))/AM2</f>
        <v>5.1581528492991389</v>
      </c>
      <c r="AN97" s="5508">
        <f>+((AD97*AD2)+(AH97*AH2)+(AL97*AL2))/AN2</f>
        <v>4.9119248188405793</v>
      </c>
      <c r="AO97" s="5507">
        <f>+((AK97*AK2)+(AI97*AI2))/AO2</f>
        <v>4.8153639158885797</v>
      </c>
      <c r="AP97" s="5507">
        <f>+((AL97*AL2)+(AJ97*AJ2))/AP2</f>
        <v>4.5977924242424244</v>
      </c>
      <c r="AQ97" s="5506">
        <f>+(EMD!AP30+EMD!AP32)/24/AQ$2</f>
        <v>5.1760730906816814</v>
      </c>
      <c r="AR97" s="5497">
        <f>+(EMD!AQ30+EMD!AQ32)/24/AR$2</f>
        <v>4.9892876344086021</v>
      </c>
      <c r="AS97" s="5507">
        <f>+((AO97*AO2)+(AQ97*AQ2))/AS2</f>
        <v>4.8519063486290568</v>
      </c>
      <c r="AT97" s="5507">
        <f>+((AP97*AP2)+(AR97*AR2))/AT2</f>
        <v>4.637453703703704</v>
      </c>
      <c r="AU97" s="5506">
        <f>+(EMD!AT30+EMD!AT32)/24/AU$2</f>
        <v>5.1447256623141531</v>
      </c>
      <c r="AV97" s="5497">
        <f>+(EMD!AU30+EMD!AU32)/24/AV$2</f>
        <v>4.9514798850574699</v>
      </c>
      <c r="AW97" s="5507">
        <f>+((AS97*AS2)+(AU97*AU2))/AW2</f>
        <v>4.8772548862316469</v>
      </c>
      <c r="AX97" s="5507">
        <f>+((AT97*AT2)+(AV97*AV2))/AX2</f>
        <v>4.6646380597014927</v>
      </c>
      <c r="AY97" s="5506">
        <f>+(EMD!AX30+EMD!AX32)/24/AY$2</f>
        <v>5.2017531873669451</v>
      </c>
      <c r="AZ97" s="5497">
        <f>+(EMD!AY30+EMD!AY32)/24/AZ$2</f>
        <v>4.97244623655914</v>
      </c>
      <c r="BA97" s="5508">
        <f>+((AQ97*AQ2)+(AU97*AU2)+(AY97*AY2))/BA2</f>
        <v>5.1748314156771196</v>
      </c>
      <c r="BB97" s="5508">
        <f>+((AR97*AR2)+(AV97*AV2)+(AZ97*AZ2))/BB2</f>
        <v>4.9715018315018309</v>
      </c>
      <c r="BC97" s="5509">
        <f>+((BA97*BA2)+(AM97*AM2))/BC2</f>
        <v>5.1664465626346372</v>
      </c>
      <c r="BD97" s="5509">
        <f>+((BB97*BB2)+(AN97*AN2))/BD2</f>
        <v>4.9415505464480871</v>
      </c>
      <c r="BE97" s="5507">
        <f>+((AW97*AW2)+(AY97*AY2))/BE2</f>
        <v>4.9047397150163299</v>
      </c>
      <c r="BF97" s="5443">
        <f>+((AX97*AX2)+(AZ97*AZ2))/BF2</f>
        <v>4.6907092440801454</v>
      </c>
      <c r="BG97" s="26"/>
      <c r="BH97" s="26"/>
      <c r="BI97" s="26"/>
      <c r="BJ97" s="26"/>
    </row>
    <row r="98" spans="2:62" ht="21" customHeight="1" x14ac:dyDescent="0.25">
      <c r="B98" s="5444" t="s">
        <v>526</v>
      </c>
      <c r="C98" s="5458" t="s">
        <v>642</v>
      </c>
      <c r="D98" s="5404">
        <v>0.6</v>
      </c>
      <c r="E98" s="5506">
        <f>+(EMD!D97)/24/E$2</f>
        <v>0.6</v>
      </c>
      <c r="F98" s="5506">
        <f>+(EMD!E97)/24/F$2</f>
        <v>0.63424947145877353</v>
      </c>
      <c r="G98" s="5506">
        <f>+(EMD!F97)/24/G$2</f>
        <v>0.6</v>
      </c>
      <c r="H98" s="5506">
        <f>+(EMD!G97)/24/H$2</f>
        <v>0.57792055684375609</v>
      </c>
      <c r="I98" s="5492">
        <f>+((E98*E2)+(G98*G2))/I2</f>
        <v>0.59999999999999987</v>
      </c>
      <c r="J98" s="5492">
        <f>+((F98*F2)+(H98*H2))/J2</f>
        <v>0.60562330173638756</v>
      </c>
      <c r="K98" s="5506">
        <f>+(EMD!J97)/24/K$2</f>
        <v>0.6</v>
      </c>
      <c r="L98" s="5506">
        <f>+(EMD!K97)/24/L$2</f>
        <v>0.50429584795327476</v>
      </c>
      <c r="M98" s="5508">
        <f>+((E98*E2)+(G98*G2)+(K98*K2))/M2</f>
        <v>0.6</v>
      </c>
      <c r="N98" s="5508">
        <f>+((F98*F2)+(H98*H2)+(L98*L2))/N2</f>
        <v>0.57221864664305366</v>
      </c>
      <c r="O98" s="5506">
        <f>+(EMD!N97)/24/O$2</f>
        <v>0.6</v>
      </c>
      <c r="P98" s="5506">
        <f>+(EMD!O97)/24/P$2</f>
        <v>0.6342068925865485</v>
      </c>
      <c r="Q98" s="5492">
        <f>+((M98*M2)+(O98*O2))/Q2</f>
        <v>0.6</v>
      </c>
      <c r="R98" s="5492">
        <f>+((N98*N2)+(P98*P2))/R2</f>
        <v>0.58796975831722031</v>
      </c>
      <c r="S98" s="5506">
        <f>+(EMD!R97)/24/S$2</f>
        <v>0.6</v>
      </c>
      <c r="T98" s="5497">
        <f>+(EMD!S97)/24/T$2</f>
        <v>0.63424947145877342</v>
      </c>
      <c r="U98" s="5492">
        <f>+((Q98*Q2)+(S98*S2))/U2</f>
        <v>0.6</v>
      </c>
      <c r="V98" s="5492">
        <f>+((R98*R2)+(T98*T2))/V2</f>
        <v>0.59734669365962656</v>
      </c>
      <c r="W98" s="5506">
        <f>+(EMD!V97)/24/W$2</f>
        <v>0.6</v>
      </c>
      <c r="X98" s="5497">
        <f>+(EMD!W97)/24/X$2</f>
        <v>0.63424999999999998</v>
      </c>
      <c r="Y98" s="5508">
        <f>+((O98*O2)+(S98*S2)+(W98*W2))/Y2</f>
        <v>0.6</v>
      </c>
      <c r="Z98" s="5508">
        <f>+((P98*P2)+(T98*T2)+(X98*X2))/Z2</f>
        <v>0.63423529658048894</v>
      </c>
      <c r="AA98" s="5509">
        <f>+((Y98*Y2)+(M98*M2))/AA2</f>
        <v>0.6</v>
      </c>
      <c r="AB98" s="5509">
        <f>+((Z98*Z2)+(N98*N2))/AB2</f>
        <v>0.60339641601050742</v>
      </c>
      <c r="AC98" s="5506">
        <f>+(EMD!AB97)/24/AC$2</f>
        <v>0.6</v>
      </c>
      <c r="AD98" s="5497">
        <f>+(EMD!AC97)/24/AD$2</f>
        <v>0.63424947145877342</v>
      </c>
      <c r="AE98" s="5492">
        <f>+((AA98*AA2)+(AC98*AC2))/AE2</f>
        <v>0.6</v>
      </c>
      <c r="AF98" s="5492">
        <f>+((AB98*AB2)+(AD98*AD2))/AF2</f>
        <v>0.60786578385581702</v>
      </c>
      <c r="AG98" s="5506">
        <f>+(EMD!AF97)/24/AG$2</f>
        <v>0.6</v>
      </c>
      <c r="AH98" s="5497">
        <f>+(EMD!AG97)/24/AH$2</f>
        <v>0.63424947145877342</v>
      </c>
      <c r="AI98" s="5492">
        <f>+((AE98*AE2)+(AG98*AG2))/AI2</f>
        <v>0.6</v>
      </c>
      <c r="AJ98" s="5492">
        <f>+((AF98*AF2)+(AH98*AH2))/AJ2</f>
        <v>0.61110967987257392</v>
      </c>
      <c r="AK98" s="5506">
        <f>+(EMD!AJ97)/24/AK$2</f>
        <v>0.6</v>
      </c>
      <c r="AL98" s="5497">
        <f>+(EMD!AK97)/24/AL$2</f>
        <v>0.62457205210393474</v>
      </c>
      <c r="AM98" s="5508">
        <f>+((AC98*AC2)+(AG98*AG2)+(AK98*AK2))/AM2</f>
        <v>0.59999999999999987</v>
      </c>
      <c r="AN98" s="5508">
        <f>+((AD98*AD2)+(AH98*AH2)+(AL98*AL2))/AN2</f>
        <v>0.6309886018935561</v>
      </c>
      <c r="AO98" s="5492">
        <f>+((AK98*AK2)+(AI98*AI2))/AO2</f>
        <v>0.6</v>
      </c>
      <c r="AP98" s="5492">
        <f>+((AL98*AL2)+(AJ98*AJ2))/AP2</f>
        <v>0.61262725637865456</v>
      </c>
      <c r="AQ98" s="5506">
        <f>+(EMD!AP97)/24/AQ$2</f>
        <v>0.6</v>
      </c>
      <c r="AR98" s="5497">
        <f>+(EMD!AQ97)/24/AR$2</f>
        <v>0.63424947145877342</v>
      </c>
      <c r="AS98" s="5492">
        <f>+((AO98*AO2)+(AQ98*AQ2))/AS2</f>
        <v>0.6</v>
      </c>
      <c r="AT98" s="5492">
        <f>+((AP98*AP2)+(AR98*AR2))/AT2</f>
        <v>0.61481774222010444</v>
      </c>
      <c r="AU98" s="5506">
        <f>+(EMD!AT97)/24/AU$2</f>
        <v>0.6</v>
      </c>
      <c r="AV98" s="5497">
        <f>+(EMD!AU97)/24/AV$2</f>
        <v>0.63162384901171886</v>
      </c>
      <c r="AW98" s="5492">
        <f>+((AS98*AS2)+(AU98*AU2))/AW2</f>
        <v>0.6</v>
      </c>
      <c r="AX98" s="5492">
        <f>+((AT98*AT2)+(AV98*AV2))/AX2</f>
        <v>0.61627259922594568</v>
      </c>
      <c r="AY98" s="5506">
        <f>+(EMD!AX97)/24/AY$2</f>
        <v>0.6</v>
      </c>
      <c r="AZ98" s="5497">
        <f>+(EMD!AY97)/24/AZ$2</f>
        <v>0.63424947145877342</v>
      </c>
      <c r="BA98" s="5508">
        <f>+((AQ98*AQ2)+(AU98*AU2)+(AY98*AY2))/BA2</f>
        <v>0.6</v>
      </c>
      <c r="BB98" s="5508">
        <f>+((AR98*AR2)+(AV98*AV2)+(AZ98*AZ2))/BB2</f>
        <v>0.63341273463498682</v>
      </c>
      <c r="BC98" s="5509">
        <f>+((BA98*BA2)+(AM98*AM2))/BC2</f>
        <v>0.59999999999999987</v>
      </c>
      <c r="BD98" s="5509">
        <f>+((BB98*BB2)+(AN98*AN2))/BD2</f>
        <v>0.63219404495077025</v>
      </c>
      <c r="BE98" s="5492">
        <f>+((AW98*AW2)+(AY98*AY2))/BE2</f>
        <v>0.6</v>
      </c>
      <c r="BF98" s="5433">
        <f>+((AX98*AX2)+(AZ98*AZ2))/BF2</f>
        <v>0.61779523048063878</v>
      </c>
      <c r="BG98" s="26"/>
      <c r="BH98" s="26"/>
      <c r="BI98" s="26"/>
      <c r="BJ98" s="26"/>
    </row>
    <row r="99" spans="2:62" ht="21" customHeight="1" x14ac:dyDescent="0.25">
      <c r="B99" s="5444" t="s">
        <v>299</v>
      </c>
      <c r="C99" s="5458" t="s">
        <v>218</v>
      </c>
      <c r="D99" s="5405">
        <f>28.6587271022621*366*24*1000</f>
        <v>251738258.8662703</v>
      </c>
      <c r="E99" s="5480">
        <f>+'POWER DISTRIBUTION'!I24</f>
        <v>21096074.137933619</v>
      </c>
      <c r="F99" s="5480">
        <f>+'POWER DISTRIBUTION'!J24</f>
        <v>20493070</v>
      </c>
      <c r="G99" s="5480">
        <f>+'POWER DISTRIBUTION'!K24</f>
        <v>19080041.380781095</v>
      </c>
      <c r="H99" s="5480">
        <f>+'POWER DISTRIBUTION'!L24</f>
        <v>17430960.000000007</v>
      </c>
      <c r="I99" s="5478">
        <f>+E99+G99</f>
        <v>40176115.518714711</v>
      </c>
      <c r="J99" s="5478">
        <f>+F99+H99</f>
        <v>37924030.000000007</v>
      </c>
      <c r="K99" s="5480">
        <f>+'POWER DISTRIBUTION'!O24</f>
        <v>17923902.367681123</v>
      </c>
      <c r="L99" s="5480">
        <f>+'POWER DISTRIBUTION'!P24</f>
        <v>17891139.999999996</v>
      </c>
      <c r="M99" s="5479">
        <f>+K99+G99+E99</f>
        <v>58100017.886395834</v>
      </c>
      <c r="N99" s="5479">
        <f>+L99+H99+F99</f>
        <v>55815170</v>
      </c>
      <c r="O99" s="5480">
        <f>+'POWER DISTRIBUTION'!S24</f>
        <v>21365615.119253039</v>
      </c>
      <c r="P99" s="5480">
        <f>+'POWER DISTRIBUTION'!T24</f>
        <v>21451110</v>
      </c>
      <c r="Q99" s="5478">
        <f>+M99+O99</f>
        <v>79465633.005648881</v>
      </c>
      <c r="R99" s="5478">
        <f>+N99+P99</f>
        <v>77266280</v>
      </c>
      <c r="S99" s="5480">
        <f>+'POWER DISTRIBUTION'!W24</f>
        <v>21365615.119253039</v>
      </c>
      <c r="T99" s="5481">
        <f>+'POWER DISTRIBUTION'!X24</f>
        <v>21352290</v>
      </c>
      <c r="U99" s="5478">
        <f>+Q99+S99</f>
        <v>100831248.12490192</v>
      </c>
      <c r="V99" s="5478">
        <f>+R99+T99</f>
        <v>98618570</v>
      </c>
      <c r="W99" s="5480">
        <f>+'POWER DISTRIBUTION'!AA24</f>
        <v>20736686.162841048</v>
      </c>
      <c r="X99" s="5481">
        <f>+'POWER DISTRIBUTION'!AB24</f>
        <v>19878740.000000004</v>
      </c>
      <c r="Y99" s="5479">
        <f>+W99+S99+O99</f>
        <v>63467916.401347131</v>
      </c>
      <c r="Z99" s="5479">
        <f>+X99+T99+P99</f>
        <v>62682140</v>
      </c>
      <c r="AA99" s="5482">
        <f>+Y99+M99</f>
        <v>121567934.28774297</v>
      </c>
      <c r="AB99" s="5482">
        <f>+Z99+N99</f>
        <v>118497310</v>
      </c>
      <c r="AC99" s="5480">
        <f>+'POWER DISTRIBUTION'!AG24</f>
        <v>21994544.075665027</v>
      </c>
      <c r="AD99" s="5481">
        <f>+'POWER DISTRIBUTION'!AH24</f>
        <v>20586952.999999989</v>
      </c>
      <c r="AE99" s="5478">
        <f>+AA99+AC99</f>
        <v>143562478.363408</v>
      </c>
      <c r="AF99" s="5478">
        <f>+AB99+AD99</f>
        <v>139084263</v>
      </c>
      <c r="AG99" s="5480">
        <f>+'POWER DISTRIBUTION'!AK24</f>
        <v>21275768.125479896</v>
      </c>
      <c r="AH99" s="5481">
        <f>+'POWER DISTRIBUTION'!AL24</f>
        <v>19508617.000000004</v>
      </c>
      <c r="AI99" s="5478">
        <f>+AE99+AG99</f>
        <v>164838246.48888791</v>
      </c>
      <c r="AJ99" s="5478">
        <f>+AF99+AH99</f>
        <v>158592880</v>
      </c>
      <c r="AK99" s="5480">
        <f>+'POWER DISTRIBUTION'!AO24</f>
        <v>22084391.069438171</v>
      </c>
      <c r="AL99" s="5481">
        <f>+'POWER DISTRIBUTION'!AP24</f>
        <v>21182829.999999996</v>
      </c>
      <c r="AM99" s="5479">
        <f>+AK99+AG99+AC99</f>
        <v>65354703.270583093</v>
      </c>
      <c r="AN99" s="5479">
        <f>+AL99+AH99+AD99</f>
        <v>61278399.999999985</v>
      </c>
      <c r="AO99" s="5478">
        <f t="shared" ref="AO99:AP99" si="316">+AK99+AI99</f>
        <v>186922637.55832607</v>
      </c>
      <c r="AP99" s="5478">
        <f t="shared" si="316"/>
        <v>179775710</v>
      </c>
      <c r="AQ99" s="5480">
        <f>+'POWER DISTRIBUTION'!AU24</f>
        <v>22084391.069438171</v>
      </c>
      <c r="AR99" s="5481">
        <f>+'POWER DISTRIBUTION'!AV24</f>
        <v>20230790.000000007</v>
      </c>
      <c r="AS99" s="5478">
        <f>+AO99+AQ99</f>
        <v>209007028.62776423</v>
      </c>
      <c r="AT99" s="5478">
        <f>+AP99+AR99</f>
        <v>200006500</v>
      </c>
      <c r="AU99" s="5480">
        <f>+'POWER DISTRIBUTION'!AY24</f>
        <v>20556992.175294768</v>
      </c>
      <c r="AV99" s="5481">
        <f>+'POWER DISTRIBUTION'!AZ24</f>
        <v>18807680.000000004</v>
      </c>
      <c r="AW99" s="5478">
        <f>+AS99+AU99</f>
        <v>229564020.80305898</v>
      </c>
      <c r="AX99" s="5478">
        <f>+AT99+AV99</f>
        <v>218814180</v>
      </c>
      <c r="AY99" s="5480">
        <f>+'POWER DISTRIBUTION'!BC24</f>
        <v>22174238.063211314</v>
      </c>
      <c r="AZ99" s="5481">
        <f>+'POWER DISTRIBUTION'!BD24</f>
        <v>20268129.999999989</v>
      </c>
      <c r="BA99" s="5713">
        <f>+'POWER DISTRIBUTION'!BE24</f>
        <v>64815621.307944253</v>
      </c>
      <c r="BB99" s="5713">
        <f>+'POWER DISTRIBUTION'!BF24</f>
        <v>59306600</v>
      </c>
      <c r="BC99" s="5714">
        <f>+'POWER DISTRIBUTION'!BG24</f>
        <v>130170324.57852735</v>
      </c>
      <c r="BD99" s="5714">
        <f>+'POWER DISTRIBUTION'!BH24</f>
        <v>120584999.99999999</v>
      </c>
      <c r="BE99" s="5712">
        <f>+'POWER DISTRIBUTION'!BI24</f>
        <v>251738258.8662703</v>
      </c>
      <c r="BF99" s="5437">
        <f>+'POWER DISTRIBUTION'!BJ24</f>
        <v>239082310</v>
      </c>
      <c r="BG99" s="26"/>
      <c r="BH99" s="26"/>
      <c r="BI99" s="26"/>
      <c r="BJ99" s="26"/>
    </row>
    <row r="100" spans="2:62" ht="21" customHeight="1" x14ac:dyDescent="0.25">
      <c r="B100" s="5444" t="s">
        <v>300</v>
      </c>
      <c r="C100" s="5458" t="s">
        <v>280</v>
      </c>
      <c r="D100" s="5527">
        <f t="shared" ref="D100:AI100" si="317">+D99/D5</f>
        <v>96.08053721563779</v>
      </c>
      <c r="E100" s="5496">
        <f t="shared" si="317"/>
        <v>95.237813399530026</v>
      </c>
      <c r="F100" s="5501">
        <f t="shared" si="317"/>
        <v>95.078245700314099</v>
      </c>
      <c r="G100" s="5491">
        <f t="shared" si="317"/>
        <v>103.29338030453529</v>
      </c>
      <c r="H100" s="5501">
        <f t="shared" si="317"/>
        <v>99.098666818272307</v>
      </c>
      <c r="I100" s="5492">
        <f t="shared" si="317"/>
        <v>98.900795285270902</v>
      </c>
      <c r="J100" s="5492">
        <f t="shared" si="317"/>
        <v>96.884864370494157</v>
      </c>
      <c r="K100" s="5491">
        <f t="shared" si="317"/>
        <v>99.223608260612167</v>
      </c>
      <c r="L100" s="5501">
        <f t="shared" si="317"/>
        <v>95.64232370912471</v>
      </c>
      <c r="M100" s="5493">
        <f t="shared" si="317"/>
        <v>99.000159078542438</v>
      </c>
      <c r="N100" s="5493">
        <f t="shared" si="317"/>
        <v>96.483075971007622</v>
      </c>
      <c r="O100" s="5496">
        <f t="shared" si="317"/>
        <v>95.237813399530125</v>
      </c>
      <c r="P100" s="5501">
        <f t="shared" si="317"/>
        <v>93.205719797695394</v>
      </c>
      <c r="Q100" s="5492">
        <f t="shared" si="317"/>
        <v>97.959681567181406</v>
      </c>
      <c r="R100" s="5492">
        <f t="shared" si="317"/>
        <v>95.5503094683081</v>
      </c>
      <c r="S100" s="5496">
        <f t="shared" si="317"/>
        <v>95.237813399529955</v>
      </c>
      <c r="T100" s="5494">
        <f t="shared" si="317"/>
        <v>95.05030225870496</v>
      </c>
      <c r="U100" s="5492">
        <f t="shared" si="317"/>
        <v>97.370019506956652</v>
      </c>
      <c r="V100" s="5492">
        <f t="shared" si="317"/>
        <v>95.441605284882129</v>
      </c>
      <c r="W100" s="5491">
        <f t="shared" si="317"/>
        <v>95.237813399529941</v>
      </c>
      <c r="X100" s="5494">
        <f t="shared" si="317"/>
        <v>94.316635510471343</v>
      </c>
      <c r="Y100" s="5508">
        <f t="shared" si="317"/>
        <v>95.237813399530012</v>
      </c>
      <c r="Z100" s="5508">
        <f t="shared" si="317"/>
        <v>94.180114070040688</v>
      </c>
      <c r="AA100" s="5509">
        <f t="shared" si="317"/>
        <v>96.999586252715659</v>
      </c>
      <c r="AB100" s="5509">
        <f t="shared" si="317"/>
        <v>95.251014225278183</v>
      </c>
      <c r="AC100" s="5491">
        <f t="shared" si="317"/>
        <v>95.237813399529969</v>
      </c>
      <c r="AD100" s="5494">
        <f t="shared" si="317"/>
        <v>92.136793487260462</v>
      </c>
      <c r="AE100" s="5492">
        <f t="shared" si="317"/>
        <v>96.725457048467305</v>
      </c>
      <c r="AF100" s="5492">
        <f t="shared" si="317"/>
        <v>94.776845802225836</v>
      </c>
      <c r="AG100" s="5491">
        <f t="shared" si="317"/>
        <v>95.237813399530083</v>
      </c>
      <c r="AH100" s="5494">
        <f t="shared" si="317"/>
        <v>101.43093264841372</v>
      </c>
      <c r="AI100" s="5492">
        <f t="shared" si="317"/>
        <v>96.530839122150056</v>
      </c>
      <c r="AJ100" s="5492">
        <f t="shared" ref="AJ100:BF100" si="318">+AJ99/AJ5</f>
        <v>95.547894779332296</v>
      </c>
      <c r="AK100" s="5491">
        <f t="shared" si="318"/>
        <v>95.237813399530026</v>
      </c>
      <c r="AL100" s="5494">
        <f t="shared" si="318"/>
        <v>97.35427534067145</v>
      </c>
      <c r="AM100" s="5508">
        <f t="shared" si="318"/>
        <v>95.237813399530026</v>
      </c>
      <c r="AN100" s="5508">
        <f t="shared" si="318"/>
        <v>96.751600200834261</v>
      </c>
      <c r="AO100" s="5492">
        <f t="shared" si="318"/>
        <v>96.376245603744294</v>
      </c>
      <c r="AP100" s="5492">
        <f t="shared" si="318"/>
        <v>95.757247613868245</v>
      </c>
      <c r="AQ100" s="5491">
        <f t="shared" si="318"/>
        <v>95.237813399530026</v>
      </c>
      <c r="AR100" s="5494">
        <f t="shared" si="318"/>
        <v>92.938639005140629</v>
      </c>
      <c r="AS100" s="5492">
        <f t="shared" si="318"/>
        <v>96.254670651624167</v>
      </c>
      <c r="AT100" s="5492">
        <f t="shared" si="318"/>
        <v>95.464395324305883</v>
      </c>
      <c r="AU100" s="5491">
        <f t="shared" si="318"/>
        <v>95.237813399529784</v>
      </c>
      <c r="AV100" s="5494">
        <f t="shared" si="318"/>
        <v>87.719114958397086</v>
      </c>
      <c r="AW100" s="5492">
        <f t="shared" si="318"/>
        <v>96.162728830594475</v>
      </c>
      <c r="AX100" s="5492">
        <f t="shared" si="318"/>
        <v>94.745342927337461</v>
      </c>
      <c r="AY100" s="5491">
        <f t="shared" si="318"/>
        <v>95.237813399530069</v>
      </c>
      <c r="AZ100" s="5494">
        <f t="shared" si="318"/>
        <v>92.368441440661314</v>
      </c>
      <c r="BA100" s="5508">
        <f t="shared" si="318"/>
        <v>95.237813399529969</v>
      </c>
      <c r="BB100" s="5508">
        <f t="shared" si="318"/>
        <v>91.028895772001832</v>
      </c>
      <c r="BC100" s="5509">
        <f t="shared" si="318"/>
        <v>95.237813399529998</v>
      </c>
      <c r="BD100" s="5509">
        <f t="shared" si="318"/>
        <v>93.849815390171145</v>
      </c>
      <c r="BE100" s="5492">
        <f t="shared" si="318"/>
        <v>96.080537215637875</v>
      </c>
      <c r="BF100" s="5433">
        <f t="shared" si="318"/>
        <v>94.539106537362713</v>
      </c>
      <c r="BG100" s="26"/>
      <c r="BH100" s="26"/>
      <c r="BI100" s="26"/>
      <c r="BJ100" s="26"/>
    </row>
    <row r="101" spans="2:62" ht="21" customHeight="1" x14ac:dyDescent="0.25">
      <c r="B101" s="5444" t="s">
        <v>301</v>
      </c>
      <c r="C101" s="5458" t="s">
        <v>1985</v>
      </c>
      <c r="D101" s="5404">
        <v>3.9E-2</v>
      </c>
      <c r="E101" s="5510">
        <f>+$D$101</f>
        <v>3.9E-2</v>
      </c>
      <c r="F101" s="5510">
        <v>4.2999999999999997E-2</v>
      </c>
      <c r="G101" s="5510">
        <f>+$D$101</f>
        <v>3.9E-2</v>
      </c>
      <c r="H101" s="5510">
        <v>4.8000000000000001E-2</v>
      </c>
      <c r="I101" s="5511">
        <f>+((E101*E20)+(G101*G20))/I20</f>
        <v>3.9E-2</v>
      </c>
      <c r="J101" s="5511">
        <f>+((F101*F20)+(H101*H20))/J20</f>
        <v>4.5247345644844762E-2</v>
      </c>
      <c r="K101" s="5510">
        <f>+$D$101</f>
        <v>3.9E-2</v>
      </c>
      <c r="L101" s="5510">
        <v>4.5999999999999999E-2</v>
      </c>
      <c r="M101" s="5512">
        <f>+((E101*E20)+(G101*G20)+(K101*K20))/M20</f>
        <v>3.9E-2</v>
      </c>
      <c r="N101" s="5512">
        <f>+((F101*F20)+(H101*H20)+(L101*L20))/N20</f>
        <v>4.5490680205396421E-2</v>
      </c>
      <c r="O101" s="5510">
        <f>+$D$101</f>
        <v>3.9E-2</v>
      </c>
      <c r="P101" s="5510">
        <v>4.1000000000000002E-2</v>
      </c>
      <c r="Q101" s="5511">
        <f>+((M101*M20)+(O101*O20))/Q20</f>
        <v>3.9000000000000007E-2</v>
      </c>
      <c r="R101" s="5511">
        <f>+((N101*N20)+(P101*P20))/R20</f>
        <v>4.4213771793337811E-2</v>
      </c>
      <c r="S101" s="5510">
        <f>+$D$101</f>
        <v>3.9E-2</v>
      </c>
      <c r="T101" s="5513">
        <v>4.4999999999999998E-2</v>
      </c>
      <c r="U101" s="5511">
        <f>+((Q101*Q20)+(S101*S20))/U20</f>
        <v>3.9000000000000007E-2</v>
      </c>
      <c r="V101" s="5511">
        <f>+((R101*R20)+(T101*T20))/V20</f>
        <v>4.4384394145351481E-2</v>
      </c>
      <c r="W101" s="5510">
        <f>+$D$101</f>
        <v>3.9E-2</v>
      </c>
      <c r="X101" s="5513">
        <v>4.7E-2</v>
      </c>
      <c r="Y101" s="5512">
        <f>+((O101*O20)+(S101*S20)+(W101*W20))/Y20</f>
        <v>3.9E-2</v>
      </c>
      <c r="Z101" s="5512">
        <f>+((P101*P20)+(T101*T20)+(X101*X20))/Z20</f>
        <v>4.424807199815798E-2</v>
      </c>
      <c r="AA101" s="5514">
        <f>+((Y101*Y20)+(M101*M20))/AA20</f>
        <v>3.9E-2</v>
      </c>
      <c r="AB101" s="5514">
        <f>+((Z101*Z20)+(N101*N20))/AB20</f>
        <v>4.4826636004755609E-2</v>
      </c>
      <c r="AC101" s="5510">
        <f>+$D$101</f>
        <v>3.9E-2</v>
      </c>
      <c r="AD101" s="5510">
        <v>4.5999999999999999E-2</v>
      </c>
      <c r="AE101" s="5511">
        <f>+((AA101*AA20)+(AC101*AC20))/AE20</f>
        <v>3.9E-2</v>
      </c>
      <c r="AF101" s="5511">
        <f>+((AB101*AB20)+(AD101*AD20))/AF20</f>
        <v>4.5005108462045931E-2</v>
      </c>
      <c r="AG101" s="5510">
        <f>+$D$101</f>
        <v>3.9E-2</v>
      </c>
      <c r="AH101" s="5510">
        <v>5.5E-2</v>
      </c>
      <c r="AI101" s="5511">
        <f>+((AE101*AE20)+(AG101*AG20))/AI20</f>
        <v>3.9E-2</v>
      </c>
      <c r="AJ101" s="5511">
        <f>+((AF101*AF20)+(AH101*AH20))/AJ20</f>
        <v>4.6162998721812287E-2</v>
      </c>
      <c r="AK101" s="5510">
        <f>+$D$101</f>
        <v>3.9E-2</v>
      </c>
      <c r="AL101" s="5496">
        <v>4.9000000000000002E-2</v>
      </c>
      <c r="AM101" s="5512">
        <f>+((AC101*AC20)+(AG101*AG20)+(AK101*AK20))/AM20</f>
        <v>3.9E-2</v>
      </c>
      <c r="AN101" s="5512">
        <f>+((AD101*AD20)+(AH101*AH20)+(AL101*AL20))/AN20</f>
        <v>4.976476642361178E-2</v>
      </c>
      <c r="AO101" s="5511">
        <f>+((AK101*AK20)+(AI101*AI20))/AO20</f>
        <v>3.9E-2</v>
      </c>
      <c r="AP101" s="5511">
        <f>+((AL101*AL20)+(AJ101*AJ20))/AP20</f>
        <v>4.6491638075982146E-2</v>
      </c>
      <c r="AQ101" s="5510">
        <f>+$D$101</f>
        <v>3.9E-2</v>
      </c>
      <c r="AR101" s="5496">
        <v>0.05</v>
      </c>
      <c r="AS101" s="5511">
        <f>+((AO101*AO20)+(AQ101*AQ20))/AS20</f>
        <v>3.8999999999999993E-2</v>
      </c>
      <c r="AT101" s="5511">
        <f>+((AP101*AP20)+(AR101*AR20))/AT20</f>
        <v>4.6855955184214843E-2</v>
      </c>
      <c r="AU101" s="5510">
        <f>+$D$101</f>
        <v>3.9E-2</v>
      </c>
      <c r="AV101" s="5510">
        <v>4.7E-2</v>
      </c>
      <c r="AW101" s="5511">
        <f>+((AS101*AS20)+(AU101*AU20))/AW20</f>
        <v>3.8999999999999993E-2</v>
      </c>
      <c r="AX101" s="5511">
        <f>+((AT101*AT20)+(AV101*AV20))/AX20</f>
        <v>4.6869322370063637E-2</v>
      </c>
      <c r="AY101" s="5510">
        <f>+$D$101</f>
        <v>3.9E-2</v>
      </c>
      <c r="AZ101" s="5510">
        <v>4.9000000000000002E-2</v>
      </c>
      <c r="BA101" s="5512">
        <f>+((AQ101*AQ20)+(AU101*AU20)+(AY101*AY20))/BA20</f>
        <v>3.8999999999999993E-2</v>
      </c>
      <c r="BB101" s="5512">
        <f>+((AR101*AR20)+(AV101*AV20)+(AZ101*AZ20))/BB20</f>
        <v>4.8675852970175612E-2</v>
      </c>
      <c r="BC101" s="5514">
        <f>+((BA101*BA20)+(AM101*AM20))/BC20</f>
        <v>3.8999999999999993E-2</v>
      </c>
      <c r="BD101" s="5514">
        <f>+((BB101*BB20)+(AN101*AN20))/BD20</f>
        <v>4.9212647967001352E-2</v>
      </c>
      <c r="BE101" s="5511">
        <f>+((AW101*AW20)+(AY101*AY20))/BE20</f>
        <v>3.8999999999999993E-2</v>
      </c>
      <c r="BF101" s="5446">
        <f>+((AX101*AX20)+(AZ101*AZ20))/BF20</f>
        <v>4.7054068846564809E-2</v>
      </c>
      <c r="BG101" s="26"/>
      <c r="BH101" s="26"/>
      <c r="BI101" s="26"/>
      <c r="BJ101" s="26"/>
    </row>
    <row r="102" spans="2:62" ht="21" customHeight="1" x14ac:dyDescent="0.25">
      <c r="B102" s="5444" t="s">
        <v>302</v>
      </c>
      <c r="C102" s="5458" t="s">
        <v>1986</v>
      </c>
      <c r="D102" s="5530">
        <v>0.05</v>
      </c>
      <c r="E102" s="5510">
        <f>+$D$102</f>
        <v>0.05</v>
      </c>
      <c r="F102" s="5510">
        <v>4.2000000000000003E-2</v>
      </c>
      <c r="G102" s="5510">
        <f>+$D$102</f>
        <v>0.05</v>
      </c>
      <c r="H102" s="5510">
        <v>4.8000000000000001E-2</v>
      </c>
      <c r="I102" s="5511">
        <f>+((E102*E5)+(G102*G5))/I5</f>
        <v>4.9999999999999996E-2</v>
      </c>
      <c r="J102" s="5511">
        <f>+((F102*F5)+(H102*H5))/J5</f>
        <v>4.469616333788072E-2</v>
      </c>
      <c r="K102" s="5510">
        <f>+$D$102</f>
        <v>0.05</v>
      </c>
      <c r="L102" s="5510">
        <v>4.2000000000000003E-2</v>
      </c>
      <c r="M102" s="5512">
        <f>+((E102*E5)+(G102*G5)+(K102*K5))/M5</f>
        <v>5.000000000000001E-2</v>
      </c>
      <c r="N102" s="5512">
        <f>+((F102*F5)+(H102*H5)+(L102*L5))/N5</f>
        <v>4.3824330981837419E-2</v>
      </c>
      <c r="O102" s="5510">
        <f>+$D$102</f>
        <v>0.05</v>
      </c>
      <c r="P102" s="5510">
        <v>4.1000000000000002E-2</v>
      </c>
      <c r="Q102" s="5511">
        <f>+((M102*M5)+(O102*O5))/Q5</f>
        <v>0.05</v>
      </c>
      <c r="R102" s="5511">
        <f>+((N102*N5)+(P102*P5))/R5</f>
        <v>4.3020499724848366E-2</v>
      </c>
      <c r="S102" s="5510">
        <f>+$D$102</f>
        <v>0.05</v>
      </c>
      <c r="T102" s="5513">
        <v>4.2000000000000003E-2</v>
      </c>
      <c r="U102" s="5511">
        <f>+((Q102*Q5)+(S102*S5))/U5</f>
        <v>5.000000000000001E-2</v>
      </c>
      <c r="V102" s="5511">
        <f>+((R102*R5)+(T102*T5))/V5</f>
        <v>4.2798637745369877E-2</v>
      </c>
      <c r="W102" s="5510">
        <f>+$D$102</f>
        <v>0.05</v>
      </c>
      <c r="X102" s="5513">
        <v>4.2999999999999997E-2</v>
      </c>
      <c r="Y102" s="5512">
        <f>+((O102*O5)+(S102*S5)+(W102*W5))/Y5</f>
        <v>5.000000000000001E-2</v>
      </c>
      <c r="Z102" s="5512">
        <f>+((P102*P5)+(T102*T5)+(X102*X5))/Z5</f>
        <v>4.1970878483553603E-2</v>
      </c>
      <c r="AA102" s="5514">
        <f>+((Y102*Y5)+(M102*M5))/AA5</f>
        <v>5.000000000000001E-2</v>
      </c>
      <c r="AB102" s="5514">
        <f>+((Z102*Z5)+(N102*N5))/AB5</f>
        <v>4.2832752302353685E-2</v>
      </c>
      <c r="AC102" s="5510">
        <f>+$D$102</f>
        <v>0.05</v>
      </c>
      <c r="AD102" s="5510">
        <v>4.1000000000000002E-2</v>
      </c>
      <c r="AE102" s="5511">
        <f>+((AA102*AA5)+(AC102*AC5))/AE5</f>
        <v>0.05</v>
      </c>
      <c r="AF102" s="5511">
        <f>+((AB102*AB5)+(AD102*AD5))/AF5</f>
        <v>4.25536991002336E-2</v>
      </c>
      <c r="AG102" s="5510">
        <f>+$D$102</f>
        <v>0.05</v>
      </c>
      <c r="AH102" s="5510">
        <v>4.7E-2</v>
      </c>
      <c r="AI102" s="5511">
        <f>+((AE102*AE5)+(AG102*AG5))/AI5</f>
        <v>0.05</v>
      </c>
      <c r="AJ102" s="5511">
        <f>+((AF102*AF5)+(AH102*AH5))/AJ5</f>
        <v>4.3068918669788285E-2</v>
      </c>
      <c r="AK102" s="5510">
        <f>+$D$102</f>
        <v>0.05</v>
      </c>
      <c r="AL102" s="5510">
        <v>4.2999999999999997E-2</v>
      </c>
      <c r="AM102" s="5512">
        <f>+((AC102*AC5)+(AG102*AG5)+(AK102*AK5))/AM5</f>
        <v>4.9999999999999996E-2</v>
      </c>
      <c r="AN102" s="5512">
        <f>+((AD102*AD5)+(AH102*AH5)+(AL102*AL5))/AN5</f>
        <v>4.3509124381471455E-2</v>
      </c>
      <c r="AO102" s="5511">
        <f>+((AK102*AK5)+(AI102*AI5))/AO5</f>
        <v>0.05</v>
      </c>
      <c r="AP102" s="5511">
        <f>+((AL102*AL5)+(AJ102*AJ5))/AP5</f>
        <v>4.3060931250535978E-2</v>
      </c>
      <c r="AQ102" s="5510">
        <f>+$D$102</f>
        <v>0.05</v>
      </c>
      <c r="AR102" s="5510">
        <v>4.2000000000000003E-2</v>
      </c>
      <c r="AS102" s="5511">
        <f>+((AO102*AO5)+(AQ102*AQ5))/AS5</f>
        <v>5.000000000000001E-2</v>
      </c>
      <c r="AT102" s="5511">
        <f>+((AP102*AP5)+(AR102*AR5))/AT5</f>
        <v>4.2950700924542624E-2</v>
      </c>
      <c r="AU102" s="5510">
        <f>+$D$102</f>
        <v>0.05</v>
      </c>
      <c r="AV102" s="5510">
        <v>4.1000000000000002E-2</v>
      </c>
      <c r="AW102" s="5511">
        <f>+((AS102*AS5)+(AU102*AU5))/AW5</f>
        <v>5.000000000000001E-2</v>
      </c>
      <c r="AX102" s="5511">
        <f>+((AT102*AT5)+(AV102*AV5))/AX5</f>
        <v>4.2769602744838923E-2</v>
      </c>
      <c r="AY102" s="5510">
        <f>+$D$102</f>
        <v>0.05</v>
      </c>
      <c r="AZ102" s="5510">
        <v>4.2000000000000003E-2</v>
      </c>
      <c r="BA102" s="5512">
        <f>+((AQ102*AQ5)+(AU102*AU5)+(AY102*AY5))/BA5</f>
        <v>5.000000000000001E-2</v>
      </c>
      <c r="BB102" s="5512">
        <f>+((AR102*AR5)+(AV102*AV5)+(AZ102*AZ5))/BB5</f>
        <v>4.1670908069511937E-2</v>
      </c>
      <c r="BC102" s="5514">
        <f>+((BA102*BA5)+(AM102*AM5))/BC5</f>
        <v>0.05</v>
      </c>
      <c r="BD102" s="5514">
        <f>+((BB102*BB5)+(AN102*AN5))/BD5</f>
        <v>4.2577028684569355E-2</v>
      </c>
      <c r="BE102" s="5511">
        <f>+((AW102*AW5)+(AY102*AY5))/BE5</f>
        <v>5.000000000000001E-2</v>
      </c>
      <c r="BF102" s="5446">
        <f>+((AX102*AX5)+(AZ102*AZ5))/BF5</f>
        <v>4.2702826695137266E-2</v>
      </c>
      <c r="BG102" s="26"/>
      <c r="BH102" s="26"/>
      <c r="BI102" s="26"/>
      <c r="BJ102" s="26"/>
    </row>
    <row r="103" spans="2:62" ht="21" customHeight="1" x14ac:dyDescent="0.25">
      <c r="B103" s="5447" t="s">
        <v>595</v>
      </c>
      <c r="C103" s="5461" t="s">
        <v>643</v>
      </c>
      <c r="D103" s="5531">
        <v>5.7668064429426048E-2</v>
      </c>
      <c r="E103" s="5510">
        <v>5.9479393907388205E-2</v>
      </c>
      <c r="F103" s="5510">
        <f>32.905/(F2*24)</f>
        <v>4.5701388888888889E-2</v>
      </c>
      <c r="G103" s="5510">
        <v>4.7999939524646679E-2</v>
      </c>
      <c r="H103" s="5510">
        <f>30.82/(H2*24)</f>
        <v>4.1424731182795702E-2</v>
      </c>
      <c r="I103" s="5511">
        <f>+((E103*E2)+(G103*G2))/I2</f>
        <v>5.3645572827634311E-2</v>
      </c>
      <c r="J103" s="5511">
        <f>+((F103*F2)+(H103*H2))/J2</f>
        <v>4.3528005464480872E-2</v>
      </c>
      <c r="K103" s="5510">
        <v>4.8505597723111971E-2</v>
      </c>
      <c r="L103" s="5510">
        <f>31.995/(L2*24)</f>
        <v>4.4437500000000005E-2</v>
      </c>
      <c r="M103" s="5512">
        <f>+((E103*E2)+(G103*G2)+(K103*K2))/M2</f>
        <v>5.1951075540429145E-2</v>
      </c>
      <c r="N103" s="5512">
        <f>+((F103*F2)+(H103*H2)+(L103*L2))/N2</f>
        <v>4.3827838827838826E-2</v>
      </c>
      <c r="O103" s="5510">
        <v>5.8296147185704701E-2</v>
      </c>
      <c r="P103" s="5510">
        <f>41.165/(P2*24)</f>
        <v>5.5329301075268816E-2</v>
      </c>
      <c r="Q103" s="5511">
        <f>+((M103*M2)+(O103*O2))/Q2</f>
        <v>5.3563347843736869E-2</v>
      </c>
      <c r="R103" s="5511">
        <f>+((N103*N2)+(P103*P2))/R2</f>
        <v>4.675034153005464E-2</v>
      </c>
      <c r="S103" s="5510">
        <v>5.8296147185704701E-2</v>
      </c>
      <c r="T103" s="5513">
        <f>40.155/(T2*24)</f>
        <v>5.3971774193548386E-2</v>
      </c>
      <c r="U103" s="5511">
        <f>+((Q103*Q2)+(S103*S2))/U2</f>
        <v>5.4522281043743431E-2</v>
      </c>
      <c r="V103" s="5511">
        <f>+((R103*R2)+(T103*T2))/V2</f>
        <v>4.821350762527233E-2</v>
      </c>
      <c r="W103" s="5510">
        <v>5.8466116328045985E-2</v>
      </c>
      <c r="X103" s="5513">
        <f>38.045/(X2*24)</f>
        <v>5.2840277777777778E-2</v>
      </c>
      <c r="Y103" s="5512">
        <f>+((O103*O2)+(S103*S2)+(W103*W2))/Y2</f>
        <v>5.8351571906033385E-2</v>
      </c>
      <c r="Z103" s="5512">
        <f>+((P103*P2)+(T103*T2)+(X103*X2))/Z2</f>
        <v>5.4060235507246375E-2</v>
      </c>
      <c r="AA103" s="5514">
        <f>+((Y103*Y2)+(M103*M2))/AA2</f>
        <v>5.5168811418219249E-2</v>
      </c>
      <c r="AB103" s="5514">
        <f>+((Z103*Z2)+(N103*N2))/AB2</f>
        <v>4.897199453551912E-2</v>
      </c>
      <c r="AC103" s="5510">
        <v>6.0012181795881046E-2</v>
      </c>
      <c r="AD103" s="5510">
        <f>36.33/(AD2*24)</f>
        <v>4.883064516129032E-2</v>
      </c>
      <c r="AE103" s="5511">
        <f>+((AA103*AA2)+(AC103*AC2))/AE2</f>
        <v>5.5870421145824467E-2</v>
      </c>
      <c r="AF103" s="5511">
        <f>+((AB103*AB2)+(AD103*AD2))/AF2</f>
        <v>4.8951518691588779E-2</v>
      </c>
      <c r="AG103" s="5510">
        <v>6.0012181795881046E-2</v>
      </c>
      <c r="AH103" s="5510">
        <f>34.41/(AH2*24)</f>
        <v>4.7791666666666663E-2</v>
      </c>
      <c r="AI103" s="5511">
        <f>+((AE103*AE2)+(AG103*AG2))/AI2</f>
        <v>5.63796540126347E-2</v>
      </c>
      <c r="AJ103" s="5511">
        <f>+((AF103*AF2)+(AH103*AH2))/AJ2</f>
        <v>4.8808913934426226E-2</v>
      </c>
      <c r="AK103" s="5510">
        <v>6.0257329597334812E-2</v>
      </c>
      <c r="AL103" s="5510">
        <f>40.595/(AL2*24)</f>
        <v>5.4563172043010748E-2</v>
      </c>
      <c r="AM103" s="5512">
        <f>+((AC103*AC2)+(AG103*AG2)+(AK103*AK2))/AM2</f>
        <v>6.0094785946370896E-2</v>
      </c>
      <c r="AN103" s="5512">
        <f>+((AD103*AD2)+(AH103*AH2)+(AL103*AL2))/AN2</f>
        <v>5.0423460144927532E-2</v>
      </c>
      <c r="AO103" s="5511">
        <f>+((AK103*AK2)+(AI103*AI2))/AO2</f>
        <v>5.6816773805819079E-2</v>
      </c>
      <c r="AP103" s="5511">
        <f>+((AL103*AL2)+(AJ103*AJ2))/AP2</f>
        <v>4.9457575757575756E-2</v>
      </c>
      <c r="AQ103" s="5510">
        <v>6.0257329597334812E-2</v>
      </c>
      <c r="AR103" s="5510">
        <f>29.48/(AR2*24)</f>
        <v>3.9623655913978498E-2</v>
      </c>
      <c r="AS103" s="5511">
        <f>+((AO103*AO2)+(AQ103*AQ2))/AS2</f>
        <v>5.7165326843521651E-2</v>
      </c>
      <c r="AT103" s="5511">
        <f>+((AP103*AP2)+(AR103*AR2))/AT2</f>
        <v>4.8461328976034855E-2</v>
      </c>
      <c r="AU103" s="5510">
        <v>5.9958080212111936E-2</v>
      </c>
      <c r="AV103" s="5510">
        <f>31.9/(AV2*24)</f>
        <v>4.583333333333333E-2</v>
      </c>
      <c r="AW103" s="5511">
        <f>+((AS103*AS2)+(AU103*AU2))/AW2</f>
        <v>5.7407087582892154E-2</v>
      </c>
      <c r="AX103" s="5511">
        <f>+((AT103*AT2)+(AV103*AV2))/AX2</f>
        <v>4.8233830845771139E-2</v>
      </c>
      <c r="AY103" s="5510">
        <v>6.0502477398788564E-2</v>
      </c>
      <c r="AZ103" s="5510">
        <f>30.9/(AZ2*24)</f>
        <v>4.1532258064516124E-2</v>
      </c>
      <c r="BA103" s="5512">
        <f>+((AQ103*AQ2)+(AU103*AU2)+(AY103*AY2))/BA2</f>
        <v>6.0245476297044735E-2</v>
      </c>
      <c r="BB103" s="5512">
        <f>+((AR103*AR2)+(AV103*AV2)+(AZ103*AZ2))/BB2</f>
        <v>4.2252747252747247E-2</v>
      </c>
      <c r="BC103" s="5514">
        <f>+((BA103*BA2)+(AM103*AM2))/BC2</f>
        <v>6.0169719399438222E-2</v>
      </c>
      <c r="BD103" s="5514">
        <f>+((BB103*BB2)+(AN103*AN2))/BD2</f>
        <v>4.6360428051001816E-2</v>
      </c>
      <c r="BE103" s="5511">
        <f>+((AW103*AW2)+(AY103*AY2))/BE2</f>
        <v>5.7669265408828732E-2</v>
      </c>
      <c r="BF103" s="5446">
        <f>+((AX103*AX2)+(AZ103*AZ2))/BF2</f>
        <v>4.7666211293260471E-2</v>
      </c>
      <c r="BG103" s="26"/>
      <c r="BH103" s="26"/>
      <c r="BI103" s="26"/>
      <c r="BJ103" s="26"/>
    </row>
    <row r="104" spans="2:62" ht="21" customHeight="1" x14ac:dyDescent="0.25">
      <c r="B104" s="5447" t="s">
        <v>553</v>
      </c>
      <c r="C104" s="5461" t="s">
        <v>277</v>
      </c>
      <c r="D104" s="5532">
        <v>9.5</v>
      </c>
      <c r="E104" s="5496">
        <f>+$D$104</f>
        <v>9.5</v>
      </c>
      <c r="F104" s="5501">
        <v>11.3</v>
      </c>
      <c r="G104" s="5496">
        <f>+$D$104</f>
        <v>9.5</v>
      </c>
      <c r="H104" s="5501">
        <v>9.6300000000000008</v>
      </c>
      <c r="I104" s="5511">
        <f>+((E5*E104)+(G5*G104))/I5</f>
        <v>9.5</v>
      </c>
      <c r="J104" s="5511">
        <f>+((F5*F104)+(H5*H104))/J5</f>
        <v>10.549567870956535</v>
      </c>
      <c r="K104" s="5496">
        <f>+$D$104</f>
        <v>9.5</v>
      </c>
      <c r="L104" s="5501">
        <v>10.1</v>
      </c>
      <c r="M104" s="5508">
        <f>+((E5*E104)+(G5*G104)+(K5*K104))/M5</f>
        <v>9.5000000000000018</v>
      </c>
      <c r="N104" s="5508">
        <f>+((F5*F104)+(H5*H104)+(L5*L104))/N5</f>
        <v>10.404195440944379</v>
      </c>
      <c r="O104" s="5496">
        <f>+$D$104</f>
        <v>9.5</v>
      </c>
      <c r="P104" s="5501">
        <v>9.91</v>
      </c>
      <c r="Q104" s="5511">
        <f>+((M5*M104)+(O5*O104))/Q5</f>
        <v>9.5</v>
      </c>
      <c r="R104" s="5511">
        <f>+((N5*N104)+(P5*P104))/R5</f>
        <v>10.26354275361871</v>
      </c>
      <c r="S104" s="5496">
        <f>+$D$104</f>
        <v>9.5</v>
      </c>
      <c r="T104" s="5494">
        <v>9.7100000000000009</v>
      </c>
      <c r="U104" s="5511">
        <f>+((Q5*Q104)+(S5*S104))/U5</f>
        <v>9.5000000000000018</v>
      </c>
      <c r="V104" s="5511">
        <f>+((R5*R104)+(T5*T104))/V5</f>
        <v>10.143199662823593</v>
      </c>
      <c r="W104" s="5496">
        <f>+$D$104</f>
        <v>9.5</v>
      </c>
      <c r="X104" s="5487">
        <v>9.1</v>
      </c>
      <c r="Y104" s="5508">
        <f>+((O5*O104)+(S5*S104)+(W5*W104))/Y5</f>
        <v>9.5</v>
      </c>
      <c r="Z104" s="5515">
        <f>+((P5*P104)+(T5*T104)+(X5*X104))/Z5</f>
        <v>9.5859869041823664</v>
      </c>
      <c r="AA104" s="5509">
        <f>+((Y104*Y5)+(M104*M5))/AA5</f>
        <v>9.5</v>
      </c>
      <c r="AB104" s="5509">
        <f>+((Z104*Z5)+(N104*N5))/AB5</f>
        <v>9.96646199960934</v>
      </c>
      <c r="AC104" s="5496">
        <f>+$D$104</f>
        <v>9.5</v>
      </c>
      <c r="AD104" s="5487">
        <v>8.32</v>
      </c>
      <c r="AE104" s="5511">
        <f>+((AA5*AA104)+(AC5*AC104))/AE5</f>
        <v>9.5000000000000018</v>
      </c>
      <c r="AF104" s="5511">
        <f>+((AB5*AB104)+(AD5*AD104))/AF5</f>
        <v>9.7157731899049526</v>
      </c>
      <c r="AG104" s="5496">
        <f>+$D$104</f>
        <v>9.5</v>
      </c>
      <c r="AH104" s="5487">
        <v>9.1999999999999993</v>
      </c>
      <c r="AI104" s="5511">
        <f>+((AE5*AE104)+(AG5*AG104))/AI5</f>
        <v>9.5000000000000018</v>
      </c>
      <c r="AJ104" s="5511">
        <f>+((AF5*AF104)+(AH5*AH104))/AJ5</f>
        <v>9.6560074549982922</v>
      </c>
      <c r="AK104" s="5496">
        <f>+$D$104</f>
        <v>9.5</v>
      </c>
      <c r="AL104" s="5487">
        <v>9.14</v>
      </c>
      <c r="AM104" s="5508">
        <f>+((AC5*AC104)+(AG5*AG104)+(AK5*AK104))/AM5</f>
        <v>9.4999999999999982</v>
      </c>
      <c r="AN104" s="5515">
        <f>+((AD5*AD104)+(AH5*AH104)+(AL5*AL104))/AN5</f>
        <v>8.8689369677180991</v>
      </c>
      <c r="AO104" s="5511">
        <f>+((AK5*AK104)+(AI5*AI104))/AO5</f>
        <v>9.5</v>
      </c>
      <c r="AP104" s="5511">
        <f>+((AL5*AL104)+(AJ5*AJ104))/AP5</f>
        <v>9.5962040970251028</v>
      </c>
      <c r="AQ104" s="5496">
        <f>+$D$104</f>
        <v>9.5</v>
      </c>
      <c r="AR104" s="5487">
        <v>8.9499999999999993</v>
      </c>
      <c r="AS104" s="5511">
        <f>+((AO5*AO104)+(AQ5*AQ104))/AS5</f>
        <v>9.5</v>
      </c>
      <c r="AT104" s="5511">
        <f>+((AP5*AP104)+(AR5*AR104))/AT5</f>
        <v>9.5290637538244169</v>
      </c>
      <c r="AU104" s="5496">
        <f>+$D$104</f>
        <v>9.5</v>
      </c>
      <c r="AV104" s="5487">
        <v>10.02</v>
      </c>
      <c r="AW104" s="5511">
        <f>+((AS5*AS104)+(AU5*AU104))/AW5</f>
        <v>9.5</v>
      </c>
      <c r="AX104" s="5511">
        <f>+((AT5*AT104)+(AV5*AV104))/AX5</f>
        <v>9.5746410432050588</v>
      </c>
      <c r="AY104" s="5496">
        <f>+$D$104</f>
        <v>9.5</v>
      </c>
      <c r="AZ104" s="5487">
        <v>9.68</v>
      </c>
      <c r="BA104" s="5508">
        <f>+((AQ5*AQ104)+(AU5*AU104)+(AY5*AY104))/BA5</f>
        <v>9.5000000000000018</v>
      </c>
      <c r="BB104" s="5515">
        <f>+((AR5*AR104)+(AV5*AV104)+(AZ5*AZ104))/BB5</f>
        <v>9.5479890992365473</v>
      </c>
      <c r="BC104" s="5509">
        <f>+((BA104*BA5)+(AM104*AM5))/BC5</f>
        <v>9.5</v>
      </c>
      <c r="BD104" s="5509">
        <f>+((BB104*BB5)+(AN104*AN5))/BD5</f>
        <v>9.2132607372563182</v>
      </c>
      <c r="BE104" s="5511">
        <f>+((AW5*AW104)+(AY5*AY104))/BE5</f>
        <v>9.5000000000000018</v>
      </c>
      <c r="BF104" s="5446">
        <f>+((AX5*AX104)+(AZ5*AZ104))/BF5</f>
        <v>9.5837827139990299</v>
      </c>
      <c r="BG104" s="26"/>
      <c r="BH104" s="26"/>
      <c r="BI104" s="26"/>
      <c r="BJ104" s="26"/>
    </row>
    <row r="105" spans="2:62" ht="21" customHeight="1" x14ac:dyDescent="0.25">
      <c r="B105" s="5447" t="s">
        <v>1190</v>
      </c>
      <c r="C105" s="5461" t="s">
        <v>52</v>
      </c>
      <c r="D105" s="5533">
        <v>0</v>
      </c>
      <c r="E105" s="5480">
        <v>0</v>
      </c>
      <c r="F105" s="5480">
        <v>0</v>
      </c>
      <c r="G105" s="5480">
        <v>0</v>
      </c>
      <c r="H105" s="5480">
        <v>0</v>
      </c>
      <c r="I105" s="5478">
        <f>+E105+G105</f>
        <v>0</v>
      </c>
      <c r="J105" s="5478">
        <f>+F105+H105</f>
        <v>0</v>
      </c>
      <c r="K105" s="5480">
        <v>0</v>
      </c>
      <c r="L105" s="5480">
        <v>0</v>
      </c>
      <c r="M105" s="5479">
        <f>+K105+G105+E105</f>
        <v>0</v>
      </c>
      <c r="N105" s="5479">
        <f>+L105+H105+F105</f>
        <v>0</v>
      </c>
      <c r="O105" s="5480">
        <v>0</v>
      </c>
      <c r="P105" s="5480">
        <v>0</v>
      </c>
      <c r="Q105" s="5478">
        <f>+M105+O105</f>
        <v>0</v>
      </c>
      <c r="R105" s="5478">
        <f>+N105+P105</f>
        <v>0</v>
      </c>
      <c r="S105" s="5480"/>
      <c r="T105" s="5481"/>
      <c r="U105" s="5478">
        <f>+Q105+S105</f>
        <v>0</v>
      </c>
      <c r="V105" s="5478">
        <f>+R105+T105</f>
        <v>0</v>
      </c>
      <c r="W105" s="5480"/>
      <c r="X105" s="5481"/>
      <c r="Y105" s="5479">
        <f>+W105+S105+O105</f>
        <v>0</v>
      </c>
      <c r="Z105" s="5479">
        <f>+X105+T105+P105</f>
        <v>0</v>
      </c>
      <c r="AA105" s="5482">
        <f>+Y105+M105</f>
        <v>0</v>
      </c>
      <c r="AB105" s="5482">
        <f>+Z105+N105</f>
        <v>0</v>
      </c>
      <c r="AC105" s="5480"/>
      <c r="AD105" s="5481"/>
      <c r="AE105" s="5478">
        <f>+AA105+AC105</f>
        <v>0</v>
      </c>
      <c r="AF105" s="5478">
        <f>+AB105+AD105</f>
        <v>0</v>
      </c>
      <c r="AG105" s="5480"/>
      <c r="AH105" s="5481"/>
      <c r="AI105" s="5478">
        <f>+AE105+AG105</f>
        <v>0</v>
      </c>
      <c r="AJ105" s="5478">
        <f>+AF105+AH105</f>
        <v>0</v>
      </c>
      <c r="AK105" s="5480"/>
      <c r="AL105" s="5481"/>
      <c r="AM105" s="5479">
        <f>+AK105+AG105+AC105</f>
        <v>0</v>
      </c>
      <c r="AN105" s="5479">
        <f>+AL105+AH105+AD105</f>
        <v>0</v>
      </c>
      <c r="AO105" s="5478">
        <f>+AK105+AM105</f>
        <v>0</v>
      </c>
      <c r="AP105" s="5478">
        <f>+AL105+AN105</f>
        <v>0</v>
      </c>
      <c r="AQ105" s="5480"/>
      <c r="AR105" s="5481"/>
      <c r="AS105" s="5478">
        <f>+AO105+AQ105</f>
        <v>0</v>
      </c>
      <c r="AT105" s="5478">
        <f>+AP105+AR105</f>
        <v>0</v>
      </c>
      <c r="AU105" s="5480"/>
      <c r="AV105" s="5481"/>
      <c r="AW105" s="5478">
        <f>+AS105+AU105</f>
        <v>0</v>
      </c>
      <c r="AX105" s="5478">
        <f>+AT105+AV105</f>
        <v>0</v>
      </c>
      <c r="AY105" s="5480"/>
      <c r="AZ105" s="5481"/>
      <c r="BA105" s="5479">
        <f>+AY105+AU105+AQ105</f>
        <v>0</v>
      </c>
      <c r="BB105" s="5479">
        <f>+AZ105+AV105+AR105</f>
        <v>0</v>
      </c>
      <c r="BC105" s="5482">
        <f>+BA105+AO105</f>
        <v>0</v>
      </c>
      <c r="BD105" s="5482">
        <f>+BB105+AP105</f>
        <v>0</v>
      </c>
      <c r="BE105" s="5478">
        <f>+AW105+AY105</f>
        <v>0</v>
      </c>
      <c r="BF105" s="5437">
        <f>+AX105+AZ105</f>
        <v>0</v>
      </c>
      <c r="BG105" s="26"/>
      <c r="BH105" s="26"/>
      <c r="BI105" s="26"/>
      <c r="BJ105" s="26"/>
    </row>
    <row r="106" spans="2:62" ht="21" customHeight="1" x14ac:dyDescent="0.25">
      <c r="B106" s="1271" t="s">
        <v>1675</v>
      </c>
      <c r="C106" s="5462" t="s">
        <v>702</v>
      </c>
      <c r="D106" s="5534"/>
      <c r="E106" s="5469"/>
      <c r="F106" s="5469">
        <v>17</v>
      </c>
      <c r="G106" s="5469"/>
      <c r="H106" s="5469">
        <v>3</v>
      </c>
      <c r="I106" s="5484"/>
      <c r="J106" s="5484">
        <f t="shared" ref="J106:J107" si="319">+F106+H106</f>
        <v>20</v>
      </c>
      <c r="K106" s="5469"/>
      <c r="L106" s="5469">
        <v>18</v>
      </c>
      <c r="M106" s="5485"/>
      <c r="N106" s="5485">
        <f t="shared" ref="N106:N109" si="320">+L106+H106+F106</f>
        <v>38</v>
      </c>
      <c r="O106" s="5469"/>
      <c r="P106" s="5469">
        <v>35</v>
      </c>
      <c r="Q106" s="5478"/>
      <c r="R106" s="5484">
        <f>+N106+P106</f>
        <v>73</v>
      </c>
      <c r="S106" s="5480"/>
      <c r="T106" s="5470">
        <v>39</v>
      </c>
      <c r="U106" s="5478"/>
      <c r="V106" s="5484">
        <f>+R106+T106</f>
        <v>112</v>
      </c>
      <c r="W106" s="5480"/>
      <c r="X106" s="5470">
        <v>19</v>
      </c>
      <c r="Y106" s="5479"/>
      <c r="Z106" s="5485">
        <f>+X106+T106+P106</f>
        <v>93</v>
      </c>
      <c r="AA106" s="5482"/>
      <c r="AB106" s="5486">
        <f>Z106+N106</f>
        <v>131</v>
      </c>
      <c r="AC106" s="5480"/>
      <c r="AD106" s="5470">
        <v>37</v>
      </c>
      <c r="AE106" s="5478"/>
      <c r="AF106" s="5484">
        <f>+AB106+AD106</f>
        <v>168</v>
      </c>
      <c r="AG106" s="5480"/>
      <c r="AH106" s="5470">
        <v>53</v>
      </c>
      <c r="AI106" s="5478"/>
      <c r="AJ106" s="5484">
        <f>+AF106+AH106</f>
        <v>221</v>
      </c>
      <c r="AK106" s="5480"/>
      <c r="AL106" s="5470">
        <v>16</v>
      </c>
      <c r="AM106" s="5479"/>
      <c r="AN106" s="5485">
        <f>+AL106+AH106+AD106</f>
        <v>106</v>
      </c>
      <c r="AO106" s="5478"/>
      <c r="AP106" s="5484">
        <f t="shared" ref="AP106:AP109" si="321">+AL106+AJ106</f>
        <v>237</v>
      </c>
      <c r="AQ106" s="5480"/>
      <c r="AR106" s="5470">
        <v>14</v>
      </c>
      <c r="AS106" s="5478"/>
      <c r="AT106" s="5484">
        <f>+AP106+AR106</f>
        <v>251</v>
      </c>
      <c r="AU106" s="5480"/>
      <c r="AV106" s="5470">
        <v>37</v>
      </c>
      <c r="AW106" s="5478"/>
      <c r="AX106" s="5484">
        <f>+AT106+AV106</f>
        <v>288</v>
      </c>
      <c r="AY106" s="5480"/>
      <c r="AZ106" s="5470">
        <v>18</v>
      </c>
      <c r="BA106" s="5479"/>
      <c r="BB106" s="5485">
        <f>+AZ106+AV106+AR106</f>
        <v>69</v>
      </c>
      <c r="BC106" s="5482"/>
      <c r="BD106" s="5486">
        <f>BB106+AN106</f>
        <v>175</v>
      </c>
      <c r="BE106" s="5478"/>
      <c r="BF106" s="5440">
        <f>+AX106+AZ106</f>
        <v>306</v>
      </c>
      <c r="BG106" s="26"/>
      <c r="BH106" s="26"/>
      <c r="BI106" s="26"/>
      <c r="BJ106" s="26"/>
    </row>
    <row r="107" spans="2:62" ht="21" customHeight="1" x14ac:dyDescent="0.25">
      <c r="B107" s="1271" t="s">
        <v>1676</v>
      </c>
      <c r="C107" s="5462" t="s">
        <v>702</v>
      </c>
      <c r="D107" s="5534"/>
      <c r="E107" s="5469"/>
      <c r="F107" s="5469">
        <v>381</v>
      </c>
      <c r="G107" s="5469"/>
      <c r="H107" s="5469">
        <v>245</v>
      </c>
      <c r="I107" s="5484"/>
      <c r="J107" s="5484">
        <f t="shared" si="319"/>
        <v>626</v>
      </c>
      <c r="K107" s="5469"/>
      <c r="L107" s="5469">
        <v>422</v>
      </c>
      <c r="M107" s="5485"/>
      <c r="N107" s="5485">
        <f t="shared" si="320"/>
        <v>1048</v>
      </c>
      <c r="O107" s="5469"/>
      <c r="P107" s="5469">
        <v>360</v>
      </c>
      <c r="Q107" s="5478"/>
      <c r="R107" s="5484">
        <f t="shared" ref="R107:R109" si="322">+N107+P107</f>
        <v>1408</v>
      </c>
      <c r="S107" s="5480"/>
      <c r="T107" s="5470">
        <v>368</v>
      </c>
      <c r="U107" s="5478"/>
      <c r="V107" s="5484">
        <f t="shared" ref="V107:V109" si="323">+R107+T107</f>
        <v>1776</v>
      </c>
      <c r="W107" s="5480"/>
      <c r="X107" s="5470">
        <v>439</v>
      </c>
      <c r="Y107" s="5479"/>
      <c r="Z107" s="5485">
        <f t="shared" ref="Z107:Z109" si="324">+X107+T107+P107</f>
        <v>1167</v>
      </c>
      <c r="AA107" s="5482"/>
      <c r="AB107" s="5486">
        <f t="shared" ref="AB107:AB109" si="325">Z107+N107</f>
        <v>2215</v>
      </c>
      <c r="AC107" s="5480"/>
      <c r="AD107" s="5470">
        <v>453</v>
      </c>
      <c r="AE107" s="5478"/>
      <c r="AF107" s="5484">
        <f t="shared" ref="AF107:AF109" si="326">+AB107+AD107</f>
        <v>2668</v>
      </c>
      <c r="AG107" s="5480"/>
      <c r="AH107" s="5470">
        <v>348</v>
      </c>
      <c r="AI107" s="5478"/>
      <c r="AJ107" s="5484">
        <f t="shared" ref="AJ107:AJ109" si="327">+AF107+AH107</f>
        <v>3016</v>
      </c>
      <c r="AK107" s="5480"/>
      <c r="AL107" s="5470">
        <v>348</v>
      </c>
      <c r="AM107" s="5479"/>
      <c r="AN107" s="5485">
        <f t="shared" ref="AN107:AN109" si="328">+AL107+AH107+AD107</f>
        <v>1149</v>
      </c>
      <c r="AO107" s="5478"/>
      <c r="AP107" s="5484">
        <f t="shared" si="321"/>
        <v>3364</v>
      </c>
      <c r="AQ107" s="5480"/>
      <c r="AR107" s="5470">
        <v>577</v>
      </c>
      <c r="AS107" s="5478"/>
      <c r="AT107" s="5484">
        <f t="shared" ref="AT107:AT109" si="329">+AP107+AR107</f>
        <v>3941</v>
      </c>
      <c r="AU107" s="5480"/>
      <c r="AV107" s="5470">
        <v>590</v>
      </c>
      <c r="AW107" s="5478"/>
      <c r="AX107" s="5484">
        <f t="shared" ref="AX107:AX109" si="330">+AT107+AV107</f>
        <v>4531</v>
      </c>
      <c r="AY107" s="5480"/>
      <c r="AZ107" s="5470">
        <v>397</v>
      </c>
      <c r="BA107" s="5479"/>
      <c r="BB107" s="5485">
        <f t="shared" ref="BB107:BB109" si="331">+AZ107+AV107+AR107</f>
        <v>1564</v>
      </c>
      <c r="BC107" s="5482"/>
      <c r="BD107" s="5486">
        <f t="shared" ref="BD107:BD109" si="332">BB107+AN107</f>
        <v>2713</v>
      </c>
      <c r="BE107" s="5478"/>
      <c r="BF107" s="5440">
        <f t="shared" ref="BF107:BF109" si="333">+AX107+AZ107</f>
        <v>4928</v>
      </c>
      <c r="BG107" s="26"/>
      <c r="BH107" s="26"/>
      <c r="BI107" s="26"/>
      <c r="BJ107" s="26"/>
    </row>
    <row r="108" spans="2:62" ht="21" customHeight="1" x14ac:dyDescent="0.25">
      <c r="B108" s="1271" t="s">
        <v>1677</v>
      </c>
      <c r="C108" s="5462" t="s">
        <v>702</v>
      </c>
      <c r="D108" s="5534"/>
      <c r="E108" s="5469"/>
      <c r="F108" s="5469">
        <v>146</v>
      </c>
      <c r="G108" s="5469"/>
      <c r="H108" s="5469">
        <v>67</v>
      </c>
      <c r="I108" s="5484"/>
      <c r="J108" s="5484"/>
      <c r="K108" s="5469"/>
      <c r="L108" s="5469">
        <v>117</v>
      </c>
      <c r="M108" s="5485"/>
      <c r="N108" s="5485">
        <f t="shared" si="320"/>
        <v>330</v>
      </c>
      <c r="O108" s="5469"/>
      <c r="P108" s="5469">
        <v>75</v>
      </c>
      <c r="Q108" s="5478"/>
      <c r="R108" s="5484">
        <f t="shared" si="322"/>
        <v>405</v>
      </c>
      <c r="S108" s="5480"/>
      <c r="T108" s="5470">
        <f>158+5</f>
        <v>163</v>
      </c>
      <c r="U108" s="5478"/>
      <c r="V108" s="5484">
        <f t="shared" si="323"/>
        <v>568</v>
      </c>
      <c r="W108" s="5480"/>
      <c r="X108" s="5470">
        <v>196</v>
      </c>
      <c r="Y108" s="5479"/>
      <c r="Z108" s="5485">
        <f t="shared" si="324"/>
        <v>434</v>
      </c>
      <c r="AA108" s="5482"/>
      <c r="AB108" s="5486">
        <f t="shared" si="325"/>
        <v>764</v>
      </c>
      <c r="AC108" s="5480"/>
      <c r="AD108" s="5470">
        <v>192</v>
      </c>
      <c r="AE108" s="5478"/>
      <c r="AF108" s="5484">
        <f t="shared" si="326"/>
        <v>956</v>
      </c>
      <c r="AG108" s="5480"/>
      <c r="AH108" s="5470">
        <v>177</v>
      </c>
      <c r="AI108" s="5478"/>
      <c r="AJ108" s="5484">
        <f t="shared" si="327"/>
        <v>1133</v>
      </c>
      <c r="AK108" s="5480"/>
      <c r="AL108" s="5470">
        <v>179</v>
      </c>
      <c r="AM108" s="5479"/>
      <c r="AN108" s="5485">
        <f t="shared" si="328"/>
        <v>548</v>
      </c>
      <c r="AO108" s="5478"/>
      <c r="AP108" s="5484">
        <f t="shared" si="321"/>
        <v>1312</v>
      </c>
      <c r="AQ108" s="5480"/>
      <c r="AR108" s="5470">
        <v>134</v>
      </c>
      <c r="AS108" s="5478"/>
      <c r="AT108" s="5484">
        <f t="shared" si="329"/>
        <v>1446</v>
      </c>
      <c r="AU108" s="5480"/>
      <c r="AV108" s="5470">
        <v>156</v>
      </c>
      <c r="AW108" s="5478"/>
      <c r="AX108" s="5484">
        <f t="shared" si="330"/>
        <v>1602</v>
      </c>
      <c r="AY108" s="5480"/>
      <c r="AZ108" s="5470">
        <v>173</v>
      </c>
      <c r="BA108" s="5479"/>
      <c r="BB108" s="5485">
        <f t="shared" si="331"/>
        <v>463</v>
      </c>
      <c r="BC108" s="5482"/>
      <c r="BD108" s="5486">
        <f t="shared" si="332"/>
        <v>1011</v>
      </c>
      <c r="BE108" s="5478"/>
      <c r="BF108" s="5440">
        <f t="shared" si="333"/>
        <v>1775</v>
      </c>
      <c r="BG108" s="26"/>
      <c r="BH108" s="26"/>
      <c r="BI108" s="26"/>
      <c r="BJ108" s="26"/>
    </row>
    <row r="109" spans="2:62" ht="21" customHeight="1" thickBot="1" x14ac:dyDescent="0.3">
      <c r="B109" s="2613" t="s">
        <v>1678</v>
      </c>
      <c r="C109" s="3173" t="s">
        <v>52</v>
      </c>
      <c r="D109" s="5534"/>
      <c r="E109" s="5469"/>
      <c r="F109" s="5469">
        <v>21826.92</v>
      </c>
      <c r="G109" s="5469"/>
      <c r="H109" s="5469">
        <v>10107.4</v>
      </c>
      <c r="I109" s="5484"/>
      <c r="J109" s="5484"/>
      <c r="K109" s="5469"/>
      <c r="L109" s="5469">
        <v>17451.099999999999</v>
      </c>
      <c r="M109" s="5485"/>
      <c r="N109" s="5485">
        <f t="shared" si="320"/>
        <v>49385.42</v>
      </c>
      <c r="O109" s="5469"/>
      <c r="P109" s="5469">
        <v>11322.990000000002</v>
      </c>
      <c r="Q109" s="5478"/>
      <c r="R109" s="5484">
        <f t="shared" si="322"/>
        <v>60708.41</v>
      </c>
      <c r="S109" s="5480"/>
      <c r="T109" s="5470">
        <f>24038.31+755.82</f>
        <v>24794.13</v>
      </c>
      <c r="U109" s="5478"/>
      <c r="V109" s="5484">
        <f t="shared" si="323"/>
        <v>85502.540000000008</v>
      </c>
      <c r="W109" s="5480"/>
      <c r="X109" s="5470">
        <v>29283.13</v>
      </c>
      <c r="Y109" s="5479"/>
      <c r="Z109" s="5485">
        <f t="shared" si="324"/>
        <v>65400.25</v>
      </c>
      <c r="AA109" s="5482"/>
      <c r="AB109" s="5486">
        <f t="shared" si="325"/>
        <v>114785.67</v>
      </c>
      <c r="AC109" s="5480"/>
      <c r="AD109" s="5470">
        <v>28531.34</v>
      </c>
      <c r="AE109" s="5478"/>
      <c r="AF109" s="5484">
        <f t="shared" si="326"/>
        <v>143317.01</v>
      </c>
      <c r="AG109" s="5480"/>
      <c r="AH109" s="5470">
        <v>27154.3</v>
      </c>
      <c r="AI109" s="5478"/>
      <c r="AJ109" s="5484">
        <f t="shared" si="327"/>
        <v>170471.31</v>
      </c>
      <c r="AK109" s="5480"/>
      <c r="AL109" s="5470">
        <v>26731.49</v>
      </c>
      <c r="AM109" s="5479"/>
      <c r="AN109" s="5485">
        <f t="shared" si="328"/>
        <v>82417.13</v>
      </c>
      <c r="AO109" s="5478"/>
      <c r="AP109" s="5484">
        <f t="shared" si="321"/>
        <v>197202.8</v>
      </c>
      <c r="AQ109" s="5480"/>
      <c r="AR109" s="5470">
        <v>20197.150000000001</v>
      </c>
      <c r="AS109" s="5478"/>
      <c r="AT109" s="5484">
        <f t="shared" si="329"/>
        <v>217399.94999999998</v>
      </c>
      <c r="AU109" s="5480"/>
      <c r="AV109" s="5470">
        <v>23370.27</v>
      </c>
      <c r="AW109" s="5478"/>
      <c r="AX109" s="5484">
        <f t="shared" si="330"/>
        <v>240770.21999999997</v>
      </c>
      <c r="AY109" s="5480"/>
      <c r="AZ109" s="5470">
        <v>25949.4</v>
      </c>
      <c r="BA109" s="5479"/>
      <c r="BB109" s="5485">
        <f t="shared" si="331"/>
        <v>69516.820000000007</v>
      </c>
      <c r="BC109" s="5482"/>
      <c r="BD109" s="5486">
        <f t="shared" si="332"/>
        <v>151933.95000000001</v>
      </c>
      <c r="BE109" s="5478"/>
      <c r="BF109" s="5440">
        <f t="shared" si="333"/>
        <v>266719.62</v>
      </c>
      <c r="BG109" s="26"/>
      <c r="BH109" s="26"/>
      <c r="BI109" s="26"/>
      <c r="BJ109" s="26"/>
    </row>
    <row r="110" spans="2:62" ht="21" customHeight="1" x14ac:dyDescent="0.25">
      <c r="B110" s="5448" t="s">
        <v>1732</v>
      </c>
      <c r="C110" s="5449"/>
      <c r="D110" s="5532"/>
      <c r="E110" s="5496"/>
      <c r="F110" s="5501"/>
      <c r="G110" s="5496"/>
      <c r="H110" s="5501"/>
      <c r="I110" s="5511"/>
      <c r="J110" s="5511"/>
      <c r="K110" s="5496"/>
      <c r="L110" s="5501"/>
      <c r="M110" s="5512"/>
      <c r="N110" s="5512"/>
      <c r="O110" s="5496"/>
      <c r="P110" s="5501"/>
      <c r="Q110" s="5511"/>
      <c r="R110" s="5511"/>
      <c r="S110" s="5496"/>
      <c r="T110" s="5494"/>
      <c r="U110" s="5511"/>
      <c r="V110" s="5511"/>
      <c r="W110" s="5496"/>
      <c r="X110" s="5494"/>
      <c r="Y110" s="5512"/>
      <c r="Z110" s="5512"/>
      <c r="AA110" s="5514"/>
      <c r="AB110" s="5514"/>
      <c r="AC110" s="5496"/>
      <c r="AD110" s="5494"/>
      <c r="AE110" s="5511"/>
      <c r="AF110" s="5511"/>
      <c r="AG110" s="5496"/>
      <c r="AH110" s="5494"/>
      <c r="AI110" s="5511"/>
      <c r="AJ110" s="5511"/>
      <c r="AK110" s="5496"/>
      <c r="AL110" s="5494"/>
      <c r="AM110" s="5512"/>
      <c r="AN110" s="5512"/>
      <c r="AO110" s="5511"/>
      <c r="AP110" s="5511"/>
      <c r="AQ110" s="5496"/>
      <c r="AR110" s="5494"/>
      <c r="AS110" s="5511"/>
      <c r="AT110" s="5511"/>
      <c r="AU110" s="5496"/>
      <c r="AV110" s="5494"/>
      <c r="AW110" s="5511"/>
      <c r="AX110" s="5511"/>
      <c r="AY110" s="5496"/>
      <c r="AZ110" s="5494"/>
      <c r="BA110" s="5512"/>
      <c r="BB110" s="5512"/>
      <c r="BC110" s="5514"/>
      <c r="BD110" s="5514"/>
      <c r="BE110" s="5511"/>
      <c r="BF110" s="5446"/>
      <c r="BG110" s="26"/>
      <c r="BH110" s="26"/>
      <c r="BI110" s="26"/>
      <c r="BJ110" s="26"/>
    </row>
    <row r="111" spans="2:62" ht="21" customHeight="1" x14ac:dyDescent="0.25">
      <c r="B111" s="5450" t="s">
        <v>587</v>
      </c>
      <c r="C111" s="5458" t="s">
        <v>52</v>
      </c>
      <c r="D111" s="5432">
        <v>63.224578730530254</v>
      </c>
      <c r="E111" s="5496"/>
      <c r="F111" s="5501">
        <v>2.8580000000000001</v>
      </c>
      <c r="G111" s="5496"/>
      <c r="H111" s="5501">
        <v>3.7650000000000001</v>
      </c>
      <c r="I111" s="5511"/>
      <c r="J111" s="5492">
        <f>+F111+H111</f>
        <v>6.6230000000000002</v>
      </c>
      <c r="K111" s="5496"/>
      <c r="L111" s="5501">
        <v>4.2990000000000004</v>
      </c>
      <c r="M111" s="5512"/>
      <c r="N111" s="5479">
        <f t="shared" ref="N111:N132" si="334">+L111+H111+F111</f>
        <v>10.922000000000001</v>
      </c>
      <c r="O111" s="5496"/>
      <c r="P111" s="5501">
        <v>6.7859999999999996</v>
      </c>
      <c r="Q111" s="5511"/>
      <c r="R111" s="5492">
        <f>+N111+P111</f>
        <v>17.707999999999998</v>
      </c>
      <c r="S111" s="5496"/>
      <c r="T111" s="5494">
        <v>0</v>
      </c>
      <c r="U111" s="5511"/>
      <c r="V111" s="5492">
        <f>+R111+T111</f>
        <v>17.707999999999998</v>
      </c>
      <c r="W111" s="5496"/>
      <c r="X111" s="5494">
        <v>1.91</v>
      </c>
      <c r="Y111" s="5512"/>
      <c r="Z111" s="5479">
        <f t="shared" ref="Z111:Z132" si="335">+X111+T111+P111</f>
        <v>8.6959999999999997</v>
      </c>
      <c r="AA111" s="5514"/>
      <c r="AB111" s="5482">
        <f t="shared" ref="AB111:AB132" si="336">+Z111+N111</f>
        <v>19.618000000000002</v>
      </c>
      <c r="AC111" s="5496"/>
      <c r="AD111" s="5494"/>
      <c r="AE111" s="5511"/>
      <c r="AF111" s="5492">
        <f>+AB111+AD111</f>
        <v>19.618000000000002</v>
      </c>
      <c r="AG111" s="5496"/>
      <c r="AH111" s="5494">
        <v>2.665</v>
      </c>
      <c r="AI111" s="5511"/>
      <c r="AJ111" s="5492">
        <f>+AF111+AH111</f>
        <v>22.283000000000001</v>
      </c>
      <c r="AK111" s="5496"/>
      <c r="AL111" s="5494">
        <v>1.155</v>
      </c>
      <c r="AM111" s="5512"/>
      <c r="AN111" s="5479">
        <f t="shared" ref="AN111:AN132" si="337">+AL111+AH111+AD111</f>
        <v>3.8200000000000003</v>
      </c>
      <c r="AO111" s="5511"/>
      <c r="AP111" s="5478">
        <f t="shared" ref="AP111:AP132" si="338">+AL111+AJ111</f>
        <v>23.438000000000002</v>
      </c>
      <c r="AQ111" s="5496"/>
      <c r="AR111" s="5494"/>
      <c r="AS111" s="5511"/>
      <c r="AT111" s="5492">
        <f>+AP111+AR111</f>
        <v>23.438000000000002</v>
      </c>
      <c r="AU111" s="5496"/>
      <c r="AV111" s="5494">
        <v>2.0710000000000002</v>
      </c>
      <c r="AW111" s="5511"/>
      <c r="AX111" s="5492">
        <f>+AT111+AV111</f>
        <v>25.509000000000004</v>
      </c>
      <c r="AY111" s="5496"/>
      <c r="AZ111" s="5494"/>
      <c r="BA111" s="5512"/>
      <c r="BB111" s="5479">
        <f t="shared" ref="BB111:BB132" si="339">+AZ111+AV111+AR111</f>
        <v>2.0710000000000002</v>
      </c>
      <c r="BC111" s="5514"/>
      <c r="BD111" s="5482">
        <f t="shared" ref="BD111:BD132" si="340">+BB111+AN111</f>
        <v>5.891</v>
      </c>
      <c r="BE111" s="5511"/>
      <c r="BF111" s="5433">
        <f>+AX111+AZ111</f>
        <v>25.509000000000004</v>
      </c>
      <c r="BG111" s="26"/>
      <c r="BH111" s="26"/>
      <c r="BI111" s="26"/>
      <c r="BJ111" s="26"/>
    </row>
    <row r="112" spans="2:62" ht="21" customHeight="1" x14ac:dyDescent="0.25">
      <c r="B112" s="5450" t="s">
        <v>830</v>
      </c>
      <c r="C112" s="5458" t="s">
        <v>52</v>
      </c>
      <c r="D112" s="5432"/>
      <c r="E112" s="5496"/>
      <c r="F112" s="5501">
        <v>7.2460000000000004</v>
      </c>
      <c r="G112" s="5496"/>
      <c r="H112" s="5501">
        <v>5.95</v>
      </c>
      <c r="I112" s="5511"/>
      <c r="J112" s="5492">
        <f t="shared" ref="J112:J132" si="341">+F112+H112</f>
        <v>13.196000000000002</v>
      </c>
      <c r="K112" s="5496"/>
      <c r="L112" s="5501">
        <v>12.856999999999999</v>
      </c>
      <c r="M112" s="5512"/>
      <c r="N112" s="5479">
        <f t="shared" si="334"/>
        <v>26.052999999999997</v>
      </c>
      <c r="O112" s="5496"/>
      <c r="P112" s="5501">
        <v>2.96</v>
      </c>
      <c r="Q112" s="5511"/>
      <c r="R112" s="5492">
        <f t="shared" ref="R112:R132" si="342">+N112+P112</f>
        <v>29.012999999999998</v>
      </c>
      <c r="S112" s="5496"/>
      <c r="T112" s="5494">
        <v>0</v>
      </c>
      <c r="U112" s="5511"/>
      <c r="V112" s="5492">
        <f t="shared" ref="V112:V132" si="343">+R112+T112</f>
        <v>29.012999999999998</v>
      </c>
      <c r="W112" s="5496"/>
      <c r="X112" s="5494">
        <v>0</v>
      </c>
      <c r="Y112" s="5512"/>
      <c r="Z112" s="5479">
        <f t="shared" si="335"/>
        <v>2.96</v>
      </c>
      <c r="AA112" s="5514"/>
      <c r="AB112" s="5482">
        <f t="shared" si="336"/>
        <v>29.012999999999998</v>
      </c>
      <c r="AC112" s="5496"/>
      <c r="AD112" s="5494">
        <v>3.8250000000000002</v>
      </c>
      <c r="AE112" s="5511"/>
      <c r="AF112" s="5492">
        <f t="shared" ref="AF112:AF132" si="344">+AB112+AD112</f>
        <v>32.838000000000001</v>
      </c>
      <c r="AG112" s="5496"/>
      <c r="AH112" s="5494">
        <v>0.8</v>
      </c>
      <c r="AI112" s="5511"/>
      <c r="AJ112" s="5492">
        <f t="shared" ref="AJ112:AJ132" si="345">+AF112+AH112</f>
        <v>33.637999999999998</v>
      </c>
      <c r="AK112" s="5496"/>
      <c r="AL112" s="5494"/>
      <c r="AM112" s="5512"/>
      <c r="AN112" s="5479">
        <f t="shared" si="337"/>
        <v>4.625</v>
      </c>
      <c r="AO112" s="5511"/>
      <c r="AP112" s="5478">
        <f t="shared" si="338"/>
        <v>33.637999999999998</v>
      </c>
      <c r="AQ112" s="5496"/>
      <c r="AR112" s="5494">
        <v>2.25</v>
      </c>
      <c r="AS112" s="5511"/>
      <c r="AT112" s="5492">
        <f t="shared" ref="AT112:AT132" si="346">+AP112+AR112</f>
        <v>35.887999999999998</v>
      </c>
      <c r="AU112" s="5496"/>
      <c r="AV112" s="5494">
        <v>3.2589999999999999</v>
      </c>
      <c r="AW112" s="5511"/>
      <c r="AX112" s="5492">
        <f t="shared" ref="AX112:AX132" si="347">+AT112+AV112</f>
        <v>39.146999999999998</v>
      </c>
      <c r="AY112" s="5496"/>
      <c r="AZ112" s="5494">
        <v>2.02</v>
      </c>
      <c r="BA112" s="5512"/>
      <c r="BB112" s="5479">
        <f t="shared" si="339"/>
        <v>7.5289999999999999</v>
      </c>
      <c r="BC112" s="5514"/>
      <c r="BD112" s="5482">
        <f t="shared" si="340"/>
        <v>12.154</v>
      </c>
      <c r="BE112" s="5511"/>
      <c r="BF112" s="5433">
        <f t="shared" ref="BF112:BF132" si="348">+AX112+AZ112</f>
        <v>41.167000000000002</v>
      </c>
      <c r="BG112" s="26"/>
      <c r="BH112" s="26"/>
      <c r="BI112" s="26"/>
      <c r="BJ112" s="26"/>
    </row>
    <row r="113" spans="2:62" ht="21" customHeight="1" x14ac:dyDescent="0.25">
      <c r="B113" s="5450" t="s">
        <v>586</v>
      </c>
      <c r="C113" s="5458" t="s">
        <v>52</v>
      </c>
      <c r="D113" s="5432">
        <v>149.01340640729219</v>
      </c>
      <c r="E113" s="5496"/>
      <c r="F113" s="5501">
        <v>74</v>
      </c>
      <c r="G113" s="5496"/>
      <c r="H113" s="5501">
        <v>50</v>
      </c>
      <c r="I113" s="5511"/>
      <c r="J113" s="5492">
        <f t="shared" si="341"/>
        <v>124</v>
      </c>
      <c r="K113" s="5496"/>
      <c r="L113" s="5501">
        <v>65</v>
      </c>
      <c r="M113" s="5512"/>
      <c r="N113" s="5479">
        <f t="shared" si="334"/>
        <v>189</v>
      </c>
      <c r="O113" s="5496"/>
      <c r="P113" s="5501">
        <v>79</v>
      </c>
      <c r="Q113" s="5511"/>
      <c r="R113" s="5492">
        <f t="shared" si="342"/>
        <v>268</v>
      </c>
      <c r="S113" s="5496"/>
      <c r="T113" s="5494">
        <v>62</v>
      </c>
      <c r="U113" s="5511"/>
      <c r="V113" s="5492">
        <f t="shared" si="343"/>
        <v>330</v>
      </c>
      <c r="W113" s="5496"/>
      <c r="X113" s="5494">
        <v>74</v>
      </c>
      <c r="Y113" s="5512"/>
      <c r="Z113" s="5479">
        <f t="shared" si="335"/>
        <v>215</v>
      </c>
      <c r="AA113" s="5514"/>
      <c r="AB113" s="5482">
        <f t="shared" si="336"/>
        <v>404</v>
      </c>
      <c r="AC113" s="5496"/>
      <c r="AD113" s="5494">
        <v>106</v>
      </c>
      <c r="AE113" s="5511"/>
      <c r="AF113" s="5492">
        <f t="shared" si="344"/>
        <v>510</v>
      </c>
      <c r="AG113" s="5496"/>
      <c r="AH113" s="5494">
        <v>124</v>
      </c>
      <c r="AI113" s="5511"/>
      <c r="AJ113" s="5492">
        <f t="shared" si="345"/>
        <v>634</v>
      </c>
      <c r="AK113" s="5496"/>
      <c r="AL113" s="5494">
        <v>40</v>
      </c>
      <c r="AM113" s="5512"/>
      <c r="AN113" s="5479">
        <f t="shared" si="337"/>
        <v>270</v>
      </c>
      <c r="AO113" s="5511"/>
      <c r="AP113" s="5478">
        <f t="shared" si="338"/>
        <v>674</v>
      </c>
      <c r="AQ113" s="5496"/>
      <c r="AR113" s="5494">
        <v>51</v>
      </c>
      <c r="AS113" s="5511"/>
      <c r="AT113" s="5492">
        <f t="shared" si="346"/>
        <v>725</v>
      </c>
      <c r="AU113" s="5496"/>
      <c r="AV113" s="5494">
        <v>93</v>
      </c>
      <c r="AW113" s="5511"/>
      <c r="AX113" s="5492">
        <f t="shared" si="347"/>
        <v>818</v>
      </c>
      <c r="AY113" s="5496"/>
      <c r="AZ113" s="5494">
        <v>98</v>
      </c>
      <c r="BA113" s="5512"/>
      <c r="BB113" s="5479">
        <f t="shared" si="339"/>
        <v>242</v>
      </c>
      <c r="BC113" s="5514"/>
      <c r="BD113" s="5482">
        <f t="shared" si="340"/>
        <v>512</v>
      </c>
      <c r="BE113" s="5511"/>
      <c r="BF113" s="5433">
        <f t="shared" si="348"/>
        <v>916</v>
      </c>
      <c r="BG113" s="26"/>
      <c r="BH113" s="26"/>
      <c r="BI113" s="26"/>
      <c r="BJ113" s="26"/>
    </row>
    <row r="114" spans="2:62" ht="21" customHeight="1" x14ac:dyDescent="0.25">
      <c r="B114" s="5450" t="s">
        <v>727</v>
      </c>
      <c r="C114" s="5458" t="s">
        <v>52</v>
      </c>
      <c r="D114" s="5432">
        <v>13.041742161256916</v>
      </c>
      <c r="E114" s="5496"/>
      <c r="F114" s="5501">
        <v>15.2</v>
      </c>
      <c r="G114" s="5496"/>
      <c r="H114" s="5501">
        <v>5.57</v>
      </c>
      <c r="I114" s="5511"/>
      <c r="J114" s="5492">
        <f t="shared" si="341"/>
        <v>20.77</v>
      </c>
      <c r="K114" s="5496"/>
      <c r="L114" s="5501">
        <v>8.4550000000000001</v>
      </c>
      <c r="M114" s="5512"/>
      <c r="N114" s="5479">
        <f t="shared" si="334"/>
        <v>29.225000000000001</v>
      </c>
      <c r="O114" s="5496"/>
      <c r="P114" s="5501">
        <v>14.53</v>
      </c>
      <c r="Q114" s="5511"/>
      <c r="R114" s="5492">
        <f t="shared" si="342"/>
        <v>43.755000000000003</v>
      </c>
      <c r="S114" s="5496"/>
      <c r="T114" s="5494">
        <v>11.64</v>
      </c>
      <c r="U114" s="5511"/>
      <c r="V114" s="5492">
        <f t="shared" si="343"/>
        <v>55.395000000000003</v>
      </c>
      <c r="W114" s="5496"/>
      <c r="X114" s="5494">
        <v>13.505000000000001</v>
      </c>
      <c r="Y114" s="5512"/>
      <c r="Z114" s="5479">
        <f t="shared" si="335"/>
        <v>39.675000000000004</v>
      </c>
      <c r="AA114" s="5514"/>
      <c r="AB114" s="5482">
        <f t="shared" si="336"/>
        <v>68.900000000000006</v>
      </c>
      <c r="AC114" s="5496"/>
      <c r="AD114" s="5494">
        <v>18.53</v>
      </c>
      <c r="AE114" s="5511"/>
      <c r="AF114" s="5492">
        <f t="shared" si="344"/>
        <v>87.43</v>
      </c>
      <c r="AG114" s="5496"/>
      <c r="AH114" s="5494">
        <v>17.504999999999999</v>
      </c>
      <c r="AI114" s="5511"/>
      <c r="AJ114" s="5492">
        <f t="shared" si="345"/>
        <v>104.935</v>
      </c>
      <c r="AK114" s="5496"/>
      <c r="AL114" s="5494">
        <v>14.27</v>
      </c>
      <c r="AM114" s="5512"/>
      <c r="AN114" s="5479">
        <f t="shared" si="337"/>
        <v>50.305</v>
      </c>
      <c r="AO114" s="5511"/>
      <c r="AP114" s="5478">
        <f t="shared" si="338"/>
        <v>119.205</v>
      </c>
      <c r="AQ114" s="5496"/>
      <c r="AR114" s="5494">
        <v>8.23</v>
      </c>
      <c r="AS114" s="5511"/>
      <c r="AT114" s="5492">
        <f t="shared" si="346"/>
        <v>127.435</v>
      </c>
      <c r="AU114" s="5496"/>
      <c r="AV114" s="5494">
        <v>16.78</v>
      </c>
      <c r="AW114" s="5511"/>
      <c r="AX114" s="5492">
        <f t="shared" si="347"/>
        <v>144.215</v>
      </c>
      <c r="AY114" s="5496"/>
      <c r="AZ114" s="5494">
        <v>9.5500000000000007</v>
      </c>
      <c r="BA114" s="5512"/>
      <c r="BB114" s="5479">
        <f t="shared" si="339"/>
        <v>34.56</v>
      </c>
      <c r="BC114" s="5514"/>
      <c r="BD114" s="5482">
        <f t="shared" si="340"/>
        <v>84.865000000000009</v>
      </c>
      <c r="BE114" s="5511"/>
      <c r="BF114" s="5433">
        <f t="shared" si="348"/>
        <v>153.76500000000001</v>
      </c>
      <c r="BG114" s="26"/>
      <c r="BH114" s="26"/>
      <c r="BI114" s="26"/>
      <c r="BJ114" s="26"/>
    </row>
    <row r="115" spans="2:62" ht="21" customHeight="1" x14ac:dyDescent="0.25">
      <c r="B115" s="5450" t="s">
        <v>584</v>
      </c>
      <c r="C115" s="5458" t="s">
        <v>52</v>
      </c>
      <c r="D115" s="5432">
        <v>55.954072097355819</v>
      </c>
      <c r="E115" s="5496"/>
      <c r="F115" s="5501"/>
      <c r="G115" s="5496"/>
      <c r="H115" s="5501"/>
      <c r="I115" s="5511"/>
      <c r="J115" s="5492">
        <f t="shared" si="341"/>
        <v>0</v>
      </c>
      <c r="K115" s="5496"/>
      <c r="L115" s="5501"/>
      <c r="M115" s="5512"/>
      <c r="N115" s="5479">
        <f t="shared" si="334"/>
        <v>0</v>
      </c>
      <c r="O115" s="5496"/>
      <c r="P115" s="5501"/>
      <c r="Q115" s="5511"/>
      <c r="R115" s="5492">
        <f t="shared" si="342"/>
        <v>0</v>
      </c>
      <c r="S115" s="5496"/>
      <c r="T115" s="5494">
        <v>0</v>
      </c>
      <c r="U115" s="5511"/>
      <c r="V115" s="5492">
        <f t="shared" si="343"/>
        <v>0</v>
      </c>
      <c r="W115" s="5496"/>
      <c r="X115" s="5494">
        <v>0</v>
      </c>
      <c r="Y115" s="5512"/>
      <c r="Z115" s="5479">
        <f t="shared" si="335"/>
        <v>0</v>
      </c>
      <c r="AA115" s="5514"/>
      <c r="AB115" s="5482">
        <f t="shared" si="336"/>
        <v>0</v>
      </c>
      <c r="AC115" s="5496"/>
      <c r="AD115" s="5494"/>
      <c r="AE115" s="5511"/>
      <c r="AF115" s="5492">
        <f t="shared" si="344"/>
        <v>0</v>
      </c>
      <c r="AG115" s="5496"/>
      <c r="AH115" s="5494"/>
      <c r="AI115" s="5511"/>
      <c r="AJ115" s="5492">
        <f t="shared" si="345"/>
        <v>0</v>
      </c>
      <c r="AK115" s="5496"/>
      <c r="AL115" s="5494"/>
      <c r="AM115" s="5512"/>
      <c r="AN115" s="5479">
        <f t="shared" si="337"/>
        <v>0</v>
      </c>
      <c r="AO115" s="5511"/>
      <c r="AP115" s="5478">
        <f t="shared" si="338"/>
        <v>0</v>
      </c>
      <c r="AQ115" s="5496"/>
      <c r="AR115" s="5494"/>
      <c r="AS115" s="5511"/>
      <c r="AT115" s="5492">
        <f t="shared" si="346"/>
        <v>0</v>
      </c>
      <c r="AU115" s="5496"/>
      <c r="AV115" s="5494"/>
      <c r="AW115" s="5511"/>
      <c r="AX115" s="5492">
        <f t="shared" si="347"/>
        <v>0</v>
      </c>
      <c r="AY115" s="5496"/>
      <c r="AZ115" s="5494"/>
      <c r="BA115" s="5512"/>
      <c r="BB115" s="5479">
        <f t="shared" si="339"/>
        <v>0</v>
      </c>
      <c r="BC115" s="5514"/>
      <c r="BD115" s="5482">
        <f t="shared" si="340"/>
        <v>0</v>
      </c>
      <c r="BE115" s="5511"/>
      <c r="BF115" s="5433">
        <f t="shared" si="348"/>
        <v>0</v>
      </c>
      <c r="BG115" s="26"/>
      <c r="BH115" s="26"/>
      <c r="BI115" s="26"/>
      <c r="BJ115" s="26"/>
    </row>
    <row r="116" spans="2:62" ht="21" customHeight="1" x14ac:dyDescent="0.25">
      <c r="B116" s="5450" t="s">
        <v>829</v>
      </c>
      <c r="C116" s="5458" t="s">
        <v>52</v>
      </c>
      <c r="D116" s="5432"/>
      <c r="E116" s="5496"/>
      <c r="F116" s="5501"/>
      <c r="G116" s="5496"/>
      <c r="H116" s="5501"/>
      <c r="I116" s="5511"/>
      <c r="J116" s="5492">
        <f t="shared" si="341"/>
        <v>0</v>
      </c>
      <c r="K116" s="5496"/>
      <c r="L116" s="5501"/>
      <c r="M116" s="5512"/>
      <c r="N116" s="5479">
        <f t="shared" si="334"/>
        <v>0</v>
      </c>
      <c r="O116" s="5496"/>
      <c r="P116" s="5501"/>
      <c r="Q116" s="5511"/>
      <c r="R116" s="5492">
        <f t="shared" si="342"/>
        <v>0</v>
      </c>
      <c r="S116" s="5496"/>
      <c r="T116" s="5494">
        <v>0</v>
      </c>
      <c r="U116" s="5511"/>
      <c r="V116" s="5492">
        <f t="shared" si="343"/>
        <v>0</v>
      </c>
      <c r="W116" s="5496"/>
      <c r="X116" s="5494">
        <v>0</v>
      </c>
      <c r="Y116" s="5512"/>
      <c r="Z116" s="5479">
        <f t="shared" si="335"/>
        <v>0</v>
      </c>
      <c r="AA116" s="5514"/>
      <c r="AB116" s="5482">
        <f t="shared" si="336"/>
        <v>0</v>
      </c>
      <c r="AC116" s="5496"/>
      <c r="AD116" s="5494"/>
      <c r="AE116" s="5511"/>
      <c r="AF116" s="5492">
        <f t="shared" si="344"/>
        <v>0</v>
      </c>
      <c r="AG116" s="5496"/>
      <c r="AH116" s="5494"/>
      <c r="AI116" s="5511"/>
      <c r="AJ116" s="5492">
        <f t="shared" si="345"/>
        <v>0</v>
      </c>
      <c r="AK116" s="5496"/>
      <c r="AL116" s="5494"/>
      <c r="AM116" s="5512"/>
      <c r="AN116" s="5479">
        <f t="shared" si="337"/>
        <v>0</v>
      </c>
      <c r="AO116" s="5511"/>
      <c r="AP116" s="5478">
        <f t="shared" si="338"/>
        <v>0</v>
      </c>
      <c r="AQ116" s="5496"/>
      <c r="AR116" s="5494"/>
      <c r="AS116" s="5511"/>
      <c r="AT116" s="5492">
        <f t="shared" si="346"/>
        <v>0</v>
      </c>
      <c r="AU116" s="5496"/>
      <c r="AV116" s="5494"/>
      <c r="AW116" s="5511"/>
      <c r="AX116" s="5492">
        <f t="shared" si="347"/>
        <v>0</v>
      </c>
      <c r="AY116" s="5496"/>
      <c r="AZ116" s="5494"/>
      <c r="BA116" s="5512"/>
      <c r="BB116" s="5479">
        <f t="shared" si="339"/>
        <v>0</v>
      </c>
      <c r="BC116" s="5514"/>
      <c r="BD116" s="5482">
        <f t="shared" si="340"/>
        <v>0</v>
      </c>
      <c r="BE116" s="5511"/>
      <c r="BF116" s="5433">
        <f t="shared" si="348"/>
        <v>0</v>
      </c>
      <c r="BG116" s="26"/>
      <c r="BH116" s="26"/>
      <c r="BI116" s="26"/>
      <c r="BJ116" s="26"/>
    </row>
    <row r="117" spans="2:62" ht="21" customHeight="1" x14ac:dyDescent="0.25">
      <c r="B117" s="5450" t="s">
        <v>629</v>
      </c>
      <c r="C117" s="5458" t="s">
        <v>52</v>
      </c>
      <c r="D117" s="5432"/>
      <c r="E117" s="5496"/>
      <c r="F117" s="5501">
        <v>75.12</v>
      </c>
      <c r="G117" s="5496"/>
      <c r="H117" s="5501">
        <v>58.65</v>
      </c>
      <c r="I117" s="5511"/>
      <c r="J117" s="5492">
        <f t="shared" si="341"/>
        <v>133.77000000000001</v>
      </c>
      <c r="K117" s="5496"/>
      <c r="L117" s="5501">
        <v>57.707000000000001</v>
      </c>
      <c r="M117" s="5512"/>
      <c r="N117" s="5479">
        <f t="shared" si="334"/>
        <v>191.477</v>
      </c>
      <c r="O117" s="5496"/>
      <c r="P117" s="5501">
        <v>76.59</v>
      </c>
      <c r="Q117" s="5511"/>
      <c r="R117" s="5492">
        <f t="shared" si="342"/>
        <v>268.06700000000001</v>
      </c>
      <c r="S117" s="5496"/>
      <c r="T117" s="5494">
        <v>80</v>
      </c>
      <c r="U117" s="5511"/>
      <c r="V117" s="5492">
        <f t="shared" si="343"/>
        <v>348.06700000000001</v>
      </c>
      <c r="W117" s="5496"/>
      <c r="X117" s="5487">
        <v>74.998000000000005</v>
      </c>
      <c r="Y117" s="5512"/>
      <c r="Z117" s="5479">
        <f t="shared" si="335"/>
        <v>231.58799999999999</v>
      </c>
      <c r="AA117" s="5514"/>
      <c r="AB117" s="5486">
        <f t="shared" si="336"/>
        <v>423.065</v>
      </c>
      <c r="AC117" s="5496"/>
      <c r="AD117" s="5487">
        <v>76.335999999999999</v>
      </c>
      <c r="AE117" s="5511"/>
      <c r="AF117" s="5492">
        <f t="shared" si="344"/>
        <v>499.40100000000001</v>
      </c>
      <c r="AG117" s="5496"/>
      <c r="AH117" s="5494">
        <v>74.221000000000004</v>
      </c>
      <c r="AI117" s="5511"/>
      <c r="AJ117" s="5492">
        <f t="shared" si="345"/>
        <v>573.62200000000007</v>
      </c>
      <c r="AK117" s="5496"/>
      <c r="AL117" s="5487">
        <v>82</v>
      </c>
      <c r="AM117" s="5512"/>
      <c r="AN117" s="5479">
        <f t="shared" si="337"/>
        <v>232.55700000000002</v>
      </c>
      <c r="AO117" s="5511"/>
      <c r="AP117" s="5478">
        <f t="shared" si="338"/>
        <v>655.62200000000007</v>
      </c>
      <c r="AQ117" s="5496"/>
      <c r="AR117" s="5487">
        <v>80.832999999999998</v>
      </c>
      <c r="AS117" s="5511"/>
      <c r="AT117" s="5492">
        <f t="shared" si="346"/>
        <v>736.45500000000004</v>
      </c>
      <c r="AU117" s="5496"/>
      <c r="AV117" s="5487">
        <v>58.871000000000002</v>
      </c>
      <c r="AW117" s="5511"/>
      <c r="AX117" s="5492">
        <f t="shared" si="347"/>
        <v>795.32600000000002</v>
      </c>
      <c r="AY117" s="5496"/>
      <c r="AZ117" s="5487">
        <v>65.564999999999998</v>
      </c>
      <c r="BA117" s="5512"/>
      <c r="BB117" s="5479">
        <f t="shared" si="339"/>
        <v>205.26900000000001</v>
      </c>
      <c r="BC117" s="5514"/>
      <c r="BD117" s="5482">
        <f t="shared" si="340"/>
        <v>437.82600000000002</v>
      </c>
      <c r="BE117" s="5511"/>
      <c r="BF117" s="5433">
        <f t="shared" si="348"/>
        <v>860.89100000000008</v>
      </c>
      <c r="BG117" s="26"/>
      <c r="BH117" s="26"/>
      <c r="BI117" s="26"/>
      <c r="BJ117" s="26"/>
    </row>
    <row r="118" spans="2:62" ht="21" customHeight="1" x14ac:dyDescent="0.25">
      <c r="B118" s="5450" t="s">
        <v>868</v>
      </c>
      <c r="C118" s="5458" t="s">
        <v>52</v>
      </c>
      <c r="D118" s="5432"/>
      <c r="E118" s="5496"/>
      <c r="F118" s="5501"/>
      <c r="G118" s="5496"/>
      <c r="H118" s="5501"/>
      <c r="I118" s="5511"/>
      <c r="J118" s="5492">
        <f t="shared" si="341"/>
        <v>0</v>
      </c>
      <c r="K118" s="5496"/>
      <c r="L118" s="5501"/>
      <c r="M118" s="5512"/>
      <c r="N118" s="5479">
        <f t="shared" si="334"/>
        <v>0</v>
      </c>
      <c r="O118" s="5496"/>
      <c r="P118" s="5501"/>
      <c r="Q118" s="5511"/>
      <c r="R118" s="5492">
        <f t="shared" si="342"/>
        <v>0</v>
      </c>
      <c r="S118" s="5496"/>
      <c r="T118" s="5494"/>
      <c r="U118" s="5511"/>
      <c r="V118" s="5492">
        <f t="shared" si="343"/>
        <v>0</v>
      </c>
      <c r="W118" s="5496"/>
      <c r="X118" s="5494"/>
      <c r="Y118" s="5512"/>
      <c r="Z118" s="5479">
        <f t="shared" si="335"/>
        <v>0</v>
      </c>
      <c r="AA118" s="5514"/>
      <c r="AB118" s="5482">
        <f t="shared" si="336"/>
        <v>0</v>
      </c>
      <c r="AC118" s="5496"/>
      <c r="AD118" s="5494"/>
      <c r="AE118" s="5511"/>
      <c r="AF118" s="5492">
        <f t="shared" si="344"/>
        <v>0</v>
      </c>
      <c r="AG118" s="5496"/>
      <c r="AH118" s="5494"/>
      <c r="AI118" s="5511"/>
      <c r="AJ118" s="5492">
        <f t="shared" si="345"/>
        <v>0</v>
      </c>
      <c r="AK118" s="5496"/>
      <c r="AL118" s="5494"/>
      <c r="AM118" s="5512"/>
      <c r="AN118" s="5479">
        <f t="shared" si="337"/>
        <v>0</v>
      </c>
      <c r="AO118" s="5511"/>
      <c r="AP118" s="5478">
        <f t="shared" si="338"/>
        <v>0</v>
      </c>
      <c r="AQ118" s="5496"/>
      <c r="AR118" s="5494"/>
      <c r="AS118" s="5511"/>
      <c r="AT118" s="5492">
        <f t="shared" si="346"/>
        <v>0</v>
      </c>
      <c r="AU118" s="5496"/>
      <c r="AV118" s="5494"/>
      <c r="AW118" s="5511"/>
      <c r="AX118" s="5492">
        <f t="shared" si="347"/>
        <v>0</v>
      </c>
      <c r="AY118" s="5496"/>
      <c r="AZ118" s="5494"/>
      <c r="BA118" s="5512"/>
      <c r="BB118" s="5479">
        <f t="shared" si="339"/>
        <v>0</v>
      </c>
      <c r="BC118" s="5514"/>
      <c r="BD118" s="5482">
        <f t="shared" si="340"/>
        <v>0</v>
      </c>
      <c r="BE118" s="5511"/>
      <c r="BF118" s="5433">
        <f t="shared" si="348"/>
        <v>0</v>
      </c>
      <c r="BG118" s="26"/>
      <c r="BH118" s="26"/>
      <c r="BI118" s="26"/>
      <c r="BJ118" s="26"/>
    </row>
    <row r="119" spans="2:62" ht="21" customHeight="1" x14ac:dyDescent="0.25">
      <c r="B119" s="5450" t="s">
        <v>728</v>
      </c>
      <c r="C119" s="5458" t="s">
        <v>52</v>
      </c>
      <c r="D119" s="5432">
        <v>9.6065614325540682</v>
      </c>
      <c r="E119" s="5496"/>
      <c r="F119" s="5501">
        <v>5</v>
      </c>
      <c r="G119" s="5496"/>
      <c r="H119" s="5501">
        <v>2.25</v>
      </c>
      <c r="I119" s="5511"/>
      <c r="J119" s="5492">
        <f t="shared" si="341"/>
        <v>7.25</v>
      </c>
      <c r="K119" s="5496"/>
      <c r="L119" s="5501">
        <v>3.2</v>
      </c>
      <c r="M119" s="5512"/>
      <c r="N119" s="5479">
        <f t="shared" si="334"/>
        <v>10.45</v>
      </c>
      <c r="O119" s="5496"/>
      <c r="P119" s="5501">
        <v>3.7</v>
      </c>
      <c r="Q119" s="5511"/>
      <c r="R119" s="5492">
        <f t="shared" si="342"/>
        <v>14.149999999999999</v>
      </c>
      <c r="S119" s="5496"/>
      <c r="T119" s="5494">
        <v>4.3</v>
      </c>
      <c r="U119" s="5511"/>
      <c r="V119" s="5492">
        <f t="shared" si="343"/>
        <v>18.45</v>
      </c>
      <c r="W119" s="5496"/>
      <c r="X119" s="5494">
        <v>2.7</v>
      </c>
      <c r="Y119" s="5512"/>
      <c r="Z119" s="5479">
        <f t="shared" si="335"/>
        <v>10.7</v>
      </c>
      <c r="AA119" s="5514"/>
      <c r="AB119" s="5482">
        <f t="shared" si="336"/>
        <v>21.15</v>
      </c>
      <c r="AC119" s="5496"/>
      <c r="AD119" s="5494">
        <v>4.915</v>
      </c>
      <c r="AE119" s="5511"/>
      <c r="AF119" s="5492">
        <f t="shared" si="344"/>
        <v>26.064999999999998</v>
      </c>
      <c r="AG119" s="5496"/>
      <c r="AH119" s="5494">
        <v>2.8450000000000002</v>
      </c>
      <c r="AI119" s="5511"/>
      <c r="AJ119" s="5492">
        <f t="shared" si="345"/>
        <v>28.909999999999997</v>
      </c>
      <c r="AK119" s="5496"/>
      <c r="AL119" s="5494">
        <v>6.95</v>
      </c>
      <c r="AM119" s="5512"/>
      <c r="AN119" s="5479">
        <f t="shared" si="337"/>
        <v>14.71</v>
      </c>
      <c r="AO119" s="5511"/>
      <c r="AP119" s="5478">
        <f t="shared" si="338"/>
        <v>35.86</v>
      </c>
      <c r="AQ119" s="5496"/>
      <c r="AR119" s="5494">
        <v>6.26</v>
      </c>
      <c r="AS119" s="5511"/>
      <c r="AT119" s="5492">
        <f t="shared" si="346"/>
        <v>42.12</v>
      </c>
      <c r="AU119" s="5496"/>
      <c r="AV119" s="5494">
        <v>4.9000000000000004</v>
      </c>
      <c r="AW119" s="5511"/>
      <c r="AX119" s="5492">
        <f t="shared" si="347"/>
        <v>47.019999999999996</v>
      </c>
      <c r="AY119" s="5496"/>
      <c r="AZ119" s="5494">
        <v>5.55</v>
      </c>
      <c r="BA119" s="5512"/>
      <c r="BB119" s="5479">
        <f t="shared" si="339"/>
        <v>16.71</v>
      </c>
      <c r="BC119" s="5514"/>
      <c r="BD119" s="5482">
        <f t="shared" si="340"/>
        <v>31.42</v>
      </c>
      <c r="BE119" s="5511"/>
      <c r="BF119" s="5433">
        <f t="shared" si="348"/>
        <v>52.569999999999993</v>
      </c>
      <c r="BG119" s="26"/>
      <c r="BH119" s="26"/>
      <c r="BI119" s="26"/>
      <c r="BJ119" s="26"/>
    </row>
    <row r="120" spans="2:62" ht="21" customHeight="1" x14ac:dyDescent="0.25">
      <c r="B120" s="5450" t="s">
        <v>585</v>
      </c>
      <c r="C120" s="5458" t="s">
        <v>52</v>
      </c>
      <c r="D120" s="5405"/>
      <c r="E120" s="5496"/>
      <c r="F120" s="5501"/>
      <c r="G120" s="5496"/>
      <c r="H120" s="5501"/>
      <c r="I120" s="5511"/>
      <c r="J120" s="5492">
        <f t="shared" si="341"/>
        <v>0</v>
      </c>
      <c r="K120" s="5496"/>
      <c r="L120" s="5501">
        <v>0.26500000000000001</v>
      </c>
      <c r="M120" s="5512"/>
      <c r="N120" s="5479">
        <f t="shared" si="334"/>
        <v>0.26500000000000001</v>
      </c>
      <c r="O120" s="5496"/>
      <c r="P120" s="5501">
        <v>0.81</v>
      </c>
      <c r="Q120" s="5511"/>
      <c r="R120" s="5492">
        <f t="shared" si="342"/>
        <v>1.0750000000000002</v>
      </c>
      <c r="S120" s="5496"/>
      <c r="T120" s="5494">
        <v>0.9</v>
      </c>
      <c r="U120" s="5511"/>
      <c r="V120" s="5492">
        <f t="shared" si="343"/>
        <v>1.9750000000000001</v>
      </c>
      <c r="W120" s="5496"/>
      <c r="X120" s="5494">
        <v>0.48</v>
      </c>
      <c r="Y120" s="5512"/>
      <c r="Z120" s="5479">
        <f t="shared" si="335"/>
        <v>2.19</v>
      </c>
      <c r="AA120" s="5514"/>
      <c r="AB120" s="5482">
        <f t="shared" si="336"/>
        <v>2.4550000000000001</v>
      </c>
      <c r="AC120" s="5496"/>
      <c r="AD120" s="5494">
        <v>0.91500000000000004</v>
      </c>
      <c r="AE120" s="5511"/>
      <c r="AF120" s="5492">
        <f t="shared" si="344"/>
        <v>3.37</v>
      </c>
      <c r="AG120" s="5496"/>
      <c r="AH120" s="5494">
        <v>1.2</v>
      </c>
      <c r="AI120" s="5511"/>
      <c r="AJ120" s="5492">
        <f t="shared" si="345"/>
        <v>4.57</v>
      </c>
      <c r="AK120" s="5496"/>
      <c r="AL120" s="5494">
        <v>0.45</v>
      </c>
      <c r="AM120" s="5512"/>
      <c r="AN120" s="5479">
        <f t="shared" si="337"/>
        <v>2.5649999999999999</v>
      </c>
      <c r="AO120" s="5511"/>
      <c r="AP120" s="5478">
        <f t="shared" si="338"/>
        <v>5.0200000000000005</v>
      </c>
      <c r="AQ120" s="5496"/>
      <c r="AR120" s="5494">
        <v>0.33</v>
      </c>
      <c r="AS120" s="5511"/>
      <c r="AT120" s="5492">
        <f t="shared" si="346"/>
        <v>5.3500000000000005</v>
      </c>
      <c r="AU120" s="5496"/>
      <c r="AV120" s="5494">
        <v>0.88200000000000001</v>
      </c>
      <c r="AW120" s="5511"/>
      <c r="AX120" s="5492">
        <f t="shared" si="347"/>
        <v>6.2320000000000002</v>
      </c>
      <c r="AY120" s="5496"/>
      <c r="AZ120" s="5494">
        <v>0.29399999999999998</v>
      </c>
      <c r="BA120" s="5512"/>
      <c r="BB120" s="5479">
        <f t="shared" si="339"/>
        <v>1.506</v>
      </c>
      <c r="BC120" s="5514"/>
      <c r="BD120" s="5482">
        <f t="shared" si="340"/>
        <v>4.0709999999999997</v>
      </c>
      <c r="BE120" s="5511"/>
      <c r="BF120" s="5433">
        <f t="shared" si="348"/>
        <v>6.5259999999999998</v>
      </c>
      <c r="BG120" s="26"/>
      <c r="BH120" s="26"/>
      <c r="BI120" s="26"/>
      <c r="BJ120" s="26"/>
    </row>
    <row r="121" spans="2:62" ht="21" customHeight="1" x14ac:dyDescent="0.25">
      <c r="B121" s="5450" t="s">
        <v>1475</v>
      </c>
      <c r="C121" s="5458" t="s">
        <v>52</v>
      </c>
      <c r="D121" s="5405"/>
      <c r="E121" s="5496"/>
      <c r="F121" s="5501">
        <v>4.01</v>
      </c>
      <c r="G121" s="5496"/>
      <c r="H121" s="5501"/>
      <c r="I121" s="5511"/>
      <c r="J121" s="5492">
        <f t="shared" si="341"/>
        <v>4.01</v>
      </c>
      <c r="K121" s="5496"/>
      <c r="L121" s="5501"/>
      <c r="M121" s="5512"/>
      <c r="N121" s="5479">
        <f t="shared" si="334"/>
        <v>4.01</v>
      </c>
      <c r="O121" s="5496"/>
      <c r="P121" s="5501"/>
      <c r="Q121" s="5511"/>
      <c r="R121" s="5492">
        <f t="shared" si="342"/>
        <v>4.01</v>
      </c>
      <c r="S121" s="5496"/>
      <c r="T121" s="5494">
        <v>9.89</v>
      </c>
      <c r="U121" s="5511"/>
      <c r="V121" s="5492">
        <f t="shared" si="343"/>
        <v>13.9</v>
      </c>
      <c r="W121" s="5496"/>
      <c r="X121" s="5494">
        <v>0</v>
      </c>
      <c r="Y121" s="5512"/>
      <c r="Z121" s="5479">
        <f t="shared" si="335"/>
        <v>9.89</v>
      </c>
      <c r="AA121" s="5514"/>
      <c r="AB121" s="5482">
        <f t="shared" si="336"/>
        <v>13.9</v>
      </c>
      <c r="AC121" s="5496"/>
      <c r="AD121" s="5494">
        <v>6</v>
      </c>
      <c r="AE121" s="5511"/>
      <c r="AF121" s="5492">
        <f t="shared" si="344"/>
        <v>19.899999999999999</v>
      </c>
      <c r="AG121" s="5496"/>
      <c r="AH121" s="5494"/>
      <c r="AI121" s="5511"/>
      <c r="AJ121" s="5492">
        <f t="shared" si="345"/>
        <v>19.899999999999999</v>
      </c>
      <c r="AK121" s="5496"/>
      <c r="AL121" s="5494"/>
      <c r="AM121" s="5512"/>
      <c r="AN121" s="5479">
        <f t="shared" si="337"/>
        <v>6</v>
      </c>
      <c r="AO121" s="5511"/>
      <c r="AP121" s="5478">
        <f t="shared" si="338"/>
        <v>19.899999999999999</v>
      </c>
      <c r="AQ121" s="5496"/>
      <c r="AR121" s="5494"/>
      <c r="AS121" s="5511"/>
      <c r="AT121" s="5492">
        <f t="shared" si="346"/>
        <v>19.899999999999999</v>
      </c>
      <c r="AU121" s="5496"/>
      <c r="AV121" s="5494"/>
      <c r="AW121" s="5511"/>
      <c r="AX121" s="5492">
        <f t="shared" si="347"/>
        <v>19.899999999999999</v>
      </c>
      <c r="AY121" s="5496"/>
      <c r="AZ121" s="5494"/>
      <c r="BA121" s="5512"/>
      <c r="BB121" s="5479">
        <f t="shared" si="339"/>
        <v>0</v>
      </c>
      <c r="BC121" s="5514"/>
      <c r="BD121" s="5482">
        <f t="shared" si="340"/>
        <v>6</v>
      </c>
      <c r="BE121" s="5511"/>
      <c r="BF121" s="5433">
        <f t="shared" si="348"/>
        <v>19.899999999999999</v>
      </c>
      <c r="BG121" s="26"/>
      <c r="BH121" s="26"/>
      <c r="BI121" s="26"/>
      <c r="BJ121" s="26"/>
    </row>
    <row r="122" spans="2:62" ht="21" customHeight="1" x14ac:dyDescent="0.25">
      <c r="B122" s="5450" t="s">
        <v>961</v>
      </c>
      <c r="C122" s="5458" t="s">
        <v>52</v>
      </c>
      <c r="D122" s="5405"/>
      <c r="E122" s="5496"/>
      <c r="F122" s="5501">
        <v>211</v>
      </c>
      <c r="G122" s="5496"/>
      <c r="H122" s="5501">
        <v>60</v>
      </c>
      <c r="I122" s="5511"/>
      <c r="J122" s="5492">
        <f t="shared" si="341"/>
        <v>271</v>
      </c>
      <c r="K122" s="5496"/>
      <c r="L122" s="5501">
        <v>5.5</v>
      </c>
      <c r="M122" s="5512"/>
      <c r="N122" s="5479">
        <f t="shared" si="334"/>
        <v>276.5</v>
      </c>
      <c r="O122" s="5496"/>
      <c r="P122" s="5501">
        <v>18.5</v>
      </c>
      <c r="Q122" s="5511"/>
      <c r="R122" s="5492">
        <f t="shared" si="342"/>
        <v>295</v>
      </c>
      <c r="S122" s="5496"/>
      <c r="T122" s="5494">
        <v>0</v>
      </c>
      <c r="U122" s="5511"/>
      <c r="V122" s="5492">
        <f t="shared" si="343"/>
        <v>295</v>
      </c>
      <c r="W122" s="5496"/>
      <c r="X122" s="5494">
        <v>14</v>
      </c>
      <c r="Y122" s="5512"/>
      <c r="Z122" s="5479">
        <f t="shared" si="335"/>
        <v>32.5</v>
      </c>
      <c r="AA122" s="5514"/>
      <c r="AB122" s="5482">
        <f t="shared" si="336"/>
        <v>309</v>
      </c>
      <c r="AC122" s="5496"/>
      <c r="AD122" s="5494"/>
      <c r="AE122" s="5511"/>
      <c r="AF122" s="5492">
        <f t="shared" si="344"/>
        <v>309</v>
      </c>
      <c r="AG122" s="5496"/>
      <c r="AH122" s="5494">
        <v>98.5</v>
      </c>
      <c r="AI122" s="5511"/>
      <c r="AJ122" s="5492">
        <f t="shared" si="345"/>
        <v>407.5</v>
      </c>
      <c r="AK122" s="5496"/>
      <c r="AL122" s="5494"/>
      <c r="AM122" s="5512"/>
      <c r="AN122" s="5479">
        <f t="shared" si="337"/>
        <v>98.5</v>
      </c>
      <c r="AO122" s="5511"/>
      <c r="AP122" s="5478">
        <f t="shared" si="338"/>
        <v>407.5</v>
      </c>
      <c r="AQ122" s="5496"/>
      <c r="AR122" s="5494"/>
      <c r="AS122" s="5511"/>
      <c r="AT122" s="5492">
        <f t="shared" si="346"/>
        <v>407.5</v>
      </c>
      <c r="AU122" s="5496"/>
      <c r="AV122" s="5494"/>
      <c r="AW122" s="5511"/>
      <c r="AX122" s="5492">
        <f t="shared" si="347"/>
        <v>407.5</v>
      </c>
      <c r="AY122" s="5496"/>
      <c r="AZ122" s="5494"/>
      <c r="BA122" s="5512"/>
      <c r="BB122" s="5479">
        <f t="shared" si="339"/>
        <v>0</v>
      </c>
      <c r="BC122" s="5514"/>
      <c r="BD122" s="5482">
        <f t="shared" si="340"/>
        <v>98.5</v>
      </c>
      <c r="BE122" s="5511"/>
      <c r="BF122" s="5433">
        <f t="shared" si="348"/>
        <v>407.5</v>
      </c>
      <c r="BG122" s="26"/>
      <c r="BH122" s="26"/>
      <c r="BI122" s="26"/>
      <c r="BJ122" s="26"/>
    </row>
    <row r="123" spans="2:62" ht="21" customHeight="1" x14ac:dyDescent="0.25">
      <c r="B123" s="5450" t="s">
        <v>1074</v>
      </c>
      <c r="C123" s="5458" t="s">
        <v>52</v>
      </c>
      <c r="D123" s="5404"/>
      <c r="E123" s="5496"/>
      <c r="F123" s="5501">
        <v>9.125</v>
      </c>
      <c r="G123" s="5496"/>
      <c r="H123" s="5501">
        <v>6.0330000000000004</v>
      </c>
      <c r="I123" s="5511"/>
      <c r="J123" s="5492">
        <f t="shared" si="341"/>
        <v>15.158000000000001</v>
      </c>
      <c r="K123" s="5496"/>
      <c r="L123" s="5501">
        <v>6.7839999999999998</v>
      </c>
      <c r="M123" s="5512"/>
      <c r="N123" s="5479">
        <f t="shared" si="334"/>
        <v>21.942</v>
      </c>
      <c r="O123" s="5496"/>
      <c r="P123" s="5501">
        <v>9.2469999999999999</v>
      </c>
      <c r="Q123" s="5511"/>
      <c r="R123" s="5492">
        <f t="shared" si="342"/>
        <v>31.189</v>
      </c>
      <c r="S123" s="5496"/>
      <c r="T123" s="5494">
        <v>7.5019999999999998</v>
      </c>
      <c r="U123" s="5511"/>
      <c r="V123" s="5492">
        <f t="shared" si="343"/>
        <v>38.691000000000003</v>
      </c>
      <c r="W123" s="5496"/>
      <c r="X123" s="5494">
        <v>7.9850000000000003</v>
      </c>
      <c r="Y123" s="5512"/>
      <c r="Z123" s="5479">
        <f t="shared" si="335"/>
        <v>24.734000000000002</v>
      </c>
      <c r="AA123" s="5514"/>
      <c r="AB123" s="5482">
        <f t="shared" si="336"/>
        <v>46.676000000000002</v>
      </c>
      <c r="AC123" s="5496"/>
      <c r="AD123" s="5494">
        <v>9.0570000000000004</v>
      </c>
      <c r="AE123" s="5511"/>
      <c r="AF123" s="5492">
        <f t="shared" si="344"/>
        <v>55.733000000000004</v>
      </c>
      <c r="AG123" s="5496"/>
      <c r="AH123" s="5494">
        <v>7.0060000000000002</v>
      </c>
      <c r="AI123" s="5511"/>
      <c r="AJ123" s="5492">
        <f t="shared" si="345"/>
        <v>62.739000000000004</v>
      </c>
      <c r="AK123" s="5496"/>
      <c r="AL123" s="5494">
        <v>8.0259999999999998</v>
      </c>
      <c r="AM123" s="5512"/>
      <c r="AN123" s="5479">
        <f t="shared" si="337"/>
        <v>24.088999999999999</v>
      </c>
      <c r="AO123" s="5511"/>
      <c r="AP123" s="5478">
        <f t="shared" si="338"/>
        <v>70.765000000000001</v>
      </c>
      <c r="AQ123" s="5496"/>
      <c r="AR123" s="5494">
        <v>7.0309999999999997</v>
      </c>
      <c r="AS123" s="5511"/>
      <c r="AT123" s="5492">
        <f t="shared" si="346"/>
        <v>77.796000000000006</v>
      </c>
      <c r="AU123" s="5496"/>
      <c r="AV123" s="5494">
        <v>6.5190000000000001</v>
      </c>
      <c r="AW123" s="5511"/>
      <c r="AX123" s="5492">
        <f t="shared" si="347"/>
        <v>84.315000000000012</v>
      </c>
      <c r="AY123" s="5496"/>
      <c r="AZ123" s="5494">
        <v>7.3719999999999999</v>
      </c>
      <c r="BA123" s="5512"/>
      <c r="BB123" s="5479">
        <f t="shared" si="339"/>
        <v>20.922000000000001</v>
      </c>
      <c r="BC123" s="5514"/>
      <c r="BD123" s="5482">
        <f t="shared" si="340"/>
        <v>45.010999999999996</v>
      </c>
      <c r="BE123" s="5511"/>
      <c r="BF123" s="5433">
        <f t="shared" si="348"/>
        <v>91.687000000000012</v>
      </c>
      <c r="BG123" s="26"/>
      <c r="BH123" s="26"/>
      <c r="BI123" s="26"/>
      <c r="BJ123" s="26"/>
    </row>
    <row r="124" spans="2:62" ht="21" customHeight="1" x14ac:dyDescent="0.25">
      <c r="B124" s="5450" t="s">
        <v>1477</v>
      </c>
      <c r="C124" s="5458" t="s">
        <v>52</v>
      </c>
      <c r="D124" s="5404"/>
      <c r="E124" s="5496"/>
      <c r="F124" s="5501">
        <v>9.7100000000000009</v>
      </c>
      <c r="G124" s="5496"/>
      <c r="H124" s="5501"/>
      <c r="I124" s="5511"/>
      <c r="J124" s="5492">
        <f t="shared" si="341"/>
        <v>9.7100000000000009</v>
      </c>
      <c r="K124" s="5496"/>
      <c r="L124" s="5501"/>
      <c r="M124" s="5512"/>
      <c r="N124" s="5479">
        <f t="shared" si="334"/>
        <v>9.7100000000000009</v>
      </c>
      <c r="O124" s="5496"/>
      <c r="P124" s="5501"/>
      <c r="Q124" s="5511"/>
      <c r="R124" s="5492">
        <f t="shared" si="342"/>
        <v>9.7100000000000009</v>
      </c>
      <c r="S124" s="5496"/>
      <c r="T124" s="5494">
        <v>0</v>
      </c>
      <c r="U124" s="5511"/>
      <c r="V124" s="5492">
        <f t="shared" si="343"/>
        <v>9.7100000000000009</v>
      </c>
      <c r="W124" s="5496"/>
      <c r="X124" s="5494">
        <v>0</v>
      </c>
      <c r="Y124" s="5512"/>
      <c r="Z124" s="5479">
        <f t="shared" si="335"/>
        <v>0</v>
      </c>
      <c r="AA124" s="5514"/>
      <c r="AB124" s="5482">
        <f t="shared" si="336"/>
        <v>9.7100000000000009</v>
      </c>
      <c r="AC124" s="5496"/>
      <c r="AD124" s="5494"/>
      <c r="AE124" s="5511"/>
      <c r="AF124" s="5492">
        <f t="shared" si="344"/>
        <v>9.7100000000000009</v>
      </c>
      <c r="AG124" s="5496"/>
      <c r="AH124" s="5494"/>
      <c r="AI124" s="5511"/>
      <c r="AJ124" s="5492">
        <f t="shared" si="345"/>
        <v>9.7100000000000009</v>
      </c>
      <c r="AK124" s="5496"/>
      <c r="AL124" s="5494"/>
      <c r="AM124" s="5512"/>
      <c r="AN124" s="5479">
        <f t="shared" si="337"/>
        <v>0</v>
      </c>
      <c r="AO124" s="5511"/>
      <c r="AP124" s="5478">
        <f t="shared" si="338"/>
        <v>9.7100000000000009</v>
      </c>
      <c r="AQ124" s="5496"/>
      <c r="AR124" s="5494"/>
      <c r="AS124" s="5511"/>
      <c r="AT124" s="5492">
        <f t="shared" si="346"/>
        <v>9.7100000000000009</v>
      </c>
      <c r="AU124" s="5496"/>
      <c r="AV124" s="5494"/>
      <c r="AW124" s="5511"/>
      <c r="AX124" s="5492">
        <f t="shared" si="347"/>
        <v>9.7100000000000009</v>
      </c>
      <c r="AY124" s="5496"/>
      <c r="AZ124" s="5494"/>
      <c r="BA124" s="5512"/>
      <c r="BB124" s="5479">
        <f t="shared" si="339"/>
        <v>0</v>
      </c>
      <c r="BC124" s="5514"/>
      <c r="BD124" s="5482">
        <f t="shared" si="340"/>
        <v>0</v>
      </c>
      <c r="BE124" s="5511"/>
      <c r="BF124" s="5433">
        <f t="shared" si="348"/>
        <v>9.7100000000000009</v>
      </c>
      <c r="BG124" s="26"/>
      <c r="BH124" s="26"/>
      <c r="BI124" s="26"/>
      <c r="BJ124" s="26"/>
    </row>
    <row r="125" spans="2:62" ht="21" customHeight="1" x14ac:dyDescent="0.25">
      <c r="B125" s="5450" t="s">
        <v>1201</v>
      </c>
      <c r="C125" s="5458" t="s">
        <v>52</v>
      </c>
      <c r="D125" s="5404"/>
      <c r="E125" s="5496"/>
      <c r="F125" s="5501">
        <v>131.69</v>
      </c>
      <c r="G125" s="5496"/>
      <c r="H125" s="5501">
        <v>120.85</v>
      </c>
      <c r="I125" s="5511"/>
      <c r="J125" s="5492">
        <f t="shared" si="341"/>
        <v>252.54</v>
      </c>
      <c r="K125" s="5496"/>
      <c r="L125" s="5501">
        <v>56</v>
      </c>
      <c r="M125" s="5512"/>
      <c r="N125" s="5479">
        <f t="shared" si="334"/>
        <v>308.53999999999996</v>
      </c>
      <c r="O125" s="5496"/>
      <c r="P125" s="5501">
        <v>181</v>
      </c>
      <c r="Q125" s="5511"/>
      <c r="R125" s="5492">
        <f t="shared" si="342"/>
        <v>489.53999999999996</v>
      </c>
      <c r="S125" s="5496"/>
      <c r="T125" s="5494">
        <v>211</v>
      </c>
      <c r="U125" s="5511"/>
      <c r="V125" s="5492">
        <f t="shared" si="343"/>
        <v>700.54</v>
      </c>
      <c r="W125" s="5496"/>
      <c r="X125" s="5494">
        <v>125</v>
      </c>
      <c r="Y125" s="5512"/>
      <c r="Z125" s="5479">
        <f t="shared" si="335"/>
        <v>517</v>
      </c>
      <c r="AA125" s="5514"/>
      <c r="AB125" s="5482">
        <f t="shared" si="336"/>
        <v>825.54</v>
      </c>
      <c r="AC125" s="5496"/>
      <c r="AD125" s="5494">
        <v>150</v>
      </c>
      <c r="AE125" s="5511"/>
      <c r="AF125" s="5492">
        <f t="shared" si="344"/>
        <v>975.54</v>
      </c>
      <c r="AG125" s="5496"/>
      <c r="AH125" s="5494">
        <v>184</v>
      </c>
      <c r="AI125" s="5511"/>
      <c r="AJ125" s="5492">
        <f t="shared" si="345"/>
        <v>1159.54</v>
      </c>
      <c r="AK125" s="5496"/>
      <c r="AL125" s="5494">
        <v>185</v>
      </c>
      <c r="AM125" s="5512"/>
      <c r="AN125" s="5479">
        <f t="shared" si="337"/>
        <v>519</v>
      </c>
      <c r="AO125" s="5511"/>
      <c r="AP125" s="5478">
        <f t="shared" si="338"/>
        <v>1344.54</v>
      </c>
      <c r="AQ125" s="5496"/>
      <c r="AR125" s="5494">
        <v>306</v>
      </c>
      <c r="AS125" s="5511"/>
      <c r="AT125" s="5492">
        <f t="shared" si="346"/>
        <v>1650.54</v>
      </c>
      <c r="AU125" s="5496"/>
      <c r="AV125" s="5494">
        <v>92</v>
      </c>
      <c r="AW125" s="5511"/>
      <c r="AX125" s="5492">
        <f t="shared" si="347"/>
        <v>1742.54</v>
      </c>
      <c r="AY125" s="5496"/>
      <c r="AZ125" s="5494">
        <v>245.75200000000001</v>
      </c>
      <c r="BA125" s="5512"/>
      <c r="BB125" s="5479">
        <f t="shared" si="339"/>
        <v>643.75199999999995</v>
      </c>
      <c r="BC125" s="5514"/>
      <c r="BD125" s="5482">
        <f t="shared" si="340"/>
        <v>1162.752</v>
      </c>
      <c r="BE125" s="5511"/>
      <c r="BF125" s="5433">
        <f t="shared" si="348"/>
        <v>1988.2919999999999</v>
      </c>
      <c r="BG125" s="26"/>
      <c r="BH125" s="26"/>
      <c r="BI125" s="26"/>
      <c r="BJ125" s="26"/>
    </row>
    <row r="126" spans="2:62" ht="21" customHeight="1" x14ac:dyDescent="0.25">
      <c r="B126" s="5450" t="s">
        <v>1</v>
      </c>
      <c r="C126" s="5458" t="s">
        <v>52</v>
      </c>
      <c r="D126" s="5404"/>
      <c r="E126" s="5496"/>
      <c r="F126" s="5477"/>
      <c r="G126" s="5496"/>
      <c r="H126" s="5477"/>
      <c r="I126" s="5511"/>
      <c r="J126" s="5492">
        <f t="shared" si="341"/>
        <v>0</v>
      </c>
      <c r="K126" s="5496"/>
      <c r="L126" s="5477"/>
      <c r="M126" s="5512"/>
      <c r="N126" s="5479">
        <f t="shared" si="334"/>
        <v>0</v>
      </c>
      <c r="O126" s="5496"/>
      <c r="P126" s="5477">
        <v>150</v>
      </c>
      <c r="Q126" s="5511"/>
      <c r="R126" s="5492">
        <f t="shared" si="342"/>
        <v>150</v>
      </c>
      <c r="S126" s="5496"/>
      <c r="T126" s="5481">
        <v>150</v>
      </c>
      <c r="U126" s="5511"/>
      <c r="V126" s="5492">
        <f t="shared" si="343"/>
        <v>300</v>
      </c>
      <c r="W126" s="5496"/>
      <c r="X126" s="5481">
        <v>300</v>
      </c>
      <c r="Y126" s="5512"/>
      <c r="Z126" s="5479">
        <f t="shared" si="335"/>
        <v>600</v>
      </c>
      <c r="AA126" s="5514"/>
      <c r="AB126" s="5482">
        <f t="shared" si="336"/>
        <v>600</v>
      </c>
      <c r="AC126" s="5496"/>
      <c r="AD126" s="5481">
        <v>300</v>
      </c>
      <c r="AE126" s="5511"/>
      <c r="AF126" s="5492">
        <f t="shared" si="344"/>
        <v>900</v>
      </c>
      <c r="AG126" s="5496"/>
      <c r="AH126" s="5481">
        <v>255</v>
      </c>
      <c r="AI126" s="5511"/>
      <c r="AJ126" s="5492">
        <f t="shared" si="345"/>
        <v>1155</v>
      </c>
      <c r="AK126" s="5496"/>
      <c r="AL126" s="5481">
        <v>165</v>
      </c>
      <c r="AM126" s="5512"/>
      <c r="AN126" s="5479">
        <f t="shared" si="337"/>
        <v>720</v>
      </c>
      <c r="AO126" s="5511"/>
      <c r="AP126" s="5478">
        <f t="shared" si="338"/>
        <v>1320</v>
      </c>
      <c r="AQ126" s="5496"/>
      <c r="AR126" s="5481">
        <v>90</v>
      </c>
      <c r="AS126" s="5511"/>
      <c r="AT126" s="5492">
        <f t="shared" si="346"/>
        <v>1410</v>
      </c>
      <c r="AU126" s="5496"/>
      <c r="AV126" s="5481">
        <v>56</v>
      </c>
      <c r="AW126" s="5511"/>
      <c r="AX126" s="5492">
        <f t="shared" si="347"/>
        <v>1466</v>
      </c>
      <c r="AY126" s="5496"/>
      <c r="AZ126" s="5481">
        <v>75</v>
      </c>
      <c r="BA126" s="5512"/>
      <c r="BB126" s="5479">
        <f t="shared" si="339"/>
        <v>221</v>
      </c>
      <c r="BC126" s="5514"/>
      <c r="BD126" s="5482">
        <f t="shared" si="340"/>
        <v>941</v>
      </c>
      <c r="BE126" s="5511"/>
      <c r="BF126" s="5433">
        <f t="shared" si="348"/>
        <v>1541</v>
      </c>
      <c r="BG126" s="26"/>
      <c r="BH126" s="26"/>
      <c r="BI126" s="26"/>
      <c r="BJ126" s="26"/>
    </row>
    <row r="127" spans="2:62" ht="21" customHeight="1" x14ac:dyDescent="0.25">
      <c r="B127" s="5450" t="s">
        <v>1154</v>
      </c>
      <c r="C127" s="5458" t="s">
        <v>52</v>
      </c>
      <c r="D127" s="5404"/>
      <c r="E127" s="5496"/>
      <c r="F127" s="5477"/>
      <c r="G127" s="5496"/>
      <c r="H127" s="5477"/>
      <c r="I127" s="5511"/>
      <c r="J127" s="5492">
        <f t="shared" si="341"/>
        <v>0</v>
      </c>
      <c r="K127" s="5496"/>
      <c r="L127" s="5477">
        <v>345</v>
      </c>
      <c r="M127" s="5512"/>
      <c r="N127" s="5479">
        <f t="shared" si="334"/>
        <v>345</v>
      </c>
      <c r="O127" s="5496"/>
      <c r="P127" s="5477">
        <v>536.25</v>
      </c>
      <c r="Q127" s="5511"/>
      <c r="R127" s="5492">
        <f t="shared" si="342"/>
        <v>881.25</v>
      </c>
      <c r="S127" s="5496"/>
      <c r="T127" s="5481">
        <v>616.44899999999996</v>
      </c>
      <c r="U127" s="5511"/>
      <c r="V127" s="5492">
        <f t="shared" si="343"/>
        <v>1497.6990000000001</v>
      </c>
      <c r="W127" s="5496"/>
      <c r="X127" s="5481">
        <v>542.5</v>
      </c>
      <c r="Y127" s="5512"/>
      <c r="Z127" s="5479">
        <f t="shared" si="335"/>
        <v>1695.1990000000001</v>
      </c>
      <c r="AA127" s="5514"/>
      <c r="AB127" s="5482">
        <f t="shared" si="336"/>
        <v>2040.1990000000001</v>
      </c>
      <c r="AC127" s="5496"/>
      <c r="AD127" s="5481">
        <v>217</v>
      </c>
      <c r="AE127" s="5511"/>
      <c r="AF127" s="5492">
        <f t="shared" si="344"/>
        <v>2257.1990000000001</v>
      </c>
      <c r="AG127" s="5496"/>
      <c r="AH127" s="5481"/>
      <c r="AI127" s="5511"/>
      <c r="AJ127" s="5492">
        <f t="shared" si="345"/>
        <v>2257.1990000000001</v>
      </c>
      <c r="AK127" s="5496"/>
      <c r="AL127" s="5481">
        <v>206.5</v>
      </c>
      <c r="AM127" s="5512"/>
      <c r="AN127" s="5479">
        <f t="shared" si="337"/>
        <v>423.5</v>
      </c>
      <c r="AO127" s="5511"/>
      <c r="AP127" s="5478">
        <f t="shared" si="338"/>
        <v>2463.6990000000001</v>
      </c>
      <c r="AQ127" s="5496"/>
      <c r="AR127" s="5481">
        <v>766.5</v>
      </c>
      <c r="AS127" s="5511"/>
      <c r="AT127" s="5492">
        <f t="shared" si="346"/>
        <v>3230.1990000000001</v>
      </c>
      <c r="AU127" s="5496"/>
      <c r="AV127" s="5481">
        <v>574</v>
      </c>
      <c r="AW127" s="5511"/>
      <c r="AX127" s="5492">
        <f t="shared" si="347"/>
        <v>3804.1990000000001</v>
      </c>
      <c r="AY127" s="5496"/>
      <c r="AZ127" s="5481">
        <v>626.5</v>
      </c>
      <c r="BA127" s="5512"/>
      <c r="BB127" s="5479">
        <f t="shared" si="339"/>
        <v>1967</v>
      </c>
      <c r="BC127" s="5514"/>
      <c r="BD127" s="5482">
        <f t="shared" si="340"/>
        <v>2390.5</v>
      </c>
      <c r="BE127" s="5511"/>
      <c r="BF127" s="5433">
        <f t="shared" si="348"/>
        <v>4430.6990000000005</v>
      </c>
      <c r="BG127" s="26"/>
      <c r="BH127" s="26"/>
      <c r="BI127" s="26"/>
      <c r="BJ127" s="26"/>
    </row>
    <row r="128" spans="2:62" ht="21" customHeight="1" x14ac:dyDescent="0.25">
      <c r="B128" s="5450" t="s">
        <v>729</v>
      </c>
      <c r="C128" s="5458" t="s">
        <v>52</v>
      </c>
      <c r="D128" s="5404"/>
      <c r="E128" s="5496"/>
      <c r="F128" s="5501"/>
      <c r="G128" s="5496"/>
      <c r="H128" s="5501"/>
      <c r="I128" s="5511"/>
      <c r="J128" s="5492">
        <f t="shared" si="341"/>
        <v>0</v>
      </c>
      <c r="K128" s="5496"/>
      <c r="L128" s="5501"/>
      <c r="M128" s="5512"/>
      <c r="N128" s="5479">
        <f t="shared" si="334"/>
        <v>0</v>
      </c>
      <c r="O128" s="5496"/>
      <c r="P128" s="5501"/>
      <c r="Q128" s="5511"/>
      <c r="R128" s="5492">
        <f t="shared" si="342"/>
        <v>0</v>
      </c>
      <c r="S128" s="5496"/>
      <c r="T128" s="5494">
        <v>0</v>
      </c>
      <c r="U128" s="5511"/>
      <c r="V128" s="5492">
        <f t="shared" si="343"/>
        <v>0</v>
      </c>
      <c r="W128" s="5496"/>
      <c r="X128" s="5494">
        <v>0</v>
      </c>
      <c r="Y128" s="5512"/>
      <c r="Z128" s="5479">
        <f t="shared" si="335"/>
        <v>0</v>
      </c>
      <c r="AA128" s="5514"/>
      <c r="AB128" s="5482">
        <f t="shared" si="336"/>
        <v>0</v>
      </c>
      <c r="AC128" s="5496"/>
      <c r="AD128" s="5494"/>
      <c r="AE128" s="5511"/>
      <c r="AF128" s="5492">
        <f t="shared" si="344"/>
        <v>0</v>
      </c>
      <c r="AG128" s="5496"/>
      <c r="AH128" s="5494"/>
      <c r="AI128" s="5511"/>
      <c r="AJ128" s="5492">
        <f t="shared" si="345"/>
        <v>0</v>
      </c>
      <c r="AK128" s="5496"/>
      <c r="AL128" s="5494"/>
      <c r="AM128" s="5512"/>
      <c r="AN128" s="5479">
        <f t="shared" si="337"/>
        <v>0</v>
      </c>
      <c r="AO128" s="5511"/>
      <c r="AP128" s="5478">
        <f t="shared" si="338"/>
        <v>0</v>
      </c>
      <c r="AQ128" s="5496"/>
      <c r="AR128" s="5494"/>
      <c r="AS128" s="5511"/>
      <c r="AT128" s="5492">
        <f t="shared" si="346"/>
        <v>0</v>
      </c>
      <c r="AU128" s="5496"/>
      <c r="AV128" s="5494"/>
      <c r="AW128" s="5511"/>
      <c r="AX128" s="5492">
        <f t="shared" si="347"/>
        <v>0</v>
      </c>
      <c r="AY128" s="5496"/>
      <c r="AZ128" s="5494"/>
      <c r="BA128" s="5512"/>
      <c r="BB128" s="5479">
        <f t="shared" si="339"/>
        <v>0</v>
      </c>
      <c r="BC128" s="5514"/>
      <c r="BD128" s="5482">
        <f t="shared" si="340"/>
        <v>0</v>
      </c>
      <c r="BE128" s="5511"/>
      <c r="BF128" s="5433">
        <f t="shared" si="348"/>
        <v>0</v>
      </c>
      <c r="BG128" s="26"/>
      <c r="BH128" s="26"/>
      <c r="BI128" s="26"/>
      <c r="BJ128" s="26"/>
    </row>
    <row r="129" spans="2:62" ht="21" customHeight="1" x14ac:dyDescent="0.25">
      <c r="B129" s="5450" t="s">
        <v>632</v>
      </c>
      <c r="C129" s="5458" t="s">
        <v>52</v>
      </c>
      <c r="D129" s="5404"/>
      <c r="E129" s="5496"/>
      <c r="F129" s="5501"/>
      <c r="G129" s="5496"/>
      <c r="H129" s="5501"/>
      <c r="I129" s="5511"/>
      <c r="J129" s="5492"/>
      <c r="K129" s="5496"/>
      <c r="L129" s="5501">
        <v>1.0029999999999999</v>
      </c>
      <c r="M129" s="5512"/>
      <c r="N129" s="5479">
        <f t="shared" si="334"/>
        <v>1.0029999999999999</v>
      </c>
      <c r="O129" s="5496"/>
      <c r="P129" s="5501">
        <v>3.177</v>
      </c>
      <c r="Q129" s="5511"/>
      <c r="R129" s="5492">
        <f t="shared" si="342"/>
        <v>4.18</v>
      </c>
      <c r="S129" s="5496"/>
      <c r="T129" s="5494">
        <v>3.2290000000000001</v>
      </c>
      <c r="U129" s="5511"/>
      <c r="V129" s="5492">
        <f t="shared" si="343"/>
        <v>7.4089999999999998</v>
      </c>
      <c r="W129" s="5496"/>
      <c r="X129" s="5494">
        <v>1.825</v>
      </c>
      <c r="Y129" s="5512"/>
      <c r="Z129" s="5479">
        <f t="shared" si="335"/>
        <v>8.2309999999999999</v>
      </c>
      <c r="AA129" s="5514"/>
      <c r="AB129" s="5482">
        <f t="shared" si="336"/>
        <v>9.234</v>
      </c>
      <c r="AC129" s="5496"/>
      <c r="AD129" s="5494">
        <v>3.181</v>
      </c>
      <c r="AE129" s="5511"/>
      <c r="AF129" s="5492">
        <f t="shared" si="344"/>
        <v>12.414999999999999</v>
      </c>
      <c r="AG129" s="5496"/>
      <c r="AH129" s="5494">
        <v>4.3810000000000002</v>
      </c>
      <c r="AI129" s="5511"/>
      <c r="AJ129" s="5492">
        <f t="shared" si="345"/>
        <v>16.795999999999999</v>
      </c>
      <c r="AK129" s="5496"/>
      <c r="AL129" s="5494">
        <v>1.5289999999999999</v>
      </c>
      <c r="AM129" s="5512"/>
      <c r="AN129" s="5479">
        <f t="shared" si="337"/>
        <v>9.0910000000000011</v>
      </c>
      <c r="AO129" s="5511"/>
      <c r="AP129" s="5478">
        <f t="shared" si="338"/>
        <v>18.324999999999999</v>
      </c>
      <c r="AQ129" s="5496"/>
      <c r="AR129" s="5494">
        <v>2.0590000000000002</v>
      </c>
      <c r="AS129" s="5511"/>
      <c r="AT129" s="5492">
        <f t="shared" si="346"/>
        <v>20.384</v>
      </c>
      <c r="AU129" s="5496"/>
      <c r="AV129" s="5494">
        <v>3.1190000000000002</v>
      </c>
      <c r="AW129" s="5511"/>
      <c r="AX129" s="5492">
        <f t="shared" si="347"/>
        <v>23.503</v>
      </c>
      <c r="AY129" s="5496"/>
      <c r="AZ129" s="5494">
        <v>0.96299999999999997</v>
      </c>
      <c r="BA129" s="5512"/>
      <c r="BB129" s="5479">
        <f t="shared" si="339"/>
        <v>6.141</v>
      </c>
      <c r="BC129" s="5514"/>
      <c r="BD129" s="5482">
        <f t="shared" si="340"/>
        <v>15.232000000000001</v>
      </c>
      <c r="BE129" s="5511"/>
      <c r="BF129" s="5433">
        <f t="shared" si="348"/>
        <v>24.466000000000001</v>
      </c>
      <c r="BG129" s="26"/>
      <c r="BH129" s="26"/>
      <c r="BI129" s="26"/>
      <c r="BJ129" s="26"/>
    </row>
    <row r="130" spans="2:62" ht="21" customHeight="1" x14ac:dyDescent="0.25">
      <c r="B130" s="5450" t="s">
        <v>1449</v>
      </c>
      <c r="C130" s="5458" t="s">
        <v>52</v>
      </c>
      <c r="D130" s="5404"/>
      <c r="E130" s="5496"/>
      <c r="F130" s="5501"/>
      <c r="G130" s="5496"/>
      <c r="H130" s="5501"/>
      <c r="I130" s="5511"/>
      <c r="J130" s="5492"/>
      <c r="K130" s="5496"/>
      <c r="L130" s="5501"/>
      <c r="M130" s="5512"/>
      <c r="N130" s="5479">
        <f t="shared" si="334"/>
        <v>0</v>
      </c>
      <c r="O130" s="5496"/>
      <c r="P130" s="5501"/>
      <c r="Q130" s="5511"/>
      <c r="R130" s="5492">
        <f t="shared" si="342"/>
        <v>0</v>
      </c>
      <c r="S130" s="5496"/>
      <c r="T130" s="5494">
        <v>0</v>
      </c>
      <c r="U130" s="5511"/>
      <c r="V130" s="5492">
        <f t="shared" si="343"/>
        <v>0</v>
      </c>
      <c r="W130" s="5496"/>
      <c r="X130" s="5494">
        <v>0</v>
      </c>
      <c r="Y130" s="5512"/>
      <c r="Z130" s="5479">
        <f t="shared" si="335"/>
        <v>0</v>
      </c>
      <c r="AA130" s="5514"/>
      <c r="AB130" s="5482">
        <f t="shared" si="336"/>
        <v>0</v>
      </c>
      <c r="AC130" s="5496"/>
      <c r="AD130" s="5494"/>
      <c r="AE130" s="5511"/>
      <c r="AF130" s="5492">
        <f t="shared" si="344"/>
        <v>0</v>
      </c>
      <c r="AG130" s="5496"/>
      <c r="AH130" s="5494"/>
      <c r="AI130" s="5511"/>
      <c r="AJ130" s="5492">
        <f t="shared" si="345"/>
        <v>0</v>
      </c>
      <c r="AK130" s="5496"/>
      <c r="AL130" s="5494"/>
      <c r="AM130" s="5512"/>
      <c r="AN130" s="5479">
        <f t="shared" si="337"/>
        <v>0</v>
      </c>
      <c r="AO130" s="5511"/>
      <c r="AP130" s="5478">
        <f t="shared" si="338"/>
        <v>0</v>
      </c>
      <c r="AQ130" s="5496"/>
      <c r="AR130" s="5494"/>
      <c r="AS130" s="5511"/>
      <c r="AT130" s="5492">
        <f t="shared" si="346"/>
        <v>0</v>
      </c>
      <c r="AU130" s="5496"/>
      <c r="AV130" s="5494"/>
      <c r="AW130" s="5511"/>
      <c r="AX130" s="5492">
        <f t="shared" si="347"/>
        <v>0</v>
      </c>
      <c r="AY130" s="5496"/>
      <c r="AZ130" s="5494"/>
      <c r="BA130" s="5512"/>
      <c r="BB130" s="5479">
        <f t="shared" si="339"/>
        <v>0</v>
      </c>
      <c r="BC130" s="5514"/>
      <c r="BD130" s="5482">
        <f t="shared" si="340"/>
        <v>0</v>
      </c>
      <c r="BE130" s="5511"/>
      <c r="BF130" s="5433">
        <f t="shared" si="348"/>
        <v>0</v>
      </c>
      <c r="BG130" s="26"/>
      <c r="BH130" s="26"/>
      <c r="BI130" s="26"/>
      <c r="BJ130" s="26"/>
    </row>
    <row r="131" spans="2:62" ht="21" customHeight="1" x14ac:dyDescent="0.25">
      <c r="B131" s="5450" t="s">
        <v>730</v>
      </c>
      <c r="C131" s="5458" t="s">
        <v>52</v>
      </c>
      <c r="D131" s="5404"/>
      <c r="E131" s="5496"/>
      <c r="F131" s="5477">
        <v>60.5</v>
      </c>
      <c r="G131" s="5496"/>
      <c r="H131" s="5477">
        <v>47</v>
      </c>
      <c r="I131" s="5511"/>
      <c r="J131" s="5492">
        <f t="shared" si="341"/>
        <v>107.5</v>
      </c>
      <c r="K131" s="5496"/>
      <c r="L131" s="5477">
        <v>50.14</v>
      </c>
      <c r="M131" s="5512"/>
      <c r="N131" s="5479">
        <f t="shared" si="334"/>
        <v>157.63999999999999</v>
      </c>
      <c r="O131" s="5496"/>
      <c r="P131" s="5477">
        <v>65</v>
      </c>
      <c r="Q131" s="5511"/>
      <c r="R131" s="5492">
        <f t="shared" si="342"/>
        <v>222.64</v>
      </c>
      <c r="S131" s="5496"/>
      <c r="T131" s="5481">
        <v>59.85</v>
      </c>
      <c r="U131" s="5511"/>
      <c r="V131" s="5492">
        <f t="shared" si="343"/>
        <v>282.49</v>
      </c>
      <c r="W131" s="5496"/>
      <c r="X131" s="5481">
        <v>57.8</v>
      </c>
      <c r="Y131" s="5512"/>
      <c r="Z131" s="5479">
        <f t="shared" si="335"/>
        <v>182.65</v>
      </c>
      <c r="AA131" s="5514"/>
      <c r="AB131" s="5482">
        <f t="shared" si="336"/>
        <v>340.28999999999996</v>
      </c>
      <c r="AC131" s="5496"/>
      <c r="AD131" s="5481">
        <v>58.2</v>
      </c>
      <c r="AE131" s="5511"/>
      <c r="AF131" s="5492">
        <f t="shared" si="344"/>
        <v>398.48999999999995</v>
      </c>
      <c r="AG131" s="5496"/>
      <c r="AH131" s="5481">
        <v>52.198</v>
      </c>
      <c r="AI131" s="5511"/>
      <c r="AJ131" s="5492">
        <f t="shared" si="345"/>
        <v>450.68799999999993</v>
      </c>
      <c r="AK131" s="5496"/>
      <c r="AL131" s="5481">
        <v>60.75</v>
      </c>
      <c r="AM131" s="5512"/>
      <c r="AN131" s="5479">
        <f t="shared" si="337"/>
        <v>171.14800000000002</v>
      </c>
      <c r="AO131" s="5511"/>
      <c r="AP131" s="5478">
        <f t="shared" si="338"/>
        <v>511.43799999999993</v>
      </c>
      <c r="AQ131" s="5496"/>
      <c r="AR131" s="5481">
        <v>53.76</v>
      </c>
      <c r="AS131" s="5511"/>
      <c r="AT131" s="5492">
        <f t="shared" si="346"/>
        <v>565.19799999999998</v>
      </c>
      <c r="AU131" s="5496"/>
      <c r="AV131" s="5481">
        <v>57.811999999999998</v>
      </c>
      <c r="AW131" s="5511"/>
      <c r="AX131" s="5492">
        <f t="shared" si="347"/>
        <v>623.01</v>
      </c>
      <c r="AY131" s="5496"/>
      <c r="AZ131" s="5481">
        <v>58.18</v>
      </c>
      <c r="BA131" s="5512"/>
      <c r="BB131" s="5479">
        <f t="shared" si="339"/>
        <v>169.75199999999998</v>
      </c>
      <c r="BC131" s="5514"/>
      <c r="BD131" s="5482">
        <f t="shared" si="340"/>
        <v>340.9</v>
      </c>
      <c r="BE131" s="5511"/>
      <c r="BF131" s="5433">
        <f t="shared" si="348"/>
        <v>681.18999999999994</v>
      </c>
      <c r="BG131" s="26"/>
      <c r="BH131" s="26"/>
      <c r="BI131" s="26"/>
      <c r="BJ131" s="26"/>
    </row>
    <row r="132" spans="2:62" ht="21" customHeight="1" thickBot="1" x14ac:dyDescent="0.3">
      <c r="B132" s="5412" t="s">
        <v>1476</v>
      </c>
      <c r="C132" s="5413" t="s">
        <v>52</v>
      </c>
      <c r="D132" s="5404"/>
      <c r="E132" s="5516"/>
      <c r="F132" s="5501">
        <v>547.79999999999995</v>
      </c>
      <c r="G132" s="5516"/>
      <c r="H132" s="5501">
        <v>420.74</v>
      </c>
      <c r="I132" s="5517"/>
      <c r="J132" s="5492">
        <f t="shared" si="341"/>
        <v>968.54</v>
      </c>
      <c r="K132" s="5516"/>
      <c r="L132" s="5501">
        <v>16</v>
      </c>
      <c r="M132" s="5518"/>
      <c r="N132" s="5479">
        <f t="shared" si="334"/>
        <v>984.54</v>
      </c>
      <c r="O132" s="5516"/>
      <c r="P132" s="5501">
        <v>4</v>
      </c>
      <c r="Q132" s="5517"/>
      <c r="R132" s="5492">
        <f t="shared" si="342"/>
        <v>988.54</v>
      </c>
      <c r="S132" s="5489"/>
      <c r="T132" s="5481">
        <v>235.66300000000001</v>
      </c>
      <c r="U132" s="5517"/>
      <c r="V132" s="5492">
        <f t="shared" si="343"/>
        <v>1224.203</v>
      </c>
      <c r="W132" s="5489"/>
      <c r="X132" s="5481">
        <v>297.815</v>
      </c>
      <c r="Y132" s="5518"/>
      <c r="Z132" s="5479">
        <f t="shared" si="335"/>
        <v>537.47800000000007</v>
      </c>
      <c r="AA132" s="5519"/>
      <c r="AB132" s="5482">
        <f t="shared" si="336"/>
        <v>1522.018</v>
      </c>
      <c r="AC132" s="5489"/>
      <c r="AD132" s="5481">
        <v>763.95299999999997</v>
      </c>
      <c r="AE132" s="5517"/>
      <c r="AF132" s="5492">
        <f t="shared" si="344"/>
        <v>2285.971</v>
      </c>
      <c r="AG132" s="5489"/>
      <c r="AH132" s="5481">
        <v>762.24199999999996</v>
      </c>
      <c r="AI132" s="5517"/>
      <c r="AJ132" s="5492">
        <f t="shared" si="345"/>
        <v>3048.2129999999997</v>
      </c>
      <c r="AK132" s="5489"/>
      <c r="AL132" s="5481">
        <v>636.55899999999997</v>
      </c>
      <c r="AM132" s="5518"/>
      <c r="AN132" s="5479">
        <f t="shared" si="337"/>
        <v>2162.7539999999999</v>
      </c>
      <c r="AO132" s="5517"/>
      <c r="AP132" s="5478">
        <f t="shared" si="338"/>
        <v>3684.7719999999999</v>
      </c>
      <c r="AQ132" s="5489"/>
      <c r="AR132" s="5481">
        <v>68.418000000000006</v>
      </c>
      <c r="AS132" s="5517"/>
      <c r="AT132" s="5492">
        <f t="shared" si="346"/>
        <v>3753.19</v>
      </c>
      <c r="AU132" s="5489"/>
      <c r="AV132" s="5481">
        <v>127.30500000000001</v>
      </c>
      <c r="AW132" s="5517"/>
      <c r="AX132" s="5492">
        <f t="shared" si="347"/>
        <v>3880.4949999999999</v>
      </c>
      <c r="AY132" s="5489"/>
      <c r="AZ132" s="5481">
        <v>30</v>
      </c>
      <c r="BA132" s="5518"/>
      <c r="BB132" s="5479">
        <f t="shared" si="339"/>
        <v>225.72300000000001</v>
      </c>
      <c r="BC132" s="5519"/>
      <c r="BD132" s="5482">
        <f t="shared" si="340"/>
        <v>2388.4769999999999</v>
      </c>
      <c r="BE132" s="5517"/>
      <c r="BF132" s="5433">
        <f t="shared" si="348"/>
        <v>3910.4949999999999</v>
      </c>
      <c r="BG132" s="26"/>
      <c r="BH132" s="26"/>
      <c r="BI132" s="26"/>
      <c r="BJ132" s="26"/>
    </row>
    <row r="133" spans="2:62" ht="21" customHeight="1" thickBot="1" x14ac:dyDescent="0.3">
      <c r="B133" s="5451"/>
      <c r="C133" s="5451"/>
      <c r="D133" s="5535"/>
      <c r="E133" s="5489"/>
      <c r="F133" s="5489"/>
      <c r="G133" s="5489"/>
      <c r="H133" s="5489"/>
      <c r="I133" s="5489"/>
      <c r="J133" s="5489"/>
      <c r="K133" s="5489"/>
      <c r="L133" s="5489"/>
      <c r="M133" s="5489"/>
      <c r="N133" s="5489"/>
      <c r="O133" s="5489"/>
      <c r="P133" s="5489"/>
      <c r="Q133" s="5489"/>
      <c r="R133" s="5489"/>
      <c r="S133" s="5489"/>
      <c r="T133" s="5520"/>
      <c r="U133" s="5489"/>
      <c r="V133" s="5489"/>
      <c r="W133" s="5489"/>
      <c r="X133" s="5520"/>
      <c r="Y133" s="5489"/>
      <c r="Z133" s="5489"/>
      <c r="AA133" s="5489"/>
      <c r="AB133" s="5489"/>
      <c r="AC133" s="5489"/>
      <c r="AD133" s="5520"/>
      <c r="AE133" s="5489"/>
      <c r="AF133" s="5489"/>
      <c r="AG133" s="5489"/>
      <c r="AH133" s="5520"/>
      <c r="AI133" s="5489"/>
      <c r="AJ133" s="5489"/>
      <c r="AK133" s="5489"/>
      <c r="AL133" s="5520"/>
      <c r="AM133" s="5489"/>
      <c r="AN133" s="5489"/>
      <c r="AO133" s="5489"/>
      <c r="AP133" s="5489"/>
      <c r="AQ133" s="5489"/>
      <c r="AR133" s="5520"/>
      <c r="AS133" s="5489"/>
      <c r="AT133" s="5489"/>
      <c r="AU133" s="5489"/>
      <c r="AV133" s="5520"/>
      <c r="AW133" s="5489"/>
      <c r="AX133" s="5489"/>
      <c r="AY133" s="5489"/>
      <c r="AZ133" s="5520"/>
      <c r="BA133" s="5489"/>
      <c r="BB133" s="5489"/>
      <c r="BC133" s="5489"/>
      <c r="BD133" s="5489"/>
      <c r="BE133" s="5489"/>
      <c r="BF133" s="5536"/>
      <c r="BG133" s="26"/>
      <c r="BH133" s="26"/>
      <c r="BI133" s="26"/>
      <c r="BJ133" s="26"/>
    </row>
    <row r="134" spans="2:62" ht="21" customHeight="1" x14ac:dyDescent="0.25">
      <c r="B134" s="5452" t="s">
        <v>578</v>
      </c>
      <c r="C134" s="5453" t="s">
        <v>51</v>
      </c>
      <c r="D134" s="5457"/>
      <c r="E134" s="6360"/>
      <c r="F134" s="5521">
        <v>61.88</v>
      </c>
      <c r="G134" s="6360"/>
      <c r="H134" s="5521">
        <v>36.9</v>
      </c>
      <c r="I134" s="6361"/>
      <c r="J134" s="5522">
        <f>+((F134*F7)+(H134*H7))/J7</f>
        <v>51.71864406779661</v>
      </c>
      <c r="K134" s="6360"/>
      <c r="L134" s="5521">
        <v>60.95</v>
      </c>
      <c r="M134" s="6374"/>
      <c r="N134" s="5515">
        <f>+((F134*F7)+(H134*H7)+(L134*L7))/N7</f>
        <v>54.627363184079606</v>
      </c>
      <c r="O134" s="6360"/>
      <c r="P134" s="5521">
        <v>78.680000000000007</v>
      </c>
      <c r="Q134" s="6361"/>
      <c r="R134" s="5522">
        <f>+((N134*N7)+(P134*P7))/R7</f>
        <v>61.34139868499701</v>
      </c>
      <c r="S134" s="6360"/>
      <c r="T134" s="5523">
        <v>95</v>
      </c>
      <c r="U134" s="6361"/>
      <c r="V134" s="5522">
        <f>+((R134*R7)+(T134*T7))/V7</f>
        <v>69.062257024412716</v>
      </c>
      <c r="W134" s="6360"/>
      <c r="X134" s="5523">
        <v>88.87</v>
      </c>
      <c r="Y134" s="6374"/>
      <c r="Z134" s="5515">
        <f>+((P134*P7)+(T134*T7)+(X134*X7))/Z7</f>
        <v>87.634670528602456</v>
      </c>
      <c r="AA134" s="6375"/>
      <c r="AB134" s="5524">
        <f>+((Z134*Z7)+(N134*N7))/AB7</f>
        <v>72.247421724004639</v>
      </c>
      <c r="AC134" s="6360"/>
      <c r="AD134" s="5523">
        <v>91</v>
      </c>
      <c r="AE134" s="6361"/>
      <c r="AF134" s="5522">
        <f>+((AB134*AB7)+(AD134*AD7))/AF7</f>
        <v>74.013683473389349</v>
      </c>
      <c r="AG134" s="6360"/>
      <c r="AH134" s="5523">
        <v>93.51</v>
      </c>
      <c r="AI134" s="6361"/>
      <c r="AJ134" s="5522">
        <f>+((AF134*AF7)+(AH134*AH7))/AJ7</f>
        <v>77.361078886310906</v>
      </c>
      <c r="AK134" s="6360"/>
      <c r="AL134" s="5523">
        <v>93.97</v>
      </c>
      <c r="AM134" s="6374"/>
      <c r="AN134" s="5515">
        <f>+((AD134*AD7)+(AH134*AH7)+(AL134*AL7))/AN7</f>
        <v>93.195975433526016</v>
      </c>
      <c r="AO134" s="6361"/>
      <c r="AP134" s="5522">
        <f>+((AL134*AL7)+(AJ134*AJ7))/AP7</f>
        <v>79.548554520271978</v>
      </c>
      <c r="AQ134" s="6360"/>
      <c r="AR134" s="5523">
        <v>91.25</v>
      </c>
      <c r="AS134" s="6361"/>
      <c r="AT134" s="5522">
        <f>+((AP134*AP7)+(AR134*AR7))/AT7</f>
        <v>80.873394372487724</v>
      </c>
      <c r="AU134" s="6360"/>
      <c r="AV134" s="5523">
        <v>95.13</v>
      </c>
      <c r="AW134" s="6361"/>
      <c r="AX134" s="5522">
        <f>+((AT134*AT7)+(AV134*AV7))/AX7</f>
        <v>82.354118471082657</v>
      </c>
      <c r="AY134" s="6360"/>
      <c r="AZ134" s="5523">
        <v>93.57</v>
      </c>
      <c r="BA134" s="6374"/>
      <c r="BB134" s="5515">
        <f>+((AR134*AR7)+(AV134*AV7)+(AZ134*AZ7))/BB7</f>
        <v>93.33484926234766</v>
      </c>
      <c r="BC134" s="6375"/>
      <c r="BD134" s="5524">
        <f>+((BB134*BB7)+(AN134*AN7))/BD7</f>
        <v>93.269541284403672</v>
      </c>
      <c r="BE134" s="6361"/>
      <c r="BF134" s="5455">
        <f>+((AX134*AX7)+(AZ134*AZ7))/BF7</f>
        <v>83.435142857142864</v>
      </c>
      <c r="BG134" s="26"/>
      <c r="BH134" s="26"/>
      <c r="BI134" s="26"/>
      <c r="BJ134" s="26"/>
    </row>
    <row r="135" spans="2:62" ht="21" customHeight="1" x14ac:dyDescent="0.25">
      <c r="B135" s="5454" t="s">
        <v>577</v>
      </c>
      <c r="C135" s="5460" t="s">
        <v>51</v>
      </c>
      <c r="D135" s="5457"/>
      <c r="E135" s="6360"/>
      <c r="F135" s="5521">
        <v>74.569999999999993</v>
      </c>
      <c r="G135" s="6360"/>
      <c r="H135" s="5521">
        <v>45.2</v>
      </c>
      <c r="I135" s="6361"/>
      <c r="J135" s="5522">
        <f>+((F135*F8)+(H135*H8))/J8</f>
        <v>63.497867165575308</v>
      </c>
      <c r="K135" s="6360"/>
      <c r="L135" s="5521">
        <v>65</v>
      </c>
      <c r="M135" s="6374"/>
      <c r="N135" s="5515">
        <f>+((F135*F8)+(H135*H8)+(L135*L8))/N8</f>
        <v>63.895612104539204</v>
      </c>
      <c r="O135" s="6360"/>
      <c r="P135" s="5521">
        <v>81.47</v>
      </c>
      <c r="Q135" s="6361"/>
      <c r="R135" s="5522">
        <f>+((N135*N8)+(P135*P8))/R8</f>
        <v>68.577386478304746</v>
      </c>
      <c r="S135" s="6360"/>
      <c r="T135" s="5523">
        <v>95</v>
      </c>
      <c r="U135" s="6361"/>
      <c r="V135" s="5522">
        <f>+((R135*R8)+(T135*T8))/V8</f>
        <v>73.457581242287119</v>
      </c>
      <c r="W135" s="6360"/>
      <c r="X135" s="5523">
        <v>90.19</v>
      </c>
      <c r="Y135" s="6374"/>
      <c r="Z135" s="5515">
        <f>+((P135*P8)+(T135*T8)+(X135*X8))/Z8</f>
        <v>88.516851471594791</v>
      </c>
      <c r="AA135" s="6375"/>
      <c r="AB135" s="5524">
        <f>+((Z135*Z8)+(N135*N8))/AB8</f>
        <v>76.235794168096049</v>
      </c>
      <c r="AC135" s="6360"/>
      <c r="AD135" s="5523">
        <v>97</v>
      </c>
      <c r="AE135" s="6361"/>
      <c r="AF135" s="5522">
        <f>+((AB135*AB8)+(AD135*AD8))/AF8</f>
        <v>79.770378593794462</v>
      </c>
      <c r="AG135" s="6360"/>
      <c r="AH135" s="5523">
        <v>89.99</v>
      </c>
      <c r="AI135" s="6361"/>
      <c r="AJ135" s="5522">
        <f>+((AF135*AF8)+(AH135*AH8))/AJ8</f>
        <v>80.403476635514011</v>
      </c>
      <c r="AK135" s="6360"/>
      <c r="AL135" s="5523">
        <v>90.17</v>
      </c>
      <c r="AM135" s="6374"/>
      <c r="AN135" s="5515">
        <f>+((AD135*AD8)+(AH135*AH8)+(AL135*AL8))/AN8</f>
        <v>93.386054097056473</v>
      </c>
      <c r="AO135" s="6361"/>
      <c r="AP135" s="5522">
        <f>+((AL135*AL8)+(AJ135*AJ8))/AP8</f>
        <v>81.403070469798649</v>
      </c>
      <c r="AQ135" s="6360"/>
      <c r="AR135" s="5523">
        <v>89.52</v>
      </c>
      <c r="AS135" s="6361"/>
      <c r="AT135" s="5522">
        <f>+((AP135*AP8)+(AR135*AR8))/AT8</f>
        <v>82.22804694229113</v>
      </c>
      <c r="AU135" s="6360"/>
      <c r="AV135" s="5523">
        <v>95.7</v>
      </c>
      <c r="AW135" s="6361"/>
      <c r="AX135" s="5522">
        <f>+((AT135*AT8)+(AV135*AV8))/AX8</f>
        <v>83.410911412296215</v>
      </c>
      <c r="AY135" s="6360"/>
      <c r="AZ135" s="5523">
        <v>91.21</v>
      </c>
      <c r="BA135" s="6374"/>
      <c r="BB135" s="5515">
        <f>+((AR135*AR8)+(AV135*AV8)+(AZ135*AZ8))/BB8</f>
        <v>92.071360398860406</v>
      </c>
      <c r="BC135" s="6375"/>
      <c r="BD135" s="5524">
        <f>+((BB135*BB8)+(AN135*AN8))/BD8</f>
        <v>92.692393836903435</v>
      </c>
      <c r="BE135" s="6361"/>
      <c r="BF135" s="5455">
        <f>+((AX135*AX8)+(AZ135*AZ8))/BF8</f>
        <v>84.089275466284079</v>
      </c>
      <c r="BG135" s="26"/>
      <c r="BH135" s="26"/>
      <c r="BI135" s="26"/>
      <c r="BJ135" s="26"/>
    </row>
    <row r="136" spans="2:62" ht="21" customHeight="1" thickBot="1" x14ac:dyDescent="0.3">
      <c r="B136" s="5456" t="s">
        <v>579</v>
      </c>
      <c r="C136" s="5430" t="s">
        <v>51</v>
      </c>
      <c r="D136" s="5457"/>
      <c r="E136" s="6360"/>
      <c r="F136" s="5521">
        <v>55.12</v>
      </c>
      <c r="G136" s="6360"/>
      <c r="H136" s="5521">
        <v>46.6</v>
      </c>
      <c r="I136" s="6361"/>
      <c r="J136" s="5522">
        <f>+((F136*F9)+(H136*H9))/J9</f>
        <v>50.106882591093111</v>
      </c>
      <c r="K136" s="6360"/>
      <c r="L136" s="5521">
        <v>68.540000000000006</v>
      </c>
      <c r="M136" s="6374"/>
      <c r="N136" s="5515">
        <f>+((F136*F9)+(H136*H9)+(L136*L9))/N9</f>
        <v>57.489077669902912</v>
      </c>
      <c r="O136" s="6360"/>
      <c r="P136" s="5521">
        <v>84.88</v>
      </c>
      <c r="Q136" s="6361"/>
      <c r="R136" s="5522">
        <f>+((N136*N9)+(P136*P9))/R9</f>
        <v>65.913512605042015</v>
      </c>
      <c r="S136" s="6360"/>
      <c r="T136" s="5523">
        <v>96</v>
      </c>
      <c r="U136" s="6361"/>
      <c r="V136" s="5522">
        <f>+((R136*R9)+(T136*T9))/V9</f>
        <v>73.019948652118103</v>
      </c>
      <c r="W136" s="6360"/>
      <c r="X136" s="5523">
        <v>86.43</v>
      </c>
      <c r="Y136" s="6374"/>
      <c r="Z136" s="5515">
        <f>+((P136*P9)+(T136*T9)+(X136*X9))/Z9</f>
        <v>89.17918734491316</v>
      </c>
      <c r="AA136" s="6375"/>
      <c r="AB136" s="5524">
        <f>+((Z136*Z9)+(N136*N9))/AB9</f>
        <v>75.426035814606749</v>
      </c>
      <c r="AC136" s="6360"/>
      <c r="AD136" s="5523">
        <v>96</v>
      </c>
      <c r="AE136" s="6361"/>
      <c r="AF136" s="5522">
        <f>+((AB136*AB9)+(AD136*AD9))/AF9</f>
        <v>79.152774583093745</v>
      </c>
      <c r="AG136" s="6360"/>
      <c r="AH136" s="5523">
        <v>88.78</v>
      </c>
      <c r="AI136" s="6361"/>
      <c r="AJ136" s="5522">
        <f>+((AF136*AF9)+(AH136*AH9))/AJ9</f>
        <v>80.255689918533619</v>
      </c>
      <c r="AK136" s="6360"/>
      <c r="AL136" s="5523">
        <v>88.43</v>
      </c>
      <c r="AM136" s="6374"/>
      <c r="AN136" s="5515">
        <f>+((AD136*AD9)+(AH136*AH9)+(AL136*AL9))/AN9</f>
        <v>91.552053231939169</v>
      </c>
      <c r="AO136" s="6361"/>
      <c r="AP136" s="5522">
        <f>+((AL136*AL9)+(AJ136*AJ9))/AP9</f>
        <v>81.175438319023954</v>
      </c>
      <c r="AQ136" s="6360"/>
      <c r="AR136" s="5523">
        <v>87.63</v>
      </c>
      <c r="AS136" s="6361"/>
      <c r="AT136" s="5522">
        <f>+((AP136*AP9)+(AR136*AR9))/AT9</f>
        <v>81.80457381729201</v>
      </c>
      <c r="AU136" s="6360"/>
      <c r="AV136" s="5523">
        <v>97.1</v>
      </c>
      <c r="AW136" s="6361"/>
      <c r="AX136" s="5522">
        <f>+((AT136*AT9)+(AV136*AV9))/AX9</f>
        <v>83.129284783013603</v>
      </c>
      <c r="AY136" s="6360"/>
      <c r="AZ136" s="5523">
        <v>90</v>
      </c>
      <c r="BA136" s="6374"/>
      <c r="BB136" s="5515">
        <f>+((AR136*AR9)+(AV136*AV9)+(AZ136*AZ9))/BB9</f>
        <v>91.551244635193129</v>
      </c>
      <c r="BC136" s="6375"/>
      <c r="BD136" s="5524">
        <f>+((BB136*BB9)+(AN136*AN9))/BD9</f>
        <v>91.551673387096784</v>
      </c>
      <c r="BE136" s="6361"/>
      <c r="BF136" s="5455">
        <f>+((AX136*AX9)+(AZ136*AZ9))/BF9</f>
        <v>83.666059409340662</v>
      </c>
      <c r="BG136" s="26"/>
      <c r="BH136" s="26"/>
      <c r="BI136" s="26"/>
      <c r="BJ136" s="26"/>
    </row>
    <row r="137" spans="2:62" ht="21" customHeight="1" x14ac:dyDescent="0.25">
      <c r="B137" s="5452" t="s">
        <v>592</v>
      </c>
      <c r="C137" s="5453" t="s">
        <v>51</v>
      </c>
      <c r="D137" s="5457"/>
      <c r="E137" s="5463"/>
      <c r="F137" s="5521">
        <v>82.67</v>
      </c>
      <c r="G137" s="5463"/>
      <c r="H137" s="5521">
        <v>75.675453047775946</v>
      </c>
      <c r="I137" s="5464"/>
      <c r="J137" s="5522">
        <f>+((F137*F22)+(H137*H22))/J22</f>
        <v>79.512337791196373</v>
      </c>
      <c r="K137" s="5463"/>
      <c r="L137" s="5521">
        <v>80.876068376068361</v>
      </c>
      <c r="M137" s="5466"/>
      <c r="N137" s="5515">
        <f>+((F137*F22)+(H137*H22)+(L137*L22))/N22</f>
        <v>79.965032346975136</v>
      </c>
      <c r="O137" s="5463"/>
      <c r="P137" s="5521">
        <v>75.77</v>
      </c>
      <c r="Q137" s="5464"/>
      <c r="R137" s="5522">
        <f>+((N137*N22)+(P137*P22))/R22</f>
        <v>78.838451221992401</v>
      </c>
      <c r="S137" s="5465"/>
      <c r="T137" s="5523">
        <v>75.472763590203101</v>
      </c>
      <c r="U137" s="5464"/>
      <c r="V137" s="5522">
        <f>+((R137*R22)+(T137*T22))/V22</f>
        <v>78.125937962894952</v>
      </c>
      <c r="W137" s="5465"/>
      <c r="X137" s="5521">
        <v>76.482279693486603</v>
      </c>
      <c r="Y137" s="5466"/>
      <c r="Z137" s="5515">
        <f>+((P137*P22)+(T137*T22)+(X137*X22))/Z22</f>
        <v>75.900325840956938</v>
      </c>
      <c r="AA137" s="5468"/>
      <c r="AB137" s="5524">
        <f>+((Z137*Z22)+(N137*N22))/AB22</f>
        <v>77.848641992865765</v>
      </c>
      <c r="AC137" s="5465"/>
      <c r="AD137" s="5521">
        <v>74.22</v>
      </c>
      <c r="AE137" s="5464"/>
      <c r="AF137" s="5522">
        <f>+((AB137*AB22)+(AD137*AD22))/AF22</f>
        <v>77.312580982360643</v>
      </c>
      <c r="AG137" s="5465"/>
      <c r="AH137" s="5521">
        <v>62.74</v>
      </c>
      <c r="AI137" s="5464"/>
      <c r="AJ137" s="5522">
        <f>+((AF137*AF22)+(AH137*AH22))/AJ22</f>
        <v>75.74023761177898</v>
      </c>
      <c r="AK137" s="5465"/>
      <c r="AL137" s="5521">
        <v>72.05</v>
      </c>
      <c r="AM137" s="5466"/>
      <c r="AN137" s="5515">
        <f>+((AD137*AD22)+(AH137*AH22)+(AL137*AL22))/AN22</f>
        <v>70.127449528936737</v>
      </c>
      <c r="AO137" s="5464"/>
      <c r="AP137" s="5522">
        <f>+((AL137*AL22)+(AJ137*AJ22))/AP22</f>
        <v>75.304021899408568</v>
      </c>
      <c r="AQ137" s="5465"/>
      <c r="AR137" s="5521">
        <v>68.42</v>
      </c>
      <c r="AS137" s="5464"/>
      <c r="AT137" s="5522">
        <f>+((AP137*AP22)+(AR137*AR22))/AT22</f>
        <v>74.598354845627625</v>
      </c>
      <c r="AU137" s="5465"/>
      <c r="AV137" s="5521">
        <v>78.78591954022987</v>
      </c>
      <c r="AW137" s="5464"/>
      <c r="AX137" s="5522">
        <f>+((AT137*AT22)+(AV137*AV22))/AX22</f>
        <v>75.004088688947888</v>
      </c>
      <c r="AY137" s="5465"/>
      <c r="AZ137" s="5521">
        <v>64.77</v>
      </c>
      <c r="BA137" s="5466"/>
      <c r="BB137" s="5515">
        <f>+((AR137*AR22)+(AV137*AV22)+(AZ137*AZ22))/BB22</f>
        <v>70.928179263827602</v>
      </c>
      <c r="BC137" s="5468"/>
      <c r="BD137" s="5524">
        <f>+((BB137*BB22)+(AN137*AN22))/BD22</f>
        <v>70.533916710465164</v>
      </c>
      <c r="BE137" s="5464"/>
      <c r="BF137" s="5455">
        <f>+((AX137*AX22)+(AZ137*AZ22))/BF22</f>
        <v>74.194306468567646</v>
      </c>
      <c r="BG137" s="26"/>
      <c r="BH137" s="26"/>
      <c r="BI137" s="26"/>
      <c r="BJ137" s="26"/>
    </row>
    <row r="138" spans="2:62" ht="21" customHeight="1" x14ac:dyDescent="0.25">
      <c r="B138" s="5454" t="s">
        <v>593</v>
      </c>
      <c r="C138" s="5460" t="s">
        <v>51</v>
      </c>
      <c r="D138" s="5457"/>
      <c r="E138" s="5463"/>
      <c r="F138" s="5521">
        <v>87.28</v>
      </c>
      <c r="G138" s="5463"/>
      <c r="H138" s="5521">
        <v>80.076597992604349</v>
      </c>
      <c r="I138" s="5464"/>
      <c r="J138" s="5522">
        <f>+((F138*F23)+(H138*H23))/J23</f>
        <v>83.967536935413662</v>
      </c>
      <c r="K138" s="5463"/>
      <c r="L138" s="5521">
        <v>78.995726495726501</v>
      </c>
      <c r="M138" s="5466"/>
      <c r="N138" s="5515">
        <f>+((F138*F23)+(H138*H23)+(L138*L23))/N23</f>
        <v>82.428408819101264</v>
      </c>
      <c r="O138" s="5463"/>
      <c r="P138" s="5521">
        <v>88.18</v>
      </c>
      <c r="Q138" s="5464"/>
      <c r="R138" s="5522">
        <f>+((N138*N23)+(P138*P23))/R23</f>
        <v>84.127134586482981</v>
      </c>
      <c r="S138" s="5465"/>
      <c r="T138" s="5523">
        <v>82.892025089605738</v>
      </c>
      <c r="U138" s="5464"/>
      <c r="V138" s="5522">
        <f>+((R138*R23)+(T138*T23))/V23</f>
        <v>83.849992412219763</v>
      </c>
      <c r="W138" s="5465"/>
      <c r="X138" s="5521">
        <v>86.298169556840094</v>
      </c>
      <c r="Y138" s="5466"/>
      <c r="Z138" s="5515">
        <f>+((P138*P23)+(T138*T23)+(X138*X23))/Z23</f>
        <v>85.792885351581219</v>
      </c>
      <c r="AA138" s="5468"/>
      <c r="AB138" s="5524">
        <f>+((Z138*Z23)+(N138*N23))/AB23</f>
        <v>84.268152492859372</v>
      </c>
      <c r="AC138" s="5465"/>
      <c r="AD138" s="5521">
        <v>81.56</v>
      </c>
      <c r="AE138" s="5464"/>
      <c r="AF138" s="5522">
        <f>+((AB138*AB23)+(AD138*AD23))/AF23</f>
        <v>83.856057261889134</v>
      </c>
      <c r="AG138" s="5465"/>
      <c r="AH138" s="5521">
        <v>75.319999999999993</v>
      </c>
      <c r="AI138" s="5464"/>
      <c r="AJ138" s="5522">
        <f>+((AF138*AF23)+(AH138*AH23))/AJ23</f>
        <v>82.881822912520519</v>
      </c>
      <c r="AK138" s="5465"/>
      <c r="AL138" s="5521">
        <v>71.430000000000007</v>
      </c>
      <c r="AM138" s="5466"/>
      <c r="AN138" s="5515">
        <f>+((AD138*AD23)+(AH138*AH23)+(AL138*AL23))/AN23</f>
        <v>76.261505698860219</v>
      </c>
      <c r="AO138" s="5464"/>
      <c r="AP138" s="5522">
        <f>+((AL138*AL23)+(AJ138*AJ23))/AP23</f>
        <v>81.604064627470834</v>
      </c>
      <c r="AQ138" s="5465"/>
      <c r="AR138" s="5521">
        <v>77.67</v>
      </c>
      <c r="AS138" s="5464"/>
      <c r="AT138" s="5522">
        <f>+((AP138*AP23)+(AR138*AR23))/AT23</f>
        <v>81.20029980004098</v>
      </c>
      <c r="AU138" s="5465"/>
      <c r="AV138" s="5521">
        <v>78.944203944203949</v>
      </c>
      <c r="AW138" s="5464"/>
      <c r="AX138" s="5522">
        <f>+((AT138*AT23)+(AV138*AV23))/AX23</f>
        <v>80.999651588319182</v>
      </c>
      <c r="AY138" s="5465"/>
      <c r="AZ138" s="5521">
        <v>79.88</v>
      </c>
      <c r="BA138" s="5466"/>
      <c r="BB138" s="5515">
        <f>+((AR138*AR23)+(AV138*AV23)+(AZ138*AZ23))/BB23</f>
        <v>78.859701981384916</v>
      </c>
      <c r="BC138" s="5468"/>
      <c r="BD138" s="5524">
        <f>+((BB138*BB23)+(AN138*AN23))/BD23</f>
        <v>77.588811957039638</v>
      </c>
      <c r="BE138" s="5464"/>
      <c r="BF138" s="5455">
        <f>+((AX138*AX23)+(AZ138*AZ23))/BF23</f>
        <v>80.896327200891719</v>
      </c>
      <c r="BG138" s="26"/>
      <c r="BH138" s="26"/>
      <c r="BI138" s="26"/>
      <c r="BJ138" s="26"/>
    </row>
    <row r="139" spans="2:62" ht="21" customHeight="1" thickBot="1" x14ac:dyDescent="0.3">
      <c r="B139" s="5456" t="s">
        <v>594</v>
      </c>
      <c r="C139" s="5430" t="s">
        <v>51</v>
      </c>
      <c r="D139" s="5537"/>
      <c r="E139" s="5538"/>
      <c r="F139" s="5539">
        <v>71.319999999999993</v>
      </c>
      <c r="G139" s="5538"/>
      <c r="H139" s="5539">
        <v>60.793226381461679</v>
      </c>
      <c r="I139" s="5540"/>
      <c r="J139" s="5541">
        <f>+((F139*F24)+(H139*H24))/J24</f>
        <v>66.883968307906926</v>
      </c>
      <c r="K139" s="5538"/>
      <c r="L139" s="5539">
        <v>72.494368170852823</v>
      </c>
      <c r="M139" s="5542"/>
      <c r="N139" s="5543">
        <f>+((F139*F24)+(H139*H24)+(L139*L24))/N24</f>
        <v>68.766569150806546</v>
      </c>
      <c r="O139" s="5538"/>
      <c r="P139" s="5539">
        <v>69.180000000000007</v>
      </c>
      <c r="Q139" s="5540"/>
      <c r="R139" s="5541">
        <f>+((N139*N24)+(P139*P24))/R24</f>
        <v>68.887017508445581</v>
      </c>
      <c r="S139" s="5544"/>
      <c r="T139" s="5545">
        <v>63.187624007936506</v>
      </c>
      <c r="U139" s="5540"/>
      <c r="V139" s="5541">
        <f>+((R139*R24)+(T139*T24))/V24</f>
        <v>67.686213035684503</v>
      </c>
      <c r="W139" s="5544"/>
      <c r="X139" s="5539">
        <v>61.201579077226747</v>
      </c>
      <c r="Y139" s="5542"/>
      <c r="Z139" s="5543">
        <f>+((P139*P24)+(T139*T24)+(X139*X24))/Z24</f>
        <v>64.728120879694359</v>
      </c>
      <c r="AA139" s="5546"/>
      <c r="AB139" s="5547">
        <f>+((Z139*Z24)+(N139*N24))/AB24</f>
        <v>66.613288641105655</v>
      </c>
      <c r="AC139" s="5544"/>
      <c r="AD139" s="5539">
        <v>71.400000000000006</v>
      </c>
      <c r="AE139" s="5540"/>
      <c r="AF139" s="5541">
        <f>+((AB139*AB24)+(AD139*AD24))/AF24</f>
        <v>67.376992371426198</v>
      </c>
      <c r="AG139" s="5544"/>
      <c r="AH139" s="5539">
        <v>60.12</v>
      </c>
      <c r="AI139" s="5540"/>
      <c r="AJ139" s="5541">
        <f>+((AF139*AF24)+(AH139*AH24))/AJ24</f>
        <v>66.469176392086851</v>
      </c>
      <c r="AK139" s="5544"/>
      <c r="AL139" s="5539">
        <v>65.91</v>
      </c>
      <c r="AM139" s="5542"/>
      <c r="AN139" s="5543">
        <f>+((AD139*AD24)+(AH139*AH24)+(AL139*AL24))/AN24</f>
        <v>66.015878962536021</v>
      </c>
      <c r="AO139" s="5540"/>
      <c r="AP139" s="5541">
        <f>+((AL139*AL24)+(AJ139*AJ24))/AP24</f>
        <v>66.403823004396003</v>
      </c>
      <c r="AQ139" s="5544"/>
      <c r="AR139" s="5539">
        <v>63.32</v>
      </c>
      <c r="AS139" s="5540"/>
      <c r="AT139" s="5541">
        <f>+((AP139*AP24)+(AR139*AR24))/AT24</f>
        <v>66.067035853600885</v>
      </c>
      <c r="AU139" s="5544"/>
      <c r="AV139" s="5539">
        <v>64.376144389223128</v>
      </c>
      <c r="AW139" s="5540"/>
      <c r="AX139" s="5541">
        <f>+((AT139*AT24)+(AV139*AV24))/AX24</f>
        <v>65.908428579209826</v>
      </c>
      <c r="AY139" s="5544"/>
      <c r="AZ139" s="5539">
        <v>59.84</v>
      </c>
      <c r="BA139" s="5542"/>
      <c r="BB139" s="5543">
        <f>+((AR139*AR24)+(AV139*AV24)+(AZ139*AZ24))/BB24</f>
        <v>62.476582694862188</v>
      </c>
      <c r="BC139" s="5546"/>
      <c r="BD139" s="5547">
        <f>+((BB139*BB24)+(AN139*AN24))/BD24</f>
        <v>64.218619297532868</v>
      </c>
      <c r="BE139" s="5540"/>
      <c r="BF139" s="5548">
        <f>+((AX139*AX24)+(AZ139*AZ24))/BF24</f>
        <v>65.360573909061031</v>
      </c>
      <c r="BG139" s="26"/>
      <c r="BH139" s="26"/>
      <c r="BI139" s="26"/>
      <c r="BJ139" s="26"/>
    </row>
    <row r="140" spans="2:62" ht="21" customHeight="1" x14ac:dyDescent="0.25">
      <c r="E140"/>
      <c r="F140"/>
      <c r="G140"/>
      <c r="H140"/>
      <c r="I140"/>
      <c r="J140"/>
      <c r="K140" s="183"/>
      <c r="M140"/>
      <c r="O140" s="183"/>
      <c r="Q140"/>
      <c r="AC140" s="4077"/>
      <c r="AD140" s="4077"/>
      <c r="AK140" s="4321"/>
      <c r="AL140" s="4321"/>
      <c r="AM140" s="4321"/>
      <c r="AN140" s="4321"/>
      <c r="AQ140" s="4424"/>
      <c r="AR140" s="4424"/>
      <c r="AS140" s="4424"/>
      <c r="AT140" s="4424"/>
      <c r="AU140" s="4669"/>
      <c r="AV140" s="4669"/>
      <c r="AW140" s="4669"/>
      <c r="AX140" s="4669"/>
      <c r="AY140" s="5060"/>
      <c r="AZ140" s="5060"/>
      <c r="BE140" s="5060"/>
      <c r="BF140" s="5060"/>
      <c r="BG140" s="26"/>
      <c r="BH140" s="26"/>
      <c r="BI140" s="26"/>
      <c r="BJ140" s="26"/>
    </row>
    <row r="141" spans="2:62" ht="21" hidden="1" customHeight="1" x14ac:dyDescent="0.35">
      <c r="B141" s="2511" t="s">
        <v>1714</v>
      </c>
      <c r="C141" s="2508"/>
      <c r="D141" s="2508"/>
      <c r="E141" s="2508"/>
      <c r="F141" s="2508"/>
      <c r="G141" s="2508"/>
      <c r="H141" s="2508"/>
      <c r="I141" s="2508"/>
      <c r="J141" s="2508"/>
      <c r="K141" s="2508"/>
      <c r="L141" s="2508"/>
      <c r="M141" s="2508"/>
      <c r="N141" s="2508"/>
      <c r="O141" s="2508"/>
      <c r="P141" s="2508"/>
      <c r="Q141" s="2508"/>
      <c r="R141" s="2508"/>
      <c r="S141" s="2450"/>
      <c r="U141" s="2450"/>
      <c r="V141" s="2450"/>
      <c r="W141" s="2450"/>
      <c r="X141" s="2450"/>
      <c r="Y141" s="2450"/>
      <c r="Z141" s="2450"/>
      <c r="AA141" s="2450"/>
      <c r="AB141" s="2450"/>
      <c r="AC141" s="4077"/>
      <c r="AD141" s="4077"/>
      <c r="AK141" s="4321"/>
      <c r="AL141" s="4321"/>
      <c r="AM141" s="4321"/>
      <c r="AN141" s="4321"/>
      <c r="AQ141" s="4424"/>
      <c r="AR141" s="4424"/>
      <c r="AS141" s="4424"/>
      <c r="AT141" s="4424"/>
      <c r="AU141" s="4669"/>
      <c r="AV141" s="4669"/>
      <c r="AW141" s="4669"/>
      <c r="AX141" s="4669"/>
      <c r="AY141" s="5060"/>
      <c r="AZ141" s="5060"/>
      <c r="BE141" s="5060"/>
      <c r="BF141" s="5060"/>
      <c r="BG141" s="26"/>
      <c r="BH141" s="26"/>
      <c r="BI141" s="26"/>
      <c r="BJ141" s="26"/>
    </row>
    <row r="142" spans="2:62" ht="21" hidden="1" customHeight="1" x14ac:dyDescent="0.35">
      <c r="B142" s="2512" t="s">
        <v>1716</v>
      </c>
      <c r="C142" s="2508"/>
      <c r="D142" s="2508"/>
      <c r="E142" s="2508"/>
      <c r="F142" s="2508">
        <v>835</v>
      </c>
      <c r="G142" s="2508"/>
      <c r="H142" s="2508">
        <v>580</v>
      </c>
      <c r="I142" s="2508"/>
      <c r="J142" s="2508"/>
      <c r="K142" s="2508"/>
      <c r="L142" s="2508">
        <v>588</v>
      </c>
      <c r="M142" s="2508"/>
      <c r="N142" s="2508">
        <f t="shared" ref="N142:N146" si="349">+L142+H142+F142</f>
        <v>2003</v>
      </c>
      <c r="O142" s="2508"/>
      <c r="P142" s="2508">
        <v>706</v>
      </c>
      <c r="Q142" s="2508"/>
      <c r="R142" s="2508">
        <f>+N142+P142</f>
        <v>2709</v>
      </c>
      <c r="S142" s="2450"/>
      <c r="U142" s="2450"/>
      <c r="V142" s="2450"/>
      <c r="W142" s="2450"/>
      <c r="X142" s="2450"/>
      <c r="Y142" s="2450"/>
      <c r="Z142" s="2450"/>
      <c r="AA142" s="2450"/>
      <c r="AB142" s="2450"/>
      <c r="AC142" s="4077"/>
      <c r="AD142" s="4077"/>
      <c r="AK142" s="4321"/>
      <c r="AL142" s="4321"/>
      <c r="AM142" s="4321"/>
      <c r="AN142" s="4321"/>
      <c r="AQ142" s="4424"/>
      <c r="AR142" s="4424"/>
      <c r="AS142" s="4424"/>
      <c r="AT142" s="4424"/>
      <c r="AU142" s="4669"/>
      <c r="AV142" s="4669"/>
      <c r="AW142" s="4669"/>
      <c r="AX142" s="4669"/>
      <c r="AY142" s="5060"/>
      <c r="AZ142" s="5060"/>
      <c r="BE142" s="5060"/>
      <c r="BF142" s="5060"/>
      <c r="BG142" s="26"/>
      <c r="BH142" s="26"/>
      <c r="BI142" s="26"/>
      <c r="BJ142" s="26"/>
    </row>
    <row r="143" spans="2:62" ht="21" hidden="1" customHeight="1" x14ac:dyDescent="0.35">
      <c r="B143" s="2512" t="s">
        <v>1717</v>
      </c>
      <c r="C143" s="2508"/>
      <c r="D143" s="2508"/>
      <c r="E143" s="2508"/>
      <c r="F143" s="2508">
        <v>865</v>
      </c>
      <c r="G143" s="2508"/>
      <c r="H143" s="2508">
        <v>816</v>
      </c>
      <c r="I143" s="2508"/>
      <c r="J143" s="2508"/>
      <c r="K143" s="2508"/>
      <c r="L143" s="2508">
        <v>667</v>
      </c>
      <c r="M143" s="2508"/>
      <c r="N143" s="2508">
        <f t="shared" si="349"/>
        <v>2348</v>
      </c>
      <c r="O143" s="2508"/>
      <c r="P143" s="2508">
        <v>949</v>
      </c>
      <c r="Q143" s="2508"/>
      <c r="R143" s="2508">
        <f t="shared" ref="R143:R146" si="350">+N143+P143</f>
        <v>3297</v>
      </c>
      <c r="S143" s="2450"/>
      <c r="U143" s="2450"/>
      <c r="V143" s="2450"/>
      <c r="W143" s="2450"/>
      <c r="X143" s="2450"/>
      <c r="Y143" s="2450"/>
      <c r="Z143" s="2450"/>
      <c r="AA143" s="2450"/>
      <c r="AB143" s="2450"/>
      <c r="AC143" s="4077"/>
      <c r="AD143" s="4077"/>
      <c r="AK143" s="4321"/>
      <c r="AL143" s="4321"/>
      <c r="AM143" s="4321"/>
      <c r="AN143" s="4321"/>
      <c r="AQ143" s="4424"/>
      <c r="AR143" s="4424"/>
      <c r="AS143" s="4424"/>
      <c r="AT143" s="4424"/>
      <c r="AU143" s="4669"/>
      <c r="AV143" s="4669"/>
      <c r="AW143" s="4669"/>
      <c r="AX143" s="4669"/>
      <c r="AY143" s="5060"/>
      <c r="AZ143" s="5060"/>
      <c r="BE143" s="5060"/>
      <c r="BF143" s="5060"/>
      <c r="BG143" s="26"/>
      <c r="BH143" s="26"/>
      <c r="BI143" s="26"/>
      <c r="BJ143" s="26"/>
    </row>
    <row r="144" spans="2:62" ht="21" hidden="1" customHeight="1" x14ac:dyDescent="0.35">
      <c r="B144" s="2512" t="s">
        <v>1718</v>
      </c>
      <c r="C144" s="2508"/>
      <c r="D144" s="2508"/>
      <c r="E144" s="2508"/>
      <c r="F144" s="2508">
        <v>288</v>
      </c>
      <c r="G144" s="2508"/>
      <c r="H144" s="2508">
        <v>220</v>
      </c>
      <c r="I144" s="2508"/>
      <c r="J144" s="2508"/>
      <c r="K144" s="2508"/>
      <c r="L144" s="2508">
        <v>212</v>
      </c>
      <c r="M144" s="2508"/>
      <c r="N144" s="2508">
        <f t="shared" si="349"/>
        <v>720</v>
      </c>
      <c r="O144" s="2508"/>
      <c r="P144" s="2508">
        <v>266</v>
      </c>
      <c r="Q144" s="2508"/>
      <c r="R144" s="2508">
        <f t="shared" si="350"/>
        <v>986</v>
      </c>
      <c r="S144" s="2450"/>
      <c r="U144" s="2450"/>
      <c r="V144" s="2450"/>
      <c r="W144" s="2450"/>
      <c r="X144" s="2450"/>
      <c r="Y144" s="2450"/>
      <c r="Z144" s="2450"/>
      <c r="AA144" s="2450"/>
      <c r="AB144" s="2450"/>
      <c r="AC144" s="4077"/>
      <c r="AD144" s="4077"/>
      <c r="AK144" s="4321"/>
      <c r="AL144" s="4321"/>
      <c r="AM144" s="4321"/>
      <c r="AN144" s="4321"/>
      <c r="AQ144" s="4424"/>
      <c r="AR144" s="4424"/>
      <c r="AS144" s="4424"/>
      <c r="AT144" s="4424"/>
      <c r="AU144" s="4669"/>
      <c r="AV144" s="4669"/>
      <c r="AW144" s="4669"/>
      <c r="AX144" s="4669"/>
      <c r="AY144" s="5060"/>
      <c r="AZ144" s="5060"/>
      <c r="BE144" s="5060"/>
      <c r="BF144" s="5060"/>
      <c r="BG144" s="26"/>
      <c r="BH144" s="26"/>
      <c r="BI144" s="26"/>
      <c r="BJ144" s="26"/>
    </row>
    <row r="145" spans="2:62" ht="21" hidden="1" customHeight="1" x14ac:dyDescent="0.35">
      <c r="B145" s="2512" t="s">
        <v>1719</v>
      </c>
      <c r="C145" s="2508"/>
      <c r="D145" s="2508"/>
      <c r="E145" s="2508"/>
      <c r="F145" s="2508">
        <v>374</v>
      </c>
      <c r="G145" s="2508"/>
      <c r="H145" s="2508">
        <v>294</v>
      </c>
      <c r="I145" s="2508"/>
      <c r="J145" s="2508"/>
      <c r="K145" s="2508"/>
      <c r="L145" s="2508">
        <v>299</v>
      </c>
      <c r="M145" s="2508"/>
      <c r="N145" s="2508">
        <f t="shared" si="349"/>
        <v>967</v>
      </c>
      <c r="O145" s="2508"/>
      <c r="P145" s="2508">
        <v>380</v>
      </c>
      <c r="Q145" s="2508"/>
      <c r="R145" s="2508">
        <f t="shared" si="350"/>
        <v>1347</v>
      </c>
      <c r="S145" s="2450"/>
      <c r="U145" s="2450"/>
      <c r="V145" s="2450"/>
      <c r="W145" s="2450"/>
      <c r="X145" s="2450"/>
      <c r="Y145" s="2450"/>
      <c r="Z145" s="2450"/>
      <c r="AA145" s="2450"/>
      <c r="AB145" s="2450"/>
      <c r="AC145" s="4077"/>
      <c r="AD145" s="4077"/>
      <c r="AK145" s="4321"/>
      <c r="AL145" s="4321"/>
      <c r="AM145" s="4321"/>
      <c r="AN145" s="4321"/>
      <c r="AQ145" s="4424"/>
      <c r="AR145" s="4424"/>
      <c r="AS145" s="4424"/>
      <c r="AT145" s="4424"/>
      <c r="AU145" s="4669"/>
      <c r="AV145" s="4669"/>
      <c r="AW145" s="4669"/>
      <c r="AX145" s="4669"/>
      <c r="AY145" s="5060"/>
      <c r="AZ145" s="5060"/>
      <c r="BE145" s="5060"/>
      <c r="BF145" s="5060"/>
      <c r="BG145" s="26"/>
      <c r="BH145" s="26"/>
      <c r="BI145" s="26"/>
      <c r="BJ145" s="26"/>
    </row>
    <row r="146" spans="2:62" ht="21" hidden="1" customHeight="1" x14ac:dyDescent="0.35">
      <c r="B146" s="2512" t="s">
        <v>1720</v>
      </c>
      <c r="C146" s="2508"/>
      <c r="D146" s="2508"/>
      <c r="E146" s="2508"/>
      <c r="F146" s="2508">
        <v>913</v>
      </c>
      <c r="G146" s="2508"/>
      <c r="H146" s="2508">
        <v>841</v>
      </c>
      <c r="I146" s="2508"/>
      <c r="J146" s="2508"/>
      <c r="K146" s="2508"/>
      <c r="L146" s="2508">
        <v>1063</v>
      </c>
      <c r="M146" s="2508"/>
      <c r="N146" s="2508">
        <f t="shared" si="349"/>
        <v>2817</v>
      </c>
      <c r="O146" s="2508"/>
      <c r="P146" s="2508">
        <v>920</v>
      </c>
      <c r="Q146" s="2508"/>
      <c r="R146" s="2508">
        <f t="shared" si="350"/>
        <v>3737</v>
      </c>
      <c r="S146" s="2450"/>
      <c r="U146" s="2450"/>
      <c r="V146" s="2450"/>
      <c r="W146" s="2450"/>
      <c r="X146" s="2450"/>
      <c r="Y146" s="2450"/>
      <c r="Z146" s="2450"/>
      <c r="AA146" s="2450"/>
      <c r="AB146" s="2450"/>
      <c r="AC146" s="4077"/>
      <c r="AD146" s="4077"/>
      <c r="AK146" s="4321"/>
      <c r="AL146" s="4321"/>
      <c r="AM146" s="4321"/>
      <c r="AN146" s="4321"/>
      <c r="AQ146" s="4424"/>
      <c r="AR146" s="4424"/>
      <c r="AS146" s="4424"/>
      <c r="AT146" s="4424"/>
      <c r="AU146" s="4669"/>
      <c r="AV146" s="4669"/>
      <c r="AW146" s="4669"/>
      <c r="AX146" s="4669"/>
      <c r="AY146" s="5060"/>
      <c r="AZ146" s="5060"/>
      <c r="BE146" s="5060"/>
      <c r="BF146" s="5060"/>
      <c r="BG146" s="26"/>
      <c r="BH146" s="26"/>
      <c r="BI146" s="26"/>
      <c r="BJ146" s="26"/>
    </row>
    <row r="147" spans="2:62" ht="21" hidden="1" customHeight="1" x14ac:dyDescent="0.35">
      <c r="B147" s="2512" t="s">
        <v>23</v>
      </c>
      <c r="C147" s="2508"/>
      <c r="D147" s="2508"/>
      <c r="E147" s="2508"/>
      <c r="F147" s="2508">
        <f>SUM(F142:F146)</f>
        <v>3275</v>
      </c>
      <c r="G147" s="2508"/>
      <c r="H147" s="2508">
        <f>SUM(H142:H146)</f>
        <v>2751</v>
      </c>
      <c r="I147" s="2508"/>
      <c r="J147" s="2508"/>
      <c r="K147" s="2508"/>
      <c r="L147" s="2508">
        <f>SUM(L142:L146)</f>
        <v>2829</v>
      </c>
      <c r="M147" s="2508"/>
      <c r="N147" s="2508">
        <f>SUM(N142:N146)</f>
        <v>8855</v>
      </c>
      <c r="O147" s="2508"/>
      <c r="P147" s="2508">
        <f>SUM(P142:P146)</f>
        <v>3221</v>
      </c>
      <c r="Q147" s="2508"/>
      <c r="R147" s="2508">
        <f>SUM(R142:R146)</f>
        <v>12076</v>
      </c>
      <c r="S147" s="2450"/>
      <c r="U147" s="2450"/>
      <c r="V147" s="2450"/>
      <c r="W147" s="2450"/>
      <c r="X147" s="2450"/>
      <c r="Y147" s="2450"/>
      <c r="Z147" s="2450"/>
      <c r="AA147" s="2450"/>
      <c r="AB147" s="2450"/>
      <c r="AC147" s="4077"/>
      <c r="AD147" s="4077"/>
      <c r="AK147" s="4321"/>
      <c r="AL147" s="4321"/>
      <c r="AM147" s="4321"/>
      <c r="AN147" s="4321"/>
      <c r="AQ147" s="4424"/>
      <c r="AR147" s="4424"/>
      <c r="AS147" s="4424"/>
      <c r="AT147" s="4424"/>
      <c r="AU147" s="4669"/>
      <c r="AV147" s="4669"/>
      <c r="AW147" s="4669"/>
      <c r="AX147" s="4669"/>
      <c r="AY147" s="5060"/>
      <c r="AZ147" s="5060"/>
      <c r="BE147" s="5060"/>
      <c r="BF147" s="5060"/>
      <c r="BG147" s="26"/>
      <c r="BH147" s="26"/>
      <c r="BI147" s="26"/>
      <c r="BJ147" s="26"/>
    </row>
    <row r="148" spans="2:62" ht="21" hidden="1" customHeight="1" x14ac:dyDescent="0.35">
      <c r="B148" s="2512" t="s">
        <v>1725</v>
      </c>
      <c r="C148" s="2508"/>
      <c r="D148" s="2508"/>
      <c r="E148" s="2508"/>
      <c r="F148" s="2509">
        <f>+F147-F27</f>
        <v>0</v>
      </c>
      <c r="G148" s="2508"/>
      <c r="H148" s="2509">
        <f>+H147-H27</f>
        <v>0</v>
      </c>
      <c r="I148" s="2508"/>
      <c r="J148" s="2508"/>
      <c r="K148" s="2508"/>
      <c r="L148" s="2509">
        <f>+L147-L27</f>
        <v>0</v>
      </c>
      <c r="M148" s="2508"/>
      <c r="N148" s="2509">
        <f>+N147-N27</f>
        <v>0</v>
      </c>
      <c r="O148" s="2508"/>
      <c r="P148" s="2509">
        <f>+P147-P27</f>
        <v>0</v>
      </c>
      <c r="Q148" s="2508"/>
      <c r="R148" s="2509">
        <f>+R147-R27</f>
        <v>0</v>
      </c>
      <c r="S148" s="2450"/>
      <c r="U148" s="2450"/>
      <c r="V148" s="2450"/>
      <c r="W148" s="2450"/>
      <c r="X148" s="2450"/>
      <c r="Y148" s="2450"/>
      <c r="Z148" s="2450"/>
      <c r="AA148" s="2450"/>
      <c r="AB148" s="2450"/>
      <c r="AC148" s="4077"/>
      <c r="AD148" s="4077"/>
      <c r="AK148" s="4321"/>
      <c r="AL148" s="4321"/>
      <c r="AM148" s="4321"/>
      <c r="AN148" s="4321"/>
      <c r="AQ148" s="4424"/>
      <c r="AR148" s="4424"/>
      <c r="AS148" s="4424"/>
      <c r="AT148" s="4424"/>
      <c r="AU148" s="4669"/>
      <c r="AV148" s="4669"/>
      <c r="AW148" s="4669"/>
      <c r="AX148" s="4669"/>
      <c r="AY148" s="5060"/>
      <c r="AZ148" s="5060"/>
      <c r="BE148" s="5060"/>
      <c r="BF148" s="5060"/>
      <c r="BG148" s="26"/>
      <c r="BH148" s="26"/>
      <c r="BI148" s="26"/>
      <c r="BJ148" s="26"/>
    </row>
    <row r="149" spans="2:62" ht="21" hidden="1" customHeight="1" x14ac:dyDescent="0.35">
      <c r="B149" s="2512"/>
      <c r="C149" s="2508"/>
      <c r="D149" s="2508"/>
      <c r="E149" s="2508"/>
      <c r="F149" s="2509"/>
      <c r="G149" s="2508"/>
      <c r="H149" s="2509"/>
      <c r="I149" s="2508"/>
      <c r="J149" s="2508"/>
      <c r="K149" s="2508"/>
      <c r="L149" s="2509"/>
      <c r="M149" s="2508"/>
      <c r="N149" s="2509"/>
      <c r="O149" s="2508"/>
      <c r="P149" s="2509"/>
      <c r="Q149" s="2508"/>
      <c r="R149" s="2509"/>
      <c r="S149" s="2450"/>
      <c r="U149" s="2450"/>
      <c r="V149" s="2450"/>
      <c r="W149" s="2450"/>
      <c r="X149" s="2450"/>
      <c r="Y149" s="2450"/>
      <c r="Z149" s="2450"/>
      <c r="AA149" s="2450"/>
      <c r="AB149" s="2450"/>
      <c r="AC149" s="4077"/>
      <c r="AD149" s="4077"/>
      <c r="AK149" s="4321"/>
      <c r="AL149" s="4321"/>
      <c r="AM149" s="4321"/>
      <c r="AN149" s="4321"/>
      <c r="AQ149" s="4424"/>
      <c r="AR149" s="4424"/>
      <c r="AS149" s="4424"/>
      <c r="AT149" s="4424"/>
      <c r="AU149" s="4669"/>
      <c r="AV149" s="4669"/>
      <c r="AW149" s="4669"/>
      <c r="AX149" s="4669"/>
      <c r="AY149" s="5060"/>
      <c r="AZ149" s="5060"/>
      <c r="BE149" s="5060"/>
      <c r="BF149" s="5060"/>
      <c r="BG149" s="26"/>
      <c r="BH149" s="26"/>
      <c r="BI149" s="26"/>
      <c r="BJ149" s="26"/>
    </row>
    <row r="150" spans="2:62" ht="21" hidden="1" customHeight="1" x14ac:dyDescent="0.35">
      <c r="B150" s="2512" t="s">
        <v>1715</v>
      </c>
      <c r="C150" s="2508"/>
      <c r="D150" s="2508"/>
      <c r="E150" s="2508"/>
      <c r="F150" s="2508"/>
      <c r="G150" s="2508"/>
      <c r="H150" s="2508"/>
      <c r="I150" s="2508"/>
      <c r="J150" s="2508"/>
      <c r="K150" s="2508"/>
      <c r="L150" s="2508"/>
      <c r="M150" s="2508"/>
      <c r="N150" s="2508"/>
      <c r="O150" s="2508"/>
      <c r="P150" s="2508"/>
      <c r="Q150" s="2508"/>
      <c r="R150" s="2508"/>
      <c r="S150" s="2450"/>
      <c r="U150" s="2450"/>
      <c r="V150" s="2450"/>
      <c r="W150" s="2450"/>
      <c r="X150" s="2450"/>
      <c r="Y150" s="2450"/>
      <c r="Z150" s="2450"/>
      <c r="AA150" s="2450"/>
      <c r="AB150" s="2450"/>
      <c r="AC150" s="4077"/>
      <c r="AD150" s="4077"/>
      <c r="AK150" s="4321"/>
      <c r="AL150" s="4321"/>
      <c r="AM150" s="4321"/>
      <c r="AN150" s="4321"/>
      <c r="AQ150" s="4424"/>
      <c r="AR150" s="4424"/>
      <c r="AS150" s="4424"/>
      <c r="AT150" s="4424"/>
      <c r="AU150" s="4669"/>
      <c r="AV150" s="4669"/>
      <c r="AW150" s="4669"/>
      <c r="AX150" s="4669"/>
      <c r="AY150" s="5060"/>
      <c r="AZ150" s="5060"/>
      <c r="BE150" s="5060"/>
      <c r="BF150" s="5060"/>
      <c r="BG150" s="26"/>
      <c r="BH150" s="26"/>
      <c r="BI150" s="26"/>
      <c r="BJ150" s="26"/>
    </row>
    <row r="151" spans="2:62" ht="21" hidden="1" customHeight="1" x14ac:dyDescent="0.35">
      <c r="B151" s="2513"/>
      <c r="C151" s="2510" t="s">
        <v>202</v>
      </c>
      <c r="D151" s="2508"/>
      <c r="E151" s="2508"/>
      <c r="F151" s="2508">
        <v>2449</v>
      </c>
      <c r="G151" s="2508"/>
      <c r="H151" s="2508">
        <v>3413</v>
      </c>
      <c r="I151" s="2508"/>
      <c r="J151" s="2508"/>
      <c r="K151" s="2508"/>
      <c r="L151" s="2508">
        <v>2754</v>
      </c>
      <c r="M151" s="2508"/>
      <c r="N151" s="2508">
        <f t="shared" ref="N151:N153" si="351">+L151+H151+F151</f>
        <v>8616</v>
      </c>
      <c r="O151" s="2508"/>
      <c r="P151" s="2508">
        <v>3972</v>
      </c>
      <c r="Q151" s="2508"/>
      <c r="R151" s="2508">
        <f t="shared" ref="R151:R153" si="352">+N151+P151</f>
        <v>12588</v>
      </c>
      <c r="S151" s="2450"/>
      <c r="U151" s="2450"/>
      <c r="V151" s="2450"/>
      <c r="W151" s="2450"/>
      <c r="X151" s="2450"/>
      <c r="Y151" s="2450"/>
      <c r="Z151" s="2450"/>
      <c r="AA151" s="2450"/>
      <c r="AB151" s="2450"/>
      <c r="AC151" s="4077"/>
      <c r="AD151" s="4077"/>
      <c r="AK151" s="4321"/>
      <c r="AL151" s="4321"/>
      <c r="AM151" s="4321"/>
      <c r="AN151" s="4321"/>
      <c r="AQ151" s="4424"/>
      <c r="AR151" s="4424"/>
      <c r="AS151" s="4424"/>
      <c r="AT151" s="4424"/>
      <c r="AU151" s="4669"/>
      <c r="AV151" s="4669"/>
      <c r="AW151" s="4669"/>
      <c r="AX151" s="4669"/>
      <c r="AY151" s="5060"/>
      <c r="AZ151" s="5060"/>
      <c r="BE151" s="5060"/>
      <c r="BF151" s="5060"/>
      <c r="BG151" s="26"/>
      <c r="BH151" s="26"/>
      <c r="BI151" s="26"/>
      <c r="BJ151" s="26"/>
    </row>
    <row r="152" spans="2:62" ht="21" hidden="1" customHeight="1" x14ac:dyDescent="0.35">
      <c r="B152" s="6393" t="s">
        <v>1723</v>
      </c>
      <c r="C152" s="2510" t="s">
        <v>1721</v>
      </c>
      <c r="D152" s="2508"/>
      <c r="E152" s="2508"/>
      <c r="F152" s="2508">
        <v>4866</v>
      </c>
      <c r="G152" s="2508"/>
      <c r="H152" s="2508">
        <v>4620</v>
      </c>
      <c r="I152" s="2508"/>
      <c r="J152" s="2508"/>
      <c r="K152" s="2508"/>
      <c r="L152" s="2508">
        <v>4206</v>
      </c>
      <c r="M152" s="2508"/>
      <c r="N152" s="2508">
        <f t="shared" si="351"/>
        <v>13692</v>
      </c>
      <c r="O152" s="2508"/>
      <c r="P152" s="2508">
        <v>5340</v>
      </c>
      <c r="Q152" s="2508"/>
      <c r="R152" s="2508">
        <f t="shared" si="352"/>
        <v>19032</v>
      </c>
      <c r="S152" s="2450"/>
      <c r="U152" s="2450"/>
      <c r="V152" s="2450"/>
      <c r="W152" s="2450"/>
      <c r="X152" s="2450"/>
      <c r="Y152" s="2450"/>
      <c r="Z152" s="2450"/>
      <c r="AA152" s="2450"/>
      <c r="AB152" s="2450"/>
      <c r="AC152" s="4077"/>
      <c r="AD152" s="4077"/>
      <c r="AK152" s="4321"/>
      <c r="AL152" s="4321"/>
      <c r="AM152" s="4321"/>
      <c r="AN152" s="4321"/>
      <c r="AQ152" s="4424"/>
      <c r="AR152" s="4424"/>
      <c r="AS152" s="4424"/>
      <c r="AT152" s="4424"/>
      <c r="AU152" s="4669"/>
      <c r="AV152" s="4669"/>
      <c r="AW152" s="4669"/>
      <c r="AX152" s="4669"/>
      <c r="AY152" s="5060"/>
      <c r="AZ152" s="5060"/>
      <c r="BE152" s="5060"/>
      <c r="BF152" s="5060"/>
      <c r="BG152" s="26"/>
      <c r="BH152" s="26"/>
      <c r="BI152" s="26"/>
      <c r="BJ152" s="26"/>
    </row>
    <row r="153" spans="2:62" ht="21" hidden="1" customHeight="1" x14ac:dyDescent="0.35">
      <c r="B153" s="6393"/>
      <c r="C153" s="2510" t="s">
        <v>1722</v>
      </c>
      <c r="D153" s="2508"/>
      <c r="E153" s="2508"/>
      <c r="F153" s="2508">
        <v>1022</v>
      </c>
      <c r="G153" s="2508"/>
      <c r="H153" s="2508">
        <v>908</v>
      </c>
      <c r="I153" s="2508"/>
      <c r="J153" s="2508"/>
      <c r="K153" s="2508"/>
      <c r="L153" s="2508">
        <v>1244</v>
      </c>
      <c r="M153" s="2508"/>
      <c r="N153" s="2508">
        <f t="shared" si="351"/>
        <v>3174</v>
      </c>
      <c r="O153" s="2508"/>
      <c r="P153" s="2508">
        <v>1080</v>
      </c>
      <c r="Q153" s="2508"/>
      <c r="R153" s="2508">
        <f t="shared" si="352"/>
        <v>4254</v>
      </c>
      <c r="S153" s="2450"/>
      <c r="U153" s="2450"/>
      <c r="V153" s="2450"/>
      <c r="W153" s="2450"/>
      <c r="X153" s="2450"/>
      <c r="Y153" s="2450"/>
      <c r="Z153" s="2450"/>
      <c r="AA153" s="2450"/>
      <c r="AB153" s="2450"/>
      <c r="AC153" s="4077"/>
      <c r="AD153" s="4077"/>
      <c r="AK153" s="4321"/>
      <c r="AL153" s="4321"/>
      <c r="AM153" s="4321"/>
      <c r="AN153" s="4321"/>
      <c r="AQ153" s="4424"/>
      <c r="AR153" s="4424"/>
      <c r="AS153" s="4424"/>
      <c r="AT153" s="4424"/>
      <c r="AU153" s="4669"/>
      <c r="AV153" s="4669"/>
      <c r="AW153" s="4669"/>
      <c r="AX153" s="4669"/>
      <c r="AY153" s="5060"/>
      <c r="AZ153" s="5060"/>
      <c r="BE153" s="5060"/>
      <c r="BF153" s="5060"/>
      <c r="BG153" s="26"/>
      <c r="BH153" s="26"/>
      <c r="BI153" s="26"/>
      <c r="BJ153" s="26"/>
    </row>
    <row r="154" spans="2:62" ht="21" hidden="1" customHeight="1" x14ac:dyDescent="0.25">
      <c r="B154" s="2450"/>
      <c r="C154" s="2450"/>
      <c r="D154" s="2450"/>
      <c r="E154" s="2450"/>
      <c r="F154" s="2450"/>
      <c r="G154" s="2450"/>
      <c r="H154" s="2450"/>
      <c r="I154" s="2450"/>
      <c r="J154" s="2450"/>
      <c r="K154" s="2450"/>
      <c r="L154" s="2450"/>
      <c r="M154" s="2450"/>
      <c r="N154" s="2450"/>
      <c r="O154" s="2450"/>
      <c r="P154" s="2450"/>
      <c r="Q154" s="2450"/>
      <c r="R154" s="2450"/>
      <c r="S154" s="2450"/>
      <c r="U154" s="2450"/>
      <c r="V154" s="2450"/>
      <c r="W154" s="2450"/>
      <c r="X154" s="2450"/>
      <c r="Y154" s="2450"/>
      <c r="Z154" s="2450"/>
      <c r="AA154" s="2450"/>
      <c r="AB154" s="2450"/>
      <c r="AC154" s="4077"/>
      <c r="AD154" s="4077"/>
      <c r="AK154" s="4321"/>
      <c r="AL154" s="4321"/>
      <c r="AM154" s="4321"/>
      <c r="AN154" s="4321"/>
      <c r="AQ154" s="4424"/>
      <c r="AR154" s="4424"/>
      <c r="AS154" s="4424"/>
      <c r="AT154" s="4424"/>
      <c r="AU154" s="4669"/>
      <c r="AV154" s="4669"/>
      <c r="AW154" s="4669"/>
      <c r="AX154" s="4669"/>
      <c r="AY154" s="5060"/>
      <c r="AZ154" s="5060"/>
      <c r="BE154" s="5060"/>
      <c r="BF154" s="5060"/>
      <c r="BG154" s="26"/>
      <c r="BH154" s="26"/>
      <c r="BI154" s="26"/>
      <c r="BJ154" s="26"/>
    </row>
    <row r="155" spans="2:62" ht="21" customHeight="1" x14ac:dyDescent="0.25">
      <c r="B155" s="2450"/>
      <c r="C155" s="2450"/>
      <c r="D155" s="2450"/>
      <c r="E155" s="2450"/>
      <c r="F155" s="2450"/>
      <c r="G155" s="2450"/>
      <c r="H155" s="2450"/>
      <c r="I155" s="2450"/>
      <c r="J155" s="2450"/>
      <c r="K155" s="2450"/>
      <c r="L155" s="2450"/>
      <c r="M155" s="2450"/>
      <c r="N155" s="2450"/>
      <c r="O155" s="2450"/>
      <c r="P155" s="2450"/>
      <c r="Q155" s="2450"/>
      <c r="R155" s="2450"/>
      <c r="S155" s="2450"/>
      <c r="U155" s="2450"/>
      <c r="V155" s="2450"/>
      <c r="W155" s="2450"/>
      <c r="X155" s="2450"/>
      <c r="Y155" s="2450"/>
      <c r="Z155" s="2450"/>
      <c r="AA155" s="2450"/>
      <c r="AB155" s="2450"/>
      <c r="AC155" s="4077"/>
      <c r="AD155" s="4077"/>
      <c r="AK155" s="4321"/>
      <c r="AL155" s="4321"/>
      <c r="AM155" s="4321"/>
      <c r="AN155" s="4321"/>
      <c r="AQ155" s="4424"/>
      <c r="AR155" s="4424"/>
      <c r="AS155" s="4424"/>
      <c r="AT155" s="4424"/>
      <c r="AU155" s="4669"/>
      <c r="AV155" s="4669"/>
      <c r="AW155" s="4669"/>
      <c r="AX155" s="4669"/>
      <c r="AY155" s="5060"/>
      <c r="AZ155" s="5060"/>
      <c r="BE155" s="5060"/>
      <c r="BF155" s="5060"/>
      <c r="BG155" s="26"/>
      <c r="BH155" s="26"/>
      <c r="BI155" s="26"/>
      <c r="BJ155" s="26"/>
    </row>
    <row r="156" spans="2:62" ht="21" customHeight="1" thickBot="1" x14ac:dyDescent="0.3">
      <c r="B156" s="2450"/>
      <c r="C156" s="2450"/>
      <c r="D156" s="2450"/>
      <c r="E156" s="2450"/>
      <c r="F156" s="2450"/>
      <c r="G156" s="2450"/>
      <c r="H156" s="2450"/>
      <c r="I156" s="2450"/>
      <c r="J156" s="2450"/>
      <c r="K156" s="2450"/>
      <c r="L156" s="2450"/>
      <c r="M156" s="2450"/>
      <c r="N156" s="2450"/>
      <c r="O156" s="2450"/>
      <c r="P156" s="2450"/>
      <c r="Q156" s="2450"/>
      <c r="R156" s="2450"/>
      <c r="S156" s="2450"/>
      <c r="U156" s="2450"/>
      <c r="V156" s="2450"/>
      <c r="W156" s="2450"/>
      <c r="X156" s="2450"/>
      <c r="Y156" s="2450"/>
      <c r="Z156" s="2450"/>
      <c r="AA156" s="2450"/>
      <c r="AB156" s="2450"/>
      <c r="AC156" s="4077"/>
      <c r="AD156" s="4077"/>
      <c r="AK156" s="4321"/>
      <c r="AL156" s="4321"/>
      <c r="AM156" s="4321"/>
      <c r="AN156" s="4321"/>
      <c r="AQ156" s="4424"/>
      <c r="AR156" s="4424"/>
      <c r="AS156" s="4424"/>
      <c r="AT156" s="4424"/>
      <c r="AU156" s="4669"/>
      <c r="AV156" s="4669"/>
      <c r="AW156" s="4669"/>
      <c r="AX156" s="4669"/>
      <c r="AY156" s="5060"/>
      <c r="AZ156" s="5060"/>
      <c r="BE156" s="5060"/>
      <c r="BF156" s="5060"/>
      <c r="BG156" s="26"/>
      <c r="BH156" s="26"/>
      <c r="BI156" s="26"/>
      <c r="BJ156" s="26"/>
    </row>
    <row r="157" spans="2:62" ht="300" customHeight="1" thickBot="1" x14ac:dyDescent="0.3">
      <c r="B157" s="2612" t="s">
        <v>284</v>
      </c>
      <c r="C157" s="884" t="s">
        <v>179</v>
      </c>
      <c r="D157" s="3175"/>
      <c r="E157" s="1024"/>
      <c r="F157" s="1025" t="s">
        <v>1478</v>
      </c>
      <c r="G157" s="1024"/>
      <c r="H157" s="1025" t="s">
        <v>1579</v>
      </c>
      <c r="I157" s="3187"/>
      <c r="J157" s="3194" t="str">
        <f>+H157</f>
        <v>6th relining life (carried on 13.01.21-23.01.21): 3875 Heats (lasted from 24.01.21-21.10.21);
7th carried on 22.10.21-29.10.21 which has resulted in 5705 Heats (lasted from 30.10.21-18.11.22) ,8th carried on 19.11.22-01.12.22 which has resulted in  3029 Heats till 31.05.23.</v>
      </c>
      <c r="K157" s="1024"/>
      <c r="L157" s="1025" t="s">
        <v>1645</v>
      </c>
      <c r="M157" s="1028"/>
      <c r="N157" s="3199" t="s">
        <v>1645</v>
      </c>
      <c r="O157" s="1024"/>
      <c r="P157" s="1025" t="s">
        <v>1691</v>
      </c>
      <c r="Q157" s="1026"/>
      <c r="R157" s="1027" t="str">
        <f>P157</f>
        <v>6th relining life (carried on 13.01.21-23.01.21): 3875 Heats (lasted from 24.01.21-21.10.21);
7th carried on 22.10.21-29.10.21 which has resulted in 5705 Heats (lasted from 30.10.21-18.11.22) ,8th carried on 19.11.22-01.12.22 which has resulted in  3876 Heats till 31.07.23.</v>
      </c>
      <c r="S157" s="1024"/>
      <c r="T157" s="2679" t="s">
        <v>1741</v>
      </c>
      <c r="U157" s="1026"/>
      <c r="V157" s="1027" t="str">
        <f>+T157</f>
        <v>6th relining life (carried on 13.01.21-23.01.21): 3875 Heats (lasted from 24.01.21-21.10.21);
7th carried on 22.10.21-29.10.21 which has resulted in 5705 Heats (lasted from 30.10.21-18.11.22) ,8th carried on 19.11.22-01.12.22 which has resulted in  4374 Heats till 31.08.23.</v>
      </c>
      <c r="W157" s="1024"/>
      <c r="X157" s="2679" t="s">
        <v>1823</v>
      </c>
      <c r="Y157" s="3949"/>
      <c r="Z157" s="3951" t="s">
        <v>1823</v>
      </c>
      <c r="AA157" s="1029"/>
      <c r="AB157" s="1030" t="s">
        <v>1823</v>
      </c>
      <c r="AC157" s="1024"/>
      <c r="AD157" s="2679" t="s">
        <v>1857</v>
      </c>
      <c r="AE157" s="1026"/>
      <c r="AF157" s="1027" t="str">
        <f>AD157</f>
        <v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269 Heats till 31.10.23.</v>
      </c>
      <c r="AG157" s="1024"/>
      <c r="AH157" s="2679" t="s">
        <v>1871</v>
      </c>
      <c r="AI157" s="1026"/>
      <c r="AJ157" s="1027" t="str">
        <f>AH157</f>
        <v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861 Heats till 30.11.23.</v>
      </c>
      <c r="AK157" s="1024"/>
      <c r="AL157" s="2679" t="s">
        <v>1905</v>
      </c>
      <c r="AM157" s="3949"/>
      <c r="AN157" s="3951" t="str">
        <f>AL157</f>
        <v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1344 Heats till 31.12.23.</v>
      </c>
      <c r="AO157" s="1026"/>
      <c r="AP157" s="1027" t="str">
        <f>AL157</f>
        <v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1344 Heats till 31.12.23.</v>
      </c>
      <c r="AQ157" s="1024"/>
      <c r="AR157" s="2679" t="s">
        <v>1920</v>
      </c>
      <c r="AS157" s="1026"/>
      <c r="AT157" s="1027" t="str">
        <f>AR157</f>
        <v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1851 Heats till 31.01.24.</v>
      </c>
      <c r="AU157" s="1024"/>
      <c r="AV157" s="2679" t="s">
        <v>1951</v>
      </c>
      <c r="AW157" s="1026"/>
      <c r="AX157" s="1027" t="str">
        <f>AV157</f>
        <v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2370 Heats till 29.02.24.</v>
      </c>
      <c r="AY157" s="1024"/>
      <c r="AZ157" s="2679" t="s">
        <v>1969</v>
      </c>
      <c r="BA157" s="3949"/>
      <c r="BB157" s="3951" t="str">
        <f>AZ157</f>
        <v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2903 Heats till 31.03.24.</v>
      </c>
      <c r="BC157" s="1029"/>
      <c r="BD157" s="1030" t="str">
        <f>AZ157</f>
        <v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2903 Heats till 31.03.24.</v>
      </c>
      <c r="BE157" s="1026"/>
      <c r="BF157" s="1027" t="str">
        <f>BD157</f>
        <v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2903 Heats till 31.03.24.</v>
      </c>
      <c r="BG157" s="26"/>
      <c r="BH157" s="26"/>
      <c r="BI157" s="26"/>
      <c r="BJ157" s="26"/>
    </row>
    <row r="158" spans="2:62" ht="393.75" x14ac:dyDescent="0.25">
      <c r="B158" s="2612" t="s">
        <v>285</v>
      </c>
      <c r="C158" s="884" t="s">
        <v>179</v>
      </c>
      <c r="D158" s="3175"/>
      <c r="E158" s="1031"/>
      <c r="F158" s="1032" t="s">
        <v>1479</v>
      </c>
      <c r="G158" s="1031"/>
      <c r="H158" s="1032" t="s">
        <v>1580</v>
      </c>
      <c r="I158" s="3188"/>
      <c r="J158" s="3195" t="str">
        <f>+H158</f>
        <v xml:space="preserve">
10th Relining carried on 28.07.22-02.08.22 which has resulted in 3510 Heats till 21.03.23.11th relining carried on from 22.03.2023-27.03.2023 which has resulted 1139 Heats till 31.05.2023.</v>
      </c>
      <c r="K158" s="1031"/>
      <c r="L158" s="1032" t="s">
        <v>1646</v>
      </c>
      <c r="M158" s="1035"/>
      <c r="N158" s="3200" t="s">
        <v>1646</v>
      </c>
      <c r="O158" s="1031"/>
      <c r="P158" s="1032" t="s">
        <v>1692</v>
      </c>
      <c r="Q158" s="1033"/>
      <c r="R158" s="1034" t="str">
        <f>P158</f>
        <v xml:space="preserve">
10th Relining carried on 28.07.22-02.08.22 which has resulted in 3510 Heats till 21.03.23.11th relining carried on from 22.03.2023-27.03.2023 which has resulted 2052 Heats till 31.07.2023.</v>
      </c>
      <c r="S158" s="1031"/>
      <c r="T158" s="2680" t="s">
        <v>1742</v>
      </c>
      <c r="U158" s="1033"/>
      <c r="V158" s="1034" t="str">
        <f>+T158</f>
        <v xml:space="preserve">
10th Relining carried on 28.07.22-02.08.22 which has resulted in 3510 Heats till 21.03.23.11th relining carried on from 22.03.2023-27.03.2023 which has resulted 2501 Heats till 31.08.2023.</v>
      </c>
      <c r="W158" s="1031"/>
      <c r="X158" s="2680" t="s">
        <v>1824</v>
      </c>
      <c r="Y158" s="1035"/>
      <c r="Z158" s="3950" t="s">
        <v>1824</v>
      </c>
      <c r="AA158" s="1036"/>
      <c r="AB158" s="1037" t="s">
        <v>1824</v>
      </c>
      <c r="AC158" s="1031"/>
      <c r="AD158" s="2680" t="s">
        <v>1855</v>
      </c>
      <c r="AE158" s="1033"/>
      <c r="AF158" s="1034" t="str">
        <f>AD158</f>
        <v xml:space="preserve">
10th Relining carried on 28.07.22-02.08.22 which has resulted in 3510 Heats till 21.03.23.11th relining carried on from 22.03.2023-27.03.2023 which has resulted 3583 Heats till 31.10.2023.</v>
      </c>
      <c r="AG158" s="1031"/>
      <c r="AH158" s="2680" t="s">
        <v>1872</v>
      </c>
      <c r="AI158" s="1033"/>
      <c r="AJ158" s="1034" t="str">
        <f>AH158</f>
        <v xml:space="preserve">
10th Relining carried on 28.07.22-02.08.22 which has resulted in 3510 Heats till 21.03.23.11th relining carried on from 22.03.2023-27.03.2023 which has resulted 3815 Heats till 30.11.2023.</v>
      </c>
      <c r="AK158" s="1031"/>
      <c r="AL158" s="2680" t="s">
        <v>1906</v>
      </c>
      <c r="AM158" s="1035"/>
      <c r="AN158" s="3950" t="str">
        <f>AL158</f>
        <v xml:space="preserve">
10th Relining carried on 28.07.22-02.08.22 which has resulted in 3510 Heats till 21.03.23.11th relining carried on from 22.03.2023-27.03.2023 which has resulted 4242 Heats till 31.12.2023.</v>
      </c>
      <c r="AO158" s="1033"/>
      <c r="AP158" s="1034" t="str">
        <f>AL158</f>
        <v xml:space="preserve">
10th Relining carried on 28.07.22-02.08.22 which has resulted in 3510 Heats till 21.03.23.11th relining carried on from 22.03.2023-27.03.2023 which has resulted 4242 Heats till 31.12.2023.</v>
      </c>
      <c r="AQ158" s="1031"/>
      <c r="AR158" s="2680" t="s">
        <v>1924</v>
      </c>
      <c r="AS158" s="1033"/>
      <c r="AT158" s="1034" t="str">
        <f>AR158</f>
        <v xml:space="preserve">
10th Relining carried on 28.07.22-02.08.22 which has resulted in 3510 Heats till 21.03.23.11th relining carried on from 22.03.2023-27.03.2023 which has resulted 4715 Heats till 31.01.2024.</v>
      </c>
      <c r="AU158" s="1031"/>
      <c r="AV158" s="2680" t="s">
        <v>1952</v>
      </c>
      <c r="AW158" s="1033"/>
      <c r="AX158" s="1034" t="str">
        <f>AV158</f>
        <v xml:space="preserve">
10th Relining carried on 28.07.22-02.08.22 which has resulted in 3510 Heats till 21.03.23.11th relining carried on from 22.03.2023-27.03.2023 which has resulted 5162 Heats till 29.02.2024.</v>
      </c>
      <c r="AY158" s="1031"/>
      <c r="AZ158" s="2680" t="s">
        <v>1967</v>
      </c>
      <c r="BA158" s="1035"/>
      <c r="BB158" s="3950" t="str">
        <f>AZ158</f>
        <v xml:space="preserve">
10th Relining carried on 28.07.22-02.08.22 which has resulted in 3510 Heats till 21.03.23.11th relining carried on from 22.03.2023-27.03.2023 which has resulted 5647 Heats till 31.03.2024.</v>
      </c>
      <c r="BC158" s="1036"/>
      <c r="BD158" s="1037" t="str">
        <f>AZ158</f>
        <v xml:space="preserve">
10th Relining carried on 28.07.22-02.08.22 which has resulted in 3510 Heats till 21.03.23.11th relining carried on from 22.03.2023-27.03.2023 which has resulted 5647 Heats till 31.03.2024.</v>
      </c>
      <c r="BE158" s="1033"/>
      <c r="BF158" s="1034" t="str">
        <f>AZ158</f>
        <v xml:space="preserve">
10th Relining carried on 28.07.22-02.08.22 which has resulted in 3510 Heats till 21.03.23.11th relining carried on from 22.03.2023-27.03.2023 which has resulted 5647 Heats till 31.03.2024.</v>
      </c>
      <c r="BG158" s="26"/>
      <c r="BH158" s="26"/>
      <c r="BI158" s="26"/>
      <c r="BJ158" s="26"/>
    </row>
    <row r="159" spans="2:62" ht="409.6" thickBot="1" x14ac:dyDescent="0.3">
      <c r="B159" s="3278" t="s">
        <v>286</v>
      </c>
      <c r="C159" s="885" t="s">
        <v>179</v>
      </c>
      <c r="D159" s="3176"/>
      <c r="E159" s="3279"/>
      <c r="F159" s="3280" t="s">
        <v>1480</v>
      </c>
      <c r="G159" s="3279"/>
      <c r="H159" s="3280" t="s">
        <v>1581</v>
      </c>
      <c r="I159" s="3281"/>
      <c r="J159" s="3282" t="str">
        <f>+H159</f>
        <v>7th relining life (carried on 28.05.20-06.07.20): 4157 Heats ( Lasted from 07.07.20  to 16.04.21);
8th carried on 17.04.21-22.05.21, started from 23.05.21  to 03.02.22 resulted in 3748  Heats.9th Relining carried out from 04.02.22 to 11.02.22 , started from 12.02.22 resulted in 3990 Heats till 31.10.22.10th Relining carried out from 10.11.22 to 15.11.22 , started from 16.11.22 resulted in 2598 Heats till 09.04.23.11th Relining carried out from 10.04.23 to 19.04.23 , started from 20.04.23 resulted in 641 Heats till 31.05.23</v>
      </c>
      <c r="K159" s="3279"/>
      <c r="L159" s="3280" t="s">
        <v>1673</v>
      </c>
      <c r="M159" s="3283"/>
      <c r="N159" s="3284" t="s">
        <v>1673</v>
      </c>
      <c r="O159" s="3279"/>
      <c r="P159" s="3280" t="s">
        <v>1693</v>
      </c>
      <c r="Q159" s="3285"/>
      <c r="R159" s="3286" t="str">
        <f>P159</f>
        <v>.9th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1685 Heats till 31.07.23</v>
      </c>
      <c r="S159" s="3279"/>
      <c r="T159" s="3287" t="s">
        <v>1743</v>
      </c>
      <c r="U159" s="3285"/>
      <c r="V159" s="3286" t="str">
        <f>+T159</f>
        <v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2237 Heats till 31.08.23</v>
      </c>
      <c r="W159" s="3279"/>
      <c r="X159" s="3287" t="s">
        <v>1825</v>
      </c>
      <c r="Y159" s="1038"/>
      <c r="Z159" s="439" t="s">
        <v>1825</v>
      </c>
      <c r="AA159" s="1039"/>
      <c r="AB159" s="1040" t="s">
        <v>1825</v>
      </c>
      <c r="AC159" s="3279"/>
      <c r="AD159" s="3287" t="s">
        <v>1856</v>
      </c>
      <c r="AE159" s="3285"/>
      <c r="AF159" s="3286" t="str">
        <f>AD159</f>
        <v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3378 Heats till 31.10.23</v>
      </c>
      <c r="AG159" s="3279"/>
      <c r="AH159" s="3287" t="s">
        <v>1873</v>
      </c>
      <c r="AI159" s="3285"/>
      <c r="AJ159" s="3286" t="str">
        <f>AH159</f>
        <v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3828 Heats till 30.11.23</v>
      </c>
      <c r="AK159" s="3279"/>
      <c r="AL159" s="3287" t="s">
        <v>1907</v>
      </c>
      <c r="AM159" s="1038"/>
      <c r="AN159" s="439" t="str">
        <f>AL159</f>
        <v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4326 Heats till 31.12.23</v>
      </c>
      <c r="AO159" s="3285"/>
      <c r="AP159" s="3286" t="str">
        <f>AL159</f>
        <v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4326 Heats till 31.12.23</v>
      </c>
      <c r="AQ159" s="3279"/>
      <c r="AR159" s="3287" t="s">
        <v>1921</v>
      </c>
      <c r="AS159" s="3285"/>
      <c r="AT159" s="3286" t="str">
        <f>AR159</f>
        <v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4804 Heats till 31.01.24</v>
      </c>
      <c r="AU159" s="3279"/>
      <c r="AV159" s="3287" t="s">
        <v>1953</v>
      </c>
      <c r="AW159" s="3285"/>
      <c r="AX159" s="3286" t="str">
        <f>AV159</f>
        <v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5269 Heats till 29.02.24</v>
      </c>
      <c r="AY159" s="3279"/>
      <c r="AZ159" s="3287" t="s">
        <v>1968</v>
      </c>
      <c r="BA159" s="1038"/>
      <c r="BB159" s="439" t="str">
        <f>AZ159</f>
        <v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5724 Heats till 31.03.24</v>
      </c>
      <c r="BC159" s="1039"/>
      <c r="BD159" s="1040" t="str">
        <f>AZ159</f>
        <v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5724 Heats till 31.03.24</v>
      </c>
      <c r="BE159" s="3285"/>
      <c r="BF159" s="3286" t="str">
        <f>AZ159</f>
        <v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5724 Heats till 31.03.24</v>
      </c>
      <c r="BG159" s="26"/>
      <c r="BH159" s="26"/>
      <c r="BI159" s="26"/>
      <c r="BJ159" s="26"/>
    </row>
    <row r="160" spans="2:62" ht="21" customHeight="1" x14ac:dyDescent="0.25">
      <c r="B160" s="2450"/>
      <c r="C160" s="2450"/>
      <c r="D160" s="2450"/>
      <c r="E160" s="2450"/>
      <c r="F160" s="2450"/>
      <c r="G160" s="2450"/>
      <c r="H160" s="2450"/>
      <c r="I160" s="2450"/>
      <c r="J160" s="2450"/>
      <c r="K160" s="2450"/>
      <c r="L160" s="2450"/>
      <c r="M160" s="2450"/>
      <c r="N160" s="2450"/>
      <c r="O160" s="2450"/>
      <c r="P160" s="2450"/>
      <c r="Q160" s="2450"/>
      <c r="R160" s="2450"/>
      <c r="S160" s="2450"/>
      <c r="U160" s="2450"/>
      <c r="V160" s="2450"/>
      <c r="W160" s="2450"/>
      <c r="X160" s="2450"/>
      <c r="Y160" s="2450"/>
      <c r="Z160" s="2450"/>
      <c r="AA160" s="2450"/>
      <c r="AB160" s="2450"/>
      <c r="AM160" s="4321"/>
      <c r="AN160" s="4321"/>
      <c r="BG160" s="26"/>
      <c r="BH160" s="26"/>
      <c r="BI160" s="26"/>
      <c r="BJ160" s="26"/>
    </row>
    <row r="161" spans="2:62" ht="21" customHeight="1" x14ac:dyDescent="0.25">
      <c r="B161" s="2450"/>
      <c r="C161" s="2450"/>
      <c r="D161" s="2450"/>
      <c r="E161" s="2450"/>
      <c r="F161" s="2450"/>
      <c r="G161" s="2450"/>
      <c r="H161" s="2450"/>
      <c r="I161" s="2450"/>
      <c r="J161" s="2450"/>
      <c r="K161" s="2450"/>
      <c r="L161" s="2450"/>
      <c r="M161" s="2450"/>
      <c r="N161" s="2450"/>
      <c r="O161" s="2450"/>
      <c r="P161" s="2450"/>
      <c r="Q161" s="2450"/>
      <c r="R161" s="2450"/>
      <c r="S161" s="2450"/>
      <c r="U161" s="2450"/>
      <c r="V161" s="2450"/>
      <c r="W161" s="2450"/>
      <c r="X161" s="2450"/>
      <c r="Y161" s="2450"/>
      <c r="Z161" s="2450"/>
      <c r="AA161" s="2450"/>
      <c r="AB161" s="2450"/>
      <c r="AM161" s="4321"/>
      <c r="AN161" s="4321"/>
      <c r="BG161" s="26"/>
      <c r="BH161" s="26"/>
      <c r="BI161" s="26"/>
      <c r="BJ161" s="26"/>
    </row>
    <row r="162" spans="2:62" ht="21" customHeight="1" x14ac:dyDescent="0.25">
      <c r="B162" s="2450"/>
      <c r="C162" s="2450"/>
      <c r="D162" s="2450"/>
      <c r="E162" s="2450"/>
      <c r="F162" s="2450"/>
      <c r="G162" s="2450"/>
      <c r="H162" s="2450"/>
      <c r="I162" s="2450"/>
      <c r="J162" s="2450"/>
      <c r="K162" s="2450"/>
      <c r="L162" s="2450"/>
      <c r="M162" s="2450"/>
      <c r="N162" s="2450"/>
      <c r="O162" s="2450"/>
      <c r="P162" s="2450"/>
      <c r="Q162" s="2450"/>
      <c r="R162" s="2450"/>
      <c r="S162" s="2450"/>
      <c r="U162" s="2450"/>
      <c r="V162" s="2450"/>
      <c r="W162" s="2450"/>
      <c r="X162" s="2450"/>
      <c r="Y162" s="2450"/>
      <c r="Z162" s="2450"/>
      <c r="AA162" s="2450"/>
      <c r="AB162" s="2450"/>
      <c r="BG162" s="26"/>
      <c r="BH162" s="26"/>
      <c r="BI162" s="26"/>
      <c r="BJ162" s="26"/>
    </row>
    <row r="163" spans="2:62" ht="21" customHeight="1" x14ac:dyDescent="0.25">
      <c r="B163" s="2450"/>
      <c r="C163" s="2450"/>
      <c r="D163" s="2450"/>
      <c r="E163" s="2450"/>
      <c r="F163" s="2450"/>
      <c r="G163" s="2450"/>
      <c r="H163" s="2450"/>
      <c r="I163" s="2450"/>
      <c r="J163" s="2450"/>
      <c r="K163" s="2450"/>
      <c r="L163" s="2450"/>
      <c r="M163" s="2450"/>
      <c r="N163" s="2450"/>
      <c r="O163" s="2450"/>
      <c r="P163" s="2450"/>
      <c r="Q163" s="2450"/>
      <c r="R163" s="2450"/>
      <c r="S163" s="2450"/>
      <c r="U163" s="2450"/>
      <c r="V163" s="2450"/>
      <c r="W163" s="2450"/>
      <c r="X163" s="2450"/>
      <c r="Y163" s="2450"/>
      <c r="Z163" s="2450"/>
      <c r="AA163" s="2450"/>
      <c r="AB163" s="2450"/>
      <c r="BG163" s="26"/>
      <c r="BH163" s="26"/>
      <c r="BI163" s="26"/>
      <c r="BJ163" s="26"/>
    </row>
    <row r="164" spans="2:62" ht="21" customHeight="1" x14ac:dyDescent="0.25">
      <c r="B164" s="2450"/>
      <c r="C164" s="2450"/>
      <c r="D164" s="2450"/>
      <c r="E164" s="2450"/>
      <c r="F164" s="2450"/>
      <c r="G164" s="2450"/>
      <c r="H164" s="2450"/>
      <c r="I164" s="2450"/>
      <c r="J164" s="2450"/>
      <c r="K164" s="2450"/>
      <c r="L164" s="2450"/>
      <c r="M164" s="2450"/>
      <c r="N164" s="2450"/>
      <c r="O164" s="2450"/>
      <c r="P164" s="2450"/>
      <c r="Q164" s="2450"/>
      <c r="R164" s="2450"/>
      <c r="S164" s="2450"/>
      <c r="U164" s="2450"/>
      <c r="V164" s="2450"/>
      <c r="W164" s="2450"/>
      <c r="X164" s="2450"/>
      <c r="Y164" s="2450"/>
      <c r="Z164" s="2450"/>
      <c r="AA164" s="2450"/>
      <c r="AB164" s="2450"/>
    </row>
    <row r="165" spans="2:62" ht="21" customHeight="1" x14ac:dyDescent="0.25">
      <c r="B165" s="2450"/>
      <c r="C165" s="2450"/>
      <c r="D165" s="2450"/>
      <c r="E165" s="2450"/>
      <c r="F165" s="2450"/>
      <c r="G165" s="2450"/>
      <c r="H165" s="2450"/>
      <c r="I165" s="2450"/>
      <c r="J165" s="2450"/>
      <c r="K165" s="2450"/>
      <c r="L165" s="2450"/>
      <c r="M165" s="2450"/>
      <c r="N165" s="2450"/>
      <c r="O165" s="2450"/>
      <c r="P165" s="2450"/>
      <c r="Q165" s="2450"/>
      <c r="R165" s="2450"/>
      <c r="S165" s="2450"/>
      <c r="U165" s="2450"/>
      <c r="V165" s="2450"/>
      <c r="W165" s="2450"/>
      <c r="X165" s="2450"/>
      <c r="Y165" s="2450"/>
      <c r="Z165" s="2450"/>
      <c r="AA165" s="2450"/>
      <c r="AB165" s="2450"/>
    </row>
    <row r="166" spans="2:62" ht="21" customHeight="1" x14ac:dyDescent="0.25">
      <c r="B166" s="2450"/>
      <c r="C166" s="2450"/>
      <c r="D166" s="2450"/>
      <c r="E166" s="2450"/>
      <c r="F166" s="2450"/>
      <c r="G166" s="2450"/>
      <c r="H166" s="2450"/>
      <c r="I166" s="2450"/>
      <c r="J166" s="2450"/>
      <c r="K166" s="2450"/>
      <c r="L166" s="2450"/>
      <c r="M166" s="2450"/>
      <c r="N166" s="2450"/>
      <c r="O166" s="2450"/>
      <c r="P166" s="2450"/>
      <c r="Q166" s="2450"/>
      <c r="R166" s="2450"/>
      <c r="S166" s="2450"/>
      <c r="U166" s="2450"/>
      <c r="V166" s="2450"/>
      <c r="W166" s="2450"/>
      <c r="X166" s="2450"/>
      <c r="Y166" s="2450"/>
      <c r="Z166" s="2450"/>
      <c r="AA166" s="2450"/>
      <c r="AB166" s="2450"/>
    </row>
    <row r="167" spans="2:62" ht="21" customHeight="1" x14ac:dyDescent="0.25">
      <c r="B167" s="2450"/>
      <c r="C167" s="2450"/>
      <c r="D167" s="2450"/>
      <c r="E167" s="2450"/>
      <c r="F167" s="2450"/>
      <c r="G167" s="2450"/>
      <c r="H167" s="2450"/>
      <c r="I167" s="2450"/>
      <c r="J167" s="2450"/>
      <c r="K167" s="2450"/>
      <c r="L167" s="2450"/>
      <c r="M167" s="2450"/>
      <c r="N167" s="2450"/>
      <c r="O167" s="2450"/>
      <c r="P167" s="2450"/>
      <c r="Q167" s="2450"/>
      <c r="R167" s="2450"/>
      <c r="S167" s="2450"/>
      <c r="U167" s="2450"/>
      <c r="V167" s="2450"/>
      <c r="W167" s="2450"/>
      <c r="X167" s="2450"/>
      <c r="Y167" s="2450"/>
      <c r="Z167" s="2450"/>
      <c r="AA167" s="2450"/>
      <c r="AB167" s="2450"/>
    </row>
    <row r="168" spans="2:62" ht="21" customHeight="1" x14ac:dyDescent="0.25">
      <c r="B168" s="2450"/>
      <c r="C168" s="2450"/>
      <c r="D168" s="2450"/>
      <c r="E168" s="2450"/>
      <c r="F168" s="2450"/>
      <c r="G168" s="2450"/>
      <c r="H168" s="2450"/>
      <c r="I168" s="2450"/>
      <c r="J168" s="2450"/>
      <c r="K168" s="2450"/>
      <c r="L168" s="2450"/>
      <c r="M168" s="2450"/>
      <c r="N168" s="2450"/>
      <c r="O168" s="2450"/>
      <c r="P168" s="2450"/>
      <c r="Q168" s="2450"/>
      <c r="R168" s="2450"/>
      <c r="S168" s="2450"/>
      <c r="U168" s="2450"/>
      <c r="V168" s="2450"/>
      <c r="W168" s="2450"/>
      <c r="X168" s="2450"/>
      <c r="Y168" s="2450"/>
      <c r="Z168" s="2450"/>
      <c r="AA168" s="2450"/>
      <c r="AB168" s="2450"/>
    </row>
    <row r="169" spans="2:62" ht="21" customHeight="1" x14ac:dyDescent="0.25">
      <c r="B169" s="2450"/>
      <c r="C169" s="2450"/>
      <c r="D169" s="2450"/>
      <c r="E169" s="2450"/>
      <c r="F169" s="2450"/>
      <c r="G169" s="2450"/>
      <c r="H169" s="2450"/>
      <c r="I169" s="2450"/>
      <c r="J169" s="2450"/>
      <c r="K169" s="2450"/>
      <c r="L169" s="2450"/>
      <c r="M169" s="2450"/>
      <c r="N169" s="2450"/>
      <c r="O169" s="2450"/>
      <c r="P169" s="2450"/>
      <c r="Q169" s="2450"/>
      <c r="R169" s="2450"/>
      <c r="S169" s="2450"/>
      <c r="U169" s="2450"/>
      <c r="V169" s="2450"/>
      <c r="W169" s="2450"/>
      <c r="X169" s="2450"/>
      <c r="Y169" s="2450"/>
      <c r="Z169" s="2450"/>
      <c r="AA169" s="2450"/>
      <c r="AB169" s="2450"/>
    </row>
    <row r="170" spans="2:62" ht="21" customHeight="1" x14ac:dyDescent="0.25">
      <c r="B170" s="2450"/>
      <c r="C170" s="2450"/>
      <c r="D170" s="2450"/>
      <c r="E170" s="2450"/>
      <c r="F170" s="2450"/>
      <c r="G170" s="2450"/>
      <c r="H170" s="2450"/>
      <c r="I170" s="2450"/>
      <c r="J170" s="2450"/>
      <c r="K170" s="2450"/>
      <c r="L170" s="2450"/>
      <c r="M170" s="2450"/>
      <c r="N170" s="2450"/>
      <c r="O170" s="2450"/>
      <c r="P170" s="2450"/>
      <c r="Q170" s="2450"/>
      <c r="R170" s="2450"/>
      <c r="S170" s="2450"/>
      <c r="U170" s="2450"/>
      <c r="V170" s="2450"/>
      <c r="W170" s="2450"/>
      <c r="X170" s="2450"/>
      <c r="Y170" s="2450"/>
      <c r="Z170" s="2450"/>
      <c r="AA170" s="2450"/>
      <c r="AB170" s="2450"/>
    </row>
    <row r="171" spans="2:62" ht="21" customHeight="1" x14ac:dyDescent="0.25">
      <c r="B171" s="2450"/>
      <c r="C171" s="2450"/>
      <c r="D171" s="2450"/>
      <c r="E171" s="2450"/>
      <c r="F171" s="2450"/>
      <c r="G171" s="2450"/>
      <c r="H171" s="2450"/>
      <c r="I171" s="2450"/>
      <c r="J171" s="2450"/>
      <c r="K171" s="2450"/>
      <c r="L171" s="2450"/>
      <c r="M171" s="2450"/>
      <c r="N171" s="2450"/>
      <c r="O171" s="2450"/>
      <c r="P171" s="2450"/>
      <c r="Q171" s="2450"/>
      <c r="R171" s="2450"/>
      <c r="S171" s="2450"/>
      <c r="U171" s="2450"/>
      <c r="V171" s="2450"/>
      <c r="W171" s="2450"/>
      <c r="X171" s="2450"/>
      <c r="Y171" s="2450"/>
      <c r="Z171" s="2450"/>
      <c r="AA171" s="2450"/>
      <c r="AB171" s="2450"/>
    </row>
    <row r="172" spans="2:62" ht="21" customHeight="1" x14ac:dyDescent="0.25">
      <c r="B172" s="2450"/>
      <c r="C172" s="2450"/>
      <c r="D172" s="2450"/>
      <c r="E172" s="2450"/>
      <c r="F172" s="2450"/>
      <c r="G172" s="2450"/>
      <c r="H172" s="2450"/>
      <c r="I172" s="2450"/>
      <c r="J172" s="2450"/>
      <c r="K172" s="2450"/>
      <c r="L172" s="2450"/>
      <c r="M172" s="2450"/>
      <c r="N172" s="2450"/>
      <c r="O172" s="2450"/>
      <c r="P172" s="2450"/>
      <c r="Q172" s="2450"/>
      <c r="R172" s="2450"/>
      <c r="S172" s="2450"/>
      <c r="U172" s="2450"/>
      <c r="V172" s="2450"/>
      <c r="W172" s="2450"/>
      <c r="X172" s="2450"/>
      <c r="Y172" s="2450"/>
      <c r="Z172" s="2450"/>
      <c r="AA172" s="2450"/>
      <c r="AB172" s="2450"/>
    </row>
    <row r="173" spans="2:62" ht="21" customHeight="1" x14ac:dyDescent="0.25">
      <c r="B173" s="2450"/>
      <c r="C173" s="2450"/>
      <c r="D173" s="2450"/>
      <c r="E173" s="2450"/>
      <c r="F173" s="2450"/>
      <c r="G173" s="2450"/>
      <c r="H173" s="2450"/>
      <c r="I173" s="2450"/>
      <c r="J173" s="2450"/>
      <c r="K173" s="2450"/>
      <c r="L173" s="2450"/>
      <c r="M173" s="2450"/>
      <c r="N173" s="2450"/>
      <c r="O173" s="2450"/>
      <c r="P173" s="2450"/>
      <c r="Q173" s="2450"/>
      <c r="R173" s="2450"/>
      <c r="S173" s="2450"/>
      <c r="U173" s="2450"/>
      <c r="V173" s="2450"/>
      <c r="W173" s="2450"/>
      <c r="X173" s="2450"/>
      <c r="Y173" s="2450"/>
      <c r="Z173" s="2450"/>
      <c r="AA173" s="2450"/>
      <c r="AB173" s="2450"/>
    </row>
    <row r="174" spans="2:62" ht="21" customHeight="1" x14ac:dyDescent="0.25">
      <c r="B174" s="2450"/>
      <c r="C174" s="2450"/>
      <c r="D174" s="2450"/>
      <c r="E174" s="2450"/>
      <c r="F174" s="2450"/>
      <c r="G174" s="2450"/>
      <c r="H174" s="2450"/>
      <c r="I174" s="2450"/>
      <c r="J174" s="2450"/>
      <c r="K174" s="2450"/>
      <c r="L174" s="2450"/>
      <c r="M174" s="2450"/>
      <c r="N174" s="2450"/>
      <c r="O174" s="2450"/>
      <c r="P174" s="2450"/>
      <c r="Q174" s="2450"/>
      <c r="R174" s="2450"/>
      <c r="S174" s="2450"/>
      <c r="U174" s="2450"/>
      <c r="V174" s="2450"/>
      <c r="W174" s="2450"/>
      <c r="X174" s="2450"/>
      <c r="Y174" s="2450"/>
      <c r="Z174" s="2450"/>
      <c r="AA174" s="2450"/>
      <c r="AB174" s="2450"/>
    </row>
    <row r="175" spans="2:62" ht="21" customHeight="1" x14ac:dyDescent="0.25">
      <c r="B175" s="2450"/>
      <c r="C175" s="2450"/>
      <c r="D175" s="2450"/>
      <c r="E175" s="2450"/>
      <c r="F175" s="2450"/>
      <c r="G175" s="2450"/>
      <c r="H175" s="2450"/>
      <c r="I175" s="2450"/>
      <c r="J175" s="2450"/>
      <c r="K175" s="2450"/>
      <c r="L175" s="2450"/>
      <c r="M175" s="2450"/>
      <c r="N175" s="2450"/>
      <c r="O175" s="2450"/>
      <c r="P175" s="2450"/>
      <c r="Q175" s="2450"/>
      <c r="R175" s="2450"/>
      <c r="S175" s="2450"/>
      <c r="U175" s="2450"/>
      <c r="V175" s="2450"/>
      <c r="W175" s="2450"/>
      <c r="X175" s="2450"/>
      <c r="Y175" s="2450"/>
      <c r="Z175" s="2450"/>
      <c r="AA175" s="2450"/>
      <c r="AB175" s="2450"/>
    </row>
    <row r="176" spans="2:62" ht="21" customHeight="1" x14ac:dyDescent="0.25">
      <c r="B176" s="2450"/>
      <c r="C176" s="2450"/>
      <c r="D176" s="2450"/>
      <c r="E176" s="2450"/>
      <c r="F176" s="2450"/>
      <c r="G176" s="2450"/>
      <c r="H176" s="2450"/>
      <c r="I176" s="2450"/>
      <c r="J176" s="2450"/>
      <c r="K176" s="2450"/>
      <c r="L176" s="2450"/>
      <c r="M176" s="2450"/>
      <c r="N176" s="2450"/>
      <c r="O176" s="2450"/>
      <c r="P176" s="2450"/>
      <c r="Q176" s="2450"/>
      <c r="R176" s="2450"/>
      <c r="S176" s="2450"/>
      <c r="U176" s="2450"/>
      <c r="V176" s="2450"/>
      <c r="W176" s="2450"/>
      <c r="X176" s="2450"/>
      <c r="Y176" s="2450"/>
      <c r="Z176" s="2450"/>
      <c r="AA176" s="2450"/>
      <c r="AB176" s="2450"/>
    </row>
    <row r="177" spans="2:28" ht="21" customHeight="1" x14ac:dyDescent="0.25">
      <c r="B177" s="2450"/>
      <c r="C177" s="2450"/>
      <c r="D177" s="2450"/>
      <c r="E177" s="2450"/>
      <c r="F177" s="2450"/>
      <c r="G177" s="2450"/>
      <c r="H177" s="2450"/>
      <c r="I177" s="2450"/>
      <c r="J177" s="2450"/>
      <c r="K177" s="2450"/>
      <c r="L177" s="2450"/>
      <c r="M177" s="2450"/>
      <c r="N177" s="2450"/>
      <c r="O177" s="2450"/>
      <c r="P177" s="2450"/>
      <c r="Q177" s="2450"/>
      <c r="R177" s="2450"/>
      <c r="S177" s="2450"/>
      <c r="U177" s="2450"/>
      <c r="V177" s="2450"/>
      <c r="W177" s="2450"/>
      <c r="X177" s="2450"/>
      <c r="Y177" s="2450"/>
      <c r="Z177" s="2450"/>
      <c r="AA177" s="2450"/>
      <c r="AB177" s="2450"/>
    </row>
    <row r="178" spans="2:28" ht="21" customHeight="1" x14ac:dyDescent="0.25">
      <c r="B178" s="2450"/>
      <c r="C178" s="2450"/>
      <c r="D178" s="2450"/>
      <c r="E178" s="2450"/>
      <c r="F178" s="2450"/>
      <c r="G178" s="2450"/>
      <c r="H178" s="2450"/>
      <c r="I178" s="2450"/>
      <c r="J178" s="2450"/>
      <c r="K178" s="2450"/>
      <c r="L178" s="2450"/>
      <c r="M178" s="2450"/>
      <c r="N178" s="2450"/>
      <c r="O178" s="2450"/>
      <c r="P178" s="2450"/>
      <c r="Q178" s="2450"/>
      <c r="R178" s="2450"/>
      <c r="S178" s="2450"/>
      <c r="U178" s="2450"/>
      <c r="V178" s="2450"/>
      <c r="W178" s="2450"/>
      <c r="X178" s="2450"/>
      <c r="Y178" s="2450"/>
      <c r="Z178" s="2450"/>
      <c r="AA178" s="2450"/>
      <c r="AB178" s="2450"/>
    </row>
    <row r="179" spans="2:28" ht="21" customHeight="1" x14ac:dyDescent="0.25">
      <c r="B179" s="2450"/>
      <c r="C179" s="2450"/>
      <c r="D179" s="2450"/>
      <c r="E179" s="2450"/>
      <c r="F179" s="2450"/>
      <c r="G179" s="2450"/>
      <c r="H179" s="2450"/>
      <c r="I179" s="2450"/>
      <c r="J179" s="2450"/>
      <c r="K179" s="2450"/>
      <c r="L179" s="2450"/>
      <c r="M179" s="2450"/>
      <c r="N179" s="2450"/>
      <c r="O179" s="2450"/>
      <c r="P179" s="2450"/>
      <c r="Q179" s="2450"/>
      <c r="R179" s="2450"/>
      <c r="S179" s="2450"/>
      <c r="U179" s="2450"/>
      <c r="V179" s="2450"/>
      <c r="W179" s="2450"/>
      <c r="X179" s="2450"/>
      <c r="Y179" s="2450"/>
      <c r="Z179" s="2450"/>
      <c r="AA179" s="2450"/>
      <c r="AB179" s="2450"/>
    </row>
    <row r="180" spans="2:28" ht="21" customHeight="1" x14ac:dyDescent="0.25">
      <c r="B180" s="2450"/>
      <c r="C180" s="2450"/>
      <c r="D180" s="2450"/>
      <c r="E180" s="2450"/>
      <c r="F180" s="2450"/>
      <c r="G180" s="2450"/>
      <c r="H180" s="2450"/>
      <c r="I180" s="2450"/>
      <c r="J180" s="2450"/>
      <c r="K180" s="2450"/>
      <c r="L180" s="2450"/>
      <c r="M180" s="2450"/>
      <c r="N180" s="2450"/>
      <c r="O180" s="2450"/>
      <c r="P180" s="2450"/>
      <c r="Q180" s="2450"/>
      <c r="R180" s="2450"/>
      <c r="S180" s="2450"/>
      <c r="U180" s="2450"/>
      <c r="V180" s="2450"/>
      <c r="W180" s="2450"/>
      <c r="X180" s="2450"/>
      <c r="Y180" s="2450"/>
      <c r="Z180" s="2450"/>
      <c r="AA180" s="2450"/>
      <c r="AB180" s="2450"/>
    </row>
    <row r="181" spans="2:28" ht="21" customHeight="1" x14ac:dyDescent="0.25">
      <c r="B181" s="2450"/>
      <c r="C181" s="2450"/>
      <c r="D181" s="2450"/>
      <c r="E181" s="2450"/>
      <c r="F181" s="2450"/>
      <c r="G181" s="2450"/>
      <c r="H181" s="2450"/>
      <c r="I181" s="2450"/>
      <c r="J181" s="2450"/>
      <c r="K181" s="2450"/>
      <c r="L181" s="2450"/>
      <c r="M181" s="2450"/>
      <c r="N181" s="2450"/>
      <c r="O181" s="2450"/>
      <c r="P181" s="2450"/>
      <c r="Q181" s="2450"/>
      <c r="R181" s="2450"/>
      <c r="S181" s="2450"/>
      <c r="U181" s="2450"/>
      <c r="V181" s="2450"/>
      <c r="W181" s="2450"/>
      <c r="X181" s="2450"/>
      <c r="Y181" s="2450"/>
      <c r="Z181" s="2450"/>
      <c r="AA181" s="2450"/>
      <c r="AB181" s="2450"/>
    </row>
    <row r="182" spans="2:28" ht="21" customHeight="1" x14ac:dyDescent="0.25">
      <c r="B182" s="2450"/>
      <c r="C182" s="2450"/>
      <c r="D182" s="2450"/>
      <c r="E182" s="2450"/>
      <c r="F182" s="2450"/>
      <c r="G182" s="2450"/>
      <c r="H182" s="2450"/>
      <c r="I182" s="2450"/>
      <c r="J182" s="2450"/>
      <c r="K182" s="2450"/>
      <c r="L182" s="2450"/>
      <c r="M182" s="2450"/>
      <c r="N182" s="2450"/>
      <c r="O182" s="2450"/>
      <c r="P182" s="2450"/>
      <c r="Q182" s="2450"/>
      <c r="R182" s="2450"/>
      <c r="S182" s="2450"/>
      <c r="U182" s="2450"/>
      <c r="V182" s="2450"/>
      <c r="W182" s="2450"/>
      <c r="X182" s="2450"/>
      <c r="Y182" s="2450"/>
      <c r="Z182" s="2450"/>
      <c r="AA182" s="2450"/>
      <c r="AB182" s="2450"/>
    </row>
    <row r="183" spans="2:28" ht="21" customHeight="1" x14ac:dyDescent="0.25">
      <c r="B183" s="2450"/>
      <c r="C183" s="2450"/>
      <c r="D183" s="2450"/>
      <c r="E183" s="2450"/>
      <c r="F183" s="2450"/>
      <c r="G183" s="2450"/>
      <c r="H183" s="2450"/>
      <c r="I183" s="2450"/>
      <c r="J183" s="2450"/>
      <c r="K183" s="2450"/>
      <c r="L183" s="2450"/>
      <c r="M183" s="2450"/>
      <c r="N183" s="2450"/>
      <c r="O183" s="2450"/>
      <c r="P183" s="2450"/>
      <c r="Q183" s="2450"/>
      <c r="R183" s="2450"/>
      <c r="S183" s="2450"/>
      <c r="U183" s="2450"/>
      <c r="V183" s="2450"/>
      <c r="W183" s="2450"/>
      <c r="X183" s="2450"/>
      <c r="Y183" s="2450"/>
      <c r="Z183" s="2450"/>
      <c r="AA183" s="2450"/>
      <c r="AB183" s="2450"/>
    </row>
    <row r="184" spans="2:28" ht="21" customHeight="1" x14ac:dyDescent="0.25">
      <c r="E184"/>
      <c r="F184"/>
      <c r="L184" s="122"/>
      <c r="P184" s="122"/>
      <c r="S184" s="116"/>
      <c r="U184" s="116"/>
      <c r="W184" s="116"/>
    </row>
    <row r="185" spans="2:28" ht="21" customHeight="1" x14ac:dyDescent="0.25">
      <c r="E185"/>
      <c r="F185"/>
      <c r="L185" s="122"/>
      <c r="P185" s="122"/>
      <c r="S185" s="116"/>
      <c r="U185" s="116"/>
      <c r="W185" s="116"/>
    </row>
    <row r="186" spans="2:28" ht="21" customHeight="1" x14ac:dyDescent="0.25">
      <c r="E186"/>
      <c r="F186"/>
      <c r="L186" s="122"/>
      <c r="P186" s="122"/>
      <c r="S186" s="116"/>
      <c r="U186" s="116"/>
      <c r="W186" s="116"/>
    </row>
    <row r="187" spans="2:28" ht="21" customHeight="1" x14ac:dyDescent="0.25">
      <c r="E187"/>
      <c r="F187"/>
      <c r="L187" s="122"/>
      <c r="P187" s="122"/>
      <c r="S187" s="116"/>
      <c r="U187" s="116"/>
      <c r="W187" s="116"/>
    </row>
    <row r="188" spans="2:28" ht="21" customHeight="1" x14ac:dyDescent="0.25">
      <c r="E188"/>
      <c r="F188"/>
      <c r="L188" s="122"/>
      <c r="P188" s="122"/>
      <c r="S188" s="116"/>
      <c r="U188" s="116"/>
      <c r="W188" s="116"/>
    </row>
    <row r="189" spans="2:28" ht="21" customHeight="1" x14ac:dyDescent="0.25">
      <c r="E189"/>
      <c r="F189"/>
      <c r="L189" s="122"/>
      <c r="P189" s="122"/>
      <c r="S189" s="116"/>
      <c r="U189" s="116"/>
      <c r="W189" s="116"/>
    </row>
    <row r="190" spans="2:28" ht="21" customHeight="1" x14ac:dyDescent="0.25">
      <c r="E190"/>
      <c r="F190"/>
      <c r="L190" s="122"/>
      <c r="P190" s="122"/>
      <c r="S190" s="116"/>
      <c r="U190" s="116"/>
      <c r="W190" s="116"/>
    </row>
    <row r="191" spans="2:28" ht="21" customHeight="1" x14ac:dyDescent="0.25">
      <c r="E191"/>
      <c r="F191"/>
      <c r="L191" s="122"/>
      <c r="P191" s="122"/>
      <c r="S191" s="116"/>
      <c r="U191" s="116"/>
      <c r="W191" s="116"/>
    </row>
    <row r="192" spans="2:28" ht="21" customHeight="1" x14ac:dyDescent="0.25">
      <c r="E192"/>
      <c r="F192"/>
      <c r="L192" s="122"/>
      <c r="P192" s="122"/>
      <c r="S192" s="116"/>
      <c r="U192" s="116"/>
      <c r="W192" s="116"/>
    </row>
    <row r="193" spans="5:23" ht="21" customHeight="1" x14ac:dyDescent="0.25">
      <c r="E193"/>
      <c r="F193"/>
      <c r="L193" s="122"/>
      <c r="P193" s="122"/>
      <c r="S193" s="116"/>
      <c r="U193" s="116"/>
      <c r="W193" s="116"/>
    </row>
    <row r="194" spans="5:23" ht="21" customHeight="1" x14ac:dyDescent="0.25">
      <c r="E194"/>
      <c r="F194"/>
      <c r="L194" s="122"/>
      <c r="P194" s="122"/>
      <c r="S194" s="116"/>
      <c r="U194" s="116"/>
      <c r="W194" s="116"/>
    </row>
    <row r="195" spans="5:23" ht="21" customHeight="1" x14ac:dyDescent="0.25">
      <c r="E195"/>
      <c r="F195"/>
      <c r="L195" s="122"/>
      <c r="P195" s="122"/>
      <c r="S195" s="116"/>
      <c r="U195" s="116"/>
      <c r="W195" s="116"/>
    </row>
    <row r="196" spans="5:23" ht="21" customHeight="1" x14ac:dyDescent="0.25">
      <c r="E196"/>
      <c r="F196"/>
      <c r="L196" s="122"/>
      <c r="P196" s="122"/>
      <c r="S196" s="116"/>
      <c r="U196" s="116"/>
      <c r="W196" s="116"/>
    </row>
    <row r="197" spans="5:23" ht="21" customHeight="1" x14ac:dyDescent="0.25">
      <c r="E197"/>
      <c r="F197"/>
      <c r="L197" s="122"/>
      <c r="P197" s="122"/>
      <c r="S197" s="116"/>
      <c r="U197" s="116"/>
      <c r="W197" s="116"/>
    </row>
    <row r="198" spans="5:23" ht="21" customHeight="1" x14ac:dyDescent="0.25">
      <c r="E198"/>
      <c r="F198"/>
      <c r="L198" s="122"/>
      <c r="P198" s="122"/>
      <c r="S198" s="116"/>
      <c r="U198" s="116"/>
      <c r="W198" s="116"/>
    </row>
    <row r="199" spans="5:23" ht="21" customHeight="1" x14ac:dyDescent="0.25">
      <c r="E199"/>
      <c r="F199"/>
      <c r="L199" s="122"/>
      <c r="P199" s="122"/>
      <c r="S199" s="116"/>
      <c r="U199" s="116"/>
      <c r="W199" s="116"/>
    </row>
    <row r="200" spans="5:23" ht="21" customHeight="1" x14ac:dyDescent="0.25">
      <c r="E200"/>
      <c r="F200"/>
      <c r="L200" s="122"/>
      <c r="P200" s="122"/>
      <c r="S200" s="116"/>
      <c r="U200" s="116"/>
      <c r="W200" s="116"/>
    </row>
    <row r="201" spans="5:23" ht="21" customHeight="1" x14ac:dyDescent="0.25">
      <c r="E201"/>
      <c r="F201"/>
      <c r="L201" s="122"/>
      <c r="P201" s="122"/>
      <c r="S201" s="116"/>
      <c r="U201" s="116"/>
      <c r="W201" s="116"/>
    </row>
    <row r="202" spans="5:23" ht="21" customHeight="1" x14ac:dyDescent="0.25">
      <c r="E202"/>
      <c r="F202"/>
      <c r="L202" s="122"/>
      <c r="P202" s="122"/>
      <c r="S202" s="116"/>
      <c r="U202" s="116"/>
      <c r="W202" s="116"/>
    </row>
    <row r="203" spans="5:23" ht="21" customHeight="1" x14ac:dyDescent="0.25">
      <c r="E203"/>
      <c r="F203"/>
      <c r="L203" s="122"/>
      <c r="P203" s="122"/>
      <c r="S203" s="116"/>
      <c r="U203" s="116"/>
      <c r="W203" s="116"/>
    </row>
    <row r="204" spans="5:23" ht="21" customHeight="1" x14ac:dyDescent="0.25">
      <c r="E204"/>
      <c r="F204"/>
      <c r="L204" s="122"/>
      <c r="P204" s="122"/>
      <c r="S204" s="116"/>
      <c r="U204" s="116"/>
      <c r="W204" s="116"/>
    </row>
    <row r="205" spans="5:23" ht="21" customHeight="1" x14ac:dyDescent="0.25">
      <c r="E205"/>
      <c r="F205"/>
      <c r="L205" s="122"/>
      <c r="P205" s="122"/>
      <c r="S205" s="116"/>
      <c r="U205" s="116"/>
      <c r="W205" s="116"/>
    </row>
    <row r="206" spans="5:23" ht="21" customHeight="1" x14ac:dyDescent="0.25">
      <c r="E206"/>
      <c r="F206"/>
      <c r="L206" s="122"/>
      <c r="P206" s="122"/>
      <c r="S206" s="116"/>
      <c r="U206" s="116"/>
      <c r="W206" s="116"/>
    </row>
    <row r="207" spans="5:23" ht="21" customHeight="1" x14ac:dyDescent="0.25">
      <c r="E207"/>
      <c r="F207"/>
      <c r="S207" s="116"/>
      <c r="U207" s="116"/>
      <c r="W207" s="116"/>
    </row>
    <row r="208" spans="5:23" ht="21" customHeight="1" x14ac:dyDescent="0.25">
      <c r="E208"/>
      <c r="F208"/>
      <c r="S208" s="116"/>
      <c r="U208" s="116"/>
      <c r="W208" s="116"/>
    </row>
    <row r="209" spans="5:23" ht="21" customHeight="1" x14ac:dyDescent="0.25">
      <c r="E209"/>
      <c r="F209"/>
      <c r="S209" s="116"/>
      <c r="U209" s="116"/>
      <c r="W209" s="116"/>
    </row>
    <row r="210" spans="5:23" ht="21" customHeight="1" x14ac:dyDescent="0.25">
      <c r="E210"/>
      <c r="F210"/>
      <c r="S210" s="116"/>
      <c r="U210" s="116"/>
      <c r="W210" s="116"/>
    </row>
    <row r="211" spans="5:23" ht="21" customHeight="1" x14ac:dyDescent="0.25">
      <c r="E211"/>
      <c r="F211"/>
      <c r="S211" s="116"/>
      <c r="U211" s="116"/>
      <c r="W211" s="116"/>
    </row>
    <row r="212" spans="5:23" ht="21" customHeight="1" x14ac:dyDescent="0.25">
      <c r="E212"/>
      <c r="F212"/>
      <c r="S212" s="116"/>
      <c r="U212" s="116"/>
      <c r="W212" s="116"/>
    </row>
    <row r="213" spans="5:23" ht="21" customHeight="1" x14ac:dyDescent="0.25">
      <c r="E213"/>
      <c r="F213"/>
      <c r="S213" s="116"/>
      <c r="U213" s="116"/>
      <c r="W213" s="116"/>
    </row>
    <row r="214" spans="5:23" ht="21" customHeight="1" x14ac:dyDescent="0.25">
      <c r="E214"/>
      <c r="F214"/>
      <c r="S214" s="116"/>
      <c r="U214" s="116"/>
      <c r="W214" s="116"/>
    </row>
    <row r="215" spans="5:23" ht="21" customHeight="1" x14ac:dyDescent="0.25">
      <c r="E215"/>
      <c r="F215"/>
      <c r="S215" s="116"/>
      <c r="U215" s="116"/>
      <c r="W215" s="116"/>
    </row>
    <row r="216" spans="5:23" ht="21" customHeight="1" x14ac:dyDescent="0.25">
      <c r="E216"/>
      <c r="F216"/>
      <c r="S216" s="116"/>
      <c r="U216" s="116"/>
      <c r="W216" s="116"/>
    </row>
    <row r="217" spans="5:23" ht="21" customHeight="1" x14ac:dyDescent="0.25">
      <c r="E217"/>
      <c r="F217"/>
      <c r="S217" s="116"/>
      <c r="U217" s="116"/>
      <c r="W217" s="116"/>
    </row>
    <row r="218" spans="5:23" ht="21" customHeight="1" x14ac:dyDescent="0.25">
      <c r="E218"/>
      <c r="F218"/>
      <c r="S218" s="116"/>
      <c r="U218" s="116"/>
      <c r="W218" s="116"/>
    </row>
    <row r="219" spans="5:23" ht="21" customHeight="1" x14ac:dyDescent="0.25">
      <c r="E219"/>
      <c r="F219"/>
      <c r="S219" s="116"/>
      <c r="U219" s="116"/>
      <c r="W219" s="116"/>
    </row>
    <row r="220" spans="5:23" ht="21" customHeight="1" x14ac:dyDescent="0.25">
      <c r="E220"/>
      <c r="F220"/>
      <c r="S220" s="116"/>
      <c r="U220" s="116"/>
      <c r="W220" s="116"/>
    </row>
    <row r="221" spans="5:23" ht="21" customHeight="1" x14ac:dyDescent="0.25">
      <c r="E221"/>
      <c r="F221"/>
      <c r="S221" s="116"/>
      <c r="U221" s="116"/>
      <c r="W221" s="116"/>
    </row>
    <row r="222" spans="5:23" ht="21" customHeight="1" x14ac:dyDescent="0.25">
      <c r="E222"/>
      <c r="F222"/>
      <c r="S222" s="116"/>
      <c r="U222" s="116"/>
      <c r="W222" s="116"/>
    </row>
    <row r="223" spans="5:23" ht="21" customHeight="1" x14ac:dyDescent="0.25">
      <c r="E223"/>
      <c r="F223"/>
      <c r="S223" s="116"/>
      <c r="U223" s="116"/>
      <c r="W223" s="116"/>
    </row>
    <row r="224" spans="5:23" ht="21" customHeight="1" x14ac:dyDescent="0.25">
      <c r="E224"/>
      <c r="F224"/>
      <c r="S224" s="116"/>
      <c r="U224" s="116"/>
      <c r="W224" s="116"/>
    </row>
    <row r="225" spans="5:23" ht="21" customHeight="1" x14ac:dyDescent="0.25">
      <c r="E225"/>
      <c r="F225"/>
      <c r="S225" s="116"/>
      <c r="U225" s="116"/>
      <c r="W225" s="116"/>
    </row>
    <row r="226" spans="5:23" ht="21" customHeight="1" x14ac:dyDescent="0.25">
      <c r="E226"/>
      <c r="F226"/>
      <c r="S226" s="116"/>
      <c r="U226" s="116"/>
      <c r="W226" s="116"/>
    </row>
    <row r="227" spans="5:23" ht="21" customHeight="1" x14ac:dyDescent="0.25">
      <c r="E227"/>
      <c r="F227"/>
      <c r="S227" s="116"/>
      <c r="U227" s="116"/>
      <c r="W227" s="116"/>
    </row>
    <row r="228" spans="5:23" ht="21" customHeight="1" x14ac:dyDescent="0.25">
      <c r="E228"/>
      <c r="F228"/>
      <c r="S228" s="116"/>
      <c r="U228" s="116"/>
      <c r="W228" s="116"/>
    </row>
    <row r="229" spans="5:23" ht="21" customHeight="1" x14ac:dyDescent="0.25">
      <c r="E229"/>
      <c r="F229"/>
      <c r="S229" s="116"/>
      <c r="U229" s="116"/>
      <c r="W229" s="116"/>
    </row>
    <row r="230" spans="5:23" ht="21" customHeight="1" x14ac:dyDescent="0.25">
      <c r="E230"/>
      <c r="F230"/>
      <c r="S230" s="116"/>
      <c r="U230" s="116"/>
      <c r="W230" s="116"/>
    </row>
    <row r="231" spans="5:23" ht="21" customHeight="1" x14ac:dyDescent="0.25">
      <c r="E231"/>
      <c r="F231"/>
      <c r="S231" s="116"/>
      <c r="U231" s="116"/>
      <c r="W231" s="116"/>
    </row>
    <row r="232" spans="5:23" ht="21" customHeight="1" x14ac:dyDescent="0.25">
      <c r="E232"/>
      <c r="F232"/>
      <c r="S232" s="116"/>
      <c r="U232" s="116"/>
      <c r="W232" s="116"/>
    </row>
    <row r="233" spans="5:23" ht="21" customHeight="1" x14ac:dyDescent="0.25">
      <c r="E233"/>
      <c r="F233"/>
      <c r="S233" s="116"/>
      <c r="U233" s="116"/>
      <c r="W233" s="116"/>
    </row>
    <row r="234" spans="5:23" ht="21" customHeight="1" x14ac:dyDescent="0.25">
      <c r="E234"/>
      <c r="F234"/>
      <c r="S234" s="116"/>
      <c r="U234" s="116"/>
      <c r="W234" s="116"/>
    </row>
    <row r="235" spans="5:23" ht="21" customHeight="1" x14ac:dyDescent="0.25">
      <c r="E235"/>
      <c r="F235"/>
      <c r="S235" s="116"/>
      <c r="U235" s="116"/>
      <c r="W235" s="116"/>
    </row>
    <row r="236" spans="5:23" ht="21" customHeight="1" x14ac:dyDescent="0.25">
      <c r="E236"/>
      <c r="F236"/>
      <c r="S236" s="116"/>
      <c r="U236" s="116"/>
      <c r="W236" s="116"/>
    </row>
    <row r="237" spans="5:23" ht="21" customHeight="1" x14ac:dyDescent="0.25">
      <c r="E237"/>
      <c r="F237"/>
      <c r="S237" s="116"/>
      <c r="U237" s="116"/>
      <c r="W237" s="116"/>
    </row>
    <row r="238" spans="5:23" ht="21" customHeight="1" x14ac:dyDescent="0.25">
      <c r="E238"/>
      <c r="F238"/>
      <c r="S238" s="116"/>
      <c r="U238" s="116"/>
      <c r="W238" s="116"/>
    </row>
    <row r="239" spans="5:23" ht="21" customHeight="1" x14ac:dyDescent="0.25">
      <c r="E239"/>
      <c r="F239"/>
      <c r="S239" s="116"/>
      <c r="U239" s="116"/>
      <c r="W239" s="116"/>
    </row>
    <row r="240" spans="5:23" ht="21" customHeight="1" x14ac:dyDescent="0.25">
      <c r="E240"/>
      <c r="F240"/>
      <c r="S240" s="116"/>
      <c r="U240" s="116"/>
      <c r="W240" s="116"/>
    </row>
    <row r="241" spans="5:23" ht="21" customHeight="1" x14ac:dyDescent="0.25">
      <c r="E241"/>
      <c r="F241"/>
      <c r="S241" s="116"/>
      <c r="U241" s="116"/>
      <c r="W241" s="116"/>
    </row>
    <row r="242" spans="5:23" ht="21" customHeight="1" x14ac:dyDescent="0.25">
      <c r="E242"/>
      <c r="F242"/>
      <c r="S242" s="116"/>
      <c r="U242" s="116"/>
      <c r="W242" s="116"/>
    </row>
    <row r="243" spans="5:23" ht="21" customHeight="1" x14ac:dyDescent="0.25">
      <c r="E243"/>
      <c r="F243"/>
      <c r="S243" s="116"/>
      <c r="U243" s="116"/>
      <c r="W243" s="116"/>
    </row>
    <row r="244" spans="5:23" ht="21" customHeight="1" x14ac:dyDescent="0.25">
      <c r="E244"/>
      <c r="F244"/>
      <c r="S244" s="116"/>
      <c r="U244" s="116"/>
      <c r="W244" s="116"/>
    </row>
    <row r="245" spans="5:23" ht="21" customHeight="1" x14ac:dyDescent="0.25">
      <c r="E245"/>
      <c r="F245"/>
      <c r="S245" s="116"/>
      <c r="U245" s="116"/>
      <c r="W245" s="116"/>
    </row>
    <row r="246" spans="5:23" ht="21" customHeight="1" x14ac:dyDescent="0.25">
      <c r="E246"/>
      <c r="F246"/>
      <c r="S246" s="116"/>
      <c r="U246" s="116"/>
      <c r="W246" s="116"/>
    </row>
    <row r="247" spans="5:23" ht="21" customHeight="1" x14ac:dyDescent="0.25">
      <c r="E247"/>
      <c r="F247"/>
      <c r="S247" s="116"/>
      <c r="U247" s="116"/>
      <c r="W247" s="116"/>
    </row>
    <row r="248" spans="5:23" ht="21" customHeight="1" x14ac:dyDescent="0.25">
      <c r="E248"/>
      <c r="F248"/>
      <c r="S248" s="116"/>
      <c r="U248" s="116"/>
      <c r="W248" s="116"/>
    </row>
    <row r="249" spans="5:23" ht="21" customHeight="1" x14ac:dyDescent="0.25">
      <c r="E249"/>
      <c r="F249"/>
      <c r="S249" s="116"/>
      <c r="U249" s="116"/>
      <c r="W249" s="116"/>
    </row>
    <row r="250" spans="5:23" ht="21" customHeight="1" x14ac:dyDescent="0.25">
      <c r="E250"/>
      <c r="F250"/>
      <c r="S250" s="116"/>
      <c r="U250" s="116"/>
      <c r="W250" s="116"/>
    </row>
    <row r="251" spans="5:23" ht="21" customHeight="1" x14ac:dyDescent="0.25">
      <c r="E251"/>
      <c r="F251"/>
      <c r="S251" s="116"/>
      <c r="U251" s="116"/>
      <c r="W251" s="116"/>
    </row>
    <row r="252" spans="5:23" ht="21" customHeight="1" x14ac:dyDescent="0.25">
      <c r="E252"/>
      <c r="F252"/>
      <c r="S252" s="116"/>
      <c r="U252" s="116"/>
      <c r="W252" s="116"/>
    </row>
    <row r="253" spans="5:23" ht="21" customHeight="1" x14ac:dyDescent="0.25">
      <c r="E253"/>
      <c r="F253"/>
      <c r="S253" s="116"/>
      <c r="U253" s="116"/>
      <c r="W253" s="116"/>
    </row>
    <row r="254" spans="5:23" ht="21" customHeight="1" x14ac:dyDescent="0.25">
      <c r="E254"/>
      <c r="F254"/>
      <c r="S254" s="116"/>
      <c r="U254" s="116"/>
      <c r="W254" s="116"/>
    </row>
    <row r="255" spans="5:23" ht="21" customHeight="1" x14ac:dyDescent="0.25">
      <c r="E255"/>
      <c r="F255"/>
      <c r="S255" s="116"/>
      <c r="U255" s="116"/>
      <c r="W255" s="116"/>
    </row>
    <row r="256" spans="5:23" ht="21" customHeight="1" x14ac:dyDescent="0.25">
      <c r="E256"/>
      <c r="F256"/>
      <c r="S256" s="116"/>
      <c r="U256" s="116"/>
      <c r="W256" s="116"/>
    </row>
    <row r="257" spans="5:23" ht="21" customHeight="1" x14ac:dyDescent="0.25">
      <c r="E257"/>
      <c r="F257"/>
      <c r="S257" s="116"/>
      <c r="U257" s="116"/>
      <c r="W257" s="116"/>
    </row>
    <row r="258" spans="5:23" ht="21" customHeight="1" x14ac:dyDescent="0.25">
      <c r="E258"/>
      <c r="F258"/>
      <c r="S258" s="116"/>
      <c r="U258" s="116"/>
      <c r="W258" s="116"/>
    </row>
    <row r="259" spans="5:23" ht="21" customHeight="1" x14ac:dyDescent="0.25">
      <c r="E259"/>
      <c r="F259"/>
      <c r="S259" s="116"/>
      <c r="U259" s="116"/>
      <c r="W259" s="116"/>
    </row>
    <row r="260" spans="5:23" ht="21" customHeight="1" x14ac:dyDescent="0.25">
      <c r="E260"/>
      <c r="F260"/>
      <c r="S260" s="116"/>
      <c r="U260" s="116"/>
      <c r="W260" s="116"/>
    </row>
    <row r="261" spans="5:23" ht="21" customHeight="1" x14ac:dyDescent="0.25">
      <c r="E261"/>
      <c r="F261"/>
      <c r="S261" s="116"/>
      <c r="U261" s="116"/>
      <c r="W261" s="116"/>
    </row>
    <row r="262" spans="5:23" ht="21" customHeight="1" x14ac:dyDescent="0.25">
      <c r="E262"/>
      <c r="F262"/>
      <c r="S262" s="116"/>
      <c r="U262" s="116"/>
      <c r="W262" s="116"/>
    </row>
    <row r="263" spans="5:23" ht="21" customHeight="1" x14ac:dyDescent="0.25">
      <c r="E263"/>
      <c r="F263"/>
      <c r="S263" s="116"/>
      <c r="U263" s="116"/>
      <c r="W263" s="116"/>
    </row>
    <row r="264" spans="5:23" ht="21" customHeight="1" x14ac:dyDescent="0.25">
      <c r="E264"/>
      <c r="F264"/>
      <c r="S264" s="116"/>
      <c r="U264" s="116"/>
      <c r="W264" s="116"/>
    </row>
    <row r="265" spans="5:23" ht="21" customHeight="1" x14ac:dyDescent="0.25">
      <c r="E265"/>
      <c r="F265"/>
      <c r="S265" s="116"/>
      <c r="U265" s="116"/>
      <c r="W265" s="116"/>
    </row>
    <row r="266" spans="5:23" ht="21" customHeight="1" x14ac:dyDescent="0.25">
      <c r="E266"/>
      <c r="F266"/>
      <c r="S266" s="116"/>
      <c r="U266" s="116"/>
      <c r="W266" s="116"/>
    </row>
    <row r="267" spans="5:23" ht="21" customHeight="1" x14ac:dyDescent="0.25">
      <c r="E267"/>
      <c r="F267"/>
      <c r="S267" s="116"/>
      <c r="U267" s="116"/>
      <c r="W267" s="116"/>
    </row>
    <row r="268" spans="5:23" ht="21" customHeight="1" x14ac:dyDescent="0.25">
      <c r="E268"/>
      <c r="F268"/>
      <c r="S268" s="116"/>
      <c r="U268" s="116"/>
      <c r="W268" s="116"/>
    </row>
    <row r="269" spans="5:23" ht="21" customHeight="1" x14ac:dyDescent="0.25">
      <c r="E269"/>
      <c r="F269"/>
      <c r="S269" s="116"/>
      <c r="U269" s="116"/>
      <c r="W269" s="116"/>
    </row>
    <row r="270" spans="5:23" ht="21" customHeight="1" x14ac:dyDescent="0.25">
      <c r="E270"/>
      <c r="F270"/>
      <c r="S270" s="116"/>
      <c r="U270" s="116"/>
      <c r="W270" s="116"/>
    </row>
    <row r="271" spans="5:23" ht="21" customHeight="1" x14ac:dyDescent="0.25">
      <c r="E271"/>
      <c r="F271"/>
      <c r="S271" s="116"/>
      <c r="U271" s="116"/>
      <c r="W271" s="116"/>
    </row>
    <row r="272" spans="5:23" ht="21" customHeight="1" x14ac:dyDescent="0.25">
      <c r="E272"/>
      <c r="F272"/>
      <c r="S272" s="116"/>
      <c r="U272" s="116"/>
      <c r="W272" s="116"/>
    </row>
    <row r="273" spans="5:23" ht="21" customHeight="1" x14ac:dyDescent="0.25">
      <c r="E273"/>
      <c r="F273"/>
      <c r="S273" s="116"/>
      <c r="U273" s="116"/>
      <c r="W273" s="116"/>
    </row>
    <row r="274" spans="5:23" ht="21" customHeight="1" x14ac:dyDescent="0.25">
      <c r="E274"/>
      <c r="F274"/>
      <c r="S274" s="116"/>
      <c r="U274" s="116"/>
      <c r="W274" s="116"/>
    </row>
    <row r="275" spans="5:23" ht="21" customHeight="1" x14ac:dyDescent="0.25">
      <c r="E275"/>
      <c r="F275"/>
      <c r="S275" s="116"/>
      <c r="U275" s="116"/>
      <c r="W275" s="116"/>
    </row>
    <row r="276" spans="5:23" ht="21" customHeight="1" x14ac:dyDescent="0.25">
      <c r="E276"/>
      <c r="F276"/>
      <c r="S276" s="116"/>
      <c r="U276" s="116"/>
      <c r="W276" s="116"/>
    </row>
    <row r="277" spans="5:23" ht="21" customHeight="1" x14ac:dyDescent="0.25">
      <c r="E277"/>
      <c r="F277"/>
      <c r="S277" s="116"/>
      <c r="U277" s="116"/>
      <c r="W277" s="116"/>
    </row>
    <row r="278" spans="5:23" ht="21" customHeight="1" x14ac:dyDescent="0.25">
      <c r="E278"/>
      <c r="F278"/>
      <c r="S278" s="116"/>
      <c r="U278" s="116"/>
      <c r="W278" s="116"/>
    </row>
    <row r="279" spans="5:23" ht="21" customHeight="1" x14ac:dyDescent="0.25">
      <c r="E279"/>
      <c r="F279"/>
      <c r="S279" s="116"/>
      <c r="U279" s="116"/>
      <c r="W279" s="116"/>
    </row>
    <row r="280" spans="5:23" ht="21" customHeight="1" x14ac:dyDescent="0.25">
      <c r="E280"/>
      <c r="F280"/>
      <c r="S280" s="116"/>
      <c r="U280" s="116"/>
      <c r="W280" s="116"/>
    </row>
    <row r="281" spans="5:23" ht="21" customHeight="1" x14ac:dyDescent="0.25">
      <c r="E281"/>
      <c r="F281"/>
      <c r="S281" s="116"/>
      <c r="U281" s="116"/>
      <c r="W281" s="116"/>
    </row>
    <row r="282" spans="5:23" ht="21" customHeight="1" x14ac:dyDescent="0.25">
      <c r="E282"/>
      <c r="F282"/>
      <c r="S282" s="116"/>
      <c r="U282" s="116"/>
      <c r="W282" s="116"/>
    </row>
    <row r="283" spans="5:23" ht="21" customHeight="1" x14ac:dyDescent="0.25">
      <c r="E283"/>
      <c r="F283"/>
      <c r="S283" s="116"/>
      <c r="U283" s="116"/>
      <c r="W283" s="116"/>
    </row>
    <row r="284" spans="5:23" ht="21" customHeight="1" x14ac:dyDescent="0.25">
      <c r="E284"/>
      <c r="F284"/>
      <c r="S284" s="116"/>
      <c r="U284" s="116"/>
      <c r="W284" s="116"/>
    </row>
    <row r="285" spans="5:23" ht="21" customHeight="1" x14ac:dyDescent="0.25">
      <c r="E285"/>
      <c r="F285"/>
      <c r="S285" s="116"/>
      <c r="U285" s="116"/>
      <c r="W285" s="116"/>
    </row>
    <row r="286" spans="5:23" ht="21" customHeight="1" x14ac:dyDescent="0.25">
      <c r="E286"/>
      <c r="F286"/>
      <c r="S286" s="116"/>
      <c r="U286" s="116"/>
      <c r="W286" s="116"/>
    </row>
    <row r="287" spans="5:23" ht="21" customHeight="1" x14ac:dyDescent="0.25">
      <c r="E287"/>
      <c r="F287"/>
      <c r="S287" s="116"/>
      <c r="U287" s="116"/>
      <c r="W287" s="116"/>
    </row>
    <row r="288" spans="5:23" ht="21" customHeight="1" x14ac:dyDescent="0.25">
      <c r="E288"/>
      <c r="F288"/>
      <c r="S288" s="116"/>
      <c r="U288" s="116"/>
      <c r="W288" s="116"/>
    </row>
    <row r="289" spans="5:23" ht="21" customHeight="1" x14ac:dyDescent="0.25">
      <c r="E289"/>
      <c r="F289"/>
      <c r="S289" s="116"/>
      <c r="U289" s="116"/>
      <c r="W289" s="116"/>
    </row>
    <row r="290" spans="5:23" ht="21" customHeight="1" x14ac:dyDescent="0.25">
      <c r="E290"/>
      <c r="F290"/>
      <c r="S290" s="116"/>
      <c r="U290" s="116"/>
      <c r="W290" s="116"/>
    </row>
    <row r="291" spans="5:23" ht="21" customHeight="1" x14ac:dyDescent="0.25">
      <c r="E291"/>
      <c r="F291"/>
      <c r="S291" s="116"/>
      <c r="U291" s="116"/>
      <c r="W291" s="116"/>
    </row>
    <row r="292" spans="5:23" ht="21" customHeight="1" x14ac:dyDescent="0.25">
      <c r="E292"/>
      <c r="F292"/>
      <c r="S292" s="116"/>
      <c r="U292" s="116"/>
      <c r="W292" s="116"/>
    </row>
    <row r="293" spans="5:23" ht="21" customHeight="1" x14ac:dyDescent="0.25">
      <c r="E293"/>
      <c r="F293"/>
      <c r="S293" s="116"/>
      <c r="U293" s="116"/>
      <c r="W293" s="116"/>
    </row>
    <row r="294" spans="5:23" ht="21" customHeight="1" x14ac:dyDescent="0.25">
      <c r="S294" s="116"/>
      <c r="U294" s="116"/>
      <c r="W294" s="116"/>
    </row>
    <row r="295" spans="5:23" ht="21" customHeight="1" x14ac:dyDescent="0.25">
      <c r="S295" s="116"/>
      <c r="U295" s="116"/>
      <c r="W295" s="116"/>
    </row>
    <row r="296" spans="5:23" ht="21" customHeight="1" x14ac:dyDescent="0.25">
      <c r="S296" s="116"/>
      <c r="U296" s="116"/>
      <c r="W296" s="116"/>
    </row>
    <row r="297" spans="5:23" ht="21" customHeight="1" x14ac:dyDescent="0.25">
      <c r="S297" s="116"/>
      <c r="U297" s="116"/>
      <c r="W297" s="116"/>
    </row>
    <row r="298" spans="5:23" ht="21" customHeight="1" x14ac:dyDescent="0.25">
      <c r="S298" s="116"/>
      <c r="U298" s="116"/>
      <c r="W298" s="116"/>
    </row>
    <row r="299" spans="5:23" ht="21" customHeight="1" x14ac:dyDescent="0.25">
      <c r="S299" s="116"/>
      <c r="U299" s="116"/>
      <c r="W299" s="116"/>
    </row>
    <row r="300" spans="5:23" ht="21" customHeight="1" x14ac:dyDescent="0.25">
      <c r="S300" s="116"/>
      <c r="U300" s="116"/>
      <c r="W300" s="116"/>
    </row>
    <row r="301" spans="5:23" ht="21" customHeight="1" x14ac:dyDescent="0.25">
      <c r="S301" s="116"/>
      <c r="U301" s="116"/>
      <c r="W301" s="116"/>
    </row>
    <row r="302" spans="5:23" ht="21" customHeight="1" x14ac:dyDescent="0.25">
      <c r="S302" s="116"/>
      <c r="U302" s="116"/>
      <c r="W302" s="116"/>
    </row>
    <row r="303" spans="5:23" ht="21" customHeight="1" x14ac:dyDescent="0.25">
      <c r="S303" s="116"/>
      <c r="U303" s="116"/>
      <c r="W303" s="116"/>
    </row>
    <row r="304" spans="5:23" ht="21" customHeight="1" x14ac:dyDescent="0.25">
      <c r="S304" s="116"/>
      <c r="U304" s="116"/>
      <c r="W304" s="116"/>
    </row>
    <row r="305" spans="19:23" ht="21" customHeight="1" x14ac:dyDescent="0.25">
      <c r="S305" s="116"/>
      <c r="U305" s="116"/>
      <c r="W305" s="116"/>
    </row>
    <row r="306" spans="19:23" ht="21" customHeight="1" x14ac:dyDescent="0.25">
      <c r="S306" s="116"/>
      <c r="U306" s="116"/>
      <c r="W306" s="116"/>
    </row>
    <row r="307" spans="19:23" ht="21" customHeight="1" x14ac:dyDescent="0.25">
      <c r="S307" s="116"/>
      <c r="U307" s="116"/>
      <c r="W307" s="116"/>
    </row>
    <row r="308" spans="19:23" ht="21" customHeight="1" x14ac:dyDescent="0.25">
      <c r="S308" s="116"/>
      <c r="U308" s="116"/>
      <c r="W308" s="116"/>
    </row>
    <row r="309" spans="19:23" ht="21" customHeight="1" x14ac:dyDescent="0.25">
      <c r="S309" s="116"/>
      <c r="U309" s="116"/>
      <c r="W309" s="116"/>
    </row>
    <row r="310" spans="19:23" ht="21" customHeight="1" x14ac:dyDescent="0.25">
      <c r="S310" s="116"/>
      <c r="U310" s="116"/>
      <c r="W310" s="116"/>
    </row>
    <row r="311" spans="19:23" ht="21" customHeight="1" x14ac:dyDescent="0.25">
      <c r="S311" s="116"/>
      <c r="U311" s="116"/>
      <c r="W311" s="116"/>
    </row>
    <row r="312" spans="19:23" ht="21" customHeight="1" x14ac:dyDescent="0.25">
      <c r="S312" s="116"/>
      <c r="U312" s="116"/>
      <c r="W312" s="116"/>
    </row>
    <row r="313" spans="19:23" ht="21" customHeight="1" x14ac:dyDescent="0.25">
      <c r="S313" s="116"/>
      <c r="U313" s="116"/>
      <c r="W313" s="116"/>
    </row>
    <row r="314" spans="19:23" ht="21" customHeight="1" x14ac:dyDescent="0.25">
      <c r="S314" s="116"/>
      <c r="U314" s="116"/>
      <c r="W314" s="116"/>
    </row>
    <row r="315" spans="19:23" ht="21" customHeight="1" x14ac:dyDescent="0.25">
      <c r="S315" s="116"/>
      <c r="U315" s="116"/>
      <c r="W315" s="116"/>
    </row>
    <row r="316" spans="19:23" ht="21" customHeight="1" x14ac:dyDescent="0.25">
      <c r="S316" s="116"/>
      <c r="U316" s="116"/>
      <c r="W316" s="116"/>
    </row>
    <row r="317" spans="19:23" ht="21" customHeight="1" x14ac:dyDescent="0.25">
      <c r="S317" s="116"/>
      <c r="U317" s="116"/>
      <c r="W317" s="116"/>
    </row>
    <row r="318" spans="19:23" ht="21" customHeight="1" x14ac:dyDescent="0.25">
      <c r="S318" s="116"/>
      <c r="U318" s="116"/>
      <c r="W318" s="116"/>
    </row>
    <row r="319" spans="19:23" ht="21" customHeight="1" x14ac:dyDescent="0.25">
      <c r="S319" s="116"/>
      <c r="U319" s="116"/>
      <c r="W319" s="116"/>
    </row>
    <row r="320" spans="19:23" ht="21" customHeight="1" x14ac:dyDescent="0.25">
      <c r="S320" s="116"/>
      <c r="U320" s="116"/>
      <c r="W320" s="116"/>
    </row>
    <row r="321" spans="19:23" ht="21" customHeight="1" x14ac:dyDescent="0.25">
      <c r="S321" s="116"/>
      <c r="U321" s="116"/>
      <c r="W321" s="116"/>
    </row>
    <row r="322" spans="19:23" ht="21" customHeight="1" x14ac:dyDescent="0.25">
      <c r="S322" s="116"/>
      <c r="U322" s="116"/>
      <c r="W322" s="116"/>
    </row>
    <row r="323" spans="19:23" ht="21" customHeight="1" x14ac:dyDescent="0.25">
      <c r="S323" s="116"/>
      <c r="U323" s="116"/>
      <c r="W323" s="116"/>
    </row>
    <row r="324" spans="19:23" ht="21" customHeight="1" x14ac:dyDescent="0.25">
      <c r="S324" s="116"/>
      <c r="U324" s="116"/>
      <c r="W324" s="116"/>
    </row>
    <row r="325" spans="19:23" ht="21" customHeight="1" x14ac:dyDescent="0.25">
      <c r="S325" s="116"/>
      <c r="U325" s="116"/>
      <c r="W325" s="116"/>
    </row>
    <row r="326" spans="19:23" ht="21" customHeight="1" x14ac:dyDescent="0.25">
      <c r="S326" s="116"/>
      <c r="U326" s="116"/>
      <c r="W326" s="116"/>
    </row>
    <row r="327" spans="19:23" ht="21" customHeight="1" x14ac:dyDescent="0.25">
      <c r="S327" s="116"/>
      <c r="U327" s="116"/>
      <c r="W327" s="116"/>
    </row>
    <row r="328" spans="19:23" ht="21" customHeight="1" x14ac:dyDescent="0.25">
      <c r="S328" s="116"/>
      <c r="U328" s="116"/>
      <c r="W328" s="116"/>
    </row>
    <row r="329" spans="19:23" ht="21" customHeight="1" x14ac:dyDescent="0.25">
      <c r="S329" s="116"/>
      <c r="U329" s="116"/>
      <c r="W329" s="116"/>
    </row>
    <row r="330" spans="19:23" ht="21" customHeight="1" x14ac:dyDescent="0.25">
      <c r="S330" s="116"/>
      <c r="U330" s="116"/>
      <c r="W330" s="116"/>
    </row>
    <row r="331" spans="19:23" ht="21" customHeight="1" x14ac:dyDescent="0.25">
      <c r="S331" s="116"/>
      <c r="U331" s="116"/>
      <c r="W331" s="116"/>
    </row>
    <row r="332" spans="19:23" ht="21" customHeight="1" x14ac:dyDescent="0.25">
      <c r="S332" s="116"/>
      <c r="U332" s="116"/>
      <c r="W332" s="116"/>
    </row>
    <row r="333" spans="19:23" ht="21" customHeight="1" x14ac:dyDescent="0.25">
      <c r="S333" s="116"/>
      <c r="U333" s="116"/>
      <c r="W333" s="116"/>
    </row>
    <row r="334" spans="19:23" ht="21" customHeight="1" x14ac:dyDescent="0.25">
      <c r="S334" s="116"/>
      <c r="U334" s="116"/>
      <c r="W334" s="116"/>
    </row>
    <row r="335" spans="19:23" ht="21" customHeight="1" x14ac:dyDescent="0.25">
      <c r="S335" s="116"/>
      <c r="U335" s="116"/>
      <c r="W335" s="116"/>
    </row>
    <row r="336" spans="19:23" ht="21" customHeight="1" x14ac:dyDescent="0.25">
      <c r="S336" s="116"/>
      <c r="U336" s="116"/>
      <c r="W336" s="116"/>
    </row>
    <row r="337" spans="19:23" ht="21" customHeight="1" x14ac:dyDescent="0.25">
      <c r="S337" s="116"/>
      <c r="U337" s="116"/>
      <c r="W337" s="116"/>
    </row>
    <row r="338" spans="19:23" ht="21" customHeight="1" x14ac:dyDescent="0.25">
      <c r="S338" s="116"/>
      <c r="U338" s="116"/>
      <c r="W338" s="116"/>
    </row>
    <row r="339" spans="19:23" ht="21" customHeight="1" x14ac:dyDescent="0.25">
      <c r="S339" s="116"/>
      <c r="U339" s="116"/>
      <c r="W339" s="116"/>
    </row>
    <row r="340" spans="19:23" ht="21" customHeight="1" x14ac:dyDescent="0.25">
      <c r="S340" s="116"/>
      <c r="U340" s="116"/>
      <c r="W340" s="116"/>
    </row>
    <row r="341" spans="19:23" ht="21" customHeight="1" x14ac:dyDescent="0.25">
      <c r="S341" s="116"/>
      <c r="U341" s="116"/>
      <c r="W341" s="116"/>
    </row>
    <row r="342" spans="19:23" ht="21" customHeight="1" x14ac:dyDescent="0.25">
      <c r="S342" s="116"/>
      <c r="U342" s="116"/>
      <c r="W342" s="116"/>
    </row>
    <row r="343" spans="19:23" ht="21" customHeight="1" x14ac:dyDescent="0.25">
      <c r="S343" s="116"/>
      <c r="U343" s="116"/>
      <c r="W343" s="116"/>
    </row>
    <row r="344" spans="19:23" ht="21" customHeight="1" x14ac:dyDescent="0.25">
      <c r="S344" s="116"/>
      <c r="U344" s="116"/>
      <c r="W344" s="116"/>
    </row>
    <row r="345" spans="19:23" ht="21" customHeight="1" x14ac:dyDescent="0.25">
      <c r="S345" s="116"/>
      <c r="U345" s="116"/>
      <c r="W345" s="116"/>
    </row>
    <row r="346" spans="19:23" ht="21" customHeight="1" x14ac:dyDescent="0.25">
      <c r="S346" s="116"/>
      <c r="U346" s="116"/>
      <c r="W346" s="116"/>
    </row>
    <row r="347" spans="19:23" ht="21" customHeight="1" x14ac:dyDescent="0.25">
      <c r="S347" s="116"/>
      <c r="U347" s="116"/>
      <c r="W347" s="116"/>
    </row>
    <row r="348" spans="19:23" ht="21" customHeight="1" x14ac:dyDescent="0.25">
      <c r="S348" s="116"/>
      <c r="U348" s="116"/>
      <c r="W348" s="116"/>
    </row>
    <row r="349" spans="19:23" ht="21" customHeight="1" x14ac:dyDescent="0.25">
      <c r="S349" s="116"/>
      <c r="U349" s="116"/>
      <c r="W349" s="116"/>
    </row>
    <row r="350" spans="19:23" ht="21" customHeight="1" x14ac:dyDescent="0.25">
      <c r="S350" s="116"/>
      <c r="U350" s="116"/>
      <c r="W350" s="116"/>
    </row>
    <row r="351" spans="19:23" ht="21" customHeight="1" x14ac:dyDescent="0.25">
      <c r="S351" s="116"/>
      <c r="U351" s="116"/>
      <c r="W351" s="116"/>
    </row>
    <row r="352" spans="19:23" ht="21" customHeight="1" x14ac:dyDescent="0.25">
      <c r="S352" s="116"/>
      <c r="U352" s="116"/>
      <c r="W352" s="116"/>
    </row>
    <row r="353" spans="19:23" ht="21" customHeight="1" x14ac:dyDescent="0.25">
      <c r="S353" s="116"/>
      <c r="U353" s="116"/>
      <c r="W353" s="116"/>
    </row>
    <row r="354" spans="19:23" ht="21" customHeight="1" x14ac:dyDescent="0.25">
      <c r="S354" s="116"/>
      <c r="U354" s="116"/>
      <c r="W354" s="116"/>
    </row>
    <row r="355" spans="19:23" ht="21" customHeight="1" x14ac:dyDescent="0.25">
      <c r="S355" s="116"/>
      <c r="U355" s="116"/>
      <c r="W355" s="116"/>
    </row>
    <row r="356" spans="19:23" ht="21" customHeight="1" x14ac:dyDescent="0.25">
      <c r="S356" s="116"/>
      <c r="U356" s="116"/>
      <c r="W356" s="116"/>
    </row>
    <row r="357" spans="19:23" ht="21" customHeight="1" x14ac:dyDescent="0.25">
      <c r="S357" s="116"/>
      <c r="U357" s="116"/>
      <c r="W357" s="116"/>
    </row>
    <row r="358" spans="19:23" ht="21" customHeight="1" x14ac:dyDescent="0.25">
      <c r="S358" s="116"/>
      <c r="U358" s="116"/>
      <c r="W358" s="116"/>
    </row>
    <row r="359" spans="19:23" ht="21" customHeight="1" x14ac:dyDescent="0.25">
      <c r="S359" s="116"/>
      <c r="U359" s="116"/>
      <c r="W359" s="116"/>
    </row>
    <row r="360" spans="19:23" ht="21" customHeight="1" x14ac:dyDescent="0.25">
      <c r="S360" s="116"/>
      <c r="U360" s="116"/>
      <c r="W360" s="116"/>
    </row>
    <row r="361" spans="19:23" ht="21" customHeight="1" x14ac:dyDescent="0.25">
      <c r="S361" s="116"/>
      <c r="U361" s="116"/>
      <c r="W361" s="116"/>
    </row>
    <row r="362" spans="19:23" ht="21" customHeight="1" x14ac:dyDescent="0.25">
      <c r="S362" s="116"/>
      <c r="U362" s="116"/>
      <c r="W362" s="116"/>
    </row>
    <row r="363" spans="19:23" ht="21" customHeight="1" x14ac:dyDescent="0.25">
      <c r="S363" s="116"/>
      <c r="U363" s="116"/>
      <c r="W363" s="116"/>
    </row>
    <row r="364" spans="19:23" ht="21" customHeight="1" x14ac:dyDescent="0.25">
      <c r="S364" s="116"/>
      <c r="U364" s="116"/>
      <c r="W364" s="116"/>
    </row>
    <row r="365" spans="19:23" ht="21" customHeight="1" x14ac:dyDescent="0.25">
      <c r="S365" s="116"/>
      <c r="U365" s="116"/>
      <c r="W365" s="116"/>
    </row>
    <row r="366" spans="19:23" ht="21" customHeight="1" x14ac:dyDescent="0.25">
      <c r="S366" s="116"/>
      <c r="U366" s="116"/>
      <c r="W366" s="116"/>
    </row>
    <row r="367" spans="19:23" ht="21" customHeight="1" x14ac:dyDescent="0.25">
      <c r="S367" s="116"/>
      <c r="U367" s="116"/>
    </row>
    <row r="368" spans="19:23" ht="21" customHeight="1" x14ac:dyDescent="0.25">
      <c r="S368" s="116"/>
      <c r="U368" s="116"/>
    </row>
    <row r="369" spans="19:21" ht="21" customHeight="1" x14ac:dyDescent="0.25">
      <c r="S369" s="116"/>
      <c r="U369" s="116"/>
    </row>
    <row r="370" spans="19:21" ht="21" customHeight="1" x14ac:dyDescent="0.25">
      <c r="S370" s="116"/>
      <c r="U370" s="116"/>
    </row>
    <row r="371" spans="19:21" ht="21" customHeight="1" x14ac:dyDescent="0.25">
      <c r="S371" s="116"/>
      <c r="U371" s="116"/>
    </row>
    <row r="372" spans="19:21" ht="21" customHeight="1" x14ac:dyDescent="0.25">
      <c r="S372" s="116"/>
      <c r="U372" s="116"/>
    </row>
    <row r="373" spans="19:21" ht="21" customHeight="1" x14ac:dyDescent="0.25">
      <c r="S373" s="116"/>
      <c r="U373" s="116"/>
    </row>
    <row r="374" spans="19:21" ht="21" customHeight="1" x14ac:dyDescent="0.25">
      <c r="S374" s="116"/>
      <c r="U374" s="116"/>
    </row>
    <row r="375" spans="19:21" ht="21" customHeight="1" x14ac:dyDescent="0.25">
      <c r="S375" s="116"/>
      <c r="U375" s="116"/>
    </row>
    <row r="376" spans="19:21" ht="21" customHeight="1" x14ac:dyDescent="0.25">
      <c r="S376" s="116"/>
      <c r="U376" s="116"/>
    </row>
    <row r="377" spans="19:21" ht="21" customHeight="1" x14ac:dyDescent="0.25">
      <c r="S377" s="116"/>
      <c r="U377" s="116"/>
    </row>
    <row r="378" spans="19:21" ht="21" customHeight="1" x14ac:dyDescent="0.25">
      <c r="S378" s="116"/>
      <c r="U378" s="116"/>
    </row>
    <row r="379" spans="19:21" ht="21" customHeight="1" x14ac:dyDescent="0.25">
      <c r="S379" s="116"/>
      <c r="U379" s="116"/>
    </row>
    <row r="380" spans="19:21" ht="21" customHeight="1" x14ac:dyDescent="0.25">
      <c r="S380" s="116"/>
      <c r="U380" s="116"/>
    </row>
    <row r="381" spans="19:21" ht="21" customHeight="1" x14ac:dyDescent="0.25">
      <c r="S381" s="116"/>
      <c r="U381" s="116"/>
    </row>
    <row r="382" spans="19:21" ht="21" customHeight="1" x14ac:dyDescent="0.25">
      <c r="S382" s="116"/>
      <c r="U382" s="116"/>
    </row>
    <row r="383" spans="19:21" ht="21" customHeight="1" x14ac:dyDescent="0.25">
      <c r="S383" s="116"/>
      <c r="U383" s="116"/>
    </row>
    <row r="384" spans="19:21" ht="21" customHeight="1" x14ac:dyDescent="0.25">
      <c r="S384" s="116"/>
      <c r="U384" s="116"/>
    </row>
    <row r="385" spans="19:21" ht="21" customHeight="1" x14ac:dyDescent="0.25">
      <c r="S385" s="116"/>
      <c r="U385" s="116"/>
    </row>
    <row r="386" spans="19:21" ht="21" customHeight="1" x14ac:dyDescent="0.25">
      <c r="S386" s="116"/>
      <c r="U386" s="116"/>
    </row>
    <row r="387" spans="19:21" ht="21" customHeight="1" x14ac:dyDescent="0.25">
      <c r="S387" s="116"/>
      <c r="U387" s="116"/>
    </row>
    <row r="388" spans="19:21" ht="21" customHeight="1" x14ac:dyDescent="0.25">
      <c r="S388" s="116"/>
      <c r="U388" s="116"/>
    </row>
    <row r="389" spans="19:21" ht="21" customHeight="1" x14ac:dyDescent="0.25">
      <c r="S389" s="116"/>
      <c r="U389" s="116"/>
    </row>
    <row r="390" spans="19:21" ht="21" customHeight="1" x14ac:dyDescent="0.25">
      <c r="S390" s="116"/>
      <c r="U390" s="116"/>
    </row>
    <row r="391" spans="19:21" ht="21" customHeight="1" x14ac:dyDescent="0.25">
      <c r="S391" s="116"/>
      <c r="U391" s="116"/>
    </row>
    <row r="392" spans="19:21" ht="21" customHeight="1" x14ac:dyDescent="0.25">
      <c r="S392" s="116"/>
      <c r="U392" s="116"/>
    </row>
    <row r="393" spans="19:21" ht="21" customHeight="1" x14ac:dyDescent="0.25">
      <c r="S393" s="116"/>
      <c r="U393" s="116"/>
    </row>
    <row r="394" spans="19:21" ht="21" customHeight="1" x14ac:dyDescent="0.25">
      <c r="S394" s="116"/>
      <c r="U394" s="116"/>
    </row>
    <row r="395" spans="19:21" ht="21" customHeight="1" x14ac:dyDescent="0.25">
      <c r="S395" s="116"/>
      <c r="U395" s="116"/>
    </row>
    <row r="396" spans="19:21" ht="21" customHeight="1" x14ac:dyDescent="0.25">
      <c r="S396" s="116"/>
      <c r="U396" s="116"/>
    </row>
    <row r="397" spans="19:21" ht="21" customHeight="1" x14ac:dyDescent="0.25">
      <c r="S397" s="116"/>
      <c r="U397" s="116"/>
    </row>
    <row r="398" spans="19:21" ht="21" customHeight="1" x14ac:dyDescent="0.25">
      <c r="S398" s="116"/>
      <c r="U398" s="116"/>
    </row>
    <row r="399" spans="19:21" ht="21" customHeight="1" x14ac:dyDescent="0.25">
      <c r="S399" s="116"/>
      <c r="U399" s="116"/>
    </row>
    <row r="400" spans="19:21" ht="21" customHeight="1" x14ac:dyDescent="0.25">
      <c r="S400" s="116"/>
      <c r="U400" s="116"/>
    </row>
    <row r="401" spans="19:21" ht="21" customHeight="1" x14ac:dyDescent="0.25">
      <c r="S401" s="116"/>
      <c r="U401" s="116"/>
    </row>
    <row r="402" spans="19:21" ht="21" customHeight="1" x14ac:dyDescent="0.25">
      <c r="S402" s="116"/>
      <c r="U402" s="116"/>
    </row>
    <row r="403" spans="19:21" ht="21" customHeight="1" x14ac:dyDescent="0.25">
      <c r="S403" s="116"/>
      <c r="U403" s="116"/>
    </row>
    <row r="404" spans="19:21" ht="21" customHeight="1" x14ac:dyDescent="0.25">
      <c r="S404" s="116"/>
      <c r="U404" s="116"/>
    </row>
    <row r="405" spans="19:21" ht="21" customHeight="1" x14ac:dyDescent="0.25">
      <c r="S405" s="116"/>
      <c r="U405" s="116"/>
    </row>
    <row r="406" spans="19:21" ht="21" customHeight="1" x14ac:dyDescent="0.25">
      <c r="S406" s="116"/>
      <c r="U406" s="116"/>
    </row>
    <row r="407" spans="19:21" ht="21" customHeight="1" x14ac:dyDescent="0.25">
      <c r="S407" s="116"/>
      <c r="U407" s="116"/>
    </row>
    <row r="408" spans="19:21" ht="21" customHeight="1" x14ac:dyDescent="0.25">
      <c r="S408" s="116"/>
      <c r="U408" s="116"/>
    </row>
    <row r="409" spans="19:21" ht="21" customHeight="1" x14ac:dyDescent="0.25">
      <c r="S409" s="116"/>
      <c r="U409" s="116"/>
    </row>
    <row r="410" spans="19:21" ht="21" customHeight="1" x14ac:dyDescent="0.25">
      <c r="S410" s="116"/>
      <c r="U410" s="116"/>
    </row>
    <row r="411" spans="19:21" ht="21" customHeight="1" x14ac:dyDescent="0.25">
      <c r="S411" s="116"/>
      <c r="U411" s="116"/>
    </row>
    <row r="412" spans="19:21" ht="21" customHeight="1" x14ac:dyDescent="0.25">
      <c r="S412" s="116"/>
      <c r="U412" s="116"/>
    </row>
    <row r="413" spans="19:21" ht="21" customHeight="1" x14ac:dyDescent="0.25">
      <c r="S413" s="116"/>
      <c r="U413" s="116"/>
    </row>
    <row r="414" spans="19:21" ht="21" customHeight="1" x14ac:dyDescent="0.25">
      <c r="S414" s="116"/>
      <c r="U414" s="116"/>
    </row>
    <row r="415" spans="19:21" ht="21" customHeight="1" x14ac:dyDescent="0.25">
      <c r="S415" s="116"/>
      <c r="U415" s="116"/>
    </row>
    <row r="416" spans="19:21" ht="21" customHeight="1" x14ac:dyDescent="0.25">
      <c r="S416" s="116"/>
      <c r="U416" s="116"/>
    </row>
    <row r="417" spans="19:21" ht="21" customHeight="1" x14ac:dyDescent="0.25">
      <c r="S417" s="116"/>
      <c r="U417" s="116"/>
    </row>
    <row r="418" spans="19:21" ht="21" customHeight="1" x14ac:dyDescent="0.25">
      <c r="S418" s="116"/>
      <c r="U418" s="116"/>
    </row>
    <row r="419" spans="19:21" ht="21" customHeight="1" x14ac:dyDescent="0.25">
      <c r="S419" s="116"/>
      <c r="U419" s="116"/>
    </row>
    <row r="420" spans="19:21" ht="21" customHeight="1" x14ac:dyDescent="0.25">
      <c r="S420" s="116"/>
      <c r="U420" s="116"/>
    </row>
    <row r="421" spans="19:21" ht="21" customHeight="1" x14ac:dyDescent="0.25">
      <c r="S421" s="116"/>
      <c r="U421" s="116"/>
    </row>
    <row r="422" spans="19:21" ht="21" customHeight="1" x14ac:dyDescent="0.25">
      <c r="S422" s="116"/>
      <c r="U422" s="116"/>
    </row>
    <row r="423" spans="19:21" ht="21" customHeight="1" x14ac:dyDescent="0.25">
      <c r="S423" s="116"/>
      <c r="U423" s="116"/>
    </row>
    <row r="424" spans="19:21" ht="21" customHeight="1" x14ac:dyDescent="0.25">
      <c r="S424" s="116"/>
      <c r="U424" s="116"/>
    </row>
    <row r="425" spans="19:21" ht="21" customHeight="1" x14ac:dyDescent="0.25">
      <c r="S425" s="116"/>
      <c r="U425" s="116"/>
    </row>
    <row r="426" spans="19:21" ht="21" customHeight="1" x14ac:dyDescent="0.25">
      <c r="S426" s="116"/>
      <c r="U426" s="116"/>
    </row>
    <row r="427" spans="19:21" ht="21" customHeight="1" x14ac:dyDescent="0.25">
      <c r="S427" s="116"/>
      <c r="U427" s="116"/>
    </row>
    <row r="428" spans="19:21" ht="21" customHeight="1" x14ac:dyDescent="0.25">
      <c r="S428" s="116"/>
      <c r="U428" s="116"/>
    </row>
    <row r="429" spans="19:21" ht="21" customHeight="1" x14ac:dyDescent="0.25">
      <c r="S429" s="116"/>
      <c r="U429" s="116"/>
    </row>
    <row r="430" spans="19:21" ht="21" customHeight="1" x14ac:dyDescent="0.25">
      <c r="S430" s="116"/>
      <c r="U430" s="116"/>
    </row>
    <row r="431" spans="19:21" ht="21" customHeight="1" x14ac:dyDescent="0.25">
      <c r="S431" s="116"/>
      <c r="U431" s="116"/>
    </row>
    <row r="432" spans="19:21" ht="21" customHeight="1" x14ac:dyDescent="0.25">
      <c r="S432" s="116"/>
      <c r="U432" s="116"/>
    </row>
    <row r="433" spans="19:21" ht="21" customHeight="1" x14ac:dyDescent="0.25">
      <c r="S433" s="116"/>
      <c r="U433" s="116"/>
    </row>
    <row r="434" spans="19:21" ht="21" customHeight="1" x14ac:dyDescent="0.25">
      <c r="S434" s="116"/>
      <c r="U434" s="116"/>
    </row>
    <row r="435" spans="19:21" ht="21" customHeight="1" x14ac:dyDescent="0.25">
      <c r="S435" s="116"/>
      <c r="U435" s="116"/>
    </row>
    <row r="436" spans="19:21" ht="21" customHeight="1" x14ac:dyDescent="0.25">
      <c r="S436" s="116"/>
      <c r="U436" s="116"/>
    </row>
    <row r="437" spans="19:21" ht="21" customHeight="1" x14ac:dyDescent="0.25">
      <c r="S437" s="116"/>
      <c r="U437" s="116"/>
    </row>
    <row r="438" spans="19:21" ht="21" customHeight="1" x14ac:dyDescent="0.25">
      <c r="S438" s="116"/>
      <c r="U438" s="116"/>
    </row>
    <row r="439" spans="19:21" ht="21" customHeight="1" x14ac:dyDescent="0.25">
      <c r="S439" s="116"/>
      <c r="U439" s="116"/>
    </row>
    <row r="440" spans="19:21" ht="21" customHeight="1" x14ac:dyDescent="0.25">
      <c r="S440" s="116"/>
      <c r="U440" s="116"/>
    </row>
    <row r="441" spans="19:21" ht="21" customHeight="1" x14ac:dyDescent="0.25">
      <c r="S441" s="116"/>
      <c r="U441" s="116"/>
    </row>
    <row r="442" spans="19:21" ht="21" customHeight="1" x14ac:dyDescent="0.25">
      <c r="S442" s="116"/>
      <c r="U442" s="116"/>
    </row>
    <row r="443" spans="19:21" ht="21" customHeight="1" x14ac:dyDescent="0.25">
      <c r="S443" s="116"/>
      <c r="U443" s="116"/>
    </row>
    <row r="444" spans="19:21" ht="21" customHeight="1" x14ac:dyDescent="0.25">
      <c r="S444" s="116"/>
      <c r="U444" s="116"/>
    </row>
    <row r="445" spans="19:21" ht="21" customHeight="1" x14ac:dyDescent="0.25">
      <c r="S445" s="116"/>
      <c r="U445" s="116"/>
    </row>
    <row r="446" spans="19:21" ht="21" customHeight="1" x14ac:dyDescent="0.25">
      <c r="S446" s="116"/>
      <c r="U446" s="116"/>
    </row>
    <row r="447" spans="19:21" ht="21" customHeight="1" x14ac:dyDescent="0.25">
      <c r="S447" s="116"/>
      <c r="U447" s="116"/>
    </row>
    <row r="448" spans="19:21" ht="21" customHeight="1" x14ac:dyDescent="0.25">
      <c r="S448" s="116"/>
      <c r="U448" s="116"/>
    </row>
    <row r="449" spans="19:21" ht="21" customHeight="1" x14ac:dyDescent="0.25">
      <c r="S449" s="116"/>
      <c r="U449" s="116"/>
    </row>
    <row r="450" spans="19:21" ht="21" customHeight="1" x14ac:dyDescent="0.25">
      <c r="S450" s="116"/>
      <c r="U450" s="116"/>
    </row>
    <row r="451" spans="19:21" ht="21" customHeight="1" x14ac:dyDescent="0.25">
      <c r="S451" s="116"/>
      <c r="U451" s="116"/>
    </row>
    <row r="452" spans="19:21" ht="21" customHeight="1" x14ac:dyDescent="0.25">
      <c r="S452" s="116"/>
      <c r="U452" s="116"/>
    </row>
    <row r="453" spans="19:21" ht="21" customHeight="1" x14ac:dyDescent="0.25">
      <c r="S453" s="116"/>
      <c r="U453" s="116"/>
    </row>
    <row r="454" spans="19:21" ht="21" customHeight="1" x14ac:dyDescent="0.25">
      <c r="S454" s="116"/>
      <c r="U454" s="116"/>
    </row>
    <row r="455" spans="19:21" ht="21" customHeight="1" x14ac:dyDescent="0.25">
      <c r="S455" s="116"/>
      <c r="U455" s="116"/>
    </row>
    <row r="456" spans="19:21" ht="21" customHeight="1" x14ac:dyDescent="0.25">
      <c r="S456" s="116"/>
      <c r="U456" s="116"/>
    </row>
    <row r="457" spans="19:21" ht="21" customHeight="1" x14ac:dyDescent="0.25">
      <c r="S457" s="116"/>
      <c r="U457" s="116"/>
    </row>
    <row r="458" spans="19:21" ht="21" customHeight="1" x14ac:dyDescent="0.25">
      <c r="S458" s="116"/>
      <c r="U458" s="116"/>
    </row>
    <row r="459" spans="19:21" ht="21" customHeight="1" x14ac:dyDescent="0.25">
      <c r="S459" s="116"/>
      <c r="U459" s="116"/>
    </row>
    <row r="460" spans="19:21" ht="21" customHeight="1" x14ac:dyDescent="0.25">
      <c r="S460" s="116"/>
      <c r="U460" s="116"/>
    </row>
    <row r="461" spans="19:21" ht="21" customHeight="1" x14ac:dyDescent="0.25">
      <c r="S461" s="116"/>
      <c r="U461" s="116"/>
    </row>
    <row r="462" spans="19:21" ht="21" customHeight="1" x14ac:dyDescent="0.25">
      <c r="S462" s="116"/>
      <c r="U462" s="116"/>
    </row>
    <row r="463" spans="19:21" ht="21" customHeight="1" x14ac:dyDescent="0.25">
      <c r="S463" s="116"/>
      <c r="U463" s="116"/>
    </row>
    <row r="464" spans="19:21" ht="21" customHeight="1" x14ac:dyDescent="0.25">
      <c r="S464" s="116"/>
      <c r="U464" s="116"/>
    </row>
    <row r="465" spans="19:21" ht="21" customHeight="1" x14ac:dyDescent="0.25">
      <c r="S465" s="116"/>
      <c r="U465" s="116"/>
    </row>
    <row r="466" spans="19:21" ht="21" customHeight="1" x14ac:dyDescent="0.25">
      <c r="S466" s="116"/>
      <c r="U466" s="116"/>
    </row>
    <row r="467" spans="19:21" ht="21" customHeight="1" x14ac:dyDescent="0.25">
      <c r="S467" s="116"/>
      <c r="U467" s="116"/>
    </row>
    <row r="468" spans="19:21" ht="21" customHeight="1" x14ac:dyDescent="0.25">
      <c r="S468" s="116"/>
      <c r="U468" s="116"/>
    </row>
    <row r="469" spans="19:21" ht="21" customHeight="1" x14ac:dyDescent="0.25">
      <c r="S469" s="116"/>
      <c r="U469" s="116"/>
    </row>
    <row r="470" spans="19:21" ht="21" customHeight="1" x14ac:dyDescent="0.25">
      <c r="S470" s="116"/>
      <c r="U470" s="116"/>
    </row>
    <row r="471" spans="19:21" ht="21" customHeight="1" x14ac:dyDescent="0.25">
      <c r="S471" s="116"/>
      <c r="U471" s="116"/>
    </row>
    <row r="472" spans="19:21" ht="21" customHeight="1" x14ac:dyDescent="0.25">
      <c r="S472" s="116"/>
      <c r="U472" s="116"/>
    </row>
    <row r="473" spans="19:21" ht="21" customHeight="1" x14ac:dyDescent="0.25">
      <c r="S473" s="116"/>
      <c r="U473" s="116"/>
    </row>
    <row r="474" spans="19:21" ht="21" customHeight="1" x14ac:dyDescent="0.25">
      <c r="S474" s="116"/>
      <c r="U474" s="116"/>
    </row>
    <row r="475" spans="19:21" ht="21" customHeight="1" x14ac:dyDescent="0.25">
      <c r="S475" s="116"/>
      <c r="U475" s="116"/>
    </row>
    <row r="476" spans="19:21" ht="21" customHeight="1" x14ac:dyDescent="0.25">
      <c r="S476" s="116"/>
      <c r="U476" s="116"/>
    </row>
    <row r="477" spans="19:21" ht="21" customHeight="1" x14ac:dyDescent="0.25">
      <c r="S477" s="116"/>
      <c r="U477" s="116"/>
    </row>
    <row r="478" spans="19:21" ht="21" customHeight="1" x14ac:dyDescent="0.25">
      <c r="S478" s="116"/>
      <c r="U478" s="116"/>
    </row>
    <row r="479" spans="19:21" ht="21" customHeight="1" x14ac:dyDescent="0.25">
      <c r="S479" s="116"/>
      <c r="U479" s="116"/>
    </row>
    <row r="480" spans="19:21" ht="21" customHeight="1" x14ac:dyDescent="0.25">
      <c r="S480" s="116"/>
      <c r="U480" s="116"/>
    </row>
    <row r="481" spans="19:21" ht="21" customHeight="1" x14ac:dyDescent="0.25">
      <c r="S481" s="116"/>
      <c r="U481" s="116"/>
    </row>
    <row r="482" spans="19:21" ht="21" customHeight="1" x14ac:dyDescent="0.25">
      <c r="S482" s="116"/>
      <c r="U482" s="116"/>
    </row>
    <row r="483" spans="19:21" ht="21" customHeight="1" x14ac:dyDescent="0.25">
      <c r="S483" s="116"/>
      <c r="U483" s="116"/>
    </row>
    <row r="484" spans="19:21" ht="21" customHeight="1" x14ac:dyDescent="0.25">
      <c r="S484" s="116"/>
      <c r="U484" s="116"/>
    </row>
    <row r="485" spans="19:21" ht="21" customHeight="1" x14ac:dyDescent="0.25">
      <c r="S485" s="116"/>
      <c r="U485" s="116"/>
    </row>
    <row r="486" spans="19:21" ht="21" customHeight="1" x14ac:dyDescent="0.25">
      <c r="S486" s="116"/>
      <c r="U486" s="116"/>
    </row>
    <row r="487" spans="19:21" ht="21" customHeight="1" x14ac:dyDescent="0.25">
      <c r="S487" s="116"/>
      <c r="U487" s="116"/>
    </row>
    <row r="488" spans="19:21" ht="21" customHeight="1" x14ac:dyDescent="0.25">
      <c r="S488" s="116"/>
      <c r="U488" s="116"/>
    </row>
    <row r="489" spans="19:21" ht="21" customHeight="1" x14ac:dyDescent="0.25">
      <c r="S489" s="116"/>
      <c r="U489" s="116"/>
    </row>
    <row r="490" spans="19:21" ht="21" customHeight="1" x14ac:dyDescent="0.25">
      <c r="S490" s="116"/>
      <c r="U490" s="116"/>
    </row>
    <row r="491" spans="19:21" ht="21" customHeight="1" x14ac:dyDescent="0.25">
      <c r="S491" s="116"/>
      <c r="U491" s="116"/>
    </row>
    <row r="492" spans="19:21" ht="21" customHeight="1" x14ac:dyDescent="0.25">
      <c r="S492" s="116"/>
      <c r="U492" s="116"/>
    </row>
    <row r="493" spans="19:21" ht="21" customHeight="1" x14ac:dyDescent="0.25">
      <c r="S493" s="116"/>
      <c r="U493" s="116"/>
    </row>
    <row r="494" spans="19:21" ht="21" customHeight="1" x14ac:dyDescent="0.25">
      <c r="S494" s="116"/>
      <c r="U494" s="116"/>
    </row>
    <row r="495" spans="19:21" ht="21" customHeight="1" x14ac:dyDescent="0.25">
      <c r="S495" s="116"/>
      <c r="U495" s="116"/>
    </row>
    <row r="496" spans="19:21" ht="21" customHeight="1" x14ac:dyDescent="0.25">
      <c r="S496" s="116"/>
      <c r="U496" s="116"/>
    </row>
    <row r="497" spans="19:21" ht="21" customHeight="1" x14ac:dyDescent="0.25">
      <c r="S497" s="116"/>
      <c r="U497" s="116"/>
    </row>
    <row r="498" spans="19:21" ht="21" customHeight="1" x14ac:dyDescent="0.25">
      <c r="S498" s="116"/>
      <c r="U498" s="116"/>
    </row>
    <row r="499" spans="19:21" ht="21" customHeight="1" x14ac:dyDescent="0.25">
      <c r="S499" s="116"/>
      <c r="U499" s="116"/>
    </row>
    <row r="500" spans="19:21" ht="21" customHeight="1" x14ac:dyDescent="0.25">
      <c r="S500" s="116"/>
      <c r="U500" s="116"/>
    </row>
    <row r="501" spans="19:21" ht="21" customHeight="1" x14ac:dyDescent="0.25">
      <c r="S501" s="116"/>
      <c r="U501" s="116"/>
    </row>
    <row r="502" spans="19:21" ht="21" customHeight="1" x14ac:dyDescent="0.25">
      <c r="S502" s="116"/>
      <c r="U502" s="116"/>
    </row>
    <row r="503" spans="19:21" ht="21" customHeight="1" x14ac:dyDescent="0.25">
      <c r="S503" s="116"/>
      <c r="U503" s="116"/>
    </row>
    <row r="504" spans="19:21" ht="21" customHeight="1" x14ac:dyDescent="0.25">
      <c r="S504" s="116"/>
      <c r="U504" s="116"/>
    </row>
    <row r="505" spans="19:21" ht="21" customHeight="1" x14ac:dyDescent="0.25">
      <c r="S505" s="116"/>
      <c r="U505" s="116"/>
    </row>
    <row r="506" spans="19:21" ht="21" customHeight="1" x14ac:dyDescent="0.25">
      <c r="S506" s="116"/>
      <c r="U506" s="116"/>
    </row>
    <row r="507" spans="19:21" ht="21" customHeight="1" x14ac:dyDescent="0.25">
      <c r="S507" s="116"/>
      <c r="U507" s="116"/>
    </row>
    <row r="508" spans="19:21" ht="21" customHeight="1" x14ac:dyDescent="0.25">
      <c r="S508" s="116"/>
      <c r="U508" s="116"/>
    </row>
  </sheetData>
  <mergeCells count="186">
    <mergeCell ref="AW3:AX3"/>
    <mergeCell ref="AU7:AU10"/>
    <mergeCell ref="AW7:AW10"/>
    <mergeCell ref="AU22:AU23"/>
    <mergeCell ref="AW22:AW23"/>
    <mergeCell ref="AW29:AW37"/>
    <mergeCell ref="AW38:AW46"/>
    <mergeCell ref="AU47:AU49"/>
    <mergeCell ref="AW47:AW49"/>
    <mergeCell ref="AG134:AG136"/>
    <mergeCell ref="AI134:AI136"/>
    <mergeCell ref="AG3:AH3"/>
    <mergeCell ref="AI3:AJ3"/>
    <mergeCell ref="AG7:AG10"/>
    <mergeCell ref="AI7:AI10"/>
    <mergeCell ref="AG22:AG23"/>
    <mergeCell ref="AI22:AI23"/>
    <mergeCell ref="AI29:AI37"/>
    <mergeCell ref="AI38:AI46"/>
    <mergeCell ref="AG47:AG49"/>
    <mergeCell ref="AI47:AI49"/>
    <mergeCell ref="U134:U136"/>
    <mergeCell ref="Q47:Q49"/>
    <mergeCell ref="S47:S49"/>
    <mergeCell ref="U47:U49"/>
    <mergeCell ref="M22:M23"/>
    <mergeCell ref="W29:W37"/>
    <mergeCell ref="W38:W46"/>
    <mergeCell ref="U38:U46"/>
    <mergeCell ref="AE3:AF3"/>
    <mergeCell ref="AE7:AE10"/>
    <mergeCell ref="AE22:AE23"/>
    <mergeCell ref="AE29:AE37"/>
    <mergeCell ref="AE38:AE46"/>
    <mergeCell ref="AE47:AE49"/>
    <mergeCell ref="AE134:AE136"/>
    <mergeCell ref="AC3:AD3"/>
    <mergeCell ref="AC7:AC10"/>
    <mergeCell ref="AC22:AC23"/>
    <mergeCell ref="AC47:AC49"/>
    <mergeCell ref="AC134:AC136"/>
    <mergeCell ref="AA3:AB3"/>
    <mergeCell ref="AA7:AA10"/>
    <mergeCell ref="AA22:AA23"/>
    <mergeCell ref="AA29:AA37"/>
    <mergeCell ref="O29:O37"/>
    <mergeCell ref="Q29:Q37"/>
    <mergeCell ref="Y3:Z3"/>
    <mergeCell ref="Q22:Q23"/>
    <mergeCell ref="O7:O10"/>
    <mergeCell ref="O22:O23"/>
    <mergeCell ref="O3:P3"/>
    <mergeCell ref="W3:X3"/>
    <mergeCell ref="U29:U37"/>
    <mergeCell ref="AA134:AA136"/>
    <mergeCell ref="Y47:Y49"/>
    <mergeCell ref="Y134:Y136"/>
    <mergeCell ref="AA38:AA46"/>
    <mergeCell ref="AA47:AA49"/>
    <mergeCell ref="E134:E136"/>
    <mergeCell ref="Y7:Y10"/>
    <mergeCell ref="Y22:Y23"/>
    <mergeCell ref="W7:W10"/>
    <mergeCell ref="W22:W23"/>
    <mergeCell ref="Y29:Y37"/>
    <mergeCell ref="Y38:Y46"/>
    <mergeCell ref="G134:G136"/>
    <mergeCell ref="G29:G37"/>
    <mergeCell ref="I29:I37"/>
    <mergeCell ref="Q134:Q136"/>
    <mergeCell ref="Q38:Q46"/>
    <mergeCell ref="Q7:Q10"/>
    <mergeCell ref="W47:W49"/>
    <mergeCell ref="O134:O136"/>
    <mergeCell ref="M134:M136"/>
    <mergeCell ref="K22:K23"/>
    <mergeCell ref="W134:W136"/>
    <mergeCell ref="S134:S136"/>
    <mergeCell ref="I22:I23"/>
    <mergeCell ref="E47:E49"/>
    <mergeCell ref="B152:B153"/>
    <mergeCell ref="M3:N3"/>
    <mergeCell ref="K7:K10"/>
    <mergeCell ref="M7:M10"/>
    <mergeCell ref="M29:M37"/>
    <mergeCell ref="I134:I136"/>
    <mergeCell ref="K134:K136"/>
    <mergeCell ref="B3:B4"/>
    <mergeCell ref="C3:C4"/>
    <mergeCell ref="E3:F3"/>
    <mergeCell ref="G3:H3"/>
    <mergeCell ref="I3:J3"/>
    <mergeCell ref="G47:G49"/>
    <mergeCell ref="K3:L3"/>
    <mergeCell ref="E38:E46"/>
    <mergeCell ref="D3:D4"/>
    <mergeCell ref="M38:M46"/>
    <mergeCell ref="D7:D10"/>
    <mergeCell ref="D22:D23"/>
    <mergeCell ref="D29:D37"/>
    <mergeCell ref="D38:D46"/>
    <mergeCell ref="D47:D49"/>
    <mergeCell ref="A7:A10"/>
    <mergeCell ref="A47:A49"/>
    <mergeCell ref="U3:V3"/>
    <mergeCell ref="S7:S10"/>
    <mergeCell ref="U7:U10"/>
    <mergeCell ref="S22:S23"/>
    <mergeCell ref="U22:U23"/>
    <mergeCell ref="S3:T3"/>
    <mergeCell ref="E7:E10"/>
    <mergeCell ref="G7:G10"/>
    <mergeCell ref="I38:I46"/>
    <mergeCell ref="K47:K49"/>
    <mergeCell ref="M47:M49"/>
    <mergeCell ref="O47:O49"/>
    <mergeCell ref="Q3:R3"/>
    <mergeCell ref="G22:G23"/>
    <mergeCell ref="G38:G46"/>
    <mergeCell ref="I7:I10"/>
    <mergeCell ref="K29:K37"/>
    <mergeCell ref="K38:K46"/>
    <mergeCell ref="E29:E37"/>
    <mergeCell ref="E22:E23"/>
    <mergeCell ref="I47:I49"/>
    <mergeCell ref="O38:O46"/>
    <mergeCell ref="AK3:AL3"/>
    <mergeCell ref="AK7:AK10"/>
    <mergeCell ref="AK22:AK23"/>
    <mergeCell ref="AK47:AK49"/>
    <mergeCell ref="AK134:AK136"/>
    <mergeCell ref="AM3:AN3"/>
    <mergeCell ref="AM7:AM10"/>
    <mergeCell ref="AM22:AM23"/>
    <mergeCell ref="AM29:AM37"/>
    <mergeCell ref="AM38:AM46"/>
    <mergeCell ref="AM47:AM49"/>
    <mergeCell ref="AM134:AM136"/>
    <mergeCell ref="AY47:AY49"/>
    <mergeCell ref="BE47:BE49"/>
    <mergeCell ref="AO3:AP3"/>
    <mergeCell ref="AO7:AO10"/>
    <mergeCell ref="AO22:AO23"/>
    <mergeCell ref="AO29:AO37"/>
    <mergeCell ref="AO38:AO46"/>
    <mergeCell ref="AO47:AO49"/>
    <mergeCell ref="AO134:AO136"/>
    <mergeCell ref="AQ134:AQ136"/>
    <mergeCell ref="AS134:AS136"/>
    <mergeCell ref="AQ3:AR3"/>
    <mergeCell ref="AS3:AT3"/>
    <mergeCell ref="AQ7:AQ10"/>
    <mergeCell ref="AS7:AS10"/>
    <mergeCell ref="AQ22:AQ23"/>
    <mergeCell ref="AS22:AS23"/>
    <mergeCell ref="AS29:AS37"/>
    <mergeCell ref="AS38:AS46"/>
    <mergeCell ref="AQ47:AQ49"/>
    <mergeCell ref="AS47:AS49"/>
    <mergeCell ref="AU134:AU136"/>
    <mergeCell ref="AW134:AW136"/>
    <mergeCell ref="AU3:AV3"/>
    <mergeCell ref="AY134:AY136"/>
    <mergeCell ref="BE134:BE136"/>
    <mergeCell ref="BA3:BB3"/>
    <mergeCell ref="BC3:BD3"/>
    <mergeCell ref="BA7:BA10"/>
    <mergeCell ref="BC7:BC10"/>
    <mergeCell ref="BA22:BA23"/>
    <mergeCell ref="BC22:BC23"/>
    <mergeCell ref="BA29:BA37"/>
    <mergeCell ref="BC29:BC37"/>
    <mergeCell ref="BA38:BA46"/>
    <mergeCell ref="BC38:BC46"/>
    <mergeCell ref="BA47:BA49"/>
    <mergeCell ref="BC47:BC49"/>
    <mergeCell ref="BA134:BA136"/>
    <mergeCell ref="BC134:BC136"/>
    <mergeCell ref="AY3:AZ3"/>
    <mergeCell ref="BE3:BF3"/>
    <mergeCell ref="AY7:AY10"/>
    <mergeCell ref="BE7:BE10"/>
    <mergeCell ref="AY22:AY23"/>
    <mergeCell ref="BE22:BE23"/>
    <mergeCell ref="BE29:BE37"/>
    <mergeCell ref="BE38:BE46"/>
  </mergeCells>
  <printOptions horizontalCentered="1" verticalCentered="1"/>
  <pageMargins left="0" right="0" top="0" bottom="0" header="0" footer="0"/>
  <pageSetup scale="18" orientation="landscape" verticalDpi="3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>
    <tabColor rgb="FFD517AC"/>
    <pageSetUpPr fitToPage="1"/>
  </sheetPr>
  <dimension ref="A1:BJ177"/>
  <sheetViews>
    <sheetView topLeftCell="A124" zoomScaleNormal="100" workbookViewId="0">
      <pane xSplit="4" topLeftCell="X1" activePane="topRight" state="frozen"/>
      <selection pane="topRight" activeCell="N142" sqref="N142"/>
    </sheetView>
  </sheetViews>
  <sheetFormatPr defaultColWidth="8.85546875" defaultRowHeight="15" x14ac:dyDescent="0.25"/>
  <cols>
    <col min="2" max="2" width="39.28515625" bestFit="1" customWidth="1"/>
    <col min="3" max="3" width="32.140625" bestFit="1" customWidth="1"/>
    <col min="4" max="4" width="15.140625" bestFit="1" customWidth="1"/>
    <col min="5" max="5" width="8" style="116" customWidth="1"/>
    <col min="6" max="6" width="8" style="122" bestFit="1" customWidth="1"/>
    <col min="7" max="7" width="8" style="116" customWidth="1"/>
    <col min="8" max="8" width="8" style="122" customWidth="1"/>
    <col min="9" max="9" width="11.28515625" style="116" hidden="1" customWidth="1"/>
    <col min="10" max="10" width="11.140625" style="122" hidden="1" customWidth="1"/>
    <col min="11" max="11" width="8" style="239" customWidth="1"/>
    <col min="12" max="12" width="8" style="122" customWidth="1"/>
    <col min="13" max="13" width="9" style="116" customWidth="1"/>
    <col min="14" max="14" width="9" style="122" customWidth="1"/>
    <col min="15" max="15" width="8" style="239" customWidth="1"/>
    <col min="16" max="16" width="8" style="188" customWidth="1"/>
    <col min="17" max="17" width="10.140625" style="116" hidden="1" customWidth="1"/>
    <col min="18" max="18" width="10.140625" style="122" hidden="1" customWidth="1"/>
    <col min="19" max="19" width="8" customWidth="1"/>
    <col min="20" max="20" width="8.7109375" style="2637" bestFit="1" customWidth="1"/>
    <col min="21" max="22" width="10.140625" hidden="1" customWidth="1"/>
    <col min="23" max="23" width="8" customWidth="1"/>
    <col min="24" max="24" width="9.42578125" customWidth="1"/>
    <col min="25" max="25" width="9" customWidth="1"/>
    <col min="26" max="26" width="13.140625" customWidth="1"/>
    <col min="27" max="28" width="9" customWidth="1"/>
    <col min="31" max="31" width="8.85546875" hidden="1" customWidth="1"/>
    <col min="32" max="32" width="9.5703125" hidden="1" customWidth="1"/>
    <col min="35" max="36" width="8.85546875" hidden="1" customWidth="1"/>
    <col min="38" max="38" width="10.140625" bestFit="1" customWidth="1"/>
    <col min="39" max="40" width="9" bestFit="1" customWidth="1"/>
    <col min="41" max="42" width="9" hidden="1" customWidth="1"/>
    <col min="44" max="44" width="9.5703125" bestFit="1" customWidth="1"/>
    <col min="45" max="46" width="8.85546875" hidden="1" customWidth="1"/>
    <col min="49" max="50" width="8.85546875" hidden="1" customWidth="1"/>
    <col min="53" max="56" width="8.85546875" style="5117"/>
    <col min="60" max="60" width="17.85546875" bestFit="1" customWidth="1"/>
  </cols>
  <sheetData>
    <row r="1" spans="1:62" ht="22.5" x14ac:dyDescent="0.3">
      <c r="B1" s="465" t="s">
        <v>53</v>
      </c>
      <c r="C1" s="465"/>
      <c r="D1" s="59"/>
      <c r="E1" s="59"/>
      <c r="F1" s="59"/>
      <c r="G1" s="59"/>
      <c r="H1" s="59"/>
      <c r="I1" s="59"/>
      <c r="J1" s="59"/>
      <c r="K1" s="188"/>
      <c r="M1" s="122"/>
      <c r="O1" s="188"/>
      <c r="Q1" s="122"/>
      <c r="S1" s="122"/>
      <c r="T1" s="2652"/>
      <c r="U1" s="122"/>
      <c r="V1" s="122"/>
      <c r="W1" s="6407"/>
      <c r="X1" s="6407"/>
      <c r="Y1" s="122"/>
      <c r="Z1" s="122"/>
      <c r="AA1" s="122"/>
      <c r="AB1" s="122"/>
    </row>
    <row r="2" spans="1:62" ht="15.75" thickBot="1" x14ac:dyDescent="0.3">
      <c r="B2" s="59"/>
      <c r="C2" s="59"/>
      <c r="D2" s="59"/>
      <c r="E2" s="126">
        <v>30</v>
      </c>
      <c r="F2" s="126">
        <v>30</v>
      </c>
      <c r="G2" s="126">
        <v>31</v>
      </c>
      <c r="H2" s="126">
        <v>31</v>
      </c>
      <c r="I2" s="126">
        <f>+E2+G2</f>
        <v>61</v>
      </c>
      <c r="J2" s="126">
        <f>+F2+H2</f>
        <v>61</v>
      </c>
      <c r="K2" s="476">
        <v>30</v>
      </c>
      <c r="L2" s="126">
        <v>30</v>
      </c>
      <c r="M2" s="126">
        <f>+I2+K2</f>
        <v>91</v>
      </c>
      <c r="N2" s="126">
        <f>+J2+L2</f>
        <v>91</v>
      </c>
      <c r="O2" s="476">
        <v>31</v>
      </c>
      <c r="P2" s="476">
        <v>31</v>
      </c>
      <c r="Q2" s="126">
        <f>+M2+O2</f>
        <v>122</v>
      </c>
      <c r="R2" s="126">
        <f>+N2+P2</f>
        <v>122</v>
      </c>
      <c r="S2" s="126">
        <v>31</v>
      </c>
      <c r="T2" s="2653">
        <v>31</v>
      </c>
      <c r="U2" s="126">
        <f>+Q2+S2</f>
        <v>153</v>
      </c>
      <c r="V2" s="126">
        <f>+R2+T2</f>
        <v>153</v>
      </c>
      <c r="W2" s="126">
        <v>30</v>
      </c>
      <c r="X2" s="126">
        <v>30</v>
      </c>
      <c r="Y2" s="126">
        <f>+O2+S2+W2</f>
        <v>92</v>
      </c>
      <c r="Z2" s="126">
        <f>+P2+T2+X2</f>
        <v>92</v>
      </c>
      <c r="AA2" s="126">
        <f>M2+Y2</f>
        <v>183</v>
      </c>
      <c r="AB2" s="126">
        <f>N2+Z2</f>
        <v>183</v>
      </c>
      <c r="AC2" s="126">
        <v>31</v>
      </c>
      <c r="AD2" s="2653">
        <v>31</v>
      </c>
      <c r="AE2" s="126">
        <f>+AA2+AC2</f>
        <v>214</v>
      </c>
      <c r="AF2" s="126">
        <f>+AB2+AD2</f>
        <v>214</v>
      </c>
      <c r="AG2" s="126">
        <v>30</v>
      </c>
      <c r="AH2" s="2653">
        <v>30</v>
      </c>
      <c r="AI2" s="126">
        <f>+AE2+AG2</f>
        <v>244</v>
      </c>
      <c r="AJ2" s="126">
        <f>+AF2+AH2</f>
        <v>244</v>
      </c>
      <c r="AK2" s="126">
        <v>31</v>
      </c>
      <c r="AL2" s="2653">
        <v>31</v>
      </c>
      <c r="AM2" s="126">
        <f>+AC2+AG2+AK2</f>
        <v>92</v>
      </c>
      <c r="AN2" s="126">
        <f>+AD2+AH2+AL2</f>
        <v>92</v>
      </c>
      <c r="AO2" s="126">
        <f>AI2+AK2</f>
        <v>275</v>
      </c>
      <c r="AP2" s="126">
        <f>AJ2+AL2</f>
        <v>275</v>
      </c>
      <c r="AQ2" s="126">
        <v>31</v>
      </c>
      <c r="AR2" s="2653">
        <v>31</v>
      </c>
      <c r="AS2" s="126">
        <f>+AO2+AQ2</f>
        <v>306</v>
      </c>
      <c r="AT2" s="126">
        <f>+AP2+AR2</f>
        <v>306</v>
      </c>
      <c r="AU2" s="126">
        <v>29</v>
      </c>
      <c r="AV2" s="2653">
        <v>29</v>
      </c>
      <c r="AW2" s="126">
        <f>+AS2+AU2</f>
        <v>335</v>
      </c>
      <c r="AX2" s="126">
        <f>+AT2+AV2</f>
        <v>335</v>
      </c>
      <c r="AY2" s="126">
        <v>31</v>
      </c>
      <c r="AZ2" s="2653">
        <v>31</v>
      </c>
      <c r="BA2" s="126">
        <f>+AQ2+AU2+AY2</f>
        <v>91</v>
      </c>
      <c r="BB2" s="126">
        <f>+AR2+AV2+AZ2</f>
        <v>91</v>
      </c>
      <c r="BC2" s="126">
        <f>AO2+BA2</f>
        <v>366</v>
      </c>
      <c r="BD2" s="126">
        <f>AP2+BB2</f>
        <v>366</v>
      </c>
      <c r="BE2" s="126">
        <f>+AW2+AY2</f>
        <v>366</v>
      </c>
      <c r="BF2" s="126">
        <f>+AX2+AZ2</f>
        <v>366</v>
      </c>
    </row>
    <row r="3" spans="1:62" ht="16.5" customHeight="1" thickBot="1" x14ac:dyDescent="0.3">
      <c r="B3" s="6164" t="s">
        <v>175</v>
      </c>
      <c r="C3" s="6409" t="s">
        <v>881</v>
      </c>
      <c r="D3" s="6412" t="s">
        <v>176</v>
      </c>
      <c r="E3" s="6011" t="s">
        <v>1470</v>
      </c>
      <c r="F3" s="6012"/>
      <c r="G3" s="6011" t="s">
        <v>1526</v>
      </c>
      <c r="H3" s="6012"/>
      <c r="I3" s="6142" t="s">
        <v>15</v>
      </c>
      <c r="J3" s="6357"/>
      <c r="K3" s="6045" t="s">
        <v>1620</v>
      </c>
      <c r="L3" s="6045"/>
      <c r="M3" s="6035" t="s">
        <v>658</v>
      </c>
      <c r="N3" s="6035"/>
      <c r="O3" s="6045" t="s">
        <v>1688</v>
      </c>
      <c r="P3" s="6045"/>
      <c r="Q3" s="6046" t="s">
        <v>18</v>
      </c>
      <c r="R3" s="6047"/>
      <c r="S3" s="6045" t="s">
        <v>1731</v>
      </c>
      <c r="T3" s="6045"/>
      <c r="U3" s="6046" t="s">
        <v>19</v>
      </c>
      <c r="V3" s="6047"/>
      <c r="W3" s="6045" t="s">
        <v>1766</v>
      </c>
      <c r="X3" s="6045"/>
      <c r="Y3" s="6100" t="s">
        <v>682</v>
      </c>
      <c r="Z3" s="6079"/>
      <c r="AA3" s="6074" t="s">
        <v>679</v>
      </c>
      <c r="AB3" s="6075"/>
      <c r="AC3" s="6045" t="s">
        <v>1831</v>
      </c>
      <c r="AD3" s="6045"/>
      <c r="AE3" s="6046" t="s">
        <v>26</v>
      </c>
      <c r="AF3" s="6047"/>
      <c r="AG3" s="6045" t="s">
        <v>1863</v>
      </c>
      <c r="AH3" s="6045"/>
      <c r="AI3" s="6046" t="s">
        <v>29</v>
      </c>
      <c r="AJ3" s="6047"/>
      <c r="AK3" s="6045" t="s">
        <v>1888</v>
      </c>
      <c r="AL3" s="6045"/>
      <c r="AM3" s="6100" t="s">
        <v>684</v>
      </c>
      <c r="AN3" s="6079"/>
      <c r="AO3" s="6046" t="s">
        <v>1890</v>
      </c>
      <c r="AP3" s="6047"/>
      <c r="AQ3" s="6045" t="s">
        <v>1918</v>
      </c>
      <c r="AR3" s="6045"/>
      <c r="AS3" s="6046" t="s">
        <v>30</v>
      </c>
      <c r="AT3" s="6047"/>
      <c r="AU3" s="6045" t="s">
        <v>1940</v>
      </c>
      <c r="AV3" s="6045"/>
      <c r="AW3" s="6046" t="s">
        <v>32</v>
      </c>
      <c r="AX3" s="6047"/>
      <c r="AY3" s="6045" t="s">
        <v>1965</v>
      </c>
      <c r="AZ3" s="6045"/>
      <c r="BA3" s="6100" t="s">
        <v>685</v>
      </c>
      <c r="BB3" s="6079"/>
      <c r="BC3" s="6074" t="s">
        <v>693</v>
      </c>
      <c r="BD3" s="6075"/>
      <c r="BE3" s="6046" t="s">
        <v>1513</v>
      </c>
      <c r="BF3" s="6047"/>
    </row>
    <row r="4" spans="1:62" ht="15.75" customHeight="1" thickBot="1" x14ac:dyDescent="0.3">
      <c r="B4" s="6408"/>
      <c r="C4" s="6410"/>
      <c r="D4" s="6413"/>
      <c r="E4" s="1657" t="s">
        <v>177</v>
      </c>
      <c r="F4" s="949" t="s">
        <v>178</v>
      </c>
      <c r="G4" s="1657" t="s">
        <v>177</v>
      </c>
      <c r="H4" s="949" t="s">
        <v>178</v>
      </c>
      <c r="I4" s="1930" t="s">
        <v>177</v>
      </c>
      <c r="J4" s="3602" t="s">
        <v>178</v>
      </c>
      <c r="K4" s="271" t="s">
        <v>177</v>
      </c>
      <c r="L4" s="3594" t="s">
        <v>178</v>
      </c>
      <c r="M4" s="3598" t="s">
        <v>177</v>
      </c>
      <c r="N4" s="3598" t="s">
        <v>178</v>
      </c>
      <c r="O4" s="271" t="s">
        <v>177</v>
      </c>
      <c r="P4" s="477" t="s">
        <v>178</v>
      </c>
      <c r="Q4" s="3588" t="s">
        <v>177</v>
      </c>
      <c r="R4" s="199" t="s">
        <v>178</v>
      </c>
      <c r="S4" s="271" t="s">
        <v>177</v>
      </c>
      <c r="T4" s="2654" t="s">
        <v>178</v>
      </c>
      <c r="U4" s="3588" t="s">
        <v>177</v>
      </c>
      <c r="V4" s="199" t="s">
        <v>178</v>
      </c>
      <c r="W4" s="271" t="s">
        <v>177</v>
      </c>
      <c r="X4" s="477" t="s">
        <v>178</v>
      </c>
      <c r="Y4" s="3581" t="s">
        <v>177</v>
      </c>
      <c r="Z4" s="206" t="s">
        <v>178</v>
      </c>
      <c r="AA4" s="3583" t="s">
        <v>177</v>
      </c>
      <c r="AB4" s="561" t="s">
        <v>178</v>
      </c>
      <c r="AC4" s="271" t="s">
        <v>177</v>
      </c>
      <c r="AD4" s="2654" t="s">
        <v>178</v>
      </c>
      <c r="AE4" s="4091" t="s">
        <v>177</v>
      </c>
      <c r="AF4" s="199" t="s">
        <v>178</v>
      </c>
      <c r="AG4" s="271" t="s">
        <v>177</v>
      </c>
      <c r="AH4" s="2654" t="s">
        <v>178</v>
      </c>
      <c r="AI4" s="4182" t="s">
        <v>177</v>
      </c>
      <c r="AJ4" s="199" t="s">
        <v>178</v>
      </c>
      <c r="AK4" s="271" t="s">
        <v>177</v>
      </c>
      <c r="AL4" s="2654" t="s">
        <v>178</v>
      </c>
      <c r="AM4" s="4317" t="s">
        <v>177</v>
      </c>
      <c r="AN4" s="206" t="s">
        <v>178</v>
      </c>
      <c r="AO4" s="4318" t="s">
        <v>177</v>
      </c>
      <c r="AP4" s="199" t="s">
        <v>178</v>
      </c>
      <c r="AQ4" s="271" t="s">
        <v>177</v>
      </c>
      <c r="AR4" s="2654" t="s">
        <v>178</v>
      </c>
      <c r="AS4" s="4437" t="s">
        <v>177</v>
      </c>
      <c r="AT4" s="199" t="s">
        <v>178</v>
      </c>
      <c r="AU4" s="271" t="s">
        <v>177</v>
      </c>
      <c r="AV4" s="2654" t="s">
        <v>178</v>
      </c>
      <c r="AW4" s="4674" t="s">
        <v>177</v>
      </c>
      <c r="AX4" s="199" t="s">
        <v>178</v>
      </c>
      <c r="AY4" s="271" t="s">
        <v>177</v>
      </c>
      <c r="AZ4" s="2654" t="s">
        <v>178</v>
      </c>
      <c r="BA4" s="5108" t="s">
        <v>177</v>
      </c>
      <c r="BB4" s="206" t="s">
        <v>178</v>
      </c>
      <c r="BC4" s="5106" t="s">
        <v>177</v>
      </c>
      <c r="BD4" s="561" t="s">
        <v>178</v>
      </c>
      <c r="BE4" s="5111" t="s">
        <v>177</v>
      </c>
      <c r="BF4" s="199" t="s">
        <v>178</v>
      </c>
    </row>
    <row r="5" spans="1:62" ht="16.5" thickBot="1" x14ac:dyDescent="0.3">
      <c r="B5" s="943" t="s">
        <v>878</v>
      </c>
      <c r="C5" s="6411"/>
      <c r="D5" s="6414"/>
      <c r="E5" s="1395">
        <v>44270.833333333336</v>
      </c>
      <c r="F5" s="822">
        <v>40612.990000000013</v>
      </c>
      <c r="G5" s="1395">
        <v>38020.833333333336</v>
      </c>
      <c r="H5" s="822">
        <v>32942.590999999993</v>
      </c>
      <c r="I5" s="1155">
        <f>+E5+G5</f>
        <v>82291.666666666672</v>
      </c>
      <c r="J5" s="450">
        <f>+F5+H5</f>
        <v>73555.581000000006</v>
      </c>
      <c r="K5" s="1395">
        <v>35416.666666666672</v>
      </c>
      <c r="L5" s="822">
        <v>34573.055000000008</v>
      </c>
      <c r="M5" s="3673">
        <f>+E5+G5+K5</f>
        <v>117708.33333333334</v>
      </c>
      <c r="N5" s="3673">
        <f>+F5+H5+L5</f>
        <v>108128.63600000001</v>
      </c>
      <c r="O5" s="1395">
        <v>45312.5</v>
      </c>
      <c r="P5" s="822">
        <v>43082.044000000009</v>
      </c>
      <c r="Q5" s="450">
        <f>+M5+O5</f>
        <v>163020.83333333334</v>
      </c>
      <c r="R5" s="450">
        <f>+N5+P5</f>
        <v>151210.68000000002</v>
      </c>
      <c r="S5" s="2081">
        <v>45312.5</v>
      </c>
      <c r="T5" s="2655">
        <v>48086.596000000005</v>
      </c>
      <c r="U5" s="450">
        <f>+Q5+S5</f>
        <v>208333.33333333334</v>
      </c>
      <c r="V5" s="450">
        <f>+R5+T5</f>
        <v>199297.27600000001</v>
      </c>
      <c r="W5" s="2081">
        <v>44270.833333333336</v>
      </c>
      <c r="X5" s="2655">
        <v>46620.138999999974</v>
      </c>
      <c r="Y5" s="1046">
        <f>O5++S5+W5</f>
        <v>134895.83333333334</v>
      </c>
      <c r="Z5" s="308">
        <f>P5++T5+X5</f>
        <v>137788.77899999998</v>
      </c>
      <c r="AA5" s="1047">
        <f>M5+Y5</f>
        <v>252604.16666666669</v>
      </c>
      <c r="AB5" s="794">
        <f>N5+Z5</f>
        <v>245917.41499999998</v>
      </c>
      <c r="AC5" s="2081">
        <v>45312.5</v>
      </c>
      <c r="AD5" s="2655">
        <v>44646.926999999996</v>
      </c>
      <c r="AE5" s="450">
        <f>+AA5+AC5</f>
        <v>297916.66666666669</v>
      </c>
      <c r="AF5" s="450">
        <f>+AB5+AD5</f>
        <v>290564.34199999995</v>
      </c>
      <c r="AG5" s="2081">
        <v>44270.833333333336</v>
      </c>
      <c r="AH5" s="2655">
        <v>41848.368000000017</v>
      </c>
      <c r="AI5" s="450">
        <f>+AE5+AG5</f>
        <v>342187.5</v>
      </c>
      <c r="AJ5" s="450">
        <f>+AF5+AH5</f>
        <v>332412.70999999996</v>
      </c>
      <c r="AK5" s="2081">
        <v>45312.5</v>
      </c>
      <c r="AL5" s="2655">
        <v>43191.286999999989</v>
      </c>
      <c r="AM5" s="1046">
        <f>AC5++AG5+AK5</f>
        <v>134895.83333333334</v>
      </c>
      <c r="AN5" s="308">
        <f>AD5++AH5+AL5</f>
        <v>129686.58199999999</v>
      </c>
      <c r="AO5" s="450">
        <f>AI5+AK5</f>
        <v>387500</v>
      </c>
      <c r="AP5" s="450">
        <f>AJ5+AL5</f>
        <v>375603.99699999997</v>
      </c>
      <c r="AQ5" s="2081">
        <v>45312.5</v>
      </c>
      <c r="AR5" s="2655">
        <v>45530.118000000002</v>
      </c>
      <c r="AS5" s="450">
        <f>+AO5+AQ5</f>
        <v>432812.5</v>
      </c>
      <c r="AT5" s="450">
        <f>+AP5+AR5</f>
        <v>421134.11499999999</v>
      </c>
      <c r="AU5" s="2081">
        <v>42708.333333333336</v>
      </c>
      <c r="AV5" s="2655">
        <v>38066.851999999992</v>
      </c>
      <c r="AW5" s="450">
        <f>+AS5+AU5</f>
        <v>475520.83333333331</v>
      </c>
      <c r="AX5" s="450">
        <f>+AT5+AV5</f>
        <v>459200.967</v>
      </c>
      <c r="AY5" s="2081">
        <v>45312.5</v>
      </c>
      <c r="AZ5" s="2655">
        <v>39880.673000000003</v>
      </c>
      <c r="BA5" s="1046">
        <f>AQ5++AU5+AY5</f>
        <v>133333.33333333334</v>
      </c>
      <c r="BB5" s="308">
        <f>AR5++AV5+AZ5</f>
        <v>123477.64300000001</v>
      </c>
      <c r="BC5" s="1047">
        <f>AM5+BA5</f>
        <v>268229.16666666669</v>
      </c>
      <c r="BD5" s="794">
        <f>AN5+BB5</f>
        <v>253164.22500000001</v>
      </c>
      <c r="BE5" s="450">
        <f>+AW5+AY5</f>
        <v>520833.33333333331</v>
      </c>
      <c r="BF5" s="450">
        <f>+AX5+AZ5</f>
        <v>499081.64</v>
      </c>
      <c r="BG5" s="26"/>
      <c r="BH5" s="26"/>
      <c r="BI5" s="26"/>
      <c r="BJ5" s="26"/>
    </row>
    <row r="6" spans="1:62" s="183" customFormat="1" ht="15.75" x14ac:dyDescent="0.25">
      <c r="B6" s="993" t="s">
        <v>320</v>
      </c>
      <c r="C6" s="1048"/>
      <c r="D6" s="329"/>
      <c r="E6" s="330"/>
      <c r="F6" s="330"/>
      <c r="G6" s="330"/>
      <c r="H6" s="330"/>
      <c r="I6" s="339"/>
      <c r="J6" s="339"/>
      <c r="K6" s="330"/>
      <c r="L6" s="330"/>
      <c r="M6" s="330"/>
      <c r="N6" s="330"/>
      <c r="O6" s="330"/>
      <c r="P6" s="330"/>
      <c r="Q6" s="330"/>
      <c r="R6" s="330"/>
      <c r="S6" s="330"/>
      <c r="T6" s="2656"/>
      <c r="U6" s="330"/>
      <c r="V6" s="330"/>
      <c r="W6" s="330"/>
      <c r="X6" s="2656"/>
      <c r="Y6" s="329"/>
      <c r="Z6" s="329"/>
      <c r="AA6" s="329"/>
      <c r="AB6" s="329"/>
      <c r="AC6" s="330"/>
      <c r="AD6" s="2656"/>
      <c r="AE6" s="330"/>
      <c r="AF6" s="330"/>
      <c r="AG6" s="330"/>
      <c r="AH6" s="2656"/>
      <c r="AI6" s="330"/>
      <c r="AJ6" s="330"/>
      <c r="AK6" s="330"/>
      <c r="AL6" s="2656"/>
      <c r="AM6" s="329"/>
      <c r="AN6" s="329"/>
      <c r="AO6" s="330"/>
      <c r="AP6" s="330"/>
      <c r="AQ6" s="330"/>
      <c r="AR6" s="2656"/>
      <c r="AS6" s="330"/>
      <c r="AT6" s="330"/>
      <c r="AU6" s="330"/>
      <c r="AV6" s="2656"/>
      <c r="AW6" s="330"/>
      <c r="AX6" s="330"/>
      <c r="AY6" s="330"/>
      <c r="AZ6" s="2656"/>
      <c r="BA6" s="329"/>
      <c r="BB6" s="329"/>
      <c r="BC6" s="329"/>
      <c r="BD6" s="329"/>
      <c r="BE6" s="330"/>
      <c r="BF6" s="330"/>
      <c r="BG6" s="26"/>
      <c r="BH6" s="26"/>
      <c r="BI6" s="26"/>
      <c r="BJ6" s="26"/>
    </row>
    <row r="7" spans="1:62" s="183" customFormat="1" ht="15.75" x14ac:dyDescent="0.25">
      <c r="B7" s="1049" t="s">
        <v>74</v>
      </c>
      <c r="C7" s="1393" t="s">
        <v>1481</v>
      </c>
      <c r="D7" s="62" t="s">
        <v>52</v>
      </c>
      <c r="E7" s="1050"/>
      <c r="F7" s="1494">
        <v>668.30000000000007</v>
      </c>
      <c r="G7" s="1050"/>
      <c r="H7" s="1494"/>
      <c r="I7" s="947"/>
      <c r="J7" s="947">
        <f>+F7+H7</f>
        <v>668.30000000000007</v>
      </c>
      <c r="K7" s="1050"/>
      <c r="L7" s="1494"/>
      <c r="M7" s="946"/>
      <c r="N7" s="946">
        <f>+F7+H7+L7</f>
        <v>668.30000000000007</v>
      </c>
      <c r="O7" s="1050"/>
      <c r="P7" s="1494"/>
      <c r="Q7" s="947"/>
      <c r="R7" s="2443">
        <f>+N7+P7</f>
        <v>668.30000000000007</v>
      </c>
      <c r="S7" s="1050"/>
      <c r="T7" s="2627">
        <v>514.54999999999995</v>
      </c>
      <c r="U7" s="947"/>
      <c r="V7" s="2565">
        <f>+R7+T7</f>
        <v>1182.8499999999999</v>
      </c>
      <c r="W7" s="1050"/>
      <c r="X7" s="2627"/>
      <c r="Y7" s="696"/>
      <c r="Z7" s="3603">
        <f t="shared" ref="Z7" si="0">P7+T7+X7</f>
        <v>514.54999999999995</v>
      </c>
      <c r="AA7" s="795"/>
      <c r="AB7" s="795">
        <f t="shared" ref="AB7" si="1">N7+Z7</f>
        <v>1182.8499999999999</v>
      </c>
      <c r="AC7" s="1050"/>
      <c r="AD7" s="2627"/>
      <c r="AE7" s="3615"/>
      <c r="AF7" s="3615">
        <f>+AB7+AD7</f>
        <v>1182.8499999999999</v>
      </c>
      <c r="AG7" s="1050"/>
      <c r="AH7" s="2627"/>
      <c r="AI7" s="3615"/>
      <c r="AJ7" s="3615">
        <f>+AF7+AH7</f>
        <v>1182.8499999999999</v>
      </c>
      <c r="AK7" s="1050"/>
      <c r="AL7" s="2627">
        <f>506.35-22.55</f>
        <v>483.8</v>
      </c>
      <c r="AM7" s="4110"/>
      <c r="AN7" s="4110">
        <f t="shared" ref="AN7" si="2">AD7+AH7+AL7</f>
        <v>483.8</v>
      </c>
      <c r="AO7" s="3615"/>
      <c r="AP7" s="3615">
        <f>AJ7+AL7</f>
        <v>1666.6499999999999</v>
      </c>
      <c r="AQ7" s="1050"/>
      <c r="AR7" s="2627"/>
      <c r="AS7" s="3615"/>
      <c r="AT7" s="3615">
        <f>+AP7+AR7</f>
        <v>1666.6499999999999</v>
      </c>
      <c r="AU7" s="1050"/>
      <c r="AV7" s="2627"/>
      <c r="AW7" s="3615"/>
      <c r="AX7" s="3615">
        <f>+AT7+AV7</f>
        <v>1666.6499999999999</v>
      </c>
      <c r="AY7" s="1050"/>
      <c r="AZ7" s="2627"/>
      <c r="BA7" s="4110"/>
      <c r="BB7" s="4110">
        <f t="shared" ref="BB7" si="3">AR7+AV7+AZ7</f>
        <v>0</v>
      </c>
      <c r="BC7" s="795"/>
      <c r="BD7" s="795">
        <f>AN7+BB7</f>
        <v>483.8</v>
      </c>
      <c r="BE7" s="3615"/>
      <c r="BF7" s="3615">
        <f>+AX7+AZ7</f>
        <v>1666.6499999999999</v>
      </c>
      <c r="BG7" s="26"/>
      <c r="BH7" s="26"/>
      <c r="BI7" s="26"/>
      <c r="BJ7" s="26"/>
    </row>
    <row r="8" spans="1:62" s="183" customFormat="1" ht="15.75" x14ac:dyDescent="0.25">
      <c r="A8" s="670"/>
      <c r="B8" s="1049" t="s">
        <v>74</v>
      </c>
      <c r="C8" s="1393" t="s">
        <v>1016</v>
      </c>
      <c r="D8" s="62" t="s">
        <v>52</v>
      </c>
      <c r="E8" s="1050"/>
      <c r="F8" s="1494"/>
      <c r="G8" s="1050"/>
      <c r="H8" s="1494"/>
      <c r="I8" s="947"/>
      <c r="J8" s="3615">
        <f t="shared" ref="J8:J71" si="4">+F8+H8</f>
        <v>0</v>
      </c>
      <c r="K8" s="1050"/>
      <c r="L8" s="1494">
        <v>287</v>
      </c>
      <c r="M8" s="946"/>
      <c r="N8" s="5255">
        <f t="shared" ref="N8:N71" si="5">+F8+H8+L8</f>
        <v>287</v>
      </c>
      <c r="O8" s="1050"/>
      <c r="P8" s="1494"/>
      <c r="Q8" s="947"/>
      <c r="R8" s="3615">
        <f t="shared" ref="R8:R71" si="6">+N8+P8</f>
        <v>287</v>
      </c>
      <c r="S8" s="1050"/>
      <c r="T8" s="2627">
        <v>0</v>
      </c>
      <c r="U8" s="947"/>
      <c r="V8" s="3615">
        <f t="shared" ref="V8:V71" si="7">+R8+T8</f>
        <v>287</v>
      </c>
      <c r="W8" s="1050"/>
      <c r="X8" s="2627"/>
      <c r="Y8" s="946"/>
      <c r="Z8" s="4110">
        <f t="shared" ref="Z8:Z71" si="8">P8+T8+X8</f>
        <v>0</v>
      </c>
      <c r="AA8" s="795"/>
      <c r="AB8" s="795">
        <f t="shared" ref="AB8:AB71" si="9">N8+Z8</f>
        <v>287</v>
      </c>
      <c r="AC8" s="1050"/>
      <c r="AD8" s="2627"/>
      <c r="AE8" s="3615"/>
      <c r="AF8" s="3615">
        <f t="shared" ref="AF8:AF71" si="10">+AB8+AD8</f>
        <v>287</v>
      </c>
      <c r="AG8" s="1050"/>
      <c r="AH8" s="2627"/>
      <c r="AI8" s="3615"/>
      <c r="AJ8" s="3615">
        <f t="shared" ref="AJ8:AJ71" si="11">+AF8+AH8</f>
        <v>287</v>
      </c>
      <c r="AK8" s="1050"/>
      <c r="AL8" s="2627"/>
      <c r="AM8" s="4312"/>
      <c r="AN8" s="4110">
        <f t="shared" ref="AN8:AN71" si="12">AD8+AH8+AL8</f>
        <v>0</v>
      </c>
      <c r="AO8" s="3615"/>
      <c r="AP8" s="3615">
        <f t="shared" ref="AP8:AP71" si="13">AJ8+AL8</f>
        <v>287</v>
      </c>
      <c r="AQ8" s="1050"/>
      <c r="AR8" s="2627"/>
      <c r="AS8" s="3615"/>
      <c r="AT8" s="3615">
        <f t="shared" ref="AT8:AT71" si="14">+AP8+AR8</f>
        <v>287</v>
      </c>
      <c r="AU8" s="1050"/>
      <c r="AV8" s="2627"/>
      <c r="AW8" s="3615"/>
      <c r="AX8" s="3615">
        <f t="shared" ref="AX8:AX71" si="15">+AT8+AV8</f>
        <v>287</v>
      </c>
      <c r="AY8" s="1050"/>
      <c r="AZ8" s="2627"/>
      <c r="BA8" s="5104"/>
      <c r="BB8" s="4110">
        <f t="shared" ref="BB8:BB71" si="16">AR8+AV8+AZ8</f>
        <v>0</v>
      </c>
      <c r="BC8" s="795"/>
      <c r="BD8" s="795">
        <f t="shared" ref="BD8:BD71" si="17">AN8+BB8</f>
        <v>0</v>
      </c>
      <c r="BE8" s="3615"/>
      <c r="BF8" s="3615">
        <f t="shared" ref="BF8:BF71" si="18">+AX8+AZ8</f>
        <v>287</v>
      </c>
      <c r="BG8" s="26"/>
      <c r="BH8" s="26"/>
      <c r="BI8" s="26"/>
      <c r="BJ8" s="26"/>
    </row>
    <row r="9" spans="1:62" s="183" customFormat="1" ht="15.75" x14ac:dyDescent="0.25">
      <c r="B9" s="1049" t="s">
        <v>74</v>
      </c>
      <c r="C9" s="1393" t="s">
        <v>1018</v>
      </c>
      <c r="D9" s="62" t="s">
        <v>52</v>
      </c>
      <c r="E9" s="1054"/>
      <c r="F9" s="1494">
        <f>354.65-16.4+57.4</f>
        <v>395.65</v>
      </c>
      <c r="G9" s="1054"/>
      <c r="H9" s="1494">
        <v>2.0499999999999998</v>
      </c>
      <c r="I9" s="947"/>
      <c r="J9" s="3615">
        <f t="shared" si="4"/>
        <v>397.7</v>
      </c>
      <c r="K9" s="1054"/>
      <c r="L9" s="1494"/>
      <c r="M9" s="946"/>
      <c r="N9" s="5255">
        <f t="shared" si="5"/>
        <v>397.7</v>
      </c>
      <c r="O9" s="1054"/>
      <c r="P9" s="1494"/>
      <c r="Q9" s="947"/>
      <c r="R9" s="3615">
        <f t="shared" si="6"/>
        <v>397.7</v>
      </c>
      <c r="S9" s="1050"/>
      <c r="T9" s="2627">
        <v>0</v>
      </c>
      <c r="U9" s="947"/>
      <c r="V9" s="3615">
        <f t="shared" si="7"/>
        <v>397.7</v>
      </c>
      <c r="W9" s="1050"/>
      <c r="X9" s="2627"/>
      <c r="Y9" s="696"/>
      <c r="Z9" s="4110">
        <f t="shared" si="8"/>
        <v>0</v>
      </c>
      <c r="AA9" s="795"/>
      <c r="AB9" s="795">
        <f t="shared" si="9"/>
        <v>397.7</v>
      </c>
      <c r="AC9" s="1050"/>
      <c r="AD9" s="2627"/>
      <c r="AE9" s="3615"/>
      <c r="AF9" s="3615">
        <f t="shared" si="10"/>
        <v>397.7</v>
      </c>
      <c r="AG9" s="1050"/>
      <c r="AH9" s="2627"/>
      <c r="AI9" s="3615"/>
      <c r="AJ9" s="3615">
        <f t="shared" si="11"/>
        <v>397.7</v>
      </c>
      <c r="AK9" s="1050"/>
      <c r="AL9" s="2627">
        <v>28.7</v>
      </c>
      <c r="AM9" s="4110"/>
      <c r="AN9" s="4110">
        <f t="shared" si="12"/>
        <v>28.7</v>
      </c>
      <c r="AO9" s="3615"/>
      <c r="AP9" s="3615">
        <f t="shared" si="13"/>
        <v>426.4</v>
      </c>
      <c r="AQ9" s="1050"/>
      <c r="AR9" s="2627"/>
      <c r="AS9" s="3615"/>
      <c r="AT9" s="3615">
        <f t="shared" si="14"/>
        <v>426.4</v>
      </c>
      <c r="AU9" s="1050"/>
      <c r="AV9" s="2627"/>
      <c r="AW9" s="3615"/>
      <c r="AX9" s="3615">
        <f t="shared" si="15"/>
        <v>426.4</v>
      </c>
      <c r="AY9" s="1050"/>
      <c r="AZ9" s="2627"/>
      <c r="BA9" s="4110"/>
      <c r="BB9" s="4110">
        <f t="shared" si="16"/>
        <v>0</v>
      </c>
      <c r="BC9" s="795"/>
      <c r="BD9" s="795">
        <f t="shared" si="17"/>
        <v>28.7</v>
      </c>
      <c r="BE9" s="3615"/>
      <c r="BF9" s="3615">
        <f t="shared" si="18"/>
        <v>426.4</v>
      </c>
      <c r="BG9" s="26"/>
      <c r="BH9" s="26"/>
      <c r="BI9" s="26"/>
      <c r="BJ9" s="26"/>
    </row>
    <row r="10" spans="1:62" s="183" customFormat="1" ht="15.75" x14ac:dyDescent="0.25">
      <c r="B10" s="1049" t="s">
        <v>74</v>
      </c>
      <c r="C10" s="1393" t="s">
        <v>1174</v>
      </c>
      <c r="D10" s="62" t="s">
        <v>52</v>
      </c>
      <c r="E10" s="1054"/>
      <c r="F10" s="1494">
        <f>215.25-63.55</f>
        <v>151.69999999999999</v>
      </c>
      <c r="G10" s="1054"/>
      <c r="H10" s="1494"/>
      <c r="I10" s="947"/>
      <c r="J10" s="3615">
        <f t="shared" si="4"/>
        <v>151.69999999999999</v>
      </c>
      <c r="K10" s="1054"/>
      <c r="L10" s="1494"/>
      <c r="M10" s="946"/>
      <c r="N10" s="5255">
        <f t="shared" si="5"/>
        <v>151.69999999999999</v>
      </c>
      <c r="O10" s="1054"/>
      <c r="P10" s="1494"/>
      <c r="Q10" s="947"/>
      <c r="R10" s="3615">
        <f t="shared" si="6"/>
        <v>151.69999999999999</v>
      </c>
      <c r="S10" s="1050"/>
      <c r="T10" s="2627">
        <v>0</v>
      </c>
      <c r="U10" s="947"/>
      <c r="V10" s="3615">
        <f t="shared" si="7"/>
        <v>151.69999999999999</v>
      </c>
      <c r="W10" s="1050"/>
      <c r="X10" s="2627"/>
      <c r="Y10" s="696"/>
      <c r="Z10" s="4110">
        <f t="shared" si="8"/>
        <v>0</v>
      </c>
      <c r="AA10" s="795"/>
      <c r="AB10" s="795">
        <f t="shared" si="9"/>
        <v>151.69999999999999</v>
      </c>
      <c r="AC10" s="1050"/>
      <c r="AD10" s="2627"/>
      <c r="AE10" s="3615"/>
      <c r="AF10" s="3615">
        <f t="shared" si="10"/>
        <v>151.69999999999999</v>
      </c>
      <c r="AG10" s="1050"/>
      <c r="AH10" s="2627"/>
      <c r="AI10" s="3615"/>
      <c r="AJ10" s="3615">
        <f t="shared" si="11"/>
        <v>151.69999999999999</v>
      </c>
      <c r="AK10" s="1050"/>
      <c r="AL10" s="2627"/>
      <c r="AM10" s="4110"/>
      <c r="AN10" s="4110">
        <f t="shared" si="12"/>
        <v>0</v>
      </c>
      <c r="AO10" s="3615"/>
      <c r="AP10" s="3615">
        <f t="shared" si="13"/>
        <v>151.69999999999999</v>
      </c>
      <c r="AQ10" s="1050"/>
      <c r="AR10" s="2627"/>
      <c r="AS10" s="3615"/>
      <c r="AT10" s="3615">
        <f t="shared" si="14"/>
        <v>151.69999999999999</v>
      </c>
      <c r="AU10" s="1050"/>
      <c r="AV10" s="2627"/>
      <c r="AW10" s="3615"/>
      <c r="AX10" s="3615">
        <f t="shared" si="15"/>
        <v>151.69999999999999</v>
      </c>
      <c r="AY10" s="1050"/>
      <c r="AZ10" s="2627"/>
      <c r="BA10" s="4110"/>
      <c r="BB10" s="4110">
        <f t="shared" si="16"/>
        <v>0</v>
      </c>
      <c r="BC10" s="795"/>
      <c r="BD10" s="795">
        <f t="shared" si="17"/>
        <v>0</v>
      </c>
      <c r="BE10" s="3615"/>
      <c r="BF10" s="3615">
        <f t="shared" si="18"/>
        <v>151.69999999999999</v>
      </c>
      <c r="BG10" s="26"/>
      <c r="BH10" s="26"/>
      <c r="BI10" s="26"/>
      <c r="BJ10" s="26"/>
    </row>
    <row r="11" spans="1:62" s="183" customFormat="1" ht="15.75" x14ac:dyDescent="0.25">
      <c r="B11" s="1049" t="s">
        <v>74</v>
      </c>
      <c r="C11" s="1393" t="s">
        <v>905</v>
      </c>
      <c r="D11" s="62" t="s">
        <v>52</v>
      </c>
      <c r="E11" s="1050"/>
      <c r="F11" s="1494">
        <v>543.25</v>
      </c>
      <c r="G11" s="1050"/>
      <c r="H11" s="1494">
        <f>703.15-2.05</f>
        <v>701.1</v>
      </c>
      <c r="I11" s="947"/>
      <c r="J11" s="3615">
        <f t="shared" si="4"/>
        <v>1244.3499999999999</v>
      </c>
      <c r="K11" s="1050"/>
      <c r="L11" s="1494">
        <f>305.45-2.05</f>
        <v>303.39999999999998</v>
      </c>
      <c r="M11" s="946"/>
      <c r="N11" s="5255">
        <f t="shared" si="5"/>
        <v>1547.75</v>
      </c>
      <c r="O11" s="1050"/>
      <c r="P11" s="1494">
        <v>412.05</v>
      </c>
      <c r="Q11" s="947"/>
      <c r="R11" s="3615">
        <f t="shared" si="6"/>
        <v>1959.8</v>
      </c>
      <c r="S11" s="1050"/>
      <c r="T11" s="2627">
        <v>459.20000000000005</v>
      </c>
      <c r="U11" s="947"/>
      <c r="V11" s="3615">
        <f t="shared" si="7"/>
        <v>2419</v>
      </c>
      <c r="W11" s="1050"/>
      <c r="X11" s="2627"/>
      <c r="Y11" s="696"/>
      <c r="Z11" s="4110">
        <f t="shared" si="8"/>
        <v>871.25</v>
      </c>
      <c r="AA11" s="795"/>
      <c r="AB11" s="795">
        <f t="shared" si="9"/>
        <v>2419</v>
      </c>
      <c r="AC11" s="1050"/>
      <c r="AD11" s="2627">
        <v>666.25</v>
      </c>
      <c r="AE11" s="3615"/>
      <c r="AF11" s="3615">
        <f t="shared" si="10"/>
        <v>3085.25</v>
      </c>
      <c r="AG11" s="1050"/>
      <c r="AH11" s="2627">
        <v>84.05</v>
      </c>
      <c r="AI11" s="3615"/>
      <c r="AJ11" s="3615">
        <f t="shared" si="11"/>
        <v>3169.3</v>
      </c>
      <c r="AK11" s="1050"/>
      <c r="AL11" s="2627">
        <f>1078.3-6.15</f>
        <v>1072.1499999999999</v>
      </c>
      <c r="AM11" s="4110"/>
      <c r="AN11" s="4110">
        <f t="shared" si="12"/>
        <v>1822.4499999999998</v>
      </c>
      <c r="AO11" s="3615"/>
      <c r="AP11" s="3615">
        <f t="shared" si="13"/>
        <v>4241.45</v>
      </c>
      <c r="AQ11" s="1050"/>
      <c r="AR11" s="2627"/>
      <c r="AS11" s="3615"/>
      <c r="AT11" s="3615">
        <f t="shared" si="14"/>
        <v>4241.45</v>
      </c>
      <c r="AU11" s="1050"/>
      <c r="AV11" s="2627">
        <v>145.54999999999998</v>
      </c>
      <c r="AW11" s="3615"/>
      <c r="AX11" s="3615">
        <f t="shared" si="15"/>
        <v>4387</v>
      </c>
      <c r="AY11" s="1050"/>
      <c r="AZ11" s="2627">
        <v>809.75</v>
      </c>
      <c r="BA11" s="4110"/>
      <c r="BB11" s="4110">
        <f t="shared" si="16"/>
        <v>955.3</v>
      </c>
      <c r="BC11" s="795"/>
      <c r="BD11" s="795">
        <f t="shared" si="17"/>
        <v>2777.75</v>
      </c>
      <c r="BE11" s="3615"/>
      <c r="BF11" s="3615">
        <f t="shared" si="18"/>
        <v>5196.75</v>
      </c>
      <c r="BG11" s="26"/>
      <c r="BH11" s="26"/>
      <c r="BI11" s="26"/>
      <c r="BJ11" s="26"/>
    </row>
    <row r="12" spans="1:62" s="183" customFormat="1" ht="15.75" x14ac:dyDescent="0.25">
      <c r="B12" s="1049" t="s">
        <v>74</v>
      </c>
      <c r="C12" s="1393" t="s">
        <v>906</v>
      </c>
      <c r="D12" s="62" t="s">
        <v>52</v>
      </c>
      <c r="E12" s="1050"/>
      <c r="F12" s="1494">
        <v>2072.5499999999997</v>
      </c>
      <c r="G12" s="1050"/>
      <c r="H12" s="1494">
        <f>967.6-20.5</f>
        <v>947.1</v>
      </c>
      <c r="I12" s="947"/>
      <c r="J12" s="3615">
        <f t="shared" si="4"/>
        <v>3019.6499999999996</v>
      </c>
      <c r="K12" s="1050"/>
      <c r="L12" s="1494">
        <v>596.54999999999995</v>
      </c>
      <c r="M12" s="946"/>
      <c r="N12" s="5255">
        <f t="shared" si="5"/>
        <v>3616.2</v>
      </c>
      <c r="O12" s="1050"/>
      <c r="P12" s="1494">
        <v>1828.6000000000001</v>
      </c>
      <c r="Q12" s="947"/>
      <c r="R12" s="3615">
        <f t="shared" si="6"/>
        <v>5444.8</v>
      </c>
      <c r="S12" s="1050"/>
      <c r="T12" s="2627">
        <f>1324.3-10.25</f>
        <v>1314.05</v>
      </c>
      <c r="U12" s="947"/>
      <c r="V12" s="3615">
        <f t="shared" si="7"/>
        <v>6758.85</v>
      </c>
      <c r="W12" s="1050"/>
      <c r="X12" s="2627"/>
      <c r="Y12" s="696"/>
      <c r="Z12" s="4110">
        <f t="shared" si="8"/>
        <v>3142.65</v>
      </c>
      <c r="AA12" s="795"/>
      <c r="AB12" s="795">
        <f t="shared" si="9"/>
        <v>6758.85</v>
      </c>
      <c r="AC12" s="1050"/>
      <c r="AD12" s="2627">
        <v>1639.9999999999995</v>
      </c>
      <c r="AE12" s="3615"/>
      <c r="AF12" s="3615">
        <f t="shared" si="10"/>
        <v>8398.85</v>
      </c>
      <c r="AG12" s="1050"/>
      <c r="AH12" s="2627">
        <v>1119.3</v>
      </c>
      <c r="AI12" s="3615"/>
      <c r="AJ12" s="3615">
        <f t="shared" si="11"/>
        <v>9518.15</v>
      </c>
      <c r="AK12" s="1050"/>
      <c r="AL12" s="2627">
        <f>1223.85-2.05</f>
        <v>1221.8</v>
      </c>
      <c r="AM12" s="4110"/>
      <c r="AN12" s="4110">
        <f t="shared" si="12"/>
        <v>3981.0999999999995</v>
      </c>
      <c r="AO12" s="3615"/>
      <c r="AP12" s="3615">
        <f t="shared" si="13"/>
        <v>10739.949999999999</v>
      </c>
      <c r="AQ12" s="1050"/>
      <c r="AR12" s="2627">
        <v>596.54999999999995</v>
      </c>
      <c r="AS12" s="3615"/>
      <c r="AT12" s="3615">
        <f t="shared" si="14"/>
        <v>11336.499999999998</v>
      </c>
      <c r="AU12" s="1050"/>
      <c r="AV12" s="2627">
        <v>2006.9499999999991</v>
      </c>
      <c r="AW12" s="3615"/>
      <c r="AX12" s="3615">
        <f t="shared" si="15"/>
        <v>13343.449999999997</v>
      </c>
      <c r="AY12" s="1050"/>
      <c r="AZ12" s="2627">
        <v>110.7</v>
      </c>
      <c r="BA12" s="4110"/>
      <c r="BB12" s="4110">
        <f t="shared" si="16"/>
        <v>2714.1999999999989</v>
      </c>
      <c r="BC12" s="795"/>
      <c r="BD12" s="795">
        <f t="shared" si="17"/>
        <v>6695.2999999999984</v>
      </c>
      <c r="BE12" s="3615"/>
      <c r="BF12" s="3615">
        <f t="shared" si="18"/>
        <v>13454.149999999998</v>
      </c>
      <c r="BG12" s="26"/>
      <c r="BH12" s="26"/>
      <c r="BI12" s="26"/>
      <c r="BJ12" s="26"/>
    </row>
    <row r="13" spans="1:62" s="183" customFormat="1" ht="15.75" x14ac:dyDescent="0.25">
      <c r="B13" s="1049" t="s">
        <v>74</v>
      </c>
      <c r="C13" s="1393" t="s">
        <v>1414</v>
      </c>
      <c r="D13" s="62" t="s">
        <v>52</v>
      </c>
      <c r="E13" s="1050"/>
      <c r="F13" s="1494">
        <v>366.95</v>
      </c>
      <c r="G13" s="1050"/>
      <c r="H13" s="1494">
        <v>395.65</v>
      </c>
      <c r="I13" s="947"/>
      <c r="J13" s="3615">
        <f t="shared" si="4"/>
        <v>762.59999999999991</v>
      </c>
      <c r="K13" s="1050"/>
      <c r="L13" s="1494">
        <v>315.70000000000005</v>
      </c>
      <c r="M13" s="946"/>
      <c r="N13" s="5255">
        <f t="shared" si="5"/>
        <v>1078.3</v>
      </c>
      <c r="O13" s="1050"/>
      <c r="P13" s="1494">
        <v>305.45</v>
      </c>
      <c r="Q13" s="947"/>
      <c r="R13" s="3615">
        <f t="shared" si="6"/>
        <v>1383.75</v>
      </c>
      <c r="S13" s="1050"/>
      <c r="T13" s="2627">
        <v>506.35</v>
      </c>
      <c r="U13" s="947"/>
      <c r="V13" s="3615">
        <f t="shared" si="7"/>
        <v>1890.1</v>
      </c>
      <c r="W13" s="1050"/>
      <c r="X13" s="2627"/>
      <c r="Y13" s="696"/>
      <c r="Z13" s="4110">
        <f t="shared" si="8"/>
        <v>811.8</v>
      </c>
      <c r="AA13" s="795"/>
      <c r="AB13" s="795">
        <f t="shared" si="9"/>
        <v>1890.1</v>
      </c>
      <c r="AC13" s="1050"/>
      <c r="AD13" s="2627">
        <v>102.5</v>
      </c>
      <c r="AE13" s="3615"/>
      <c r="AF13" s="3615">
        <f t="shared" si="10"/>
        <v>1992.6</v>
      </c>
      <c r="AG13" s="1050"/>
      <c r="AH13" s="2627">
        <v>305.45</v>
      </c>
      <c r="AI13" s="3615"/>
      <c r="AJ13" s="3615">
        <f t="shared" si="11"/>
        <v>2298.0499999999997</v>
      </c>
      <c r="AK13" s="1050"/>
      <c r="AL13" s="2627">
        <v>301.34999999999991</v>
      </c>
      <c r="AM13" s="4110"/>
      <c r="AN13" s="4110">
        <f t="shared" si="12"/>
        <v>709.3</v>
      </c>
      <c r="AO13" s="3615"/>
      <c r="AP13" s="3615">
        <f t="shared" si="13"/>
        <v>2599.3999999999996</v>
      </c>
      <c r="AQ13" s="1050"/>
      <c r="AR13" s="2627">
        <v>526.84999999999991</v>
      </c>
      <c r="AS13" s="3615"/>
      <c r="AT13" s="3615">
        <f t="shared" si="14"/>
        <v>3126.2499999999995</v>
      </c>
      <c r="AU13" s="1050"/>
      <c r="AV13" s="2627">
        <v>196.8</v>
      </c>
      <c r="AW13" s="3615"/>
      <c r="AX13" s="3615">
        <f t="shared" si="15"/>
        <v>3323.0499999999997</v>
      </c>
      <c r="AY13" s="1050"/>
      <c r="AZ13" s="2627">
        <v>545.29999999999995</v>
      </c>
      <c r="BA13" s="4110"/>
      <c r="BB13" s="4110">
        <f t="shared" si="16"/>
        <v>1268.9499999999998</v>
      </c>
      <c r="BC13" s="795"/>
      <c r="BD13" s="795">
        <f t="shared" si="17"/>
        <v>1978.2499999999998</v>
      </c>
      <c r="BE13" s="3615"/>
      <c r="BF13" s="3615">
        <f t="shared" si="18"/>
        <v>3868.3499999999995</v>
      </c>
      <c r="BG13" s="26"/>
      <c r="BH13" s="26"/>
      <c r="BI13" s="26"/>
      <c r="BJ13" s="26"/>
    </row>
    <row r="14" spans="1:62" s="183" customFormat="1" ht="15.75" x14ac:dyDescent="0.25">
      <c r="B14" s="1049" t="s">
        <v>74</v>
      </c>
      <c r="C14" s="1393" t="s">
        <v>1017</v>
      </c>
      <c r="D14" s="62" t="s">
        <v>52</v>
      </c>
      <c r="E14" s="1050"/>
      <c r="F14" s="1494">
        <v>442.8</v>
      </c>
      <c r="G14" s="1050"/>
      <c r="H14" s="1494"/>
      <c r="I14" s="947"/>
      <c r="J14" s="3615">
        <f t="shared" si="4"/>
        <v>442.8</v>
      </c>
      <c r="K14" s="1050"/>
      <c r="L14" s="1494"/>
      <c r="M14" s="946"/>
      <c r="N14" s="5255">
        <f t="shared" si="5"/>
        <v>442.8</v>
      </c>
      <c r="O14" s="1050"/>
      <c r="P14" s="1494">
        <v>301.35000000000014</v>
      </c>
      <c r="Q14" s="947"/>
      <c r="R14" s="3615">
        <f t="shared" si="6"/>
        <v>744.15000000000009</v>
      </c>
      <c r="S14" s="1050"/>
      <c r="T14" s="2627">
        <v>0</v>
      </c>
      <c r="U14" s="947"/>
      <c r="V14" s="3615">
        <f t="shared" si="7"/>
        <v>744.15000000000009</v>
      </c>
      <c r="W14" s="1050"/>
      <c r="X14" s="2627"/>
      <c r="Y14" s="696"/>
      <c r="Z14" s="4110">
        <f t="shared" si="8"/>
        <v>301.35000000000014</v>
      </c>
      <c r="AA14" s="795"/>
      <c r="AB14" s="795">
        <f t="shared" si="9"/>
        <v>744.15000000000009</v>
      </c>
      <c r="AC14" s="1050"/>
      <c r="AD14" s="2627">
        <v>848.69999999999993</v>
      </c>
      <c r="AE14" s="3615"/>
      <c r="AF14" s="3615">
        <f t="shared" si="10"/>
        <v>1592.85</v>
      </c>
      <c r="AG14" s="1050"/>
      <c r="AH14" s="2627">
        <v>217.29999999999998</v>
      </c>
      <c r="AI14" s="3615"/>
      <c r="AJ14" s="3615">
        <f t="shared" si="11"/>
        <v>1810.1499999999999</v>
      </c>
      <c r="AK14" s="1050"/>
      <c r="AL14" s="2627">
        <v>407.95000000000005</v>
      </c>
      <c r="AM14" s="4110"/>
      <c r="AN14" s="4110">
        <f t="shared" si="12"/>
        <v>1473.95</v>
      </c>
      <c r="AO14" s="3615"/>
      <c r="AP14" s="3615">
        <f t="shared" si="13"/>
        <v>2218.1</v>
      </c>
      <c r="AQ14" s="1050"/>
      <c r="AR14" s="2627">
        <v>504.30000000000007</v>
      </c>
      <c r="AS14" s="3615"/>
      <c r="AT14" s="3615">
        <f t="shared" si="14"/>
        <v>2722.4</v>
      </c>
      <c r="AU14" s="1050"/>
      <c r="AV14" s="2627">
        <v>483.80000000000013</v>
      </c>
      <c r="AW14" s="3615"/>
      <c r="AX14" s="3615">
        <f t="shared" si="15"/>
        <v>3206.2000000000003</v>
      </c>
      <c r="AY14" s="1050"/>
      <c r="AZ14" s="2627">
        <v>557.6</v>
      </c>
      <c r="BA14" s="4110"/>
      <c r="BB14" s="4110">
        <f t="shared" si="16"/>
        <v>1545.7000000000003</v>
      </c>
      <c r="BC14" s="795"/>
      <c r="BD14" s="795">
        <f t="shared" si="17"/>
        <v>3019.6500000000005</v>
      </c>
      <c r="BE14" s="3615"/>
      <c r="BF14" s="3615">
        <f t="shared" si="18"/>
        <v>3763.8</v>
      </c>
      <c r="BG14" s="26"/>
      <c r="BH14" s="26"/>
      <c r="BI14" s="26"/>
      <c r="BJ14" s="26"/>
    </row>
    <row r="15" spans="1:62" s="183" customFormat="1" ht="15.75" x14ac:dyDescent="0.25">
      <c r="B15" s="1049" t="s">
        <v>74</v>
      </c>
      <c r="C15" s="1393" t="s">
        <v>1833</v>
      </c>
      <c r="D15" s="62" t="s">
        <v>52</v>
      </c>
      <c r="E15" s="1050"/>
      <c r="F15" s="2941"/>
      <c r="G15" s="1050"/>
      <c r="H15" s="2941"/>
      <c r="I15" s="3615"/>
      <c r="J15" s="3615">
        <f t="shared" si="4"/>
        <v>0</v>
      </c>
      <c r="K15" s="1050"/>
      <c r="L15" s="2941"/>
      <c r="M15" s="4087"/>
      <c r="N15" s="5255">
        <f t="shared" si="5"/>
        <v>0</v>
      </c>
      <c r="O15" s="1050"/>
      <c r="P15" s="2941"/>
      <c r="Q15" s="3615"/>
      <c r="R15" s="3615">
        <f t="shared" si="6"/>
        <v>0</v>
      </c>
      <c r="S15" s="1050"/>
      <c r="T15" s="2627"/>
      <c r="U15" s="3615"/>
      <c r="V15" s="3615">
        <f t="shared" si="7"/>
        <v>0</v>
      </c>
      <c r="W15" s="1050"/>
      <c r="X15" s="2627"/>
      <c r="Y15" s="4094"/>
      <c r="Z15" s="4110">
        <f t="shared" si="8"/>
        <v>0</v>
      </c>
      <c r="AA15" s="795"/>
      <c r="AB15" s="795">
        <f t="shared" si="9"/>
        <v>0</v>
      </c>
      <c r="AC15" s="1050"/>
      <c r="AD15" s="2627">
        <v>114.8</v>
      </c>
      <c r="AE15" s="3615"/>
      <c r="AF15" s="3615">
        <f t="shared" si="10"/>
        <v>114.8</v>
      </c>
      <c r="AG15" s="1050"/>
      <c r="AH15" s="2627"/>
      <c r="AI15" s="3615"/>
      <c r="AJ15" s="3615">
        <f t="shared" si="11"/>
        <v>114.8</v>
      </c>
      <c r="AK15" s="1050"/>
      <c r="AL15" s="2627"/>
      <c r="AM15" s="4110"/>
      <c r="AN15" s="4110">
        <f t="shared" si="12"/>
        <v>114.8</v>
      </c>
      <c r="AO15" s="3615"/>
      <c r="AP15" s="3615">
        <f t="shared" si="13"/>
        <v>114.8</v>
      </c>
      <c r="AQ15" s="1050"/>
      <c r="AR15" s="2627"/>
      <c r="AS15" s="3615"/>
      <c r="AT15" s="3615">
        <f t="shared" si="14"/>
        <v>114.8</v>
      </c>
      <c r="AU15" s="1050"/>
      <c r="AV15" s="2627"/>
      <c r="AW15" s="3615"/>
      <c r="AX15" s="3615">
        <f t="shared" si="15"/>
        <v>114.8</v>
      </c>
      <c r="AY15" s="1050"/>
      <c r="AZ15" s="2627"/>
      <c r="BA15" s="4110"/>
      <c r="BB15" s="4110">
        <f t="shared" si="16"/>
        <v>0</v>
      </c>
      <c r="BC15" s="795"/>
      <c r="BD15" s="795">
        <f t="shared" si="17"/>
        <v>114.8</v>
      </c>
      <c r="BE15" s="3615"/>
      <c r="BF15" s="3615">
        <f t="shared" si="18"/>
        <v>114.8</v>
      </c>
      <c r="BG15" s="26"/>
      <c r="BH15" s="26"/>
      <c r="BI15" s="26"/>
      <c r="BJ15" s="26"/>
    </row>
    <row r="16" spans="1:62" s="183" customFormat="1" ht="15.75" x14ac:dyDescent="0.25">
      <c r="B16" s="1049" t="s">
        <v>74</v>
      </c>
      <c r="C16" s="1393" t="s">
        <v>1019</v>
      </c>
      <c r="D16" s="62" t="s">
        <v>52</v>
      </c>
      <c r="E16" s="1050"/>
      <c r="F16" s="1494">
        <v>506.35</v>
      </c>
      <c r="G16" s="1050"/>
      <c r="H16" s="1494"/>
      <c r="I16" s="947"/>
      <c r="J16" s="3615">
        <f t="shared" si="4"/>
        <v>506.35</v>
      </c>
      <c r="K16" s="1050"/>
      <c r="L16" s="1494"/>
      <c r="M16" s="946"/>
      <c r="N16" s="5255">
        <f t="shared" si="5"/>
        <v>506.35</v>
      </c>
      <c r="O16" s="1050"/>
      <c r="P16" s="1494">
        <v>514.54999999999995</v>
      </c>
      <c r="Q16" s="947"/>
      <c r="R16" s="3615">
        <f t="shared" si="6"/>
        <v>1020.9</v>
      </c>
      <c r="S16" s="1050"/>
      <c r="T16" s="2627">
        <v>0</v>
      </c>
      <c r="U16" s="947"/>
      <c r="V16" s="3615">
        <f t="shared" si="7"/>
        <v>1020.9</v>
      </c>
      <c r="W16" s="1050"/>
      <c r="X16" s="2627"/>
      <c r="Y16" s="696"/>
      <c r="Z16" s="4110">
        <f t="shared" si="8"/>
        <v>514.54999999999995</v>
      </c>
      <c r="AA16" s="795"/>
      <c r="AB16" s="795">
        <f t="shared" si="9"/>
        <v>1020.9</v>
      </c>
      <c r="AC16" s="1050"/>
      <c r="AD16" s="2627"/>
      <c r="AE16" s="3615"/>
      <c r="AF16" s="3615">
        <f t="shared" si="10"/>
        <v>1020.9</v>
      </c>
      <c r="AG16" s="1050"/>
      <c r="AH16" s="2627">
        <v>481.75000000000006</v>
      </c>
      <c r="AI16" s="3615"/>
      <c r="AJ16" s="3615">
        <f t="shared" si="11"/>
        <v>1502.65</v>
      </c>
      <c r="AK16" s="1050"/>
      <c r="AL16" s="2627">
        <f>498.15+2.05</f>
        <v>500.2</v>
      </c>
      <c r="AM16" s="4110"/>
      <c r="AN16" s="4110">
        <f t="shared" si="12"/>
        <v>981.95</v>
      </c>
      <c r="AO16" s="3615"/>
      <c r="AP16" s="3615">
        <f t="shared" si="13"/>
        <v>2002.8500000000001</v>
      </c>
      <c r="AQ16" s="1050"/>
      <c r="AR16" s="2627">
        <v>307.5</v>
      </c>
      <c r="AS16" s="3615"/>
      <c r="AT16" s="3615">
        <f t="shared" si="14"/>
        <v>2310.3500000000004</v>
      </c>
      <c r="AU16" s="1050"/>
      <c r="AV16" s="2627">
        <v>598.59999999999991</v>
      </c>
      <c r="AW16" s="3615"/>
      <c r="AX16" s="3615">
        <f t="shared" si="15"/>
        <v>2908.9500000000003</v>
      </c>
      <c r="AY16" s="1050"/>
      <c r="AZ16" s="2627">
        <v>522.75</v>
      </c>
      <c r="BA16" s="4110"/>
      <c r="BB16" s="4110">
        <f t="shared" si="16"/>
        <v>1428.85</v>
      </c>
      <c r="BC16" s="795"/>
      <c r="BD16" s="795">
        <f t="shared" si="17"/>
        <v>2410.8000000000002</v>
      </c>
      <c r="BE16" s="3615"/>
      <c r="BF16" s="3615">
        <f t="shared" si="18"/>
        <v>3431.7000000000003</v>
      </c>
      <c r="BG16" s="26"/>
      <c r="BH16" s="26"/>
      <c r="BI16" s="26"/>
      <c r="BJ16" s="26"/>
    </row>
    <row r="17" spans="2:62" s="183" customFormat="1" ht="15.75" x14ac:dyDescent="0.25">
      <c r="B17" s="1049" t="s">
        <v>74</v>
      </c>
      <c r="C17" s="1393" t="s">
        <v>1188</v>
      </c>
      <c r="D17" s="62" t="s">
        <v>52</v>
      </c>
      <c r="E17" s="1050"/>
      <c r="F17" s="1494">
        <v>207.05</v>
      </c>
      <c r="G17" s="1050"/>
      <c r="H17" s="1494"/>
      <c r="I17" s="947"/>
      <c r="J17" s="3615">
        <f t="shared" si="4"/>
        <v>207.05</v>
      </c>
      <c r="K17" s="1050"/>
      <c r="L17" s="1494"/>
      <c r="M17" s="946"/>
      <c r="N17" s="5255">
        <f t="shared" si="5"/>
        <v>207.05</v>
      </c>
      <c r="O17" s="1050"/>
      <c r="P17" s="1494">
        <v>96.35</v>
      </c>
      <c r="Q17" s="947"/>
      <c r="R17" s="3615">
        <f t="shared" si="6"/>
        <v>303.39999999999998</v>
      </c>
      <c r="S17" s="1050"/>
      <c r="T17" s="2627">
        <v>0</v>
      </c>
      <c r="U17" s="947"/>
      <c r="V17" s="3615">
        <f t="shared" si="7"/>
        <v>303.39999999999998</v>
      </c>
      <c r="W17" s="1050"/>
      <c r="X17" s="2627"/>
      <c r="Y17" s="696"/>
      <c r="Z17" s="4110">
        <f t="shared" si="8"/>
        <v>96.35</v>
      </c>
      <c r="AA17" s="795"/>
      <c r="AB17" s="795">
        <f t="shared" si="9"/>
        <v>303.39999999999998</v>
      </c>
      <c r="AC17" s="1050"/>
      <c r="AD17" s="2627"/>
      <c r="AE17" s="3615"/>
      <c r="AF17" s="3615">
        <f t="shared" si="10"/>
        <v>303.39999999999998</v>
      </c>
      <c r="AG17" s="1050"/>
      <c r="AH17" s="2627"/>
      <c r="AI17" s="3615"/>
      <c r="AJ17" s="3615">
        <f t="shared" si="11"/>
        <v>303.39999999999998</v>
      </c>
      <c r="AK17" s="1050"/>
      <c r="AL17" s="2627"/>
      <c r="AM17" s="4110"/>
      <c r="AN17" s="4110">
        <f t="shared" si="12"/>
        <v>0</v>
      </c>
      <c r="AO17" s="3615"/>
      <c r="AP17" s="3615">
        <f t="shared" si="13"/>
        <v>303.39999999999998</v>
      </c>
      <c r="AQ17" s="1050"/>
      <c r="AR17" s="2627"/>
      <c r="AS17" s="3615"/>
      <c r="AT17" s="3615">
        <f t="shared" si="14"/>
        <v>303.39999999999998</v>
      </c>
      <c r="AU17" s="1050"/>
      <c r="AV17" s="2627"/>
      <c r="AW17" s="3615"/>
      <c r="AX17" s="3615">
        <f t="shared" si="15"/>
        <v>303.39999999999998</v>
      </c>
      <c r="AY17" s="1050"/>
      <c r="AZ17" s="2627"/>
      <c r="BA17" s="4110"/>
      <c r="BB17" s="4110">
        <f t="shared" si="16"/>
        <v>0</v>
      </c>
      <c r="BC17" s="795"/>
      <c r="BD17" s="795">
        <f t="shared" si="17"/>
        <v>0</v>
      </c>
      <c r="BE17" s="3615"/>
      <c r="BF17" s="3615">
        <f t="shared" si="18"/>
        <v>303.39999999999998</v>
      </c>
      <c r="BG17" s="26"/>
      <c r="BH17" s="26"/>
      <c r="BI17" s="26"/>
      <c r="BJ17" s="26"/>
    </row>
    <row r="18" spans="2:62" s="183" customFormat="1" ht="15.75" x14ac:dyDescent="0.25">
      <c r="B18" s="1049" t="s">
        <v>74</v>
      </c>
      <c r="C18" s="1393" t="s">
        <v>1021</v>
      </c>
      <c r="D18" s="62" t="s">
        <v>52</v>
      </c>
      <c r="E18" s="1050"/>
      <c r="F18" s="1494">
        <v>621.15000000000009</v>
      </c>
      <c r="G18" s="1050"/>
      <c r="H18" s="1494"/>
      <c r="I18" s="947"/>
      <c r="J18" s="3615">
        <f t="shared" si="4"/>
        <v>621.15000000000009</v>
      </c>
      <c r="K18" s="1050"/>
      <c r="L18" s="1494"/>
      <c r="M18" s="946"/>
      <c r="N18" s="5255">
        <f t="shared" si="5"/>
        <v>621.15000000000009</v>
      </c>
      <c r="O18" s="1050"/>
      <c r="P18" s="1494">
        <v>643.69999999999993</v>
      </c>
      <c r="Q18" s="947"/>
      <c r="R18" s="3615">
        <f t="shared" si="6"/>
        <v>1264.8499999999999</v>
      </c>
      <c r="S18" s="1050"/>
      <c r="T18" s="2627">
        <v>0</v>
      </c>
      <c r="U18" s="947"/>
      <c r="V18" s="3615">
        <f t="shared" si="7"/>
        <v>1264.8499999999999</v>
      </c>
      <c r="W18" s="1050"/>
      <c r="X18" s="2627"/>
      <c r="Y18" s="696"/>
      <c r="Z18" s="4110">
        <f t="shared" si="8"/>
        <v>643.69999999999993</v>
      </c>
      <c r="AA18" s="795"/>
      <c r="AB18" s="795">
        <f t="shared" si="9"/>
        <v>1264.8499999999999</v>
      </c>
      <c r="AC18" s="1050"/>
      <c r="AD18" s="2627"/>
      <c r="AE18" s="3615"/>
      <c r="AF18" s="3615">
        <f t="shared" si="10"/>
        <v>1264.8499999999999</v>
      </c>
      <c r="AG18" s="1050"/>
      <c r="AH18" s="2627">
        <v>549.40000000000009</v>
      </c>
      <c r="AI18" s="3615"/>
      <c r="AJ18" s="3615">
        <f t="shared" si="11"/>
        <v>1814.25</v>
      </c>
      <c r="AK18" s="1050"/>
      <c r="AL18" s="2627">
        <v>510.45</v>
      </c>
      <c r="AM18" s="4110"/>
      <c r="AN18" s="4110">
        <f t="shared" si="12"/>
        <v>1059.8500000000001</v>
      </c>
      <c r="AO18" s="3615"/>
      <c r="AP18" s="3615">
        <f t="shared" si="13"/>
        <v>2324.6999999999998</v>
      </c>
      <c r="AQ18" s="1050"/>
      <c r="AR18" s="2627">
        <v>387.45</v>
      </c>
      <c r="AS18" s="3615"/>
      <c r="AT18" s="3615">
        <f t="shared" si="14"/>
        <v>2712.1499999999996</v>
      </c>
      <c r="AU18" s="1050"/>
      <c r="AV18" s="2627">
        <v>658.05</v>
      </c>
      <c r="AW18" s="3615"/>
      <c r="AX18" s="3615">
        <f t="shared" si="15"/>
        <v>3370.2</v>
      </c>
      <c r="AY18" s="1050"/>
      <c r="AZ18" s="2627">
        <v>707.25</v>
      </c>
      <c r="BA18" s="4110"/>
      <c r="BB18" s="4110">
        <f t="shared" si="16"/>
        <v>1752.75</v>
      </c>
      <c r="BC18" s="795"/>
      <c r="BD18" s="795">
        <f t="shared" si="17"/>
        <v>2812.6000000000004</v>
      </c>
      <c r="BE18" s="3615"/>
      <c r="BF18" s="3615">
        <f t="shared" si="18"/>
        <v>4077.45</v>
      </c>
      <c r="BG18" s="26"/>
      <c r="BH18" s="26"/>
      <c r="BI18" s="26"/>
      <c r="BJ18" s="26"/>
    </row>
    <row r="19" spans="2:62" s="3389" customFormat="1" ht="15.75" x14ac:dyDescent="0.25">
      <c r="B19" s="1049" t="s">
        <v>76</v>
      </c>
      <c r="C19" s="1393" t="s">
        <v>1481</v>
      </c>
      <c r="D19" s="62" t="s">
        <v>52</v>
      </c>
      <c r="E19" s="3387"/>
      <c r="F19" s="2941">
        <f>2173-8.2</f>
        <v>2164.8000000000002</v>
      </c>
      <c r="G19" s="3387"/>
      <c r="H19" s="2941">
        <v>756.44999999999993</v>
      </c>
      <c r="I19" s="3380"/>
      <c r="J19" s="3615">
        <f t="shared" si="4"/>
        <v>2921.25</v>
      </c>
      <c r="K19" s="3387"/>
      <c r="L19" s="2941">
        <v>1615.4000000000003</v>
      </c>
      <c r="M19" s="3379"/>
      <c r="N19" s="5255">
        <f t="shared" si="5"/>
        <v>4536.6500000000005</v>
      </c>
      <c r="O19" s="3387"/>
      <c r="P19" s="2941">
        <v>1866.2799999999995</v>
      </c>
      <c r="Q19" s="3380"/>
      <c r="R19" s="3615">
        <f t="shared" si="6"/>
        <v>6402.93</v>
      </c>
      <c r="S19" s="3387"/>
      <c r="T19" s="2627">
        <v>647.79999999999995</v>
      </c>
      <c r="U19" s="3380"/>
      <c r="V19" s="3615">
        <f t="shared" si="7"/>
        <v>7050.7300000000005</v>
      </c>
      <c r="W19" s="3387"/>
      <c r="X19" s="2627">
        <v>815.89999999999986</v>
      </c>
      <c r="Y19" s="3384"/>
      <c r="Z19" s="4110">
        <f t="shared" si="8"/>
        <v>3329.9799999999996</v>
      </c>
      <c r="AA19" s="795"/>
      <c r="AB19" s="795">
        <f t="shared" si="9"/>
        <v>7866.63</v>
      </c>
      <c r="AC19" s="3387"/>
      <c r="AD19" s="2627">
        <f>2923.3-4.1</f>
        <v>2919.2000000000003</v>
      </c>
      <c r="AE19" s="3615"/>
      <c r="AF19" s="3615">
        <f t="shared" si="10"/>
        <v>10785.83</v>
      </c>
      <c r="AG19" s="3387"/>
      <c r="AH19" s="2627">
        <v>1711.7500000000002</v>
      </c>
      <c r="AI19" s="3615"/>
      <c r="AJ19" s="3615">
        <f t="shared" si="11"/>
        <v>12497.58</v>
      </c>
      <c r="AK19" s="3387"/>
      <c r="AL19" s="2627">
        <f>2047.95-20.5</f>
        <v>2027.45</v>
      </c>
      <c r="AM19" s="4110"/>
      <c r="AN19" s="4110">
        <f t="shared" si="12"/>
        <v>6658.4000000000005</v>
      </c>
      <c r="AO19" s="3615"/>
      <c r="AP19" s="3615">
        <f t="shared" si="13"/>
        <v>14525.03</v>
      </c>
      <c r="AQ19" s="3387"/>
      <c r="AR19" s="2627">
        <f>2291.9-28.7</f>
        <v>2263.2000000000003</v>
      </c>
      <c r="AS19" s="3615"/>
      <c r="AT19" s="3615">
        <f t="shared" si="14"/>
        <v>16788.23</v>
      </c>
      <c r="AU19" s="3387"/>
      <c r="AV19" s="2627">
        <v>781.05</v>
      </c>
      <c r="AW19" s="3615"/>
      <c r="AX19" s="3615">
        <f t="shared" si="15"/>
        <v>17569.28</v>
      </c>
      <c r="AY19" s="3387"/>
      <c r="AZ19" s="2627">
        <v>647.80000000000007</v>
      </c>
      <c r="BA19" s="4110"/>
      <c r="BB19" s="4110">
        <f t="shared" si="16"/>
        <v>3692.05</v>
      </c>
      <c r="BC19" s="795"/>
      <c r="BD19" s="795">
        <f t="shared" si="17"/>
        <v>10350.450000000001</v>
      </c>
      <c r="BE19" s="3615"/>
      <c r="BF19" s="3615">
        <f t="shared" si="18"/>
        <v>18217.079999999998</v>
      </c>
      <c r="BG19" s="26"/>
      <c r="BH19" s="26"/>
      <c r="BI19" s="26"/>
      <c r="BJ19" s="26"/>
    </row>
    <row r="20" spans="2:62" s="3389" customFormat="1" ht="15.75" x14ac:dyDescent="0.25">
      <c r="B20" s="1049" t="s">
        <v>76</v>
      </c>
      <c r="C20" s="1393" t="s">
        <v>1016</v>
      </c>
      <c r="D20" s="62" t="s">
        <v>52</v>
      </c>
      <c r="E20" s="3387"/>
      <c r="F20" s="2941">
        <f>6119.25-71.75</f>
        <v>6047.5</v>
      </c>
      <c r="G20" s="3387"/>
      <c r="H20" s="2941">
        <v>1240.2499999999998</v>
      </c>
      <c r="I20" s="3380"/>
      <c r="J20" s="3615">
        <f t="shared" si="4"/>
        <v>7287.75</v>
      </c>
      <c r="K20" s="3387"/>
      <c r="L20" s="2941">
        <f>3542.4-28.7</f>
        <v>3513.7000000000003</v>
      </c>
      <c r="M20" s="3379"/>
      <c r="N20" s="5255">
        <f t="shared" si="5"/>
        <v>10801.45</v>
      </c>
      <c r="O20" s="3387"/>
      <c r="P20" s="2941">
        <v>1589.21</v>
      </c>
      <c r="Q20" s="3380"/>
      <c r="R20" s="3615">
        <f t="shared" si="6"/>
        <v>12390.66</v>
      </c>
      <c r="S20" s="3387"/>
      <c r="T20" s="2627">
        <f>1996.7-10.25</f>
        <v>1986.45</v>
      </c>
      <c r="U20" s="3380"/>
      <c r="V20" s="3615">
        <f t="shared" si="7"/>
        <v>14377.11</v>
      </c>
      <c r="W20" s="3387"/>
      <c r="X20" s="2627">
        <v>2689.6</v>
      </c>
      <c r="Y20" s="3384"/>
      <c r="Z20" s="4110">
        <f t="shared" si="8"/>
        <v>6265.26</v>
      </c>
      <c r="AA20" s="795"/>
      <c r="AB20" s="795">
        <f t="shared" si="9"/>
        <v>17066.71</v>
      </c>
      <c r="AC20" s="3387"/>
      <c r="AD20" s="2627">
        <f>2367.75-16.4</f>
        <v>2351.35</v>
      </c>
      <c r="AE20" s="3615"/>
      <c r="AF20" s="3615">
        <f t="shared" si="10"/>
        <v>19418.059999999998</v>
      </c>
      <c r="AG20" s="3387"/>
      <c r="AH20" s="2627">
        <v>4015.9500000000025</v>
      </c>
      <c r="AI20" s="3615"/>
      <c r="AJ20" s="3615">
        <f t="shared" si="11"/>
        <v>23434.010000000002</v>
      </c>
      <c r="AK20" s="3387"/>
      <c r="AL20" s="2627">
        <v>2765.4500000000003</v>
      </c>
      <c r="AM20" s="4110"/>
      <c r="AN20" s="4110">
        <f t="shared" si="12"/>
        <v>9132.7500000000036</v>
      </c>
      <c r="AO20" s="3615"/>
      <c r="AP20" s="3615">
        <f t="shared" si="13"/>
        <v>26199.460000000003</v>
      </c>
      <c r="AQ20" s="3387"/>
      <c r="AR20" s="2627">
        <f>4514.1-12.3</f>
        <v>4501.8</v>
      </c>
      <c r="AS20" s="3615"/>
      <c r="AT20" s="3615">
        <f t="shared" si="14"/>
        <v>30701.260000000002</v>
      </c>
      <c r="AU20" s="3387"/>
      <c r="AV20" s="2627">
        <v>2537.9</v>
      </c>
      <c r="AW20" s="3615"/>
      <c r="AX20" s="3615">
        <f t="shared" si="15"/>
        <v>33239.160000000003</v>
      </c>
      <c r="AY20" s="3387"/>
      <c r="AZ20" s="2627">
        <v>6320.1499999999987</v>
      </c>
      <c r="BA20" s="4110"/>
      <c r="BB20" s="4110">
        <f t="shared" si="16"/>
        <v>13359.849999999999</v>
      </c>
      <c r="BC20" s="795"/>
      <c r="BD20" s="795">
        <f t="shared" si="17"/>
        <v>22492.600000000002</v>
      </c>
      <c r="BE20" s="3615"/>
      <c r="BF20" s="3615">
        <f t="shared" si="18"/>
        <v>39559.310000000005</v>
      </c>
      <c r="BG20" s="26"/>
      <c r="BH20" s="26"/>
      <c r="BI20" s="26"/>
      <c r="BJ20" s="26"/>
    </row>
    <row r="21" spans="2:62" s="3389" customFormat="1" ht="15.75" x14ac:dyDescent="0.25">
      <c r="B21" s="1049" t="s">
        <v>76</v>
      </c>
      <c r="C21" s="1393" t="s">
        <v>1018</v>
      </c>
      <c r="D21" s="62" t="s">
        <v>52</v>
      </c>
      <c r="E21" s="3387"/>
      <c r="F21" s="2941">
        <f>3692.05+67.65</f>
        <v>3759.7000000000003</v>
      </c>
      <c r="G21" s="3387"/>
      <c r="H21" s="2941">
        <f>2667.05+4614.55-4.1</f>
        <v>7277.5</v>
      </c>
      <c r="I21" s="3380"/>
      <c r="J21" s="3615">
        <f t="shared" si="4"/>
        <v>11037.2</v>
      </c>
      <c r="K21" s="3387"/>
      <c r="L21" s="2941">
        <v>5783.05</v>
      </c>
      <c r="M21" s="3379"/>
      <c r="N21" s="5255">
        <f t="shared" si="5"/>
        <v>16820.25</v>
      </c>
      <c r="O21" s="3387"/>
      <c r="P21" s="2941">
        <f>4334.46-10*2.05+4520.19</f>
        <v>8834.15</v>
      </c>
      <c r="Q21" s="3380"/>
      <c r="R21" s="3615">
        <f t="shared" si="6"/>
        <v>25654.400000000001</v>
      </c>
      <c r="S21" s="3387"/>
      <c r="T21" s="2627">
        <v>3540.3500000000026</v>
      </c>
      <c r="U21" s="3380"/>
      <c r="V21" s="3615">
        <f t="shared" si="7"/>
        <v>29194.750000000004</v>
      </c>
      <c r="W21" s="3387"/>
      <c r="X21" s="2627">
        <v>9089.7000000000025</v>
      </c>
      <c r="Y21" s="3384"/>
      <c r="Z21" s="4110">
        <f t="shared" si="8"/>
        <v>21464.200000000004</v>
      </c>
      <c r="AA21" s="795"/>
      <c r="AB21" s="795">
        <f t="shared" si="9"/>
        <v>38284.450000000004</v>
      </c>
      <c r="AC21" s="3387"/>
      <c r="AD21" s="2627">
        <f>8380.4-6.15</f>
        <v>8374.25</v>
      </c>
      <c r="AE21" s="3615"/>
      <c r="AF21" s="3615">
        <f t="shared" si="10"/>
        <v>46658.700000000004</v>
      </c>
      <c r="AG21" s="3387"/>
      <c r="AH21" s="2627">
        <f>6402.15-2.05</f>
        <v>6400.0999999999995</v>
      </c>
      <c r="AI21" s="3615"/>
      <c r="AJ21" s="3615">
        <f t="shared" si="11"/>
        <v>53058.8</v>
      </c>
      <c r="AK21" s="3387"/>
      <c r="AL21" s="2627">
        <f>5371+18.45</f>
        <v>5389.45</v>
      </c>
      <c r="AM21" s="4110"/>
      <c r="AN21" s="4110">
        <f t="shared" si="12"/>
        <v>20163.8</v>
      </c>
      <c r="AO21" s="3615"/>
      <c r="AP21" s="3615">
        <f t="shared" si="13"/>
        <v>58448.25</v>
      </c>
      <c r="AQ21" s="3387"/>
      <c r="AR21" s="2627">
        <f>4087.7+28.7</f>
        <v>4116.3999999999996</v>
      </c>
      <c r="AS21" s="3615"/>
      <c r="AT21" s="3615">
        <f t="shared" si="14"/>
        <v>62564.65</v>
      </c>
      <c r="AU21" s="3387"/>
      <c r="AV21" s="2627">
        <v>1974.15</v>
      </c>
      <c r="AW21" s="3615"/>
      <c r="AX21" s="3615">
        <f t="shared" si="15"/>
        <v>64538.8</v>
      </c>
      <c r="AY21" s="3387"/>
      <c r="AZ21" s="2627">
        <v>5032.75</v>
      </c>
      <c r="BA21" s="4110"/>
      <c r="BB21" s="4110">
        <f t="shared" si="16"/>
        <v>11123.3</v>
      </c>
      <c r="BC21" s="795"/>
      <c r="BD21" s="795">
        <f t="shared" si="17"/>
        <v>31287.1</v>
      </c>
      <c r="BE21" s="3615"/>
      <c r="BF21" s="3615">
        <f t="shared" si="18"/>
        <v>69571.55</v>
      </c>
      <c r="BG21" s="26"/>
      <c r="BH21" s="26"/>
      <c r="BI21" s="26"/>
      <c r="BJ21" s="26"/>
    </row>
    <row r="22" spans="2:62" s="3389" customFormat="1" ht="15.75" x14ac:dyDescent="0.25">
      <c r="B22" s="1049" t="s">
        <v>76</v>
      </c>
      <c r="C22" s="1393" t="s">
        <v>1174</v>
      </c>
      <c r="D22" s="62" t="s">
        <v>52</v>
      </c>
      <c r="E22" s="3387"/>
      <c r="F22" s="2941"/>
      <c r="G22" s="3387"/>
      <c r="H22" s="2941"/>
      <c r="I22" s="3380"/>
      <c r="J22" s="3615">
        <f t="shared" si="4"/>
        <v>0</v>
      </c>
      <c r="K22" s="3387"/>
      <c r="L22" s="2941">
        <v>266.5</v>
      </c>
      <c r="M22" s="3379"/>
      <c r="N22" s="5255">
        <f t="shared" si="5"/>
        <v>266.5</v>
      </c>
      <c r="O22" s="3387"/>
      <c r="P22" s="2941"/>
      <c r="Q22" s="3380"/>
      <c r="R22" s="3615">
        <f t="shared" si="6"/>
        <v>266.5</v>
      </c>
      <c r="S22" s="3387"/>
      <c r="T22" s="2627">
        <v>0</v>
      </c>
      <c r="U22" s="3380"/>
      <c r="V22" s="3615">
        <f t="shared" si="7"/>
        <v>266.5</v>
      </c>
      <c r="W22" s="3387"/>
      <c r="X22" s="2627"/>
      <c r="Y22" s="3384"/>
      <c r="Z22" s="4110">
        <f t="shared" si="8"/>
        <v>0</v>
      </c>
      <c r="AA22" s="795"/>
      <c r="AB22" s="795">
        <f t="shared" si="9"/>
        <v>266.5</v>
      </c>
      <c r="AC22" s="3387"/>
      <c r="AD22" s="2627"/>
      <c r="AE22" s="3615"/>
      <c r="AF22" s="3615">
        <f t="shared" si="10"/>
        <v>266.5</v>
      </c>
      <c r="AG22" s="3387"/>
      <c r="AH22" s="2627"/>
      <c r="AI22" s="3615"/>
      <c r="AJ22" s="3615">
        <f t="shared" si="11"/>
        <v>266.5</v>
      </c>
      <c r="AK22" s="3387"/>
      <c r="AL22" s="2627"/>
      <c r="AM22" s="4110"/>
      <c r="AN22" s="4110">
        <f t="shared" si="12"/>
        <v>0</v>
      </c>
      <c r="AO22" s="3615"/>
      <c r="AP22" s="3615">
        <f t="shared" si="13"/>
        <v>266.5</v>
      </c>
      <c r="AQ22" s="3387"/>
      <c r="AR22" s="2627"/>
      <c r="AS22" s="3615"/>
      <c r="AT22" s="3615">
        <f t="shared" si="14"/>
        <v>266.5</v>
      </c>
      <c r="AU22" s="3387"/>
      <c r="AV22" s="2627"/>
      <c r="AW22" s="3615"/>
      <c r="AX22" s="3615">
        <f t="shared" si="15"/>
        <v>266.5</v>
      </c>
      <c r="AY22" s="3387"/>
      <c r="AZ22" s="2627"/>
      <c r="BA22" s="4110"/>
      <c r="BB22" s="4110">
        <f t="shared" si="16"/>
        <v>0</v>
      </c>
      <c r="BC22" s="795"/>
      <c r="BD22" s="795">
        <f t="shared" si="17"/>
        <v>0</v>
      </c>
      <c r="BE22" s="3615"/>
      <c r="BF22" s="3615">
        <f t="shared" si="18"/>
        <v>266.5</v>
      </c>
      <c r="BG22" s="26"/>
      <c r="BH22" s="26"/>
      <c r="BI22" s="26"/>
      <c r="BJ22" s="26"/>
    </row>
    <row r="23" spans="2:62" s="3389" customFormat="1" ht="15.75" x14ac:dyDescent="0.25">
      <c r="B23" s="1049" t="s">
        <v>76</v>
      </c>
      <c r="C23" s="1393" t="s">
        <v>1189</v>
      </c>
      <c r="D23" s="62" t="s">
        <v>52</v>
      </c>
      <c r="E23" s="3387"/>
      <c r="F23" s="2941">
        <v>123</v>
      </c>
      <c r="G23" s="3387"/>
      <c r="H23" s="2941">
        <v>528.9</v>
      </c>
      <c r="I23" s="3380"/>
      <c r="J23" s="3615">
        <f t="shared" si="4"/>
        <v>651.9</v>
      </c>
      <c r="K23" s="3387"/>
      <c r="L23" s="2941">
        <v>223.45</v>
      </c>
      <c r="M23" s="3379"/>
      <c r="N23" s="5255">
        <f t="shared" si="5"/>
        <v>875.34999999999991</v>
      </c>
      <c r="O23" s="3387"/>
      <c r="P23" s="2941"/>
      <c r="Q23" s="3380"/>
      <c r="R23" s="3615">
        <f t="shared" si="6"/>
        <v>875.34999999999991</v>
      </c>
      <c r="S23" s="3387"/>
      <c r="T23" s="2627">
        <v>1018.8500000000001</v>
      </c>
      <c r="U23" s="3380"/>
      <c r="V23" s="3615">
        <f t="shared" si="7"/>
        <v>1894.2</v>
      </c>
      <c r="W23" s="3387"/>
      <c r="X23" s="2627">
        <v>2320.5999999999995</v>
      </c>
      <c r="Y23" s="3384"/>
      <c r="Z23" s="4110">
        <f t="shared" si="8"/>
        <v>3339.45</v>
      </c>
      <c r="AA23" s="795"/>
      <c r="AB23" s="795">
        <f t="shared" si="9"/>
        <v>4214.7999999999993</v>
      </c>
      <c r="AC23" s="3387"/>
      <c r="AD23" s="2627">
        <v>202.95</v>
      </c>
      <c r="AE23" s="3615"/>
      <c r="AF23" s="3615">
        <f t="shared" si="10"/>
        <v>4417.7499999999991</v>
      </c>
      <c r="AG23" s="3387"/>
      <c r="AH23" s="2627"/>
      <c r="AI23" s="3615"/>
      <c r="AJ23" s="3615">
        <f t="shared" si="11"/>
        <v>4417.7499999999991</v>
      </c>
      <c r="AK23" s="3387"/>
      <c r="AL23" s="2627"/>
      <c r="AM23" s="4110"/>
      <c r="AN23" s="4110">
        <f t="shared" si="12"/>
        <v>202.95</v>
      </c>
      <c r="AO23" s="3615"/>
      <c r="AP23" s="3615">
        <f t="shared" si="13"/>
        <v>4417.7499999999991</v>
      </c>
      <c r="AQ23" s="3387"/>
      <c r="AR23" s="2627">
        <v>1002.4499999999999</v>
      </c>
      <c r="AS23" s="3615"/>
      <c r="AT23" s="3615">
        <f t="shared" si="14"/>
        <v>5420.1999999999989</v>
      </c>
      <c r="AU23" s="3387"/>
      <c r="AV23" s="2627">
        <v>141.44999999999999</v>
      </c>
      <c r="AW23" s="3615"/>
      <c r="AX23" s="3615">
        <f t="shared" si="15"/>
        <v>5561.6499999999987</v>
      </c>
      <c r="AY23" s="3387"/>
      <c r="AZ23" s="2627"/>
      <c r="BA23" s="4110"/>
      <c r="BB23" s="4110">
        <f t="shared" si="16"/>
        <v>1143.8999999999999</v>
      </c>
      <c r="BC23" s="795"/>
      <c r="BD23" s="795">
        <f t="shared" si="17"/>
        <v>1346.85</v>
      </c>
      <c r="BE23" s="3615"/>
      <c r="BF23" s="3615">
        <f t="shared" si="18"/>
        <v>5561.6499999999987</v>
      </c>
      <c r="BG23" s="26"/>
      <c r="BH23" s="26"/>
      <c r="BI23" s="26"/>
      <c r="BJ23" s="26"/>
    </row>
    <row r="24" spans="2:62" s="3389" customFormat="1" ht="15.75" x14ac:dyDescent="0.25">
      <c r="B24" s="1049" t="s">
        <v>76</v>
      </c>
      <c r="C24" s="1393" t="s">
        <v>1085</v>
      </c>
      <c r="D24" s="62" t="s">
        <v>52</v>
      </c>
      <c r="E24" s="3387"/>
      <c r="F24" s="2941"/>
      <c r="G24" s="3387"/>
      <c r="H24" s="2941"/>
      <c r="I24" s="3380"/>
      <c r="J24" s="3615">
        <f t="shared" si="4"/>
        <v>0</v>
      </c>
      <c r="K24" s="3387"/>
      <c r="L24" s="2941"/>
      <c r="M24" s="3379"/>
      <c r="N24" s="5255">
        <f t="shared" si="5"/>
        <v>0</v>
      </c>
      <c r="O24" s="3387"/>
      <c r="P24" s="2941"/>
      <c r="Q24" s="3380"/>
      <c r="R24" s="3615">
        <f t="shared" si="6"/>
        <v>0</v>
      </c>
      <c r="S24" s="3387"/>
      <c r="T24" s="2627">
        <v>63.550000000000004</v>
      </c>
      <c r="U24" s="3380"/>
      <c r="V24" s="3615">
        <f t="shared" si="7"/>
        <v>63.550000000000004</v>
      </c>
      <c r="W24" s="3387"/>
      <c r="X24" s="2627"/>
      <c r="Y24" s="3384"/>
      <c r="Z24" s="4110">
        <f t="shared" si="8"/>
        <v>63.550000000000004</v>
      </c>
      <c r="AA24" s="795"/>
      <c r="AB24" s="795">
        <f t="shared" si="9"/>
        <v>63.550000000000004</v>
      </c>
      <c r="AC24" s="3387"/>
      <c r="AD24" s="2627"/>
      <c r="AE24" s="3615"/>
      <c r="AF24" s="3615">
        <f t="shared" si="10"/>
        <v>63.550000000000004</v>
      </c>
      <c r="AG24" s="3387"/>
      <c r="AH24" s="2627"/>
      <c r="AI24" s="3615"/>
      <c r="AJ24" s="3615">
        <f t="shared" si="11"/>
        <v>63.550000000000004</v>
      </c>
      <c r="AK24" s="3387"/>
      <c r="AL24" s="2627"/>
      <c r="AM24" s="4110"/>
      <c r="AN24" s="4110">
        <f t="shared" si="12"/>
        <v>0</v>
      </c>
      <c r="AO24" s="3615"/>
      <c r="AP24" s="3615">
        <f t="shared" si="13"/>
        <v>63.550000000000004</v>
      </c>
      <c r="AQ24" s="3387"/>
      <c r="AR24" s="2627"/>
      <c r="AS24" s="3615"/>
      <c r="AT24" s="3615">
        <f t="shared" si="14"/>
        <v>63.550000000000004</v>
      </c>
      <c r="AU24" s="3387"/>
      <c r="AV24" s="2627"/>
      <c r="AW24" s="3615"/>
      <c r="AX24" s="3615">
        <f t="shared" si="15"/>
        <v>63.550000000000004</v>
      </c>
      <c r="AY24" s="3387"/>
      <c r="AZ24" s="2627"/>
      <c r="BA24" s="4110"/>
      <c r="BB24" s="4110">
        <f t="shared" si="16"/>
        <v>0</v>
      </c>
      <c r="BC24" s="795"/>
      <c r="BD24" s="795">
        <f t="shared" si="17"/>
        <v>0</v>
      </c>
      <c r="BE24" s="3615"/>
      <c r="BF24" s="3615">
        <f t="shared" si="18"/>
        <v>63.550000000000004</v>
      </c>
      <c r="BG24" s="26"/>
      <c r="BH24" s="26"/>
      <c r="BI24" s="26"/>
      <c r="BJ24" s="26"/>
    </row>
    <row r="25" spans="2:62" s="3389" customFormat="1" ht="15.75" x14ac:dyDescent="0.25">
      <c r="B25" s="1049" t="s">
        <v>76</v>
      </c>
      <c r="C25" s="1393" t="s">
        <v>1023</v>
      </c>
      <c r="D25" s="62" t="s">
        <v>52</v>
      </c>
      <c r="E25" s="3387"/>
      <c r="F25" s="2941">
        <f>1025-34.85</f>
        <v>990.15</v>
      </c>
      <c r="G25" s="3387"/>
      <c r="H25" s="2941">
        <f>1307.9-8.2</f>
        <v>1299.7</v>
      </c>
      <c r="I25" s="3380"/>
      <c r="J25" s="3615">
        <f t="shared" si="4"/>
        <v>2289.85</v>
      </c>
      <c r="K25" s="3387"/>
      <c r="L25" s="2941">
        <f>674.45-20.5</f>
        <v>653.95000000000005</v>
      </c>
      <c r="M25" s="3379"/>
      <c r="N25" s="5255">
        <f t="shared" si="5"/>
        <v>2943.8</v>
      </c>
      <c r="O25" s="3387"/>
      <c r="P25" s="2941">
        <v>965.5499999999995</v>
      </c>
      <c r="Q25" s="3380"/>
      <c r="R25" s="3615">
        <f t="shared" si="6"/>
        <v>3909.3499999999995</v>
      </c>
      <c r="S25" s="3387"/>
      <c r="T25" s="2627">
        <v>1152.0999999999999</v>
      </c>
      <c r="U25" s="3380"/>
      <c r="V25" s="3615">
        <f t="shared" si="7"/>
        <v>5061.4499999999989</v>
      </c>
      <c r="W25" s="3387"/>
      <c r="X25" s="2627">
        <v>1334.55</v>
      </c>
      <c r="Y25" s="3384"/>
      <c r="Z25" s="4110">
        <f t="shared" si="8"/>
        <v>3452.2</v>
      </c>
      <c r="AA25" s="795"/>
      <c r="AB25" s="795">
        <f t="shared" si="9"/>
        <v>6396</v>
      </c>
      <c r="AC25" s="3387"/>
      <c r="AD25" s="2627">
        <v>717.50000000000023</v>
      </c>
      <c r="AE25" s="3615"/>
      <c r="AF25" s="3615">
        <f t="shared" si="10"/>
        <v>7113.5</v>
      </c>
      <c r="AG25" s="3387"/>
      <c r="AH25" s="2627"/>
      <c r="AI25" s="3615"/>
      <c r="AJ25" s="3615">
        <f t="shared" si="11"/>
        <v>7113.5</v>
      </c>
      <c r="AK25" s="3387"/>
      <c r="AL25" s="2627"/>
      <c r="AM25" s="4110"/>
      <c r="AN25" s="4110">
        <f t="shared" si="12"/>
        <v>717.50000000000023</v>
      </c>
      <c r="AO25" s="3615"/>
      <c r="AP25" s="3615">
        <f t="shared" si="13"/>
        <v>7113.5</v>
      </c>
      <c r="AQ25" s="3387"/>
      <c r="AR25" s="2627">
        <f>1022.95-38.95</f>
        <v>984</v>
      </c>
      <c r="AS25" s="3615"/>
      <c r="AT25" s="3615">
        <f t="shared" si="14"/>
        <v>8097.5</v>
      </c>
      <c r="AU25" s="3387"/>
      <c r="AV25" s="2627">
        <v>51.25</v>
      </c>
      <c r="AW25" s="3615"/>
      <c r="AX25" s="3615">
        <f t="shared" si="15"/>
        <v>8148.75</v>
      </c>
      <c r="AY25" s="3387"/>
      <c r="AZ25" s="2627">
        <v>961.44999999999993</v>
      </c>
      <c r="BA25" s="4110"/>
      <c r="BB25" s="4110">
        <f t="shared" si="16"/>
        <v>1996.6999999999998</v>
      </c>
      <c r="BC25" s="795"/>
      <c r="BD25" s="795">
        <f t="shared" si="17"/>
        <v>2714.2</v>
      </c>
      <c r="BE25" s="3615"/>
      <c r="BF25" s="3615">
        <f t="shared" si="18"/>
        <v>9110.2000000000007</v>
      </c>
      <c r="BG25" s="26"/>
      <c r="BH25" s="26"/>
      <c r="BI25" s="26"/>
      <c r="BJ25" s="26"/>
    </row>
    <row r="26" spans="2:62" s="3389" customFormat="1" ht="15.75" x14ac:dyDescent="0.25">
      <c r="B26" s="1049" t="s">
        <v>76</v>
      </c>
      <c r="C26" s="1393" t="s">
        <v>905</v>
      </c>
      <c r="D26" s="62" t="s">
        <v>52</v>
      </c>
      <c r="E26" s="3387"/>
      <c r="F26" s="2941">
        <f>3872.45-34.85</f>
        <v>3837.6</v>
      </c>
      <c r="G26" s="3387"/>
      <c r="H26" s="2941">
        <v>4261.9500000000007</v>
      </c>
      <c r="I26" s="3380"/>
      <c r="J26" s="3615">
        <f t="shared" si="4"/>
        <v>8099.5500000000011</v>
      </c>
      <c r="K26" s="3387"/>
      <c r="L26" s="2941">
        <f>3741.25-8.2</f>
        <v>3733.05</v>
      </c>
      <c r="M26" s="3379"/>
      <c r="N26" s="5255">
        <f t="shared" si="5"/>
        <v>11832.600000000002</v>
      </c>
      <c r="O26" s="3387"/>
      <c r="P26" s="2941">
        <v>3756.72</v>
      </c>
      <c r="Q26" s="3380"/>
      <c r="R26" s="3615">
        <f t="shared" si="6"/>
        <v>15589.320000000002</v>
      </c>
      <c r="S26" s="3387"/>
      <c r="T26" s="2627">
        <v>3540.3500000000022</v>
      </c>
      <c r="U26" s="3380"/>
      <c r="V26" s="3615">
        <f t="shared" si="7"/>
        <v>19129.670000000006</v>
      </c>
      <c r="W26" s="3387"/>
      <c r="X26" s="2627">
        <v>4022.1000000000008</v>
      </c>
      <c r="Y26" s="3384"/>
      <c r="Z26" s="4110">
        <f t="shared" si="8"/>
        <v>11319.170000000002</v>
      </c>
      <c r="AA26" s="795"/>
      <c r="AB26" s="795">
        <f t="shared" si="9"/>
        <v>23151.770000000004</v>
      </c>
      <c r="AC26" s="3387"/>
      <c r="AD26" s="2627">
        <f>4387-12.3</f>
        <v>4374.7</v>
      </c>
      <c r="AE26" s="3615"/>
      <c r="AF26" s="3615">
        <f t="shared" si="10"/>
        <v>27526.470000000005</v>
      </c>
      <c r="AG26" s="3387"/>
      <c r="AH26" s="2627">
        <v>5020.4500000000016</v>
      </c>
      <c r="AI26" s="3615"/>
      <c r="AJ26" s="3615">
        <f t="shared" si="11"/>
        <v>32546.920000000006</v>
      </c>
      <c r="AK26" s="3387"/>
      <c r="AL26" s="2627">
        <f>5172.15-43.05</f>
        <v>5129.0999999999995</v>
      </c>
      <c r="AM26" s="4110"/>
      <c r="AN26" s="4110">
        <f t="shared" si="12"/>
        <v>14524.25</v>
      </c>
      <c r="AO26" s="3615"/>
      <c r="AP26" s="3615">
        <f t="shared" si="13"/>
        <v>37676.020000000004</v>
      </c>
      <c r="AQ26" s="3387"/>
      <c r="AR26" s="2627">
        <v>5020.449999999998</v>
      </c>
      <c r="AS26" s="3615"/>
      <c r="AT26" s="3615">
        <f t="shared" si="14"/>
        <v>42696.47</v>
      </c>
      <c r="AU26" s="3387"/>
      <c r="AV26" s="2627">
        <f>4788.8-16.4</f>
        <v>4772.4000000000005</v>
      </c>
      <c r="AW26" s="3615"/>
      <c r="AX26" s="3615">
        <f t="shared" si="15"/>
        <v>47468.87</v>
      </c>
      <c r="AY26" s="3387"/>
      <c r="AZ26" s="2627">
        <f>4450.55-24.6</f>
        <v>4425.95</v>
      </c>
      <c r="BA26" s="4110"/>
      <c r="BB26" s="4110">
        <f t="shared" si="16"/>
        <v>14218.8</v>
      </c>
      <c r="BC26" s="795"/>
      <c r="BD26" s="795">
        <f t="shared" si="17"/>
        <v>28743.05</v>
      </c>
      <c r="BE26" s="3615"/>
      <c r="BF26" s="3615">
        <f t="shared" si="18"/>
        <v>51894.82</v>
      </c>
      <c r="BG26" s="26"/>
      <c r="BH26" s="26"/>
      <c r="BI26" s="26"/>
      <c r="BJ26" s="26"/>
    </row>
    <row r="27" spans="2:62" s="3389" customFormat="1" ht="15.75" x14ac:dyDescent="0.25">
      <c r="B27" s="1049" t="s">
        <v>76</v>
      </c>
      <c r="C27" s="1393" t="s">
        <v>1017</v>
      </c>
      <c r="D27" s="62" t="s">
        <v>52</v>
      </c>
      <c r="E27" s="3387"/>
      <c r="F27" s="2941"/>
      <c r="G27" s="3387"/>
      <c r="H27" s="2941"/>
      <c r="I27" s="3380"/>
      <c r="J27" s="3615">
        <f t="shared" si="4"/>
        <v>0</v>
      </c>
      <c r="K27" s="3387"/>
      <c r="L27" s="2941"/>
      <c r="M27" s="3379"/>
      <c r="N27" s="5255">
        <f t="shared" si="5"/>
        <v>0</v>
      </c>
      <c r="O27" s="3387"/>
      <c r="P27" s="2941"/>
      <c r="Q27" s="3380"/>
      <c r="R27" s="3615">
        <f t="shared" si="6"/>
        <v>0</v>
      </c>
      <c r="S27" s="3387"/>
      <c r="T27" s="2627"/>
      <c r="U27" s="3380"/>
      <c r="V27" s="3615">
        <f t="shared" si="7"/>
        <v>0</v>
      </c>
      <c r="W27" s="3387"/>
      <c r="X27" s="2627">
        <v>145.55000000000001</v>
      </c>
      <c r="Y27" s="3384"/>
      <c r="Z27" s="4110">
        <f t="shared" si="8"/>
        <v>145.55000000000001</v>
      </c>
      <c r="AA27" s="795"/>
      <c r="AB27" s="795">
        <f t="shared" si="9"/>
        <v>145.55000000000001</v>
      </c>
      <c r="AC27" s="3387"/>
      <c r="AD27" s="2627"/>
      <c r="AE27" s="3615"/>
      <c r="AF27" s="3615">
        <f t="shared" si="10"/>
        <v>145.55000000000001</v>
      </c>
      <c r="AG27" s="3387"/>
      <c r="AH27" s="2627"/>
      <c r="AI27" s="3615"/>
      <c r="AJ27" s="3615">
        <f t="shared" si="11"/>
        <v>145.55000000000001</v>
      </c>
      <c r="AK27" s="3387"/>
      <c r="AL27" s="2627"/>
      <c r="AM27" s="4110"/>
      <c r="AN27" s="4110">
        <f t="shared" si="12"/>
        <v>0</v>
      </c>
      <c r="AO27" s="3615"/>
      <c r="AP27" s="3615">
        <f t="shared" si="13"/>
        <v>145.55000000000001</v>
      </c>
      <c r="AQ27" s="3387"/>
      <c r="AR27" s="2627"/>
      <c r="AS27" s="3615"/>
      <c r="AT27" s="3615">
        <f t="shared" si="14"/>
        <v>145.55000000000001</v>
      </c>
      <c r="AU27" s="3387"/>
      <c r="AV27" s="2627"/>
      <c r="AW27" s="3615"/>
      <c r="AX27" s="3615">
        <f t="shared" si="15"/>
        <v>145.55000000000001</v>
      </c>
      <c r="AY27" s="3387"/>
      <c r="AZ27" s="2627"/>
      <c r="BA27" s="4110"/>
      <c r="BB27" s="4110">
        <f t="shared" si="16"/>
        <v>0</v>
      </c>
      <c r="BC27" s="795"/>
      <c r="BD27" s="795">
        <f t="shared" si="17"/>
        <v>0</v>
      </c>
      <c r="BE27" s="3615"/>
      <c r="BF27" s="3615">
        <f t="shared" si="18"/>
        <v>145.55000000000001</v>
      </c>
      <c r="BG27" s="26"/>
      <c r="BH27" s="26"/>
      <c r="BI27" s="26"/>
      <c r="BJ27" s="26"/>
    </row>
    <row r="28" spans="2:62" s="3389" customFormat="1" ht="15.75" x14ac:dyDescent="0.25">
      <c r="B28" s="1049" t="s">
        <v>76</v>
      </c>
      <c r="C28" s="1393" t="s">
        <v>1019</v>
      </c>
      <c r="D28" s="62" t="s">
        <v>52</v>
      </c>
      <c r="E28" s="3387"/>
      <c r="F28" s="2941"/>
      <c r="G28" s="3387"/>
      <c r="H28" s="2941">
        <v>110.7</v>
      </c>
      <c r="I28" s="3380"/>
      <c r="J28" s="3615">
        <f t="shared" si="4"/>
        <v>110.7</v>
      </c>
      <c r="K28" s="3387"/>
      <c r="L28" s="2941"/>
      <c r="M28" s="3379"/>
      <c r="N28" s="5255">
        <f t="shared" si="5"/>
        <v>110.7</v>
      </c>
      <c r="O28" s="3387"/>
      <c r="P28" s="2941"/>
      <c r="Q28" s="3380"/>
      <c r="R28" s="3615">
        <f t="shared" si="6"/>
        <v>110.7</v>
      </c>
      <c r="S28" s="3387"/>
      <c r="T28" s="2627">
        <v>0</v>
      </c>
      <c r="U28" s="3380"/>
      <c r="V28" s="3615">
        <f t="shared" si="7"/>
        <v>110.7</v>
      </c>
      <c r="W28" s="3387"/>
      <c r="X28" s="2627">
        <v>412.05</v>
      </c>
      <c r="Y28" s="3384"/>
      <c r="Z28" s="4110">
        <f t="shared" si="8"/>
        <v>412.05</v>
      </c>
      <c r="AA28" s="795"/>
      <c r="AB28" s="795">
        <f t="shared" si="9"/>
        <v>522.75</v>
      </c>
      <c r="AC28" s="3387"/>
      <c r="AD28" s="2627">
        <v>526.84999999999991</v>
      </c>
      <c r="AE28" s="3615"/>
      <c r="AF28" s="3615">
        <f t="shared" si="10"/>
        <v>1049.5999999999999</v>
      </c>
      <c r="AG28" s="3387"/>
      <c r="AH28" s="2627">
        <v>192.7</v>
      </c>
      <c r="AI28" s="3615"/>
      <c r="AJ28" s="3615">
        <f t="shared" si="11"/>
        <v>1242.3</v>
      </c>
      <c r="AK28" s="3387"/>
      <c r="AL28" s="2627"/>
      <c r="AM28" s="4110"/>
      <c r="AN28" s="4110">
        <f t="shared" si="12"/>
        <v>719.55</v>
      </c>
      <c r="AO28" s="3615"/>
      <c r="AP28" s="3615">
        <f t="shared" si="13"/>
        <v>1242.3</v>
      </c>
      <c r="AQ28" s="3387"/>
      <c r="AR28" s="2627"/>
      <c r="AS28" s="3615"/>
      <c r="AT28" s="3615">
        <f t="shared" si="14"/>
        <v>1242.3</v>
      </c>
      <c r="AU28" s="3387"/>
      <c r="AV28" s="2627"/>
      <c r="AW28" s="3615"/>
      <c r="AX28" s="3615">
        <f t="shared" si="15"/>
        <v>1242.3</v>
      </c>
      <c r="AY28" s="3387"/>
      <c r="AZ28" s="2627"/>
      <c r="BA28" s="4110"/>
      <c r="BB28" s="4110">
        <f t="shared" si="16"/>
        <v>0</v>
      </c>
      <c r="BC28" s="795"/>
      <c r="BD28" s="795">
        <f t="shared" si="17"/>
        <v>719.55</v>
      </c>
      <c r="BE28" s="3615"/>
      <c r="BF28" s="3615">
        <f t="shared" si="18"/>
        <v>1242.3</v>
      </c>
      <c r="BG28" s="26"/>
      <c r="BH28" s="26"/>
      <c r="BI28" s="26"/>
      <c r="BJ28" s="26"/>
    </row>
    <row r="29" spans="2:62" s="3389" customFormat="1" ht="15.75" x14ac:dyDescent="0.25">
      <c r="B29" s="1049" t="s">
        <v>76</v>
      </c>
      <c r="C29" s="1393" t="s">
        <v>1021</v>
      </c>
      <c r="D29" s="62" t="s">
        <v>52</v>
      </c>
      <c r="E29" s="3387"/>
      <c r="F29" s="2941">
        <v>282.89999999999998</v>
      </c>
      <c r="G29" s="3387"/>
      <c r="H29" s="2941">
        <v>157.85</v>
      </c>
      <c r="I29" s="3380"/>
      <c r="J29" s="3615">
        <f t="shared" si="4"/>
        <v>440.75</v>
      </c>
      <c r="K29" s="3387"/>
      <c r="L29" s="2941"/>
      <c r="M29" s="3379"/>
      <c r="N29" s="5255">
        <f t="shared" si="5"/>
        <v>440.75</v>
      </c>
      <c r="O29" s="3387"/>
      <c r="P29" s="2941"/>
      <c r="Q29" s="3380"/>
      <c r="R29" s="3615">
        <f t="shared" si="6"/>
        <v>440.75</v>
      </c>
      <c r="S29" s="3387"/>
      <c r="T29" s="2627">
        <v>0</v>
      </c>
      <c r="U29" s="3380"/>
      <c r="V29" s="3615">
        <f t="shared" si="7"/>
        <v>440.75</v>
      </c>
      <c r="W29" s="3387"/>
      <c r="X29" s="2627">
        <v>487.90000000000003</v>
      </c>
      <c r="Y29" s="3384"/>
      <c r="Z29" s="4110">
        <f t="shared" si="8"/>
        <v>487.90000000000003</v>
      </c>
      <c r="AA29" s="795"/>
      <c r="AB29" s="795">
        <f t="shared" si="9"/>
        <v>928.65000000000009</v>
      </c>
      <c r="AC29" s="3387"/>
      <c r="AD29" s="2627">
        <v>707.25</v>
      </c>
      <c r="AE29" s="3615"/>
      <c r="AF29" s="3615">
        <f t="shared" si="10"/>
        <v>1635.9</v>
      </c>
      <c r="AG29" s="3387"/>
      <c r="AH29" s="2627">
        <v>328</v>
      </c>
      <c r="AI29" s="3615"/>
      <c r="AJ29" s="3615">
        <f t="shared" si="11"/>
        <v>1963.9</v>
      </c>
      <c r="AK29" s="3387"/>
      <c r="AL29" s="2627"/>
      <c r="AM29" s="4110"/>
      <c r="AN29" s="4110">
        <f t="shared" si="12"/>
        <v>1035.25</v>
      </c>
      <c r="AO29" s="3615"/>
      <c r="AP29" s="3615">
        <f t="shared" si="13"/>
        <v>1963.9</v>
      </c>
      <c r="AQ29" s="3387"/>
      <c r="AR29" s="2627"/>
      <c r="AS29" s="3615"/>
      <c r="AT29" s="3615">
        <f t="shared" si="14"/>
        <v>1963.9</v>
      </c>
      <c r="AU29" s="3387"/>
      <c r="AV29" s="2627">
        <v>2.0499999999999998</v>
      </c>
      <c r="AW29" s="3615"/>
      <c r="AX29" s="3615">
        <f t="shared" si="15"/>
        <v>1965.95</v>
      </c>
      <c r="AY29" s="3387"/>
      <c r="AZ29" s="2627"/>
      <c r="BA29" s="4110"/>
      <c r="BB29" s="4110">
        <f t="shared" si="16"/>
        <v>2.0499999999999998</v>
      </c>
      <c r="BC29" s="795"/>
      <c r="BD29" s="795">
        <f t="shared" si="17"/>
        <v>1037.3</v>
      </c>
      <c r="BE29" s="3615"/>
      <c r="BF29" s="3615">
        <f t="shared" si="18"/>
        <v>1965.95</v>
      </c>
      <c r="BG29" s="26"/>
      <c r="BH29" s="26"/>
      <c r="BI29" s="26"/>
      <c r="BJ29" s="26"/>
    </row>
    <row r="30" spans="2:62" s="3389" customFormat="1" ht="15.75" x14ac:dyDescent="0.25">
      <c r="B30" s="1049" t="s">
        <v>76</v>
      </c>
      <c r="C30" s="1393" t="s">
        <v>1195</v>
      </c>
      <c r="D30" s="62" t="s">
        <v>52</v>
      </c>
      <c r="E30" s="3387"/>
      <c r="F30" s="2941"/>
      <c r="G30" s="3387"/>
      <c r="H30" s="2941"/>
      <c r="I30" s="3615"/>
      <c r="J30" s="3615">
        <f t="shared" si="4"/>
        <v>0</v>
      </c>
      <c r="K30" s="3387"/>
      <c r="L30" s="2941"/>
      <c r="M30" s="4087"/>
      <c r="N30" s="5255">
        <f t="shared" si="5"/>
        <v>0</v>
      </c>
      <c r="O30" s="3387"/>
      <c r="P30" s="2941"/>
      <c r="Q30" s="3615"/>
      <c r="R30" s="3615">
        <f t="shared" si="6"/>
        <v>0</v>
      </c>
      <c r="S30" s="3387"/>
      <c r="T30" s="2627"/>
      <c r="U30" s="3615"/>
      <c r="V30" s="3615">
        <f t="shared" si="7"/>
        <v>0</v>
      </c>
      <c r="W30" s="3387"/>
      <c r="X30" s="2627"/>
      <c r="Y30" s="4094"/>
      <c r="Z30" s="4110">
        <f t="shared" si="8"/>
        <v>0</v>
      </c>
      <c r="AA30" s="795"/>
      <c r="AB30" s="795">
        <f t="shared" si="9"/>
        <v>0</v>
      </c>
      <c r="AC30" s="3387"/>
      <c r="AD30" s="2627">
        <v>289.04999999999995</v>
      </c>
      <c r="AE30" s="3615"/>
      <c r="AF30" s="3615">
        <f t="shared" si="10"/>
        <v>289.04999999999995</v>
      </c>
      <c r="AG30" s="3387"/>
      <c r="AH30" s="2627">
        <v>389.5</v>
      </c>
      <c r="AI30" s="3615"/>
      <c r="AJ30" s="3615">
        <f t="shared" si="11"/>
        <v>678.55</v>
      </c>
      <c r="AK30" s="3387"/>
      <c r="AL30" s="2627"/>
      <c r="AM30" s="4110"/>
      <c r="AN30" s="4110">
        <f t="shared" si="12"/>
        <v>678.55</v>
      </c>
      <c r="AO30" s="3615"/>
      <c r="AP30" s="3615">
        <f t="shared" si="13"/>
        <v>678.55</v>
      </c>
      <c r="AQ30" s="3387"/>
      <c r="AR30" s="2627"/>
      <c r="AS30" s="3615"/>
      <c r="AT30" s="3615">
        <f t="shared" si="14"/>
        <v>678.55</v>
      </c>
      <c r="AU30" s="3387"/>
      <c r="AV30" s="2627"/>
      <c r="AW30" s="3615"/>
      <c r="AX30" s="3615">
        <f t="shared" si="15"/>
        <v>678.55</v>
      </c>
      <c r="AY30" s="3387"/>
      <c r="AZ30" s="2627"/>
      <c r="BA30" s="4110"/>
      <c r="BB30" s="4110">
        <f t="shared" si="16"/>
        <v>0</v>
      </c>
      <c r="BC30" s="795"/>
      <c r="BD30" s="795">
        <f t="shared" si="17"/>
        <v>678.55</v>
      </c>
      <c r="BE30" s="3615"/>
      <c r="BF30" s="3615">
        <f t="shared" si="18"/>
        <v>678.55</v>
      </c>
      <c r="BG30" s="26"/>
      <c r="BH30" s="26"/>
      <c r="BI30" s="26"/>
      <c r="BJ30" s="26"/>
    </row>
    <row r="31" spans="2:62" s="3389" customFormat="1" ht="15.75" x14ac:dyDescent="0.25">
      <c r="B31" s="1049" t="s">
        <v>76</v>
      </c>
      <c r="C31" s="1393" t="s">
        <v>1196</v>
      </c>
      <c r="D31" s="62" t="s">
        <v>52</v>
      </c>
      <c r="E31" s="3387"/>
      <c r="F31" s="2941"/>
      <c r="G31" s="3387"/>
      <c r="H31" s="2941"/>
      <c r="I31" s="3615"/>
      <c r="J31" s="3615">
        <f t="shared" si="4"/>
        <v>0</v>
      </c>
      <c r="K31" s="3387"/>
      <c r="L31" s="2941"/>
      <c r="M31" s="4209"/>
      <c r="N31" s="5255">
        <f t="shared" si="5"/>
        <v>0</v>
      </c>
      <c r="O31" s="3387"/>
      <c r="P31" s="2941"/>
      <c r="Q31" s="3615"/>
      <c r="R31" s="3615">
        <f t="shared" si="6"/>
        <v>0</v>
      </c>
      <c r="S31" s="3387"/>
      <c r="T31" s="2627"/>
      <c r="U31" s="3615"/>
      <c r="V31" s="3615">
        <f t="shared" si="7"/>
        <v>0</v>
      </c>
      <c r="W31" s="3387"/>
      <c r="X31" s="2627"/>
      <c r="Y31" s="4110"/>
      <c r="Z31" s="4110">
        <f t="shared" si="8"/>
        <v>0</v>
      </c>
      <c r="AA31" s="795"/>
      <c r="AB31" s="795">
        <f t="shared" si="9"/>
        <v>0</v>
      </c>
      <c r="AC31" s="3387"/>
      <c r="AD31" s="2627"/>
      <c r="AE31" s="3615"/>
      <c r="AF31" s="3615">
        <f t="shared" si="10"/>
        <v>0</v>
      </c>
      <c r="AG31" s="3387"/>
      <c r="AH31" s="2627">
        <v>213.2</v>
      </c>
      <c r="AI31" s="3615"/>
      <c r="AJ31" s="3615">
        <f t="shared" si="11"/>
        <v>213.2</v>
      </c>
      <c r="AK31" s="3387"/>
      <c r="AL31" s="2627"/>
      <c r="AM31" s="4110"/>
      <c r="AN31" s="4110">
        <f t="shared" si="12"/>
        <v>213.2</v>
      </c>
      <c r="AO31" s="3615"/>
      <c r="AP31" s="3615">
        <f t="shared" si="13"/>
        <v>213.2</v>
      </c>
      <c r="AQ31" s="3387"/>
      <c r="AR31" s="2627">
        <v>686.25</v>
      </c>
      <c r="AS31" s="3615"/>
      <c r="AT31" s="3615">
        <f t="shared" si="14"/>
        <v>899.45</v>
      </c>
      <c r="AU31" s="3387"/>
      <c r="AV31" s="2627">
        <f>694.95-2.05</f>
        <v>692.90000000000009</v>
      </c>
      <c r="AW31" s="3615"/>
      <c r="AX31" s="3615">
        <f t="shared" si="15"/>
        <v>1592.3500000000001</v>
      </c>
      <c r="AY31" s="3387"/>
      <c r="AZ31" s="2627"/>
      <c r="BA31" s="4110"/>
      <c r="BB31" s="4110">
        <f t="shared" si="16"/>
        <v>1379.15</v>
      </c>
      <c r="BC31" s="795"/>
      <c r="BD31" s="795">
        <f t="shared" si="17"/>
        <v>1592.3500000000001</v>
      </c>
      <c r="BE31" s="3615"/>
      <c r="BF31" s="3615">
        <f t="shared" si="18"/>
        <v>1592.3500000000001</v>
      </c>
      <c r="BG31" s="26"/>
      <c r="BH31" s="26"/>
      <c r="BI31" s="26"/>
      <c r="BJ31" s="26"/>
    </row>
    <row r="32" spans="2:62" s="3389" customFormat="1" ht="15.75" x14ac:dyDescent="0.25">
      <c r="B32" s="1049" t="s">
        <v>76</v>
      </c>
      <c r="C32" s="1393" t="s">
        <v>1798</v>
      </c>
      <c r="D32" s="62" t="s">
        <v>52</v>
      </c>
      <c r="E32" s="3387"/>
      <c r="F32" s="2941"/>
      <c r="G32" s="3387"/>
      <c r="H32" s="2941"/>
      <c r="I32" s="3380"/>
      <c r="J32" s="3615">
        <f t="shared" si="4"/>
        <v>0</v>
      </c>
      <c r="K32" s="3387"/>
      <c r="L32" s="2941"/>
      <c r="M32" s="3379"/>
      <c r="N32" s="5255">
        <f t="shared" si="5"/>
        <v>0</v>
      </c>
      <c r="O32" s="3387"/>
      <c r="P32" s="2941"/>
      <c r="Q32" s="3380"/>
      <c r="R32" s="3615">
        <f t="shared" si="6"/>
        <v>0</v>
      </c>
      <c r="S32" s="3387"/>
      <c r="T32" s="2627"/>
      <c r="U32" s="3380"/>
      <c r="V32" s="3615">
        <f t="shared" si="7"/>
        <v>0</v>
      </c>
      <c r="W32" s="3387"/>
      <c r="X32" s="2627">
        <v>301.35000000000002</v>
      </c>
      <c r="Y32" s="3384"/>
      <c r="Z32" s="4110">
        <f t="shared" si="8"/>
        <v>301.35000000000002</v>
      </c>
      <c r="AA32" s="795"/>
      <c r="AB32" s="795">
        <f t="shared" si="9"/>
        <v>301.35000000000002</v>
      </c>
      <c r="AC32" s="3387"/>
      <c r="AD32" s="2627">
        <f>360.8-2.05</f>
        <v>358.75</v>
      </c>
      <c r="AE32" s="3615"/>
      <c r="AF32" s="3615">
        <f t="shared" si="10"/>
        <v>660.1</v>
      </c>
      <c r="AG32" s="3387"/>
      <c r="AH32" s="2627"/>
      <c r="AI32" s="3615"/>
      <c r="AJ32" s="3615">
        <f t="shared" si="11"/>
        <v>660.1</v>
      </c>
      <c r="AK32" s="3387"/>
      <c r="AL32" s="2627"/>
      <c r="AM32" s="4110"/>
      <c r="AN32" s="4110">
        <f t="shared" si="12"/>
        <v>358.75</v>
      </c>
      <c r="AO32" s="3615"/>
      <c r="AP32" s="3615">
        <f t="shared" si="13"/>
        <v>660.1</v>
      </c>
      <c r="AQ32" s="3387"/>
      <c r="AR32" s="2627"/>
      <c r="AS32" s="3615"/>
      <c r="AT32" s="3615">
        <f t="shared" si="14"/>
        <v>660.1</v>
      </c>
      <c r="AU32" s="3387"/>
      <c r="AV32" s="2627"/>
      <c r="AW32" s="3615"/>
      <c r="AX32" s="3615">
        <f t="shared" si="15"/>
        <v>660.1</v>
      </c>
      <c r="AY32" s="3387"/>
      <c r="AZ32" s="2627"/>
      <c r="BA32" s="4110"/>
      <c r="BB32" s="4110">
        <f t="shared" si="16"/>
        <v>0</v>
      </c>
      <c r="BC32" s="795"/>
      <c r="BD32" s="795">
        <f t="shared" si="17"/>
        <v>358.75</v>
      </c>
      <c r="BE32" s="3615"/>
      <c r="BF32" s="3615">
        <f t="shared" si="18"/>
        <v>660.1</v>
      </c>
      <c r="BG32" s="26"/>
      <c r="BH32" s="26"/>
      <c r="BI32" s="26"/>
      <c r="BJ32" s="26"/>
    </row>
    <row r="33" spans="2:62" s="3389" customFormat="1" ht="15.75" x14ac:dyDescent="0.25">
      <c r="B33" s="1049" t="s">
        <v>76</v>
      </c>
      <c r="C33" s="1393" t="s">
        <v>1799</v>
      </c>
      <c r="D33" s="62" t="s">
        <v>52</v>
      </c>
      <c r="E33" s="3387"/>
      <c r="F33" s="2941">
        <v>100.45</v>
      </c>
      <c r="G33" s="3387"/>
      <c r="H33" s="2941"/>
      <c r="I33" s="3380"/>
      <c r="J33" s="3615">
        <f t="shared" si="4"/>
        <v>100.45</v>
      </c>
      <c r="K33" s="3387"/>
      <c r="L33" s="2941"/>
      <c r="M33" s="3379"/>
      <c r="N33" s="5255">
        <f t="shared" si="5"/>
        <v>100.45</v>
      </c>
      <c r="O33" s="3387"/>
      <c r="P33" s="2941"/>
      <c r="Q33" s="3380"/>
      <c r="R33" s="3615">
        <f t="shared" si="6"/>
        <v>100.45</v>
      </c>
      <c r="S33" s="3387"/>
      <c r="T33" s="2627">
        <v>0</v>
      </c>
      <c r="U33" s="3380"/>
      <c r="V33" s="3615">
        <f t="shared" si="7"/>
        <v>100.45</v>
      </c>
      <c r="W33" s="3387"/>
      <c r="X33" s="2627"/>
      <c r="Y33" s="3384"/>
      <c r="Z33" s="4110">
        <f t="shared" si="8"/>
        <v>0</v>
      </c>
      <c r="AA33" s="795"/>
      <c r="AB33" s="795">
        <f t="shared" si="9"/>
        <v>100.45</v>
      </c>
      <c r="AC33" s="3387"/>
      <c r="AD33" s="2627"/>
      <c r="AE33" s="3615"/>
      <c r="AF33" s="3615">
        <f t="shared" si="10"/>
        <v>100.45</v>
      </c>
      <c r="AG33" s="3387"/>
      <c r="AH33" s="2627"/>
      <c r="AI33" s="3615"/>
      <c r="AJ33" s="3615">
        <f t="shared" si="11"/>
        <v>100.45</v>
      </c>
      <c r="AK33" s="3387"/>
      <c r="AL33" s="2627"/>
      <c r="AM33" s="4110"/>
      <c r="AN33" s="4110">
        <f t="shared" si="12"/>
        <v>0</v>
      </c>
      <c r="AO33" s="3615"/>
      <c r="AP33" s="3615">
        <f t="shared" si="13"/>
        <v>100.45</v>
      </c>
      <c r="AQ33" s="3387"/>
      <c r="AR33" s="2627"/>
      <c r="AS33" s="3615"/>
      <c r="AT33" s="3615">
        <f t="shared" si="14"/>
        <v>100.45</v>
      </c>
      <c r="AU33" s="3387"/>
      <c r="AV33" s="2627"/>
      <c r="AW33" s="3615"/>
      <c r="AX33" s="3615">
        <f t="shared" si="15"/>
        <v>100.45</v>
      </c>
      <c r="AY33" s="3387"/>
      <c r="AZ33" s="2627"/>
      <c r="BA33" s="4110"/>
      <c r="BB33" s="4110">
        <f t="shared" si="16"/>
        <v>0</v>
      </c>
      <c r="BC33" s="795"/>
      <c r="BD33" s="795">
        <f t="shared" si="17"/>
        <v>0</v>
      </c>
      <c r="BE33" s="3615"/>
      <c r="BF33" s="3615">
        <f t="shared" si="18"/>
        <v>100.45</v>
      </c>
      <c r="BG33" s="26"/>
      <c r="BH33" s="26"/>
      <c r="BI33" s="26"/>
      <c r="BJ33" s="26"/>
    </row>
    <row r="34" spans="2:62" s="3389" customFormat="1" ht="15.75" x14ac:dyDescent="0.25">
      <c r="B34" s="1049" t="s">
        <v>76</v>
      </c>
      <c r="C34" s="1393" t="s">
        <v>1694</v>
      </c>
      <c r="D34" s="62" t="s">
        <v>52</v>
      </c>
      <c r="E34" s="3387"/>
      <c r="F34" s="2941"/>
      <c r="G34" s="3387"/>
      <c r="H34" s="2941"/>
      <c r="I34" s="3380"/>
      <c r="J34" s="3615">
        <f t="shared" si="4"/>
        <v>0</v>
      </c>
      <c r="K34" s="3387"/>
      <c r="L34" s="2941"/>
      <c r="M34" s="3379"/>
      <c r="N34" s="5255">
        <f t="shared" si="5"/>
        <v>0</v>
      </c>
      <c r="O34" s="3387"/>
      <c r="P34" s="2941">
        <v>129.15</v>
      </c>
      <c r="Q34" s="3380"/>
      <c r="R34" s="3615">
        <f t="shared" si="6"/>
        <v>129.15</v>
      </c>
      <c r="S34" s="3387"/>
      <c r="T34" s="2627">
        <v>0</v>
      </c>
      <c r="U34" s="3380"/>
      <c r="V34" s="3615">
        <f t="shared" si="7"/>
        <v>129.15</v>
      </c>
      <c r="W34" s="3387"/>
      <c r="X34" s="2627"/>
      <c r="Y34" s="3384"/>
      <c r="Z34" s="4110">
        <f t="shared" si="8"/>
        <v>129.15</v>
      </c>
      <c r="AA34" s="795"/>
      <c r="AB34" s="795">
        <f t="shared" si="9"/>
        <v>129.15</v>
      </c>
      <c r="AC34" s="3387"/>
      <c r="AD34" s="2627"/>
      <c r="AE34" s="3615"/>
      <c r="AF34" s="3615">
        <f t="shared" si="10"/>
        <v>129.15</v>
      </c>
      <c r="AG34" s="3387"/>
      <c r="AH34" s="2627"/>
      <c r="AI34" s="3615"/>
      <c r="AJ34" s="3615">
        <f t="shared" si="11"/>
        <v>129.15</v>
      </c>
      <c r="AK34" s="3387"/>
      <c r="AL34" s="2627"/>
      <c r="AM34" s="4110"/>
      <c r="AN34" s="4110">
        <f t="shared" si="12"/>
        <v>0</v>
      </c>
      <c r="AO34" s="3615"/>
      <c r="AP34" s="3615">
        <f t="shared" si="13"/>
        <v>129.15</v>
      </c>
      <c r="AQ34" s="3387"/>
      <c r="AR34" s="2627"/>
      <c r="AS34" s="3615"/>
      <c r="AT34" s="3615">
        <f t="shared" si="14"/>
        <v>129.15</v>
      </c>
      <c r="AU34" s="3387"/>
      <c r="AV34" s="2627"/>
      <c r="AW34" s="3615"/>
      <c r="AX34" s="3615">
        <f t="shared" si="15"/>
        <v>129.15</v>
      </c>
      <c r="AY34" s="3387"/>
      <c r="AZ34" s="2627"/>
      <c r="BA34" s="4110"/>
      <c r="BB34" s="4110">
        <f t="shared" si="16"/>
        <v>0</v>
      </c>
      <c r="BC34" s="795"/>
      <c r="BD34" s="795">
        <f t="shared" si="17"/>
        <v>0</v>
      </c>
      <c r="BE34" s="3615"/>
      <c r="BF34" s="3615">
        <f t="shared" si="18"/>
        <v>129.15</v>
      </c>
      <c r="BG34" s="26"/>
      <c r="BH34" s="26"/>
      <c r="BI34" s="26"/>
      <c r="BJ34" s="26"/>
    </row>
    <row r="35" spans="2:62" s="3389" customFormat="1" ht="15.75" x14ac:dyDescent="0.25">
      <c r="B35" s="1049" t="s">
        <v>76</v>
      </c>
      <c r="C35" s="1393" t="s">
        <v>1624</v>
      </c>
      <c r="D35" s="62" t="s">
        <v>52</v>
      </c>
      <c r="E35" s="3387"/>
      <c r="F35" s="2941"/>
      <c r="G35" s="3387"/>
      <c r="H35" s="2941"/>
      <c r="I35" s="3380"/>
      <c r="J35" s="3615">
        <f t="shared" si="4"/>
        <v>0</v>
      </c>
      <c r="K35" s="3387"/>
      <c r="L35" s="2941"/>
      <c r="M35" s="3379"/>
      <c r="N35" s="5255">
        <f t="shared" si="5"/>
        <v>0</v>
      </c>
      <c r="O35" s="3387"/>
      <c r="P35" s="2941">
        <v>120.95</v>
      </c>
      <c r="Q35" s="3380"/>
      <c r="R35" s="3615">
        <f t="shared" si="6"/>
        <v>120.95</v>
      </c>
      <c r="S35" s="3387"/>
      <c r="T35" s="2627">
        <v>0</v>
      </c>
      <c r="U35" s="3380"/>
      <c r="V35" s="3615">
        <f t="shared" si="7"/>
        <v>120.95</v>
      </c>
      <c r="W35" s="3387"/>
      <c r="X35" s="2627"/>
      <c r="Y35" s="3384"/>
      <c r="Z35" s="4110">
        <f t="shared" si="8"/>
        <v>120.95</v>
      </c>
      <c r="AA35" s="795"/>
      <c r="AB35" s="795">
        <f t="shared" si="9"/>
        <v>120.95</v>
      </c>
      <c r="AC35" s="3387"/>
      <c r="AD35" s="2627"/>
      <c r="AE35" s="3615"/>
      <c r="AF35" s="3615">
        <f t="shared" si="10"/>
        <v>120.95</v>
      </c>
      <c r="AG35" s="3387"/>
      <c r="AH35" s="2627"/>
      <c r="AI35" s="3615"/>
      <c r="AJ35" s="3615">
        <f t="shared" si="11"/>
        <v>120.95</v>
      </c>
      <c r="AK35" s="3387"/>
      <c r="AL35" s="2627"/>
      <c r="AM35" s="4110"/>
      <c r="AN35" s="4110">
        <f t="shared" si="12"/>
        <v>0</v>
      </c>
      <c r="AO35" s="3615"/>
      <c r="AP35" s="3615">
        <f t="shared" si="13"/>
        <v>120.95</v>
      </c>
      <c r="AQ35" s="3387"/>
      <c r="AR35" s="2627"/>
      <c r="AS35" s="3615"/>
      <c r="AT35" s="3615">
        <f t="shared" si="14"/>
        <v>120.95</v>
      </c>
      <c r="AU35" s="3387"/>
      <c r="AV35" s="2627"/>
      <c r="AW35" s="3615"/>
      <c r="AX35" s="3615">
        <f t="shared" si="15"/>
        <v>120.95</v>
      </c>
      <c r="AY35" s="3387"/>
      <c r="AZ35" s="2627"/>
      <c r="BA35" s="4110"/>
      <c r="BB35" s="4110">
        <f t="shared" si="16"/>
        <v>0</v>
      </c>
      <c r="BC35" s="795"/>
      <c r="BD35" s="795">
        <f t="shared" si="17"/>
        <v>0</v>
      </c>
      <c r="BE35" s="3615"/>
      <c r="BF35" s="3615">
        <f t="shared" si="18"/>
        <v>120.95</v>
      </c>
      <c r="BG35" s="26"/>
      <c r="BH35" s="26"/>
      <c r="BI35" s="26"/>
      <c r="BJ35" s="26"/>
    </row>
    <row r="36" spans="2:62" s="3389" customFormat="1" ht="15.75" x14ac:dyDescent="0.25">
      <c r="B36" s="1049" t="s">
        <v>76</v>
      </c>
      <c r="C36" s="1393" t="s">
        <v>1626</v>
      </c>
      <c r="D36" s="62" t="s">
        <v>52</v>
      </c>
      <c r="E36" s="3387"/>
      <c r="F36" s="2941"/>
      <c r="G36" s="3387"/>
      <c r="H36" s="2941"/>
      <c r="I36" s="3380"/>
      <c r="J36" s="3615">
        <f t="shared" si="4"/>
        <v>0</v>
      </c>
      <c r="K36" s="3387"/>
      <c r="L36" s="2941"/>
      <c r="M36" s="3379"/>
      <c r="N36" s="5255">
        <f t="shared" si="5"/>
        <v>0</v>
      </c>
      <c r="O36" s="3387"/>
      <c r="P36" s="2941">
        <v>123</v>
      </c>
      <c r="Q36" s="3380"/>
      <c r="R36" s="3615">
        <f t="shared" si="6"/>
        <v>123</v>
      </c>
      <c r="S36" s="3387"/>
      <c r="T36" s="2627">
        <v>0</v>
      </c>
      <c r="U36" s="3380"/>
      <c r="V36" s="3615">
        <f t="shared" si="7"/>
        <v>123</v>
      </c>
      <c r="W36" s="3387"/>
      <c r="X36" s="2627"/>
      <c r="Y36" s="3384"/>
      <c r="Z36" s="4110">
        <f t="shared" si="8"/>
        <v>123</v>
      </c>
      <c r="AA36" s="795"/>
      <c r="AB36" s="795">
        <f t="shared" si="9"/>
        <v>123</v>
      </c>
      <c r="AC36" s="3387"/>
      <c r="AD36" s="2627"/>
      <c r="AE36" s="3615"/>
      <c r="AF36" s="3615">
        <f t="shared" si="10"/>
        <v>123</v>
      </c>
      <c r="AG36" s="3387"/>
      <c r="AH36" s="2627"/>
      <c r="AI36" s="3615"/>
      <c r="AJ36" s="3615">
        <f t="shared" si="11"/>
        <v>123</v>
      </c>
      <c r="AK36" s="3387"/>
      <c r="AL36" s="2627"/>
      <c r="AM36" s="4110"/>
      <c r="AN36" s="4110">
        <f t="shared" si="12"/>
        <v>0</v>
      </c>
      <c r="AO36" s="3615"/>
      <c r="AP36" s="3615">
        <f t="shared" si="13"/>
        <v>123</v>
      </c>
      <c r="AQ36" s="3387"/>
      <c r="AR36" s="2627"/>
      <c r="AS36" s="3615"/>
      <c r="AT36" s="3615">
        <f t="shared" si="14"/>
        <v>123</v>
      </c>
      <c r="AU36" s="3387"/>
      <c r="AV36" s="2627"/>
      <c r="AW36" s="3615"/>
      <c r="AX36" s="3615">
        <f t="shared" si="15"/>
        <v>123</v>
      </c>
      <c r="AY36" s="3387"/>
      <c r="AZ36" s="2627"/>
      <c r="BA36" s="4110"/>
      <c r="BB36" s="4110">
        <f t="shared" si="16"/>
        <v>0</v>
      </c>
      <c r="BC36" s="795"/>
      <c r="BD36" s="795">
        <f t="shared" si="17"/>
        <v>0</v>
      </c>
      <c r="BE36" s="3615"/>
      <c r="BF36" s="3615">
        <f t="shared" si="18"/>
        <v>123</v>
      </c>
      <c r="BG36" s="26"/>
      <c r="BH36" s="26"/>
      <c r="BI36" s="26"/>
      <c r="BJ36" s="26"/>
    </row>
    <row r="37" spans="2:62" s="183" customFormat="1" ht="15.75" x14ac:dyDescent="0.25">
      <c r="B37" s="1049" t="s">
        <v>1059</v>
      </c>
      <c r="C37" s="1393" t="s">
        <v>1481</v>
      </c>
      <c r="D37" s="62" t="s">
        <v>52</v>
      </c>
      <c r="E37" s="1050"/>
      <c r="F37" s="1494">
        <v>557.6</v>
      </c>
      <c r="G37" s="1050"/>
      <c r="H37" s="1494"/>
      <c r="I37" s="947"/>
      <c r="J37" s="3615">
        <f t="shared" si="4"/>
        <v>557.6</v>
      </c>
      <c r="K37" s="1050"/>
      <c r="L37" s="1494">
        <f>1119.3-2.05</f>
        <v>1117.25</v>
      </c>
      <c r="M37" s="946"/>
      <c r="N37" s="5255">
        <f t="shared" si="5"/>
        <v>1674.85</v>
      </c>
      <c r="O37" s="1050"/>
      <c r="P37" s="1494"/>
      <c r="Q37" s="947"/>
      <c r="R37" s="3615">
        <f t="shared" si="6"/>
        <v>1674.85</v>
      </c>
      <c r="S37" s="1050"/>
      <c r="T37" s="2627">
        <v>567.84999999999991</v>
      </c>
      <c r="U37" s="947"/>
      <c r="V37" s="3615">
        <f t="shared" si="7"/>
        <v>2242.6999999999998</v>
      </c>
      <c r="W37" s="1050"/>
      <c r="X37" s="2627"/>
      <c r="Y37" s="696"/>
      <c r="Z37" s="4110">
        <f t="shared" si="8"/>
        <v>567.84999999999991</v>
      </c>
      <c r="AA37" s="795"/>
      <c r="AB37" s="795">
        <f t="shared" si="9"/>
        <v>2242.6999999999998</v>
      </c>
      <c r="AC37" s="1050"/>
      <c r="AD37" s="2627"/>
      <c r="AE37" s="3615"/>
      <c r="AF37" s="3615">
        <f t="shared" si="10"/>
        <v>2242.6999999999998</v>
      </c>
      <c r="AG37" s="1050"/>
      <c r="AH37" s="2627"/>
      <c r="AI37" s="3615"/>
      <c r="AJ37" s="3615">
        <f t="shared" si="11"/>
        <v>2242.6999999999998</v>
      </c>
      <c r="AK37" s="1050"/>
      <c r="AL37" s="2627">
        <v>1519.0499999999995</v>
      </c>
      <c r="AM37" s="4110"/>
      <c r="AN37" s="4110">
        <f t="shared" si="12"/>
        <v>1519.0499999999995</v>
      </c>
      <c r="AO37" s="3615"/>
      <c r="AP37" s="3615">
        <f t="shared" si="13"/>
        <v>3761.7499999999991</v>
      </c>
      <c r="AQ37" s="1050"/>
      <c r="AR37" s="2627"/>
      <c r="AS37" s="3615"/>
      <c r="AT37" s="3615">
        <f t="shared" si="14"/>
        <v>3761.7499999999991</v>
      </c>
      <c r="AU37" s="1050"/>
      <c r="AV37" s="2627"/>
      <c r="AW37" s="3615"/>
      <c r="AX37" s="3615">
        <f t="shared" si="15"/>
        <v>3761.7499999999991</v>
      </c>
      <c r="AY37" s="1050"/>
      <c r="AZ37" s="2627">
        <f>926.6-6.15</f>
        <v>920.45</v>
      </c>
      <c r="BA37" s="4110"/>
      <c r="BB37" s="4110">
        <f t="shared" si="16"/>
        <v>920.45</v>
      </c>
      <c r="BC37" s="795"/>
      <c r="BD37" s="795">
        <f t="shared" si="17"/>
        <v>2439.4999999999995</v>
      </c>
      <c r="BE37" s="3615"/>
      <c r="BF37" s="3615">
        <f t="shared" si="18"/>
        <v>4682.1999999999989</v>
      </c>
      <c r="BG37" s="26"/>
      <c r="BH37" s="26"/>
      <c r="BI37" s="26"/>
      <c r="BJ37" s="26"/>
    </row>
    <row r="38" spans="2:62" s="183" customFormat="1" ht="15.75" x14ac:dyDescent="0.25">
      <c r="B38" s="1049" t="s">
        <v>1059</v>
      </c>
      <c r="C38" s="1393" t="s">
        <v>1016</v>
      </c>
      <c r="D38" s="62" t="s">
        <v>52</v>
      </c>
      <c r="E38" s="1050"/>
      <c r="F38" s="2631"/>
      <c r="G38" s="1050"/>
      <c r="H38" s="2631"/>
      <c r="I38" s="2628"/>
      <c r="J38" s="3615">
        <f t="shared" si="4"/>
        <v>0</v>
      </c>
      <c r="K38" s="1050"/>
      <c r="L38" s="2631"/>
      <c r="M38" s="2629"/>
      <c r="N38" s="5255">
        <f t="shared" si="5"/>
        <v>0</v>
      </c>
      <c r="O38" s="1050"/>
      <c r="P38" s="2631"/>
      <c r="Q38" s="2628"/>
      <c r="R38" s="3615">
        <f t="shared" si="6"/>
        <v>0</v>
      </c>
      <c r="S38" s="1050"/>
      <c r="T38" s="2627">
        <v>407.94999999999993</v>
      </c>
      <c r="U38" s="2628"/>
      <c r="V38" s="3615">
        <f t="shared" si="7"/>
        <v>407.94999999999993</v>
      </c>
      <c r="W38" s="1050"/>
      <c r="X38" s="2627"/>
      <c r="Y38" s="2633"/>
      <c r="Z38" s="4110">
        <f t="shared" si="8"/>
        <v>407.94999999999993</v>
      </c>
      <c r="AA38" s="795"/>
      <c r="AB38" s="795">
        <f t="shared" si="9"/>
        <v>407.94999999999993</v>
      </c>
      <c r="AC38" s="1050"/>
      <c r="AD38" s="2627"/>
      <c r="AE38" s="3615"/>
      <c r="AF38" s="3615">
        <f t="shared" si="10"/>
        <v>407.94999999999993</v>
      </c>
      <c r="AG38" s="1050"/>
      <c r="AH38" s="2627"/>
      <c r="AI38" s="3615"/>
      <c r="AJ38" s="3615">
        <f t="shared" si="11"/>
        <v>407.94999999999993</v>
      </c>
      <c r="AK38" s="1050"/>
      <c r="AL38" s="2627">
        <v>986.05</v>
      </c>
      <c r="AM38" s="4110"/>
      <c r="AN38" s="4110">
        <f t="shared" si="12"/>
        <v>986.05</v>
      </c>
      <c r="AO38" s="3615"/>
      <c r="AP38" s="3615">
        <f t="shared" si="13"/>
        <v>1394</v>
      </c>
      <c r="AQ38" s="1050"/>
      <c r="AR38" s="2627">
        <f>610.9-10.25</f>
        <v>600.65</v>
      </c>
      <c r="AS38" s="3615"/>
      <c r="AT38" s="3615">
        <f t="shared" si="14"/>
        <v>1994.65</v>
      </c>
      <c r="AU38" s="1050"/>
      <c r="AV38" s="2627"/>
      <c r="AW38" s="3615"/>
      <c r="AX38" s="3615">
        <f t="shared" si="15"/>
        <v>1994.65</v>
      </c>
      <c r="AY38" s="1050"/>
      <c r="AZ38" s="2627"/>
      <c r="BA38" s="4110"/>
      <c r="BB38" s="4110">
        <f t="shared" si="16"/>
        <v>600.65</v>
      </c>
      <c r="BC38" s="795"/>
      <c r="BD38" s="795">
        <f t="shared" si="17"/>
        <v>1586.6999999999998</v>
      </c>
      <c r="BE38" s="3615"/>
      <c r="BF38" s="3615">
        <f t="shared" si="18"/>
        <v>1994.65</v>
      </c>
      <c r="BG38" s="26"/>
      <c r="BH38" s="26"/>
      <c r="BI38" s="26"/>
      <c r="BJ38" s="26"/>
    </row>
    <row r="39" spans="2:62" s="183" customFormat="1" ht="15.75" x14ac:dyDescent="0.25">
      <c r="B39" s="1049" t="s">
        <v>1059</v>
      </c>
      <c r="C39" s="5278" t="s">
        <v>1195</v>
      </c>
      <c r="D39" s="5279"/>
      <c r="E39" s="5280"/>
      <c r="F39" s="5281"/>
      <c r="G39" s="5280"/>
      <c r="H39" s="5281"/>
      <c r="I39" s="5282"/>
      <c r="J39" s="3615">
        <f t="shared" si="4"/>
        <v>0</v>
      </c>
      <c r="K39" s="5280"/>
      <c r="L39" s="5281"/>
      <c r="M39" s="5283"/>
      <c r="N39" s="5255">
        <f t="shared" si="5"/>
        <v>0</v>
      </c>
      <c r="O39" s="5280"/>
      <c r="P39" s="5281"/>
      <c r="Q39" s="5282"/>
      <c r="R39" s="3615">
        <f t="shared" si="6"/>
        <v>0</v>
      </c>
      <c r="S39" s="5280"/>
      <c r="T39" s="5284"/>
      <c r="U39" s="5282"/>
      <c r="V39" s="3615">
        <f t="shared" si="7"/>
        <v>0</v>
      </c>
      <c r="W39" s="5280"/>
      <c r="X39" s="5284"/>
      <c r="Y39" s="5285"/>
      <c r="Z39" s="4110">
        <f t="shared" si="8"/>
        <v>0</v>
      </c>
      <c r="AA39" s="795"/>
      <c r="AB39" s="795">
        <f t="shared" si="9"/>
        <v>0</v>
      </c>
      <c r="AC39" s="5280"/>
      <c r="AD39" s="5284"/>
      <c r="AE39" s="5282"/>
      <c r="AF39" s="3615">
        <f t="shared" si="10"/>
        <v>0</v>
      </c>
      <c r="AG39" s="5280"/>
      <c r="AH39" s="5284"/>
      <c r="AI39" s="5282"/>
      <c r="AJ39" s="3615">
        <f t="shared" si="11"/>
        <v>0</v>
      </c>
      <c r="AK39" s="5280"/>
      <c r="AL39" s="5284"/>
      <c r="AM39" s="5285"/>
      <c r="AN39" s="4110">
        <f t="shared" si="12"/>
        <v>0</v>
      </c>
      <c r="AO39" s="3615"/>
      <c r="AP39" s="3615">
        <f t="shared" si="13"/>
        <v>0</v>
      </c>
      <c r="AQ39" s="5280"/>
      <c r="AR39" s="5284"/>
      <c r="AS39" s="5282"/>
      <c r="AT39" s="3615">
        <f t="shared" si="14"/>
        <v>0</v>
      </c>
      <c r="AU39" s="5280"/>
      <c r="AV39" s="5284"/>
      <c r="AW39" s="5282"/>
      <c r="AX39" s="3615">
        <f t="shared" si="15"/>
        <v>0</v>
      </c>
      <c r="AY39" s="5280"/>
      <c r="AZ39" s="5284">
        <v>188.6</v>
      </c>
      <c r="BA39" s="5285"/>
      <c r="BB39" s="4110">
        <f t="shared" si="16"/>
        <v>188.6</v>
      </c>
      <c r="BC39" s="795"/>
      <c r="BD39" s="795">
        <f t="shared" si="17"/>
        <v>188.6</v>
      </c>
      <c r="BE39" s="3615"/>
      <c r="BF39" s="3615">
        <f t="shared" si="18"/>
        <v>188.6</v>
      </c>
      <c r="BG39" s="26"/>
      <c r="BH39" s="26"/>
      <c r="BI39" s="26"/>
      <c r="BJ39" s="26"/>
    </row>
    <row r="40" spans="2:62" s="183" customFormat="1" ht="15.75" x14ac:dyDescent="0.25">
      <c r="B40" s="1049" t="s">
        <v>1059</v>
      </c>
      <c r="C40" s="1393" t="s">
        <v>1018</v>
      </c>
      <c r="D40" s="62" t="s">
        <v>52</v>
      </c>
      <c r="E40" s="1050"/>
      <c r="F40" s="1494">
        <v>1041.4000000000001</v>
      </c>
      <c r="G40" s="1050"/>
      <c r="H40" s="1494"/>
      <c r="I40" s="947"/>
      <c r="J40" s="3615">
        <f t="shared" si="4"/>
        <v>1041.4000000000001</v>
      </c>
      <c r="K40" s="1050"/>
      <c r="L40" s="1494">
        <v>205</v>
      </c>
      <c r="M40" s="946"/>
      <c r="N40" s="5255">
        <f t="shared" si="5"/>
        <v>1246.4000000000001</v>
      </c>
      <c r="O40" s="1050"/>
      <c r="P40" s="1494"/>
      <c r="Q40" s="947"/>
      <c r="R40" s="3615">
        <f t="shared" si="6"/>
        <v>1246.4000000000001</v>
      </c>
      <c r="S40" s="1050"/>
      <c r="T40" s="2627">
        <v>998.35000000000025</v>
      </c>
      <c r="U40" s="947"/>
      <c r="V40" s="3615">
        <f t="shared" si="7"/>
        <v>2244.7500000000005</v>
      </c>
      <c r="W40" s="1050"/>
      <c r="X40" s="2627"/>
      <c r="Y40" s="696"/>
      <c r="Z40" s="4110">
        <f t="shared" si="8"/>
        <v>998.35000000000025</v>
      </c>
      <c r="AA40" s="795"/>
      <c r="AB40" s="795">
        <f t="shared" si="9"/>
        <v>2244.7500000000005</v>
      </c>
      <c r="AC40" s="1050"/>
      <c r="AD40" s="2627"/>
      <c r="AE40" s="3615"/>
      <c r="AF40" s="3615">
        <f t="shared" si="10"/>
        <v>2244.7500000000005</v>
      </c>
      <c r="AG40" s="1050"/>
      <c r="AH40" s="2627"/>
      <c r="AI40" s="3615"/>
      <c r="AJ40" s="3615">
        <f t="shared" si="11"/>
        <v>2244.7500000000005</v>
      </c>
      <c r="AK40" s="1050"/>
      <c r="AL40" s="2627">
        <v>557.59999999999991</v>
      </c>
      <c r="AM40" s="4110"/>
      <c r="AN40" s="4110">
        <f t="shared" si="12"/>
        <v>557.59999999999991</v>
      </c>
      <c r="AO40" s="3615"/>
      <c r="AP40" s="3615">
        <f t="shared" si="13"/>
        <v>2802.3500000000004</v>
      </c>
      <c r="AQ40" s="1050"/>
      <c r="AR40" s="2627">
        <v>3778.1500000000005</v>
      </c>
      <c r="AS40" s="3615"/>
      <c r="AT40" s="3615">
        <f t="shared" si="14"/>
        <v>6580.5000000000009</v>
      </c>
      <c r="AU40" s="1050"/>
      <c r="AV40" s="2627">
        <v>145.55000000000001</v>
      </c>
      <c r="AW40" s="3615"/>
      <c r="AX40" s="3615">
        <f t="shared" si="15"/>
        <v>6726.0500000000011</v>
      </c>
      <c r="AY40" s="1050"/>
      <c r="AZ40" s="2627">
        <v>71.75</v>
      </c>
      <c r="BA40" s="4110"/>
      <c r="BB40" s="4110">
        <f t="shared" si="16"/>
        <v>3995.4500000000007</v>
      </c>
      <c r="BC40" s="795"/>
      <c r="BD40" s="795">
        <f t="shared" si="17"/>
        <v>4553.0500000000011</v>
      </c>
      <c r="BE40" s="3615"/>
      <c r="BF40" s="3615">
        <f t="shared" si="18"/>
        <v>6797.8000000000011</v>
      </c>
      <c r="BG40" s="26"/>
      <c r="BH40" s="26"/>
      <c r="BI40" s="26"/>
      <c r="BJ40" s="26"/>
    </row>
    <row r="41" spans="2:62" s="183" customFormat="1" ht="15.75" x14ac:dyDescent="0.25">
      <c r="B41" s="1049" t="s">
        <v>1059</v>
      </c>
      <c r="C41" s="1393" t="s">
        <v>1174</v>
      </c>
      <c r="D41" s="62" t="s">
        <v>52</v>
      </c>
      <c r="E41" s="1050"/>
      <c r="F41" s="1494"/>
      <c r="G41" s="1050"/>
      <c r="H41" s="1494"/>
      <c r="I41" s="947"/>
      <c r="J41" s="3615">
        <f t="shared" si="4"/>
        <v>0</v>
      </c>
      <c r="K41" s="1050"/>
      <c r="L41" s="1494">
        <v>965.55</v>
      </c>
      <c r="M41" s="946"/>
      <c r="N41" s="5255">
        <f t="shared" si="5"/>
        <v>965.55</v>
      </c>
      <c r="O41" s="1050"/>
      <c r="P41" s="1494"/>
      <c r="Q41" s="947"/>
      <c r="R41" s="3615">
        <f t="shared" si="6"/>
        <v>965.55</v>
      </c>
      <c r="S41" s="1050"/>
      <c r="T41" s="2627">
        <v>799.49999999999989</v>
      </c>
      <c r="U41" s="947"/>
      <c r="V41" s="3615">
        <f t="shared" si="7"/>
        <v>1765.0499999999997</v>
      </c>
      <c r="W41" s="1050"/>
      <c r="X41" s="2627"/>
      <c r="Y41" s="696"/>
      <c r="Z41" s="4110">
        <f t="shared" si="8"/>
        <v>799.49999999999989</v>
      </c>
      <c r="AA41" s="795"/>
      <c r="AB41" s="795">
        <f t="shared" si="9"/>
        <v>1765.0499999999997</v>
      </c>
      <c r="AC41" s="1050"/>
      <c r="AD41" s="2627"/>
      <c r="AE41" s="3615"/>
      <c r="AF41" s="3615">
        <f t="shared" si="10"/>
        <v>1765.0499999999997</v>
      </c>
      <c r="AG41" s="1050"/>
      <c r="AH41" s="2627"/>
      <c r="AI41" s="3615"/>
      <c r="AJ41" s="3615">
        <f t="shared" si="11"/>
        <v>1765.0499999999997</v>
      </c>
      <c r="AK41" s="1050"/>
      <c r="AL41" s="2627"/>
      <c r="AM41" s="4110"/>
      <c r="AN41" s="4110">
        <f t="shared" si="12"/>
        <v>0</v>
      </c>
      <c r="AO41" s="3615"/>
      <c r="AP41" s="3615">
        <f t="shared" si="13"/>
        <v>1765.0499999999997</v>
      </c>
      <c r="AQ41" s="1050"/>
      <c r="AR41" s="2627">
        <v>430.50000000000006</v>
      </c>
      <c r="AS41" s="3615"/>
      <c r="AT41" s="3615">
        <f t="shared" si="14"/>
        <v>2195.5499999999997</v>
      </c>
      <c r="AU41" s="1050"/>
      <c r="AV41" s="2627">
        <f>1061.9-38.95</f>
        <v>1022.95</v>
      </c>
      <c r="AW41" s="3615"/>
      <c r="AX41" s="3615">
        <f t="shared" si="15"/>
        <v>3218.5</v>
      </c>
      <c r="AY41" s="1050"/>
      <c r="AZ41" s="2627">
        <v>920.45</v>
      </c>
      <c r="BA41" s="4110"/>
      <c r="BB41" s="4110">
        <f t="shared" si="16"/>
        <v>2373.9</v>
      </c>
      <c r="BC41" s="795"/>
      <c r="BD41" s="795">
        <f t="shared" si="17"/>
        <v>2373.9</v>
      </c>
      <c r="BE41" s="3615"/>
      <c r="BF41" s="3615">
        <f t="shared" si="18"/>
        <v>4138.95</v>
      </c>
      <c r="BG41" s="26"/>
      <c r="BH41" s="26"/>
      <c r="BI41" s="26"/>
      <c r="BJ41" s="26"/>
    </row>
    <row r="42" spans="2:62" s="183" customFormat="1" ht="15.75" x14ac:dyDescent="0.25">
      <c r="B42" s="1049" t="s">
        <v>1059</v>
      </c>
      <c r="C42" s="1393" t="s">
        <v>1189</v>
      </c>
      <c r="D42" s="62" t="s">
        <v>52</v>
      </c>
      <c r="E42" s="1050"/>
      <c r="F42" s="1494">
        <v>1047.5500000000002</v>
      </c>
      <c r="G42" s="1050"/>
      <c r="H42" s="1494"/>
      <c r="I42" s="947"/>
      <c r="J42" s="3615">
        <f t="shared" si="4"/>
        <v>1047.5500000000002</v>
      </c>
      <c r="K42" s="1050"/>
      <c r="L42" s="1494"/>
      <c r="M42" s="946"/>
      <c r="N42" s="5255">
        <f t="shared" si="5"/>
        <v>1047.5500000000002</v>
      </c>
      <c r="O42" s="1050"/>
      <c r="P42" s="1494"/>
      <c r="Q42" s="947"/>
      <c r="R42" s="3615">
        <f t="shared" si="6"/>
        <v>1047.5500000000002</v>
      </c>
      <c r="S42" s="1050"/>
      <c r="T42" s="2627">
        <v>0</v>
      </c>
      <c r="U42" s="947"/>
      <c r="V42" s="3615">
        <f t="shared" si="7"/>
        <v>1047.5500000000002</v>
      </c>
      <c r="W42" s="1050"/>
      <c r="X42" s="2627"/>
      <c r="Y42" s="696"/>
      <c r="Z42" s="4110">
        <f t="shared" si="8"/>
        <v>0</v>
      </c>
      <c r="AA42" s="795"/>
      <c r="AB42" s="795">
        <f t="shared" si="9"/>
        <v>1047.5500000000002</v>
      </c>
      <c r="AC42" s="1050"/>
      <c r="AD42" s="2627"/>
      <c r="AE42" s="3615"/>
      <c r="AF42" s="3615">
        <f t="shared" si="10"/>
        <v>1047.5500000000002</v>
      </c>
      <c r="AG42" s="1050"/>
      <c r="AH42" s="2627"/>
      <c r="AI42" s="3615"/>
      <c r="AJ42" s="3615">
        <f t="shared" si="11"/>
        <v>1047.5500000000002</v>
      </c>
      <c r="AK42" s="1050"/>
      <c r="AL42" s="2627"/>
      <c r="AM42" s="4110"/>
      <c r="AN42" s="4110">
        <f t="shared" si="12"/>
        <v>0</v>
      </c>
      <c r="AO42" s="3615"/>
      <c r="AP42" s="3615">
        <f t="shared" si="13"/>
        <v>1047.5500000000002</v>
      </c>
      <c r="AQ42" s="1050"/>
      <c r="AR42" s="2627">
        <v>715.44999999999993</v>
      </c>
      <c r="AS42" s="3615"/>
      <c r="AT42" s="3615">
        <f t="shared" si="14"/>
        <v>1763</v>
      </c>
      <c r="AU42" s="1050"/>
      <c r="AV42" s="2627">
        <f>211.15-26.65</f>
        <v>184.5</v>
      </c>
      <c r="AW42" s="3615"/>
      <c r="AX42" s="3615">
        <f t="shared" si="15"/>
        <v>1947.5</v>
      </c>
      <c r="AY42" s="1050"/>
      <c r="AZ42" s="2627">
        <v>145.55000000000001</v>
      </c>
      <c r="BA42" s="4110"/>
      <c r="BB42" s="4110">
        <f t="shared" si="16"/>
        <v>1045.5</v>
      </c>
      <c r="BC42" s="795"/>
      <c r="BD42" s="795">
        <f t="shared" si="17"/>
        <v>1045.5</v>
      </c>
      <c r="BE42" s="3615"/>
      <c r="BF42" s="3615">
        <f t="shared" si="18"/>
        <v>2093.0500000000002</v>
      </c>
      <c r="BG42" s="26"/>
      <c r="BH42" s="26"/>
      <c r="BI42" s="26"/>
      <c r="BJ42" s="26"/>
    </row>
    <row r="43" spans="2:62" s="183" customFormat="1" ht="15.75" x14ac:dyDescent="0.25">
      <c r="B43" s="1049" t="s">
        <v>1059</v>
      </c>
      <c r="C43" s="1393" t="s">
        <v>905</v>
      </c>
      <c r="D43" s="62" t="s">
        <v>52</v>
      </c>
      <c r="E43" s="1050"/>
      <c r="F43" s="2631"/>
      <c r="G43" s="1050"/>
      <c r="H43" s="2631"/>
      <c r="I43" s="2628"/>
      <c r="J43" s="3615">
        <f t="shared" si="4"/>
        <v>0</v>
      </c>
      <c r="K43" s="1050"/>
      <c r="L43" s="2631"/>
      <c r="M43" s="2629"/>
      <c r="N43" s="5255">
        <f t="shared" si="5"/>
        <v>0</v>
      </c>
      <c r="O43" s="1050"/>
      <c r="P43" s="2631"/>
      <c r="Q43" s="2628"/>
      <c r="R43" s="3615">
        <f t="shared" si="6"/>
        <v>0</v>
      </c>
      <c r="S43" s="1050"/>
      <c r="T43" s="2627">
        <v>145.55000000000001</v>
      </c>
      <c r="U43" s="2628"/>
      <c r="V43" s="3615">
        <f t="shared" si="7"/>
        <v>145.55000000000001</v>
      </c>
      <c r="W43" s="1050"/>
      <c r="X43" s="2627"/>
      <c r="Y43" s="2633"/>
      <c r="Z43" s="4110">
        <f t="shared" si="8"/>
        <v>145.55000000000001</v>
      </c>
      <c r="AA43" s="795"/>
      <c r="AB43" s="795">
        <f t="shared" si="9"/>
        <v>145.55000000000001</v>
      </c>
      <c r="AC43" s="1050"/>
      <c r="AD43" s="2627"/>
      <c r="AE43" s="3615"/>
      <c r="AF43" s="3615">
        <f t="shared" si="10"/>
        <v>145.55000000000001</v>
      </c>
      <c r="AG43" s="1050"/>
      <c r="AH43" s="2627"/>
      <c r="AI43" s="3615"/>
      <c r="AJ43" s="3615">
        <f t="shared" si="11"/>
        <v>145.55000000000001</v>
      </c>
      <c r="AK43" s="1050"/>
      <c r="AL43" s="2627"/>
      <c r="AM43" s="4110"/>
      <c r="AN43" s="4110">
        <f t="shared" si="12"/>
        <v>0</v>
      </c>
      <c r="AO43" s="3615"/>
      <c r="AP43" s="3615">
        <f t="shared" si="13"/>
        <v>145.55000000000001</v>
      </c>
      <c r="AQ43" s="1050"/>
      <c r="AR43" s="2627"/>
      <c r="AS43" s="3615"/>
      <c r="AT43" s="3615">
        <f t="shared" si="14"/>
        <v>145.55000000000001</v>
      </c>
      <c r="AU43" s="1050"/>
      <c r="AV43" s="2627"/>
      <c r="AW43" s="3615"/>
      <c r="AX43" s="3615">
        <f t="shared" si="15"/>
        <v>145.55000000000001</v>
      </c>
      <c r="AY43" s="1050"/>
      <c r="AZ43" s="2627"/>
      <c r="BA43" s="4110"/>
      <c r="BB43" s="4110">
        <f t="shared" si="16"/>
        <v>0</v>
      </c>
      <c r="BC43" s="795"/>
      <c r="BD43" s="795">
        <f t="shared" si="17"/>
        <v>0</v>
      </c>
      <c r="BE43" s="3615"/>
      <c r="BF43" s="3615">
        <f t="shared" si="18"/>
        <v>145.55000000000001</v>
      </c>
      <c r="BG43" s="26"/>
      <c r="BH43" s="26"/>
      <c r="BI43" s="26"/>
      <c r="BJ43" s="26"/>
    </row>
    <row r="44" spans="2:62" s="183" customFormat="1" ht="15.75" x14ac:dyDescent="0.25">
      <c r="B44" s="1049" t="s">
        <v>1059</v>
      </c>
      <c r="C44" s="1393" t="s">
        <v>1196</v>
      </c>
      <c r="D44" s="62" t="s">
        <v>52</v>
      </c>
      <c r="E44" s="1050"/>
      <c r="F44" s="1494">
        <v>582.20000000000005</v>
      </c>
      <c r="G44" s="1050"/>
      <c r="H44" s="1494"/>
      <c r="I44" s="947"/>
      <c r="J44" s="3615">
        <f t="shared" si="4"/>
        <v>582.20000000000005</v>
      </c>
      <c r="K44" s="1050"/>
      <c r="L44" s="1494">
        <v>500.2</v>
      </c>
      <c r="M44" s="946"/>
      <c r="N44" s="5255">
        <f t="shared" si="5"/>
        <v>1082.4000000000001</v>
      </c>
      <c r="O44" s="1050"/>
      <c r="P44" s="1494"/>
      <c r="Q44" s="947"/>
      <c r="R44" s="3615">
        <f t="shared" si="6"/>
        <v>1082.4000000000001</v>
      </c>
      <c r="S44" s="1050"/>
      <c r="T44" s="2627">
        <v>0</v>
      </c>
      <c r="U44" s="947"/>
      <c r="V44" s="3615">
        <f t="shared" si="7"/>
        <v>1082.4000000000001</v>
      </c>
      <c r="W44" s="1050"/>
      <c r="X44" s="2627"/>
      <c r="Y44" s="696"/>
      <c r="Z44" s="4110">
        <f t="shared" si="8"/>
        <v>0</v>
      </c>
      <c r="AA44" s="795"/>
      <c r="AB44" s="795">
        <f t="shared" si="9"/>
        <v>1082.4000000000001</v>
      </c>
      <c r="AC44" s="1050"/>
      <c r="AD44" s="2627"/>
      <c r="AE44" s="3615"/>
      <c r="AF44" s="3615">
        <f t="shared" si="10"/>
        <v>1082.4000000000001</v>
      </c>
      <c r="AG44" s="1050"/>
      <c r="AH44" s="2627"/>
      <c r="AI44" s="3615"/>
      <c r="AJ44" s="3615">
        <f t="shared" si="11"/>
        <v>1082.4000000000001</v>
      </c>
      <c r="AK44" s="1050"/>
      <c r="AL44" s="2627"/>
      <c r="AM44" s="4110"/>
      <c r="AN44" s="4110">
        <f t="shared" si="12"/>
        <v>0</v>
      </c>
      <c r="AO44" s="3615"/>
      <c r="AP44" s="3615">
        <f t="shared" si="13"/>
        <v>1082.4000000000001</v>
      </c>
      <c r="AQ44" s="1050"/>
      <c r="AR44" s="2627">
        <f>588.35-8.2</f>
        <v>580.15</v>
      </c>
      <c r="AS44" s="3615"/>
      <c r="AT44" s="3615">
        <f t="shared" si="14"/>
        <v>1662.5500000000002</v>
      </c>
      <c r="AU44" s="1050"/>
      <c r="AV44" s="2627">
        <f>653.95-196.8</f>
        <v>457.15000000000003</v>
      </c>
      <c r="AW44" s="3615"/>
      <c r="AX44" s="3615">
        <f t="shared" si="15"/>
        <v>2119.7000000000003</v>
      </c>
      <c r="AY44" s="1050"/>
      <c r="AZ44" s="2627">
        <f>1223.85-188.6</f>
        <v>1035.25</v>
      </c>
      <c r="BA44" s="4110"/>
      <c r="BB44" s="4110">
        <f t="shared" si="16"/>
        <v>2072.5500000000002</v>
      </c>
      <c r="BC44" s="795"/>
      <c r="BD44" s="795">
        <f t="shared" si="17"/>
        <v>2072.5500000000002</v>
      </c>
      <c r="BE44" s="3615"/>
      <c r="BF44" s="3615">
        <f t="shared" si="18"/>
        <v>3154.9500000000003</v>
      </c>
      <c r="BG44" s="26"/>
      <c r="BH44" s="26"/>
      <c r="BI44" s="26"/>
      <c r="BJ44" s="26"/>
    </row>
    <row r="45" spans="2:62" s="3389" customFormat="1" ht="15.75" x14ac:dyDescent="0.25">
      <c r="B45" s="1049" t="s">
        <v>901</v>
      </c>
      <c r="C45" s="1393" t="s">
        <v>1481</v>
      </c>
      <c r="D45" s="62" t="s">
        <v>52</v>
      </c>
      <c r="E45" s="3387"/>
      <c r="F45" s="2941"/>
      <c r="G45" s="3387"/>
      <c r="H45" s="2941"/>
      <c r="I45" s="3380"/>
      <c r="J45" s="3615">
        <f t="shared" si="4"/>
        <v>0</v>
      </c>
      <c r="K45" s="3387"/>
      <c r="L45" s="2941"/>
      <c r="M45" s="3379"/>
      <c r="N45" s="5255">
        <f t="shared" si="5"/>
        <v>0</v>
      </c>
      <c r="O45" s="3387"/>
      <c r="P45" s="2941"/>
      <c r="Q45" s="3380"/>
      <c r="R45" s="3615">
        <f t="shared" si="6"/>
        <v>0</v>
      </c>
      <c r="S45" s="3387"/>
      <c r="T45" s="2627"/>
      <c r="U45" s="3380"/>
      <c r="V45" s="3615">
        <f t="shared" si="7"/>
        <v>0</v>
      </c>
      <c r="W45" s="3387"/>
      <c r="X45" s="2627">
        <v>1070.0999999999999</v>
      </c>
      <c r="Y45" s="3384"/>
      <c r="Z45" s="4110">
        <f t="shared" si="8"/>
        <v>1070.0999999999999</v>
      </c>
      <c r="AA45" s="795"/>
      <c r="AB45" s="795">
        <f t="shared" si="9"/>
        <v>1070.0999999999999</v>
      </c>
      <c r="AC45" s="3387"/>
      <c r="AD45" s="2627"/>
      <c r="AE45" s="3615"/>
      <c r="AF45" s="3615">
        <f t="shared" si="10"/>
        <v>1070.0999999999999</v>
      </c>
      <c r="AG45" s="3387"/>
      <c r="AH45" s="2627"/>
      <c r="AI45" s="3615"/>
      <c r="AJ45" s="3615">
        <f t="shared" si="11"/>
        <v>1070.0999999999999</v>
      </c>
      <c r="AK45" s="3387"/>
      <c r="AL45" s="2627"/>
      <c r="AM45" s="4110"/>
      <c r="AN45" s="4110">
        <f t="shared" si="12"/>
        <v>0</v>
      </c>
      <c r="AO45" s="3615"/>
      <c r="AP45" s="3615">
        <f t="shared" si="13"/>
        <v>1070.0999999999999</v>
      </c>
      <c r="AQ45" s="3387"/>
      <c r="AR45" s="2627">
        <f>1845-26.65</f>
        <v>1818.35</v>
      </c>
      <c r="AS45" s="3615"/>
      <c r="AT45" s="3615">
        <f t="shared" si="14"/>
        <v>2888.45</v>
      </c>
      <c r="AU45" s="3387"/>
      <c r="AV45" s="2627"/>
      <c r="AW45" s="3615"/>
      <c r="AX45" s="3615">
        <f t="shared" si="15"/>
        <v>2888.45</v>
      </c>
      <c r="AY45" s="3387"/>
      <c r="AZ45" s="2627"/>
      <c r="BA45" s="4110"/>
      <c r="BB45" s="4110">
        <f t="shared" si="16"/>
        <v>1818.35</v>
      </c>
      <c r="BC45" s="795"/>
      <c r="BD45" s="795">
        <f t="shared" si="17"/>
        <v>1818.35</v>
      </c>
      <c r="BE45" s="3615"/>
      <c r="BF45" s="3615">
        <f t="shared" si="18"/>
        <v>2888.45</v>
      </c>
      <c r="BG45" s="26"/>
      <c r="BH45" s="26"/>
      <c r="BI45" s="26"/>
      <c r="BJ45" s="26"/>
    </row>
    <row r="46" spans="2:62" s="3389" customFormat="1" ht="15.75" x14ac:dyDescent="0.25">
      <c r="B46" s="1049" t="s">
        <v>901</v>
      </c>
      <c r="C46" s="1393" t="s">
        <v>1018</v>
      </c>
      <c r="D46" s="62" t="s">
        <v>52</v>
      </c>
      <c r="E46" s="3387"/>
      <c r="F46" s="3381">
        <f>88.15+2.05</f>
        <v>90.2</v>
      </c>
      <c r="G46" s="3387"/>
      <c r="H46" s="3381">
        <v>82</v>
      </c>
      <c r="I46" s="3380"/>
      <c r="J46" s="3615">
        <f t="shared" si="4"/>
        <v>172.2</v>
      </c>
      <c r="K46" s="3387"/>
      <c r="L46" s="3381">
        <f>166.05-4.1</f>
        <v>161.95000000000002</v>
      </c>
      <c r="M46" s="3379"/>
      <c r="N46" s="5255">
        <f t="shared" si="5"/>
        <v>334.15</v>
      </c>
      <c r="O46" s="3387"/>
      <c r="P46" s="3381">
        <v>43.05</v>
      </c>
      <c r="Q46" s="3380"/>
      <c r="R46" s="3615">
        <f t="shared" si="6"/>
        <v>377.2</v>
      </c>
      <c r="S46" s="3387"/>
      <c r="T46" s="2627">
        <v>114.8</v>
      </c>
      <c r="U46" s="3380"/>
      <c r="V46" s="3615">
        <f t="shared" si="7"/>
        <v>492</v>
      </c>
      <c r="W46" s="3387"/>
      <c r="X46" s="2627">
        <f>904.05-2.05</f>
        <v>902</v>
      </c>
      <c r="Y46" s="3384"/>
      <c r="Z46" s="4110">
        <f t="shared" si="8"/>
        <v>1059.8499999999999</v>
      </c>
      <c r="AA46" s="795"/>
      <c r="AB46" s="795">
        <f t="shared" si="9"/>
        <v>1394</v>
      </c>
      <c r="AC46" s="3387"/>
      <c r="AD46" s="2627">
        <v>217.3</v>
      </c>
      <c r="AE46" s="3615"/>
      <c r="AF46" s="3615">
        <f t="shared" si="10"/>
        <v>1611.3</v>
      </c>
      <c r="AG46" s="3387"/>
      <c r="AH46" s="2627">
        <v>38.950000000000003</v>
      </c>
      <c r="AI46" s="3615"/>
      <c r="AJ46" s="3615">
        <f t="shared" si="11"/>
        <v>1650.25</v>
      </c>
      <c r="AK46" s="3387"/>
      <c r="AL46" s="2627">
        <v>100.44999999999999</v>
      </c>
      <c r="AM46" s="4110"/>
      <c r="AN46" s="4110">
        <f t="shared" si="12"/>
        <v>356.7</v>
      </c>
      <c r="AO46" s="3615"/>
      <c r="AP46" s="3615">
        <f t="shared" si="13"/>
        <v>1750.7</v>
      </c>
      <c r="AQ46" s="3387"/>
      <c r="AR46" s="2627">
        <f>102.5+53.3</f>
        <v>155.80000000000001</v>
      </c>
      <c r="AS46" s="3615"/>
      <c r="AT46" s="3615">
        <f t="shared" si="14"/>
        <v>1906.5</v>
      </c>
      <c r="AU46" s="3387"/>
      <c r="AV46" s="2627">
        <f>147.6+20.5</f>
        <v>168.1</v>
      </c>
      <c r="AW46" s="3615"/>
      <c r="AX46" s="3615">
        <f t="shared" si="15"/>
        <v>2074.6</v>
      </c>
      <c r="AY46" s="3387"/>
      <c r="AZ46" s="2627">
        <v>82</v>
      </c>
      <c r="BA46" s="4110"/>
      <c r="BB46" s="4110">
        <f t="shared" si="16"/>
        <v>405.9</v>
      </c>
      <c r="BC46" s="795"/>
      <c r="BD46" s="795">
        <f t="shared" si="17"/>
        <v>762.59999999999991</v>
      </c>
      <c r="BE46" s="3615"/>
      <c r="BF46" s="3615">
        <f t="shared" si="18"/>
        <v>2156.6</v>
      </c>
      <c r="BG46" s="26"/>
      <c r="BH46" s="26"/>
      <c r="BI46" s="26"/>
      <c r="BJ46" s="26"/>
    </row>
    <row r="47" spans="2:62" s="3389" customFormat="1" ht="15.75" x14ac:dyDescent="0.25">
      <c r="B47" s="1049" t="s">
        <v>901</v>
      </c>
      <c r="C47" s="1393" t="s">
        <v>1174</v>
      </c>
      <c r="D47" s="62" t="s">
        <v>52</v>
      </c>
      <c r="E47" s="3387"/>
      <c r="F47" s="3381"/>
      <c r="G47" s="3387"/>
      <c r="H47" s="3381"/>
      <c r="I47" s="3380"/>
      <c r="J47" s="3615">
        <f t="shared" si="4"/>
        <v>0</v>
      </c>
      <c r="K47" s="3387"/>
      <c r="L47" s="3381"/>
      <c r="M47" s="3379"/>
      <c r="N47" s="5255">
        <f t="shared" si="5"/>
        <v>0</v>
      </c>
      <c r="O47" s="3387"/>
      <c r="P47" s="3381"/>
      <c r="Q47" s="3380"/>
      <c r="R47" s="3615">
        <f t="shared" si="6"/>
        <v>0</v>
      </c>
      <c r="S47" s="3387"/>
      <c r="T47" s="2627"/>
      <c r="U47" s="3380"/>
      <c r="V47" s="3615">
        <f t="shared" si="7"/>
        <v>0</v>
      </c>
      <c r="W47" s="3387"/>
      <c r="X47" s="2627">
        <v>1324.2999999999997</v>
      </c>
      <c r="Y47" s="3384"/>
      <c r="Z47" s="4110">
        <f t="shared" si="8"/>
        <v>1324.2999999999997</v>
      </c>
      <c r="AA47" s="795"/>
      <c r="AB47" s="795">
        <f t="shared" si="9"/>
        <v>1324.2999999999997</v>
      </c>
      <c r="AC47" s="3387"/>
      <c r="AD47" s="2627"/>
      <c r="AE47" s="3615"/>
      <c r="AF47" s="3615">
        <f t="shared" si="10"/>
        <v>1324.2999999999997</v>
      </c>
      <c r="AG47" s="3387"/>
      <c r="AH47" s="2627"/>
      <c r="AI47" s="3615"/>
      <c r="AJ47" s="3615">
        <f t="shared" si="11"/>
        <v>1324.2999999999997</v>
      </c>
      <c r="AK47" s="3387"/>
      <c r="AL47" s="2627"/>
      <c r="AM47" s="4110"/>
      <c r="AN47" s="4110">
        <f t="shared" si="12"/>
        <v>0</v>
      </c>
      <c r="AO47" s="3615"/>
      <c r="AP47" s="3615">
        <f t="shared" si="13"/>
        <v>1324.2999999999997</v>
      </c>
      <c r="AQ47" s="3387"/>
      <c r="AR47" s="2627"/>
      <c r="AS47" s="3615"/>
      <c r="AT47" s="3615">
        <f t="shared" si="14"/>
        <v>1324.2999999999997</v>
      </c>
      <c r="AU47" s="3387"/>
      <c r="AV47" s="2627"/>
      <c r="AW47" s="3615"/>
      <c r="AX47" s="3615">
        <f t="shared" si="15"/>
        <v>1324.2999999999997</v>
      </c>
      <c r="AY47" s="3387"/>
      <c r="AZ47" s="2627"/>
      <c r="BA47" s="4110"/>
      <c r="BB47" s="4110">
        <f t="shared" si="16"/>
        <v>0</v>
      </c>
      <c r="BC47" s="795"/>
      <c r="BD47" s="795">
        <f t="shared" si="17"/>
        <v>0</v>
      </c>
      <c r="BE47" s="3615"/>
      <c r="BF47" s="3615">
        <f t="shared" si="18"/>
        <v>1324.2999999999997</v>
      </c>
      <c r="BG47" s="26"/>
      <c r="BH47" s="26"/>
      <c r="BI47" s="26"/>
      <c r="BJ47" s="26"/>
    </row>
    <row r="48" spans="2:62" s="3389" customFormat="1" ht="15.75" x14ac:dyDescent="0.25">
      <c r="B48" s="1049" t="s">
        <v>901</v>
      </c>
      <c r="C48" s="1393" t="s">
        <v>1189</v>
      </c>
      <c r="D48" s="62" t="s">
        <v>52</v>
      </c>
      <c r="E48" s="3387"/>
      <c r="F48" s="2941">
        <v>420.25</v>
      </c>
      <c r="G48" s="3387"/>
      <c r="H48" s="2941">
        <v>1230</v>
      </c>
      <c r="I48" s="3380"/>
      <c r="J48" s="3615">
        <f t="shared" si="4"/>
        <v>1650.25</v>
      </c>
      <c r="K48" s="3387"/>
      <c r="L48" s="2941">
        <v>209.1</v>
      </c>
      <c r="M48" s="3379"/>
      <c r="N48" s="5255">
        <f t="shared" si="5"/>
        <v>1859.35</v>
      </c>
      <c r="O48" s="3387"/>
      <c r="P48" s="2941">
        <f>1346.46-2.06</f>
        <v>1344.4</v>
      </c>
      <c r="Q48" s="3380"/>
      <c r="R48" s="3615">
        <f t="shared" si="6"/>
        <v>3203.75</v>
      </c>
      <c r="S48" s="3387"/>
      <c r="T48" s="2627">
        <f>3179.55-10.25</f>
        <v>3169.3</v>
      </c>
      <c r="U48" s="3380"/>
      <c r="V48" s="3615">
        <f t="shared" si="7"/>
        <v>6373.05</v>
      </c>
      <c r="W48" s="3387"/>
      <c r="X48" s="2627">
        <v>1330.4499999999994</v>
      </c>
      <c r="Y48" s="3384"/>
      <c r="Z48" s="4110">
        <f t="shared" si="8"/>
        <v>5844.15</v>
      </c>
      <c r="AA48" s="795"/>
      <c r="AB48" s="795">
        <f t="shared" si="9"/>
        <v>7703.5</v>
      </c>
      <c r="AC48" s="3387"/>
      <c r="AD48" s="2627">
        <v>668.29999999999984</v>
      </c>
      <c r="AE48" s="3615"/>
      <c r="AF48" s="3615">
        <f t="shared" si="10"/>
        <v>8371.7999999999993</v>
      </c>
      <c r="AG48" s="3387"/>
      <c r="AH48" s="2627">
        <v>479.70000000000005</v>
      </c>
      <c r="AI48" s="3615"/>
      <c r="AJ48" s="3615">
        <f t="shared" si="11"/>
        <v>8851.5</v>
      </c>
      <c r="AK48" s="3387"/>
      <c r="AL48" s="2627">
        <v>737.99999999999989</v>
      </c>
      <c r="AM48" s="4110"/>
      <c r="AN48" s="4110">
        <f t="shared" si="12"/>
        <v>1886</v>
      </c>
      <c r="AO48" s="3615"/>
      <c r="AP48" s="3615">
        <f t="shared" si="13"/>
        <v>9589.5</v>
      </c>
      <c r="AQ48" s="3387"/>
      <c r="AR48" s="2627">
        <v>984.00000000000011</v>
      </c>
      <c r="AS48" s="3615"/>
      <c r="AT48" s="3615">
        <f t="shared" si="14"/>
        <v>10573.5</v>
      </c>
      <c r="AU48" s="3387"/>
      <c r="AV48" s="2627">
        <v>1072.1499999999999</v>
      </c>
      <c r="AW48" s="3615"/>
      <c r="AX48" s="3615">
        <f t="shared" si="15"/>
        <v>11645.65</v>
      </c>
      <c r="AY48" s="3387"/>
      <c r="AZ48" s="2627">
        <v>885.6</v>
      </c>
      <c r="BA48" s="4110"/>
      <c r="BB48" s="4110">
        <f t="shared" si="16"/>
        <v>2941.75</v>
      </c>
      <c r="BC48" s="795"/>
      <c r="BD48" s="795">
        <f t="shared" si="17"/>
        <v>4827.75</v>
      </c>
      <c r="BE48" s="3615"/>
      <c r="BF48" s="3615">
        <f t="shared" si="18"/>
        <v>12531.25</v>
      </c>
      <c r="BG48" s="26"/>
      <c r="BH48" s="26"/>
      <c r="BI48" s="26"/>
      <c r="BJ48" s="26"/>
    </row>
    <row r="49" spans="2:62" s="3389" customFormat="1" ht="15.75" x14ac:dyDescent="0.25">
      <c r="B49" s="1049" t="s">
        <v>901</v>
      </c>
      <c r="C49" s="1393" t="s">
        <v>1023</v>
      </c>
      <c r="D49" s="62" t="s">
        <v>52</v>
      </c>
      <c r="E49" s="3387"/>
      <c r="F49" s="2941"/>
      <c r="G49" s="3387"/>
      <c r="H49" s="2941">
        <v>356.7</v>
      </c>
      <c r="I49" s="3380"/>
      <c r="J49" s="3615">
        <f t="shared" si="4"/>
        <v>356.7</v>
      </c>
      <c r="K49" s="3387"/>
      <c r="L49" s="2941"/>
      <c r="M49" s="3379"/>
      <c r="N49" s="5255">
        <f t="shared" si="5"/>
        <v>356.7</v>
      </c>
      <c r="O49" s="3387"/>
      <c r="P49" s="2941">
        <v>212.18</v>
      </c>
      <c r="Q49" s="3380"/>
      <c r="R49" s="3615">
        <f t="shared" si="6"/>
        <v>568.88</v>
      </c>
      <c r="S49" s="3387"/>
      <c r="T49" s="2627">
        <v>694.95</v>
      </c>
      <c r="U49" s="3380"/>
      <c r="V49" s="3615">
        <f t="shared" si="7"/>
        <v>1263.83</v>
      </c>
      <c r="W49" s="3387"/>
      <c r="X49" s="2627">
        <v>366.95</v>
      </c>
      <c r="Y49" s="3384"/>
      <c r="Z49" s="4110">
        <f t="shared" si="8"/>
        <v>1274.0800000000002</v>
      </c>
      <c r="AA49" s="795"/>
      <c r="AB49" s="795">
        <f t="shared" si="9"/>
        <v>1630.7800000000002</v>
      </c>
      <c r="AC49" s="3387"/>
      <c r="AD49" s="2627"/>
      <c r="AE49" s="3615"/>
      <c r="AF49" s="3615">
        <f t="shared" si="10"/>
        <v>1630.7800000000002</v>
      </c>
      <c r="AG49" s="3387"/>
      <c r="AH49" s="2627"/>
      <c r="AI49" s="3615"/>
      <c r="AJ49" s="3615">
        <f t="shared" si="11"/>
        <v>1630.7800000000002</v>
      </c>
      <c r="AK49" s="3387"/>
      <c r="AL49" s="2627"/>
      <c r="AM49" s="4110"/>
      <c r="AN49" s="4110">
        <f t="shared" si="12"/>
        <v>0</v>
      </c>
      <c r="AO49" s="3615"/>
      <c r="AP49" s="3615">
        <f t="shared" si="13"/>
        <v>1630.7800000000002</v>
      </c>
      <c r="AQ49" s="3387"/>
      <c r="AR49" s="2627"/>
      <c r="AS49" s="3615"/>
      <c r="AT49" s="3615">
        <f t="shared" si="14"/>
        <v>1630.7800000000002</v>
      </c>
      <c r="AU49" s="3387"/>
      <c r="AV49" s="2627"/>
      <c r="AW49" s="3615"/>
      <c r="AX49" s="3615">
        <f t="shared" si="15"/>
        <v>1630.7800000000002</v>
      </c>
      <c r="AY49" s="3387"/>
      <c r="AZ49" s="2627"/>
      <c r="BA49" s="4110"/>
      <c r="BB49" s="4110">
        <f t="shared" si="16"/>
        <v>0</v>
      </c>
      <c r="BC49" s="795"/>
      <c r="BD49" s="795">
        <f t="shared" si="17"/>
        <v>0</v>
      </c>
      <c r="BE49" s="3615"/>
      <c r="BF49" s="3615">
        <f t="shared" si="18"/>
        <v>1630.7800000000002</v>
      </c>
      <c r="BG49" s="26"/>
      <c r="BH49" s="26"/>
      <c r="BI49" s="26"/>
      <c r="BJ49" s="26"/>
    </row>
    <row r="50" spans="2:62" s="3389" customFormat="1" ht="15.75" x14ac:dyDescent="0.25">
      <c r="B50" s="1049" t="s">
        <v>901</v>
      </c>
      <c r="C50" s="1393" t="s">
        <v>905</v>
      </c>
      <c r="D50" s="62" t="s">
        <v>52</v>
      </c>
      <c r="E50" s="3387"/>
      <c r="F50" s="2941">
        <v>633.45000000000005</v>
      </c>
      <c r="G50" s="3387"/>
      <c r="H50" s="2941">
        <v>506.35</v>
      </c>
      <c r="I50" s="3380"/>
      <c r="J50" s="3615">
        <f t="shared" si="4"/>
        <v>1139.8000000000002</v>
      </c>
      <c r="K50" s="3387"/>
      <c r="L50" s="2941">
        <v>715.45</v>
      </c>
      <c r="M50" s="3379"/>
      <c r="N50" s="5255">
        <f t="shared" si="5"/>
        <v>1855.2500000000002</v>
      </c>
      <c r="O50" s="3387"/>
      <c r="P50" s="2941">
        <v>660.85</v>
      </c>
      <c r="Q50" s="3380"/>
      <c r="R50" s="3615">
        <f t="shared" si="6"/>
        <v>2516.1000000000004</v>
      </c>
      <c r="S50" s="3387"/>
      <c r="T50" s="2627">
        <v>717.5</v>
      </c>
      <c r="U50" s="3380"/>
      <c r="V50" s="3615">
        <f t="shared" si="7"/>
        <v>3233.6000000000004</v>
      </c>
      <c r="W50" s="3387"/>
      <c r="X50" s="2627">
        <v>604.75</v>
      </c>
      <c r="Y50" s="3384"/>
      <c r="Z50" s="4110">
        <f t="shared" si="8"/>
        <v>1983.1</v>
      </c>
      <c r="AA50" s="795"/>
      <c r="AB50" s="795">
        <f t="shared" si="9"/>
        <v>3838.3500000000004</v>
      </c>
      <c r="AC50" s="3387"/>
      <c r="AD50" s="2627">
        <f>838.45-6.15</f>
        <v>832.30000000000007</v>
      </c>
      <c r="AE50" s="3615"/>
      <c r="AF50" s="3615">
        <f t="shared" si="10"/>
        <v>4670.6500000000005</v>
      </c>
      <c r="AG50" s="3387"/>
      <c r="AH50" s="2627">
        <v>801.55000000000007</v>
      </c>
      <c r="AI50" s="3615"/>
      <c r="AJ50" s="3615">
        <f t="shared" si="11"/>
        <v>5472.2000000000007</v>
      </c>
      <c r="AK50" s="3387"/>
      <c r="AL50" s="2627">
        <v>1170.55</v>
      </c>
      <c r="AM50" s="4110"/>
      <c r="AN50" s="4110">
        <f t="shared" si="12"/>
        <v>2804.4</v>
      </c>
      <c r="AO50" s="3615"/>
      <c r="AP50" s="3615">
        <f t="shared" si="13"/>
        <v>6642.7500000000009</v>
      </c>
      <c r="AQ50" s="3387"/>
      <c r="AR50" s="2627">
        <v>680.6</v>
      </c>
      <c r="AS50" s="3615"/>
      <c r="AT50" s="3615">
        <f t="shared" si="14"/>
        <v>7323.3500000000013</v>
      </c>
      <c r="AU50" s="3387"/>
      <c r="AV50" s="2627">
        <f>1008.6-30.75-20.5</f>
        <v>957.35</v>
      </c>
      <c r="AW50" s="3615"/>
      <c r="AX50" s="3615">
        <f t="shared" si="15"/>
        <v>8280.7000000000007</v>
      </c>
      <c r="AY50" s="3387"/>
      <c r="AZ50" s="2627">
        <f>977.85-4.1</f>
        <v>973.75</v>
      </c>
      <c r="BA50" s="4110"/>
      <c r="BB50" s="4110">
        <f t="shared" si="16"/>
        <v>2611.6999999999998</v>
      </c>
      <c r="BC50" s="795"/>
      <c r="BD50" s="795">
        <f t="shared" si="17"/>
        <v>5416.1</v>
      </c>
      <c r="BE50" s="3615"/>
      <c r="BF50" s="3615">
        <f t="shared" si="18"/>
        <v>9254.4500000000007</v>
      </c>
      <c r="BG50" s="26"/>
      <c r="BH50" s="26"/>
      <c r="BI50" s="26"/>
      <c r="BJ50" s="26"/>
    </row>
    <row r="51" spans="2:62" s="3389" customFormat="1" ht="15.75" x14ac:dyDescent="0.25">
      <c r="B51" s="1049" t="s">
        <v>901</v>
      </c>
      <c r="C51" s="1393" t="s">
        <v>1017</v>
      </c>
      <c r="D51" s="62" t="s">
        <v>52</v>
      </c>
      <c r="E51" s="3387"/>
      <c r="F51" s="2941"/>
      <c r="G51" s="3387"/>
      <c r="H51" s="2941"/>
      <c r="I51" s="3380"/>
      <c r="J51" s="3615">
        <f t="shared" si="4"/>
        <v>0</v>
      </c>
      <c r="K51" s="3387"/>
      <c r="L51" s="2941"/>
      <c r="M51" s="3379"/>
      <c r="N51" s="5255">
        <f t="shared" si="5"/>
        <v>0</v>
      </c>
      <c r="O51" s="3387"/>
      <c r="P51" s="2941">
        <v>200.9</v>
      </c>
      <c r="Q51" s="3380"/>
      <c r="R51" s="3615">
        <f t="shared" si="6"/>
        <v>200.9</v>
      </c>
      <c r="S51" s="3387"/>
      <c r="T51" s="2627">
        <v>0</v>
      </c>
      <c r="U51" s="3380"/>
      <c r="V51" s="3615">
        <f t="shared" si="7"/>
        <v>200.9</v>
      </c>
      <c r="W51" s="3387"/>
      <c r="X51" s="2627"/>
      <c r="Y51" s="3384"/>
      <c r="Z51" s="4110">
        <f t="shared" si="8"/>
        <v>200.9</v>
      </c>
      <c r="AA51" s="795"/>
      <c r="AB51" s="795">
        <f t="shared" si="9"/>
        <v>200.9</v>
      </c>
      <c r="AC51" s="3387"/>
      <c r="AD51" s="2627"/>
      <c r="AE51" s="3615"/>
      <c r="AF51" s="3615">
        <f t="shared" si="10"/>
        <v>200.9</v>
      </c>
      <c r="AG51" s="3387"/>
      <c r="AH51" s="2627"/>
      <c r="AI51" s="3615"/>
      <c r="AJ51" s="3615">
        <f t="shared" si="11"/>
        <v>200.9</v>
      </c>
      <c r="AK51" s="3387"/>
      <c r="AL51" s="2627"/>
      <c r="AM51" s="4110"/>
      <c r="AN51" s="4110">
        <f t="shared" si="12"/>
        <v>0</v>
      </c>
      <c r="AO51" s="3615"/>
      <c r="AP51" s="3615">
        <f t="shared" si="13"/>
        <v>200.9</v>
      </c>
      <c r="AQ51" s="3387"/>
      <c r="AR51" s="2627"/>
      <c r="AS51" s="3615"/>
      <c r="AT51" s="3615">
        <f t="shared" si="14"/>
        <v>200.9</v>
      </c>
      <c r="AU51" s="3387"/>
      <c r="AV51" s="2627"/>
      <c r="AW51" s="3615"/>
      <c r="AX51" s="3615">
        <f t="shared" si="15"/>
        <v>200.9</v>
      </c>
      <c r="AY51" s="3387"/>
      <c r="AZ51" s="2627"/>
      <c r="BA51" s="4110"/>
      <c r="BB51" s="4110">
        <f t="shared" si="16"/>
        <v>0</v>
      </c>
      <c r="BC51" s="795"/>
      <c r="BD51" s="795">
        <f t="shared" si="17"/>
        <v>0</v>
      </c>
      <c r="BE51" s="3615"/>
      <c r="BF51" s="3615">
        <f t="shared" si="18"/>
        <v>200.9</v>
      </c>
      <c r="BG51" s="26"/>
      <c r="BH51" s="26"/>
      <c r="BI51" s="26"/>
      <c r="BJ51" s="26"/>
    </row>
    <row r="52" spans="2:62" s="3389" customFormat="1" ht="15.75" x14ac:dyDescent="0.25">
      <c r="B52" s="1049" t="s">
        <v>901</v>
      </c>
      <c r="C52" s="1393" t="s">
        <v>1019</v>
      </c>
      <c r="D52" s="62" t="s">
        <v>52</v>
      </c>
      <c r="E52" s="5123"/>
      <c r="F52" s="4702"/>
      <c r="G52" s="5123"/>
      <c r="H52" s="4702"/>
      <c r="I52" s="4704"/>
      <c r="J52" s="3615">
        <f t="shared" si="4"/>
        <v>0</v>
      </c>
      <c r="K52" s="5123"/>
      <c r="L52" s="4702"/>
      <c r="M52" s="4706"/>
      <c r="N52" s="5255">
        <f t="shared" si="5"/>
        <v>0</v>
      </c>
      <c r="O52" s="5123"/>
      <c r="P52" s="4702"/>
      <c r="Q52" s="4704"/>
      <c r="R52" s="3615">
        <f t="shared" si="6"/>
        <v>0</v>
      </c>
      <c r="S52" s="5123"/>
      <c r="T52" s="4708"/>
      <c r="U52" s="4704"/>
      <c r="V52" s="3615">
        <f t="shared" si="7"/>
        <v>0</v>
      </c>
      <c r="W52" s="5123"/>
      <c r="X52" s="4708"/>
      <c r="Y52" s="4709"/>
      <c r="Z52" s="4110">
        <f t="shared" si="8"/>
        <v>0</v>
      </c>
      <c r="AA52" s="795"/>
      <c r="AB52" s="795">
        <f t="shared" si="9"/>
        <v>0</v>
      </c>
      <c r="AC52" s="5123"/>
      <c r="AD52" s="4708"/>
      <c r="AE52" s="4704"/>
      <c r="AF52" s="3615">
        <f t="shared" si="10"/>
        <v>0</v>
      </c>
      <c r="AG52" s="5123"/>
      <c r="AH52" s="4708"/>
      <c r="AI52" s="4704"/>
      <c r="AJ52" s="3615">
        <f t="shared" si="11"/>
        <v>0</v>
      </c>
      <c r="AK52" s="5123"/>
      <c r="AL52" s="4708"/>
      <c r="AM52" s="4709"/>
      <c r="AN52" s="4110">
        <f t="shared" si="12"/>
        <v>0</v>
      </c>
      <c r="AO52" s="3615"/>
      <c r="AP52" s="3615">
        <f t="shared" si="13"/>
        <v>0</v>
      </c>
      <c r="AQ52" s="5123"/>
      <c r="AR52" s="4708"/>
      <c r="AS52" s="4704"/>
      <c r="AT52" s="3615">
        <f t="shared" si="14"/>
        <v>0</v>
      </c>
      <c r="AU52" s="5123"/>
      <c r="AV52" s="4708"/>
      <c r="AW52" s="4704"/>
      <c r="AX52" s="3615">
        <f t="shared" si="15"/>
        <v>0</v>
      </c>
      <c r="AY52" s="5123"/>
      <c r="AZ52" s="4708">
        <v>102.5</v>
      </c>
      <c r="BA52" s="4709"/>
      <c r="BB52" s="4110">
        <f t="shared" si="16"/>
        <v>102.5</v>
      </c>
      <c r="BC52" s="795"/>
      <c r="BD52" s="795">
        <f t="shared" si="17"/>
        <v>102.5</v>
      </c>
      <c r="BE52" s="3615"/>
      <c r="BF52" s="3615">
        <f t="shared" si="18"/>
        <v>102.5</v>
      </c>
      <c r="BG52" s="26"/>
      <c r="BH52" s="26"/>
      <c r="BI52" s="26"/>
      <c r="BJ52" s="26"/>
    </row>
    <row r="53" spans="2:62" s="3389" customFormat="1" ht="15.75" x14ac:dyDescent="0.25">
      <c r="B53" s="1049" t="s">
        <v>901</v>
      </c>
      <c r="C53" s="1393" t="s">
        <v>1195</v>
      </c>
      <c r="D53" s="62" t="s">
        <v>52</v>
      </c>
      <c r="E53" s="3387"/>
      <c r="F53" s="2941">
        <v>51.25</v>
      </c>
      <c r="G53" s="3387"/>
      <c r="H53" s="2941">
        <v>86.1</v>
      </c>
      <c r="I53" s="3380"/>
      <c r="J53" s="3615">
        <f t="shared" si="4"/>
        <v>137.35</v>
      </c>
      <c r="K53" s="3387"/>
      <c r="L53" s="2941">
        <v>53.3</v>
      </c>
      <c r="M53" s="3379"/>
      <c r="N53" s="5255">
        <f t="shared" si="5"/>
        <v>190.64999999999998</v>
      </c>
      <c r="O53" s="3387"/>
      <c r="P53" s="2941">
        <v>111.05</v>
      </c>
      <c r="Q53" s="3380"/>
      <c r="R53" s="3615">
        <f t="shared" si="6"/>
        <v>301.7</v>
      </c>
      <c r="S53" s="3387"/>
      <c r="T53" s="2627">
        <v>2.0499999999999998</v>
      </c>
      <c r="U53" s="3380"/>
      <c r="V53" s="3615">
        <f t="shared" si="7"/>
        <v>303.75</v>
      </c>
      <c r="W53" s="3387"/>
      <c r="X53" s="2627">
        <v>47.15</v>
      </c>
      <c r="Y53" s="3384"/>
      <c r="Z53" s="4110">
        <f t="shared" si="8"/>
        <v>160.25</v>
      </c>
      <c r="AA53" s="795"/>
      <c r="AB53" s="795">
        <f t="shared" si="9"/>
        <v>350.9</v>
      </c>
      <c r="AC53" s="3387"/>
      <c r="AD53" s="2627">
        <v>250.1</v>
      </c>
      <c r="AE53" s="3615"/>
      <c r="AF53" s="3615">
        <f t="shared" si="10"/>
        <v>601</v>
      </c>
      <c r="AG53" s="3387"/>
      <c r="AH53" s="2627">
        <v>67.650000000000006</v>
      </c>
      <c r="AI53" s="3615"/>
      <c r="AJ53" s="3615">
        <f t="shared" si="11"/>
        <v>668.65</v>
      </c>
      <c r="AK53" s="3387"/>
      <c r="AL53" s="2627">
        <v>14.35</v>
      </c>
      <c r="AM53" s="4110"/>
      <c r="AN53" s="4110">
        <f t="shared" si="12"/>
        <v>332.1</v>
      </c>
      <c r="AO53" s="3615"/>
      <c r="AP53" s="3615">
        <f t="shared" si="13"/>
        <v>683</v>
      </c>
      <c r="AQ53" s="3387"/>
      <c r="AR53" s="2627">
        <v>75.849999999999994</v>
      </c>
      <c r="AS53" s="3615"/>
      <c r="AT53" s="3615">
        <f t="shared" si="14"/>
        <v>758.85</v>
      </c>
      <c r="AU53" s="3387"/>
      <c r="AV53" s="2627">
        <v>196.8</v>
      </c>
      <c r="AW53" s="3615"/>
      <c r="AX53" s="3615">
        <f t="shared" si="15"/>
        <v>955.65000000000009</v>
      </c>
      <c r="AY53" s="3387"/>
      <c r="AZ53" s="2627">
        <v>600.65</v>
      </c>
      <c r="BA53" s="4110"/>
      <c r="BB53" s="4110">
        <f t="shared" si="16"/>
        <v>873.3</v>
      </c>
      <c r="BC53" s="795"/>
      <c r="BD53" s="795">
        <f t="shared" si="17"/>
        <v>1205.4000000000001</v>
      </c>
      <c r="BE53" s="3615"/>
      <c r="BF53" s="3615">
        <f t="shared" si="18"/>
        <v>1556.3000000000002</v>
      </c>
      <c r="BG53" s="26"/>
      <c r="BH53" s="26"/>
      <c r="BI53" s="26"/>
      <c r="BJ53" s="26"/>
    </row>
    <row r="54" spans="2:62" s="3389" customFormat="1" ht="15.75" x14ac:dyDescent="0.25">
      <c r="B54" s="1049" t="s">
        <v>901</v>
      </c>
      <c r="C54" s="1393" t="s">
        <v>1022</v>
      </c>
      <c r="D54" s="62" t="s">
        <v>52</v>
      </c>
      <c r="E54" s="3387"/>
      <c r="F54" s="2941"/>
      <c r="G54" s="3387"/>
      <c r="H54" s="2941"/>
      <c r="I54" s="3615"/>
      <c r="J54" s="3615">
        <f t="shared" si="4"/>
        <v>0</v>
      </c>
      <c r="K54" s="3387"/>
      <c r="L54" s="2941"/>
      <c r="M54" s="4209"/>
      <c r="N54" s="5255">
        <f t="shared" si="5"/>
        <v>0</v>
      </c>
      <c r="O54" s="3387"/>
      <c r="P54" s="2941"/>
      <c r="Q54" s="3615"/>
      <c r="R54" s="3615">
        <f t="shared" si="6"/>
        <v>0</v>
      </c>
      <c r="S54" s="3387"/>
      <c r="T54" s="2627"/>
      <c r="U54" s="3615"/>
      <c r="V54" s="3615">
        <f t="shared" si="7"/>
        <v>0</v>
      </c>
      <c r="W54" s="3387"/>
      <c r="X54" s="2627"/>
      <c r="Y54" s="4110"/>
      <c r="Z54" s="4110">
        <f t="shared" si="8"/>
        <v>0</v>
      </c>
      <c r="AA54" s="795"/>
      <c r="AB54" s="795">
        <f t="shared" si="9"/>
        <v>0</v>
      </c>
      <c r="AC54" s="3387"/>
      <c r="AD54" s="2627"/>
      <c r="AE54" s="3615"/>
      <c r="AF54" s="3615">
        <f t="shared" si="10"/>
        <v>0</v>
      </c>
      <c r="AG54" s="3387"/>
      <c r="AH54" s="2627">
        <v>65.599999999999994</v>
      </c>
      <c r="AI54" s="3615"/>
      <c r="AJ54" s="3615">
        <f t="shared" si="11"/>
        <v>65.599999999999994</v>
      </c>
      <c r="AK54" s="3387"/>
      <c r="AL54" s="2627"/>
      <c r="AM54" s="4110"/>
      <c r="AN54" s="4110">
        <f t="shared" si="12"/>
        <v>65.599999999999994</v>
      </c>
      <c r="AO54" s="3615"/>
      <c r="AP54" s="3615">
        <f t="shared" si="13"/>
        <v>65.599999999999994</v>
      </c>
      <c r="AQ54" s="3387"/>
      <c r="AR54" s="2627"/>
      <c r="AS54" s="3615"/>
      <c r="AT54" s="3615">
        <f t="shared" si="14"/>
        <v>65.599999999999994</v>
      </c>
      <c r="AU54" s="3387"/>
      <c r="AV54" s="2627"/>
      <c r="AW54" s="3615"/>
      <c r="AX54" s="3615">
        <f t="shared" si="15"/>
        <v>65.599999999999994</v>
      </c>
      <c r="AY54" s="3387"/>
      <c r="AZ54" s="2627"/>
      <c r="BA54" s="4110"/>
      <c r="BB54" s="4110">
        <f t="shared" si="16"/>
        <v>0</v>
      </c>
      <c r="BC54" s="795"/>
      <c r="BD54" s="795">
        <f t="shared" si="17"/>
        <v>65.599999999999994</v>
      </c>
      <c r="BE54" s="3615"/>
      <c r="BF54" s="3615">
        <f t="shared" si="18"/>
        <v>65.599999999999994</v>
      </c>
      <c r="BG54" s="26"/>
      <c r="BH54" s="26"/>
      <c r="BI54" s="26"/>
      <c r="BJ54" s="26"/>
    </row>
    <row r="55" spans="2:62" s="3389" customFormat="1" ht="15.75" x14ac:dyDescent="0.25">
      <c r="B55" s="1049" t="s">
        <v>901</v>
      </c>
      <c r="C55" s="1393" t="s">
        <v>1196</v>
      </c>
      <c r="D55" s="62" t="s">
        <v>52</v>
      </c>
      <c r="E55" s="3387"/>
      <c r="F55" s="2941">
        <f>3259.5-53.3-8.2</f>
        <v>3198</v>
      </c>
      <c r="G55" s="3387"/>
      <c r="H55" s="2941">
        <f>3036.05-86.1-2.05</f>
        <v>2947.9</v>
      </c>
      <c r="I55" s="3380"/>
      <c r="J55" s="3615">
        <f t="shared" si="4"/>
        <v>6145.9</v>
      </c>
      <c r="K55" s="3387"/>
      <c r="L55" s="2941">
        <f>4579.1-53.3-26.05+5.55</f>
        <v>4505.3</v>
      </c>
      <c r="M55" s="3379"/>
      <c r="N55" s="5255">
        <f t="shared" si="5"/>
        <v>10651.2</v>
      </c>
      <c r="O55" s="3387"/>
      <c r="P55" s="2941">
        <f>5151.39-111.05-4.1</f>
        <v>5036.24</v>
      </c>
      <c r="Q55" s="3380"/>
      <c r="R55" s="3615">
        <f t="shared" si="6"/>
        <v>15687.44</v>
      </c>
      <c r="S55" s="3387"/>
      <c r="T55" s="2627">
        <v>8546.450000000008</v>
      </c>
      <c r="U55" s="3380"/>
      <c r="V55" s="3615">
        <f t="shared" si="7"/>
        <v>24233.890000000007</v>
      </c>
      <c r="W55" s="3387"/>
      <c r="X55" s="2627">
        <f>11661.425-47.15-2.05</f>
        <v>11612.225</v>
      </c>
      <c r="Y55" s="3384"/>
      <c r="Z55" s="4110">
        <f t="shared" si="8"/>
        <v>25194.915000000008</v>
      </c>
      <c r="AA55" s="795"/>
      <c r="AB55" s="795">
        <f t="shared" si="9"/>
        <v>35846.115000000005</v>
      </c>
      <c r="AC55" s="3387"/>
      <c r="AD55" s="2627">
        <f>11387.75-250.1-45.1</f>
        <v>11092.55</v>
      </c>
      <c r="AE55" s="3615"/>
      <c r="AF55" s="3615">
        <f t="shared" si="10"/>
        <v>46938.665000000008</v>
      </c>
      <c r="AG55" s="3387"/>
      <c r="AH55" s="2627">
        <f>5276.7-67.65</f>
        <v>5209.05</v>
      </c>
      <c r="AI55" s="3615"/>
      <c r="AJ55" s="3615">
        <f t="shared" si="11"/>
        <v>52147.715000000011</v>
      </c>
      <c r="AK55" s="3387"/>
      <c r="AL55" s="2627">
        <f>4846.2-14.35-4.1</f>
        <v>4827.7499999999991</v>
      </c>
      <c r="AM55" s="4110"/>
      <c r="AN55" s="4110">
        <f t="shared" si="12"/>
        <v>21129.35</v>
      </c>
      <c r="AO55" s="3615"/>
      <c r="AP55" s="3615">
        <f t="shared" si="13"/>
        <v>56975.465000000011</v>
      </c>
      <c r="AQ55" s="3387"/>
      <c r="AR55" s="2627">
        <f>4948.7-102.5</f>
        <v>4846.2</v>
      </c>
      <c r="AS55" s="3615"/>
      <c r="AT55" s="3615">
        <f t="shared" si="14"/>
        <v>61821.665000000008</v>
      </c>
      <c r="AU55" s="3387"/>
      <c r="AV55" s="2627">
        <v>6713.7500000000027</v>
      </c>
      <c r="AW55" s="3615"/>
      <c r="AX55" s="3615">
        <f t="shared" si="15"/>
        <v>68535.415000000008</v>
      </c>
      <c r="AY55" s="3387"/>
      <c r="AZ55" s="2627">
        <f>12131.9-600.65</f>
        <v>11531.25</v>
      </c>
      <c r="BA55" s="4110"/>
      <c r="BB55" s="4110">
        <f t="shared" si="16"/>
        <v>23091.200000000004</v>
      </c>
      <c r="BC55" s="795"/>
      <c r="BD55" s="795">
        <f t="shared" si="17"/>
        <v>44220.55</v>
      </c>
      <c r="BE55" s="3615"/>
      <c r="BF55" s="3615">
        <f t="shared" si="18"/>
        <v>80066.665000000008</v>
      </c>
      <c r="BG55" s="26"/>
      <c r="BH55" s="26"/>
      <c r="BI55" s="26"/>
      <c r="BJ55" s="26"/>
    </row>
    <row r="56" spans="2:62" s="3389" customFormat="1" ht="15.75" x14ac:dyDescent="0.25">
      <c r="B56" s="1049" t="s">
        <v>901</v>
      </c>
      <c r="C56" s="1393" t="s">
        <v>995</v>
      </c>
      <c r="D56" s="62" t="s">
        <v>52</v>
      </c>
      <c r="E56" s="3387"/>
      <c r="F56" s="2941"/>
      <c r="G56" s="3387"/>
      <c r="H56" s="2941"/>
      <c r="I56" s="3380"/>
      <c r="J56" s="3615">
        <f t="shared" si="4"/>
        <v>0</v>
      </c>
      <c r="K56" s="3387"/>
      <c r="L56" s="2941"/>
      <c r="M56" s="3379"/>
      <c r="N56" s="5255">
        <f t="shared" si="5"/>
        <v>0</v>
      </c>
      <c r="O56" s="3387"/>
      <c r="P56" s="2941"/>
      <c r="Q56" s="3380"/>
      <c r="R56" s="3615">
        <f t="shared" si="6"/>
        <v>0</v>
      </c>
      <c r="S56" s="3387"/>
      <c r="T56" s="2627">
        <v>82</v>
      </c>
      <c r="U56" s="3380"/>
      <c r="V56" s="3615">
        <f t="shared" si="7"/>
        <v>82</v>
      </c>
      <c r="W56" s="3387"/>
      <c r="X56" s="2627"/>
      <c r="Y56" s="3384"/>
      <c r="Z56" s="4110">
        <f t="shared" si="8"/>
        <v>82</v>
      </c>
      <c r="AA56" s="795"/>
      <c r="AB56" s="795">
        <f t="shared" si="9"/>
        <v>82</v>
      </c>
      <c r="AC56" s="3387"/>
      <c r="AD56" s="2627"/>
      <c r="AE56" s="3615"/>
      <c r="AF56" s="3615">
        <f t="shared" si="10"/>
        <v>82</v>
      </c>
      <c r="AG56" s="3387"/>
      <c r="AH56" s="2627"/>
      <c r="AI56" s="3615"/>
      <c r="AJ56" s="3615">
        <f t="shared" si="11"/>
        <v>82</v>
      </c>
      <c r="AK56" s="3387"/>
      <c r="AL56" s="2627"/>
      <c r="AM56" s="4110"/>
      <c r="AN56" s="4110">
        <f t="shared" si="12"/>
        <v>0</v>
      </c>
      <c r="AO56" s="3615"/>
      <c r="AP56" s="3615">
        <f t="shared" si="13"/>
        <v>82</v>
      </c>
      <c r="AQ56" s="3387"/>
      <c r="AR56" s="2627"/>
      <c r="AS56" s="3615"/>
      <c r="AT56" s="3615">
        <f t="shared" si="14"/>
        <v>82</v>
      </c>
      <c r="AU56" s="3387"/>
      <c r="AV56" s="2627"/>
      <c r="AW56" s="3615"/>
      <c r="AX56" s="3615">
        <f t="shared" si="15"/>
        <v>82</v>
      </c>
      <c r="AY56" s="3387"/>
      <c r="AZ56" s="2627"/>
      <c r="BA56" s="4110"/>
      <c r="BB56" s="4110">
        <f t="shared" si="16"/>
        <v>0</v>
      </c>
      <c r="BC56" s="795"/>
      <c r="BD56" s="795">
        <f t="shared" si="17"/>
        <v>0</v>
      </c>
      <c r="BE56" s="3615"/>
      <c r="BF56" s="3615">
        <f t="shared" si="18"/>
        <v>82</v>
      </c>
      <c r="BG56" s="26"/>
      <c r="BH56" s="26"/>
      <c r="BI56" s="26"/>
      <c r="BJ56" s="26"/>
    </row>
    <row r="57" spans="2:62" s="183" customFormat="1" ht="15.75" x14ac:dyDescent="0.25">
      <c r="B57" s="1049" t="s">
        <v>54</v>
      </c>
      <c r="C57" s="1393" t="s">
        <v>1196</v>
      </c>
      <c r="D57" s="62" t="s">
        <v>52</v>
      </c>
      <c r="E57" s="1050"/>
      <c r="F57" s="1494">
        <f>1057.8-41</f>
        <v>1016.8</v>
      </c>
      <c r="G57" s="1050"/>
      <c r="H57" s="1494"/>
      <c r="I57" s="947"/>
      <c r="J57" s="3615">
        <f t="shared" si="4"/>
        <v>1016.8</v>
      </c>
      <c r="K57" s="1050"/>
      <c r="L57" s="1494"/>
      <c r="M57" s="946"/>
      <c r="N57" s="5255">
        <f t="shared" si="5"/>
        <v>1016.8</v>
      </c>
      <c r="O57" s="1050"/>
      <c r="P57" s="1494"/>
      <c r="Q57" s="947"/>
      <c r="R57" s="3615">
        <f t="shared" si="6"/>
        <v>1016.8</v>
      </c>
      <c r="S57" s="1050"/>
      <c r="T57" s="2627"/>
      <c r="U57" s="947"/>
      <c r="V57" s="3615">
        <f t="shared" si="7"/>
        <v>1016.8</v>
      </c>
      <c r="W57" s="1050"/>
      <c r="X57" s="2627"/>
      <c r="Y57" s="696"/>
      <c r="Z57" s="4110">
        <f t="shared" si="8"/>
        <v>0</v>
      </c>
      <c r="AA57" s="795"/>
      <c r="AB57" s="795">
        <f t="shared" si="9"/>
        <v>1016.8</v>
      </c>
      <c r="AC57" s="1050"/>
      <c r="AD57" s="2627"/>
      <c r="AE57" s="3615"/>
      <c r="AF57" s="3615">
        <f t="shared" si="10"/>
        <v>1016.8</v>
      </c>
      <c r="AG57" s="1050"/>
      <c r="AH57" s="2627">
        <v>1008.5999999999999</v>
      </c>
      <c r="AI57" s="3615"/>
      <c r="AJ57" s="3615">
        <f t="shared" si="11"/>
        <v>2025.3999999999999</v>
      </c>
      <c r="AK57" s="1050"/>
      <c r="AL57" s="2627"/>
      <c r="AM57" s="4110"/>
      <c r="AN57" s="4110">
        <f t="shared" si="12"/>
        <v>1008.5999999999999</v>
      </c>
      <c r="AO57" s="3615"/>
      <c r="AP57" s="3615">
        <f t="shared" si="13"/>
        <v>2025.3999999999999</v>
      </c>
      <c r="AQ57" s="1050"/>
      <c r="AR57" s="2627"/>
      <c r="AS57" s="3615"/>
      <c r="AT57" s="3615">
        <f t="shared" si="14"/>
        <v>2025.3999999999999</v>
      </c>
      <c r="AU57" s="1050"/>
      <c r="AV57" s="2627"/>
      <c r="AW57" s="3615"/>
      <c r="AX57" s="3615">
        <f t="shared" si="15"/>
        <v>2025.3999999999999</v>
      </c>
      <c r="AY57" s="1050"/>
      <c r="AZ57" s="2627"/>
      <c r="BA57" s="4110"/>
      <c r="BB57" s="4110">
        <f t="shared" si="16"/>
        <v>0</v>
      </c>
      <c r="BC57" s="795"/>
      <c r="BD57" s="795">
        <f t="shared" si="17"/>
        <v>1008.5999999999999</v>
      </c>
      <c r="BE57" s="3615"/>
      <c r="BF57" s="3615">
        <f t="shared" si="18"/>
        <v>2025.3999999999999</v>
      </c>
      <c r="BG57" s="26"/>
      <c r="BH57" s="26"/>
      <c r="BI57" s="26"/>
      <c r="BJ57" s="26"/>
    </row>
    <row r="58" spans="2:62" s="183" customFormat="1" ht="15.75" x14ac:dyDescent="0.25">
      <c r="B58" s="1049" t="s">
        <v>54</v>
      </c>
      <c r="C58" s="1393" t="s">
        <v>1018</v>
      </c>
      <c r="D58" s="62" t="s">
        <v>52</v>
      </c>
      <c r="E58" s="1050"/>
      <c r="F58" s="1494"/>
      <c r="G58" s="1050"/>
      <c r="H58" s="1494"/>
      <c r="I58" s="947"/>
      <c r="J58" s="3615">
        <f t="shared" si="4"/>
        <v>0</v>
      </c>
      <c r="K58" s="1050"/>
      <c r="L58" s="1494"/>
      <c r="M58" s="946"/>
      <c r="N58" s="5255">
        <f t="shared" si="5"/>
        <v>0</v>
      </c>
      <c r="O58" s="1050"/>
      <c r="P58" s="1494">
        <v>315.18000000000006</v>
      </c>
      <c r="Q58" s="947"/>
      <c r="R58" s="3615">
        <f t="shared" si="6"/>
        <v>315.18000000000006</v>
      </c>
      <c r="S58" s="1050"/>
      <c r="T58" s="2627"/>
      <c r="U58" s="947"/>
      <c r="V58" s="3615">
        <f t="shared" si="7"/>
        <v>315.18000000000006</v>
      </c>
      <c r="W58" s="1050"/>
      <c r="X58" s="2627"/>
      <c r="Y58" s="696"/>
      <c r="Z58" s="4110">
        <f t="shared" si="8"/>
        <v>315.18000000000006</v>
      </c>
      <c r="AA58" s="795"/>
      <c r="AB58" s="795">
        <f t="shared" si="9"/>
        <v>315.18000000000006</v>
      </c>
      <c r="AC58" s="1050"/>
      <c r="AD58" s="2627"/>
      <c r="AE58" s="3615"/>
      <c r="AF58" s="3615">
        <f t="shared" si="10"/>
        <v>315.18000000000006</v>
      </c>
      <c r="AG58" s="1050"/>
      <c r="AH58" s="2627"/>
      <c r="AI58" s="3615"/>
      <c r="AJ58" s="3615">
        <f t="shared" si="11"/>
        <v>315.18000000000006</v>
      </c>
      <c r="AK58" s="1050"/>
      <c r="AL58" s="2627"/>
      <c r="AM58" s="4110"/>
      <c r="AN58" s="4110">
        <f t="shared" si="12"/>
        <v>0</v>
      </c>
      <c r="AO58" s="3615"/>
      <c r="AP58" s="3615">
        <f t="shared" si="13"/>
        <v>315.18000000000006</v>
      </c>
      <c r="AQ58" s="1050"/>
      <c r="AR58" s="2627"/>
      <c r="AS58" s="3615"/>
      <c r="AT58" s="3615">
        <f t="shared" si="14"/>
        <v>315.18000000000006</v>
      </c>
      <c r="AU58" s="1050"/>
      <c r="AV58" s="2627"/>
      <c r="AW58" s="3615"/>
      <c r="AX58" s="3615">
        <f t="shared" si="15"/>
        <v>315.18000000000006</v>
      </c>
      <c r="AY58" s="1050"/>
      <c r="AZ58" s="2627"/>
      <c r="BA58" s="4110"/>
      <c r="BB58" s="4110">
        <f t="shared" si="16"/>
        <v>0</v>
      </c>
      <c r="BC58" s="795"/>
      <c r="BD58" s="795">
        <f t="shared" si="17"/>
        <v>0</v>
      </c>
      <c r="BE58" s="3615"/>
      <c r="BF58" s="3615">
        <f t="shared" si="18"/>
        <v>315.18000000000006</v>
      </c>
      <c r="BG58" s="26"/>
      <c r="BH58" s="26"/>
      <c r="BI58" s="26"/>
      <c r="BJ58" s="26"/>
    </row>
    <row r="59" spans="2:62" s="183" customFormat="1" ht="15.75" x14ac:dyDescent="0.25">
      <c r="B59" s="1049" t="s">
        <v>54</v>
      </c>
      <c r="C59" s="1393" t="s">
        <v>1189</v>
      </c>
      <c r="D59" s="62" t="s">
        <v>52</v>
      </c>
      <c r="E59" s="1050"/>
      <c r="F59" s="1494"/>
      <c r="G59" s="1050"/>
      <c r="H59" s="1494"/>
      <c r="I59" s="947"/>
      <c r="J59" s="3615">
        <f t="shared" si="4"/>
        <v>0</v>
      </c>
      <c r="K59" s="1050"/>
      <c r="L59" s="1494"/>
      <c r="M59" s="946"/>
      <c r="N59" s="5255">
        <f t="shared" si="5"/>
        <v>0</v>
      </c>
      <c r="O59" s="1050"/>
      <c r="P59" s="1494">
        <v>1613.0199999999993</v>
      </c>
      <c r="Q59" s="947"/>
      <c r="R59" s="3615">
        <f t="shared" si="6"/>
        <v>1613.0199999999993</v>
      </c>
      <c r="S59" s="1050"/>
      <c r="T59" s="2627"/>
      <c r="U59" s="947"/>
      <c r="V59" s="3615">
        <f t="shared" si="7"/>
        <v>1613.0199999999993</v>
      </c>
      <c r="W59" s="1050"/>
      <c r="X59" s="2627"/>
      <c r="Y59" s="696"/>
      <c r="Z59" s="4110">
        <f t="shared" si="8"/>
        <v>1613.0199999999993</v>
      </c>
      <c r="AA59" s="795"/>
      <c r="AB59" s="795">
        <f t="shared" si="9"/>
        <v>1613.0199999999993</v>
      </c>
      <c r="AC59" s="1050"/>
      <c r="AD59" s="2627"/>
      <c r="AE59" s="3615"/>
      <c r="AF59" s="3615">
        <f t="shared" si="10"/>
        <v>1613.0199999999993</v>
      </c>
      <c r="AG59" s="1050"/>
      <c r="AH59" s="2627">
        <v>424.35000000000008</v>
      </c>
      <c r="AI59" s="3615"/>
      <c r="AJ59" s="3615">
        <f t="shared" si="11"/>
        <v>2037.3699999999994</v>
      </c>
      <c r="AK59" s="1050"/>
      <c r="AL59" s="2627"/>
      <c r="AM59" s="4110"/>
      <c r="AN59" s="4110">
        <f t="shared" si="12"/>
        <v>424.35000000000008</v>
      </c>
      <c r="AO59" s="3615"/>
      <c r="AP59" s="3615">
        <f t="shared" si="13"/>
        <v>2037.3699999999994</v>
      </c>
      <c r="AQ59" s="1050"/>
      <c r="AR59" s="2627"/>
      <c r="AS59" s="3615"/>
      <c r="AT59" s="3615">
        <f t="shared" si="14"/>
        <v>2037.3699999999994</v>
      </c>
      <c r="AU59" s="1050"/>
      <c r="AV59" s="2627"/>
      <c r="AW59" s="3615"/>
      <c r="AX59" s="3615">
        <f t="shared" si="15"/>
        <v>2037.3699999999994</v>
      </c>
      <c r="AY59" s="1050"/>
      <c r="AZ59" s="2627"/>
      <c r="BA59" s="4110"/>
      <c r="BB59" s="4110">
        <f t="shared" si="16"/>
        <v>0</v>
      </c>
      <c r="BC59" s="795"/>
      <c r="BD59" s="795">
        <f t="shared" si="17"/>
        <v>424.35000000000008</v>
      </c>
      <c r="BE59" s="3615"/>
      <c r="BF59" s="3615">
        <f t="shared" si="18"/>
        <v>2037.3699999999994</v>
      </c>
      <c r="BG59" s="26"/>
      <c r="BH59" s="26"/>
      <c r="BI59" s="26"/>
      <c r="BJ59" s="26"/>
    </row>
    <row r="60" spans="2:62" s="183" customFormat="1" ht="15.75" x14ac:dyDescent="0.25">
      <c r="B60" s="1049" t="s">
        <v>54</v>
      </c>
      <c r="C60" s="1393" t="s">
        <v>1023</v>
      </c>
      <c r="D60" s="62" t="s">
        <v>52</v>
      </c>
      <c r="E60" s="1050"/>
      <c r="F60" s="1494">
        <v>98.4</v>
      </c>
      <c r="G60" s="1050"/>
      <c r="H60" s="1494"/>
      <c r="I60" s="947"/>
      <c r="J60" s="3615">
        <f t="shared" si="4"/>
        <v>98.4</v>
      </c>
      <c r="K60" s="1050"/>
      <c r="L60" s="1494"/>
      <c r="M60" s="946"/>
      <c r="N60" s="5255">
        <f t="shared" si="5"/>
        <v>98.4</v>
      </c>
      <c r="O60" s="1050"/>
      <c r="P60" s="1494">
        <v>1573.8399999999997</v>
      </c>
      <c r="Q60" s="947"/>
      <c r="R60" s="3615">
        <f t="shared" si="6"/>
        <v>1672.2399999999998</v>
      </c>
      <c r="S60" s="1050"/>
      <c r="T60" s="2627"/>
      <c r="U60" s="947"/>
      <c r="V60" s="3615">
        <f t="shared" si="7"/>
        <v>1672.2399999999998</v>
      </c>
      <c r="W60" s="1050"/>
      <c r="X60" s="2627"/>
      <c r="Y60" s="696"/>
      <c r="Z60" s="4110">
        <f t="shared" si="8"/>
        <v>1573.8399999999997</v>
      </c>
      <c r="AA60" s="795"/>
      <c r="AB60" s="795">
        <f t="shared" si="9"/>
        <v>1672.2399999999998</v>
      </c>
      <c r="AC60" s="1050"/>
      <c r="AD60" s="2627"/>
      <c r="AE60" s="3615"/>
      <c r="AF60" s="3615">
        <f t="shared" si="10"/>
        <v>1672.2399999999998</v>
      </c>
      <c r="AG60" s="1050"/>
      <c r="AH60" s="2627">
        <v>250.10000000000002</v>
      </c>
      <c r="AI60" s="3615"/>
      <c r="AJ60" s="3615">
        <f t="shared" si="11"/>
        <v>1922.3399999999997</v>
      </c>
      <c r="AK60" s="1050"/>
      <c r="AL60" s="2627"/>
      <c r="AM60" s="4110"/>
      <c r="AN60" s="4110">
        <f t="shared" si="12"/>
        <v>250.10000000000002</v>
      </c>
      <c r="AO60" s="3615"/>
      <c r="AP60" s="3615">
        <f t="shared" si="13"/>
        <v>1922.3399999999997</v>
      </c>
      <c r="AQ60" s="1050"/>
      <c r="AR60" s="2627"/>
      <c r="AS60" s="3615"/>
      <c r="AT60" s="3615">
        <f t="shared" si="14"/>
        <v>1922.3399999999997</v>
      </c>
      <c r="AU60" s="1050"/>
      <c r="AV60" s="2627"/>
      <c r="AW60" s="3615"/>
      <c r="AX60" s="3615">
        <f t="shared" si="15"/>
        <v>1922.3399999999997</v>
      </c>
      <c r="AY60" s="1050"/>
      <c r="AZ60" s="2627"/>
      <c r="BA60" s="4110"/>
      <c r="BB60" s="4110">
        <f t="shared" si="16"/>
        <v>0</v>
      </c>
      <c r="BC60" s="795"/>
      <c r="BD60" s="795">
        <f t="shared" si="17"/>
        <v>250.10000000000002</v>
      </c>
      <c r="BE60" s="3615"/>
      <c r="BF60" s="3615">
        <f t="shared" si="18"/>
        <v>1922.3399999999997</v>
      </c>
      <c r="BG60" s="26"/>
      <c r="BH60" s="26"/>
      <c r="BI60" s="26"/>
      <c r="BJ60" s="26"/>
    </row>
    <row r="61" spans="2:62" s="183" customFormat="1" ht="15.75" x14ac:dyDescent="0.25">
      <c r="B61" s="1049" t="s">
        <v>54</v>
      </c>
      <c r="C61" s="1393" t="s">
        <v>1624</v>
      </c>
      <c r="D61" s="62" t="s">
        <v>52</v>
      </c>
      <c r="E61" s="2440"/>
      <c r="F61" s="1494"/>
      <c r="G61" s="2440"/>
      <c r="H61" s="1494"/>
      <c r="I61" s="947"/>
      <c r="J61" s="3615">
        <f t="shared" si="4"/>
        <v>0</v>
      </c>
      <c r="K61" s="2440"/>
      <c r="L61" s="1494"/>
      <c r="M61" s="946"/>
      <c r="N61" s="5255">
        <f t="shared" si="5"/>
        <v>0</v>
      </c>
      <c r="O61" s="2440"/>
      <c r="P61" s="1494">
        <f>146.26-20.5</f>
        <v>125.75999999999999</v>
      </c>
      <c r="Q61" s="947"/>
      <c r="R61" s="3615">
        <f t="shared" si="6"/>
        <v>125.75999999999999</v>
      </c>
      <c r="S61" s="1050"/>
      <c r="T61" s="2627"/>
      <c r="U61" s="947"/>
      <c r="V61" s="3615">
        <f t="shared" si="7"/>
        <v>125.75999999999999</v>
      </c>
      <c r="W61" s="1050"/>
      <c r="X61" s="2627"/>
      <c r="Y61" s="696"/>
      <c r="Z61" s="4110">
        <f t="shared" si="8"/>
        <v>125.75999999999999</v>
      </c>
      <c r="AA61" s="795"/>
      <c r="AB61" s="795">
        <f t="shared" si="9"/>
        <v>125.75999999999999</v>
      </c>
      <c r="AC61" s="1050"/>
      <c r="AD61" s="2627"/>
      <c r="AE61" s="3615"/>
      <c r="AF61" s="3615">
        <f t="shared" si="10"/>
        <v>125.75999999999999</v>
      </c>
      <c r="AG61" s="1050"/>
      <c r="AH61" s="2627">
        <v>498.15</v>
      </c>
      <c r="AI61" s="3615"/>
      <c r="AJ61" s="3615">
        <f t="shared" si="11"/>
        <v>623.91</v>
      </c>
      <c r="AK61" s="1050"/>
      <c r="AL61" s="2627"/>
      <c r="AM61" s="4110"/>
      <c r="AN61" s="4110">
        <f t="shared" si="12"/>
        <v>498.15</v>
      </c>
      <c r="AO61" s="3615"/>
      <c r="AP61" s="3615">
        <f t="shared" si="13"/>
        <v>623.91</v>
      </c>
      <c r="AQ61" s="1050"/>
      <c r="AR61" s="2627"/>
      <c r="AS61" s="3615"/>
      <c r="AT61" s="3615">
        <f t="shared" si="14"/>
        <v>623.91</v>
      </c>
      <c r="AU61" s="1050"/>
      <c r="AV61" s="2627"/>
      <c r="AW61" s="3615"/>
      <c r="AX61" s="3615">
        <f t="shared" si="15"/>
        <v>623.91</v>
      </c>
      <c r="AY61" s="1050"/>
      <c r="AZ61" s="2627"/>
      <c r="BA61" s="4110"/>
      <c r="BB61" s="4110">
        <f t="shared" si="16"/>
        <v>0</v>
      </c>
      <c r="BC61" s="795"/>
      <c r="BD61" s="795">
        <f t="shared" si="17"/>
        <v>498.15</v>
      </c>
      <c r="BE61" s="3615"/>
      <c r="BF61" s="3615">
        <f t="shared" si="18"/>
        <v>623.91</v>
      </c>
      <c r="BG61" s="26"/>
      <c r="BH61" s="26"/>
      <c r="BI61" s="26"/>
      <c r="BJ61" s="26"/>
    </row>
    <row r="62" spans="2:62" ht="15.75" x14ac:dyDescent="0.25">
      <c r="B62" s="1049" t="s">
        <v>899</v>
      </c>
      <c r="C62" s="1393" t="s">
        <v>1189</v>
      </c>
      <c r="D62" s="62" t="s">
        <v>52</v>
      </c>
      <c r="E62" s="1052"/>
      <c r="F62" s="1494"/>
      <c r="G62" s="1052"/>
      <c r="H62" s="1494"/>
      <c r="I62" s="1051"/>
      <c r="J62" s="3615">
        <f t="shared" si="4"/>
        <v>0</v>
      </c>
      <c r="K62" s="1052"/>
      <c r="L62" s="1494"/>
      <c r="M62" s="1111"/>
      <c r="N62" s="5255">
        <f t="shared" si="5"/>
        <v>0</v>
      </c>
      <c r="O62" s="1052"/>
      <c r="P62" s="1494">
        <f>1229.82-4.1</f>
        <v>1225.72</v>
      </c>
      <c r="Q62" s="1051"/>
      <c r="R62" s="3615">
        <f t="shared" si="6"/>
        <v>1225.72</v>
      </c>
      <c r="S62" s="1053"/>
      <c r="T62" s="2627">
        <v>1510.8499999999997</v>
      </c>
      <c r="U62" s="1051"/>
      <c r="V62" s="3615">
        <f t="shared" si="7"/>
        <v>2736.5699999999997</v>
      </c>
      <c r="W62" s="1053"/>
      <c r="X62" s="2627"/>
      <c r="Y62" s="696"/>
      <c r="Z62" s="4110">
        <f t="shared" si="8"/>
        <v>2736.5699999999997</v>
      </c>
      <c r="AA62" s="795"/>
      <c r="AB62" s="795">
        <f t="shared" si="9"/>
        <v>2736.5699999999997</v>
      </c>
      <c r="AC62" s="1053"/>
      <c r="AD62" s="2627"/>
      <c r="AE62" s="1051"/>
      <c r="AF62" s="3615">
        <f t="shared" si="10"/>
        <v>2736.5699999999997</v>
      </c>
      <c r="AG62" s="1053"/>
      <c r="AH62" s="2627">
        <v>307.5</v>
      </c>
      <c r="AI62" s="1051"/>
      <c r="AJ62" s="3615">
        <f t="shared" si="11"/>
        <v>3044.0699999999997</v>
      </c>
      <c r="AK62" s="1053"/>
      <c r="AL62" s="2627"/>
      <c r="AM62" s="4110"/>
      <c r="AN62" s="4110">
        <f t="shared" si="12"/>
        <v>307.5</v>
      </c>
      <c r="AO62" s="3615"/>
      <c r="AP62" s="3615">
        <f t="shared" si="13"/>
        <v>3044.0699999999997</v>
      </c>
      <c r="AQ62" s="1053"/>
      <c r="AR62" s="2627">
        <v>1318.1499999999999</v>
      </c>
      <c r="AS62" s="1051"/>
      <c r="AT62" s="3615">
        <f t="shared" si="14"/>
        <v>4362.2199999999993</v>
      </c>
      <c r="AU62" s="1053"/>
      <c r="AV62" s="2627">
        <v>791.30000000000007</v>
      </c>
      <c r="AW62" s="1051"/>
      <c r="AX62" s="3615">
        <f t="shared" si="15"/>
        <v>5153.5199999999995</v>
      </c>
      <c r="AY62" s="1053"/>
      <c r="AZ62" s="2627"/>
      <c r="BA62" s="4110"/>
      <c r="BB62" s="4110">
        <f t="shared" si="16"/>
        <v>2109.4499999999998</v>
      </c>
      <c r="BC62" s="795"/>
      <c r="BD62" s="795">
        <f t="shared" si="17"/>
        <v>2416.9499999999998</v>
      </c>
      <c r="BE62" s="3615"/>
      <c r="BF62" s="3615">
        <f t="shared" si="18"/>
        <v>5153.5199999999995</v>
      </c>
      <c r="BG62" s="26"/>
      <c r="BH62" s="26"/>
      <c r="BI62" s="26"/>
      <c r="BJ62" s="26"/>
    </row>
    <row r="63" spans="2:62" ht="15.75" x14ac:dyDescent="0.25">
      <c r="B63" s="1049" t="s">
        <v>899</v>
      </c>
      <c r="C63" s="1393" t="s">
        <v>1023</v>
      </c>
      <c r="D63" s="62" t="s">
        <v>52</v>
      </c>
      <c r="E63" s="1052"/>
      <c r="F63" s="1494">
        <v>49.2</v>
      </c>
      <c r="G63" s="1052"/>
      <c r="H63" s="1494"/>
      <c r="I63" s="1051"/>
      <c r="J63" s="3615">
        <f t="shared" si="4"/>
        <v>49.2</v>
      </c>
      <c r="K63" s="1052"/>
      <c r="L63" s="1494"/>
      <c r="M63" s="1111"/>
      <c r="N63" s="5255">
        <f t="shared" si="5"/>
        <v>49.2</v>
      </c>
      <c r="O63" s="1052"/>
      <c r="P63" s="1494">
        <v>1227.76</v>
      </c>
      <c r="Q63" s="1051"/>
      <c r="R63" s="3615">
        <f t="shared" si="6"/>
        <v>1276.96</v>
      </c>
      <c r="S63" s="1053"/>
      <c r="T63" s="2627">
        <v>1500.6000000000004</v>
      </c>
      <c r="U63" s="1051"/>
      <c r="V63" s="3615">
        <f t="shared" si="7"/>
        <v>2777.5600000000004</v>
      </c>
      <c r="W63" s="1053"/>
      <c r="X63" s="2627"/>
      <c r="Y63" s="696"/>
      <c r="Z63" s="4110">
        <f t="shared" si="8"/>
        <v>2728.3600000000006</v>
      </c>
      <c r="AA63" s="795"/>
      <c r="AB63" s="795">
        <f t="shared" si="9"/>
        <v>2777.5600000000004</v>
      </c>
      <c r="AC63" s="1053"/>
      <c r="AD63" s="2627"/>
      <c r="AE63" s="1051"/>
      <c r="AF63" s="3615">
        <f t="shared" si="10"/>
        <v>2777.5600000000004</v>
      </c>
      <c r="AG63" s="1053"/>
      <c r="AH63" s="2627">
        <f>1732.25-96.35</f>
        <v>1635.9</v>
      </c>
      <c r="AI63" s="1051"/>
      <c r="AJ63" s="3615">
        <f t="shared" si="11"/>
        <v>4413.4600000000009</v>
      </c>
      <c r="AK63" s="1053"/>
      <c r="AL63" s="2627"/>
      <c r="AM63" s="4110"/>
      <c r="AN63" s="4110">
        <f t="shared" si="12"/>
        <v>1635.9</v>
      </c>
      <c r="AO63" s="3615"/>
      <c r="AP63" s="3615">
        <f t="shared" si="13"/>
        <v>4413.4600000000009</v>
      </c>
      <c r="AQ63" s="1053"/>
      <c r="AR63" s="2627">
        <f>1225.9-12.3</f>
        <v>1213.6000000000001</v>
      </c>
      <c r="AS63" s="1051"/>
      <c r="AT63" s="3615">
        <f t="shared" si="14"/>
        <v>5627.0600000000013</v>
      </c>
      <c r="AU63" s="1053"/>
      <c r="AV63" s="2627">
        <f>1014.75</f>
        <v>1014.75</v>
      </c>
      <c r="AW63" s="1051"/>
      <c r="AX63" s="3615">
        <f t="shared" si="15"/>
        <v>6641.8100000000013</v>
      </c>
      <c r="AY63" s="1053"/>
      <c r="AZ63" s="2627"/>
      <c r="BA63" s="4110"/>
      <c r="BB63" s="4110">
        <f t="shared" si="16"/>
        <v>2228.3500000000004</v>
      </c>
      <c r="BC63" s="795"/>
      <c r="BD63" s="795">
        <f t="shared" si="17"/>
        <v>3864.2500000000005</v>
      </c>
      <c r="BE63" s="3615"/>
      <c r="BF63" s="3615">
        <f t="shared" si="18"/>
        <v>6641.8100000000013</v>
      </c>
      <c r="BG63" s="26"/>
      <c r="BH63" s="26"/>
      <c r="BI63" s="26"/>
      <c r="BJ63" s="26"/>
    </row>
    <row r="64" spans="2:62" ht="15.75" x14ac:dyDescent="0.25">
      <c r="B64" s="1049" t="s">
        <v>899</v>
      </c>
      <c r="C64" s="1393" t="s">
        <v>995</v>
      </c>
      <c r="D64" s="62" t="s">
        <v>52</v>
      </c>
      <c r="E64" s="1052"/>
      <c r="F64" s="1494"/>
      <c r="G64" s="1052"/>
      <c r="H64" s="1494"/>
      <c r="I64" s="1051"/>
      <c r="J64" s="3615">
        <f t="shared" si="4"/>
        <v>0</v>
      </c>
      <c r="K64" s="1052"/>
      <c r="L64" s="1494"/>
      <c r="M64" s="1111"/>
      <c r="N64" s="5255">
        <f t="shared" si="5"/>
        <v>0</v>
      </c>
      <c r="O64" s="1052"/>
      <c r="P64" s="1494">
        <v>107.11999999999999</v>
      </c>
      <c r="Q64" s="1051"/>
      <c r="R64" s="3615">
        <f t="shared" si="6"/>
        <v>107.11999999999999</v>
      </c>
      <c r="S64" s="1053"/>
      <c r="T64" s="2627">
        <v>549.4</v>
      </c>
      <c r="U64" s="1051"/>
      <c r="V64" s="3615">
        <f t="shared" si="7"/>
        <v>656.52</v>
      </c>
      <c r="W64" s="1053"/>
      <c r="X64" s="2627"/>
      <c r="Y64" s="696"/>
      <c r="Z64" s="4110">
        <f t="shared" si="8"/>
        <v>656.52</v>
      </c>
      <c r="AA64" s="795"/>
      <c r="AB64" s="795">
        <f t="shared" si="9"/>
        <v>656.52</v>
      </c>
      <c r="AC64" s="1053"/>
      <c r="AD64" s="2627"/>
      <c r="AE64" s="1051"/>
      <c r="AF64" s="3615">
        <f t="shared" si="10"/>
        <v>656.52</v>
      </c>
      <c r="AG64" s="1053"/>
      <c r="AH64" s="2627">
        <v>309.55</v>
      </c>
      <c r="AI64" s="1051"/>
      <c r="AJ64" s="3615">
        <f t="shared" si="11"/>
        <v>966.06999999999994</v>
      </c>
      <c r="AK64" s="1053"/>
      <c r="AL64" s="2627"/>
      <c r="AM64" s="4110"/>
      <c r="AN64" s="4110">
        <f t="shared" si="12"/>
        <v>309.55</v>
      </c>
      <c r="AO64" s="3615"/>
      <c r="AP64" s="3615">
        <f t="shared" si="13"/>
        <v>966.06999999999994</v>
      </c>
      <c r="AQ64" s="1053"/>
      <c r="AR64" s="2627"/>
      <c r="AS64" s="1051"/>
      <c r="AT64" s="3615">
        <f t="shared" si="14"/>
        <v>966.06999999999994</v>
      </c>
      <c r="AU64" s="1053"/>
      <c r="AV64" s="2627"/>
      <c r="AW64" s="1051"/>
      <c r="AX64" s="3615">
        <f t="shared" si="15"/>
        <v>966.06999999999994</v>
      </c>
      <c r="AY64" s="1053"/>
      <c r="AZ64" s="2627"/>
      <c r="BA64" s="4110"/>
      <c r="BB64" s="4110">
        <f t="shared" si="16"/>
        <v>0</v>
      </c>
      <c r="BC64" s="795"/>
      <c r="BD64" s="795">
        <f t="shared" si="17"/>
        <v>309.55</v>
      </c>
      <c r="BE64" s="3615"/>
      <c r="BF64" s="3615">
        <f t="shared" si="18"/>
        <v>966.06999999999994</v>
      </c>
      <c r="BG64" s="26"/>
      <c r="BH64" s="26"/>
      <c r="BI64" s="26"/>
      <c r="BJ64" s="26"/>
    </row>
    <row r="65" spans="2:62" ht="15.75" x14ac:dyDescent="0.25">
      <c r="B65" s="1049" t="s">
        <v>899</v>
      </c>
      <c r="C65" s="1393" t="s">
        <v>1624</v>
      </c>
      <c r="D65" s="62" t="s">
        <v>52</v>
      </c>
      <c r="E65" s="1052"/>
      <c r="F65" s="1494"/>
      <c r="G65" s="1052"/>
      <c r="H65" s="1494"/>
      <c r="I65" s="1051"/>
      <c r="J65" s="3615">
        <f t="shared" si="4"/>
        <v>0</v>
      </c>
      <c r="K65" s="1052"/>
      <c r="L65" s="1494"/>
      <c r="M65" s="1111"/>
      <c r="N65" s="5255">
        <f t="shared" si="5"/>
        <v>0</v>
      </c>
      <c r="O65" s="1052"/>
      <c r="P65" s="1494">
        <v>90.64</v>
      </c>
      <c r="Q65" s="1051"/>
      <c r="R65" s="3615">
        <f t="shared" si="6"/>
        <v>90.64</v>
      </c>
      <c r="S65" s="1053"/>
      <c r="T65" s="2627">
        <v>533</v>
      </c>
      <c r="U65" s="1051"/>
      <c r="V65" s="3615">
        <f t="shared" si="7"/>
        <v>623.64</v>
      </c>
      <c r="W65" s="1053"/>
      <c r="X65" s="2627"/>
      <c r="Y65" s="696"/>
      <c r="Z65" s="4110">
        <f t="shared" si="8"/>
        <v>623.64</v>
      </c>
      <c r="AA65" s="795"/>
      <c r="AB65" s="795">
        <f t="shared" si="9"/>
        <v>623.64</v>
      </c>
      <c r="AC65" s="1053"/>
      <c r="AD65" s="2627"/>
      <c r="AE65" s="1051"/>
      <c r="AF65" s="3615">
        <f t="shared" si="10"/>
        <v>623.64</v>
      </c>
      <c r="AG65" s="1053"/>
      <c r="AH65" s="2627">
        <f>360.8-16.4</f>
        <v>344.40000000000003</v>
      </c>
      <c r="AI65" s="1051"/>
      <c r="AJ65" s="3615">
        <f t="shared" si="11"/>
        <v>968.04</v>
      </c>
      <c r="AK65" s="1053"/>
      <c r="AL65" s="2627"/>
      <c r="AM65" s="4110"/>
      <c r="AN65" s="4110">
        <f t="shared" si="12"/>
        <v>344.40000000000003</v>
      </c>
      <c r="AO65" s="3615"/>
      <c r="AP65" s="3615">
        <f t="shared" si="13"/>
        <v>968.04</v>
      </c>
      <c r="AQ65" s="1053"/>
      <c r="AR65" s="2627"/>
      <c r="AS65" s="1051"/>
      <c r="AT65" s="3615">
        <f t="shared" si="14"/>
        <v>968.04</v>
      </c>
      <c r="AU65" s="1053"/>
      <c r="AV65" s="2627">
        <v>86.1</v>
      </c>
      <c r="AW65" s="1051"/>
      <c r="AX65" s="3615">
        <f t="shared" si="15"/>
        <v>1054.1399999999999</v>
      </c>
      <c r="AY65" s="1053"/>
      <c r="AZ65" s="2627"/>
      <c r="BA65" s="4110"/>
      <c r="BB65" s="4110">
        <f t="shared" si="16"/>
        <v>86.1</v>
      </c>
      <c r="BC65" s="795"/>
      <c r="BD65" s="795">
        <f t="shared" si="17"/>
        <v>430.5</v>
      </c>
      <c r="BE65" s="3615"/>
      <c r="BF65" s="3615">
        <f t="shared" si="18"/>
        <v>1054.1399999999999</v>
      </c>
      <c r="BG65" s="26"/>
      <c r="BH65" s="26"/>
      <c r="BI65" s="26"/>
      <c r="BJ65" s="26"/>
    </row>
    <row r="66" spans="2:62" ht="15.75" x14ac:dyDescent="0.25">
      <c r="B66" s="1049" t="s">
        <v>899</v>
      </c>
      <c r="C66" s="1393" t="s">
        <v>1694</v>
      </c>
      <c r="D66" s="62" t="s">
        <v>52</v>
      </c>
      <c r="E66" s="1052"/>
      <c r="F66" s="1494"/>
      <c r="G66" s="1052"/>
      <c r="H66" s="1494"/>
      <c r="I66" s="1051"/>
      <c r="J66" s="3615">
        <f t="shared" si="4"/>
        <v>0</v>
      </c>
      <c r="K66" s="1052"/>
      <c r="L66" s="1494"/>
      <c r="M66" s="1111"/>
      <c r="N66" s="5255">
        <f t="shared" si="5"/>
        <v>0</v>
      </c>
      <c r="O66" s="1052"/>
      <c r="P66" s="1494">
        <v>148.32</v>
      </c>
      <c r="Q66" s="1051"/>
      <c r="R66" s="3615">
        <f t="shared" si="6"/>
        <v>148.32</v>
      </c>
      <c r="S66" s="1053"/>
      <c r="T66" s="2627">
        <v>0</v>
      </c>
      <c r="U66" s="1051"/>
      <c r="V66" s="3615">
        <f t="shared" si="7"/>
        <v>148.32</v>
      </c>
      <c r="W66" s="1053"/>
      <c r="X66" s="2627"/>
      <c r="Y66" s="696"/>
      <c r="Z66" s="4110">
        <f t="shared" si="8"/>
        <v>148.32</v>
      </c>
      <c r="AA66" s="795"/>
      <c r="AB66" s="795">
        <f t="shared" si="9"/>
        <v>148.32</v>
      </c>
      <c r="AC66" s="1053"/>
      <c r="AD66" s="2627"/>
      <c r="AE66" s="1051"/>
      <c r="AF66" s="3615">
        <f t="shared" si="10"/>
        <v>148.32</v>
      </c>
      <c r="AG66" s="1053"/>
      <c r="AH66" s="2627"/>
      <c r="AI66" s="1051"/>
      <c r="AJ66" s="3615">
        <f t="shared" si="11"/>
        <v>148.32</v>
      </c>
      <c r="AK66" s="1053"/>
      <c r="AL66" s="2627"/>
      <c r="AM66" s="4110"/>
      <c r="AN66" s="4110">
        <f t="shared" si="12"/>
        <v>0</v>
      </c>
      <c r="AO66" s="3615"/>
      <c r="AP66" s="3615">
        <f t="shared" si="13"/>
        <v>148.32</v>
      </c>
      <c r="AQ66" s="1053"/>
      <c r="AR66" s="2627"/>
      <c r="AS66" s="1051"/>
      <c r="AT66" s="3615">
        <f t="shared" si="14"/>
        <v>148.32</v>
      </c>
      <c r="AU66" s="1053"/>
      <c r="AV66" s="2627"/>
      <c r="AW66" s="1051"/>
      <c r="AX66" s="3615">
        <f t="shared" si="15"/>
        <v>148.32</v>
      </c>
      <c r="AY66" s="1053"/>
      <c r="AZ66" s="2627"/>
      <c r="BA66" s="4110"/>
      <c r="BB66" s="4110">
        <f t="shared" si="16"/>
        <v>0</v>
      </c>
      <c r="BC66" s="795"/>
      <c r="BD66" s="795">
        <f t="shared" si="17"/>
        <v>0</v>
      </c>
      <c r="BE66" s="3615"/>
      <c r="BF66" s="3615">
        <f t="shared" si="18"/>
        <v>148.32</v>
      </c>
      <c r="BG66" s="26"/>
      <c r="BH66" s="26"/>
      <c r="BI66" s="26"/>
      <c r="BJ66" s="26"/>
    </row>
    <row r="67" spans="2:62" ht="15.75" x14ac:dyDescent="0.25">
      <c r="B67" s="1049" t="s">
        <v>899</v>
      </c>
      <c r="C67" s="1393" t="s">
        <v>1626</v>
      </c>
      <c r="D67" s="62" t="s">
        <v>52</v>
      </c>
      <c r="E67" s="1052"/>
      <c r="F67" s="1494"/>
      <c r="G67" s="1052"/>
      <c r="H67" s="1494"/>
      <c r="I67" s="1051"/>
      <c r="J67" s="3615">
        <f t="shared" si="4"/>
        <v>0</v>
      </c>
      <c r="K67" s="1052"/>
      <c r="L67" s="1494"/>
      <c r="M67" s="1111"/>
      <c r="N67" s="5255">
        <f t="shared" si="5"/>
        <v>0</v>
      </c>
      <c r="O67" s="1052"/>
      <c r="P67" s="1494">
        <v>146.26000000000002</v>
      </c>
      <c r="Q67" s="1051"/>
      <c r="R67" s="3615">
        <f t="shared" si="6"/>
        <v>146.26000000000002</v>
      </c>
      <c r="S67" s="1053"/>
      <c r="T67" s="2627">
        <v>506.35</v>
      </c>
      <c r="U67" s="1051"/>
      <c r="V67" s="3615">
        <f t="shared" si="7"/>
        <v>652.61</v>
      </c>
      <c r="W67" s="1053"/>
      <c r="X67" s="2627"/>
      <c r="Y67" s="696"/>
      <c r="Z67" s="4110">
        <f t="shared" si="8"/>
        <v>652.61</v>
      </c>
      <c r="AA67" s="795"/>
      <c r="AB67" s="795">
        <f t="shared" si="9"/>
        <v>652.61</v>
      </c>
      <c r="AC67" s="1053"/>
      <c r="AD67" s="2627"/>
      <c r="AE67" s="1051"/>
      <c r="AF67" s="3615">
        <f t="shared" si="10"/>
        <v>652.61</v>
      </c>
      <c r="AG67" s="1053"/>
      <c r="AH67" s="2627">
        <f>727.75-2.05</f>
        <v>725.7</v>
      </c>
      <c r="AI67" s="1051"/>
      <c r="AJ67" s="3615">
        <f t="shared" si="11"/>
        <v>1378.31</v>
      </c>
      <c r="AK67" s="1053"/>
      <c r="AL67" s="2627"/>
      <c r="AM67" s="4110"/>
      <c r="AN67" s="4110">
        <f t="shared" si="12"/>
        <v>725.7</v>
      </c>
      <c r="AO67" s="3615"/>
      <c r="AP67" s="3615">
        <f t="shared" si="13"/>
        <v>1378.31</v>
      </c>
      <c r="AQ67" s="1053"/>
      <c r="AR67" s="2627"/>
      <c r="AS67" s="1051"/>
      <c r="AT67" s="3615">
        <f t="shared" si="14"/>
        <v>1378.31</v>
      </c>
      <c r="AU67" s="1053"/>
      <c r="AV67" s="2627"/>
      <c r="AW67" s="1051"/>
      <c r="AX67" s="3615">
        <f t="shared" si="15"/>
        <v>1378.31</v>
      </c>
      <c r="AY67" s="1053"/>
      <c r="AZ67" s="2627"/>
      <c r="BA67" s="4110"/>
      <c r="BB67" s="4110">
        <f t="shared" si="16"/>
        <v>0</v>
      </c>
      <c r="BC67" s="795"/>
      <c r="BD67" s="795">
        <f t="shared" si="17"/>
        <v>725.7</v>
      </c>
      <c r="BE67" s="3615"/>
      <c r="BF67" s="3615">
        <f t="shared" si="18"/>
        <v>1378.31</v>
      </c>
      <c r="BG67" s="26"/>
      <c r="BH67" s="26"/>
      <c r="BI67" s="26"/>
      <c r="BJ67" s="26"/>
    </row>
    <row r="68" spans="2:62" ht="15.75" x14ac:dyDescent="0.25">
      <c r="B68" s="1049" t="s">
        <v>1094</v>
      </c>
      <c r="C68" s="1393" t="s">
        <v>1189</v>
      </c>
      <c r="D68" s="62" t="s">
        <v>52</v>
      </c>
      <c r="E68" s="1052"/>
      <c r="F68" s="1494"/>
      <c r="G68" s="1052"/>
      <c r="H68" s="1494"/>
      <c r="I68" s="1051"/>
      <c r="J68" s="3615">
        <f t="shared" si="4"/>
        <v>0</v>
      </c>
      <c r="K68" s="1052"/>
      <c r="L68" s="1494">
        <f>1379.65-45.4</f>
        <v>1334.25</v>
      </c>
      <c r="M68" s="1111"/>
      <c r="N68" s="5255">
        <f t="shared" si="5"/>
        <v>1334.25</v>
      </c>
      <c r="O68" s="1052"/>
      <c r="P68" s="1494"/>
      <c r="Q68" s="1051"/>
      <c r="R68" s="3615">
        <f t="shared" si="6"/>
        <v>1334.25</v>
      </c>
      <c r="S68" s="1053"/>
      <c r="T68" s="2627">
        <v>2439.5</v>
      </c>
      <c r="U68" s="1051"/>
      <c r="V68" s="3615">
        <f t="shared" si="7"/>
        <v>3773.75</v>
      </c>
      <c r="W68" s="1053"/>
      <c r="X68" s="2627"/>
      <c r="Y68" s="696"/>
      <c r="Z68" s="4110">
        <f t="shared" si="8"/>
        <v>2439.5</v>
      </c>
      <c r="AA68" s="795"/>
      <c r="AB68" s="795">
        <f t="shared" si="9"/>
        <v>3773.75</v>
      </c>
      <c r="AC68" s="1053"/>
      <c r="AD68" s="2627">
        <v>2.0499999999999998</v>
      </c>
      <c r="AE68" s="1051"/>
      <c r="AF68" s="3615">
        <f t="shared" si="10"/>
        <v>3775.8</v>
      </c>
      <c r="AG68" s="1053"/>
      <c r="AH68" s="2627">
        <v>1004.5</v>
      </c>
      <c r="AI68" s="1051"/>
      <c r="AJ68" s="3615">
        <f t="shared" si="11"/>
        <v>4780.3</v>
      </c>
      <c r="AK68" s="1053"/>
      <c r="AL68" s="2627">
        <f>512.5-41</f>
        <v>471.5</v>
      </c>
      <c r="AM68" s="4110"/>
      <c r="AN68" s="4110">
        <f t="shared" si="12"/>
        <v>1478.05</v>
      </c>
      <c r="AO68" s="3615"/>
      <c r="AP68" s="3615">
        <f t="shared" si="13"/>
        <v>5251.8</v>
      </c>
      <c r="AQ68" s="1053"/>
      <c r="AR68" s="2627">
        <v>524.79999999999995</v>
      </c>
      <c r="AS68" s="1051"/>
      <c r="AT68" s="3615">
        <f t="shared" si="14"/>
        <v>5776.6</v>
      </c>
      <c r="AU68" s="1053"/>
      <c r="AV68" s="2627">
        <v>248.05</v>
      </c>
      <c r="AW68" s="1051"/>
      <c r="AX68" s="3615">
        <f t="shared" si="15"/>
        <v>6024.6500000000005</v>
      </c>
      <c r="AY68" s="1053"/>
      <c r="AZ68" s="2627"/>
      <c r="BA68" s="4110"/>
      <c r="BB68" s="4110">
        <f t="shared" si="16"/>
        <v>772.84999999999991</v>
      </c>
      <c r="BC68" s="795"/>
      <c r="BD68" s="795">
        <f t="shared" si="17"/>
        <v>2250.8999999999996</v>
      </c>
      <c r="BE68" s="3615"/>
      <c r="BF68" s="3615">
        <f t="shared" si="18"/>
        <v>6024.6500000000005</v>
      </c>
      <c r="BG68" s="26"/>
      <c r="BH68" s="26"/>
      <c r="BI68" s="26"/>
      <c r="BJ68" s="26"/>
    </row>
    <row r="69" spans="2:62" ht="15.75" x14ac:dyDescent="0.25">
      <c r="B69" s="1049" t="s">
        <v>898</v>
      </c>
      <c r="C69" s="1393" t="s">
        <v>1023</v>
      </c>
      <c r="D69" s="62" t="s">
        <v>52</v>
      </c>
      <c r="E69" s="1052"/>
      <c r="F69" s="1494"/>
      <c r="G69" s="1052"/>
      <c r="H69" s="1494">
        <f>239.85-106.6</f>
        <v>133.25</v>
      </c>
      <c r="I69" s="1051"/>
      <c r="J69" s="3615">
        <f t="shared" si="4"/>
        <v>133.25</v>
      </c>
      <c r="K69" s="1052"/>
      <c r="L69" s="1494">
        <f>3259.5-41</f>
        <v>3218.5</v>
      </c>
      <c r="M69" s="1111"/>
      <c r="N69" s="5255">
        <f t="shared" si="5"/>
        <v>3351.75</v>
      </c>
      <c r="O69" s="1052"/>
      <c r="P69" s="1494"/>
      <c r="Q69" s="1051"/>
      <c r="R69" s="3615">
        <f t="shared" si="6"/>
        <v>3351.75</v>
      </c>
      <c r="S69" s="1053"/>
      <c r="T69" s="2627">
        <v>2726.4999999999995</v>
      </c>
      <c r="U69" s="1051"/>
      <c r="V69" s="3615">
        <f t="shared" si="7"/>
        <v>6078.25</v>
      </c>
      <c r="W69" s="1053"/>
      <c r="X69" s="2627"/>
      <c r="Y69" s="696"/>
      <c r="Z69" s="4110">
        <f t="shared" si="8"/>
        <v>2726.4999999999995</v>
      </c>
      <c r="AA69" s="795"/>
      <c r="AB69" s="795">
        <f t="shared" si="9"/>
        <v>6078.25</v>
      </c>
      <c r="AC69" s="1053"/>
      <c r="AD69" s="2627"/>
      <c r="AE69" s="1051"/>
      <c r="AF69" s="3615">
        <f t="shared" si="10"/>
        <v>6078.25</v>
      </c>
      <c r="AG69" s="1053"/>
      <c r="AH69" s="2627">
        <f>2259.1-20.5</f>
        <v>2238.6</v>
      </c>
      <c r="AI69" s="1051"/>
      <c r="AJ69" s="3615">
        <f t="shared" si="11"/>
        <v>8316.85</v>
      </c>
      <c r="AK69" s="1053"/>
      <c r="AL69" s="2627">
        <f>1539.55-12.3</f>
        <v>1527.25</v>
      </c>
      <c r="AM69" s="4110"/>
      <c r="AN69" s="4110">
        <f t="shared" si="12"/>
        <v>3765.85</v>
      </c>
      <c r="AO69" s="3615"/>
      <c r="AP69" s="3615">
        <f t="shared" si="13"/>
        <v>9844.1</v>
      </c>
      <c r="AQ69" s="1053"/>
      <c r="AR69" s="2627">
        <f>524.8-22.55</f>
        <v>502.24999999999994</v>
      </c>
      <c r="AS69" s="1051"/>
      <c r="AT69" s="3615">
        <f t="shared" si="14"/>
        <v>10346.35</v>
      </c>
      <c r="AU69" s="1053"/>
      <c r="AV69" s="2627">
        <f>912.25-2.05</f>
        <v>910.2</v>
      </c>
      <c r="AW69" s="1051"/>
      <c r="AX69" s="3615">
        <f t="shared" si="15"/>
        <v>11256.550000000001</v>
      </c>
      <c r="AY69" s="1053"/>
      <c r="AZ69" s="2627"/>
      <c r="BA69" s="4110"/>
      <c r="BB69" s="4110">
        <f t="shared" si="16"/>
        <v>1412.45</v>
      </c>
      <c r="BC69" s="795"/>
      <c r="BD69" s="795">
        <f t="shared" si="17"/>
        <v>5178.3</v>
      </c>
      <c r="BE69" s="3615"/>
      <c r="BF69" s="3615">
        <f t="shared" si="18"/>
        <v>11256.550000000001</v>
      </c>
      <c r="BG69" s="26"/>
      <c r="BH69" s="26"/>
      <c r="BI69" s="26"/>
      <c r="BJ69" s="26"/>
    </row>
    <row r="70" spans="2:62" ht="15" customHeight="1" x14ac:dyDescent="0.25">
      <c r="B70" s="1049" t="s">
        <v>1094</v>
      </c>
      <c r="C70" s="1393" t="s">
        <v>1624</v>
      </c>
      <c r="D70" s="62" t="s">
        <v>52</v>
      </c>
      <c r="E70" s="1052"/>
      <c r="F70" s="1494"/>
      <c r="G70" s="1052"/>
      <c r="H70" s="1494"/>
      <c r="I70" s="1051"/>
      <c r="J70" s="3615">
        <f t="shared" si="4"/>
        <v>0</v>
      </c>
      <c r="K70" s="1052"/>
      <c r="L70" s="1494">
        <v>94.3</v>
      </c>
      <c r="M70" s="1111"/>
      <c r="N70" s="5255">
        <f t="shared" si="5"/>
        <v>94.3</v>
      </c>
      <c r="O70" s="1052"/>
      <c r="P70" s="1494"/>
      <c r="Q70" s="1051"/>
      <c r="R70" s="3615">
        <f t="shared" si="6"/>
        <v>94.3</v>
      </c>
      <c r="S70" s="1053"/>
      <c r="T70" s="2627">
        <v>504.3</v>
      </c>
      <c r="U70" s="1051"/>
      <c r="V70" s="3615">
        <f t="shared" si="7"/>
        <v>598.6</v>
      </c>
      <c r="W70" s="1053"/>
      <c r="X70" s="2627"/>
      <c r="Y70" s="696"/>
      <c r="Z70" s="4110">
        <f t="shared" si="8"/>
        <v>504.3</v>
      </c>
      <c r="AA70" s="795"/>
      <c r="AB70" s="795">
        <f t="shared" si="9"/>
        <v>598.6</v>
      </c>
      <c r="AC70" s="1053"/>
      <c r="AD70" s="2627"/>
      <c r="AE70" s="1051"/>
      <c r="AF70" s="3615">
        <f t="shared" si="10"/>
        <v>598.6</v>
      </c>
      <c r="AG70" s="1053"/>
      <c r="AH70" s="2627">
        <v>385.4</v>
      </c>
      <c r="AI70" s="1051"/>
      <c r="AJ70" s="3615">
        <f t="shared" si="11"/>
        <v>984</v>
      </c>
      <c r="AK70" s="1053"/>
      <c r="AL70" s="2627">
        <v>379.24999999999994</v>
      </c>
      <c r="AM70" s="4110"/>
      <c r="AN70" s="4110">
        <f t="shared" si="12"/>
        <v>764.64999999999986</v>
      </c>
      <c r="AO70" s="3615"/>
      <c r="AP70" s="3615">
        <f t="shared" si="13"/>
        <v>1363.25</v>
      </c>
      <c r="AQ70" s="1053"/>
      <c r="AR70" s="2627"/>
      <c r="AS70" s="1051"/>
      <c r="AT70" s="3615">
        <f t="shared" si="14"/>
        <v>1363.25</v>
      </c>
      <c r="AU70" s="1053"/>
      <c r="AV70" s="2627"/>
      <c r="AW70" s="1051"/>
      <c r="AX70" s="3615">
        <f t="shared" si="15"/>
        <v>1363.25</v>
      </c>
      <c r="AY70" s="1053"/>
      <c r="AZ70" s="2627"/>
      <c r="BA70" s="4110"/>
      <c r="BB70" s="4110">
        <f t="shared" si="16"/>
        <v>0</v>
      </c>
      <c r="BC70" s="795"/>
      <c r="BD70" s="795">
        <f t="shared" si="17"/>
        <v>764.64999999999986</v>
      </c>
      <c r="BE70" s="3615"/>
      <c r="BF70" s="3615">
        <f t="shared" si="18"/>
        <v>1363.25</v>
      </c>
      <c r="BG70" s="26"/>
      <c r="BH70" s="26"/>
      <c r="BI70" s="26"/>
      <c r="BJ70" s="26"/>
    </row>
    <row r="71" spans="2:62" s="2632" customFormat="1" ht="15" customHeight="1" x14ac:dyDescent="0.25">
      <c r="B71" s="1049" t="s">
        <v>1094</v>
      </c>
      <c r="C71" s="1393" t="s">
        <v>1626</v>
      </c>
      <c r="D71" s="62" t="s">
        <v>52</v>
      </c>
      <c r="E71" s="1052"/>
      <c r="F71" s="2631"/>
      <c r="G71" s="1052"/>
      <c r="H71" s="2631"/>
      <c r="I71" s="1051"/>
      <c r="J71" s="3615">
        <f t="shared" si="4"/>
        <v>0</v>
      </c>
      <c r="K71" s="1052"/>
      <c r="L71" s="2631"/>
      <c r="M71" s="1111"/>
      <c r="N71" s="5255">
        <f t="shared" si="5"/>
        <v>0</v>
      </c>
      <c r="O71" s="1052"/>
      <c r="P71" s="2631"/>
      <c r="Q71" s="1051"/>
      <c r="R71" s="3615">
        <f t="shared" si="6"/>
        <v>0</v>
      </c>
      <c r="S71" s="1053"/>
      <c r="T71" s="2627">
        <v>518.65</v>
      </c>
      <c r="U71" s="1051"/>
      <c r="V71" s="3615">
        <f t="shared" si="7"/>
        <v>518.65</v>
      </c>
      <c r="W71" s="1053"/>
      <c r="X71" s="2627"/>
      <c r="Y71" s="2633"/>
      <c r="Z71" s="4110">
        <f t="shared" si="8"/>
        <v>518.65</v>
      </c>
      <c r="AA71" s="795"/>
      <c r="AB71" s="795">
        <f t="shared" si="9"/>
        <v>518.65</v>
      </c>
      <c r="AC71" s="1053"/>
      <c r="AD71" s="2627"/>
      <c r="AE71" s="1051"/>
      <c r="AF71" s="3615">
        <f t="shared" si="10"/>
        <v>518.65</v>
      </c>
      <c r="AG71" s="1053"/>
      <c r="AH71" s="2627"/>
      <c r="AI71" s="1051"/>
      <c r="AJ71" s="3615">
        <f t="shared" si="11"/>
        <v>518.65</v>
      </c>
      <c r="AK71" s="1053"/>
      <c r="AL71" s="2627"/>
      <c r="AM71" s="4110"/>
      <c r="AN71" s="4110">
        <f t="shared" si="12"/>
        <v>0</v>
      </c>
      <c r="AO71" s="3615"/>
      <c r="AP71" s="3615">
        <f t="shared" si="13"/>
        <v>518.65</v>
      </c>
      <c r="AQ71" s="1053"/>
      <c r="AR71" s="2627">
        <v>705.19999999999993</v>
      </c>
      <c r="AS71" s="1051"/>
      <c r="AT71" s="3615">
        <f t="shared" si="14"/>
        <v>1223.8499999999999</v>
      </c>
      <c r="AU71" s="1053"/>
      <c r="AV71" s="2627"/>
      <c r="AW71" s="1051"/>
      <c r="AX71" s="3615">
        <f t="shared" si="15"/>
        <v>1223.8499999999999</v>
      </c>
      <c r="AY71" s="1053"/>
      <c r="AZ71" s="2627"/>
      <c r="BA71" s="4110"/>
      <c r="BB71" s="4110">
        <f t="shared" si="16"/>
        <v>705.19999999999993</v>
      </c>
      <c r="BC71" s="795"/>
      <c r="BD71" s="795">
        <f t="shared" si="17"/>
        <v>705.19999999999993</v>
      </c>
      <c r="BE71" s="3615"/>
      <c r="BF71" s="3615">
        <f t="shared" si="18"/>
        <v>1223.8499999999999</v>
      </c>
      <c r="BG71" s="26"/>
      <c r="BH71" s="26"/>
      <c r="BI71" s="26"/>
      <c r="BJ71" s="26"/>
    </row>
    <row r="72" spans="2:62" ht="15" customHeight="1" x14ac:dyDescent="0.25">
      <c r="B72" s="1049" t="s">
        <v>909</v>
      </c>
      <c r="C72" s="1393" t="s">
        <v>939</v>
      </c>
      <c r="D72" s="62" t="s">
        <v>52</v>
      </c>
      <c r="E72" s="1052"/>
      <c r="F72" s="1494">
        <v>200.9</v>
      </c>
      <c r="G72" s="1052"/>
      <c r="H72" s="1494"/>
      <c r="I72" s="1051"/>
      <c r="J72" s="3615">
        <f t="shared" ref="J72:J123" si="19">+F72+H72</f>
        <v>200.9</v>
      </c>
      <c r="K72" s="1052"/>
      <c r="L72" s="1494"/>
      <c r="M72" s="1111"/>
      <c r="N72" s="5255">
        <f t="shared" ref="N72:N123" si="20">+F72+H72+L72</f>
        <v>200.9</v>
      </c>
      <c r="O72" s="1052"/>
      <c r="P72" s="1494"/>
      <c r="Q72" s="1051"/>
      <c r="R72" s="3615">
        <f t="shared" ref="R72:R123" si="21">+N72+P72</f>
        <v>200.9</v>
      </c>
      <c r="S72" s="1053"/>
      <c r="T72" s="2627"/>
      <c r="U72" s="1051"/>
      <c r="V72" s="3615">
        <f t="shared" ref="V72:V123" si="22">+R72+T72</f>
        <v>200.9</v>
      </c>
      <c r="W72" s="1053"/>
      <c r="X72" s="2627"/>
      <c r="Y72" s="696"/>
      <c r="Z72" s="4110">
        <f t="shared" ref="Z72:Z123" si="23">P72+T72+X72</f>
        <v>0</v>
      </c>
      <c r="AA72" s="795"/>
      <c r="AB72" s="795">
        <f t="shared" ref="AB72:AB123" si="24">N72+Z72</f>
        <v>200.9</v>
      </c>
      <c r="AC72" s="1053"/>
      <c r="AD72" s="2627"/>
      <c r="AE72" s="1051"/>
      <c r="AF72" s="3615">
        <f t="shared" ref="AF72:AF123" si="25">+AB72+AD72</f>
        <v>200.9</v>
      </c>
      <c r="AG72" s="1053"/>
      <c r="AH72" s="2627"/>
      <c r="AI72" s="1051"/>
      <c r="AJ72" s="3615">
        <f t="shared" ref="AJ72:AJ123" si="26">+AF72+AH72</f>
        <v>200.9</v>
      </c>
      <c r="AK72" s="1053"/>
      <c r="AL72" s="2627"/>
      <c r="AM72" s="4110"/>
      <c r="AN72" s="4110">
        <f t="shared" ref="AN72:AN123" si="27">AD72+AH72+AL72</f>
        <v>0</v>
      </c>
      <c r="AO72" s="3615"/>
      <c r="AP72" s="3615">
        <f t="shared" ref="AP72:AP123" si="28">AJ72+AL72</f>
        <v>200.9</v>
      </c>
      <c r="AQ72" s="1053"/>
      <c r="AR72" s="2627"/>
      <c r="AS72" s="1051"/>
      <c r="AT72" s="3615">
        <f t="shared" ref="AT72:AT123" si="29">+AP72+AR72</f>
        <v>200.9</v>
      </c>
      <c r="AU72" s="1053"/>
      <c r="AV72" s="2627"/>
      <c r="AW72" s="1051"/>
      <c r="AX72" s="3615">
        <f t="shared" ref="AX72:AX123" si="30">+AT72+AV72</f>
        <v>200.9</v>
      </c>
      <c r="AY72" s="1053"/>
      <c r="AZ72" s="2627"/>
      <c r="BA72" s="4110"/>
      <c r="BB72" s="4110">
        <f t="shared" ref="BB72:BB123" si="31">AR72+AV72+AZ72</f>
        <v>0</v>
      </c>
      <c r="BC72" s="795"/>
      <c r="BD72" s="795">
        <f t="shared" ref="BD72:BD123" si="32">AN72+BB72</f>
        <v>0</v>
      </c>
      <c r="BE72" s="3615"/>
      <c r="BF72" s="3615">
        <f t="shared" ref="BF72:BF123" si="33">+AX72+AZ72</f>
        <v>200.9</v>
      </c>
      <c r="BG72" s="26"/>
      <c r="BH72" s="26"/>
      <c r="BI72" s="26"/>
      <c r="BJ72" s="26"/>
    </row>
    <row r="73" spans="2:62" ht="15" customHeight="1" x14ac:dyDescent="0.25">
      <c r="B73" s="1049" t="s">
        <v>909</v>
      </c>
      <c r="C73" s="1393" t="s">
        <v>1482</v>
      </c>
      <c r="D73" s="62" t="s">
        <v>52</v>
      </c>
      <c r="E73" s="1052"/>
      <c r="F73" s="1494">
        <v>317.75</v>
      </c>
      <c r="G73" s="1052"/>
      <c r="H73" s="1494"/>
      <c r="I73" s="1051"/>
      <c r="J73" s="3615">
        <f t="shared" si="19"/>
        <v>317.75</v>
      </c>
      <c r="K73" s="1052"/>
      <c r="L73" s="1494"/>
      <c r="M73" s="1111"/>
      <c r="N73" s="5255">
        <f t="shared" si="20"/>
        <v>317.75</v>
      </c>
      <c r="O73" s="1052"/>
      <c r="P73" s="1494"/>
      <c r="Q73" s="1051"/>
      <c r="R73" s="3615">
        <f t="shared" si="21"/>
        <v>317.75</v>
      </c>
      <c r="S73" s="1053"/>
      <c r="T73" s="2627"/>
      <c r="U73" s="1051"/>
      <c r="V73" s="3615">
        <f t="shared" si="22"/>
        <v>317.75</v>
      </c>
      <c r="W73" s="1053"/>
      <c r="X73" s="2627"/>
      <c r="Y73" s="696"/>
      <c r="Z73" s="4110">
        <f t="shared" si="23"/>
        <v>0</v>
      </c>
      <c r="AA73" s="795"/>
      <c r="AB73" s="795">
        <f t="shared" si="24"/>
        <v>317.75</v>
      </c>
      <c r="AC73" s="1053"/>
      <c r="AD73" s="2627"/>
      <c r="AE73" s="1051"/>
      <c r="AF73" s="3615">
        <f t="shared" si="25"/>
        <v>317.75</v>
      </c>
      <c r="AG73" s="1053"/>
      <c r="AH73" s="2627"/>
      <c r="AI73" s="1051"/>
      <c r="AJ73" s="3615">
        <f t="shared" si="26"/>
        <v>317.75</v>
      </c>
      <c r="AK73" s="1053"/>
      <c r="AL73" s="2627"/>
      <c r="AM73" s="4110"/>
      <c r="AN73" s="4110">
        <f t="shared" si="27"/>
        <v>0</v>
      </c>
      <c r="AO73" s="3615"/>
      <c r="AP73" s="3615">
        <f t="shared" si="28"/>
        <v>317.75</v>
      </c>
      <c r="AQ73" s="1053"/>
      <c r="AR73" s="2627"/>
      <c r="AS73" s="1051"/>
      <c r="AT73" s="3615">
        <f t="shared" si="29"/>
        <v>317.75</v>
      </c>
      <c r="AU73" s="1053"/>
      <c r="AV73" s="2627">
        <v>102.5</v>
      </c>
      <c r="AW73" s="1051"/>
      <c r="AX73" s="3615">
        <f t="shared" si="30"/>
        <v>420.25</v>
      </c>
      <c r="AY73" s="1053"/>
      <c r="AZ73" s="2627"/>
      <c r="BA73" s="4110"/>
      <c r="BB73" s="4110">
        <f t="shared" si="31"/>
        <v>102.5</v>
      </c>
      <c r="BC73" s="795"/>
      <c r="BD73" s="795">
        <f t="shared" si="32"/>
        <v>102.5</v>
      </c>
      <c r="BE73" s="3615"/>
      <c r="BF73" s="3615">
        <f t="shared" si="33"/>
        <v>420.25</v>
      </c>
      <c r="BG73" s="26"/>
      <c r="BH73" s="26"/>
      <c r="BI73" s="26"/>
      <c r="BJ73" s="26"/>
    </row>
    <row r="74" spans="2:62" ht="15" customHeight="1" x14ac:dyDescent="0.25">
      <c r="B74" s="1049" t="s">
        <v>909</v>
      </c>
      <c r="C74" s="1393" t="s">
        <v>1529</v>
      </c>
      <c r="D74" s="62" t="s">
        <v>52</v>
      </c>
      <c r="E74" s="1052"/>
      <c r="F74" s="1494"/>
      <c r="G74" s="1052"/>
      <c r="H74" s="1494">
        <v>67.650000000000006</v>
      </c>
      <c r="I74" s="1051"/>
      <c r="J74" s="3615">
        <f t="shared" si="19"/>
        <v>67.650000000000006</v>
      </c>
      <c r="K74" s="1052"/>
      <c r="L74" s="1494"/>
      <c r="M74" s="1111"/>
      <c r="N74" s="5255">
        <f t="shared" si="20"/>
        <v>67.650000000000006</v>
      </c>
      <c r="O74" s="1052"/>
      <c r="P74" s="1494"/>
      <c r="Q74" s="1051"/>
      <c r="R74" s="3615">
        <f t="shared" si="21"/>
        <v>67.650000000000006</v>
      </c>
      <c r="S74" s="1053"/>
      <c r="T74" s="2627"/>
      <c r="U74" s="1051"/>
      <c r="V74" s="3615">
        <f t="shared" si="22"/>
        <v>67.650000000000006</v>
      </c>
      <c r="W74" s="1053"/>
      <c r="X74" s="2627"/>
      <c r="Y74" s="696"/>
      <c r="Z74" s="4110">
        <f t="shared" si="23"/>
        <v>0</v>
      </c>
      <c r="AA74" s="795"/>
      <c r="AB74" s="795">
        <f t="shared" si="24"/>
        <v>67.650000000000006</v>
      </c>
      <c r="AC74" s="1053"/>
      <c r="AD74" s="2627"/>
      <c r="AE74" s="1051"/>
      <c r="AF74" s="3615">
        <f t="shared" si="25"/>
        <v>67.650000000000006</v>
      </c>
      <c r="AG74" s="1053"/>
      <c r="AH74" s="2627"/>
      <c r="AI74" s="1051"/>
      <c r="AJ74" s="3615">
        <f t="shared" si="26"/>
        <v>67.650000000000006</v>
      </c>
      <c r="AK74" s="1053"/>
      <c r="AL74" s="2627"/>
      <c r="AM74" s="4110"/>
      <c r="AN74" s="4110">
        <f t="shared" si="27"/>
        <v>0</v>
      </c>
      <c r="AO74" s="3615"/>
      <c r="AP74" s="3615">
        <f t="shared" si="28"/>
        <v>67.650000000000006</v>
      </c>
      <c r="AQ74" s="1053"/>
      <c r="AR74" s="2627"/>
      <c r="AS74" s="1051"/>
      <c r="AT74" s="3615">
        <f t="shared" si="29"/>
        <v>67.650000000000006</v>
      </c>
      <c r="AU74" s="1053"/>
      <c r="AV74" s="2627"/>
      <c r="AW74" s="1051"/>
      <c r="AX74" s="3615">
        <f t="shared" si="30"/>
        <v>67.650000000000006</v>
      </c>
      <c r="AY74" s="1053"/>
      <c r="AZ74" s="2627"/>
      <c r="BA74" s="4110"/>
      <c r="BB74" s="4110">
        <f t="shared" si="31"/>
        <v>0</v>
      </c>
      <c r="BC74" s="795"/>
      <c r="BD74" s="795">
        <f t="shared" si="32"/>
        <v>0</v>
      </c>
      <c r="BE74" s="3615"/>
      <c r="BF74" s="3615">
        <f t="shared" si="33"/>
        <v>67.650000000000006</v>
      </c>
      <c r="BG74" s="26"/>
      <c r="BH74" s="26"/>
      <c r="BI74" s="26"/>
      <c r="BJ74" s="26"/>
    </row>
    <row r="75" spans="2:62" ht="15" customHeight="1" x14ac:dyDescent="0.25">
      <c r="B75" s="1049" t="s">
        <v>909</v>
      </c>
      <c r="C75" s="1393" t="s">
        <v>995</v>
      </c>
      <c r="D75" s="62" t="s">
        <v>52</v>
      </c>
      <c r="E75" s="1052"/>
      <c r="F75" s="1494"/>
      <c r="G75" s="1052"/>
      <c r="H75" s="1494">
        <v>426.40000000000003</v>
      </c>
      <c r="I75" s="1051"/>
      <c r="J75" s="3615">
        <f t="shared" si="19"/>
        <v>426.40000000000003</v>
      </c>
      <c r="K75" s="1052"/>
      <c r="L75" s="1494"/>
      <c r="M75" s="1111"/>
      <c r="N75" s="5255">
        <f t="shared" si="20"/>
        <v>426.40000000000003</v>
      </c>
      <c r="O75" s="1052"/>
      <c r="P75" s="1494"/>
      <c r="Q75" s="1051"/>
      <c r="R75" s="3615">
        <f t="shared" si="21"/>
        <v>426.40000000000003</v>
      </c>
      <c r="S75" s="1053"/>
      <c r="T75" s="2627"/>
      <c r="U75" s="1051"/>
      <c r="V75" s="3615">
        <f t="shared" si="22"/>
        <v>426.40000000000003</v>
      </c>
      <c r="W75" s="1053"/>
      <c r="X75" s="2627"/>
      <c r="Y75" s="696"/>
      <c r="Z75" s="4110">
        <f t="shared" si="23"/>
        <v>0</v>
      </c>
      <c r="AA75" s="795"/>
      <c r="AB75" s="795">
        <f t="shared" si="24"/>
        <v>426.40000000000003</v>
      </c>
      <c r="AC75" s="1053"/>
      <c r="AD75" s="2627"/>
      <c r="AE75" s="1051"/>
      <c r="AF75" s="3615">
        <f t="shared" si="25"/>
        <v>426.40000000000003</v>
      </c>
      <c r="AG75" s="1053"/>
      <c r="AH75" s="2627">
        <v>514.55000000000007</v>
      </c>
      <c r="AI75" s="1051"/>
      <c r="AJ75" s="3615">
        <f t="shared" si="26"/>
        <v>940.95</v>
      </c>
      <c r="AK75" s="1053"/>
      <c r="AL75" s="2627"/>
      <c r="AM75" s="4110"/>
      <c r="AN75" s="4110">
        <f t="shared" si="27"/>
        <v>514.55000000000007</v>
      </c>
      <c r="AO75" s="3615"/>
      <c r="AP75" s="3615">
        <f t="shared" si="28"/>
        <v>940.95</v>
      </c>
      <c r="AQ75" s="1053"/>
      <c r="AR75" s="2627"/>
      <c r="AS75" s="1051"/>
      <c r="AT75" s="3615">
        <f t="shared" si="29"/>
        <v>940.95</v>
      </c>
      <c r="AU75" s="1053"/>
      <c r="AV75" s="2627">
        <v>986.05</v>
      </c>
      <c r="AW75" s="1051"/>
      <c r="AX75" s="3615">
        <f t="shared" si="30"/>
        <v>1927</v>
      </c>
      <c r="AY75" s="1053"/>
      <c r="AZ75" s="2627"/>
      <c r="BA75" s="4110"/>
      <c r="BB75" s="4110">
        <f t="shared" si="31"/>
        <v>986.05</v>
      </c>
      <c r="BC75" s="795"/>
      <c r="BD75" s="795">
        <f t="shared" si="32"/>
        <v>1500.6</v>
      </c>
      <c r="BE75" s="3615"/>
      <c r="BF75" s="3615">
        <f t="shared" si="33"/>
        <v>1927</v>
      </c>
      <c r="BG75" s="26"/>
      <c r="BH75" s="26"/>
      <c r="BI75" s="26"/>
      <c r="BJ75" s="26"/>
    </row>
    <row r="76" spans="2:62" s="4213" customFormat="1" ht="15" customHeight="1" x14ac:dyDescent="0.25">
      <c r="B76" s="1049" t="s">
        <v>909</v>
      </c>
      <c r="C76" s="1393" t="s">
        <v>1624</v>
      </c>
      <c r="D76" s="62" t="s">
        <v>52</v>
      </c>
      <c r="E76" s="1052"/>
      <c r="F76" s="2941"/>
      <c r="G76" s="1052"/>
      <c r="H76" s="2941"/>
      <c r="I76" s="1051"/>
      <c r="J76" s="3615">
        <f t="shared" si="19"/>
        <v>0</v>
      </c>
      <c r="K76" s="1052"/>
      <c r="L76" s="2941"/>
      <c r="M76" s="1111"/>
      <c r="N76" s="5255">
        <f t="shared" si="20"/>
        <v>0</v>
      </c>
      <c r="O76" s="1052"/>
      <c r="P76" s="2941"/>
      <c r="Q76" s="1051"/>
      <c r="R76" s="3615">
        <f t="shared" si="21"/>
        <v>0</v>
      </c>
      <c r="S76" s="1053"/>
      <c r="T76" s="2627"/>
      <c r="U76" s="1051"/>
      <c r="V76" s="3615">
        <f t="shared" si="22"/>
        <v>0</v>
      </c>
      <c r="W76" s="1053"/>
      <c r="X76" s="2627"/>
      <c r="Y76" s="4110"/>
      <c r="Z76" s="4110">
        <f t="shared" si="23"/>
        <v>0</v>
      </c>
      <c r="AA76" s="795"/>
      <c r="AB76" s="795">
        <f t="shared" si="24"/>
        <v>0</v>
      </c>
      <c r="AC76" s="1053"/>
      <c r="AD76" s="2627"/>
      <c r="AE76" s="1051"/>
      <c r="AF76" s="3615">
        <f t="shared" si="25"/>
        <v>0</v>
      </c>
      <c r="AG76" s="1053"/>
      <c r="AH76" s="2627">
        <f>522.75-30.75</f>
        <v>492</v>
      </c>
      <c r="AI76" s="1051"/>
      <c r="AJ76" s="3615">
        <f t="shared" si="26"/>
        <v>492</v>
      </c>
      <c r="AK76" s="1053"/>
      <c r="AL76" s="2627"/>
      <c r="AM76" s="4110"/>
      <c r="AN76" s="4110">
        <f t="shared" si="27"/>
        <v>492</v>
      </c>
      <c r="AO76" s="3615"/>
      <c r="AP76" s="3615">
        <f t="shared" si="28"/>
        <v>492</v>
      </c>
      <c r="AQ76" s="1053"/>
      <c r="AR76" s="2627"/>
      <c r="AS76" s="1051"/>
      <c r="AT76" s="3615">
        <f t="shared" si="29"/>
        <v>492</v>
      </c>
      <c r="AU76" s="1053"/>
      <c r="AV76" s="2627"/>
      <c r="AW76" s="1051"/>
      <c r="AX76" s="3615">
        <f t="shared" si="30"/>
        <v>492</v>
      </c>
      <c r="AY76" s="1053"/>
      <c r="AZ76" s="2627"/>
      <c r="BA76" s="4110"/>
      <c r="BB76" s="4110">
        <f t="shared" si="31"/>
        <v>0</v>
      </c>
      <c r="BC76" s="795"/>
      <c r="BD76" s="795">
        <f t="shared" si="32"/>
        <v>492</v>
      </c>
      <c r="BE76" s="3615"/>
      <c r="BF76" s="3615">
        <f t="shared" si="33"/>
        <v>492</v>
      </c>
      <c r="BG76" s="26"/>
      <c r="BH76" s="26"/>
      <c r="BI76" s="26"/>
      <c r="BJ76" s="26"/>
    </row>
    <row r="77" spans="2:62" ht="15" customHeight="1" x14ac:dyDescent="0.25">
      <c r="B77" s="1049" t="s">
        <v>909</v>
      </c>
      <c r="C77" s="1393" t="s">
        <v>1085</v>
      </c>
      <c r="D77" s="62" t="s">
        <v>52</v>
      </c>
      <c r="E77" s="1052"/>
      <c r="F77" s="1494">
        <f>287-6.15</f>
        <v>280.85000000000002</v>
      </c>
      <c r="G77" s="1052"/>
      <c r="H77" s="1494"/>
      <c r="I77" s="1051"/>
      <c r="J77" s="3615">
        <f t="shared" si="19"/>
        <v>280.85000000000002</v>
      </c>
      <c r="K77" s="1052"/>
      <c r="L77" s="1494"/>
      <c r="M77" s="1111"/>
      <c r="N77" s="5255">
        <f t="shared" si="20"/>
        <v>280.85000000000002</v>
      </c>
      <c r="O77" s="1052"/>
      <c r="P77" s="1494"/>
      <c r="Q77" s="1051"/>
      <c r="R77" s="3615">
        <f t="shared" si="21"/>
        <v>280.85000000000002</v>
      </c>
      <c r="S77" s="1053"/>
      <c r="T77" s="2627"/>
      <c r="U77" s="1051"/>
      <c r="V77" s="3615">
        <f t="shared" si="22"/>
        <v>280.85000000000002</v>
      </c>
      <c r="W77" s="1053"/>
      <c r="X77" s="2627"/>
      <c r="Y77" s="696"/>
      <c r="Z77" s="4110">
        <f t="shared" si="23"/>
        <v>0</v>
      </c>
      <c r="AA77" s="795"/>
      <c r="AB77" s="795">
        <f t="shared" si="24"/>
        <v>280.85000000000002</v>
      </c>
      <c r="AC77" s="1053"/>
      <c r="AD77" s="2627"/>
      <c r="AE77" s="1051"/>
      <c r="AF77" s="3615">
        <f t="shared" si="25"/>
        <v>280.85000000000002</v>
      </c>
      <c r="AG77" s="1053"/>
      <c r="AH77" s="2627">
        <v>416.15</v>
      </c>
      <c r="AI77" s="1051"/>
      <c r="AJ77" s="3615">
        <f t="shared" si="26"/>
        <v>697</v>
      </c>
      <c r="AK77" s="1053"/>
      <c r="AL77" s="2627"/>
      <c r="AM77" s="4110"/>
      <c r="AN77" s="4110">
        <f t="shared" si="27"/>
        <v>416.15</v>
      </c>
      <c r="AO77" s="3615"/>
      <c r="AP77" s="3615">
        <f t="shared" si="28"/>
        <v>697</v>
      </c>
      <c r="AQ77" s="1053"/>
      <c r="AR77" s="2627"/>
      <c r="AS77" s="1051"/>
      <c r="AT77" s="3615">
        <f t="shared" si="29"/>
        <v>697</v>
      </c>
      <c r="AU77" s="1053"/>
      <c r="AV77" s="2627">
        <v>102.5</v>
      </c>
      <c r="AW77" s="1051"/>
      <c r="AX77" s="3615">
        <f t="shared" si="30"/>
        <v>799.5</v>
      </c>
      <c r="AY77" s="1053"/>
      <c r="AZ77" s="2627"/>
      <c r="BA77" s="4110"/>
      <c r="BB77" s="4110">
        <f t="shared" si="31"/>
        <v>102.5</v>
      </c>
      <c r="BC77" s="795"/>
      <c r="BD77" s="795">
        <f t="shared" si="32"/>
        <v>518.65</v>
      </c>
      <c r="BE77" s="3615"/>
      <c r="BF77" s="3615">
        <f t="shared" si="33"/>
        <v>799.5</v>
      </c>
      <c r="BG77" s="26"/>
      <c r="BH77" s="26"/>
      <c r="BI77" s="26"/>
      <c r="BJ77" s="26"/>
    </row>
    <row r="78" spans="2:62" s="4697" customFormat="1" ht="15" customHeight="1" x14ac:dyDescent="0.25">
      <c r="B78" s="1049" t="s">
        <v>909</v>
      </c>
      <c r="C78" s="1393" t="s">
        <v>1023</v>
      </c>
      <c r="D78" s="62" t="s">
        <v>52</v>
      </c>
      <c r="E78" s="1052"/>
      <c r="F78" s="4702"/>
      <c r="G78" s="1052"/>
      <c r="H78" s="4702"/>
      <c r="I78" s="4703"/>
      <c r="J78" s="3615">
        <f t="shared" si="19"/>
        <v>0</v>
      </c>
      <c r="K78" s="1052"/>
      <c r="L78" s="4702"/>
      <c r="M78" s="4705"/>
      <c r="N78" s="5255">
        <f t="shared" si="20"/>
        <v>0</v>
      </c>
      <c r="O78" s="1052"/>
      <c r="P78" s="4702"/>
      <c r="Q78" s="4703"/>
      <c r="R78" s="3615">
        <f t="shared" si="21"/>
        <v>0</v>
      </c>
      <c r="S78" s="4707"/>
      <c r="T78" s="4708"/>
      <c r="U78" s="4703"/>
      <c r="V78" s="3615">
        <f t="shared" si="22"/>
        <v>0</v>
      </c>
      <c r="W78" s="4707"/>
      <c r="X78" s="4708"/>
      <c r="Y78" s="4709"/>
      <c r="Z78" s="4110">
        <f t="shared" si="23"/>
        <v>0</v>
      </c>
      <c r="AA78" s="795"/>
      <c r="AB78" s="795">
        <f t="shared" si="24"/>
        <v>0</v>
      </c>
      <c r="AC78" s="4707"/>
      <c r="AD78" s="4708"/>
      <c r="AE78" s="4703"/>
      <c r="AF78" s="3615">
        <f t="shared" si="25"/>
        <v>0</v>
      </c>
      <c r="AG78" s="4707"/>
      <c r="AH78" s="4708"/>
      <c r="AI78" s="4703"/>
      <c r="AJ78" s="3615">
        <f t="shared" si="26"/>
        <v>0</v>
      </c>
      <c r="AK78" s="4707"/>
      <c r="AL78" s="4708"/>
      <c r="AM78" s="4709"/>
      <c r="AN78" s="4110">
        <f t="shared" si="27"/>
        <v>0</v>
      </c>
      <c r="AO78" s="3615"/>
      <c r="AP78" s="3615">
        <f t="shared" si="28"/>
        <v>0</v>
      </c>
      <c r="AQ78" s="4707"/>
      <c r="AR78" s="4708"/>
      <c r="AS78" s="4703"/>
      <c r="AT78" s="3615">
        <f t="shared" si="29"/>
        <v>0</v>
      </c>
      <c r="AU78" s="4707"/>
      <c r="AV78" s="4708">
        <v>98.399999999999991</v>
      </c>
      <c r="AW78" s="4703"/>
      <c r="AX78" s="3615">
        <f t="shared" si="30"/>
        <v>98.399999999999991</v>
      </c>
      <c r="AY78" s="4707"/>
      <c r="AZ78" s="4708"/>
      <c r="BA78" s="4709"/>
      <c r="BB78" s="4110">
        <f t="shared" si="31"/>
        <v>98.399999999999991</v>
      </c>
      <c r="BC78" s="795"/>
      <c r="BD78" s="795">
        <f t="shared" si="32"/>
        <v>98.399999999999991</v>
      </c>
      <c r="BE78" s="3615"/>
      <c r="BF78" s="3615">
        <f t="shared" si="33"/>
        <v>98.399999999999991</v>
      </c>
      <c r="BG78" s="26"/>
      <c r="BH78" s="26"/>
      <c r="BI78" s="26"/>
      <c r="BJ78" s="26"/>
    </row>
    <row r="79" spans="2:62" ht="15" customHeight="1" x14ac:dyDescent="0.25">
      <c r="B79" s="1049" t="s">
        <v>909</v>
      </c>
      <c r="C79" s="1393" t="s">
        <v>1086</v>
      </c>
      <c r="D79" s="62" t="s">
        <v>52</v>
      </c>
      <c r="E79" s="1052"/>
      <c r="F79" s="1494">
        <v>721.6</v>
      </c>
      <c r="G79" s="1052"/>
      <c r="H79" s="1494"/>
      <c r="I79" s="1051"/>
      <c r="J79" s="3615">
        <f t="shared" si="19"/>
        <v>721.6</v>
      </c>
      <c r="K79" s="1052"/>
      <c r="L79" s="1494"/>
      <c r="M79" s="1111"/>
      <c r="N79" s="5255">
        <f t="shared" si="20"/>
        <v>721.6</v>
      </c>
      <c r="O79" s="1052"/>
      <c r="P79" s="1494"/>
      <c r="Q79" s="1051"/>
      <c r="R79" s="3615">
        <f t="shared" si="21"/>
        <v>721.6</v>
      </c>
      <c r="S79" s="1053"/>
      <c r="T79" s="2627"/>
      <c r="U79" s="1051"/>
      <c r="V79" s="3615">
        <f t="shared" si="22"/>
        <v>721.6</v>
      </c>
      <c r="W79" s="1053"/>
      <c r="X79" s="2627"/>
      <c r="Y79" s="696"/>
      <c r="Z79" s="4110">
        <f t="shared" si="23"/>
        <v>0</v>
      </c>
      <c r="AA79" s="795"/>
      <c r="AB79" s="795">
        <f t="shared" si="24"/>
        <v>721.6</v>
      </c>
      <c r="AC79" s="1053"/>
      <c r="AD79" s="2627"/>
      <c r="AE79" s="1051"/>
      <c r="AF79" s="3615">
        <f t="shared" si="25"/>
        <v>721.6</v>
      </c>
      <c r="AG79" s="1053"/>
      <c r="AH79" s="2627">
        <v>717.49999999999989</v>
      </c>
      <c r="AI79" s="1051"/>
      <c r="AJ79" s="3615">
        <f t="shared" si="26"/>
        <v>1439.1</v>
      </c>
      <c r="AK79" s="1053"/>
      <c r="AL79" s="2627"/>
      <c r="AM79" s="4110"/>
      <c r="AN79" s="4110">
        <f t="shared" si="27"/>
        <v>717.49999999999989</v>
      </c>
      <c r="AO79" s="3615"/>
      <c r="AP79" s="3615">
        <f t="shared" si="28"/>
        <v>1439.1</v>
      </c>
      <c r="AQ79" s="1053"/>
      <c r="AR79" s="2627"/>
      <c r="AS79" s="1051"/>
      <c r="AT79" s="3615">
        <f t="shared" si="29"/>
        <v>1439.1</v>
      </c>
      <c r="AU79" s="1053"/>
      <c r="AV79" s="2627">
        <v>96.35</v>
      </c>
      <c r="AW79" s="1051"/>
      <c r="AX79" s="3615">
        <f t="shared" si="30"/>
        <v>1535.4499999999998</v>
      </c>
      <c r="AY79" s="1053"/>
      <c r="AZ79" s="2627"/>
      <c r="BA79" s="4110"/>
      <c r="BB79" s="4110">
        <f t="shared" si="31"/>
        <v>96.35</v>
      </c>
      <c r="BC79" s="795"/>
      <c r="BD79" s="795">
        <f t="shared" si="32"/>
        <v>813.84999999999991</v>
      </c>
      <c r="BE79" s="3615"/>
      <c r="BF79" s="3615">
        <f t="shared" si="33"/>
        <v>1535.4499999999998</v>
      </c>
      <c r="BG79" s="26"/>
      <c r="BH79" s="26"/>
      <c r="BI79" s="26"/>
      <c r="BJ79" s="26"/>
    </row>
    <row r="80" spans="2:62" ht="15.75" x14ac:dyDescent="0.25">
      <c r="B80" s="1049" t="s">
        <v>897</v>
      </c>
      <c r="C80" s="1393" t="s">
        <v>1018</v>
      </c>
      <c r="D80" s="62" t="s">
        <v>52</v>
      </c>
      <c r="E80" s="1052"/>
      <c r="F80" s="1494"/>
      <c r="G80" s="1052"/>
      <c r="H80" s="1494"/>
      <c r="I80" s="1051"/>
      <c r="J80" s="3615">
        <f t="shared" si="19"/>
        <v>0</v>
      </c>
      <c r="K80" s="1052"/>
      <c r="L80" s="1494">
        <v>67.650000000000006</v>
      </c>
      <c r="M80" s="1111"/>
      <c r="N80" s="5255">
        <f t="shared" si="20"/>
        <v>67.650000000000006</v>
      </c>
      <c r="O80" s="1052"/>
      <c r="P80" s="1494"/>
      <c r="Q80" s="1051"/>
      <c r="R80" s="3615">
        <f t="shared" si="21"/>
        <v>67.650000000000006</v>
      </c>
      <c r="S80" s="1053"/>
      <c r="T80" s="2627">
        <v>0</v>
      </c>
      <c r="U80" s="1051"/>
      <c r="V80" s="3615">
        <f t="shared" si="22"/>
        <v>67.650000000000006</v>
      </c>
      <c r="W80" s="1053"/>
      <c r="X80" s="2627"/>
      <c r="Y80" s="696"/>
      <c r="Z80" s="4110">
        <f t="shared" si="23"/>
        <v>0</v>
      </c>
      <c r="AA80" s="795"/>
      <c r="AB80" s="795">
        <f t="shared" si="24"/>
        <v>67.650000000000006</v>
      </c>
      <c r="AC80" s="1053"/>
      <c r="AD80" s="2627"/>
      <c r="AE80" s="1051"/>
      <c r="AF80" s="3615">
        <f t="shared" si="25"/>
        <v>67.650000000000006</v>
      </c>
      <c r="AG80" s="1053"/>
      <c r="AH80" s="2627"/>
      <c r="AI80" s="1051"/>
      <c r="AJ80" s="3615">
        <f t="shared" si="26"/>
        <v>67.650000000000006</v>
      </c>
      <c r="AK80" s="1053"/>
      <c r="AL80" s="2627"/>
      <c r="AM80" s="4110"/>
      <c r="AN80" s="4110">
        <f t="shared" si="27"/>
        <v>0</v>
      </c>
      <c r="AO80" s="3615"/>
      <c r="AP80" s="3615">
        <f t="shared" si="28"/>
        <v>67.650000000000006</v>
      </c>
      <c r="AQ80" s="1053"/>
      <c r="AR80" s="2627"/>
      <c r="AS80" s="1051"/>
      <c r="AT80" s="3615">
        <f t="shared" si="29"/>
        <v>67.650000000000006</v>
      </c>
      <c r="AU80" s="1053"/>
      <c r="AV80" s="2627"/>
      <c r="AW80" s="1051"/>
      <c r="AX80" s="3615">
        <f t="shared" si="30"/>
        <v>67.650000000000006</v>
      </c>
      <c r="AY80" s="1053"/>
      <c r="AZ80" s="2627"/>
      <c r="BA80" s="4110"/>
      <c r="BB80" s="4110">
        <f t="shared" si="31"/>
        <v>0</v>
      </c>
      <c r="BC80" s="795"/>
      <c r="BD80" s="795">
        <f t="shared" si="32"/>
        <v>0</v>
      </c>
      <c r="BE80" s="3615"/>
      <c r="BF80" s="3615">
        <f t="shared" si="33"/>
        <v>67.650000000000006</v>
      </c>
      <c r="BG80" s="26"/>
      <c r="BH80" s="26"/>
      <c r="BI80" s="26"/>
      <c r="BJ80" s="26"/>
    </row>
    <row r="81" spans="2:62" ht="15.75" x14ac:dyDescent="0.25">
      <c r="B81" s="1049" t="s">
        <v>897</v>
      </c>
      <c r="C81" s="1393" t="s">
        <v>1085</v>
      </c>
      <c r="D81" s="62" t="s">
        <v>52</v>
      </c>
      <c r="E81" s="1052"/>
      <c r="F81" s="1494">
        <v>512.5</v>
      </c>
      <c r="G81" s="1052"/>
      <c r="H81" s="1052"/>
      <c r="I81" s="1051"/>
      <c r="J81" s="3615">
        <f t="shared" si="19"/>
        <v>512.5</v>
      </c>
      <c r="K81" s="1052"/>
      <c r="L81" s="1494">
        <v>241.9</v>
      </c>
      <c r="M81" s="1111"/>
      <c r="N81" s="5255">
        <f t="shared" si="20"/>
        <v>754.4</v>
      </c>
      <c r="O81" s="1052"/>
      <c r="P81" s="1494">
        <v>301.35000000000002</v>
      </c>
      <c r="Q81" s="1051"/>
      <c r="R81" s="3615">
        <f t="shared" si="21"/>
        <v>1055.75</v>
      </c>
      <c r="S81" s="1053"/>
      <c r="T81" s="2627">
        <v>522.74999999999989</v>
      </c>
      <c r="U81" s="1051"/>
      <c r="V81" s="3615">
        <f t="shared" si="22"/>
        <v>1578.5</v>
      </c>
      <c r="W81" s="1053"/>
      <c r="X81" s="2627">
        <v>1178.75</v>
      </c>
      <c r="Y81" s="696"/>
      <c r="Z81" s="4110">
        <f t="shared" si="23"/>
        <v>2002.85</v>
      </c>
      <c r="AA81" s="795"/>
      <c r="AB81" s="795">
        <f t="shared" si="24"/>
        <v>2757.25</v>
      </c>
      <c r="AC81" s="1053"/>
      <c r="AD81" s="2627"/>
      <c r="AE81" s="1051"/>
      <c r="AF81" s="3615">
        <f t="shared" si="25"/>
        <v>2757.25</v>
      </c>
      <c r="AG81" s="1053"/>
      <c r="AH81" s="2627"/>
      <c r="AI81" s="1051"/>
      <c r="AJ81" s="3615">
        <f t="shared" si="26"/>
        <v>2757.25</v>
      </c>
      <c r="AK81" s="1053"/>
      <c r="AL81" s="2627">
        <f>1230-24.6</f>
        <v>1205.4000000000001</v>
      </c>
      <c r="AM81" s="4110"/>
      <c r="AN81" s="4110">
        <f t="shared" si="27"/>
        <v>1205.4000000000001</v>
      </c>
      <c r="AO81" s="3615"/>
      <c r="AP81" s="3615">
        <f t="shared" si="28"/>
        <v>3962.65</v>
      </c>
      <c r="AQ81" s="1053"/>
      <c r="AR81" s="2627">
        <f>891.75-2.05</f>
        <v>889.7</v>
      </c>
      <c r="AS81" s="1051"/>
      <c r="AT81" s="3615">
        <f t="shared" si="29"/>
        <v>4852.3500000000004</v>
      </c>
      <c r="AU81" s="1053"/>
      <c r="AV81" s="2627">
        <v>233.70000000000002</v>
      </c>
      <c r="AW81" s="1051"/>
      <c r="AX81" s="3615">
        <f t="shared" si="30"/>
        <v>5086.05</v>
      </c>
      <c r="AY81" s="1053"/>
      <c r="AZ81" s="2627"/>
      <c r="BA81" s="4110"/>
      <c r="BB81" s="4110">
        <f t="shared" si="31"/>
        <v>1123.4000000000001</v>
      </c>
      <c r="BC81" s="795"/>
      <c r="BD81" s="795">
        <f t="shared" si="32"/>
        <v>2328.8000000000002</v>
      </c>
      <c r="BE81" s="3615"/>
      <c r="BF81" s="3615">
        <f t="shared" si="33"/>
        <v>5086.05</v>
      </c>
      <c r="BG81" s="26"/>
      <c r="BH81" s="26"/>
      <c r="BI81" s="26"/>
      <c r="BJ81" s="26"/>
    </row>
    <row r="82" spans="2:62" ht="15.75" x14ac:dyDescent="0.25">
      <c r="B82" s="1049" t="s">
        <v>897</v>
      </c>
      <c r="C82" s="1393" t="s">
        <v>1086</v>
      </c>
      <c r="D82" s="62" t="s">
        <v>52</v>
      </c>
      <c r="E82" s="1052"/>
      <c r="F82" s="1494">
        <v>2045.9</v>
      </c>
      <c r="G82" s="1052"/>
      <c r="H82" s="1494"/>
      <c r="I82" s="1051"/>
      <c r="J82" s="3615">
        <f t="shared" si="19"/>
        <v>2045.9</v>
      </c>
      <c r="K82" s="1052"/>
      <c r="L82" s="1494">
        <v>1693.3000000000002</v>
      </c>
      <c r="M82" s="1111"/>
      <c r="N82" s="5255">
        <f t="shared" si="20"/>
        <v>3739.2000000000003</v>
      </c>
      <c r="O82" s="1052"/>
      <c r="P82" s="1494">
        <v>336.2</v>
      </c>
      <c r="Q82" s="1051"/>
      <c r="R82" s="3615">
        <f t="shared" si="21"/>
        <v>4075.4</v>
      </c>
      <c r="S82" s="1053"/>
      <c r="T82" s="2627">
        <v>2904.8499999999995</v>
      </c>
      <c r="U82" s="1051"/>
      <c r="V82" s="3615">
        <f t="shared" si="22"/>
        <v>6980.25</v>
      </c>
      <c r="W82" s="1053"/>
      <c r="X82" s="2627">
        <v>3001.2</v>
      </c>
      <c r="Y82" s="696"/>
      <c r="Z82" s="4110">
        <f t="shared" si="23"/>
        <v>6242.2499999999991</v>
      </c>
      <c r="AA82" s="795"/>
      <c r="AB82" s="795">
        <f t="shared" si="24"/>
        <v>9981.4499999999989</v>
      </c>
      <c r="AC82" s="1053"/>
      <c r="AD82" s="2627"/>
      <c r="AE82" s="1051"/>
      <c r="AF82" s="3615">
        <f t="shared" si="25"/>
        <v>9981.4499999999989</v>
      </c>
      <c r="AG82" s="1053"/>
      <c r="AH82" s="2627">
        <f>1133.65-6.15</f>
        <v>1127.5</v>
      </c>
      <c r="AI82" s="1051"/>
      <c r="AJ82" s="3615">
        <f t="shared" si="26"/>
        <v>11108.949999999999</v>
      </c>
      <c r="AK82" s="1053"/>
      <c r="AL82" s="2627">
        <f>2706-65.6</f>
        <v>2640.4</v>
      </c>
      <c r="AM82" s="4110"/>
      <c r="AN82" s="4110">
        <f t="shared" si="27"/>
        <v>3767.9</v>
      </c>
      <c r="AO82" s="3615"/>
      <c r="AP82" s="3615">
        <f t="shared" si="28"/>
        <v>13749.349999999999</v>
      </c>
      <c r="AQ82" s="1053"/>
      <c r="AR82" s="2627">
        <v>2191.4500000000003</v>
      </c>
      <c r="AS82" s="1051"/>
      <c r="AT82" s="3615">
        <f t="shared" si="29"/>
        <v>15940.8</v>
      </c>
      <c r="AU82" s="1053"/>
      <c r="AV82" s="2627">
        <v>1328.3999999999999</v>
      </c>
      <c r="AW82" s="1051"/>
      <c r="AX82" s="3615">
        <f t="shared" si="30"/>
        <v>17269.2</v>
      </c>
      <c r="AY82" s="1053"/>
      <c r="AZ82" s="2627"/>
      <c r="BA82" s="4110"/>
      <c r="BB82" s="4110">
        <f t="shared" si="31"/>
        <v>3519.8500000000004</v>
      </c>
      <c r="BC82" s="795"/>
      <c r="BD82" s="795">
        <f t="shared" si="32"/>
        <v>7287.75</v>
      </c>
      <c r="BE82" s="3615"/>
      <c r="BF82" s="3615">
        <f t="shared" si="33"/>
        <v>17269.2</v>
      </c>
      <c r="BG82" s="26"/>
      <c r="BH82" s="26"/>
      <c r="BI82" s="26"/>
      <c r="BJ82" s="26"/>
    </row>
    <row r="83" spans="2:62" ht="15.75" x14ac:dyDescent="0.25">
      <c r="B83" s="1049" t="s">
        <v>897</v>
      </c>
      <c r="C83" s="1393" t="s">
        <v>1624</v>
      </c>
      <c r="D83" s="62" t="s">
        <v>52</v>
      </c>
      <c r="E83" s="1052"/>
      <c r="F83" s="2362"/>
      <c r="G83" s="1052"/>
      <c r="H83" s="1052"/>
      <c r="I83" s="1051"/>
      <c r="J83" s="3615">
        <f t="shared" si="19"/>
        <v>0</v>
      </c>
      <c r="K83" s="1052"/>
      <c r="L83" s="2362">
        <v>211.15</v>
      </c>
      <c r="M83" s="1111"/>
      <c r="N83" s="5255">
        <f t="shared" si="20"/>
        <v>211.15</v>
      </c>
      <c r="O83" s="1052"/>
      <c r="P83" s="2362"/>
      <c r="Q83" s="1051"/>
      <c r="R83" s="3615">
        <f t="shared" si="21"/>
        <v>211.15</v>
      </c>
      <c r="S83" s="1053"/>
      <c r="T83" s="2627">
        <v>502.25</v>
      </c>
      <c r="U83" s="1051"/>
      <c r="V83" s="3615">
        <f t="shared" si="22"/>
        <v>713.4</v>
      </c>
      <c r="W83" s="1053"/>
      <c r="X83" s="2627">
        <v>514.54999999999995</v>
      </c>
      <c r="Y83" s="696"/>
      <c r="Z83" s="4110">
        <f t="shared" si="23"/>
        <v>1016.8</v>
      </c>
      <c r="AA83" s="795"/>
      <c r="AB83" s="795">
        <f t="shared" si="24"/>
        <v>1227.95</v>
      </c>
      <c r="AC83" s="1053"/>
      <c r="AD83" s="2627"/>
      <c r="AE83" s="1051"/>
      <c r="AF83" s="3615">
        <f t="shared" si="25"/>
        <v>1227.95</v>
      </c>
      <c r="AG83" s="1053"/>
      <c r="AH83" s="2627"/>
      <c r="AI83" s="1051"/>
      <c r="AJ83" s="3615">
        <f t="shared" si="26"/>
        <v>1227.95</v>
      </c>
      <c r="AK83" s="1053"/>
      <c r="AL83" s="2627">
        <v>309.55</v>
      </c>
      <c r="AM83" s="4110"/>
      <c r="AN83" s="4110">
        <f t="shared" si="27"/>
        <v>309.55</v>
      </c>
      <c r="AO83" s="3615"/>
      <c r="AP83" s="3615">
        <f t="shared" si="28"/>
        <v>1537.5</v>
      </c>
      <c r="AQ83" s="1053"/>
      <c r="AR83" s="2627">
        <v>243.95</v>
      </c>
      <c r="AS83" s="1051"/>
      <c r="AT83" s="3615">
        <f t="shared" si="29"/>
        <v>1781.45</v>
      </c>
      <c r="AU83" s="1053"/>
      <c r="AV83" s="2627"/>
      <c r="AW83" s="1051"/>
      <c r="AX83" s="3615">
        <f t="shared" si="30"/>
        <v>1781.45</v>
      </c>
      <c r="AY83" s="1053"/>
      <c r="AZ83" s="2627"/>
      <c r="BA83" s="4110"/>
      <c r="BB83" s="4110">
        <f t="shared" si="31"/>
        <v>243.95</v>
      </c>
      <c r="BC83" s="795"/>
      <c r="BD83" s="795">
        <f t="shared" si="32"/>
        <v>553.5</v>
      </c>
      <c r="BE83" s="3615"/>
      <c r="BF83" s="3615">
        <f t="shared" si="33"/>
        <v>1781.45</v>
      </c>
      <c r="BG83" s="26"/>
      <c r="BH83" s="26"/>
      <c r="BI83" s="26"/>
      <c r="BJ83" s="26"/>
    </row>
    <row r="84" spans="2:62" ht="15.75" x14ac:dyDescent="0.25">
      <c r="B84" s="1049" t="s">
        <v>897</v>
      </c>
      <c r="C84" s="1393" t="s">
        <v>1626</v>
      </c>
      <c r="D84" s="62" t="s">
        <v>52</v>
      </c>
      <c r="E84" s="1052"/>
      <c r="F84" s="2362"/>
      <c r="G84" s="1052"/>
      <c r="H84" s="1052"/>
      <c r="I84" s="1051"/>
      <c r="J84" s="3615">
        <f t="shared" si="19"/>
        <v>0</v>
      </c>
      <c r="K84" s="1052"/>
      <c r="L84" s="2362">
        <v>241.9</v>
      </c>
      <c r="M84" s="1111"/>
      <c r="N84" s="5255">
        <f t="shared" si="20"/>
        <v>241.9</v>
      </c>
      <c r="O84" s="1052"/>
      <c r="P84" s="2362"/>
      <c r="Q84" s="1051"/>
      <c r="R84" s="3615">
        <f t="shared" si="21"/>
        <v>241.9</v>
      </c>
      <c r="S84" s="1053"/>
      <c r="T84" s="2627">
        <v>284.95</v>
      </c>
      <c r="U84" s="1051"/>
      <c r="V84" s="3615">
        <f t="shared" si="22"/>
        <v>526.85</v>
      </c>
      <c r="W84" s="1053"/>
      <c r="X84" s="2627">
        <v>1301.75</v>
      </c>
      <c r="Y84" s="696"/>
      <c r="Z84" s="4110">
        <f t="shared" si="23"/>
        <v>1586.7</v>
      </c>
      <c r="AA84" s="795"/>
      <c r="AB84" s="795">
        <f t="shared" si="24"/>
        <v>1828.6000000000001</v>
      </c>
      <c r="AC84" s="1053"/>
      <c r="AD84" s="2627"/>
      <c r="AE84" s="1051"/>
      <c r="AF84" s="3615">
        <f t="shared" si="25"/>
        <v>1828.6000000000001</v>
      </c>
      <c r="AG84" s="1053"/>
      <c r="AH84" s="2627"/>
      <c r="AI84" s="1051"/>
      <c r="AJ84" s="3615">
        <f t="shared" si="26"/>
        <v>1828.6000000000001</v>
      </c>
      <c r="AK84" s="1053"/>
      <c r="AL84" s="2627">
        <v>549.40000000000009</v>
      </c>
      <c r="AM84" s="4110"/>
      <c r="AN84" s="4110">
        <f t="shared" si="27"/>
        <v>549.40000000000009</v>
      </c>
      <c r="AO84" s="3615"/>
      <c r="AP84" s="3615">
        <f t="shared" si="28"/>
        <v>2378</v>
      </c>
      <c r="AQ84" s="1053"/>
      <c r="AR84" s="2627">
        <v>510.45000000000005</v>
      </c>
      <c r="AS84" s="1051"/>
      <c r="AT84" s="3615">
        <f t="shared" si="29"/>
        <v>2888.45</v>
      </c>
      <c r="AU84" s="1053"/>
      <c r="AV84" s="2627"/>
      <c r="AW84" s="1051"/>
      <c r="AX84" s="3615">
        <f t="shared" si="30"/>
        <v>2888.45</v>
      </c>
      <c r="AY84" s="1053"/>
      <c r="AZ84" s="2627"/>
      <c r="BA84" s="4110"/>
      <c r="BB84" s="4110">
        <f t="shared" si="31"/>
        <v>510.45000000000005</v>
      </c>
      <c r="BC84" s="795"/>
      <c r="BD84" s="795">
        <f t="shared" si="32"/>
        <v>1059.8500000000001</v>
      </c>
      <c r="BE84" s="3615"/>
      <c r="BF84" s="3615">
        <f t="shared" si="33"/>
        <v>2888.45</v>
      </c>
      <c r="BG84" s="26"/>
      <c r="BH84" s="26"/>
      <c r="BI84" s="26"/>
      <c r="BJ84" s="26"/>
    </row>
    <row r="85" spans="2:62" ht="15.75" x14ac:dyDescent="0.25">
      <c r="B85" s="1049" t="s">
        <v>1415</v>
      </c>
      <c r="C85" s="1393" t="s">
        <v>1085</v>
      </c>
      <c r="D85" s="62" t="s">
        <v>52</v>
      </c>
      <c r="E85" s="1052"/>
      <c r="F85" s="1052"/>
      <c r="G85" s="1052"/>
      <c r="H85" s="1052">
        <f>516.6-2.05</f>
        <v>514.55000000000007</v>
      </c>
      <c r="I85" s="1051"/>
      <c r="J85" s="3615">
        <f t="shared" si="19"/>
        <v>514.55000000000007</v>
      </c>
      <c r="K85" s="1052"/>
      <c r="L85" s="1052"/>
      <c r="M85" s="1111"/>
      <c r="N85" s="5255">
        <f t="shared" si="20"/>
        <v>514.55000000000007</v>
      </c>
      <c r="O85" s="1052"/>
      <c r="P85" s="1052"/>
      <c r="Q85" s="1051"/>
      <c r="R85" s="3615">
        <f t="shared" si="21"/>
        <v>514.55000000000007</v>
      </c>
      <c r="S85" s="1053"/>
      <c r="T85" s="2627"/>
      <c r="U85" s="1051"/>
      <c r="V85" s="3615">
        <f t="shared" si="22"/>
        <v>514.55000000000007</v>
      </c>
      <c r="W85" s="1053"/>
      <c r="X85" s="2627"/>
      <c r="Y85" s="696"/>
      <c r="Z85" s="4110">
        <f t="shared" si="23"/>
        <v>0</v>
      </c>
      <c r="AA85" s="795"/>
      <c r="AB85" s="795">
        <f t="shared" si="24"/>
        <v>514.55000000000007</v>
      </c>
      <c r="AC85" s="1053"/>
      <c r="AD85" s="2627"/>
      <c r="AE85" s="1051"/>
      <c r="AF85" s="3615">
        <f t="shared" si="25"/>
        <v>514.55000000000007</v>
      </c>
      <c r="AG85" s="1053"/>
      <c r="AH85" s="2627"/>
      <c r="AI85" s="1051"/>
      <c r="AJ85" s="3615">
        <f t="shared" si="26"/>
        <v>514.55000000000007</v>
      </c>
      <c r="AK85" s="1053"/>
      <c r="AL85" s="2627"/>
      <c r="AM85" s="4110"/>
      <c r="AN85" s="4110">
        <f t="shared" si="27"/>
        <v>0</v>
      </c>
      <c r="AO85" s="3615"/>
      <c r="AP85" s="3615">
        <f t="shared" si="28"/>
        <v>514.55000000000007</v>
      </c>
      <c r="AQ85" s="1053"/>
      <c r="AR85" s="2627"/>
      <c r="AS85" s="1051"/>
      <c r="AT85" s="3615">
        <f t="shared" si="29"/>
        <v>514.55000000000007</v>
      </c>
      <c r="AU85" s="1053"/>
      <c r="AV85" s="2627"/>
      <c r="AW85" s="1051"/>
      <c r="AX85" s="3615">
        <f t="shared" si="30"/>
        <v>514.55000000000007</v>
      </c>
      <c r="AY85" s="1053"/>
      <c r="AZ85" s="2627"/>
      <c r="BA85" s="4110"/>
      <c r="BB85" s="4110">
        <f t="shared" si="31"/>
        <v>0</v>
      </c>
      <c r="BC85" s="795"/>
      <c r="BD85" s="795">
        <f t="shared" si="32"/>
        <v>0</v>
      </c>
      <c r="BE85" s="3615"/>
      <c r="BF85" s="3615">
        <f t="shared" si="33"/>
        <v>514.55000000000007</v>
      </c>
      <c r="BG85" s="26"/>
      <c r="BH85" s="26"/>
      <c r="BI85" s="26"/>
      <c r="BJ85" s="26"/>
    </row>
    <row r="86" spans="2:62" ht="15.75" x14ac:dyDescent="0.25">
      <c r="B86" s="1049" t="s">
        <v>1415</v>
      </c>
      <c r="C86" s="1393" t="s">
        <v>1086</v>
      </c>
      <c r="D86" s="62" t="s">
        <v>52</v>
      </c>
      <c r="E86" s="1052"/>
      <c r="F86" s="1052"/>
      <c r="G86" s="1052"/>
      <c r="H86" s="1052">
        <v>539.15</v>
      </c>
      <c r="I86" s="1051"/>
      <c r="J86" s="3615">
        <f t="shared" si="19"/>
        <v>539.15</v>
      </c>
      <c r="K86" s="1052"/>
      <c r="L86" s="1052"/>
      <c r="M86" s="1111"/>
      <c r="N86" s="5255">
        <f t="shared" si="20"/>
        <v>539.15</v>
      </c>
      <c r="O86" s="1052"/>
      <c r="P86" s="1052"/>
      <c r="Q86" s="1051"/>
      <c r="R86" s="3615">
        <f t="shared" si="21"/>
        <v>539.15</v>
      </c>
      <c r="S86" s="1053"/>
      <c r="T86" s="2627"/>
      <c r="U86" s="1051"/>
      <c r="V86" s="3615">
        <f t="shared" si="22"/>
        <v>539.15</v>
      </c>
      <c r="W86" s="1053"/>
      <c r="X86" s="2627"/>
      <c r="Y86" s="696"/>
      <c r="Z86" s="4110">
        <f t="shared" si="23"/>
        <v>0</v>
      </c>
      <c r="AA86" s="795"/>
      <c r="AB86" s="795">
        <f t="shared" si="24"/>
        <v>539.15</v>
      </c>
      <c r="AC86" s="1053"/>
      <c r="AD86" s="2627"/>
      <c r="AE86" s="1051"/>
      <c r="AF86" s="3615">
        <f t="shared" si="25"/>
        <v>539.15</v>
      </c>
      <c r="AG86" s="1053"/>
      <c r="AH86" s="2627"/>
      <c r="AI86" s="1051"/>
      <c r="AJ86" s="3615">
        <f t="shared" si="26"/>
        <v>539.15</v>
      </c>
      <c r="AK86" s="1053"/>
      <c r="AL86" s="2627"/>
      <c r="AM86" s="4110"/>
      <c r="AN86" s="4110">
        <f t="shared" si="27"/>
        <v>0</v>
      </c>
      <c r="AO86" s="3615"/>
      <c r="AP86" s="3615">
        <f t="shared" si="28"/>
        <v>539.15</v>
      </c>
      <c r="AQ86" s="1053"/>
      <c r="AR86" s="2627"/>
      <c r="AS86" s="1051"/>
      <c r="AT86" s="3615">
        <f t="shared" si="29"/>
        <v>539.15</v>
      </c>
      <c r="AU86" s="1053"/>
      <c r="AV86" s="2627"/>
      <c r="AW86" s="1051"/>
      <c r="AX86" s="3615">
        <f t="shared" si="30"/>
        <v>539.15</v>
      </c>
      <c r="AY86" s="1053"/>
      <c r="AZ86" s="2627"/>
      <c r="BA86" s="4110"/>
      <c r="BB86" s="4110">
        <f t="shared" si="31"/>
        <v>0</v>
      </c>
      <c r="BC86" s="795"/>
      <c r="BD86" s="795">
        <f t="shared" si="32"/>
        <v>0</v>
      </c>
      <c r="BE86" s="3615"/>
      <c r="BF86" s="3615">
        <f t="shared" si="33"/>
        <v>539.15</v>
      </c>
      <c r="BG86" s="26"/>
      <c r="BH86" s="26"/>
      <c r="BI86" s="26"/>
      <c r="BJ86" s="26"/>
    </row>
    <row r="87" spans="2:62" ht="15" customHeight="1" x14ac:dyDescent="0.25">
      <c r="B87" s="1049" t="s">
        <v>913</v>
      </c>
      <c r="C87" s="1393" t="s">
        <v>1085</v>
      </c>
      <c r="D87" s="62" t="s">
        <v>52</v>
      </c>
      <c r="E87" s="1052"/>
      <c r="F87" s="1494">
        <f>752.35-69.7</f>
        <v>682.65</v>
      </c>
      <c r="G87" s="1052"/>
      <c r="H87" s="1052"/>
      <c r="I87" s="1051"/>
      <c r="J87" s="3615">
        <f t="shared" si="19"/>
        <v>682.65</v>
      </c>
      <c r="K87" s="1052"/>
      <c r="L87" s="1052"/>
      <c r="M87" s="1111"/>
      <c r="N87" s="5255">
        <f t="shared" si="20"/>
        <v>682.65</v>
      </c>
      <c r="O87" s="1052"/>
      <c r="P87" s="1494">
        <f>1029.1-11*2.05</f>
        <v>1006.55</v>
      </c>
      <c r="Q87" s="1051"/>
      <c r="R87" s="3615">
        <f t="shared" si="21"/>
        <v>1689.1999999999998</v>
      </c>
      <c r="S87" s="1053"/>
      <c r="T87" s="2627"/>
      <c r="U87" s="1051"/>
      <c r="V87" s="3615">
        <f t="shared" si="22"/>
        <v>1689.1999999999998</v>
      </c>
      <c r="W87" s="1053"/>
      <c r="X87" s="2627"/>
      <c r="Y87" s="696"/>
      <c r="Z87" s="4110">
        <f t="shared" si="23"/>
        <v>1006.55</v>
      </c>
      <c r="AA87" s="795"/>
      <c r="AB87" s="795">
        <f t="shared" si="24"/>
        <v>1689.1999999999998</v>
      </c>
      <c r="AC87" s="1053"/>
      <c r="AD87" s="2627">
        <f>1517-18.5</f>
        <v>1498.5</v>
      </c>
      <c r="AE87" s="1051"/>
      <c r="AF87" s="3615">
        <f t="shared" si="25"/>
        <v>3187.7</v>
      </c>
      <c r="AG87" s="1053"/>
      <c r="AH87" s="2627"/>
      <c r="AI87" s="1051"/>
      <c r="AJ87" s="3615">
        <f t="shared" si="26"/>
        <v>3187.7</v>
      </c>
      <c r="AK87" s="1053"/>
      <c r="AL87" s="2627">
        <f>1016.8-38.95</f>
        <v>977.84999999999991</v>
      </c>
      <c r="AM87" s="4110"/>
      <c r="AN87" s="4110">
        <f t="shared" si="27"/>
        <v>2476.35</v>
      </c>
      <c r="AO87" s="3615"/>
      <c r="AP87" s="3615">
        <f t="shared" si="28"/>
        <v>4165.5499999999993</v>
      </c>
      <c r="AQ87" s="1053"/>
      <c r="AR87" s="2627"/>
      <c r="AS87" s="1051"/>
      <c r="AT87" s="3615">
        <f t="shared" si="29"/>
        <v>4165.5499999999993</v>
      </c>
      <c r="AU87" s="1053"/>
      <c r="AV87" s="2627">
        <v>252.15</v>
      </c>
      <c r="AW87" s="1051"/>
      <c r="AX87" s="3615">
        <f t="shared" si="30"/>
        <v>4417.6999999999989</v>
      </c>
      <c r="AY87" s="1053"/>
      <c r="AZ87" s="2627"/>
      <c r="BA87" s="4110"/>
      <c r="BB87" s="4110">
        <f t="shared" si="31"/>
        <v>252.15</v>
      </c>
      <c r="BC87" s="795"/>
      <c r="BD87" s="795">
        <f t="shared" si="32"/>
        <v>2728.5</v>
      </c>
      <c r="BE87" s="3615"/>
      <c r="BF87" s="3615">
        <f t="shared" si="33"/>
        <v>4417.6999999999989</v>
      </c>
      <c r="BG87" s="26"/>
      <c r="BH87" s="26"/>
      <c r="BI87" s="26"/>
      <c r="BJ87" s="26"/>
    </row>
    <row r="88" spans="2:62" ht="15.75" x14ac:dyDescent="0.25">
      <c r="B88" s="1049" t="s">
        <v>913</v>
      </c>
      <c r="C88" s="1393" t="s">
        <v>1086</v>
      </c>
      <c r="D88" s="62" t="s">
        <v>52</v>
      </c>
      <c r="E88" s="1052"/>
      <c r="F88" s="1494">
        <v>838.45</v>
      </c>
      <c r="G88" s="1052"/>
      <c r="H88" s="1494"/>
      <c r="I88" s="1051"/>
      <c r="J88" s="3615">
        <f t="shared" si="19"/>
        <v>838.45</v>
      </c>
      <c r="K88" s="1052"/>
      <c r="L88" s="1494"/>
      <c r="M88" s="1111"/>
      <c r="N88" s="5255">
        <f t="shared" si="20"/>
        <v>838.45</v>
      </c>
      <c r="O88" s="1052"/>
      <c r="P88" s="1494">
        <v>1006.5499999999998</v>
      </c>
      <c r="Q88" s="1051"/>
      <c r="R88" s="3615">
        <f t="shared" si="21"/>
        <v>1845</v>
      </c>
      <c r="S88" s="1053"/>
      <c r="T88" s="2627"/>
      <c r="U88" s="1051"/>
      <c r="V88" s="3615">
        <f t="shared" si="22"/>
        <v>1845</v>
      </c>
      <c r="W88" s="1053"/>
      <c r="X88" s="2627"/>
      <c r="Y88" s="696"/>
      <c r="Z88" s="4110">
        <f t="shared" si="23"/>
        <v>1006.5499999999998</v>
      </c>
      <c r="AA88" s="795"/>
      <c r="AB88" s="795">
        <f t="shared" si="24"/>
        <v>1845</v>
      </c>
      <c r="AC88" s="1053"/>
      <c r="AD88" s="2627">
        <v>512.5</v>
      </c>
      <c r="AE88" s="1051"/>
      <c r="AF88" s="3615">
        <f t="shared" si="25"/>
        <v>2357.5</v>
      </c>
      <c r="AG88" s="1053"/>
      <c r="AH88" s="2627"/>
      <c r="AI88" s="1051"/>
      <c r="AJ88" s="3615">
        <f t="shared" si="26"/>
        <v>2357.5</v>
      </c>
      <c r="AK88" s="1053"/>
      <c r="AL88" s="2627">
        <f>1018.85-12.3</f>
        <v>1006.5500000000001</v>
      </c>
      <c r="AM88" s="4110"/>
      <c r="AN88" s="4110">
        <f t="shared" si="27"/>
        <v>1519.0500000000002</v>
      </c>
      <c r="AO88" s="3615"/>
      <c r="AP88" s="3615">
        <f t="shared" si="28"/>
        <v>3364.05</v>
      </c>
      <c r="AQ88" s="1053"/>
      <c r="AR88" s="2627"/>
      <c r="AS88" s="1051"/>
      <c r="AT88" s="3615">
        <f t="shared" si="29"/>
        <v>3364.05</v>
      </c>
      <c r="AU88" s="1053"/>
      <c r="AV88" s="2627">
        <f>307.5-36.9</f>
        <v>270.60000000000002</v>
      </c>
      <c r="AW88" s="1051"/>
      <c r="AX88" s="3615">
        <f t="shared" si="30"/>
        <v>3634.65</v>
      </c>
      <c r="AY88" s="1053"/>
      <c r="AZ88" s="2627"/>
      <c r="BA88" s="4110"/>
      <c r="BB88" s="4110">
        <f t="shared" si="31"/>
        <v>270.60000000000002</v>
      </c>
      <c r="BC88" s="795"/>
      <c r="BD88" s="795">
        <f t="shared" si="32"/>
        <v>1789.65</v>
      </c>
      <c r="BE88" s="3615"/>
      <c r="BF88" s="3615">
        <f t="shared" si="33"/>
        <v>3634.65</v>
      </c>
      <c r="BG88" s="26"/>
      <c r="BH88" s="26"/>
      <c r="BI88" s="26"/>
      <c r="BJ88" s="26"/>
    </row>
    <row r="89" spans="2:62" ht="15.75" x14ac:dyDescent="0.25">
      <c r="B89" s="1049" t="s">
        <v>913</v>
      </c>
      <c r="C89" s="1393" t="s">
        <v>1626</v>
      </c>
      <c r="D89" s="62" t="s">
        <v>52</v>
      </c>
      <c r="E89" s="1052"/>
      <c r="F89" s="1494"/>
      <c r="G89" s="1052"/>
      <c r="H89" s="1494"/>
      <c r="I89" s="1051"/>
      <c r="J89" s="3615">
        <f t="shared" si="19"/>
        <v>0</v>
      </c>
      <c r="K89" s="1052"/>
      <c r="L89" s="1494"/>
      <c r="M89" s="1111"/>
      <c r="N89" s="5255">
        <f t="shared" si="20"/>
        <v>0</v>
      </c>
      <c r="O89" s="1052"/>
      <c r="P89" s="1494">
        <v>518.65</v>
      </c>
      <c r="Q89" s="1051"/>
      <c r="R89" s="3615">
        <f t="shared" si="21"/>
        <v>518.65</v>
      </c>
      <c r="S89" s="1053"/>
      <c r="T89" s="2627"/>
      <c r="U89" s="1051"/>
      <c r="V89" s="3615">
        <f t="shared" si="22"/>
        <v>518.65</v>
      </c>
      <c r="W89" s="1053"/>
      <c r="X89" s="2627"/>
      <c r="Y89" s="696"/>
      <c r="Z89" s="4110">
        <f t="shared" si="23"/>
        <v>518.65</v>
      </c>
      <c r="AA89" s="795"/>
      <c r="AB89" s="795">
        <f t="shared" si="24"/>
        <v>518.65</v>
      </c>
      <c r="AC89" s="1053"/>
      <c r="AD89" s="2627">
        <v>807.69999999999993</v>
      </c>
      <c r="AE89" s="1051"/>
      <c r="AF89" s="3615">
        <f t="shared" si="25"/>
        <v>1326.35</v>
      </c>
      <c r="AG89" s="1053"/>
      <c r="AH89" s="2627"/>
      <c r="AI89" s="1051"/>
      <c r="AJ89" s="3615">
        <f t="shared" si="26"/>
        <v>1326.35</v>
      </c>
      <c r="AK89" s="1053"/>
      <c r="AL89" s="2627"/>
      <c r="AM89" s="4110"/>
      <c r="AN89" s="4110">
        <f t="shared" si="27"/>
        <v>807.69999999999993</v>
      </c>
      <c r="AO89" s="3615"/>
      <c r="AP89" s="3615">
        <f t="shared" si="28"/>
        <v>1326.35</v>
      </c>
      <c r="AQ89" s="1053"/>
      <c r="AR89" s="2627"/>
      <c r="AS89" s="1051"/>
      <c r="AT89" s="3615">
        <f t="shared" si="29"/>
        <v>1326.35</v>
      </c>
      <c r="AU89" s="1053"/>
      <c r="AV89" s="2627">
        <v>1022.9500000000002</v>
      </c>
      <c r="AW89" s="1051"/>
      <c r="AX89" s="3615">
        <f t="shared" si="30"/>
        <v>2349.3000000000002</v>
      </c>
      <c r="AY89" s="1053"/>
      <c r="AZ89" s="2627"/>
      <c r="BA89" s="4110"/>
      <c r="BB89" s="4110">
        <f t="shared" si="31"/>
        <v>1022.9500000000002</v>
      </c>
      <c r="BC89" s="795"/>
      <c r="BD89" s="795">
        <f t="shared" si="32"/>
        <v>1830.65</v>
      </c>
      <c r="BE89" s="3615"/>
      <c r="BF89" s="3615">
        <f t="shared" si="33"/>
        <v>2349.3000000000002</v>
      </c>
      <c r="BG89" s="26"/>
      <c r="BH89" s="26"/>
      <c r="BI89" s="26"/>
      <c r="BJ89" s="26"/>
    </row>
    <row r="90" spans="2:62" ht="15.75" x14ac:dyDescent="0.25">
      <c r="B90" s="1049" t="s">
        <v>896</v>
      </c>
      <c r="C90" s="1393" t="s">
        <v>1085</v>
      </c>
      <c r="D90" s="62" t="s">
        <v>52</v>
      </c>
      <c r="E90" s="62"/>
      <c r="F90" s="1494">
        <v>559.65</v>
      </c>
      <c r="G90" s="62"/>
      <c r="H90" s="1494"/>
      <c r="I90" s="1051"/>
      <c r="J90" s="3615">
        <f t="shared" si="19"/>
        <v>559.65</v>
      </c>
      <c r="K90" s="62"/>
      <c r="L90" s="1494"/>
      <c r="M90" s="1111"/>
      <c r="N90" s="5255">
        <f t="shared" si="20"/>
        <v>559.65</v>
      </c>
      <c r="O90" s="62"/>
      <c r="P90" s="1494">
        <v>1475.9999999999995</v>
      </c>
      <c r="Q90" s="1051"/>
      <c r="R90" s="3615">
        <f t="shared" si="21"/>
        <v>2035.6499999999996</v>
      </c>
      <c r="S90" s="1053"/>
      <c r="T90" s="2627"/>
      <c r="U90" s="1051"/>
      <c r="V90" s="3615">
        <f t="shared" si="22"/>
        <v>2035.6499999999996</v>
      </c>
      <c r="W90" s="1053"/>
      <c r="X90" s="2627"/>
      <c r="Y90" s="696"/>
      <c r="Z90" s="4110">
        <f t="shared" si="23"/>
        <v>1475.9999999999995</v>
      </c>
      <c r="AA90" s="795"/>
      <c r="AB90" s="795">
        <f t="shared" si="24"/>
        <v>2035.6499999999996</v>
      </c>
      <c r="AC90" s="1053"/>
      <c r="AD90" s="2627">
        <f>1314.05-22.55</f>
        <v>1291.5</v>
      </c>
      <c r="AE90" s="1051"/>
      <c r="AF90" s="3615">
        <f t="shared" si="25"/>
        <v>3327.1499999999996</v>
      </c>
      <c r="AG90" s="1053"/>
      <c r="AH90" s="2627"/>
      <c r="AI90" s="1051"/>
      <c r="AJ90" s="3615">
        <f t="shared" si="26"/>
        <v>3327.1499999999996</v>
      </c>
      <c r="AK90" s="1053"/>
      <c r="AL90" s="2627">
        <f>1545.7-2.05</f>
        <v>1543.65</v>
      </c>
      <c r="AM90" s="4110"/>
      <c r="AN90" s="4110">
        <f t="shared" si="27"/>
        <v>2835.15</v>
      </c>
      <c r="AO90" s="3615"/>
      <c r="AP90" s="3615">
        <f t="shared" si="28"/>
        <v>4870.7999999999993</v>
      </c>
      <c r="AQ90" s="1053"/>
      <c r="AR90" s="2627"/>
      <c r="AS90" s="1051"/>
      <c r="AT90" s="3615">
        <f t="shared" si="29"/>
        <v>4870.7999999999993</v>
      </c>
      <c r="AU90" s="1053"/>
      <c r="AV90" s="2627">
        <v>1475.9999999999995</v>
      </c>
      <c r="AW90" s="1051"/>
      <c r="AX90" s="3615">
        <f t="shared" si="30"/>
        <v>6346.7999999999993</v>
      </c>
      <c r="AY90" s="1053"/>
      <c r="AZ90" s="2627"/>
      <c r="BA90" s="4110"/>
      <c r="BB90" s="4110">
        <f t="shared" si="31"/>
        <v>1475.9999999999995</v>
      </c>
      <c r="BC90" s="795"/>
      <c r="BD90" s="795">
        <f t="shared" si="32"/>
        <v>4311.1499999999996</v>
      </c>
      <c r="BE90" s="3615"/>
      <c r="BF90" s="3615">
        <f t="shared" si="33"/>
        <v>6346.7999999999993</v>
      </c>
      <c r="BG90" s="26"/>
      <c r="BH90" s="26"/>
      <c r="BI90" s="26"/>
      <c r="BJ90" s="26"/>
    </row>
    <row r="91" spans="2:62" s="4092" customFormat="1" ht="15.75" x14ac:dyDescent="0.25">
      <c r="B91" s="1049" t="s">
        <v>896</v>
      </c>
      <c r="C91" s="1393" t="s">
        <v>1023</v>
      </c>
      <c r="D91" s="62" t="s">
        <v>52</v>
      </c>
      <c r="E91" s="2441"/>
      <c r="F91" s="2941"/>
      <c r="G91" s="2441"/>
      <c r="H91" s="2941"/>
      <c r="I91" s="1051"/>
      <c r="J91" s="3615">
        <f t="shared" si="19"/>
        <v>0</v>
      </c>
      <c r="K91" s="2441"/>
      <c r="L91" s="2941"/>
      <c r="M91" s="1111"/>
      <c r="N91" s="5255">
        <f t="shared" si="20"/>
        <v>0</v>
      </c>
      <c r="O91" s="2441"/>
      <c r="P91" s="2941"/>
      <c r="Q91" s="1051"/>
      <c r="R91" s="3615">
        <f t="shared" si="21"/>
        <v>0</v>
      </c>
      <c r="S91" s="1053"/>
      <c r="T91" s="2627"/>
      <c r="U91" s="1051"/>
      <c r="V91" s="3615">
        <f t="shared" si="22"/>
        <v>0</v>
      </c>
      <c r="W91" s="1053"/>
      <c r="X91" s="2627"/>
      <c r="Y91" s="4094"/>
      <c r="Z91" s="4110">
        <f t="shared" si="23"/>
        <v>0</v>
      </c>
      <c r="AA91" s="795"/>
      <c r="AB91" s="795">
        <f t="shared" si="24"/>
        <v>0</v>
      </c>
      <c r="AC91" s="1053"/>
      <c r="AD91" s="2627">
        <v>172.20000000000002</v>
      </c>
      <c r="AE91" s="1051"/>
      <c r="AF91" s="3615">
        <f t="shared" si="25"/>
        <v>172.20000000000002</v>
      </c>
      <c r="AG91" s="1053"/>
      <c r="AH91" s="2627"/>
      <c r="AI91" s="1051"/>
      <c r="AJ91" s="3615">
        <f t="shared" si="26"/>
        <v>172.20000000000002</v>
      </c>
      <c r="AK91" s="1053"/>
      <c r="AL91" s="2627"/>
      <c r="AM91" s="4110"/>
      <c r="AN91" s="4110">
        <f t="shared" si="27"/>
        <v>172.20000000000002</v>
      </c>
      <c r="AO91" s="3615"/>
      <c r="AP91" s="3615">
        <f t="shared" si="28"/>
        <v>172.20000000000002</v>
      </c>
      <c r="AQ91" s="1053"/>
      <c r="AR91" s="2627"/>
      <c r="AS91" s="1051"/>
      <c r="AT91" s="3615">
        <f t="shared" si="29"/>
        <v>172.20000000000002</v>
      </c>
      <c r="AU91" s="1053"/>
      <c r="AV91" s="2627"/>
      <c r="AW91" s="1051"/>
      <c r="AX91" s="3615">
        <f t="shared" si="30"/>
        <v>172.20000000000002</v>
      </c>
      <c r="AY91" s="1053"/>
      <c r="AZ91" s="2627"/>
      <c r="BA91" s="4110"/>
      <c r="BB91" s="4110">
        <f t="shared" si="31"/>
        <v>0</v>
      </c>
      <c r="BC91" s="795"/>
      <c r="BD91" s="795">
        <f t="shared" si="32"/>
        <v>172.20000000000002</v>
      </c>
      <c r="BE91" s="3615"/>
      <c r="BF91" s="3615">
        <f t="shared" si="33"/>
        <v>172.20000000000002</v>
      </c>
      <c r="BG91" s="26"/>
      <c r="BH91" s="26"/>
      <c r="BI91" s="26"/>
      <c r="BJ91" s="26"/>
    </row>
    <row r="92" spans="2:62" ht="15.75" x14ac:dyDescent="0.25">
      <c r="B92" s="1049" t="s">
        <v>896</v>
      </c>
      <c r="C92" s="1393" t="s">
        <v>1086</v>
      </c>
      <c r="D92" s="62" t="s">
        <v>52</v>
      </c>
      <c r="E92" s="1052"/>
      <c r="F92" s="1494">
        <v>381.3</v>
      </c>
      <c r="G92" s="1052"/>
      <c r="H92" s="1494"/>
      <c r="I92" s="1051"/>
      <c r="J92" s="3615">
        <f t="shared" si="19"/>
        <v>381.3</v>
      </c>
      <c r="K92" s="1052"/>
      <c r="L92" s="1494"/>
      <c r="M92" s="1111"/>
      <c r="N92" s="5255">
        <f t="shared" si="20"/>
        <v>381.3</v>
      </c>
      <c r="O92" s="1052"/>
      <c r="P92" s="1494">
        <v>516.6</v>
      </c>
      <c r="Q92" s="1051"/>
      <c r="R92" s="3615">
        <f t="shared" si="21"/>
        <v>897.90000000000009</v>
      </c>
      <c r="S92" s="1053"/>
      <c r="T92" s="2627"/>
      <c r="U92" s="1051"/>
      <c r="V92" s="3615">
        <f t="shared" si="22"/>
        <v>897.90000000000009</v>
      </c>
      <c r="W92" s="1053"/>
      <c r="X92" s="2627"/>
      <c r="Y92" s="696"/>
      <c r="Z92" s="4110">
        <f t="shared" si="23"/>
        <v>516.6</v>
      </c>
      <c r="AA92" s="795"/>
      <c r="AB92" s="795">
        <f t="shared" si="24"/>
        <v>897.90000000000009</v>
      </c>
      <c r="AC92" s="1053"/>
      <c r="AD92" s="2627">
        <v>305.45</v>
      </c>
      <c r="AE92" s="1051"/>
      <c r="AF92" s="3615">
        <f t="shared" si="25"/>
        <v>1203.3500000000001</v>
      </c>
      <c r="AG92" s="1053"/>
      <c r="AH92" s="2627"/>
      <c r="AI92" s="1051"/>
      <c r="AJ92" s="3615">
        <f t="shared" si="26"/>
        <v>1203.3500000000001</v>
      </c>
      <c r="AK92" s="1053"/>
      <c r="AL92" s="2627">
        <f>504.3-14.35</f>
        <v>489.95</v>
      </c>
      <c r="AM92" s="4110"/>
      <c r="AN92" s="4110">
        <f t="shared" si="27"/>
        <v>795.4</v>
      </c>
      <c r="AO92" s="3615"/>
      <c r="AP92" s="3615">
        <f t="shared" si="28"/>
        <v>1693.3000000000002</v>
      </c>
      <c r="AQ92" s="1053"/>
      <c r="AR92" s="2627"/>
      <c r="AS92" s="1051"/>
      <c r="AT92" s="3615">
        <f t="shared" si="29"/>
        <v>1693.3000000000002</v>
      </c>
      <c r="AU92" s="1053"/>
      <c r="AV92" s="2627">
        <f>282.9-2.05</f>
        <v>280.84999999999997</v>
      </c>
      <c r="AW92" s="1051"/>
      <c r="AX92" s="3615">
        <f t="shared" si="30"/>
        <v>1974.15</v>
      </c>
      <c r="AY92" s="1053"/>
      <c r="AZ92" s="2627"/>
      <c r="BA92" s="4110"/>
      <c r="BB92" s="4110">
        <f t="shared" si="31"/>
        <v>280.84999999999997</v>
      </c>
      <c r="BC92" s="795"/>
      <c r="BD92" s="795">
        <f t="shared" si="32"/>
        <v>1076.25</v>
      </c>
      <c r="BE92" s="3615"/>
      <c r="BF92" s="3615">
        <f t="shared" si="33"/>
        <v>1974.15</v>
      </c>
      <c r="BG92" s="26"/>
      <c r="BH92" s="26"/>
      <c r="BI92" s="26"/>
      <c r="BJ92" s="26"/>
    </row>
    <row r="93" spans="2:62" ht="15.75" x14ac:dyDescent="0.25">
      <c r="B93" s="1049" t="s">
        <v>896</v>
      </c>
      <c r="C93" s="1393" t="s">
        <v>1626</v>
      </c>
      <c r="D93" s="62" t="s">
        <v>52</v>
      </c>
      <c r="E93" s="2441"/>
      <c r="F93" s="1494"/>
      <c r="G93" s="2441"/>
      <c r="H93" s="1494"/>
      <c r="I93" s="1051"/>
      <c r="J93" s="3615">
        <f t="shared" si="19"/>
        <v>0</v>
      </c>
      <c r="K93" s="2441"/>
      <c r="L93" s="1494"/>
      <c r="M93" s="1111"/>
      <c r="N93" s="5255">
        <f t="shared" si="20"/>
        <v>0</v>
      </c>
      <c r="O93" s="2441"/>
      <c r="P93" s="1494">
        <v>510.44999999999993</v>
      </c>
      <c r="Q93" s="1051"/>
      <c r="R93" s="3615">
        <f t="shared" si="21"/>
        <v>510.44999999999993</v>
      </c>
      <c r="S93" s="1053"/>
      <c r="T93" s="2627"/>
      <c r="U93" s="1051"/>
      <c r="V93" s="3615">
        <f t="shared" si="22"/>
        <v>510.44999999999993</v>
      </c>
      <c r="W93" s="1053"/>
      <c r="X93" s="2627"/>
      <c r="Y93" s="696"/>
      <c r="Z93" s="4110">
        <f t="shared" si="23"/>
        <v>510.44999999999993</v>
      </c>
      <c r="AA93" s="795"/>
      <c r="AB93" s="795">
        <f t="shared" si="24"/>
        <v>510.44999999999993</v>
      </c>
      <c r="AC93" s="1053"/>
      <c r="AD93" s="2627">
        <f>840.5-45.1</f>
        <v>795.4</v>
      </c>
      <c r="AE93" s="1051"/>
      <c r="AF93" s="3615">
        <f t="shared" si="25"/>
        <v>1305.8499999999999</v>
      </c>
      <c r="AG93" s="1053"/>
      <c r="AH93" s="2627"/>
      <c r="AI93" s="1051"/>
      <c r="AJ93" s="3615">
        <f t="shared" si="26"/>
        <v>1305.8499999999999</v>
      </c>
      <c r="AK93" s="1053"/>
      <c r="AL93" s="2627">
        <v>432.55</v>
      </c>
      <c r="AM93" s="4110"/>
      <c r="AN93" s="4110">
        <f t="shared" si="27"/>
        <v>1227.95</v>
      </c>
      <c r="AO93" s="3615"/>
      <c r="AP93" s="3615">
        <f t="shared" si="28"/>
        <v>1738.3999999999999</v>
      </c>
      <c r="AQ93" s="1053"/>
      <c r="AR93" s="2627"/>
      <c r="AS93" s="1051"/>
      <c r="AT93" s="3615">
        <f t="shared" si="29"/>
        <v>1738.3999999999999</v>
      </c>
      <c r="AU93" s="1053"/>
      <c r="AV93" s="2627">
        <f>998.35-82</f>
        <v>916.35</v>
      </c>
      <c r="AW93" s="1051"/>
      <c r="AX93" s="3615">
        <f t="shared" si="30"/>
        <v>2654.75</v>
      </c>
      <c r="AY93" s="1053"/>
      <c r="AZ93" s="2627"/>
      <c r="BA93" s="4110"/>
      <c r="BB93" s="4110">
        <f t="shared" si="31"/>
        <v>916.35</v>
      </c>
      <c r="BC93" s="795"/>
      <c r="BD93" s="795">
        <f t="shared" si="32"/>
        <v>2144.3000000000002</v>
      </c>
      <c r="BE93" s="3615"/>
      <c r="BF93" s="3615">
        <f t="shared" si="33"/>
        <v>2654.75</v>
      </c>
      <c r="BG93" s="26"/>
      <c r="BH93" s="26"/>
      <c r="BI93" s="26"/>
      <c r="BJ93" s="26"/>
    </row>
    <row r="94" spans="2:62" ht="15.75" x14ac:dyDescent="0.25">
      <c r="B94" s="1049" t="s">
        <v>904</v>
      </c>
      <c r="C94" s="1393" t="s">
        <v>1338</v>
      </c>
      <c r="D94" s="62" t="s">
        <v>52</v>
      </c>
      <c r="E94" s="1052"/>
      <c r="F94" s="1494"/>
      <c r="G94" s="1052"/>
      <c r="H94" s="1494">
        <v>2000.7999999999995</v>
      </c>
      <c r="I94" s="1051"/>
      <c r="J94" s="3615">
        <f t="shared" si="19"/>
        <v>2000.7999999999995</v>
      </c>
      <c r="K94" s="1052"/>
      <c r="L94" s="1494"/>
      <c r="M94" s="1111"/>
      <c r="N94" s="5255">
        <f t="shared" si="20"/>
        <v>2000.7999999999995</v>
      </c>
      <c r="O94" s="1052"/>
      <c r="P94" s="1494"/>
      <c r="Q94" s="1051"/>
      <c r="R94" s="3615">
        <f t="shared" si="21"/>
        <v>2000.7999999999995</v>
      </c>
      <c r="S94" s="1053"/>
      <c r="T94" s="2627"/>
      <c r="U94" s="1051"/>
      <c r="V94" s="3615">
        <f t="shared" si="22"/>
        <v>2000.7999999999995</v>
      </c>
      <c r="W94" s="1053"/>
      <c r="X94" s="2627"/>
      <c r="Y94" s="696"/>
      <c r="Z94" s="4110">
        <f t="shared" si="23"/>
        <v>0</v>
      </c>
      <c r="AA94" s="795"/>
      <c r="AB94" s="795">
        <f t="shared" si="24"/>
        <v>2000.7999999999995</v>
      </c>
      <c r="AC94" s="1053"/>
      <c r="AD94" s="2627"/>
      <c r="AE94" s="1051"/>
      <c r="AF94" s="3615">
        <f t="shared" si="25"/>
        <v>2000.7999999999995</v>
      </c>
      <c r="AG94" s="1053"/>
      <c r="AH94" s="2627"/>
      <c r="AI94" s="1051"/>
      <c r="AJ94" s="3615">
        <f t="shared" si="26"/>
        <v>2000.7999999999995</v>
      </c>
      <c r="AK94" s="1053"/>
      <c r="AL94" s="2627"/>
      <c r="AM94" s="4110"/>
      <c r="AN94" s="4110">
        <f t="shared" si="27"/>
        <v>0</v>
      </c>
      <c r="AO94" s="3615"/>
      <c r="AP94" s="3615">
        <f t="shared" si="28"/>
        <v>2000.7999999999995</v>
      </c>
      <c r="AQ94" s="1053"/>
      <c r="AR94" s="2627"/>
      <c r="AS94" s="1051"/>
      <c r="AT94" s="3615">
        <f t="shared" si="29"/>
        <v>2000.7999999999995</v>
      </c>
      <c r="AU94" s="1053"/>
      <c r="AV94" s="2627"/>
      <c r="AW94" s="1051"/>
      <c r="AX94" s="3615">
        <f t="shared" si="30"/>
        <v>2000.7999999999995</v>
      </c>
      <c r="AY94" s="1053"/>
      <c r="AZ94" s="2627"/>
      <c r="BA94" s="4110"/>
      <c r="BB94" s="4110">
        <f t="shared" si="31"/>
        <v>0</v>
      </c>
      <c r="BC94" s="795"/>
      <c r="BD94" s="795">
        <f t="shared" si="32"/>
        <v>0</v>
      </c>
      <c r="BE94" s="3615"/>
      <c r="BF94" s="3615">
        <f t="shared" si="33"/>
        <v>2000.7999999999995</v>
      </c>
      <c r="BG94" s="26"/>
      <c r="BH94" s="26"/>
      <c r="BI94" s="26"/>
      <c r="BJ94" s="26"/>
    </row>
    <row r="95" spans="2:62" ht="15.75" x14ac:dyDescent="0.25">
      <c r="B95" s="1049" t="s">
        <v>904</v>
      </c>
      <c r="C95" s="1393" t="s">
        <v>908</v>
      </c>
      <c r="D95" s="62" t="s">
        <v>52</v>
      </c>
      <c r="E95" s="1052"/>
      <c r="F95" s="1494"/>
      <c r="G95" s="1052"/>
      <c r="H95" s="1494">
        <v>4725.25</v>
      </c>
      <c r="I95" s="1051"/>
      <c r="J95" s="3615">
        <f t="shared" si="19"/>
        <v>4725.25</v>
      </c>
      <c r="K95" s="1052"/>
      <c r="L95" s="1494"/>
      <c r="M95" s="1111"/>
      <c r="N95" s="5255">
        <f t="shared" si="20"/>
        <v>4725.25</v>
      </c>
      <c r="O95" s="1052"/>
      <c r="P95" s="1494"/>
      <c r="Q95" s="1051"/>
      <c r="R95" s="3615">
        <f t="shared" si="21"/>
        <v>4725.25</v>
      </c>
      <c r="S95" s="1053"/>
      <c r="T95" s="2627"/>
      <c r="U95" s="1051"/>
      <c r="V95" s="3615">
        <f t="shared" si="22"/>
        <v>4725.25</v>
      </c>
      <c r="W95" s="1053"/>
      <c r="X95" s="2627"/>
      <c r="Y95" s="696"/>
      <c r="Z95" s="4110">
        <f t="shared" si="23"/>
        <v>0</v>
      </c>
      <c r="AA95" s="795"/>
      <c r="AB95" s="795">
        <f t="shared" si="24"/>
        <v>4725.25</v>
      </c>
      <c r="AC95" s="1053"/>
      <c r="AD95" s="2627"/>
      <c r="AE95" s="1051"/>
      <c r="AF95" s="3615">
        <f t="shared" si="25"/>
        <v>4725.25</v>
      </c>
      <c r="AG95" s="1053"/>
      <c r="AH95" s="2627"/>
      <c r="AI95" s="1051"/>
      <c r="AJ95" s="3615">
        <f t="shared" si="26"/>
        <v>4725.25</v>
      </c>
      <c r="AK95" s="1053"/>
      <c r="AL95" s="2627"/>
      <c r="AM95" s="4110"/>
      <c r="AN95" s="4110">
        <f t="shared" si="27"/>
        <v>0</v>
      </c>
      <c r="AO95" s="3615"/>
      <c r="AP95" s="3615">
        <f t="shared" si="28"/>
        <v>4725.25</v>
      </c>
      <c r="AQ95" s="1053"/>
      <c r="AR95" s="2627"/>
      <c r="AS95" s="1051"/>
      <c r="AT95" s="3615">
        <f t="shared" si="29"/>
        <v>4725.25</v>
      </c>
      <c r="AU95" s="1053"/>
      <c r="AV95" s="2627"/>
      <c r="AW95" s="1051"/>
      <c r="AX95" s="3615">
        <f t="shared" si="30"/>
        <v>4725.25</v>
      </c>
      <c r="AY95" s="1053"/>
      <c r="AZ95" s="2627"/>
      <c r="BA95" s="4110"/>
      <c r="BB95" s="4110">
        <f t="shared" si="31"/>
        <v>0</v>
      </c>
      <c r="BC95" s="795"/>
      <c r="BD95" s="795">
        <f t="shared" si="32"/>
        <v>0</v>
      </c>
      <c r="BE95" s="3615"/>
      <c r="BF95" s="3615">
        <f t="shared" si="33"/>
        <v>4725.25</v>
      </c>
      <c r="BG95" s="26"/>
      <c r="BH95" s="26"/>
      <c r="BI95" s="26"/>
      <c r="BJ95" s="26"/>
    </row>
    <row r="96" spans="2:62" s="3272" customFormat="1" ht="15.75" x14ac:dyDescent="0.25">
      <c r="B96" s="5621" t="s">
        <v>1118</v>
      </c>
      <c r="J96" s="3615">
        <f t="shared" si="19"/>
        <v>0</v>
      </c>
      <c r="N96" s="5255">
        <f t="shared" si="20"/>
        <v>0</v>
      </c>
      <c r="R96" s="3615">
        <f t="shared" si="21"/>
        <v>0</v>
      </c>
      <c r="V96" s="3615">
        <f t="shared" si="22"/>
        <v>0</v>
      </c>
      <c r="W96" s="3297"/>
      <c r="X96" s="3297"/>
      <c r="Y96" s="3547"/>
      <c r="Z96" s="4110">
        <f t="shared" si="23"/>
        <v>0</v>
      </c>
      <c r="AA96" s="795"/>
      <c r="AB96" s="795">
        <f t="shared" si="24"/>
        <v>0</v>
      </c>
      <c r="AC96" s="4092"/>
      <c r="AD96" s="4092"/>
      <c r="AE96" s="4092"/>
      <c r="AF96" s="3615">
        <f t="shared" si="25"/>
        <v>0</v>
      </c>
      <c r="AG96" s="4184"/>
      <c r="AH96" s="4184"/>
      <c r="AI96" s="4184"/>
      <c r="AJ96" s="3615">
        <f t="shared" si="26"/>
        <v>0</v>
      </c>
      <c r="AK96" s="4321"/>
      <c r="AL96" s="4321"/>
      <c r="AM96" s="4321"/>
      <c r="AN96" s="4110">
        <f t="shared" si="27"/>
        <v>0</v>
      </c>
      <c r="AO96" s="3615"/>
      <c r="AP96" s="3615">
        <f t="shared" si="28"/>
        <v>0</v>
      </c>
      <c r="AQ96" s="4438"/>
      <c r="AR96" s="4438"/>
      <c r="AS96" s="4438"/>
      <c r="AT96" s="3615">
        <f t="shared" si="29"/>
        <v>0</v>
      </c>
      <c r="AU96" s="4675"/>
      <c r="AV96" s="4675"/>
      <c r="AW96" s="4675"/>
      <c r="AX96" s="3615">
        <f t="shared" si="30"/>
        <v>0</v>
      </c>
      <c r="AY96" s="5117"/>
      <c r="AZ96" s="5117"/>
      <c r="BA96" s="5117"/>
      <c r="BB96" s="4110">
        <f t="shared" si="31"/>
        <v>0</v>
      </c>
      <c r="BC96" s="795"/>
      <c r="BD96" s="795">
        <f t="shared" si="32"/>
        <v>0</v>
      </c>
      <c r="BE96" s="3615"/>
      <c r="BF96" s="3615">
        <f t="shared" si="33"/>
        <v>0</v>
      </c>
      <c r="BG96" s="26"/>
      <c r="BH96" s="26"/>
      <c r="BI96" s="26"/>
      <c r="BJ96" s="26"/>
    </row>
    <row r="97" spans="2:62" ht="15.75" x14ac:dyDescent="0.25">
      <c r="B97" s="2213" t="s">
        <v>1084</v>
      </c>
      <c r="C97" s="2214" t="s">
        <v>1119</v>
      </c>
      <c r="D97" s="2215" t="s">
        <v>52</v>
      </c>
      <c r="E97" s="1052"/>
      <c r="F97" s="1706">
        <v>22.55</v>
      </c>
      <c r="G97" s="1052"/>
      <c r="H97" s="1706">
        <v>20.5</v>
      </c>
      <c r="I97" s="2209"/>
      <c r="J97" s="3615">
        <f t="shared" si="19"/>
        <v>43.05</v>
      </c>
      <c r="K97" s="1052"/>
      <c r="L97" s="1706">
        <v>2.0499999999999998</v>
      </c>
      <c r="M97" s="1111"/>
      <c r="N97" s="5255">
        <f t="shared" si="20"/>
        <v>45.099999999999994</v>
      </c>
      <c r="O97" s="1052"/>
      <c r="P97" s="1706"/>
      <c r="Q97" s="331"/>
      <c r="R97" s="3615">
        <f t="shared" si="21"/>
        <v>45.099999999999994</v>
      </c>
      <c r="S97" s="131"/>
      <c r="T97" s="2627">
        <v>2.0499999999999998</v>
      </c>
      <c r="U97" s="331"/>
      <c r="V97" s="3615">
        <f t="shared" si="22"/>
        <v>47.149999999999991</v>
      </c>
      <c r="W97" s="131"/>
      <c r="X97" s="2627"/>
      <c r="Y97" s="696"/>
      <c r="Z97" s="4110">
        <f t="shared" si="23"/>
        <v>2.0499999999999998</v>
      </c>
      <c r="AA97" s="795"/>
      <c r="AB97" s="795">
        <f t="shared" si="24"/>
        <v>47.149999999999991</v>
      </c>
      <c r="AC97" s="131"/>
      <c r="AD97" s="2627"/>
      <c r="AE97" s="331"/>
      <c r="AF97" s="3615">
        <f t="shared" si="25"/>
        <v>47.149999999999991</v>
      </c>
      <c r="AG97" s="131"/>
      <c r="AH97" s="2627"/>
      <c r="AI97" s="331"/>
      <c r="AJ97" s="3615">
        <f t="shared" si="26"/>
        <v>47.149999999999991</v>
      </c>
      <c r="AK97" s="131"/>
      <c r="AL97" s="2627"/>
      <c r="AM97" s="4110"/>
      <c r="AN97" s="4110">
        <f t="shared" si="27"/>
        <v>0</v>
      </c>
      <c r="AO97" s="3615"/>
      <c r="AP97" s="3615">
        <f t="shared" si="28"/>
        <v>47.149999999999991</v>
      </c>
      <c r="AQ97" s="131"/>
      <c r="AR97" s="2627"/>
      <c r="AS97" s="331"/>
      <c r="AT97" s="3615">
        <f t="shared" si="29"/>
        <v>47.149999999999991</v>
      </c>
      <c r="AU97" s="131"/>
      <c r="AV97" s="2627"/>
      <c r="AW97" s="331"/>
      <c r="AX97" s="3615">
        <f t="shared" si="30"/>
        <v>47.149999999999991</v>
      </c>
      <c r="AY97" s="131"/>
      <c r="AZ97" s="2627"/>
      <c r="BA97" s="4110"/>
      <c r="BB97" s="4110">
        <f t="shared" si="31"/>
        <v>0</v>
      </c>
      <c r="BC97" s="795"/>
      <c r="BD97" s="795">
        <f t="shared" si="32"/>
        <v>0</v>
      </c>
      <c r="BE97" s="3615"/>
      <c r="BF97" s="3615">
        <f t="shared" si="33"/>
        <v>47.149999999999991</v>
      </c>
      <c r="BG97" s="26"/>
      <c r="BH97" s="26"/>
      <c r="BI97" s="26"/>
      <c r="BJ97" s="26"/>
    </row>
    <row r="98" spans="2:62" ht="15.75" x14ac:dyDescent="0.25">
      <c r="B98" s="2213" t="s">
        <v>1083</v>
      </c>
      <c r="C98" s="2214" t="s">
        <v>1119</v>
      </c>
      <c r="D98" s="2215" t="s">
        <v>52</v>
      </c>
      <c r="E98" s="1052"/>
      <c r="F98" s="1706">
        <v>82</v>
      </c>
      <c r="G98" s="1052"/>
      <c r="H98" s="1706">
        <v>12.3</v>
      </c>
      <c r="I98" s="2209"/>
      <c r="J98" s="3615">
        <f t="shared" si="19"/>
        <v>94.3</v>
      </c>
      <c r="K98" s="1052"/>
      <c r="L98" s="1706">
        <v>57.4</v>
      </c>
      <c r="M98" s="1111"/>
      <c r="N98" s="5255">
        <f t="shared" si="20"/>
        <v>151.69999999999999</v>
      </c>
      <c r="O98" s="1052"/>
      <c r="P98" s="1706">
        <f>10*2.05</f>
        <v>20.5</v>
      </c>
      <c r="Q98" s="331"/>
      <c r="R98" s="3615">
        <f t="shared" si="21"/>
        <v>172.2</v>
      </c>
      <c r="S98" s="131"/>
      <c r="T98" s="2657">
        <v>36.9</v>
      </c>
      <c r="U98" s="331"/>
      <c r="V98" s="3615">
        <f t="shared" si="22"/>
        <v>209.1</v>
      </c>
      <c r="W98" s="131"/>
      <c r="X98" s="2657">
        <v>34.849999999999994</v>
      </c>
      <c r="Y98" s="696"/>
      <c r="Z98" s="4110">
        <f t="shared" si="23"/>
        <v>92.25</v>
      </c>
      <c r="AA98" s="795"/>
      <c r="AB98" s="795">
        <f t="shared" si="24"/>
        <v>243.95</v>
      </c>
      <c r="AC98" s="131"/>
      <c r="AD98" s="2657">
        <v>41</v>
      </c>
      <c r="AE98" s="331"/>
      <c r="AF98" s="3615">
        <f t="shared" si="25"/>
        <v>284.95</v>
      </c>
      <c r="AG98" s="131"/>
      <c r="AH98" s="2657">
        <v>2.0499999999999998</v>
      </c>
      <c r="AI98" s="331"/>
      <c r="AJ98" s="3615">
        <f t="shared" si="26"/>
        <v>287</v>
      </c>
      <c r="AK98" s="131"/>
      <c r="AL98" s="2657">
        <v>45.1</v>
      </c>
      <c r="AM98" s="4110"/>
      <c r="AN98" s="4110">
        <f t="shared" si="27"/>
        <v>88.15</v>
      </c>
      <c r="AO98" s="3615"/>
      <c r="AP98" s="3615">
        <f t="shared" si="28"/>
        <v>332.1</v>
      </c>
      <c r="AQ98" s="131"/>
      <c r="AR98" s="2657">
        <v>51.25</v>
      </c>
      <c r="AS98" s="331"/>
      <c r="AT98" s="3615">
        <f t="shared" si="29"/>
        <v>383.35</v>
      </c>
      <c r="AU98" s="131"/>
      <c r="AV98" s="2657">
        <v>16.399999999999999</v>
      </c>
      <c r="AW98" s="331"/>
      <c r="AX98" s="3615">
        <f t="shared" si="30"/>
        <v>399.75</v>
      </c>
      <c r="AY98" s="131"/>
      <c r="AZ98" s="2657">
        <v>24.6</v>
      </c>
      <c r="BA98" s="4110"/>
      <c r="BB98" s="4110">
        <f t="shared" si="31"/>
        <v>92.25</v>
      </c>
      <c r="BC98" s="795"/>
      <c r="BD98" s="795">
        <f t="shared" si="32"/>
        <v>180.4</v>
      </c>
      <c r="BE98" s="3615"/>
      <c r="BF98" s="3615">
        <f t="shared" si="33"/>
        <v>424.35</v>
      </c>
      <c r="BG98" s="26"/>
      <c r="BH98" s="26"/>
      <c r="BI98" s="26"/>
      <c r="BJ98" s="26"/>
    </row>
    <row r="99" spans="2:62" ht="15.75" x14ac:dyDescent="0.25">
      <c r="B99" s="2213" t="s">
        <v>1082</v>
      </c>
      <c r="C99" s="2214" t="s">
        <v>1119</v>
      </c>
      <c r="D99" s="2215" t="s">
        <v>52</v>
      </c>
      <c r="E99" s="1052"/>
      <c r="F99" s="1706"/>
      <c r="G99" s="1052"/>
      <c r="H99" s="1706"/>
      <c r="I99" s="2209"/>
      <c r="J99" s="3615">
        <f t="shared" si="19"/>
        <v>0</v>
      </c>
      <c r="K99" s="1052"/>
      <c r="L99" s="1706">
        <v>2.0499999999999998</v>
      </c>
      <c r="M99" s="1111"/>
      <c r="N99" s="5255">
        <f t="shared" si="20"/>
        <v>2.0499999999999998</v>
      </c>
      <c r="O99" s="1052"/>
      <c r="P99" s="1706"/>
      <c r="Q99" s="331"/>
      <c r="R99" s="3615">
        <f t="shared" si="21"/>
        <v>2.0499999999999998</v>
      </c>
      <c r="S99" s="131"/>
      <c r="T99" s="2627">
        <v>0</v>
      </c>
      <c r="U99" s="331"/>
      <c r="V99" s="3615">
        <f t="shared" si="22"/>
        <v>2.0499999999999998</v>
      </c>
      <c r="W99" s="131"/>
      <c r="X99" s="2627"/>
      <c r="Y99" s="696"/>
      <c r="Z99" s="4110">
        <f t="shared" si="23"/>
        <v>0</v>
      </c>
      <c r="AA99" s="795"/>
      <c r="AB99" s="795">
        <f t="shared" si="24"/>
        <v>2.0499999999999998</v>
      </c>
      <c r="AC99" s="131"/>
      <c r="AD99" s="2627"/>
      <c r="AE99" s="331"/>
      <c r="AF99" s="3615">
        <f t="shared" si="25"/>
        <v>2.0499999999999998</v>
      </c>
      <c r="AG99" s="131"/>
      <c r="AH99" s="2627"/>
      <c r="AI99" s="331"/>
      <c r="AJ99" s="3615">
        <f t="shared" si="26"/>
        <v>2.0499999999999998</v>
      </c>
      <c r="AK99" s="131"/>
      <c r="AL99" s="2627"/>
      <c r="AM99" s="4110"/>
      <c r="AN99" s="4110">
        <f t="shared" si="27"/>
        <v>0</v>
      </c>
      <c r="AO99" s="3615"/>
      <c r="AP99" s="3615">
        <f t="shared" si="28"/>
        <v>2.0499999999999998</v>
      </c>
      <c r="AQ99" s="131"/>
      <c r="AR99" s="2627">
        <v>10.25</v>
      </c>
      <c r="AS99" s="331"/>
      <c r="AT99" s="3615">
        <f t="shared" si="29"/>
        <v>12.3</v>
      </c>
      <c r="AU99" s="131"/>
      <c r="AV99" s="2627">
        <v>65.599999999999994</v>
      </c>
      <c r="AW99" s="331"/>
      <c r="AX99" s="3615">
        <f t="shared" si="30"/>
        <v>77.899999999999991</v>
      </c>
      <c r="AY99" s="131"/>
      <c r="AZ99" s="2627">
        <v>6.15</v>
      </c>
      <c r="BA99" s="4110"/>
      <c r="BB99" s="4110">
        <f t="shared" si="31"/>
        <v>82</v>
      </c>
      <c r="BC99" s="795"/>
      <c r="BD99" s="795">
        <f t="shared" si="32"/>
        <v>82</v>
      </c>
      <c r="BE99" s="3615"/>
      <c r="BF99" s="3615">
        <f t="shared" si="33"/>
        <v>84.05</v>
      </c>
      <c r="BG99" s="26"/>
      <c r="BH99" s="26"/>
      <c r="BI99" s="26"/>
      <c r="BJ99" s="26"/>
    </row>
    <row r="100" spans="2:62" ht="15.75" x14ac:dyDescent="0.25">
      <c r="B100" s="2213" t="s">
        <v>1080</v>
      </c>
      <c r="C100" s="2214" t="s">
        <v>1119</v>
      </c>
      <c r="D100" s="2215" t="s">
        <v>52</v>
      </c>
      <c r="E100" s="1052"/>
      <c r="F100" s="1706"/>
      <c r="G100" s="1052"/>
      <c r="H100" s="1706"/>
      <c r="I100" s="2209"/>
      <c r="J100" s="3615">
        <f t="shared" si="19"/>
        <v>0</v>
      </c>
      <c r="K100" s="1052"/>
      <c r="L100" s="1706"/>
      <c r="M100" s="1111"/>
      <c r="N100" s="5255">
        <f t="shared" si="20"/>
        <v>0</v>
      </c>
      <c r="O100" s="1052"/>
      <c r="P100" s="1706">
        <v>2.06</v>
      </c>
      <c r="Q100" s="331"/>
      <c r="R100" s="3615">
        <f t="shared" si="21"/>
        <v>2.06</v>
      </c>
      <c r="S100" s="131"/>
      <c r="T100" s="2657">
        <v>14.349999999999998</v>
      </c>
      <c r="U100" s="331"/>
      <c r="V100" s="3615">
        <f t="shared" si="22"/>
        <v>16.409999999999997</v>
      </c>
      <c r="W100" s="131"/>
      <c r="X100" s="2657">
        <v>2.0499999999999998</v>
      </c>
      <c r="Y100" s="696"/>
      <c r="Z100" s="4110">
        <f t="shared" si="23"/>
        <v>18.459999999999997</v>
      </c>
      <c r="AA100" s="795"/>
      <c r="AB100" s="795">
        <f t="shared" si="24"/>
        <v>18.459999999999997</v>
      </c>
      <c r="AC100" s="131"/>
      <c r="AD100" s="2657"/>
      <c r="AE100" s="331"/>
      <c r="AF100" s="3615">
        <f t="shared" si="25"/>
        <v>18.459999999999997</v>
      </c>
      <c r="AG100" s="131"/>
      <c r="AH100" s="2657"/>
      <c r="AI100" s="331"/>
      <c r="AJ100" s="3615">
        <f t="shared" si="26"/>
        <v>18.459999999999997</v>
      </c>
      <c r="AK100" s="131"/>
      <c r="AL100" s="2657"/>
      <c r="AM100" s="4110"/>
      <c r="AN100" s="4110">
        <f t="shared" si="27"/>
        <v>0</v>
      </c>
      <c r="AO100" s="3615"/>
      <c r="AP100" s="3615">
        <f t="shared" si="28"/>
        <v>18.459999999999997</v>
      </c>
      <c r="AQ100" s="131"/>
      <c r="AR100" s="2657"/>
      <c r="AS100" s="331"/>
      <c r="AT100" s="3615">
        <f t="shared" si="29"/>
        <v>18.459999999999997</v>
      </c>
      <c r="AU100" s="131"/>
      <c r="AV100" s="2657">
        <v>30.75</v>
      </c>
      <c r="AW100" s="331"/>
      <c r="AX100" s="3615">
        <f t="shared" si="30"/>
        <v>49.209999999999994</v>
      </c>
      <c r="AY100" s="131"/>
      <c r="AZ100" s="2657">
        <v>4.0999999999999996</v>
      </c>
      <c r="BA100" s="4110"/>
      <c r="BB100" s="4110">
        <f t="shared" si="31"/>
        <v>34.85</v>
      </c>
      <c r="BC100" s="795"/>
      <c r="BD100" s="795">
        <f t="shared" si="32"/>
        <v>34.85</v>
      </c>
      <c r="BE100" s="3615"/>
      <c r="BF100" s="3615">
        <f t="shared" si="33"/>
        <v>53.309999999999995</v>
      </c>
      <c r="BG100" s="26"/>
      <c r="BH100" s="26"/>
      <c r="BI100" s="26"/>
      <c r="BJ100" s="26"/>
    </row>
    <row r="101" spans="2:62" s="2446" customFormat="1" ht="15.75" x14ac:dyDescent="0.25">
      <c r="B101" s="2213" t="s">
        <v>1081</v>
      </c>
      <c r="C101" s="2214" t="s">
        <v>1119</v>
      </c>
      <c r="D101" s="2215" t="s">
        <v>52</v>
      </c>
      <c r="E101" s="1052"/>
      <c r="F101" s="1706"/>
      <c r="G101" s="1052"/>
      <c r="H101" s="1706"/>
      <c r="I101" s="2209"/>
      <c r="J101" s="3615">
        <f t="shared" si="19"/>
        <v>0</v>
      </c>
      <c r="K101" s="1052"/>
      <c r="L101" s="1706"/>
      <c r="M101" s="1111"/>
      <c r="N101" s="5255">
        <f t="shared" si="20"/>
        <v>0</v>
      </c>
      <c r="O101" s="1052"/>
      <c r="P101" s="1706">
        <v>20.5</v>
      </c>
      <c r="Q101" s="331"/>
      <c r="R101" s="3615">
        <f t="shared" si="21"/>
        <v>20.5</v>
      </c>
      <c r="S101" s="131"/>
      <c r="T101" s="2657"/>
      <c r="U101" s="331"/>
      <c r="V101" s="3615">
        <f t="shared" si="22"/>
        <v>20.5</v>
      </c>
      <c r="W101" s="131"/>
      <c r="X101" s="2657"/>
      <c r="Y101" s="696"/>
      <c r="Z101" s="4110">
        <f t="shared" si="23"/>
        <v>20.5</v>
      </c>
      <c r="AA101" s="795"/>
      <c r="AB101" s="795">
        <f t="shared" si="24"/>
        <v>20.5</v>
      </c>
      <c r="AC101" s="131"/>
      <c r="AD101" s="2657"/>
      <c r="AE101" s="331"/>
      <c r="AF101" s="3615">
        <f t="shared" si="25"/>
        <v>20.5</v>
      </c>
      <c r="AG101" s="131"/>
      <c r="AH101" s="2657"/>
      <c r="AI101" s="331"/>
      <c r="AJ101" s="3615">
        <f t="shared" si="26"/>
        <v>20.5</v>
      </c>
      <c r="AK101" s="131"/>
      <c r="AL101" s="2657"/>
      <c r="AM101" s="4110"/>
      <c r="AN101" s="4110">
        <f t="shared" si="27"/>
        <v>0</v>
      </c>
      <c r="AO101" s="3615"/>
      <c r="AP101" s="3615">
        <f t="shared" si="28"/>
        <v>20.5</v>
      </c>
      <c r="AQ101" s="131"/>
      <c r="AR101" s="2657"/>
      <c r="AS101" s="331"/>
      <c r="AT101" s="3615">
        <f t="shared" si="29"/>
        <v>20.5</v>
      </c>
      <c r="AU101" s="131"/>
      <c r="AV101" s="2657"/>
      <c r="AW101" s="331"/>
      <c r="AX101" s="3615">
        <f t="shared" si="30"/>
        <v>20.5</v>
      </c>
      <c r="AY101" s="131"/>
      <c r="AZ101" s="2657"/>
      <c r="BA101" s="4110"/>
      <c r="BB101" s="4110">
        <f t="shared" si="31"/>
        <v>0</v>
      </c>
      <c r="BC101" s="795"/>
      <c r="BD101" s="795">
        <f t="shared" si="32"/>
        <v>0</v>
      </c>
      <c r="BE101" s="3615"/>
      <c r="BF101" s="3615">
        <f t="shared" si="33"/>
        <v>20.5</v>
      </c>
      <c r="BG101" s="26"/>
      <c r="BH101" s="26"/>
      <c r="BI101" s="26"/>
      <c r="BJ101" s="26"/>
    </row>
    <row r="102" spans="2:62" ht="15.75" x14ac:dyDescent="0.25">
      <c r="B102" s="2213" t="s">
        <v>1079</v>
      </c>
      <c r="C102" s="2214" t="s">
        <v>1119</v>
      </c>
      <c r="D102" s="2215" t="s">
        <v>52</v>
      </c>
      <c r="E102" s="1052"/>
      <c r="F102" s="1706"/>
      <c r="G102" s="1052"/>
      <c r="H102" s="1706"/>
      <c r="I102" s="2209"/>
      <c r="J102" s="3615">
        <f t="shared" si="19"/>
        <v>0</v>
      </c>
      <c r="K102" s="1052"/>
      <c r="L102" s="1706"/>
      <c r="M102" s="1111"/>
      <c r="N102" s="5255">
        <f t="shared" si="20"/>
        <v>0</v>
      </c>
      <c r="O102" s="1052"/>
      <c r="P102" s="1706">
        <v>4.0999999999999996</v>
      </c>
      <c r="Q102" s="331"/>
      <c r="R102" s="3615">
        <f t="shared" si="21"/>
        <v>4.0999999999999996</v>
      </c>
      <c r="S102" s="131"/>
      <c r="T102" s="2657">
        <v>2.0499999999999998</v>
      </c>
      <c r="U102" s="331"/>
      <c r="V102" s="3615">
        <f t="shared" si="22"/>
        <v>6.1499999999999995</v>
      </c>
      <c r="W102" s="131"/>
      <c r="X102" s="2657"/>
      <c r="Y102" s="696"/>
      <c r="Z102" s="4110">
        <f t="shared" si="23"/>
        <v>6.1499999999999995</v>
      </c>
      <c r="AA102" s="795"/>
      <c r="AB102" s="795">
        <f t="shared" si="24"/>
        <v>6.1499999999999995</v>
      </c>
      <c r="AC102" s="131"/>
      <c r="AD102" s="2657"/>
      <c r="AE102" s="331"/>
      <c r="AF102" s="3615">
        <f t="shared" si="25"/>
        <v>6.1499999999999995</v>
      </c>
      <c r="AG102" s="131"/>
      <c r="AH102" s="2657">
        <v>114.8</v>
      </c>
      <c r="AI102" s="331"/>
      <c r="AJ102" s="3615">
        <f t="shared" si="26"/>
        <v>120.95</v>
      </c>
      <c r="AK102" s="131"/>
      <c r="AL102" s="2657"/>
      <c r="AM102" s="4110"/>
      <c r="AN102" s="4110">
        <f t="shared" si="27"/>
        <v>114.8</v>
      </c>
      <c r="AO102" s="3615"/>
      <c r="AP102" s="3615">
        <f t="shared" si="28"/>
        <v>120.95</v>
      </c>
      <c r="AQ102" s="131"/>
      <c r="AR102" s="2657">
        <v>12.3</v>
      </c>
      <c r="AS102" s="331"/>
      <c r="AT102" s="3615">
        <f t="shared" si="29"/>
        <v>133.25</v>
      </c>
      <c r="AU102" s="131"/>
      <c r="AV102" s="2657"/>
      <c r="AW102" s="331"/>
      <c r="AX102" s="3615">
        <f t="shared" si="30"/>
        <v>133.25</v>
      </c>
      <c r="AY102" s="131"/>
      <c r="AZ102" s="2657"/>
      <c r="BA102" s="4110"/>
      <c r="BB102" s="4110">
        <f t="shared" si="31"/>
        <v>12.3</v>
      </c>
      <c r="BC102" s="795"/>
      <c r="BD102" s="795">
        <f t="shared" si="32"/>
        <v>127.1</v>
      </c>
      <c r="BE102" s="3615"/>
      <c r="BF102" s="3615">
        <f t="shared" si="33"/>
        <v>133.25</v>
      </c>
      <c r="BG102" s="26"/>
      <c r="BH102" s="26"/>
      <c r="BI102" s="26"/>
      <c r="BJ102" s="26"/>
    </row>
    <row r="103" spans="2:62" ht="15.75" x14ac:dyDescent="0.25">
      <c r="B103" s="2213" t="s">
        <v>1078</v>
      </c>
      <c r="C103" s="2214" t="s">
        <v>1119</v>
      </c>
      <c r="D103" s="2215" t="s">
        <v>52</v>
      </c>
      <c r="E103" s="1052"/>
      <c r="F103" s="1706"/>
      <c r="G103" s="1052"/>
      <c r="H103" s="1706">
        <v>106.6</v>
      </c>
      <c r="I103" s="2209"/>
      <c r="J103" s="3615">
        <f t="shared" si="19"/>
        <v>106.6</v>
      </c>
      <c r="K103" s="1052"/>
      <c r="L103" s="1706">
        <v>86.1</v>
      </c>
      <c r="M103" s="1111"/>
      <c r="N103" s="5255">
        <f t="shared" si="20"/>
        <v>192.7</v>
      </c>
      <c r="O103" s="1052"/>
      <c r="P103" s="1706"/>
      <c r="Q103" s="331"/>
      <c r="R103" s="3615">
        <f t="shared" si="21"/>
        <v>192.7</v>
      </c>
      <c r="S103" s="131"/>
      <c r="T103" s="2658">
        <v>51.249999999999993</v>
      </c>
      <c r="U103" s="331"/>
      <c r="V103" s="3615">
        <f t="shared" si="22"/>
        <v>243.95</v>
      </c>
      <c r="W103" s="131"/>
      <c r="X103" s="2658"/>
      <c r="Y103" s="696"/>
      <c r="Z103" s="4110">
        <f t="shared" si="23"/>
        <v>51.249999999999993</v>
      </c>
      <c r="AA103" s="795"/>
      <c r="AB103" s="795">
        <f t="shared" si="24"/>
        <v>243.95</v>
      </c>
      <c r="AC103" s="131"/>
      <c r="AD103" s="2658"/>
      <c r="AE103" s="331"/>
      <c r="AF103" s="3615">
        <f t="shared" si="25"/>
        <v>243.95</v>
      </c>
      <c r="AG103" s="131"/>
      <c r="AH103" s="2658">
        <v>20.5</v>
      </c>
      <c r="AI103" s="331"/>
      <c r="AJ103" s="3615">
        <f t="shared" si="26"/>
        <v>264.45</v>
      </c>
      <c r="AK103" s="131"/>
      <c r="AL103" s="2658">
        <v>53.3</v>
      </c>
      <c r="AM103" s="4110"/>
      <c r="AN103" s="4110">
        <f t="shared" si="27"/>
        <v>73.8</v>
      </c>
      <c r="AO103" s="3615"/>
      <c r="AP103" s="3615">
        <f t="shared" si="28"/>
        <v>317.75</v>
      </c>
      <c r="AQ103" s="131"/>
      <c r="AR103" s="2658">
        <v>22.55</v>
      </c>
      <c r="AS103" s="331"/>
      <c r="AT103" s="3615">
        <f t="shared" si="29"/>
        <v>340.3</v>
      </c>
      <c r="AU103" s="131"/>
      <c r="AV103" s="2658">
        <v>2.0499999999999998</v>
      </c>
      <c r="AW103" s="331"/>
      <c r="AX103" s="3615">
        <f t="shared" si="30"/>
        <v>342.35</v>
      </c>
      <c r="AY103" s="131"/>
      <c r="AZ103" s="2658"/>
      <c r="BA103" s="4110"/>
      <c r="BB103" s="4110">
        <f t="shared" si="31"/>
        <v>24.6</v>
      </c>
      <c r="BC103" s="795"/>
      <c r="BD103" s="795">
        <f t="shared" si="32"/>
        <v>98.4</v>
      </c>
      <c r="BE103" s="3615"/>
      <c r="BF103" s="3615">
        <f t="shared" si="33"/>
        <v>342.35</v>
      </c>
      <c r="BG103" s="26"/>
      <c r="BH103" s="26"/>
      <c r="BI103" s="26"/>
      <c r="BJ103" s="26"/>
    </row>
    <row r="104" spans="2:62" ht="15.75" x14ac:dyDescent="0.25">
      <c r="B104" s="2213" t="s">
        <v>1447</v>
      </c>
      <c r="C104" s="2214" t="s">
        <v>1119</v>
      </c>
      <c r="D104" s="2215" t="s">
        <v>52</v>
      </c>
      <c r="E104" s="1052"/>
      <c r="F104" s="1706">
        <v>6.15</v>
      </c>
      <c r="G104" s="1052"/>
      <c r="H104" s="1706"/>
      <c r="I104" s="2209"/>
      <c r="J104" s="3615">
        <f t="shared" si="19"/>
        <v>6.15</v>
      </c>
      <c r="K104" s="1052"/>
      <c r="L104" s="1706"/>
      <c r="M104" s="1111"/>
      <c r="N104" s="5255">
        <f t="shared" si="20"/>
        <v>6.15</v>
      </c>
      <c r="O104" s="1052"/>
      <c r="P104" s="1706"/>
      <c r="Q104" s="331"/>
      <c r="R104" s="3615">
        <f t="shared" si="21"/>
        <v>6.15</v>
      </c>
      <c r="S104" s="131"/>
      <c r="T104" s="2627"/>
      <c r="U104" s="331"/>
      <c r="V104" s="3615">
        <f t="shared" si="22"/>
        <v>6.15</v>
      </c>
      <c r="W104" s="131"/>
      <c r="X104" s="2627"/>
      <c r="Y104" s="696"/>
      <c r="Z104" s="4110">
        <f t="shared" si="23"/>
        <v>0</v>
      </c>
      <c r="AA104" s="795"/>
      <c r="AB104" s="795">
        <f t="shared" si="24"/>
        <v>6.15</v>
      </c>
      <c r="AC104" s="131"/>
      <c r="AD104" s="2627"/>
      <c r="AE104" s="331"/>
      <c r="AF104" s="3615">
        <f t="shared" si="25"/>
        <v>6.15</v>
      </c>
      <c r="AG104" s="131"/>
      <c r="AH104" s="2627">
        <v>30.75</v>
      </c>
      <c r="AI104" s="331"/>
      <c r="AJ104" s="3615">
        <f t="shared" si="26"/>
        <v>36.9</v>
      </c>
      <c r="AK104" s="131"/>
      <c r="AL104" s="2627"/>
      <c r="AM104" s="4110"/>
      <c r="AN104" s="4110">
        <f t="shared" si="27"/>
        <v>30.75</v>
      </c>
      <c r="AO104" s="3615"/>
      <c r="AP104" s="3615">
        <f t="shared" si="28"/>
        <v>36.9</v>
      </c>
      <c r="AQ104" s="131"/>
      <c r="AR104" s="2627"/>
      <c r="AS104" s="331"/>
      <c r="AT104" s="3615">
        <f t="shared" si="29"/>
        <v>36.9</v>
      </c>
      <c r="AU104" s="131"/>
      <c r="AV104" s="2627"/>
      <c r="AW104" s="331"/>
      <c r="AX104" s="3615">
        <f t="shared" si="30"/>
        <v>36.9</v>
      </c>
      <c r="AY104" s="131"/>
      <c r="AZ104" s="2627"/>
      <c r="BA104" s="4110"/>
      <c r="BB104" s="4110">
        <f t="shared" si="31"/>
        <v>0</v>
      </c>
      <c r="BC104" s="795"/>
      <c r="BD104" s="795">
        <f t="shared" si="32"/>
        <v>30.75</v>
      </c>
      <c r="BE104" s="3615"/>
      <c r="BF104" s="3615">
        <f t="shared" si="33"/>
        <v>36.9</v>
      </c>
      <c r="BG104" s="26"/>
      <c r="BH104" s="26"/>
      <c r="BI104" s="26"/>
      <c r="BJ104" s="26"/>
    </row>
    <row r="105" spans="2:62" ht="15.75" x14ac:dyDescent="0.25">
      <c r="B105" s="2213" t="s">
        <v>1077</v>
      </c>
      <c r="C105" s="2216" t="s">
        <v>1119</v>
      </c>
      <c r="D105" s="2215" t="s">
        <v>52</v>
      </c>
      <c r="E105" s="1052"/>
      <c r="F105" s="1706"/>
      <c r="G105" s="1052"/>
      <c r="H105" s="1706"/>
      <c r="I105" s="2209"/>
      <c r="J105" s="3615">
        <f t="shared" si="19"/>
        <v>0</v>
      </c>
      <c r="K105" s="1052"/>
      <c r="L105" s="1706"/>
      <c r="M105" s="1111"/>
      <c r="N105" s="5255">
        <f t="shared" si="20"/>
        <v>0</v>
      </c>
      <c r="O105" s="1052"/>
      <c r="P105" s="1706"/>
      <c r="Q105" s="331"/>
      <c r="R105" s="3615">
        <f t="shared" si="21"/>
        <v>0</v>
      </c>
      <c r="S105" s="131"/>
      <c r="T105" s="2658">
        <v>20.5</v>
      </c>
      <c r="U105" s="331"/>
      <c r="V105" s="3615">
        <f t="shared" si="22"/>
        <v>20.5</v>
      </c>
      <c r="W105" s="131"/>
      <c r="X105" s="2658"/>
      <c r="Y105" s="696"/>
      <c r="Z105" s="4110">
        <f t="shared" si="23"/>
        <v>20.5</v>
      </c>
      <c r="AA105" s="795"/>
      <c r="AB105" s="795">
        <f t="shared" si="24"/>
        <v>20.5</v>
      </c>
      <c r="AC105" s="131"/>
      <c r="AD105" s="2658"/>
      <c r="AE105" s="331"/>
      <c r="AF105" s="3615">
        <f t="shared" si="25"/>
        <v>20.5</v>
      </c>
      <c r="AG105" s="131"/>
      <c r="AH105" s="2658">
        <v>6.15</v>
      </c>
      <c r="AI105" s="331"/>
      <c r="AJ105" s="3615">
        <f t="shared" si="26"/>
        <v>26.65</v>
      </c>
      <c r="AK105" s="131"/>
      <c r="AL105" s="2658">
        <v>90.2</v>
      </c>
      <c r="AM105" s="4110"/>
      <c r="AN105" s="4110">
        <f t="shared" si="27"/>
        <v>96.350000000000009</v>
      </c>
      <c r="AO105" s="3615"/>
      <c r="AP105" s="3615">
        <f t="shared" si="28"/>
        <v>116.85</v>
      </c>
      <c r="AQ105" s="131"/>
      <c r="AR105" s="2658">
        <v>2.0499999999999998</v>
      </c>
      <c r="AS105" s="331"/>
      <c r="AT105" s="3615">
        <f t="shared" si="29"/>
        <v>118.89999999999999</v>
      </c>
      <c r="AU105" s="131"/>
      <c r="AV105" s="2658"/>
      <c r="AW105" s="331"/>
      <c r="AX105" s="3615">
        <f t="shared" si="30"/>
        <v>118.89999999999999</v>
      </c>
      <c r="AY105" s="131"/>
      <c r="AZ105" s="2658"/>
      <c r="BA105" s="4110"/>
      <c r="BB105" s="4110">
        <f t="shared" si="31"/>
        <v>2.0499999999999998</v>
      </c>
      <c r="BC105" s="795"/>
      <c r="BD105" s="795">
        <f t="shared" si="32"/>
        <v>98.4</v>
      </c>
      <c r="BE105" s="3615"/>
      <c r="BF105" s="3615">
        <f t="shared" si="33"/>
        <v>118.89999999999999</v>
      </c>
      <c r="BG105" s="26"/>
      <c r="BH105" s="26"/>
      <c r="BI105" s="26"/>
      <c r="BJ105" s="26"/>
    </row>
    <row r="106" spans="2:62" ht="15.75" x14ac:dyDescent="0.25">
      <c r="B106" s="2213" t="s">
        <v>1421</v>
      </c>
      <c r="C106" s="2216" t="s">
        <v>1119</v>
      </c>
      <c r="D106" s="2215" t="s">
        <v>52</v>
      </c>
      <c r="E106" s="1052"/>
      <c r="F106" s="1706"/>
      <c r="G106" s="1052"/>
      <c r="H106" s="1706">
        <v>2.0499999999999998</v>
      </c>
      <c r="I106" s="2209"/>
      <c r="J106" s="3615">
        <f t="shared" si="19"/>
        <v>2.0499999999999998</v>
      </c>
      <c r="K106" s="1052"/>
      <c r="L106" s="1706"/>
      <c r="M106" s="1111"/>
      <c r="N106" s="5255">
        <f t="shared" si="20"/>
        <v>2.0499999999999998</v>
      </c>
      <c r="O106" s="1052"/>
      <c r="P106" s="1706"/>
      <c r="Q106" s="331"/>
      <c r="R106" s="3615">
        <f t="shared" si="21"/>
        <v>2.0499999999999998</v>
      </c>
      <c r="S106" s="131"/>
      <c r="T106" s="2657"/>
      <c r="U106" s="331"/>
      <c r="V106" s="3615">
        <f t="shared" si="22"/>
        <v>2.0499999999999998</v>
      </c>
      <c r="W106" s="131"/>
      <c r="X106" s="2657"/>
      <c r="Y106" s="696"/>
      <c r="Z106" s="4110">
        <f t="shared" si="23"/>
        <v>0</v>
      </c>
      <c r="AA106" s="795"/>
      <c r="AB106" s="795">
        <f t="shared" si="24"/>
        <v>2.0499999999999998</v>
      </c>
      <c r="AC106" s="131"/>
      <c r="AD106" s="2657"/>
      <c r="AE106" s="331"/>
      <c r="AF106" s="3615">
        <f t="shared" si="25"/>
        <v>2.0499999999999998</v>
      </c>
      <c r="AG106" s="131"/>
      <c r="AH106" s="2657"/>
      <c r="AI106" s="331"/>
      <c r="AJ106" s="3615">
        <f t="shared" si="26"/>
        <v>2.0499999999999998</v>
      </c>
      <c r="AK106" s="131"/>
      <c r="AL106" s="2657"/>
      <c r="AM106" s="4110"/>
      <c r="AN106" s="4110">
        <f t="shared" si="27"/>
        <v>0</v>
      </c>
      <c r="AO106" s="3615"/>
      <c r="AP106" s="3615">
        <f t="shared" si="28"/>
        <v>2.0499999999999998</v>
      </c>
      <c r="AQ106" s="131"/>
      <c r="AR106" s="2657"/>
      <c r="AS106" s="331"/>
      <c r="AT106" s="3615">
        <f t="shared" si="29"/>
        <v>2.0499999999999998</v>
      </c>
      <c r="AU106" s="131"/>
      <c r="AV106" s="2657"/>
      <c r="AW106" s="331"/>
      <c r="AX106" s="3615">
        <f t="shared" si="30"/>
        <v>2.0499999999999998</v>
      </c>
      <c r="AY106" s="131"/>
      <c r="AZ106" s="2657"/>
      <c r="BA106" s="4110"/>
      <c r="BB106" s="4110">
        <f t="shared" si="31"/>
        <v>0</v>
      </c>
      <c r="BC106" s="795"/>
      <c r="BD106" s="795">
        <f t="shared" si="32"/>
        <v>0</v>
      </c>
      <c r="BE106" s="3615"/>
      <c r="BF106" s="3615">
        <f t="shared" si="33"/>
        <v>2.0499999999999998</v>
      </c>
      <c r="BG106" s="26"/>
      <c r="BH106" s="26"/>
      <c r="BI106" s="26"/>
      <c r="BJ106" s="26"/>
    </row>
    <row r="107" spans="2:62" ht="15.75" x14ac:dyDescent="0.25">
      <c r="B107" s="2213" t="s">
        <v>1416</v>
      </c>
      <c r="C107" s="2216" t="s">
        <v>1119</v>
      </c>
      <c r="D107" s="2215" t="s">
        <v>52</v>
      </c>
      <c r="E107" s="1052"/>
      <c r="F107" s="1706">
        <v>69.7</v>
      </c>
      <c r="G107" s="1052"/>
      <c r="H107" s="1706"/>
      <c r="I107" s="2209"/>
      <c r="J107" s="3615">
        <f t="shared" si="19"/>
        <v>69.7</v>
      </c>
      <c r="K107" s="1052"/>
      <c r="L107" s="1706"/>
      <c r="M107" s="1111"/>
      <c r="N107" s="5255">
        <f t="shared" si="20"/>
        <v>69.7</v>
      </c>
      <c r="O107" s="1052"/>
      <c r="P107" s="1706">
        <f>11*2.05</f>
        <v>22.549999999999997</v>
      </c>
      <c r="Q107" s="331"/>
      <c r="R107" s="3615">
        <f t="shared" si="21"/>
        <v>92.25</v>
      </c>
      <c r="S107" s="131"/>
      <c r="T107" s="2657"/>
      <c r="U107" s="331"/>
      <c r="V107" s="3615">
        <f t="shared" si="22"/>
        <v>92.25</v>
      </c>
      <c r="W107" s="131"/>
      <c r="X107" s="2657"/>
      <c r="Y107" s="696"/>
      <c r="Z107" s="4110">
        <f t="shared" si="23"/>
        <v>22.549999999999997</v>
      </c>
      <c r="AA107" s="795"/>
      <c r="AB107" s="795">
        <f t="shared" si="24"/>
        <v>92.25</v>
      </c>
      <c r="AC107" s="131"/>
      <c r="AD107" s="2657">
        <v>18.45</v>
      </c>
      <c r="AE107" s="331"/>
      <c r="AF107" s="3615">
        <f t="shared" si="25"/>
        <v>110.7</v>
      </c>
      <c r="AG107" s="131"/>
      <c r="AH107" s="2657"/>
      <c r="AI107" s="331"/>
      <c r="AJ107" s="3615">
        <f t="shared" si="26"/>
        <v>110.7</v>
      </c>
      <c r="AK107" s="131"/>
      <c r="AL107" s="2657">
        <v>51.25</v>
      </c>
      <c r="AM107" s="4110"/>
      <c r="AN107" s="4110">
        <f t="shared" si="27"/>
        <v>69.7</v>
      </c>
      <c r="AO107" s="3615"/>
      <c r="AP107" s="3615">
        <f t="shared" si="28"/>
        <v>161.94999999999999</v>
      </c>
      <c r="AQ107" s="131"/>
      <c r="AR107" s="2657"/>
      <c r="AS107" s="331"/>
      <c r="AT107" s="3615">
        <f t="shared" si="29"/>
        <v>161.94999999999999</v>
      </c>
      <c r="AU107" s="131"/>
      <c r="AV107" s="2657">
        <v>36.9</v>
      </c>
      <c r="AW107" s="331"/>
      <c r="AX107" s="3615">
        <f t="shared" si="30"/>
        <v>198.85</v>
      </c>
      <c r="AY107" s="131"/>
      <c r="AZ107" s="2657"/>
      <c r="BA107" s="4110"/>
      <c r="BB107" s="4110">
        <f t="shared" si="31"/>
        <v>36.9</v>
      </c>
      <c r="BC107" s="795"/>
      <c r="BD107" s="795">
        <f t="shared" si="32"/>
        <v>106.6</v>
      </c>
      <c r="BE107" s="3615"/>
      <c r="BF107" s="3615">
        <f t="shared" si="33"/>
        <v>198.85</v>
      </c>
      <c r="BG107" s="26"/>
      <c r="BH107" s="26"/>
      <c r="BI107" s="26"/>
      <c r="BJ107" s="26"/>
    </row>
    <row r="108" spans="2:62" ht="15.75" x14ac:dyDescent="0.25">
      <c r="B108" s="2217" t="s">
        <v>1150</v>
      </c>
      <c r="C108" s="2216" t="s">
        <v>1119</v>
      </c>
      <c r="D108" s="2215" t="s">
        <v>52</v>
      </c>
      <c r="E108" s="1052"/>
      <c r="F108" s="1706"/>
      <c r="G108" s="1052"/>
      <c r="H108" s="1706"/>
      <c r="I108" s="2209"/>
      <c r="J108" s="3615">
        <f t="shared" si="19"/>
        <v>0</v>
      </c>
      <c r="K108" s="1052"/>
      <c r="L108" s="1706"/>
      <c r="M108" s="1111"/>
      <c r="N108" s="5255">
        <f t="shared" si="20"/>
        <v>0</v>
      </c>
      <c r="O108" s="1052"/>
      <c r="P108" s="1706"/>
      <c r="Q108" s="331"/>
      <c r="R108" s="3615">
        <f t="shared" si="21"/>
        <v>0</v>
      </c>
      <c r="S108" s="131"/>
      <c r="T108" s="2627"/>
      <c r="U108" s="331"/>
      <c r="V108" s="3615">
        <f t="shared" si="22"/>
        <v>0</v>
      </c>
      <c r="W108" s="131"/>
      <c r="X108" s="2627"/>
      <c r="Y108" s="696"/>
      <c r="Z108" s="4110">
        <f t="shared" si="23"/>
        <v>0</v>
      </c>
      <c r="AA108" s="795"/>
      <c r="AB108" s="795">
        <f t="shared" si="24"/>
        <v>0</v>
      </c>
      <c r="AC108" s="131"/>
      <c r="AD108" s="2627">
        <v>67.650000000000006</v>
      </c>
      <c r="AE108" s="331"/>
      <c r="AF108" s="3615">
        <f t="shared" si="25"/>
        <v>67.650000000000006</v>
      </c>
      <c r="AG108" s="131"/>
      <c r="AH108" s="2627"/>
      <c r="AI108" s="331"/>
      <c r="AJ108" s="3615">
        <f t="shared" si="26"/>
        <v>67.650000000000006</v>
      </c>
      <c r="AK108" s="131"/>
      <c r="AL108" s="2627">
        <v>16.399999999999999</v>
      </c>
      <c r="AM108" s="4110"/>
      <c r="AN108" s="4110">
        <f t="shared" si="27"/>
        <v>84.050000000000011</v>
      </c>
      <c r="AO108" s="3615"/>
      <c r="AP108" s="3615">
        <f t="shared" si="28"/>
        <v>84.050000000000011</v>
      </c>
      <c r="AQ108" s="131"/>
      <c r="AR108" s="2627"/>
      <c r="AS108" s="331"/>
      <c r="AT108" s="3615">
        <f t="shared" si="29"/>
        <v>84.050000000000011</v>
      </c>
      <c r="AU108" s="131"/>
      <c r="AV108" s="2627">
        <v>84.05</v>
      </c>
      <c r="AW108" s="331"/>
      <c r="AX108" s="3615">
        <f t="shared" si="30"/>
        <v>168.10000000000002</v>
      </c>
      <c r="AY108" s="131"/>
      <c r="AZ108" s="2627"/>
      <c r="BA108" s="4110"/>
      <c r="BB108" s="4110">
        <f t="shared" si="31"/>
        <v>84.05</v>
      </c>
      <c r="BC108" s="795"/>
      <c r="BD108" s="795">
        <f t="shared" si="32"/>
        <v>168.10000000000002</v>
      </c>
      <c r="BE108" s="3615"/>
      <c r="BF108" s="3615">
        <f t="shared" si="33"/>
        <v>168.10000000000002</v>
      </c>
      <c r="BG108" s="26"/>
      <c r="BH108" s="26"/>
      <c r="BI108" s="26"/>
      <c r="BJ108" s="26"/>
    </row>
    <row r="109" spans="2:62" s="3272" customFormat="1" ht="15.75" x14ac:dyDescent="0.25">
      <c r="B109" s="2232" t="s">
        <v>859</v>
      </c>
      <c r="C109" s="2232"/>
      <c r="J109" s="3615">
        <f t="shared" si="19"/>
        <v>0</v>
      </c>
      <c r="L109" s="648"/>
      <c r="M109" s="648"/>
      <c r="N109" s="5255">
        <f t="shared" si="20"/>
        <v>0</v>
      </c>
      <c r="R109" s="3615">
        <f t="shared" si="21"/>
        <v>0</v>
      </c>
      <c r="V109" s="3615">
        <f t="shared" si="22"/>
        <v>0</v>
      </c>
      <c r="W109" s="3297"/>
      <c r="X109" s="3297"/>
      <c r="Z109" s="4110">
        <f t="shared" si="23"/>
        <v>0</v>
      </c>
      <c r="AA109" s="795"/>
      <c r="AB109" s="795">
        <f t="shared" si="24"/>
        <v>0</v>
      </c>
      <c r="AC109" s="4092"/>
      <c r="AD109" s="4092"/>
      <c r="AE109" s="4092"/>
      <c r="AF109" s="3615">
        <f t="shared" si="25"/>
        <v>0</v>
      </c>
      <c r="AG109" s="4184"/>
      <c r="AH109" s="4184"/>
      <c r="AI109" s="4184"/>
      <c r="AJ109" s="3615">
        <f t="shared" si="26"/>
        <v>0</v>
      </c>
      <c r="AK109" s="4321"/>
      <c r="AL109" s="4321"/>
      <c r="AM109" s="4321"/>
      <c r="AN109" s="4110">
        <f t="shared" si="27"/>
        <v>0</v>
      </c>
      <c r="AO109" s="3615"/>
      <c r="AP109" s="3615">
        <f t="shared" si="28"/>
        <v>0</v>
      </c>
      <c r="AQ109" s="4438"/>
      <c r="AR109" s="4438"/>
      <c r="AS109" s="4438"/>
      <c r="AT109" s="3615">
        <f t="shared" si="29"/>
        <v>0</v>
      </c>
      <c r="AU109" s="4675"/>
      <c r="AV109" s="4675"/>
      <c r="AW109" s="4675"/>
      <c r="AX109" s="3615">
        <f t="shared" si="30"/>
        <v>0</v>
      </c>
      <c r="AY109" s="5117"/>
      <c r="AZ109" s="5117"/>
      <c r="BA109" s="5117"/>
      <c r="BB109" s="4110">
        <f t="shared" si="31"/>
        <v>0</v>
      </c>
      <c r="BC109" s="795"/>
      <c r="BD109" s="795">
        <f t="shared" si="32"/>
        <v>0</v>
      </c>
      <c r="BE109" s="3615"/>
      <c r="BF109" s="3615">
        <f t="shared" si="33"/>
        <v>0</v>
      </c>
      <c r="BG109" s="26"/>
      <c r="BH109" s="26"/>
      <c r="BI109" s="26"/>
      <c r="BJ109" s="26"/>
    </row>
    <row r="110" spans="2:62" ht="15.75" x14ac:dyDescent="0.25">
      <c r="B110" s="2218" t="s">
        <v>1084</v>
      </c>
      <c r="C110" s="2219"/>
      <c r="D110" s="2220" t="s">
        <v>52</v>
      </c>
      <c r="E110" s="1055"/>
      <c r="F110" s="131">
        <v>6.15</v>
      </c>
      <c r="G110" s="1055"/>
      <c r="H110" s="131">
        <v>6.1499999999999995</v>
      </c>
      <c r="I110" s="2210"/>
      <c r="J110" s="3615">
        <f t="shared" si="19"/>
        <v>12.3</v>
      </c>
      <c r="K110" s="1055"/>
      <c r="L110" s="131"/>
      <c r="M110" s="1978"/>
      <c r="N110" s="5255">
        <f t="shared" si="20"/>
        <v>12.3</v>
      </c>
      <c r="O110" s="1055"/>
      <c r="P110" s="131">
        <v>4.0999999999999996</v>
      </c>
      <c r="Q110" s="331"/>
      <c r="R110" s="3615">
        <f t="shared" si="21"/>
        <v>16.399999999999999</v>
      </c>
      <c r="S110" s="131"/>
      <c r="T110" s="2657">
        <f>0+10.25</f>
        <v>10.25</v>
      </c>
      <c r="U110" s="331"/>
      <c r="V110" s="3615">
        <f t="shared" si="22"/>
        <v>26.65</v>
      </c>
      <c r="W110" s="131"/>
      <c r="X110" s="2657"/>
      <c r="Y110" s="696"/>
      <c r="Z110" s="4110">
        <f t="shared" si="23"/>
        <v>14.35</v>
      </c>
      <c r="AA110" s="795"/>
      <c r="AB110" s="795">
        <f t="shared" si="24"/>
        <v>26.65</v>
      </c>
      <c r="AC110" s="131"/>
      <c r="AD110" s="2658">
        <v>14.35</v>
      </c>
      <c r="AE110" s="331"/>
      <c r="AF110" s="3615">
        <f t="shared" si="25"/>
        <v>41</v>
      </c>
      <c r="AG110" s="131"/>
      <c r="AH110" s="2658">
        <v>4.0999999999999996</v>
      </c>
      <c r="AI110" s="331"/>
      <c r="AJ110" s="3615">
        <f t="shared" si="26"/>
        <v>45.1</v>
      </c>
      <c r="AK110" s="131"/>
      <c r="AL110" s="2658"/>
      <c r="AM110" s="4110"/>
      <c r="AN110" s="4110">
        <f t="shared" si="27"/>
        <v>18.45</v>
      </c>
      <c r="AO110" s="3615"/>
      <c r="AP110" s="3615">
        <f t="shared" si="28"/>
        <v>45.1</v>
      </c>
      <c r="AQ110" s="131"/>
      <c r="AR110" s="2658"/>
      <c r="AS110" s="331"/>
      <c r="AT110" s="3615">
        <f t="shared" si="29"/>
        <v>45.1</v>
      </c>
      <c r="AU110" s="131"/>
      <c r="AV110" s="2658">
        <v>32.799999999999997</v>
      </c>
      <c r="AW110" s="331"/>
      <c r="AX110" s="3615">
        <f t="shared" si="30"/>
        <v>77.900000000000006</v>
      </c>
      <c r="AY110" s="131"/>
      <c r="AZ110" s="2658">
        <v>2.0499999999999998</v>
      </c>
      <c r="BA110" s="4110"/>
      <c r="BB110" s="4110">
        <f t="shared" si="31"/>
        <v>34.849999999999994</v>
      </c>
      <c r="BC110" s="795"/>
      <c r="BD110" s="795">
        <f t="shared" si="32"/>
        <v>53.3</v>
      </c>
      <c r="BE110" s="3615"/>
      <c r="BF110" s="3615">
        <f t="shared" si="33"/>
        <v>79.95</v>
      </c>
      <c r="BG110" s="26"/>
      <c r="BH110" s="26"/>
      <c r="BI110" s="26"/>
      <c r="BJ110" s="26"/>
    </row>
    <row r="111" spans="2:62" ht="15.75" x14ac:dyDescent="0.25">
      <c r="B111" s="2218" t="s">
        <v>1083</v>
      </c>
      <c r="C111" s="2219"/>
      <c r="D111" s="2220" t="s">
        <v>52</v>
      </c>
      <c r="E111" s="1055"/>
      <c r="F111" s="131">
        <v>36.9</v>
      </c>
      <c r="G111" s="1055"/>
      <c r="H111" s="131">
        <v>24.6</v>
      </c>
      <c r="I111" s="2210"/>
      <c r="J111" s="3615">
        <f t="shared" si="19"/>
        <v>61.5</v>
      </c>
      <c r="K111" s="1055"/>
      <c r="L111" s="131">
        <f>82</f>
        <v>82</v>
      </c>
      <c r="M111" s="1978"/>
      <c r="N111" s="5255">
        <f t="shared" si="20"/>
        <v>143.5</v>
      </c>
      <c r="O111" s="1055"/>
      <c r="P111" s="131">
        <v>36.96</v>
      </c>
      <c r="Q111" s="331"/>
      <c r="R111" s="3615">
        <f t="shared" si="21"/>
        <v>180.46</v>
      </c>
      <c r="S111" s="131"/>
      <c r="T111" s="2657">
        <f>8*2.05+10.25</f>
        <v>26.65</v>
      </c>
      <c r="U111" s="331"/>
      <c r="V111" s="3615">
        <f t="shared" si="22"/>
        <v>207.11</v>
      </c>
      <c r="W111" s="131"/>
      <c r="X111" s="2657">
        <v>30.75</v>
      </c>
      <c r="Y111" s="696"/>
      <c r="Z111" s="4110">
        <f t="shared" si="23"/>
        <v>94.36</v>
      </c>
      <c r="AA111" s="795"/>
      <c r="AB111" s="795">
        <f t="shared" si="24"/>
        <v>237.86</v>
      </c>
      <c r="AC111" s="131"/>
      <c r="AD111" s="2657">
        <v>116.85</v>
      </c>
      <c r="AE111" s="331"/>
      <c r="AF111" s="3615">
        <f t="shared" si="25"/>
        <v>354.71000000000004</v>
      </c>
      <c r="AG111" s="131"/>
      <c r="AH111" s="2657">
        <v>57.4</v>
      </c>
      <c r="AI111" s="331"/>
      <c r="AJ111" s="3615">
        <f t="shared" si="26"/>
        <v>412.11</v>
      </c>
      <c r="AK111" s="131"/>
      <c r="AL111" s="2657">
        <v>36.9</v>
      </c>
      <c r="AM111" s="4110"/>
      <c r="AN111" s="4110">
        <f t="shared" si="27"/>
        <v>211.15</v>
      </c>
      <c r="AO111" s="3615"/>
      <c r="AP111" s="3615">
        <f t="shared" si="28"/>
        <v>449.01</v>
      </c>
      <c r="AQ111" s="131"/>
      <c r="AR111" s="2657">
        <v>2.5499999999999998</v>
      </c>
      <c r="AS111" s="331"/>
      <c r="AT111" s="3615">
        <f t="shared" si="29"/>
        <v>451.56</v>
      </c>
      <c r="AU111" s="131"/>
      <c r="AV111" s="2657">
        <v>57.4</v>
      </c>
      <c r="AW111" s="331"/>
      <c r="AX111" s="3615">
        <f t="shared" si="30"/>
        <v>508.96</v>
      </c>
      <c r="AY111" s="131"/>
      <c r="AZ111" s="2657">
        <v>53.3</v>
      </c>
      <c r="BA111" s="4110"/>
      <c r="BB111" s="4110">
        <f t="shared" si="31"/>
        <v>113.25</v>
      </c>
      <c r="BC111" s="795"/>
      <c r="BD111" s="795">
        <f t="shared" si="32"/>
        <v>324.39999999999998</v>
      </c>
      <c r="BE111" s="3615"/>
      <c r="BF111" s="3615">
        <f t="shared" si="33"/>
        <v>562.26</v>
      </c>
      <c r="BG111" s="26"/>
      <c r="BH111" s="26"/>
      <c r="BI111" s="26"/>
      <c r="BJ111" s="26"/>
    </row>
    <row r="112" spans="2:62" ht="15.75" x14ac:dyDescent="0.25">
      <c r="B112" s="2218" t="s">
        <v>1082</v>
      </c>
      <c r="C112" s="2219"/>
      <c r="D112" s="2220" t="s">
        <v>52</v>
      </c>
      <c r="E112" s="1055"/>
      <c r="F112" s="1494">
        <v>8.1999999999999993</v>
      </c>
      <c r="G112" s="1055"/>
      <c r="H112" s="1494"/>
      <c r="I112" s="2210"/>
      <c r="J112" s="3615">
        <f t="shared" si="19"/>
        <v>8.1999999999999993</v>
      </c>
      <c r="K112" s="1055"/>
      <c r="L112" s="131">
        <v>2.0499999999999998</v>
      </c>
      <c r="M112" s="1978"/>
      <c r="N112" s="5255">
        <f t="shared" si="20"/>
        <v>10.25</v>
      </c>
      <c r="O112" s="1055"/>
      <c r="P112" s="131"/>
      <c r="Q112" s="331"/>
      <c r="R112" s="3615">
        <f t="shared" si="21"/>
        <v>10.25</v>
      </c>
      <c r="S112" s="131"/>
      <c r="T112" s="2627">
        <f>4*2.05</f>
        <v>8.1999999999999993</v>
      </c>
      <c r="U112" s="331"/>
      <c r="V112" s="3615">
        <f t="shared" si="22"/>
        <v>18.45</v>
      </c>
      <c r="W112" s="131"/>
      <c r="X112" s="2627"/>
      <c r="Y112" s="696"/>
      <c r="Z112" s="4110">
        <f t="shared" si="23"/>
        <v>8.1999999999999993</v>
      </c>
      <c r="AA112" s="795"/>
      <c r="AB112" s="795">
        <f t="shared" si="24"/>
        <v>18.45</v>
      </c>
      <c r="AC112" s="131"/>
      <c r="AD112" s="2627"/>
      <c r="AE112" s="331"/>
      <c r="AF112" s="3615">
        <f t="shared" si="25"/>
        <v>18.45</v>
      </c>
      <c r="AG112" s="131"/>
      <c r="AH112" s="2627"/>
      <c r="AI112" s="331"/>
      <c r="AJ112" s="3615">
        <f t="shared" si="26"/>
        <v>18.45</v>
      </c>
      <c r="AK112" s="131"/>
      <c r="AL112" s="2627"/>
      <c r="AM112" s="4110"/>
      <c r="AN112" s="4110">
        <f t="shared" si="27"/>
        <v>0</v>
      </c>
      <c r="AO112" s="3615"/>
      <c r="AP112" s="3615">
        <f t="shared" si="28"/>
        <v>18.45</v>
      </c>
      <c r="AQ112" s="131"/>
      <c r="AR112" s="2627">
        <f>6.2+8.2</f>
        <v>14.399999999999999</v>
      </c>
      <c r="AS112" s="331"/>
      <c r="AT112" s="3615">
        <f t="shared" si="29"/>
        <v>32.849999999999994</v>
      </c>
      <c r="AU112" s="131"/>
      <c r="AV112" s="2627">
        <v>14.35</v>
      </c>
      <c r="AW112" s="331"/>
      <c r="AX112" s="3615">
        <f t="shared" si="30"/>
        <v>47.199999999999996</v>
      </c>
      <c r="AY112" s="131"/>
      <c r="AZ112" s="2627">
        <v>4.0999999999999996</v>
      </c>
      <c r="BA112" s="4110"/>
      <c r="BB112" s="4110">
        <f t="shared" si="31"/>
        <v>32.85</v>
      </c>
      <c r="BC112" s="795"/>
      <c r="BD112" s="795">
        <f t="shared" si="32"/>
        <v>32.85</v>
      </c>
      <c r="BE112" s="3615"/>
      <c r="BF112" s="3615">
        <f t="shared" si="33"/>
        <v>51.3</v>
      </c>
      <c r="BG112" s="26"/>
      <c r="BH112" s="26"/>
      <c r="BI112" s="26"/>
      <c r="BJ112" s="26"/>
    </row>
    <row r="113" spans="2:62" ht="15.75" x14ac:dyDescent="0.25">
      <c r="B113" s="2218" t="s">
        <v>1080</v>
      </c>
      <c r="C113" s="2219"/>
      <c r="D113" s="2220" t="s">
        <v>52</v>
      </c>
      <c r="E113" s="1055"/>
      <c r="F113" s="131">
        <f>2.05+8.2</f>
        <v>10.25</v>
      </c>
      <c r="G113" s="1055"/>
      <c r="H113" s="131">
        <f>24.6+2.05</f>
        <v>26.650000000000002</v>
      </c>
      <c r="I113" s="2210"/>
      <c r="J113" s="3615">
        <f t="shared" si="19"/>
        <v>36.900000000000006</v>
      </c>
      <c r="K113" s="1055"/>
      <c r="L113" s="131">
        <f>21.1+24.6</f>
        <v>45.7</v>
      </c>
      <c r="M113" s="1978"/>
      <c r="N113" s="5255">
        <f t="shared" si="20"/>
        <v>82.600000000000009</v>
      </c>
      <c r="O113" s="1055"/>
      <c r="P113" s="131">
        <f>49.2+4.1</f>
        <v>53.300000000000004</v>
      </c>
      <c r="Q113" s="331"/>
      <c r="R113" s="3615">
        <f t="shared" si="21"/>
        <v>135.9</v>
      </c>
      <c r="S113" s="131"/>
      <c r="T113" s="2657">
        <f>26*2.05+10.25</f>
        <v>63.55</v>
      </c>
      <c r="U113" s="331"/>
      <c r="V113" s="3615">
        <f t="shared" si="22"/>
        <v>199.45</v>
      </c>
      <c r="W113" s="131"/>
      <c r="X113" s="2657">
        <f>17.43+2.05</f>
        <v>19.48</v>
      </c>
      <c r="Y113" s="696"/>
      <c r="Z113" s="4110">
        <f t="shared" si="23"/>
        <v>136.32999999999998</v>
      </c>
      <c r="AA113" s="795"/>
      <c r="AB113" s="795">
        <f t="shared" si="24"/>
        <v>218.93</v>
      </c>
      <c r="AC113" s="131"/>
      <c r="AD113" s="2657">
        <f>30.75+51.25</f>
        <v>82</v>
      </c>
      <c r="AE113" s="331"/>
      <c r="AF113" s="3615">
        <f t="shared" si="25"/>
        <v>300.93</v>
      </c>
      <c r="AG113" s="131"/>
      <c r="AH113" s="2657">
        <v>4.0999999999999996</v>
      </c>
      <c r="AI113" s="331"/>
      <c r="AJ113" s="3615">
        <f t="shared" si="26"/>
        <v>305.03000000000003</v>
      </c>
      <c r="AK113" s="131"/>
      <c r="AL113" s="2657">
        <v>6.15</v>
      </c>
      <c r="AM113" s="4110"/>
      <c r="AN113" s="4110">
        <f t="shared" si="27"/>
        <v>92.25</v>
      </c>
      <c r="AO113" s="3615"/>
      <c r="AP113" s="3615">
        <f t="shared" si="28"/>
        <v>311.18</v>
      </c>
      <c r="AQ113" s="131"/>
      <c r="AR113" s="2657">
        <v>26.65</v>
      </c>
      <c r="AS113" s="331"/>
      <c r="AT113" s="3615">
        <f t="shared" si="29"/>
        <v>337.83</v>
      </c>
      <c r="AU113" s="131"/>
      <c r="AV113" s="2657">
        <v>45.1</v>
      </c>
      <c r="AW113" s="331"/>
      <c r="AX113" s="3615">
        <f t="shared" si="30"/>
        <v>382.93</v>
      </c>
      <c r="AY113" s="131"/>
      <c r="AZ113" s="2657">
        <v>149.65</v>
      </c>
      <c r="BA113" s="4110"/>
      <c r="BB113" s="4110">
        <f t="shared" si="31"/>
        <v>221.4</v>
      </c>
      <c r="BC113" s="795"/>
      <c r="BD113" s="795">
        <f t="shared" si="32"/>
        <v>313.64999999999998</v>
      </c>
      <c r="BE113" s="3615"/>
      <c r="BF113" s="3615">
        <f t="shared" si="33"/>
        <v>532.58000000000004</v>
      </c>
      <c r="BG113" s="26"/>
      <c r="BH113" s="26"/>
      <c r="BI113" s="26"/>
      <c r="BJ113" s="26"/>
    </row>
    <row r="114" spans="2:62" ht="15.75" x14ac:dyDescent="0.25">
      <c r="B114" s="2218" t="s">
        <v>1175</v>
      </c>
      <c r="C114" s="2219"/>
      <c r="D114" s="2220" t="s">
        <v>52</v>
      </c>
      <c r="E114" s="1055"/>
      <c r="F114" s="131">
        <f>2.05+41</f>
        <v>43.05</v>
      </c>
      <c r="G114" s="1055"/>
      <c r="H114" s="131"/>
      <c r="I114" s="2210"/>
      <c r="J114" s="3615">
        <f t="shared" si="19"/>
        <v>43.05</v>
      </c>
      <c r="K114" s="1055"/>
      <c r="L114" s="131"/>
      <c r="M114" s="1978"/>
      <c r="N114" s="5255">
        <f t="shared" si="20"/>
        <v>43.05</v>
      </c>
      <c r="O114" s="1055"/>
      <c r="P114" s="131">
        <v>8.1999999999999993</v>
      </c>
      <c r="Q114" s="331"/>
      <c r="R114" s="3615">
        <f t="shared" si="21"/>
        <v>51.25</v>
      </c>
      <c r="S114" s="131"/>
      <c r="T114" s="2657"/>
      <c r="U114" s="331"/>
      <c r="V114" s="3615">
        <f t="shared" si="22"/>
        <v>51.25</v>
      </c>
      <c r="W114" s="131"/>
      <c r="X114" s="2657"/>
      <c r="Y114" s="696"/>
      <c r="Z114" s="4110">
        <f t="shared" si="23"/>
        <v>8.1999999999999993</v>
      </c>
      <c r="AA114" s="795"/>
      <c r="AB114" s="795">
        <f t="shared" si="24"/>
        <v>51.25</v>
      </c>
      <c r="AC114" s="131"/>
      <c r="AD114" s="2657"/>
      <c r="AE114" s="331"/>
      <c r="AF114" s="3615">
        <f t="shared" si="25"/>
        <v>51.25</v>
      </c>
      <c r="AG114" s="131"/>
      <c r="AH114" s="2657">
        <v>8.1999999999999993</v>
      </c>
      <c r="AI114" s="331"/>
      <c r="AJ114" s="3615">
        <f t="shared" si="26"/>
        <v>59.45</v>
      </c>
      <c r="AK114" s="131"/>
      <c r="AL114" s="2657"/>
      <c r="AM114" s="4110"/>
      <c r="AN114" s="4110">
        <f t="shared" si="27"/>
        <v>8.1999999999999993</v>
      </c>
      <c r="AO114" s="3615"/>
      <c r="AP114" s="3615">
        <f t="shared" si="28"/>
        <v>59.45</v>
      </c>
      <c r="AQ114" s="131"/>
      <c r="AR114" s="2657"/>
      <c r="AS114" s="331"/>
      <c r="AT114" s="3615">
        <f t="shared" si="29"/>
        <v>59.45</v>
      </c>
      <c r="AU114" s="131"/>
      <c r="AV114" s="2657"/>
      <c r="AW114" s="331"/>
      <c r="AX114" s="3615">
        <f t="shared" si="30"/>
        <v>59.45</v>
      </c>
      <c r="AY114" s="131"/>
      <c r="AZ114" s="2657"/>
      <c r="BA114" s="4110"/>
      <c r="BB114" s="4110">
        <f t="shared" si="31"/>
        <v>0</v>
      </c>
      <c r="BC114" s="795"/>
      <c r="BD114" s="795">
        <f t="shared" si="32"/>
        <v>8.1999999999999993</v>
      </c>
      <c r="BE114" s="3615"/>
      <c r="BF114" s="3615">
        <f t="shared" si="33"/>
        <v>59.45</v>
      </c>
      <c r="BG114" s="26"/>
      <c r="BH114" s="26"/>
      <c r="BI114" s="26"/>
      <c r="BJ114" s="26"/>
    </row>
    <row r="115" spans="2:62" ht="15.75" x14ac:dyDescent="0.25">
      <c r="B115" s="2218" t="s">
        <v>1176</v>
      </c>
      <c r="C115" s="2219"/>
      <c r="D115" s="2220" t="s">
        <v>52</v>
      </c>
      <c r="E115" s="1055"/>
      <c r="F115" s="131"/>
      <c r="G115" s="1055"/>
      <c r="H115" s="131">
        <v>2.0499999999999998</v>
      </c>
      <c r="I115" s="2210"/>
      <c r="J115" s="3615">
        <f t="shared" si="19"/>
        <v>2.0499999999999998</v>
      </c>
      <c r="K115" s="1055"/>
      <c r="L115" s="131"/>
      <c r="M115" s="1978"/>
      <c r="N115" s="5255">
        <f t="shared" si="20"/>
        <v>2.0499999999999998</v>
      </c>
      <c r="O115" s="1055"/>
      <c r="P115" s="131"/>
      <c r="Q115" s="331"/>
      <c r="R115" s="3615">
        <f t="shared" si="21"/>
        <v>2.0499999999999998</v>
      </c>
      <c r="S115" s="131"/>
      <c r="T115" s="2627"/>
      <c r="U115" s="331"/>
      <c r="V115" s="3615">
        <f t="shared" si="22"/>
        <v>2.0499999999999998</v>
      </c>
      <c r="W115" s="131"/>
      <c r="X115" s="2627"/>
      <c r="Y115" s="696"/>
      <c r="Z115" s="4110">
        <f t="shared" si="23"/>
        <v>0</v>
      </c>
      <c r="AA115" s="795"/>
      <c r="AB115" s="795">
        <f t="shared" si="24"/>
        <v>2.0499999999999998</v>
      </c>
      <c r="AC115" s="131"/>
      <c r="AD115" s="2627"/>
      <c r="AE115" s="331"/>
      <c r="AF115" s="3615">
        <f t="shared" si="25"/>
        <v>2.0499999999999998</v>
      </c>
      <c r="AG115" s="131"/>
      <c r="AH115" s="2627"/>
      <c r="AI115" s="331"/>
      <c r="AJ115" s="3615">
        <f t="shared" si="26"/>
        <v>2.0499999999999998</v>
      </c>
      <c r="AK115" s="131"/>
      <c r="AL115" s="2627"/>
      <c r="AM115" s="4110"/>
      <c r="AN115" s="4110">
        <f t="shared" si="27"/>
        <v>0</v>
      </c>
      <c r="AO115" s="3615"/>
      <c r="AP115" s="3615">
        <f t="shared" si="28"/>
        <v>2.0499999999999998</v>
      </c>
      <c r="AQ115" s="131"/>
      <c r="AR115" s="2627"/>
      <c r="AS115" s="331"/>
      <c r="AT115" s="3615">
        <f t="shared" si="29"/>
        <v>2.0499999999999998</v>
      </c>
      <c r="AU115" s="131"/>
      <c r="AV115" s="2627"/>
      <c r="AW115" s="331"/>
      <c r="AX115" s="3615">
        <f t="shared" si="30"/>
        <v>2.0499999999999998</v>
      </c>
      <c r="AY115" s="131"/>
      <c r="AZ115" s="2627"/>
      <c r="BA115" s="4110"/>
      <c r="BB115" s="4110">
        <f t="shared" si="31"/>
        <v>0</v>
      </c>
      <c r="BC115" s="795"/>
      <c r="BD115" s="795">
        <f t="shared" si="32"/>
        <v>0</v>
      </c>
      <c r="BE115" s="3615"/>
      <c r="BF115" s="3615">
        <f t="shared" si="33"/>
        <v>2.0499999999999998</v>
      </c>
      <c r="BG115" s="26"/>
      <c r="BH115" s="26"/>
      <c r="BI115" s="26"/>
      <c r="BJ115" s="26"/>
    </row>
    <row r="116" spans="2:62" ht="15.75" x14ac:dyDescent="0.25">
      <c r="B116" s="2218" t="s">
        <v>1339</v>
      </c>
      <c r="C116" s="2219"/>
      <c r="D116" s="2220" t="s">
        <v>52</v>
      </c>
      <c r="E116" s="1055"/>
      <c r="F116" s="1494"/>
      <c r="G116" s="1055"/>
      <c r="H116" s="1494"/>
      <c r="I116" s="2210"/>
      <c r="J116" s="3615">
        <f t="shared" si="19"/>
        <v>0</v>
      </c>
      <c r="K116" s="1055"/>
      <c r="L116" s="1494"/>
      <c r="M116" s="1978"/>
      <c r="N116" s="5255">
        <f t="shared" si="20"/>
        <v>0</v>
      </c>
      <c r="O116" s="1055"/>
      <c r="P116" s="1494"/>
      <c r="Q116" s="331"/>
      <c r="R116" s="3615">
        <f t="shared" si="21"/>
        <v>0</v>
      </c>
      <c r="S116" s="131"/>
      <c r="T116" s="2627"/>
      <c r="U116" s="331"/>
      <c r="V116" s="3615">
        <f t="shared" si="22"/>
        <v>0</v>
      </c>
      <c r="W116" s="131"/>
      <c r="X116" s="2627"/>
      <c r="Y116" s="696"/>
      <c r="Z116" s="4110">
        <f t="shared" si="23"/>
        <v>0</v>
      </c>
      <c r="AA116" s="795"/>
      <c r="AB116" s="795">
        <f t="shared" si="24"/>
        <v>0</v>
      </c>
      <c r="AC116" s="131"/>
      <c r="AD116" s="2627"/>
      <c r="AE116" s="331"/>
      <c r="AF116" s="3615">
        <f t="shared" si="25"/>
        <v>0</v>
      </c>
      <c r="AG116" s="131"/>
      <c r="AH116" s="2627"/>
      <c r="AI116" s="331"/>
      <c r="AJ116" s="3615">
        <f t="shared" si="26"/>
        <v>0</v>
      </c>
      <c r="AK116" s="131"/>
      <c r="AL116" s="2627"/>
      <c r="AM116" s="4110"/>
      <c r="AN116" s="4110">
        <f t="shared" si="27"/>
        <v>0</v>
      </c>
      <c r="AO116" s="3615"/>
      <c r="AP116" s="3615">
        <f t="shared" si="28"/>
        <v>0</v>
      </c>
      <c r="AQ116" s="131"/>
      <c r="AR116" s="2627"/>
      <c r="AS116" s="331"/>
      <c r="AT116" s="3615">
        <f t="shared" si="29"/>
        <v>0</v>
      </c>
      <c r="AU116" s="131"/>
      <c r="AV116" s="2627"/>
      <c r="AW116" s="331"/>
      <c r="AX116" s="3615">
        <f t="shared" si="30"/>
        <v>0</v>
      </c>
      <c r="AY116" s="131"/>
      <c r="AZ116" s="2627"/>
      <c r="BA116" s="4110"/>
      <c r="BB116" s="4110">
        <f t="shared" si="31"/>
        <v>0</v>
      </c>
      <c r="BC116" s="795"/>
      <c r="BD116" s="795">
        <f t="shared" si="32"/>
        <v>0</v>
      </c>
      <c r="BE116" s="3615"/>
      <c r="BF116" s="3615">
        <f t="shared" si="33"/>
        <v>0</v>
      </c>
      <c r="BG116" s="26"/>
      <c r="BH116" s="26"/>
      <c r="BI116" s="26"/>
      <c r="BJ116" s="26"/>
    </row>
    <row r="117" spans="2:62" ht="15.75" x14ac:dyDescent="0.25">
      <c r="B117" s="2218" t="s">
        <v>1079</v>
      </c>
      <c r="C117" s="2219"/>
      <c r="D117" s="2220" t="s">
        <v>52</v>
      </c>
      <c r="E117" s="1055"/>
      <c r="F117" s="1494"/>
      <c r="G117" s="1055"/>
      <c r="H117" s="1494"/>
      <c r="I117" s="2210"/>
      <c r="J117" s="3615">
        <f t="shared" si="19"/>
        <v>0</v>
      </c>
      <c r="K117" s="1055"/>
      <c r="L117" s="1494"/>
      <c r="M117" s="1978"/>
      <c r="N117" s="5255">
        <f t="shared" si="20"/>
        <v>0</v>
      </c>
      <c r="O117" s="1055"/>
      <c r="P117" s="1494">
        <v>2.06</v>
      </c>
      <c r="Q117" s="331"/>
      <c r="R117" s="3615">
        <f t="shared" si="21"/>
        <v>2.06</v>
      </c>
      <c r="S117" s="131"/>
      <c r="T117" s="2627"/>
      <c r="U117" s="331"/>
      <c r="V117" s="3615">
        <f t="shared" si="22"/>
        <v>2.06</v>
      </c>
      <c r="W117" s="131"/>
      <c r="X117" s="2627"/>
      <c r="Y117" s="696"/>
      <c r="Z117" s="4110">
        <f t="shared" si="23"/>
        <v>2.06</v>
      </c>
      <c r="AA117" s="795"/>
      <c r="AB117" s="795">
        <f t="shared" si="24"/>
        <v>2.06</v>
      </c>
      <c r="AC117" s="131"/>
      <c r="AD117" s="2627"/>
      <c r="AE117" s="331"/>
      <c r="AF117" s="3615">
        <f t="shared" si="25"/>
        <v>2.06</v>
      </c>
      <c r="AG117" s="131"/>
      <c r="AH117" s="2627"/>
      <c r="AI117" s="331"/>
      <c r="AJ117" s="3615">
        <f t="shared" si="26"/>
        <v>2.06</v>
      </c>
      <c r="AK117" s="131"/>
      <c r="AL117" s="2627"/>
      <c r="AM117" s="4110"/>
      <c r="AN117" s="4110">
        <f t="shared" si="27"/>
        <v>0</v>
      </c>
      <c r="AO117" s="3615"/>
      <c r="AP117" s="3615">
        <f t="shared" si="28"/>
        <v>2.06</v>
      </c>
      <c r="AQ117" s="131"/>
      <c r="AR117" s="2627"/>
      <c r="AS117" s="331"/>
      <c r="AT117" s="3615">
        <f t="shared" si="29"/>
        <v>2.06</v>
      </c>
      <c r="AU117" s="131"/>
      <c r="AV117" s="2627">
        <v>2.0499999999999998</v>
      </c>
      <c r="AW117" s="331"/>
      <c r="AX117" s="3615">
        <f t="shared" si="30"/>
        <v>4.1099999999999994</v>
      </c>
      <c r="AY117" s="131"/>
      <c r="AZ117" s="2627"/>
      <c r="BA117" s="4110"/>
      <c r="BB117" s="4110">
        <f t="shared" si="31"/>
        <v>2.0499999999999998</v>
      </c>
      <c r="BC117" s="795"/>
      <c r="BD117" s="795">
        <f t="shared" si="32"/>
        <v>2.0499999999999998</v>
      </c>
      <c r="BE117" s="3615"/>
      <c r="BF117" s="3615">
        <f t="shared" si="33"/>
        <v>4.1099999999999994</v>
      </c>
      <c r="BG117" s="26"/>
      <c r="BH117" s="26"/>
      <c r="BI117" s="26"/>
      <c r="BJ117" s="26"/>
    </row>
    <row r="118" spans="2:62" ht="15.75" x14ac:dyDescent="0.25">
      <c r="B118" s="2218" t="s">
        <v>1078</v>
      </c>
      <c r="C118" s="2219"/>
      <c r="D118" s="2220" t="s">
        <v>52</v>
      </c>
      <c r="E118" s="1055"/>
      <c r="F118" s="1494"/>
      <c r="G118" s="1055"/>
      <c r="H118" s="1494"/>
      <c r="I118" s="2210"/>
      <c r="J118" s="3615">
        <f t="shared" si="19"/>
        <v>0</v>
      </c>
      <c r="K118" s="1055"/>
      <c r="L118" s="1494">
        <v>2.0499999999999998</v>
      </c>
      <c r="M118" s="1978"/>
      <c r="N118" s="5255">
        <f t="shared" si="20"/>
        <v>2.0499999999999998</v>
      </c>
      <c r="O118" s="1055"/>
      <c r="P118" s="1494"/>
      <c r="Q118" s="331"/>
      <c r="R118" s="3615">
        <f t="shared" si="21"/>
        <v>2.0499999999999998</v>
      </c>
      <c r="S118" s="131"/>
      <c r="T118" s="2627">
        <v>6.1499999999999995</v>
      </c>
      <c r="U118" s="331"/>
      <c r="V118" s="3615">
        <f t="shared" si="22"/>
        <v>8.1999999999999993</v>
      </c>
      <c r="W118" s="131"/>
      <c r="X118" s="2627"/>
      <c r="Y118" s="696"/>
      <c r="Z118" s="4110">
        <f t="shared" si="23"/>
        <v>6.1499999999999995</v>
      </c>
      <c r="AA118" s="795"/>
      <c r="AB118" s="795">
        <f t="shared" si="24"/>
        <v>8.1999999999999993</v>
      </c>
      <c r="AC118" s="131"/>
      <c r="AD118" s="2627"/>
      <c r="AE118" s="331"/>
      <c r="AF118" s="3615">
        <f t="shared" si="25"/>
        <v>8.1999999999999993</v>
      </c>
      <c r="AG118" s="131"/>
      <c r="AH118" s="2627"/>
      <c r="AI118" s="331"/>
      <c r="AJ118" s="3615">
        <f t="shared" si="26"/>
        <v>8.1999999999999993</v>
      </c>
      <c r="AK118" s="131"/>
      <c r="AL118" s="2627"/>
      <c r="AM118" s="4110"/>
      <c r="AN118" s="4110">
        <f t="shared" si="27"/>
        <v>0</v>
      </c>
      <c r="AO118" s="3615"/>
      <c r="AP118" s="3615">
        <f t="shared" si="28"/>
        <v>8.1999999999999993</v>
      </c>
      <c r="AQ118" s="131"/>
      <c r="AR118" s="2627"/>
      <c r="AS118" s="331"/>
      <c r="AT118" s="3615">
        <f t="shared" si="29"/>
        <v>8.1999999999999993</v>
      </c>
      <c r="AU118" s="131"/>
      <c r="AV118" s="2627"/>
      <c r="AW118" s="331"/>
      <c r="AX118" s="3615">
        <f t="shared" si="30"/>
        <v>8.1999999999999993</v>
      </c>
      <c r="AY118" s="131"/>
      <c r="AZ118" s="2627"/>
      <c r="BA118" s="4110"/>
      <c r="BB118" s="4110">
        <f t="shared" si="31"/>
        <v>0</v>
      </c>
      <c r="BC118" s="795"/>
      <c r="BD118" s="795">
        <f t="shared" si="32"/>
        <v>0</v>
      </c>
      <c r="BE118" s="3615"/>
      <c r="BF118" s="3615">
        <f t="shared" si="33"/>
        <v>8.1999999999999993</v>
      </c>
      <c r="BG118" s="26"/>
      <c r="BH118" s="26"/>
      <c r="BI118" s="26"/>
      <c r="BJ118" s="26"/>
    </row>
    <row r="119" spans="2:62" ht="15.75" x14ac:dyDescent="0.25">
      <c r="B119" s="2218" t="s">
        <v>1447</v>
      </c>
      <c r="C119" s="2219"/>
      <c r="D119" s="2220" t="s">
        <v>52</v>
      </c>
      <c r="E119" s="1055"/>
      <c r="F119" s="1494">
        <v>2.0499999999999998</v>
      </c>
      <c r="G119" s="1055"/>
      <c r="H119" s="1494"/>
      <c r="I119" s="2210"/>
      <c r="J119" s="3615">
        <f t="shared" si="19"/>
        <v>2.0499999999999998</v>
      </c>
      <c r="K119" s="1055"/>
      <c r="L119" s="1494"/>
      <c r="M119" s="1978"/>
      <c r="N119" s="5255">
        <f t="shared" si="20"/>
        <v>2.0499999999999998</v>
      </c>
      <c r="O119" s="1055"/>
      <c r="P119" s="1494"/>
      <c r="Q119" s="331"/>
      <c r="R119" s="3615">
        <f t="shared" si="21"/>
        <v>2.0499999999999998</v>
      </c>
      <c r="S119" s="131"/>
      <c r="T119" s="2627"/>
      <c r="U119" s="331"/>
      <c r="V119" s="3615">
        <f t="shared" si="22"/>
        <v>2.0499999999999998</v>
      </c>
      <c r="W119" s="131"/>
      <c r="X119" s="2627"/>
      <c r="Y119" s="696"/>
      <c r="Z119" s="4110">
        <f t="shared" si="23"/>
        <v>0</v>
      </c>
      <c r="AA119" s="795"/>
      <c r="AB119" s="795">
        <f t="shared" si="24"/>
        <v>2.0499999999999998</v>
      </c>
      <c r="AC119" s="131"/>
      <c r="AD119" s="2627"/>
      <c r="AE119" s="331"/>
      <c r="AF119" s="3615">
        <f t="shared" si="25"/>
        <v>2.0499999999999998</v>
      </c>
      <c r="AG119" s="131"/>
      <c r="AH119" s="2627"/>
      <c r="AI119" s="331"/>
      <c r="AJ119" s="3615">
        <f t="shared" si="26"/>
        <v>2.0499999999999998</v>
      </c>
      <c r="AK119" s="131"/>
      <c r="AL119" s="2627"/>
      <c r="AM119" s="4110"/>
      <c r="AN119" s="4110">
        <f t="shared" si="27"/>
        <v>0</v>
      </c>
      <c r="AO119" s="3615"/>
      <c r="AP119" s="3615">
        <f t="shared" si="28"/>
        <v>2.0499999999999998</v>
      </c>
      <c r="AQ119" s="131"/>
      <c r="AR119" s="2627"/>
      <c r="AS119" s="331"/>
      <c r="AT119" s="3615">
        <f t="shared" si="29"/>
        <v>2.0499999999999998</v>
      </c>
      <c r="AU119" s="131"/>
      <c r="AV119" s="2627"/>
      <c r="AW119" s="331"/>
      <c r="AX119" s="3615">
        <f t="shared" si="30"/>
        <v>2.0499999999999998</v>
      </c>
      <c r="AY119" s="131"/>
      <c r="AZ119" s="2627"/>
      <c r="BA119" s="4110"/>
      <c r="BB119" s="4110">
        <f t="shared" si="31"/>
        <v>0</v>
      </c>
      <c r="BC119" s="795"/>
      <c r="BD119" s="795">
        <f t="shared" si="32"/>
        <v>0</v>
      </c>
      <c r="BE119" s="3615"/>
      <c r="BF119" s="3615">
        <f t="shared" si="33"/>
        <v>2.0499999999999998</v>
      </c>
      <c r="BG119" s="26"/>
      <c r="BH119" s="26"/>
      <c r="BI119" s="26"/>
      <c r="BJ119" s="26"/>
    </row>
    <row r="120" spans="2:62" ht="15.75" customHeight="1" x14ac:dyDescent="0.25">
      <c r="B120" s="2218" t="s">
        <v>1077</v>
      </c>
      <c r="C120" s="2219"/>
      <c r="D120" s="2220" t="s">
        <v>52</v>
      </c>
      <c r="E120" s="1055"/>
      <c r="F120" s="1494"/>
      <c r="G120" s="1055"/>
      <c r="H120" s="1494"/>
      <c r="I120" s="2210"/>
      <c r="J120" s="3615">
        <f t="shared" si="19"/>
        <v>0</v>
      </c>
      <c r="K120" s="1055"/>
      <c r="L120" s="1494"/>
      <c r="M120" s="1978"/>
      <c r="N120" s="5255">
        <f t="shared" si="20"/>
        <v>0</v>
      </c>
      <c r="O120" s="1055"/>
      <c r="P120" s="1494"/>
      <c r="Q120" s="331"/>
      <c r="R120" s="3615">
        <f t="shared" si="21"/>
        <v>0</v>
      </c>
      <c r="S120" s="131"/>
      <c r="T120" s="2627">
        <v>10.25</v>
      </c>
      <c r="U120" s="331"/>
      <c r="V120" s="3615">
        <f t="shared" si="22"/>
        <v>10.25</v>
      </c>
      <c r="W120" s="131"/>
      <c r="X120" s="2627"/>
      <c r="Y120" s="696"/>
      <c r="Z120" s="4110">
        <f t="shared" si="23"/>
        <v>10.25</v>
      </c>
      <c r="AA120" s="795"/>
      <c r="AB120" s="795">
        <f t="shared" si="24"/>
        <v>10.25</v>
      </c>
      <c r="AC120" s="131"/>
      <c r="AD120" s="2627"/>
      <c r="AE120" s="331"/>
      <c r="AF120" s="3615">
        <f t="shared" si="25"/>
        <v>10.25</v>
      </c>
      <c r="AG120" s="131"/>
      <c r="AH120" s="2627">
        <v>26.65</v>
      </c>
      <c r="AI120" s="331"/>
      <c r="AJ120" s="3615">
        <f t="shared" si="26"/>
        <v>36.9</v>
      </c>
      <c r="AK120" s="131"/>
      <c r="AL120" s="2627">
        <v>2.0499999999999998</v>
      </c>
      <c r="AM120" s="4110"/>
      <c r="AN120" s="4110">
        <f t="shared" si="27"/>
        <v>28.7</v>
      </c>
      <c r="AO120" s="3615"/>
      <c r="AP120" s="3615">
        <f t="shared" si="28"/>
        <v>38.949999999999996</v>
      </c>
      <c r="AQ120" s="131"/>
      <c r="AR120" s="2627"/>
      <c r="AS120" s="331"/>
      <c r="AT120" s="3615">
        <f t="shared" si="29"/>
        <v>38.949999999999996</v>
      </c>
      <c r="AU120" s="131"/>
      <c r="AV120" s="2627"/>
      <c r="AW120" s="331"/>
      <c r="AX120" s="3615">
        <f t="shared" si="30"/>
        <v>38.949999999999996</v>
      </c>
      <c r="AY120" s="131"/>
      <c r="AZ120" s="2627"/>
      <c r="BA120" s="4110"/>
      <c r="BB120" s="4110">
        <f t="shared" si="31"/>
        <v>0</v>
      </c>
      <c r="BC120" s="795"/>
      <c r="BD120" s="795">
        <f t="shared" si="32"/>
        <v>28.7</v>
      </c>
      <c r="BE120" s="3615"/>
      <c r="BF120" s="3615">
        <f t="shared" si="33"/>
        <v>38.949999999999996</v>
      </c>
      <c r="BG120" s="26"/>
      <c r="BH120" s="26"/>
      <c r="BI120" s="26"/>
      <c r="BJ120" s="26"/>
    </row>
    <row r="121" spans="2:62" ht="15.75" customHeight="1" x14ac:dyDescent="0.25">
      <c r="B121" s="2218" t="s">
        <v>1367</v>
      </c>
      <c r="C121" s="2219"/>
      <c r="D121" s="2220" t="s">
        <v>52</v>
      </c>
      <c r="E121" s="1057"/>
      <c r="F121" s="1494"/>
      <c r="G121" s="1057"/>
      <c r="H121" s="1494"/>
      <c r="I121" s="2211"/>
      <c r="J121" s="3615">
        <f t="shared" si="19"/>
        <v>0</v>
      </c>
      <c r="K121" s="1057"/>
      <c r="L121" s="1494"/>
      <c r="M121" s="1979"/>
      <c r="N121" s="5255">
        <f t="shared" si="20"/>
        <v>0</v>
      </c>
      <c r="O121" s="1057"/>
      <c r="P121" s="1494"/>
      <c r="Q121" s="2438"/>
      <c r="R121" s="3615">
        <f t="shared" si="21"/>
        <v>0</v>
      </c>
      <c r="S121" s="2208"/>
      <c r="T121" s="2627"/>
      <c r="U121" s="331"/>
      <c r="V121" s="3615">
        <f t="shared" si="22"/>
        <v>0</v>
      </c>
      <c r="W121" s="2208"/>
      <c r="X121" s="2627"/>
      <c r="Y121" s="1056"/>
      <c r="Z121" s="4110">
        <f t="shared" si="23"/>
        <v>0</v>
      </c>
      <c r="AA121" s="795"/>
      <c r="AB121" s="795">
        <f t="shared" si="24"/>
        <v>0</v>
      </c>
      <c r="AC121" s="2208"/>
      <c r="AD121" s="2627"/>
      <c r="AE121" s="331"/>
      <c r="AF121" s="3615">
        <f t="shared" si="25"/>
        <v>0</v>
      </c>
      <c r="AG121" s="2208"/>
      <c r="AH121" s="2627"/>
      <c r="AI121" s="331"/>
      <c r="AJ121" s="3615">
        <f t="shared" si="26"/>
        <v>0</v>
      </c>
      <c r="AK121" s="2208"/>
      <c r="AL121" s="2627"/>
      <c r="AM121" s="1056"/>
      <c r="AN121" s="4110">
        <f t="shared" si="27"/>
        <v>0</v>
      </c>
      <c r="AO121" s="3615"/>
      <c r="AP121" s="3615">
        <f t="shared" si="28"/>
        <v>0</v>
      </c>
      <c r="AQ121" s="2208"/>
      <c r="AR121" s="2627"/>
      <c r="AS121" s="331"/>
      <c r="AT121" s="3615">
        <f t="shared" si="29"/>
        <v>0</v>
      </c>
      <c r="AU121" s="2208"/>
      <c r="AV121" s="2627"/>
      <c r="AW121" s="331"/>
      <c r="AX121" s="3615">
        <f t="shared" si="30"/>
        <v>0</v>
      </c>
      <c r="AY121" s="2208"/>
      <c r="AZ121" s="2627"/>
      <c r="BA121" s="1056"/>
      <c r="BB121" s="4110">
        <f t="shared" si="31"/>
        <v>0</v>
      </c>
      <c r="BC121" s="795"/>
      <c r="BD121" s="795">
        <f t="shared" si="32"/>
        <v>0</v>
      </c>
      <c r="BE121" s="3615"/>
      <c r="BF121" s="3615">
        <f t="shared" si="33"/>
        <v>0</v>
      </c>
      <c r="BG121" s="26"/>
      <c r="BH121" s="26"/>
      <c r="BI121" s="26"/>
      <c r="BJ121" s="26"/>
    </row>
    <row r="122" spans="2:62" ht="15.75" customHeight="1" x14ac:dyDescent="0.25">
      <c r="B122" s="2218" t="s">
        <v>1416</v>
      </c>
      <c r="C122" s="2219"/>
      <c r="D122" s="2223" t="s">
        <v>52</v>
      </c>
      <c r="E122" s="1057"/>
      <c r="F122" s="1494">
        <v>2.0499999999999998</v>
      </c>
      <c r="G122" s="1057"/>
      <c r="H122" s="1494"/>
      <c r="I122" s="2211"/>
      <c r="J122" s="3615">
        <f t="shared" si="19"/>
        <v>2.0499999999999998</v>
      </c>
      <c r="K122" s="1057"/>
      <c r="L122" s="1494"/>
      <c r="M122" s="1979"/>
      <c r="N122" s="5255">
        <f t="shared" si="20"/>
        <v>2.0499999999999998</v>
      </c>
      <c r="O122" s="1057"/>
      <c r="P122" s="1494"/>
      <c r="Q122" s="2439"/>
      <c r="R122" s="3615">
        <f t="shared" si="21"/>
        <v>2.0499999999999998</v>
      </c>
      <c r="S122" s="2248"/>
      <c r="T122" s="2627"/>
      <c r="U122" s="727"/>
      <c r="V122" s="3615">
        <f t="shared" si="22"/>
        <v>2.0499999999999998</v>
      </c>
      <c r="W122" s="2248"/>
      <c r="X122" s="2627"/>
      <c r="Y122" s="1056"/>
      <c r="Z122" s="4110">
        <f t="shared" si="23"/>
        <v>0</v>
      </c>
      <c r="AA122" s="795"/>
      <c r="AB122" s="795">
        <f t="shared" si="24"/>
        <v>2.0499999999999998</v>
      </c>
      <c r="AC122" s="2248"/>
      <c r="AD122" s="2627"/>
      <c r="AE122" s="727"/>
      <c r="AF122" s="3615">
        <f t="shared" si="25"/>
        <v>2.0499999999999998</v>
      </c>
      <c r="AG122" s="2248"/>
      <c r="AH122" s="2627"/>
      <c r="AI122" s="727"/>
      <c r="AJ122" s="3615">
        <f t="shared" si="26"/>
        <v>2.0499999999999998</v>
      </c>
      <c r="AK122" s="2248"/>
      <c r="AL122" s="2627"/>
      <c r="AM122" s="1056"/>
      <c r="AN122" s="4110">
        <f t="shared" si="27"/>
        <v>0</v>
      </c>
      <c r="AO122" s="3615"/>
      <c r="AP122" s="3615">
        <f t="shared" si="28"/>
        <v>2.0499999999999998</v>
      </c>
      <c r="AQ122" s="2248"/>
      <c r="AR122" s="2627"/>
      <c r="AS122" s="727"/>
      <c r="AT122" s="3615">
        <f t="shared" si="29"/>
        <v>2.0499999999999998</v>
      </c>
      <c r="AU122" s="2248"/>
      <c r="AV122" s="2627"/>
      <c r="AW122" s="727"/>
      <c r="AX122" s="3615">
        <f t="shared" si="30"/>
        <v>2.0499999999999998</v>
      </c>
      <c r="AY122" s="2248"/>
      <c r="AZ122" s="2627"/>
      <c r="BA122" s="1056"/>
      <c r="BB122" s="4110">
        <f t="shared" si="31"/>
        <v>0</v>
      </c>
      <c r="BC122" s="795"/>
      <c r="BD122" s="795">
        <f t="shared" si="32"/>
        <v>0</v>
      </c>
      <c r="BE122" s="3615"/>
      <c r="BF122" s="3615">
        <f t="shared" si="33"/>
        <v>2.0499999999999998</v>
      </c>
      <c r="BG122" s="26"/>
      <c r="BH122" s="26"/>
      <c r="BI122" s="26"/>
      <c r="BJ122" s="26"/>
    </row>
    <row r="123" spans="2:62" ht="15.75" customHeight="1" x14ac:dyDescent="0.25">
      <c r="B123" s="2221" t="s">
        <v>1150</v>
      </c>
      <c r="C123" s="2222"/>
      <c r="D123" s="2223" t="s">
        <v>52</v>
      </c>
      <c r="E123" s="1057"/>
      <c r="F123" s="1494">
        <v>6.15</v>
      </c>
      <c r="G123" s="1057"/>
      <c r="H123" s="1494"/>
      <c r="I123" s="2211"/>
      <c r="J123" s="3615">
        <f t="shared" si="19"/>
        <v>6.15</v>
      </c>
      <c r="K123" s="1057"/>
      <c r="L123" s="1494"/>
      <c r="M123" s="1979"/>
      <c r="N123" s="5255">
        <f t="shared" si="20"/>
        <v>6.15</v>
      </c>
      <c r="O123" s="1057"/>
      <c r="P123" s="1494"/>
      <c r="Q123" s="2211"/>
      <c r="R123" s="3615">
        <f t="shared" si="21"/>
        <v>6.15</v>
      </c>
      <c r="S123" s="2212"/>
      <c r="T123" s="2627"/>
      <c r="U123" s="2211"/>
      <c r="V123" s="3615">
        <f t="shared" si="22"/>
        <v>6.15</v>
      </c>
      <c r="W123" s="2212"/>
      <c r="X123" s="2627"/>
      <c r="Y123" s="1056"/>
      <c r="Z123" s="4110">
        <f t="shared" si="23"/>
        <v>0</v>
      </c>
      <c r="AA123" s="795"/>
      <c r="AB123" s="795">
        <f t="shared" si="24"/>
        <v>6.15</v>
      </c>
      <c r="AC123" s="2212"/>
      <c r="AD123" s="2627"/>
      <c r="AE123" s="2211"/>
      <c r="AF123" s="3615">
        <f t="shared" si="25"/>
        <v>6.15</v>
      </c>
      <c r="AG123" s="2212"/>
      <c r="AH123" s="2627"/>
      <c r="AI123" s="2211"/>
      <c r="AJ123" s="3615">
        <f t="shared" si="26"/>
        <v>6.15</v>
      </c>
      <c r="AK123" s="2212"/>
      <c r="AL123" s="2627"/>
      <c r="AM123" s="1056"/>
      <c r="AN123" s="4110">
        <f t="shared" si="27"/>
        <v>0</v>
      </c>
      <c r="AO123" s="3615"/>
      <c r="AP123" s="3615">
        <f t="shared" si="28"/>
        <v>6.15</v>
      </c>
      <c r="AQ123" s="2212"/>
      <c r="AR123" s="2627"/>
      <c r="AS123" s="2211"/>
      <c r="AT123" s="3615">
        <f t="shared" si="29"/>
        <v>6.15</v>
      </c>
      <c r="AU123" s="2212"/>
      <c r="AV123" s="2627">
        <v>2.0499999999999998</v>
      </c>
      <c r="AW123" s="2211"/>
      <c r="AX123" s="3615">
        <f t="shared" si="30"/>
        <v>8.1999999999999993</v>
      </c>
      <c r="AY123" s="2212"/>
      <c r="AZ123" s="2627"/>
      <c r="BA123" s="1056"/>
      <c r="BB123" s="4110">
        <f t="shared" si="31"/>
        <v>2.0499999999999998</v>
      </c>
      <c r="BC123" s="795"/>
      <c r="BD123" s="795">
        <f t="shared" si="32"/>
        <v>2.0499999999999998</v>
      </c>
      <c r="BE123" s="3615"/>
      <c r="BF123" s="3615">
        <f t="shared" si="33"/>
        <v>8.1999999999999993</v>
      </c>
      <c r="BG123" s="26"/>
      <c r="BH123" s="26"/>
      <c r="BI123" s="26"/>
      <c r="BJ123" s="26"/>
    </row>
    <row r="124" spans="2:62" s="116" customFormat="1" ht="15.75" x14ac:dyDescent="0.25">
      <c r="B124" s="1058" t="s">
        <v>306</v>
      </c>
      <c r="C124" s="1058"/>
      <c r="D124" s="973" t="s">
        <v>52</v>
      </c>
      <c r="E124" s="1416">
        <f>+E125</f>
        <v>42500</v>
      </c>
      <c r="F124" s="1416">
        <f>SUM(F7:F123)</f>
        <v>38904.900000000023</v>
      </c>
      <c r="G124" s="1416">
        <f>+G125</f>
        <v>36500</v>
      </c>
      <c r="H124" s="1416">
        <f>SUM(H7:H123)</f>
        <v>31496.2</v>
      </c>
      <c r="I124" s="1416">
        <f>+I125</f>
        <v>79000</v>
      </c>
      <c r="J124" s="1416">
        <f>SUM(J7:J123)</f>
        <v>70401.100000000006</v>
      </c>
      <c r="K124" s="1416">
        <f>+K125</f>
        <v>34000</v>
      </c>
      <c r="L124" s="1416">
        <f>SUM(L7:L123)</f>
        <v>33107.200000000012</v>
      </c>
      <c r="M124" s="1416">
        <f>+M125</f>
        <v>113000</v>
      </c>
      <c r="N124" s="1416">
        <f>SUM(N7:N123)</f>
        <v>103508.29999999997</v>
      </c>
      <c r="O124" s="1416">
        <f>+O125</f>
        <v>43500</v>
      </c>
      <c r="P124" s="1416">
        <f>SUM(P7:P123)</f>
        <v>41516.03</v>
      </c>
      <c r="Q124" s="1416">
        <f>+Q125</f>
        <v>156500</v>
      </c>
      <c r="R124" s="1416">
        <f>SUM(R7:R123)</f>
        <v>145024.32999999987</v>
      </c>
      <c r="S124" s="1416">
        <f>+S125</f>
        <v>43500</v>
      </c>
      <c r="T124" s="1416">
        <f>SUM(T7:T123)</f>
        <v>46245.950000000019</v>
      </c>
      <c r="U124" s="1416">
        <f>+U125</f>
        <v>200000</v>
      </c>
      <c r="V124" s="1416">
        <f>SUM(V7:V123)</f>
        <v>191270.27999999988</v>
      </c>
      <c r="W124" s="1416">
        <f>+W125</f>
        <v>42500</v>
      </c>
      <c r="X124" s="1416">
        <f>SUM(X7:X123)</f>
        <v>44960.60500000001</v>
      </c>
      <c r="Y124" s="1416">
        <f>+Y125</f>
        <v>129500</v>
      </c>
      <c r="Z124" s="1416">
        <f>SUM(Z7:Z123)</f>
        <v>132722.58499999999</v>
      </c>
      <c r="AA124" s="1416">
        <f>+AA125</f>
        <v>242500</v>
      </c>
      <c r="AB124" s="1416">
        <f>SUM(AB7:AB123)</f>
        <v>236230.88499999992</v>
      </c>
      <c r="AC124" s="1416">
        <f>+AC125</f>
        <v>43500</v>
      </c>
      <c r="AD124" s="1416">
        <f>SUM(AD7:AD123)</f>
        <v>42980.249999999985</v>
      </c>
      <c r="AE124" s="1416">
        <f>+AE125</f>
        <v>286000</v>
      </c>
      <c r="AF124" s="1416">
        <f>SUM(AF7:AF123)</f>
        <v>279211.13500000001</v>
      </c>
      <c r="AG124" s="1416">
        <f>+AG125</f>
        <v>42500</v>
      </c>
      <c r="AH124" s="1416">
        <f>SUM(AH7:AH123)</f>
        <v>40366.55000000001</v>
      </c>
      <c r="AI124" s="1416">
        <f>+AI125</f>
        <v>328500</v>
      </c>
      <c r="AJ124" s="1416">
        <f>SUM(AJ7:AJ123)</f>
        <v>319577.68500000023</v>
      </c>
      <c r="AK124" s="1416">
        <f>+AK125</f>
        <v>43500</v>
      </c>
      <c r="AL124" s="1416">
        <f>SUM(AL7:AL123)</f>
        <v>41586.30000000001</v>
      </c>
      <c r="AM124" s="1416">
        <f>+AM125</f>
        <v>129500</v>
      </c>
      <c r="AN124" s="1416">
        <f>SUM(AN7:AN123)</f>
        <v>124933.09999999998</v>
      </c>
      <c r="AO124" s="1416">
        <f>+AO125</f>
        <v>372000</v>
      </c>
      <c r="AP124" s="1416">
        <f>SUM(AP7:AP123)</f>
        <v>361163.98500000004</v>
      </c>
      <c r="AQ124" s="1416">
        <f>+AQ125</f>
        <v>43500</v>
      </c>
      <c r="AR124" s="1416">
        <f>SUM(AR7:AR123)</f>
        <v>43804.450000000004</v>
      </c>
      <c r="AS124" s="1416">
        <f>+AS125</f>
        <v>415500</v>
      </c>
      <c r="AT124" s="1416">
        <f>SUM(AT7:AT123)</f>
        <v>404968.43499999994</v>
      </c>
      <c r="AU124" s="1416">
        <f>+AU125</f>
        <v>41000</v>
      </c>
      <c r="AV124" s="1416">
        <f>SUM(AV7:AV123)</f>
        <v>36567.900000000016</v>
      </c>
      <c r="AW124" s="1416">
        <f>+AW125</f>
        <v>456500</v>
      </c>
      <c r="AX124" s="1416">
        <f>SUM(AX7:AX123)</f>
        <v>441536.33500000025</v>
      </c>
      <c r="AY124" s="1416">
        <f>+AY125</f>
        <v>43500</v>
      </c>
      <c r="AZ124" s="1416">
        <f>SUM(AZ7:AZ123)</f>
        <v>38343.200000000004</v>
      </c>
      <c r="BA124" s="1416">
        <f>+BA125</f>
        <v>128000</v>
      </c>
      <c r="BB124" s="1416">
        <f>SUM(BB7:BB123)</f>
        <v>118715.55000000005</v>
      </c>
      <c r="BC124" s="1416">
        <f>+BC125</f>
        <v>257500</v>
      </c>
      <c r="BD124" s="1416">
        <f>SUM(BD7:BD123)</f>
        <v>243648.65000000002</v>
      </c>
      <c r="BE124" s="1416">
        <f>+BE125</f>
        <v>500000</v>
      </c>
      <c r="BF124" s="1416">
        <f>SUM(BF7:BF123)</f>
        <v>479879.53500000027</v>
      </c>
      <c r="BG124" s="26"/>
      <c r="BH124" s="26"/>
      <c r="BI124" s="26"/>
      <c r="BJ124" s="26"/>
    </row>
    <row r="125" spans="2:62" ht="15.75" x14ac:dyDescent="0.25">
      <c r="B125" s="1059" t="s">
        <v>854</v>
      </c>
      <c r="C125" s="1059"/>
      <c r="D125" s="1060" t="s">
        <v>52</v>
      </c>
      <c r="E125" s="1416">
        <f>+'Maj Production Summ'!E28</f>
        <v>42500</v>
      </c>
      <c r="F125" s="1416">
        <f>+SUM(F7:F108)</f>
        <v>38790.100000000013</v>
      </c>
      <c r="G125" s="1416">
        <f>+'Maj Production Summ'!G28</f>
        <v>36500</v>
      </c>
      <c r="H125" s="1416">
        <f>+SUM(H7:H108)</f>
        <v>31436.75</v>
      </c>
      <c r="I125" s="1416">
        <f>+'Maj Production Summ'!I28</f>
        <v>79000</v>
      </c>
      <c r="J125" s="1416">
        <f>+SUM(J7:J108)</f>
        <v>70226.850000000006</v>
      </c>
      <c r="K125" s="1416">
        <f>+'Maj Production Summ'!K28</f>
        <v>34000</v>
      </c>
      <c r="L125" s="1416">
        <f>+SUM(L7:L108)</f>
        <v>32975.400000000009</v>
      </c>
      <c r="M125" s="1416">
        <f>+'Maj Production Summ'!M28</f>
        <v>113000</v>
      </c>
      <c r="N125" s="1416">
        <f>+SUM(N7:N108)</f>
        <v>103202.24999999996</v>
      </c>
      <c r="O125" s="1416">
        <f>+'Maj Production Summ'!O28</f>
        <v>43500</v>
      </c>
      <c r="P125" s="1416">
        <f>+SUM(P7:P108)</f>
        <v>41411.410000000003</v>
      </c>
      <c r="Q125" s="1416">
        <f>+'Maj Production Summ'!Q28</f>
        <v>156500</v>
      </c>
      <c r="R125" s="1416">
        <f>+SUM(R7:R108)</f>
        <v>144613.65999999995</v>
      </c>
      <c r="S125" s="1416">
        <f>+'Maj Production Summ'!S28</f>
        <v>43500</v>
      </c>
      <c r="T125" s="1416">
        <f>+SUM(T7:T108)</f>
        <v>46120.900000000016</v>
      </c>
      <c r="U125" s="1416">
        <f>+'Maj Production Summ'!U28</f>
        <v>200000</v>
      </c>
      <c r="V125" s="1416">
        <f>+SUM(V7:V108)</f>
        <v>190734.55999999991</v>
      </c>
      <c r="W125" s="1416">
        <f>+'Maj Production Summ'!W28</f>
        <v>42500</v>
      </c>
      <c r="X125" s="1416">
        <f>+SUM(X7:X108)</f>
        <v>44910.375000000007</v>
      </c>
      <c r="Y125" s="1416">
        <f>+'Maj Production Summ'!Y28</f>
        <v>129500</v>
      </c>
      <c r="Z125" s="1416">
        <f>+SUM(Z7:Z108)</f>
        <v>132442.685</v>
      </c>
      <c r="AA125" s="1416">
        <f>+'Maj Production Summ'!AA28</f>
        <v>242500</v>
      </c>
      <c r="AB125" s="1416">
        <f>+SUM(AB7:AB108)</f>
        <v>235644.93499999997</v>
      </c>
      <c r="AC125" s="1416">
        <f>+'Maj Production Summ'!AC28</f>
        <v>43500</v>
      </c>
      <c r="AD125" s="1416">
        <f>+SUM(AD7:AD108)</f>
        <v>42767.049999999988</v>
      </c>
      <c r="AE125" s="1416">
        <f>+'Maj Production Summ'!AE28</f>
        <v>286000</v>
      </c>
      <c r="AF125" s="1416">
        <f>+SUM(AF7:AF108)</f>
        <v>278411.98499999999</v>
      </c>
      <c r="AG125" s="1416">
        <f>+'Maj Production Summ'!AG28</f>
        <v>42500</v>
      </c>
      <c r="AH125" s="1416">
        <f>+SUM(AH7:AH108)</f>
        <v>40266.100000000013</v>
      </c>
      <c r="AI125" s="1416">
        <f>+'Maj Production Summ'!AI28</f>
        <v>328500</v>
      </c>
      <c r="AJ125" s="1416">
        <f>+SUM(AJ7:AJ108)</f>
        <v>318678.0850000002</v>
      </c>
      <c r="AK125" s="1416">
        <f>+'Maj Production Summ'!AK28</f>
        <v>43500</v>
      </c>
      <c r="AL125" s="1416">
        <f>+SUM(AL7:AL108)</f>
        <v>41541.200000000004</v>
      </c>
      <c r="AM125" s="1416">
        <f>+'Maj Production Summ'!AM28</f>
        <v>129500</v>
      </c>
      <c r="AN125" s="1416">
        <f>+SUM(AN7:AN108)</f>
        <v>124574.34999999999</v>
      </c>
      <c r="AO125" s="1416">
        <f>+'Maj Production Summ'!AO28</f>
        <v>372000</v>
      </c>
      <c r="AP125" s="1416">
        <f>+SUM(AP7:AP108)</f>
        <v>360219.28500000003</v>
      </c>
      <c r="AQ125" s="1416">
        <f>+'Maj Production Summ'!AQ28</f>
        <v>43500</v>
      </c>
      <c r="AR125" s="1416">
        <f>+SUM(AR7:AR108)</f>
        <v>43760.85</v>
      </c>
      <c r="AS125" s="1416">
        <f>+'Maj Production Summ'!AS28</f>
        <v>415500</v>
      </c>
      <c r="AT125" s="1416">
        <f>+SUM(AT7:AT108)</f>
        <v>403980.13499999995</v>
      </c>
      <c r="AU125" s="1416">
        <f>+'Maj Production Summ'!AU28</f>
        <v>41000</v>
      </c>
      <c r="AV125" s="1416">
        <f>+SUM(AV7:AV108)</f>
        <v>36414.150000000009</v>
      </c>
      <c r="AW125" s="1416">
        <f>+'Maj Production Summ'!AW28</f>
        <v>456500</v>
      </c>
      <c r="AX125" s="1416">
        <f>+SUM(AX7:AX108)</f>
        <v>440394.28500000021</v>
      </c>
      <c r="AY125" s="1416">
        <f>+'Maj Production Summ'!AY28</f>
        <v>43500</v>
      </c>
      <c r="AZ125" s="1416">
        <f>+SUM(AZ7:AZ108)</f>
        <v>38134.1</v>
      </c>
      <c r="BA125" s="1416">
        <f>+'Maj Production Summ'!BA28</f>
        <v>128000</v>
      </c>
      <c r="BB125" s="1416">
        <f>+SUM(BB7:BB108)</f>
        <v>118309.10000000003</v>
      </c>
      <c r="BC125" s="1416">
        <f>+'Maj Production Summ'!BC28</f>
        <v>257500</v>
      </c>
      <c r="BD125" s="1416">
        <f>+SUM(BD7:BD108)</f>
        <v>242883.45000000004</v>
      </c>
      <c r="BE125" s="1416">
        <f>+'Maj Production Summ'!BE28</f>
        <v>500000</v>
      </c>
      <c r="BF125" s="1416">
        <f>+SUM(BF7:BF108)</f>
        <v>478528.38500000024</v>
      </c>
      <c r="BG125" s="26"/>
      <c r="BH125" s="26"/>
      <c r="BI125" s="26"/>
      <c r="BJ125" s="26"/>
    </row>
    <row r="126" spans="2:62" s="183" customFormat="1" ht="15.75" x14ac:dyDescent="0.25">
      <c r="B126" s="1061" t="s">
        <v>853</v>
      </c>
      <c r="C126" s="1061"/>
      <c r="D126" s="1062" t="s">
        <v>52</v>
      </c>
      <c r="E126" s="1416"/>
      <c r="F126" s="982">
        <f>+SUM(F110:F123)</f>
        <v>114.8</v>
      </c>
      <c r="G126" s="1416"/>
      <c r="H126" s="982">
        <f>+SUM(H110:H123)</f>
        <v>59.45</v>
      </c>
      <c r="I126" s="1416"/>
      <c r="J126" s="982">
        <f>+SUM(J110:J123)</f>
        <v>174.25000000000003</v>
      </c>
      <c r="K126" s="1416"/>
      <c r="L126" s="982">
        <f>+SUM(L110:L123)</f>
        <v>131.80000000000001</v>
      </c>
      <c r="M126" s="1416"/>
      <c r="N126" s="982">
        <f>+SUM(N110:N123)</f>
        <v>306.05000000000007</v>
      </c>
      <c r="O126" s="1416"/>
      <c r="P126" s="982">
        <f>+SUM(P110:P123)</f>
        <v>104.62000000000002</v>
      </c>
      <c r="Q126" s="1416"/>
      <c r="R126" s="982">
        <f>+SUM(R110:R123)</f>
        <v>410.67</v>
      </c>
      <c r="S126" s="1416"/>
      <c r="T126" s="982">
        <f>+SUM(T110:T123)</f>
        <v>125.05</v>
      </c>
      <c r="U126" s="1416"/>
      <c r="V126" s="982">
        <f>+SUM(V110:V123)</f>
        <v>535.71999999999991</v>
      </c>
      <c r="W126" s="1416"/>
      <c r="X126" s="982">
        <f>+SUM(X110:X123)</f>
        <v>50.230000000000004</v>
      </c>
      <c r="Y126" s="1416"/>
      <c r="Z126" s="982">
        <f>+SUM(Z110:Z123)</f>
        <v>279.89999999999998</v>
      </c>
      <c r="AA126" s="1416"/>
      <c r="AB126" s="982">
        <f>+SUM(AB110:AB123)</f>
        <v>585.94999999999982</v>
      </c>
      <c r="AC126" s="1416"/>
      <c r="AD126" s="982">
        <f>+SUM(AD110:AD123)</f>
        <v>213.2</v>
      </c>
      <c r="AE126" s="1416"/>
      <c r="AF126" s="982">
        <f>+SUM(AF110:AF123)</f>
        <v>799.14999999999986</v>
      </c>
      <c r="AG126" s="1416"/>
      <c r="AH126" s="982">
        <f>+SUM(AH110:AH123)</f>
        <v>100.44999999999999</v>
      </c>
      <c r="AI126" s="1416"/>
      <c r="AJ126" s="982">
        <f>+SUM(AJ110:AJ123)</f>
        <v>899.59999999999991</v>
      </c>
      <c r="AK126" s="1416"/>
      <c r="AL126" s="982">
        <f>+SUM(AL110:AL123)</f>
        <v>45.099999999999994</v>
      </c>
      <c r="AM126" s="1416"/>
      <c r="AN126" s="982">
        <f>+SUM(AN110:AN123)</f>
        <v>358.75</v>
      </c>
      <c r="AO126" s="1416"/>
      <c r="AP126" s="982">
        <f>+SUM(AP110:AP123)</f>
        <v>944.69999999999993</v>
      </c>
      <c r="AQ126" s="1416"/>
      <c r="AR126" s="982">
        <f>+SUM(AR110:AR123)</f>
        <v>43.599999999999994</v>
      </c>
      <c r="AS126" s="1416"/>
      <c r="AT126" s="982">
        <f>+SUM(AT110:AT123)</f>
        <v>988.29999999999984</v>
      </c>
      <c r="AU126" s="1416"/>
      <c r="AV126" s="982">
        <f>+SUM(AV110:AV123)</f>
        <v>153.75</v>
      </c>
      <c r="AW126" s="1416"/>
      <c r="AX126" s="982">
        <f>+SUM(AX110:AX123)</f>
        <v>1142.05</v>
      </c>
      <c r="AY126" s="1416"/>
      <c r="AZ126" s="982">
        <f>+SUM(AZ110:AZ123)</f>
        <v>209.1</v>
      </c>
      <c r="BA126" s="1416"/>
      <c r="BB126" s="982">
        <f>+SUM(BB110:BB123)</f>
        <v>406.45000000000005</v>
      </c>
      <c r="BC126" s="1416"/>
      <c r="BD126" s="982">
        <f>+SUM(BD110:BD123)</f>
        <v>765.2</v>
      </c>
      <c r="BE126" s="1416"/>
      <c r="BF126" s="5825">
        <f>+SUM(BF110:BF123)</f>
        <v>1351.15</v>
      </c>
      <c r="BG126" s="26"/>
      <c r="BH126" s="26"/>
      <c r="BI126" s="26"/>
      <c r="BJ126" s="26"/>
    </row>
    <row r="127" spans="2:62" ht="15.75" x14ac:dyDescent="0.25">
      <c r="B127" s="979" t="s">
        <v>321</v>
      </c>
      <c r="C127" s="979"/>
      <c r="D127" s="973" t="s">
        <v>51</v>
      </c>
      <c r="E127" s="982">
        <f t="shared" ref="E127" si="34">+E125*100/E5</f>
        <v>96</v>
      </c>
      <c r="F127" s="982">
        <f>+F125*100/F5</f>
        <v>95.511559232649461</v>
      </c>
      <c r="G127" s="982">
        <f t="shared" ref="G127" si="35">+G125*100/G5</f>
        <v>96</v>
      </c>
      <c r="H127" s="982">
        <f>+H125*100/H5</f>
        <v>95.428893252507081</v>
      </c>
      <c r="I127" s="982">
        <f t="shared" ref="I127" si="36">+I125*100/I5</f>
        <v>96</v>
      </c>
      <c r="J127" s="982">
        <f>+J125*100/J5</f>
        <v>95.474536459714741</v>
      </c>
      <c r="K127" s="982">
        <f t="shared" ref="K127" si="37">+K125*100/K5</f>
        <v>95.999999999999986</v>
      </c>
      <c r="L127" s="982">
        <f>+L125*100/L5</f>
        <v>95.378901285987027</v>
      </c>
      <c r="M127" s="982">
        <f t="shared" ref="M127" si="38">+M125*100/M5</f>
        <v>95.999999999999986</v>
      </c>
      <c r="N127" s="982">
        <f>+N125*100/N5</f>
        <v>95.443958064910717</v>
      </c>
      <c r="O127" s="982">
        <f t="shared" ref="O127" si="39">+O125*100/O5</f>
        <v>96</v>
      </c>
      <c r="P127" s="982">
        <f>+P125*100/P5</f>
        <v>96.122203486909754</v>
      </c>
      <c r="Q127" s="982">
        <f t="shared" ref="Q127" si="40">+Q125*100/Q5</f>
        <v>96</v>
      </c>
      <c r="R127" s="982">
        <f>+R125*100/R5</f>
        <v>95.637199700444384</v>
      </c>
      <c r="S127" s="982">
        <f t="shared" ref="S127" si="41">+S125*100/S5</f>
        <v>96</v>
      </c>
      <c r="T127" s="982">
        <f>+T125*100/T5</f>
        <v>95.912174777353783</v>
      </c>
      <c r="U127" s="982">
        <f t="shared" ref="U127" si="42">+U125*100/U5</f>
        <v>96</v>
      </c>
      <c r="V127" s="982">
        <f>+V125*100/V5</f>
        <v>95.703545892920232</v>
      </c>
      <c r="W127" s="982">
        <f t="shared" ref="W127" si="43">+W125*100/W5</f>
        <v>96</v>
      </c>
      <c r="X127" s="982">
        <f>+X125*100/X5</f>
        <v>96.332563487208901</v>
      </c>
      <c r="Y127" s="982">
        <f t="shared" ref="Y127" si="44">+Y125*100/Y5</f>
        <v>96</v>
      </c>
      <c r="Z127" s="982">
        <f>+Z125*100/Z5</f>
        <v>96.120080286073232</v>
      </c>
      <c r="AA127" s="982">
        <f t="shared" ref="AA127" si="45">+AA125*100/AA5</f>
        <v>95.999999999999986</v>
      </c>
      <c r="AB127" s="982">
        <f>+AB125*100/AB5</f>
        <v>95.822792785944003</v>
      </c>
      <c r="AC127" s="982">
        <f t="shared" ref="AC127" si="46">+AC125*100/AC5</f>
        <v>96</v>
      </c>
      <c r="AD127" s="982">
        <f>+AD125*100/AD5</f>
        <v>95.789459373094132</v>
      </c>
      <c r="AE127" s="982">
        <f t="shared" ref="AE127:AG127" si="47">+AE125*100/AE5</f>
        <v>96</v>
      </c>
      <c r="AF127" s="982">
        <f>+AF125*100/AF5</f>
        <v>95.817670910217899</v>
      </c>
      <c r="AG127" s="982">
        <f t="shared" si="47"/>
        <v>96</v>
      </c>
      <c r="AH127" s="982">
        <f>+AH125*100/AH5</f>
        <v>96.219044909947257</v>
      </c>
      <c r="AI127" s="982">
        <f t="shared" ref="AI127:AK127" si="48">+AI125*100/AI5</f>
        <v>96</v>
      </c>
      <c r="AJ127" s="982">
        <f>+AJ125*100/AJ5</f>
        <v>95.868201008318906</v>
      </c>
      <c r="AK127" s="982">
        <f t="shared" si="48"/>
        <v>96</v>
      </c>
      <c r="AL127" s="982">
        <f>+AL125*100/AL5</f>
        <v>96.179583627596031</v>
      </c>
      <c r="AM127" s="982">
        <f t="shared" ref="AM127:AW127" si="49">+AM125*100/AM5</f>
        <v>96</v>
      </c>
      <c r="AN127" s="982">
        <f>+AN125*100/AN5</f>
        <v>96.05801007231419</v>
      </c>
      <c r="AO127" s="982">
        <f t="shared" si="49"/>
        <v>96</v>
      </c>
      <c r="AP127" s="982">
        <f>+AP125*100/AP5</f>
        <v>95.904007379346396</v>
      </c>
      <c r="AQ127" s="982">
        <f t="shared" si="49"/>
        <v>96</v>
      </c>
      <c r="AR127" s="982">
        <f>+AR125*100/AR5</f>
        <v>96.114071129795875</v>
      </c>
      <c r="AS127" s="982">
        <f t="shared" ref="AS127" si="50">+AS125*100/AS5</f>
        <v>96</v>
      </c>
      <c r="AT127" s="982">
        <f>+AT125*100/AT5</f>
        <v>95.926718024256942</v>
      </c>
      <c r="AU127" s="982">
        <f t="shared" si="49"/>
        <v>96</v>
      </c>
      <c r="AV127" s="982">
        <f>+AV125*100/AV5</f>
        <v>95.658422188417418</v>
      </c>
      <c r="AW127" s="982">
        <f t="shared" si="49"/>
        <v>96</v>
      </c>
      <c r="AX127" s="982">
        <f>+AX125*100/AX5</f>
        <v>95.904476830076064</v>
      </c>
      <c r="AY127" s="982">
        <f t="shared" ref="AY127:BE127" si="51">+AY125*100/AY5</f>
        <v>96</v>
      </c>
      <c r="AZ127" s="982">
        <f>+AZ125*100/AZ5</f>
        <v>95.620502693121551</v>
      </c>
      <c r="BA127" s="982">
        <f t="shared" si="51"/>
        <v>96</v>
      </c>
      <c r="BB127" s="982">
        <f>+BB125*100/BB5</f>
        <v>95.81418718852612</v>
      </c>
      <c r="BC127" s="982">
        <f t="shared" si="51"/>
        <v>96</v>
      </c>
      <c r="BD127" s="982">
        <f>+BD125*100/BD5</f>
        <v>95.939088550129867</v>
      </c>
      <c r="BE127" s="982">
        <f t="shared" si="51"/>
        <v>96</v>
      </c>
      <c r="BF127" s="982">
        <f>+BF125*100/BF5</f>
        <v>95.88178499213079</v>
      </c>
      <c r="BG127" s="26"/>
      <c r="BH127" s="5826"/>
      <c r="BI127" s="26"/>
      <c r="BJ127" s="26"/>
    </row>
    <row r="128" spans="2:62" s="183" customFormat="1" x14ac:dyDescent="0.25">
      <c r="B128" s="1063" t="s">
        <v>847</v>
      </c>
      <c r="C128" s="1063"/>
      <c r="D128" s="981" t="s">
        <v>52</v>
      </c>
      <c r="E128" s="549"/>
      <c r="F128" s="549">
        <f>+'Special -Value added steel '!G32</f>
        <v>35881.15</v>
      </c>
      <c r="G128" s="2942"/>
      <c r="H128" s="2942">
        <f>+'Special -Value added steel '!I32</f>
        <v>27746.750000000004</v>
      </c>
      <c r="I128" s="2942"/>
      <c r="J128" s="2942">
        <f>+'Special -Value added steel '!K32</f>
        <v>63627.899999999994</v>
      </c>
      <c r="K128" s="2942"/>
      <c r="L128" s="2942">
        <f>+'Special -Value added steel '!M32</f>
        <v>27188.55</v>
      </c>
      <c r="M128" s="2942"/>
      <c r="N128" s="2942">
        <f>+'Special -Value added steel '!O32</f>
        <v>90816.45</v>
      </c>
      <c r="O128" s="2942"/>
      <c r="P128" s="2942">
        <f>+'Special -Value added steel '!Q32</f>
        <v>33179.229999999996</v>
      </c>
      <c r="Q128" s="2942"/>
      <c r="R128" s="2942">
        <f>+'Special -Value added steel '!S32</f>
        <v>123995.68</v>
      </c>
      <c r="S128" s="2942"/>
      <c r="T128" s="2942">
        <f>+'Special -Value added steel '!U32</f>
        <v>31781.150000000012</v>
      </c>
      <c r="U128" s="2942"/>
      <c r="V128" s="2942">
        <f>+'Special -Value added steel '!W32</f>
        <v>155776.82999999999</v>
      </c>
      <c r="W128" s="2942"/>
      <c r="X128" s="2942">
        <f>+'Special -Value added steel '!Y32</f>
        <v>39520.925000000003</v>
      </c>
      <c r="Y128" s="2942"/>
      <c r="Z128" s="2942">
        <f>+'Special -Value added steel '!AA32</f>
        <v>104481.30499999999</v>
      </c>
      <c r="AA128" s="2942"/>
      <c r="AB128" s="2942">
        <f>+'Special -Value added steel '!AC32</f>
        <v>195297.755</v>
      </c>
      <c r="AC128" s="2942"/>
      <c r="AD128" s="2942">
        <f>+'Special -Value added steel '!AE32</f>
        <v>40876.94999999999</v>
      </c>
      <c r="AE128" s="2942"/>
      <c r="AF128" s="2942">
        <f>+'Special -Value added steel '!AG32</f>
        <v>236174.70499999999</v>
      </c>
      <c r="AG128" s="2942"/>
      <c r="AH128" s="2942">
        <f>+'Special -Value added steel '!AI32</f>
        <v>33751.200000000004</v>
      </c>
      <c r="AI128" s="2942"/>
      <c r="AJ128" s="2942">
        <f>+'Special -Value added steel '!AK32</f>
        <v>269925.90499999997</v>
      </c>
      <c r="AK128" s="2942"/>
      <c r="AL128" s="2942">
        <f>+'Special -Value added steel '!AM32</f>
        <v>38548.200000000004</v>
      </c>
      <c r="AM128" s="2942"/>
      <c r="AN128" s="2942">
        <f>+'Special -Value added steel '!AO32</f>
        <v>113176.35</v>
      </c>
      <c r="AO128" s="2942"/>
      <c r="AP128" s="2942">
        <f>+'Special -Value added steel '!AQ32</f>
        <v>308474.1050000001</v>
      </c>
      <c r="AQ128" s="2942"/>
      <c r="AR128" s="2942">
        <f>+'Special -Value added steel '!AS32</f>
        <v>36417.75</v>
      </c>
      <c r="AS128" s="2942"/>
      <c r="AT128" s="2942">
        <f>+'Special -Value added steel '!AU32</f>
        <v>344891.85500000004</v>
      </c>
      <c r="AU128" s="2942"/>
      <c r="AV128" s="2942">
        <f>+'Special -Value added steel '!AW32</f>
        <v>31666.350000000002</v>
      </c>
      <c r="AW128" s="2942"/>
      <c r="AX128" s="2942">
        <f>+'Special -Value added steel '!AY32</f>
        <v>376558.20500000002</v>
      </c>
      <c r="AY128" s="2942"/>
      <c r="AZ128" s="2942">
        <f>+'Special -Value added steel '!BA32</f>
        <v>36106.649999999994</v>
      </c>
      <c r="BA128" s="2942"/>
      <c r="BB128" s="2942">
        <f>+'Special -Value added steel '!BC32</f>
        <v>104190.74999999999</v>
      </c>
      <c r="BC128" s="2942"/>
      <c r="BD128" s="2942">
        <f>+'Special -Value added steel '!BE32</f>
        <v>217367.10000000003</v>
      </c>
      <c r="BE128" s="2942"/>
      <c r="BF128" s="2942">
        <f>+'Special -Value added steel '!BG32</f>
        <v>412664.85500000004</v>
      </c>
      <c r="BG128" s="26"/>
      <c r="BH128" s="26"/>
      <c r="BI128" s="26"/>
      <c r="BJ128" s="26"/>
    </row>
    <row r="129" spans="1:62" s="183" customFormat="1" x14ac:dyDescent="0.25">
      <c r="B129" s="1063" t="s">
        <v>848</v>
      </c>
      <c r="C129" s="1063"/>
      <c r="D129" s="981" t="s">
        <v>51</v>
      </c>
      <c r="E129" s="751"/>
      <c r="F129" s="751">
        <f>+F128/F125</f>
        <v>0.92500792728041403</v>
      </c>
      <c r="G129" s="751"/>
      <c r="H129" s="751">
        <f>+H128/H125</f>
        <v>0.88262145418976212</v>
      </c>
      <c r="I129" s="751"/>
      <c r="J129" s="751">
        <f>+J128/J125</f>
        <v>0.90603380331027217</v>
      </c>
      <c r="K129" s="751"/>
      <c r="L129" s="751">
        <f>+L128/L125</f>
        <v>0.82451008933932546</v>
      </c>
      <c r="M129" s="751"/>
      <c r="N129" s="751">
        <f>+N128/N125</f>
        <v>0.87998517474183013</v>
      </c>
      <c r="O129" s="751"/>
      <c r="P129" s="751">
        <f>+P128/P125</f>
        <v>0.80120985979467962</v>
      </c>
      <c r="Q129" s="751"/>
      <c r="R129" s="751">
        <f>+R128/R125</f>
        <v>0.8574271614451916</v>
      </c>
      <c r="S129" s="751"/>
      <c r="T129" s="751">
        <f>+T128/T125</f>
        <v>0.68908347408658555</v>
      </c>
      <c r="U129" s="751"/>
      <c r="V129" s="751">
        <f>+V128/V125</f>
        <v>0.81672052511091886</v>
      </c>
      <c r="W129" s="751"/>
      <c r="X129" s="751">
        <f>+X128/X125</f>
        <v>0.87999543535318947</v>
      </c>
      <c r="Y129" s="751"/>
      <c r="Z129" s="751">
        <f>+Z128/Z125</f>
        <v>0.78887939337684065</v>
      </c>
      <c r="AA129" s="751"/>
      <c r="AB129" s="751">
        <f>+AB128/AB125</f>
        <v>0.82877976986859503</v>
      </c>
      <c r="AC129" s="751"/>
      <c r="AD129" s="751">
        <f>+AD128/AD125</f>
        <v>0.95580476090822264</v>
      </c>
      <c r="AE129" s="751"/>
      <c r="AF129" s="751">
        <f>+AF128/AF125</f>
        <v>0.84829216314089351</v>
      </c>
      <c r="AG129" s="751"/>
      <c r="AH129" s="751">
        <f>+AH128/AH125</f>
        <v>0.83820384889522437</v>
      </c>
      <c r="AI129" s="751"/>
      <c r="AJ129" s="751">
        <f>+AJ128/AJ125</f>
        <v>0.84701746905501774</v>
      </c>
      <c r="AK129" s="751"/>
      <c r="AL129" s="751">
        <f>+AL128/AL125</f>
        <v>0.92795104619028823</v>
      </c>
      <c r="AM129" s="751"/>
      <c r="AN129" s="751">
        <f>+AN128/AN125</f>
        <v>0.9085044393167615</v>
      </c>
      <c r="AO129" s="751"/>
      <c r="AP129" s="751">
        <f>+AP128/AP125</f>
        <v>0.85635088915353341</v>
      </c>
      <c r="AQ129" s="751"/>
      <c r="AR129" s="751">
        <f>+AR128/AR125</f>
        <v>0.83219932885215897</v>
      </c>
      <c r="AS129" s="751"/>
      <c r="AT129" s="751">
        <f>+AT128/AT125</f>
        <v>0.85373468920693363</v>
      </c>
      <c r="AU129" s="751"/>
      <c r="AV129" s="751">
        <f>+AV128/AV125</f>
        <v>0.86961661881438934</v>
      </c>
      <c r="AW129" s="751"/>
      <c r="AX129" s="751">
        <f>+AX128/AX125</f>
        <v>0.85504789191349251</v>
      </c>
      <c r="AY129" s="751"/>
      <c r="AZ129" s="751">
        <f>+AZ128/AZ125</f>
        <v>0.94683367379851613</v>
      </c>
      <c r="BA129" s="751"/>
      <c r="BB129" s="751">
        <f>+BB128/BB125</f>
        <v>0.88066556165163923</v>
      </c>
      <c r="BC129" s="751"/>
      <c r="BD129" s="751">
        <f>+BD128/BD125</f>
        <v>0.8949440565011737</v>
      </c>
      <c r="BE129" s="751"/>
      <c r="BF129" s="751">
        <f>+BF128/BF125</f>
        <v>0.86236233405464513</v>
      </c>
      <c r="BG129" s="26"/>
      <c r="BH129" s="26"/>
      <c r="BI129" s="26"/>
      <c r="BJ129" s="26"/>
    </row>
    <row r="130" spans="1:62" s="183" customFormat="1" ht="19.5" thickBot="1" x14ac:dyDescent="0.3">
      <c r="B130" s="1064" t="s">
        <v>55</v>
      </c>
      <c r="C130" s="338"/>
      <c r="D130" s="337"/>
      <c r="E130" s="338"/>
      <c r="F130" s="338"/>
      <c r="G130" s="338"/>
      <c r="H130" s="338"/>
      <c r="I130" s="338"/>
      <c r="J130" s="338"/>
      <c r="K130" s="338"/>
      <c r="L130" s="338"/>
      <c r="M130" s="338"/>
      <c r="N130" s="338"/>
      <c r="O130" s="338"/>
      <c r="P130" s="338"/>
      <c r="Q130" s="338"/>
      <c r="R130" s="338"/>
      <c r="S130" s="338"/>
      <c r="T130" s="2662"/>
      <c r="U130" s="338"/>
      <c r="V130" s="338"/>
      <c r="W130" s="338"/>
      <c r="X130" s="2662"/>
      <c r="Y130" s="337"/>
      <c r="Z130" s="337"/>
      <c r="AA130" s="337"/>
      <c r="AB130" s="337"/>
      <c r="AC130" s="338"/>
      <c r="AD130" s="2662"/>
      <c r="AE130" s="338"/>
      <c r="AF130" s="338"/>
      <c r="AG130" s="338"/>
      <c r="AH130" s="2662"/>
      <c r="AI130" s="338"/>
      <c r="AJ130" s="338"/>
      <c r="AK130" s="338"/>
      <c r="AL130" s="2662"/>
      <c r="AM130" s="337"/>
      <c r="AN130" s="337"/>
      <c r="AO130" s="338"/>
      <c r="AP130" s="338"/>
      <c r="AQ130" s="338"/>
      <c r="AR130" s="2662"/>
      <c r="AS130" s="338"/>
      <c r="AT130" s="338"/>
      <c r="AU130" s="338"/>
      <c r="AV130" s="2662"/>
      <c r="AW130" s="338"/>
      <c r="AX130" s="338"/>
      <c r="AY130" s="338"/>
      <c r="AZ130" s="2662"/>
      <c r="BA130" s="337"/>
      <c r="BB130" s="337"/>
      <c r="BC130" s="337"/>
      <c r="BD130" s="337"/>
      <c r="BE130" s="338"/>
      <c r="BF130" s="338"/>
      <c r="BG130" s="26"/>
      <c r="BH130" s="26"/>
      <c r="BI130" s="26"/>
      <c r="BJ130" s="26"/>
    </row>
    <row r="131" spans="1:62" x14ac:dyDescent="0.25">
      <c r="B131" s="1065" t="s">
        <v>95</v>
      </c>
      <c r="C131" s="1066"/>
      <c r="D131" s="921" t="s">
        <v>226</v>
      </c>
      <c r="E131" s="193">
        <f>+E2*24</f>
        <v>720</v>
      </c>
      <c r="F131" s="193">
        <f>+F2*24</f>
        <v>720</v>
      </c>
      <c r="G131" s="193">
        <f>+G2*24</f>
        <v>744</v>
      </c>
      <c r="H131" s="193">
        <f>+H2*24</f>
        <v>744</v>
      </c>
      <c r="I131" s="1068">
        <f>+E131+G131</f>
        <v>1464</v>
      </c>
      <c r="J131" s="449">
        <f>+F131+H131</f>
        <v>1464</v>
      </c>
      <c r="K131" s="193">
        <f>+K2*24</f>
        <v>720</v>
      </c>
      <c r="L131" s="193">
        <f>+L2*24</f>
        <v>720</v>
      </c>
      <c r="M131" s="946">
        <f>+E131+G131+K131</f>
        <v>2184</v>
      </c>
      <c r="N131" s="3578">
        <f>+F131+H131+L131</f>
        <v>2184</v>
      </c>
      <c r="O131" s="193">
        <f>+O2*24</f>
        <v>744</v>
      </c>
      <c r="P131" s="193">
        <f>+P2*24</f>
        <v>744</v>
      </c>
      <c r="Q131" s="947">
        <f>+M131+O131</f>
        <v>2928</v>
      </c>
      <c r="R131" s="947">
        <f>+N131+P131</f>
        <v>2928</v>
      </c>
      <c r="S131" s="193">
        <f>+S2*24</f>
        <v>744</v>
      </c>
      <c r="T131" s="2663">
        <f>+T2*24</f>
        <v>744</v>
      </c>
      <c r="U131" s="2565">
        <f>+Q131+S131</f>
        <v>3672</v>
      </c>
      <c r="V131" s="2565">
        <f>+R131+T131</f>
        <v>3672</v>
      </c>
      <c r="W131" s="193">
        <f>+W2*24</f>
        <v>720</v>
      </c>
      <c r="X131" s="2663">
        <f>+X2*24</f>
        <v>720</v>
      </c>
      <c r="Y131" s="4009">
        <f>O131+S131+W131</f>
        <v>2208</v>
      </c>
      <c r="Z131" s="636">
        <f>P131+T131+X131</f>
        <v>2208</v>
      </c>
      <c r="AA131" s="4239">
        <f>M131+Y131</f>
        <v>4392</v>
      </c>
      <c r="AB131" s="4236">
        <f>N131+Z131</f>
        <v>4392</v>
      </c>
      <c r="AC131" s="193">
        <f>+AC2*24</f>
        <v>744</v>
      </c>
      <c r="AD131" s="2663">
        <f>+AD2*24</f>
        <v>744</v>
      </c>
      <c r="AE131" s="3615">
        <f>+AA131+AC131</f>
        <v>5136</v>
      </c>
      <c r="AF131" s="3615">
        <f>+AB131+AD131</f>
        <v>5136</v>
      </c>
      <c r="AG131" s="193">
        <f>+AG2*24</f>
        <v>720</v>
      </c>
      <c r="AH131" s="2663">
        <f>+AH2*24</f>
        <v>720</v>
      </c>
      <c r="AI131" s="3615">
        <f>+AE131+AG131</f>
        <v>5856</v>
      </c>
      <c r="AJ131" s="3615">
        <f>+AF131+AH131</f>
        <v>5856</v>
      </c>
      <c r="AK131" s="193">
        <f>+AK2*24</f>
        <v>744</v>
      </c>
      <c r="AL131" s="2663">
        <f>+AL2*24</f>
        <v>744</v>
      </c>
      <c r="AM131" s="4312">
        <f>AC131+AG131+AK131</f>
        <v>2208</v>
      </c>
      <c r="AN131" s="636">
        <f>AD131+AH131+AL131</f>
        <v>2208</v>
      </c>
      <c r="AO131" s="3615">
        <f t="shared" ref="AO131" si="52">AI131+AK131</f>
        <v>6600</v>
      </c>
      <c r="AP131" s="3615">
        <f t="shared" ref="AP131" si="53">AJ131+AL131</f>
        <v>6600</v>
      </c>
      <c r="AQ131" s="193">
        <f>+AQ2*24</f>
        <v>744</v>
      </c>
      <c r="AR131" s="2663">
        <f>+AR2*24</f>
        <v>744</v>
      </c>
      <c r="AS131" s="3615">
        <f>+AO131+AQ131</f>
        <v>7344</v>
      </c>
      <c r="AT131" s="3615">
        <f>+AP131+AR131</f>
        <v>7344</v>
      </c>
      <c r="AU131" s="193">
        <f>+AU2*24</f>
        <v>696</v>
      </c>
      <c r="AV131" s="2663">
        <f>+AV2*24</f>
        <v>696</v>
      </c>
      <c r="AW131" s="3615">
        <f>+AS131+AU131</f>
        <v>8040</v>
      </c>
      <c r="AX131" s="3615">
        <f>+AT131+AV131</f>
        <v>8040</v>
      </c>
      <c r="AY131" s="193">
        <f>+AY2*24</f>
        <v>744</v>
      </c>
      <c r="AZ131" s="2663">
        <f>+AZ2*24</f>
        <v>744</v>
      </c>
      <c r="BA131" s="5104">
        <f>AQ131+AU131+AY131</f>
        <v>2184</v>
      </c>
      <c r="BB131" s="636">
        <f>AR131+AV131+AZ131</f>
        <v>2184</v>
      </c>
      <c r="BC131" s="5103">
        <f>AM131+BA131</f>
        <v>4392</v>
      </c>
      <c r="BD131" s="5103">
        <f>AN131+BB131</f>
        <v>4392</v>
      </c>
      <c r="BE131" s="3615">
        <f>+AW131+AY131</f>
        <v>8784</v>
      </c>
      <c r="BF131" s="3615">
        <f>+AX131+AZ131</f>
        <v>8784</v>
      </c>
      <c r="BG131" s="26"/>
      <c r="BH131" s="26"/>
      <c r="BI131" s="26"/>
      <c r="BJ131" s="26"/>
    </row>
    <row r="132" spans="1:62" x14ac:dyDescent="0.25">
      <c r="B132" s="9" t="s">
        <v>310</v>
      </c>
      <c r="C132" s="1069"/>
      <c r="D132" s="672" t="s">
        <v>51</v>
      </c>
      <c r="E132" s="131">
        <f t="shared" ref="E132:Z132" si="54">+E133/E131*100</f>
        <v>90</v>
      </c>
      <c r="F132" s="131">
        <f t="shared" si="54"/>
        <v>83.856481481481481</v>
      </c>
      <c r="G132" s="131">
        <f t="shared" ref="G132:H132" si="55">+G133/G131*100</f>
        <v>74.193548387096769</v>
      </c>
      <c r="H132" s="131">
        <f t="shared" si="55"/>
        <v>70.403225806451616</v>
      </c>
      <c r="I132" s="1070">
        <f t="shared" si="54"/>
        <v>81.967213114754102</v>
      </c>
      <c r="J132" s="331">
        <f t="shared" si="54"/>
        <v>77.019581056466308</v>
      </c>
      <c r="K132" s="131">
        <f t="shared" si="54"/>
        <v>73.333333333333329</v>
      </c>
      <c r="L132" s="131">
        <f t="shared" si="54"/>
        <v>66.557870370370381</v>
      </c>
      <c r="M132" s="1071">
        <f t="shared" si="54"/>
        <v>79.120879120879124</v>
      </c>
      <c r="N132" s="427">
        <f t="shared" si="54"/>
        <v>73.570665445665441</v>
      </c>
      <c r="O132" s="131">
        <f t="shared" ref="O132:P132" si="56">+O133/O131*100</f>
        <v>90.322580645161281</v>
      </c>
      <c r="P132" s="131">
        <f t="shared" si="56"/>
        <v>83.295250896057354</v>
      </c>
      <c r="Q132" s="1070">
        <f t="shared" si="54"/>
        <v>81.967213114754102</v>
      </c>
      <c r="R132" s="331">
        <f t="shared" si="54"/>
        <v>76.041666666666657</v>
      </c>
      <c r="S132" s="131">
        <f t="shared" si="54"/>
        <v>90.322580645161281</v>
      </c>
      <c r="T132" s="2657">
        <f t="shared" si="54"/>
        <v>83.884408602150543</v>
      </c>
      <c r="U132" s="1070">
        <f t="shared" ref="U132:X132" si="57">+U133/U131*100</f>
        <v>83.66013071895425</v>
      </c>
      <c r="V132" s="331">
        <f t="shared" si="57"/>
        <v>77.630718954248366</v>
      </c>
      <c r="W132" s="131">
        <f t="shared" si="57"/>
        <v>90</v>
      </c>
      <c r="X132" s="2657">
        <f t="shared" si="57"/>
        <v>85.958333333333329</v>
      </c>
      <c r="Y132" s="1071">
        <f t="shared" si="54"/>
        <v>90.217391304347828</v>
      </c>
      <c r="Z132" s="430">
        <f t="shared" si="54"/>
        <v>84.362167874396135</v>
      </c>
      <c r="AA132" s="559">
        <f t="shared" ref="AA132:AF132" si="58">+AA133/AA131*100</f>
        <v>84.699453551912569</v>
      </c>
      <c r="AB132" s="559">
        <f t="shared" si="58"/>
        <v>78.995901639344254</v>
      </c>
      <c r="AC132" s="131">
        <f t="shared" si="58"/>
        <v>90.322580645161281</v>
      </c>
      <c r="AD132" s="2657">
        <f t="shared" si="58"/>
        <v>84.941756272401392</v>
      </c>
      <c r="AE132" s="1070">
        <f t="shared" si="58"/>
        <v>85.514018691588788</v>
      </c>
      <c r="AF132" s="331">
        <f t="shared" si="58"/>
        <v>79.857217030114214</v>
      </c>
      <c r="AG132" s="131">
        <f t="shared" ref="AG132:AJ132" si="59">+AG133/AG131*100</f>
        <v>90</v>
      </c>
      <c r="AH132" s="2657">
        <f t="shared" si="59"/>
        <v>79.944444444444457</v>
      </c>
      <c r="AI132" s="1070">
        <f t="shared" si="59"/>
        <v>86.065573770491795</v>
      </c>
      <c r="AJ132" s="331">
        <f t="shared" si="59"/>
        <v>79.867941712204001</v>
      </c>
      <c r="AK132" s="131">
        <f t="shared" ref="AK132:AV132" si="60">+AK133/AK131*100</f>
        <v>90.322580645161281</v>
      </c>
      <c r="AL132" s="2657">
        <f t="shared" si="60"/>
        <v>85.163530465949819</v>
      </c>
      <c r="AM132" s="1071">
        <f t="shared" si="60"/>
        <v>90.217391304347828</v>
      </c>
      <c r="AN132" s="430">
        <f t="shared" si="60"/>
        <v>83.386926328502398</v>
      </c>
      <c r="AO132" s="1070">
        <f t="shared" si="60"/>
        <v>86.545454545454547</v>
      </c>
      <c r="AP132" s="331">
        <f t="shared" si="60"/>
        <v>80.464898989898998</v>
      </c>
      <c r="AQ132" s="131">
        <f t="shared" ref="AQ132:AR132" si="61">+AQ133/AQ131*100</f>
        <v>90.322580645161281</v>
      </c>
      <c r="AR132" s="2657">
        <f t="shared" si="61"/>
        <v>85.528673835125431</v>
      </c>
      <c r="AS132" s="1070">
        <f t="shared" si="60"/>
        <v>86.928104575163403</v>
      </c>
      <c r="AT132" s="331">
        <f t="shared" si="60"/>
        <v>80.977895787944803</v>
      </c>
      <c r="AU132" s="131">
        <f t="shared" si="60"/>
        <v>89.65517241379311</v>
      </c>
      <c r="AV132" s="2657">
        <f t="shared" si="60"/>
        <v>82.974137931034491</v>
      </c>
      <c r="AW132" s="1070">
        <f t="shared" ref="AW132:BD132" si="62">+AW133/AW131*100</f>
        <v>87.164179104477611</v>
      </c>
      <c r="AX132" s="331">
        <f t="shared" si="62"/>
        <v>81.150704809286907</v>
      </c>
      <c r="AY132" s="131">
        <f t="shared" si="62"/>
        <v>90.322580645161281</v>
      </c>
      <c r="AZ132" s="2657">
        <f t="shared" si="62"/>
        <v>80.560035842293914</v>
      </c>
      <c r="BA132" s="1071">
        <f t="shared" si="62"/>
        <v>90.109890109890117</v>
      </c>
      <c r="BB132" s="430">
        <f t="shared" si="62"/>
        <v>83.021978021978029</v>
      </c>
      <c r="BC132" s="559">
        <f t="shared" si="62"/>
        <v>90.163934426229503</v>
      </c>
      <c r="BD132" s="559">
        <f t="shared" si="62"/>
        <v>83.205449301760765</v>
      </c>
      <c r="BE132" s="1070">
        <f t="shared" ref="BE132:BF132" si="63">+BE133/BE131*100</f>
        <v>87.431693989071036</v>
      </c>
      <c r="BF132" s="331">
        <f t="shared" si="63"/>
        <v>81.100675470552517</v>
      </c>
      <c r="BG132" s="26"/>
      <c r="BH132" s="26"/>
      <c r="BI132" s="26"/>
      <c r="BJ132" s="26"/>
    </row>
    <row r="133" spans="1:62" x14ac:dyDescent="0.25">
      <c r="B133" s="9" t="s">
        <v>309</v>
      </c>
      <c r="C133" s="1069"/>
      <c r="D133" s="672" t="s">
        <v>226</v>
      </c>
      <c r="E133" s="1411">
        <v>648</v>
      </c>
      <c r="F133" s="1411">
        <v>603.76666666666665</v>
      </c>
      <c r="G133" s="1411">
        <v>552</v>
      </c>
      <c r="H133" s="1411">
        <v>523.80000000000007</v>
      </c>
      <c r="I133" s="806">
        <f>+E133+G133</f>
        <v>1200</v>
      </c>
      <c r="J133" s="947">
        <f>+F133+H133</f>
        <v>1127.5666666666666</v>
      </c>
      <c r="K133" s="1411">
        <v>528</v>
      </c>
      <c r="L133" s="1411">
        <v>479.2166666666667</v>
      </c>
      <c r="M133" s="3578">
        <f>+E133+G133+K133</f>
        <v>1728</v>
      </c>
      <c r="N133" s="3578">
        <f>+F133+H133+L133</f>
        <v>1606.7833333333333</v>
      </c>
      <c r="O133" s="1411">
        <v>672</v>
      </c>
      <c r="P133" s="1411">
        <v>619.7166666666667</v>
      </c>
      <c r="Q133" s="947">
        <f>+M133+O133</f>
        <v>2400</v>
      </c>
      <c r="R133" s="947">
        <f>+N133+P133</f>
        <v>2226.5</v>
      </c>
      <c r="S133" s="2567">
        <v>672</v>
      </c>
      <c r="T133" s="2627">
        <v>624.1</v>
      </c>
      <c r="U133" s="2565">
        <f>+Q133+S133</f>
        <v>3072</v>
      </c>
      <c r="V133" s="2565">
        <f>+R133+T133</f>
        <v>2850.6</v>
      </c>
      <c r="W133" s="3296">
        <v>648</v>
      </c>
      <c r="X133" s="2627">
        <v>618.9</v>
      </c>
      <c r="Y133" s="4009">
        <f>O133+S133+W133</f>
        <v>1992</v>
      </c>
      <c r="Z133" s="636">
        <f>P133+T133+X133</f>
        <v>1862.7166666666667</v>
      </c>
      <c r="AA133" s="4239">
        <f>M133+Y133</f>
        <v>3720</v>
      </c>
      <c r="AB133" s="4236">
        <f>N133+Z133</f>
        <v>3469.5</v>
      </c>
      <c r="AC133" s="3616">
        <v>672</v>
      </c>
      <c r="AD133" s="2627">
        <v>631.96666666666636</v>
      </c>
      <c r="AE133" s="3615">
        <f>+AA133+AC133</f>
        <v>4392</v>
      </c>
      <c r="AF133" s="3615">
        <f>+AB133+AD133</f>
        <v>4101.4666666666662</v>
      </c>
      <c r="AG133" s="3616">
        <v>648</v>
      </c>
      <c r="AH133" s="2627">
        <v>575.6</v>
      </c>
      <c r="AI133" s="3615">
        <f>+AE133+AG133</f>
        <v>5040</v>
      </c>
      <c r="AJ133" s="3615">
        <f>+AF133+AH133</f>
        <v>4677.0666666666666</v>
      </c>
      <c r="AK133" s="3616">
        <v>672</v>
      </c>
      <c r="AL133" s="2627">
        <v>633.61666666666667</v>
      </c>
      <c r="AM133" s="4312">
        <f>AC133+AG133+AK133</f>
        <v>1992</v>
      </c>
      <c r="AN133" s="636">
        <f>AD133+AH133+AL133</f>
        <v>1841.1833333333329</v>
      </c>
      <c r="AO133" s="3615">
        <f t="shared" ref="AO133:AP133" si="64">AI133+AK133</f>
        <v>5712</v>
      </c>
      <c r="AP133" s="3615">
        <f t="shared" si="64"/>
        <v>5310.6833333333334</v>
      </c>
      <c r="AQ133" s="3616">
        <v>672</v>
      </c>
      <c r="AR133" s="2627">
        <v>636.33333333333326</v>
      </c>
      <c r="AS133" s="3615">
        <f>+AO133+AQ133</f>
        <v>6384</v>
      </c>
      <c r="AT133" s="3615">
        <f>+AP133+AR133</f>
        <v>5947.0166666666664</v>
      </c>
      <c r="AU133" s="3616">
        <v>624</v>
      </c>
      <c r="AV133" s="2627">
        <v>577.5</v>
      </c>
      <c r="AW133" s="3615">
        <f>+AS133+AU133</f>
        <v>7008</v>
      </c>
      <c r="AX133" s="3615">
        <f>+AT133+AV133</f>
        <v>6524.5166666666664</v>
      </c>
      <c r="AY133" s="3616">
        <v>672</v>
      </c>
      <c r="AZ133" s="2627">
        <v>599.36666666666679</v>
      </c>
      <c r="BA133" s="5104">
        <f>AQ133+AU133+AY133</f>
        <v>1968</v>
      </c>
      <c r="BB133" s="636">
        <f>AR133+AV133+AZ133</f>
        <v>1813.2</v>
      </c>
      <c r="BC133" s="5103">
        <f>AM133+BA133</f>
        <v>3960</v>
      </c>
      <c r="BD133" s="5103">
        <f>AN133+BB133</f>
        <v>3654.3833333333332</v>
      </c>
      <c r="BE133" s="3615">
        <f>+AW133+AY133</f>
        <v>7680</v>
      </c>
      <c r="BF133" s="3615">
        <f>+AX133+AZ133</f>
        <v>7123.8833333333332</v>
      </c>
      <c r="BG133" s="26"/>
      <c r="BH133" s="26"/>
      <c r="BI133" s="26"/>
      <c r="BJ133" s="26"/>
    </row>
    <row r="134" spans="1:62" x14ac:dyDescent="0.25">
      <c r="B134" s="9" t="s">
        <v>311</v>
      </c>
      <c r="C134" s="1069"/>
      <c r="D134" s="672" t="s">
        <v>51</v>
      </c>
      <c r="E134" s="227">
        <f t="shared" ref="E134:AB134" si="65">+E135/E133*100</f>
        <v>83.333333333333343</v>
      </c>
      <c r="F134" s="227">
        <f t="shared" si="65"/>
        <v>83.782366256280028</v>
      </c>
      <c r="G134" s="227">
        <f t="shared" ref="G134:H134" si="66">+G135/G133*100</f>
        <v>83.333333333333343</v>
      </c>
      <c r="H134" s="227">
        <f t="shared" si="66"/>
        <v>83.05651011836575</v>
      </c>
      <c r="I134" s="1070">
        <f t="shared" si="65"/>
        <v>83.333333333333343</v>
      </c>
      <c r="J134" s="331">
        <f t="shared" si="65"/>
        <v>83.445176929671561</v>
      </c>
      <c r="K134" s="227">
        <f t="shared" si="65"/>
        <v>83.333333333333343</v>
      </c>
      <c r="L134" s="227">
        <f t="shared" si="65"/>
        <v>85.045038778562215</v>
      </c>
      <c r="M134" s="1071">
        <f t="shared" si="65"/>
        <v>83.333333333333343</v>
      </c>
      <c r="N134" s="427">
        <f t="shared" si="65"/>
        <v>83.922329291441471</v>
      </c>
      <c r="O134" s="227">
        <f t="shared" ref="O134:P134" si="67">+O135/O133*100</f>
        <v>83.333333333333343</v>
      </c>
      <c r="P134" s="227">
        <f t="shared" si="67"/>
        <v>87.704058306215217</v>
      </c>
      <c r="Q134" s="1070">
        <f t="shared" si="65"/>
        <v>83.333333333333343</v>
      </c>
      <c r="R134" s="331">
        <f t="shared" si="65"/>
        <v>84.974923272700053</v>
      </c>
      <c r="S134" s="227">
        <f t="shared" si="65"/>
        <v>83.333333333333343</v>
      </c>
      <c r="T134" s="2658">
        <f t="shared" si="65"/>
        <v>85.031779095230476</v>
      </c>
      <c r="U134" s="1070">
        <f t="shared" ref="U134:X134" si="68">+U135/U133*100</f>
        <v>83.333333333333343</v>
      </c>
      <c r="V134" s="331">
        <f t="shared" si="68"/>
        <v>84.987371079772686</v>
      </c>
      <c r="W134" s="227">
        <f t="shared" si="68"/>
        <v>83.333333333333343</v>
      </c>
      <c r="X134" s="2658">
        <f t="shared" si="68"/>
        <v>89.107017827328079</v>
      </c>
      <c r="Y134" s="1071">
        <f t="shared" si="65"/>
        <v>83.333333333333343</v>
      </c>
      <c r="Z134" s="430">
        <f t="shared" si="65"/>
        <v>87.274858405733596</v>
      </c>
      <c r="AA134" s="559">
        <f t="shared" si="65"/>
        <v>83.333333333333343</v>
      </c>
      <c r="AB134" s="559">
        <f t="shared" si="65"/>
        <v>85.722246241052986</v>
      </c>
      <c r="AC134" s="227">
        <f t="shared" ref="AC134:AF134" si="69">+AC135/AC133*100</f>
        <v>83.333333333333343</v>
      </c>
      <c r="AD134" s="2658">
        <f t="shared" si="69"/>
        <v>86.349491006909673</v>
      </c>
      <c r="AE134" s="1070">
        <f t="shared" si="69"/>
        <v>83.333333333333343</v>
      </c>
      <c r="AF134" s="331">
        <f t="shared" si="69"/>
        <v>85.8188940541595</v>
      </c>
      <c r="AG134" s="227">
        <f t="shared" ref="AG134:AJ134" si="70">+AG135/AG133*100</f>
        <v>83.333333333333343</v>
      </c>
      <c r="AH134" s="2658">
        <f t="shared" si="70"/>
        <v>87.841672457725267</v>
      </c>
      <c r="AI134" s="1070">
        <f t="shared" si="70"/>
        <v>83.333333333333343</v>
      </c>
      <c r="AJ134" s="331">
        <f t="shared" si="70"/>
        <v>86.067834540167638</v>
      </c>
      <c r="AK134" s="227">
        <f t="shared" ref="AK134:AV134" si="71">+AK135/AK133*100</f>
        <v>83.333333333333343</v>
      </c>
      <c r="AL134" s="2658">
        <f t="shared" si="71"/>
        <v>82.933950601046902</v>
      </c>
      <c r="AM134" s="1071">
        <f t="shared" si="71"/>
        <v>83.333333333333343</v>
      </c>
      <c r="AN134" s="430">
        <f t="shared" si="71"/>
        <v>85.640575354617965</v>
      </c>
      <c r="AO134" s="1070">
        <f t="shared" si="71"/>
        <v>83.333333333333343</v>
      </c>
      <c r="AP134" s="331">
        <f t="shared" si="71"/>
        <v>85.693931414977982</v>
      </c>
      <c r="AQ134" s="227">
        <f t="shared" ref="AQ134:AR134" si="72">+AQ135/AQ133*100</f>
        <v>83.333333333333343</v>
      </c>
      <c r="AR134" s="2657">
        <f t="shared" si="72"/>
        <v>86.249345206914612</v>
      </c>
      <c r="AS134" s="1070">
        <f t="shared" si="71"/>
        <v>83.333333333333343</v>
      </c>
      <c r="AT134" s="331">
        <f t="shared" si="71"/>
        <v>85.7533609288691</v>
      </c>
      <c r="AU134" s="227">
        <f t="shared" si="71"/>
        <v>83.333333333333343</v>
      </c>
      <c r="AV134" s="2657">
        <f t="shared" si="71"/>
        <v>79.783549783549773</v>
      </c>
      <c r="AW134" s="1070">
        <f t="shared" ref="AW134:BD134" si="73">+AW135/AW133*100</f>
        <v>83.333333333333343</v>
      </c>
      <c r="AX134" s="331">
        <f t="shared" si="73"/>
        <v>85.224959192379515</v>
      </c>
      <c r="AY134" s="227">
        <f t="shared" si="73"/>
        <v>83.333333333333343</v>
      </c>
      <c r="AZ134" s="2657">
        <f t="shared" si="73"/>
        <v>89.080140147933932</v>
      </c>
      <c r="BA134" s="1071">
        <f t="shared" si="73"/>
        <v>83.333333333333343</v>
      </c>
      <c r="BB134" s="430">
        <f t="shared" si="73"/>
        <v>85.125744540039705</v>
      </c>
      <c r="BC134" s="559">
        <f t="shared" si="73"/>
        <v>83.333333333333343</v>
      </c>
      <c r="BD134" s="559">
        <f t="shared" si="73"/>
        <v>85.385131098270122</v>
      </c>
      <c r="BE134" s="1070">
        <f t="shared" ref="BE134:BF134" si="74">+BE135/BE133*100</f>
        <v>83.333333333333343</v>
      </c>
      <c r="BF134" s="331">
        <f t="shared" si="74"/>
        <v>85.549314161517714</v>
      </c>
      <c r="BG134" s="26"/>
      <c r="BH134" s="26"/>
      <c r="BI134" s="26"/>
      <c r="BJ134" s="26"/>
    </row>
    <row r="135" spans="1:62" x14ac:dyDescent="0.25">
      <c r="B135" s="9" t="s">
        <v>312</v>
      </c>
      <c r="C135" s="1069"/>
      <c r="D135" s="672" t="s">
        <v>226</v>
      </c>
      <c r="E135" s="1411">
        <v>540</v>
      </c>
      <c r="F135" s="1411">
        <v>505.85</v>
      </c>
      <c r="G135" s="1411">
        <v>460</v>
      </c>
      <c r="H135" s="1411">
        <v>435.0499999999999</v>
      </c>
      <c r="I135" s="806">
        <f>+E135+G135</f>
        <v>1000</v>
      </c>
      <c r="J135" s="947">
        <f>+F135+H135</f>
        <v>940.89999999999986</v>
      </c>
      <c r="K135" s="1411">
        <v>440</v>
      </c>
      <c r="L135" s="1411">
        <v>407.5499999999999</v>
      </c>
      <c r="M135" s="3578">
        <f>+E135+G135+K135</f>
        <v>1440</v>
      </c>
      <c r="N135" s="3578">
        <f>+F135+H135+L135</f>
        <v>1348.4499999999998</v>
      </c>
      <c r="O135" s="1411">
        <v>560</v>
      </c>
      <c r="P135" s="1411">
        <v>543.51666666666677</v>
      </c>
      <c r="Q135" s="947">
        <f>+M135+O135</f>
        <v>2000</v>
      </c>
      <c r="R135" s="947">
        <f>+N135+P135</f>
        <v>1891.9666666666667</v>
      </c>
      <c r="S135" s="2567">
        <v>560</v>
      </c>
      <c r="T135" s="2627">
        <v>530.68333333333339</v>
      </c>
      <c r="U135" s="2565">
        <f>+Q135+S135</f>
        <v>2560</v>
      </c>
      <c r="V135" s="2565">
        <f>+R135+T135</f>
        <v>2422.65</v>
      </c>
      <c r="W135" s="3296">
        <v>540</v>
      </c>
      <c r="X135" s="2627">
        <v>551.48333333333346</v>
      </c>
      <c r="Y135" s="4009">
        <f>O135+S135+W135</f>
        <v>1660</v>
      </c>
      <c r="Z135" s="636">
        <f>P135+T135+X135</f>
        <v>1625.6833333333338</v>
      </c>
      <c r="AA135" s="4239">
        <f>M135+Y135</f>
        <v>3100</v>
      </c>
      <c r="AB135" s="4236">
        <f>N135+Z135</f>
        <v>2974.1333333333337</v>
      </c>
      <c r="AC135" s="3616">
        <v>560</v>
      </c>
      <c r="AD135" s="2627">
        <v>545.69999999999993</v>
      </c>
      <c r="AE135" s="3615">
        <f>+AA135+AC135</f>
        <v>3660</v>
      </c>
      <c r="AF135" s="3615">
        <f>+AB135+AD135</f>
        <v>3519.8333333333335</v>
      </c>
      <c r="AG135" s="3616">
        <v>540</v>
      </c>
      <c r="AH135" s="2627">
        <v>505.61666666666662</v>
      </c>
      <c r="AI135" s="3615">
        <f>+AE135+AG135</f>
        <v>4200</v>
      </c>
      <c r="AJ135" s="3615">
        <f>+AF135+AH135</f>
        <v>4025.4500000000003</v>
      </c>
      <c r="AK135" s="3616">
        <v>560</v>
      </c>
      <c r="AL135" s="2627">
        <v>525.48333333333335</v>
      </c>
      <c r="AM135" s="4312">
        <f>AC135+AG135+AK135</f>
        <v>1660</v>
      </c>
      <c r="AN135" s="636">
        <f>AD135+AH135+AL135</f>
        <v>1576.8</v>
      </c>
      <c r="AO135" s="3615">
        <f t="shared" ref="AO135:AP135" si="75">AI135+AK135</f>
        <v>4760</v>
      </c>
      <c r="AP135" s="3615">
        <f t="shared" si="75"/>
        <v>4550.9333333333334</v>
      </c>
      <c r="AQ135" s="3616">
        <v>560</v>
      </c>
      <c r="AR135" s="2627">
        <v>548.83333333333326</v>
      </c>
      <c r="AS135" s="3615">
        <f>+AO135+AQ135</f>
        <v>5320</v>
      </c>
      <c r="AT135" s="3615">
        <f>+AP135+AR135</f>
        <v>5099.7666666666664</v>
      </c>
      <c r="AU135" s="3616">
        <v>520</v>
      </c>
      <c r="AV135" s="2627">
        <v>460.75</v>
      </c>
      <c r="AW135" s="3615">
        <f>+AS135+AU135</f>
        <v>5840</v>
      </c>
      <c r="AX135" s="3615">
        <f>+AT135+AV135</f>
        <v>5560.5166666666664</v>
      </c>
      <c r="AY135" s="3616">
        <v>560</v>
      </c>
      <c r="AZ135" s="2627">
        <v>533.91666666666674</v>
      </c>
      <c r="BA135" s="5104">
        <f>AQ135+AU135+AY135</f>
        <v>1640</v>
      </c>
      <c r="BB135" s="636">
        <f>AR135+AV135+AZ135</f>
        <v>1543.5</v>
      </c>
      <c r="BC135" s="5103">
        <f>AM135+BA135</f>
        <v>3300</v>
      </c>
      <c r="BD135" s="5103">
        <f>AN135+BB135</f>
        <v>3120.3</v>
      </c>
      <c r="BE135" s="3615">
        <f>+AW135+AY135</f>
        <v>6400</v>
      </c>
      <c r="BF135" s="3615">
        <f>+AX135+AZ135</f>
        <v>6094.4333333333334</v>
      </c>
      <c r="BG135" s="26"/>
      <c r="BH135" s="26"/>
      <c r="BI135" s="26"/>
      <c r="BJ135" s="26"/>
    </row>
    <row r="136" spans="1:62" x14ac:dyDescent="0.25">
      <c r="B136" s="9" t="s">
        <v>519</v>
      </c>
      <c r="C136" s="1069"/>
      <c r="D136" s="672" t="s">
        <v>518</v>
      </c>
      <c r="E136" s="227">
        <f t="shared" ref="E136:AB136" si="76">+E135/(E133/24)</f>
        <v>20</v>
      </c>
      <c r="F136" s="1415">
        <f t="shared" si="76"/>
        <v>20.107767901507206</v>
      </c>
      <c r="G136" s="227">
        <f t="shared" ref="G136:H136" si="77">+G135/(G133/24)</f>
        <v>20</v>
      </c>
      <c r="H136" s="1415">
        <f t="shared" si="77"/>
        <v>19.933562428407782</v>
      </c>
      <c r="I136" s="1070">
        <f t="shared" si="76"/>
        <v>20</v>
      </c>
      <c r="J136" s="331">
        <f t="shared" si="76"/>
        <v>20.026842463121174</v>
      </c>
      <c r="K136" s="227">
        <f t="shared" si="76"/>
        <v>20</v>
      </c>
      <c r="L136" s="1415">
        <f t="shared" si="76"/>
        <v>20.410809306854929</v>
      </c>
      <c r="M136" s="1071">
        <f t="shared" si="76"/>
        <v>20</v>
      </c>
      <c r="N136" s="427">
        <f t="shared" si="76"/>
        <v>20.141359029945956</v>
      </c>
      <c r="O136" s="227">
        <f t="shared" ref="O136:P136" si="78">+O135/(O133/24)</f>
        <v>20</v>
      </c>
      <c r="P136" s="1415">
        <f t="shared" si="78"/>
        <v>21.048973993491654</v>
      </c>
      <c r="Q136" s="1070">
        <f t="shared" si="76"/>
        <v>20</v>
      </c>
      <c r="R136" s="331">
        <f t="shared" si="76"/>
        <v>20.393981585448014</v>
      </c>
      <c r="S136" s="227">
        <f t="shared" si="76"/>
        <v>20</v>
      </c>
      <c r="T136" s="2658">
        <f t="shared" si="76"/>
        <v>20.407626982855316</v>
      </c>
      <c r="U136" s="1070">
        <f t="shared" ref="U136:X136" si="79">+U135/(U133/24)</f>
        <v>20</v>
      </c>
      <c r="V136" s="331">
        <f t="shared" si="79"/>
        <v>20.396969059145444</v>
      </c>
      <c r="W136" s="227">
        <f t="shared" si="79"/>
        <v>20</v>
      </c>
      <c r="X136" s="2658">
        <f t="shared" si="79"/>
        <v>21.385684278558742</v>
      </c>
      <c r="Y136" s="1071">
        <f t="shared" si="76"/>
        <v>20</v>
      </c>
      <c r="Z136" s="430">
        <f t="shared" si="76"/>
        <v>20.945966017376062</v>
      </c>
      <c r="AA136" s="559">
        <f t="shared" si="76"/>
        <v>20</v>
      </c>
      <c r="AB136" s="559">
        <f t="shared" si="76"/>
        <v>20.57333909785272</v>
      </c>
      <c r="AC136" s="227">
        <f t="shared" ref="AC136:AF136" si="80">+AC135/(AC133/24)</f>
        <v>20</v>
      </c>
      <c r="AD136" s="2658">
        <f t="shared" si="80"/>
        <v>20.723877841658322</v>
      </c>
      <c r="AE136" s="1070">
        <f t="shared" si="80"/>
        <v>20</v>
      </c>
      <c r="AF136" s="331">
        <f t="shared" si="80"/>
        <v>20.59653457299828</v>
      </c>
      <c r="AG136" s="227">
        <f t="shared" ref="AG136:AJ136" si="81">+AG135/(AG133/24)</f>
        <v>20</v>
      </c>
      <c r="AH136" s="2658">
        <f t="shared" si="81"/>
        <v>21.082001389854064</v>
      </c>
      <c r="AI136" s="1070">
        <f t="shared" si="81"/>
        <v>20</v>
      </c>
      <c r="AJ136" s="331">
        <f t="shared" si="81"/>
        <v>20.656280289640232</v>
      </c>
      <c r="AK136" s="227">
        <f t="shared" ref="AK136:AV136" si="82">+AK135/(AK133/24)</f>
        <v>20</v>
      </c>
      <c r="AL136" s="2658">
        <f t="shared" si="82"/>
        <v>19.904148144251256</v>
      </c>
      <c r="AM136" s="1071">
        <f t="shared" si="82"/>
        <v>20</v>
      </c>
      <c r="AN136" s="430">
        <f t="shared" si="82"/>
        <v>20.553738085108314</v>
      </c>
      <c r="AO136" s="1070">
        <f t="shared" si="82"/>
        <v>20</v>
      </c>
      <c r="AP136" s="331">
        <f t="shared" si="82"/>
        <v>20.566543539594715</v>
      </c>
      <c r="AQ136" s="227">
        <f t="shared" ref="AQ136:AR136" si="83">+AQ135/(AQ133/24)</f>
        <v>20</v>
      </c>
      <c r="AR136" s="2658">
        <f t="shared" si="83"/>
        <v>20.699842849659507</v>
      </c>
      <c r="AS136" s="1070">
        <f t="shared" si="82"/>
        <v>20</v>
      </c>
      <c r="AT136" s="331">
        <f t="shared" si="82"/>
        <v>20.580806622928584</v>
      </c>
      <c r="AU136" s="227">
        <f t="shared" si="82"/>
        <v>20</v>
      </c>
      <c r="AV136" s="2658">
        <f t="shared" si="82"/>
        <v>19.148051948051947</v>
      </c>
      <c r="AW136" s="1070">
        <f t="shared" ref="AW136:BD136" si="84">+AW135/(AW133/24)</f>
        <v>20</v>
      </c>
      <c r="AX136" s="331">
        <f t="shared" si="84"/>
        <v>20.453990206171081</v>
      </c>
      <c r="AY136" s="227">
        <f t="shared" si="84"/>
        <v>20</v>
      </c>
      <c r="AZ136" s="2658">
        <f t="shared" si="84"/>
        <v>21.379233635504143</v>
      </c>
      <c r="BA136" s="1071">
        <f t="shared" si="84"/>
        <v>20</v>
      </c>
      <c r="BB136" s="430">
        <f t="shared" si="84"/>
        <v>20.43017868960953</v>
      </c>
      <c r="BC136" s="559">
        <f t="shared" si="84"/>
        <v>20</v>
      </c>
      <c r="BD136" s="559">
        <f t="shared" si="84"/>
        <v>20.492431463584829</v>
      </c>
      <c r="BE136" s="1070">
        <f t="shared" ref="BE136:BF136" si="85">+BE135/(BE133/24)</f>
        <v>20</v>
      </c>
      <c r="BF136" s="331">
        <f t="shared" si="85"/>
        <v>20.531835398764251</v>
      </c>
      <c r="BG136" s="26"/>
      <c r="BH136" s="26"/>
      <c r="BI136" s="26"/>
      <c r="BJ136" s="26"/>
    </row>
    <row r="137" spans="1:62" x14ac:dyDescent="0.25">
      <c r="A137" s="2061">
        <v>0.28799999999999998</v>
      </c>
      <c r="B137" s="9" t="s">
        <v>313</v>
      </c>
      <c r="C137" s="1069"/>
      <c r="D137" s="672" t="s">
        <v>1143</v>
      </c>
      <c r="E137" s="2301">
        <f>+$A$137</f>
        <v>0.28799999999999998</v>
      </c>
      <c r="F137" s="327">
        <v>0.32200000000000001</v>
      </c>
      <c r="G137" s="2301">
        <f>+$A$137</f>
        <v>0.28799999999999998</v>
      </c>
      <c r="H137" s="327">
        <v>0.313</v>
      </c>
      <c r="I137" s="1073">
        <f>+((E137*E5)+(G137*G5))/I5</f>
        <v>0.28799999999999998</v>
      </c>
      <c r="J137" s="457">
        <f>+((F137*F5)+(H137*H5))/J5</f>
        <v>0.31796926140791415</v>
      </c>
      <c r="K137" s="2301">
        <f>+$A$137</f>
        <v>0.28799999999999998</v>
      </c>
      <c r="L137" s="327">
        <v>0.35449999999999998</v>
      </c>
      <c r="M137" s="1074">
        <f>+((E137*E5)+(G137*G5)+(K137*K5))/M5</f>
        <v>0.28799999999999998</v>
      </c>
      <c r="N137" s="1074">
        <f>+((F137*F5)+(H137*H5)+(L137*L5))/N5-0.001</f>
        <v>0.32864960142935684</v>
      </c>
      <c r="O137" s="2301">
        <f>+$A$137</f>
        <v>0.28799999999999998</v>
      </c>
      <c r="P137" s="327">
        <v>0.32900000000000001</v>
      </c>
      <c r="Q137" s="1073">
        <f>+((M137*M5)+(O137*O5))/Q5</f>
        <v>0.28799999999999998</v>
      </c>
      <c r="R137" s="1073">
        <f>+((N137*N5)+(P137*P5))/R5</f>
        <v>0.32874943489772018</v>
      </c>
      <c r="S137" s="2301">
        <f>+$A$137</f>
        <v>0.28799999999999998</v>
      </c>
      <c r="T137" s="2664">
        <v>0.32100000000000001</v>
      </c>
      <c r="U137" s="1073">
        <f>+((Q137*Q5)+(S137*S5))/U5</f>
        <v>0.28799999999999998</v>
      </c>
      <c r="V137" s="1073">
        <f>+((R137*R5)+(T137*T5))/V5</f>
        <v>0.32687964544231907</v>
      </c>
      <c r="W137" s="2301">
        <f>+$A$137</f>
        <v>0.28799999999999998</v>
      </c>
      <c r="X137" s="2664">
        <v>0.29299999999999998</v>
      </c>
      <c r="Y137" s="1074">
        <f>+((O137*O5)+(S137*S5)+(W137*W5))/Y5</f>
        <v>0.28799999999999998</v>
      </c>
      <c r="Z137" s="1074">
        <f>+((P137*P5)+(T137*T5)+(X137*X5))/Z5</f>
        <v>0.31402767941647852</v>
      </c>
      <c r="AA137" s="796">
        <f>+((M137*M5)+(Y137*Y5))/AA5</f>
        <v>0.28799999999999998</v>
      </c>
      <c r="AB137" s="796">
        <f>+((N137*N5)+(Z137*Z5))/AB5</f>
        <v>0.32045686412042029</v>
      </c>
      <c r="AC137" s="2301">
        <f>+$A$137</f>
        <v>0.28799999999999998</v>
      </c>
      <c r="AD137" s="2664">
        <v>0.24149000000000001</v>
      </c>
      <c r="AE137" s="1073">
        <f>+((AA137*AA5)+(AC137*AC5))/AE5</f>
        <v>0.28799999999999998</v>
      </c>
      <c r="AF137" s="1073">
        <f>+((AB137*AB5)+(AD137*AD5))/AF5</f>
        <v>0.30832313913016218</v>
      </c>
      <c r="AG137" s="2301">
        <f>+$A$137</f>
        <v>0.28799999999999998</v>
      </c>
      <c r="AH137" s="2664">
        <v>0.25448999999999999</v>
      </c>
      <c r="AI137" s="1073">
        <f>+((AE137*AE5)+(AG137*AG5))/AI5</f>
        <v>0.28799999999999998</v>
      </c>
      <c r="AJ137" s="1073">
        <f>+((AF137*AF5)+(AH137*AH5))/AJ5</f>
        <v>0.30154593432077259</v>
      </c>
      <c r="AK137" s="2301">
        <f>+$A$137</f>
        <v>0.28799999999999998</v>
      </c>
      <c r="AL137" s="2664">
        <v>0.23899999999999999</v>
      </c>
      <c r="AM137" s="1074">
        <f>+((AC137*AC5)+(AG137*AG5)+(AK137*AK5))/AM5</f>
        <v>0.28799999999999998</v>
      </c>
      <c r="AN137" s="1074">
        <f>+((AD137*AD5)+(AH137*AH5)+(AL137*AL5))/AN5</f>
        <v>0.24485567185778712</v>
      </c>
      <c r="AO137" s="1073">
        <f>+((AK137*AK5)+(AI137*AI5))/AO5</f>
        <v>0.28799999999999998</v>
      </c>
      <c r="AP137" s="1073">
        <f>+((AL137*AL5)+(AJ137*AJ5))/AP5</f>
        <v>0.2943536801874076</v>
      </c>
      <c r="AQ137" s="2301">
        <f>+$A$137</f>
        <v>0.28799999999999998</v>
      </c>
      <c r="AR137" s="2664">
        <v>0.30399999999999999</v>
      </c>
      <c r="AS137" s="1073">
        <f>+((AO137*AO5)+(AQ137*AQ5))/AS5</f>
        <v>0.28799999999999998</v>
      </c>
      <c r="AT137" s="1073">
        <f>+((AP137*AP5)+(AR137*AR5))/AT5</f>
        <v>0.29539657380179229</v>
      </c>
      <c r="AU137" s="2301">
        <f>+$A$137</f>
        <v>0.28799999999999998</v>
      </c>
      <c r="AV137" s="2664">
        <v>0.28699999999999998</v>
      </c>
      <c r="AW137" s="1073">
        <f>+((AS137*AS5)+(AU137*AU5))/AW5</f>
        <v>0.28800000000000003</v>
      </c>
      <c r="AX137" s="1073">
        <f>+((AT137*AT5)+(AV137*AV5))/AX5</f>
        <v>0.29470051443957429</v>
      </c>
      <c r="AY137" s="2301">
        <f>+$A$137</f>
        <v>0.28799999999999998</v>
      </c>
      <c r="AZ137" s="2664">
        <v>0.28299999999999997</v>
      </c>
      <c r="BA137" s="1074">
        <f>+((AQ137*AQ5)+(AU137*AU5)+(AY137*AY5))/BA5</f>
        <v>0.28799999999999998</v>
      </c>
      <c r="BB137" s="1074">
        <f>+((AR137*AR5)+(AV137*AV5)+(AZ137*AZ5))/BB5</f>
        <v>0.29197652286738252</v>
      </c>
      <c r="BC137" s="796">
        <f>+((AM137*AM5)+(BA137*BA5))/BC5</f>
        <v>0.28799999999999998</v>
      </c>
      <c r="BD137" s="796">
        <f>+((AN137*AN5)+(BB137*BB5))/BD5</f>
        <v>0.26783826988805387</v>
      </c>
      <c r="BE137" s="1073">
        <f>+((AW137*AW5)+(AY137*AY5))/BE5</f>
        <v>0.28800000000000003</v>
      </c>
      <c r="BF137" s="1073">
        <f>+((AX137*AX5)+(AZ137*AZ5))/BF5</f>
        <v>0.2937655483881354</v>
      </c>
      <c r="BG137" s="26"/>
      <c r="BH137" s="26"/>
      <c r="BI137" s="26"/>
      <c r="BJ137" s="26"/>
    </row>
    <row r="138" spans="1:62" x14ac:dyDescent="0.25">
      <c r="B138" s="9" t="s">
        <v>314</v>
      </c>
      <c r="C138" s="1069"/>
      <c r="D138" s="672" t="s">
        <v>218</v>
      </c>
      <c r="E138" s="1411">
        <f>+'POWER DISTRIBUTION'!I26</f>
        <v>7143984.3750000019</v>
      </c>
      <c r="F138" s="1411">
        <f>+'POWER DISTRIBUTION'!J26</f>
        <v>6823463.3333333312</v>
      </c>
      <c r="G138" s="1411">
        <f>+'POWER DISTRIBUTION'!K26</f>
        <v>6879421.8750000019</v>
      </c>
      <c r="H138" s="1411">
        <f>+'POWER DISTRIBUTION'!L26</f>
        <v>5923896.6666666698</v>
      </c>
      <c r="I138" s="806">
        <f>+E138+G138</f>
        <v>14023406.250000004</v>
      </c>
      <c r="J138" s="947">
        <f>+F138+H138</f>
        <v>12747360</v>
      </c>
      <c r="K138" s="1411">
        <f>+'POWER DISTRIBUTION'!O26</f>
        <v>6435187.5</v>
      </c>
      <c r="L138" s="1411">
        <f>+'POWER DISTRIBUTION'!P26</f>
        <v>5758968.333333333</v>
      </c>
      <c r="M138" s="3578">
        <f>+E138+G138+K138</f>
        <v>20458593.750000004</v>
      </c>
      <c r="N138" s="3578">
        <f>+F138+H138+L138</f>
        <v>18506328.333333332</v>
      </c>
      <c r="O138" s="1411">
        <f>+'POWER DISTRIBUTION'!S26</f>
        <v>7312078.125</v>
      </c>
      <c r="P138" s="1411">
        <f>+'POWER DISTRIBUTION'!T26</f>
        <v>7012131.6666666623</v>
      </c>
      <c r="Q138" s="947">
        <f>+M138+O138</f>
        <v>27770671.875000004</v>
      </c>
      <c r="R138" s="947">
        <f>+N138+P138</f>
        <v>25518459.999999993</v>
      </c>
      <c r="S138" s="2567">
        <f>+'POWER DISTRIBUTION'!W26</f>
        <v>7312078.125</v>
      </c>
      <c r="T138" s="2627">
        <f>+'POWER DISTRIBUTION'!X26</f>
        <v>7418363.333333347</v>
      </c>
      <c r="U138" s="2565">
        <f>+Q138+S138</f>
        <v>35082750</v>
      </c>
      <c r="V138" s="2565">
        <f>+R138+T138</f>
        <v>32936823.33333334</v>
      </c>
      <c r="W138" s="3296">
        <f>+'POWER DISTRIBUTION'!AA26</f>
        <v>7143984.3750000019</v>
      </c>
      <c r="X138" s="2627">
        <f>+'POWER DISTRIBUTION'!AB26</f>
        <v>7397149.9999999935</v>
      </c>
      <c r="Y138" s="4009">
        <f>O138+S138+W138</f>
        <v>21768140.625</v>
      </c>
      <c r="Z138" s="636">
        <f>P138+T138+X138</f>
        <v>21827645.000000004</v>
      </c>
      <c r="AA138" s="4239">
        <f>M138+Y138</f>
        <v>42226734.375</v>
      </c>
      <c r="AB138" s="4236">
        <f>N138+Z138</f>
        <v>40333973.333333336</v>
      </c>
      <c r="AC138" s="3616">
        <f>+'POWER DISTRIBUTION'!AG26</f>
        <v>7312078.125</v>
      </c>
      <c r="AD138" s="2627">
        <f>+'POWER DISTRIBUTION'!AH26</f>
        <v>7390114.9999999963</v>
      </c>
      <c r="AE138" s="3615">
        <f>+AA138+AC138</f>
        <v>49538812.5</v>
      </c>
      <c r="AF138" s="3615">
        <f>+AB138+AD138</f>
        <v>47724088.333333328</v>
      </c>
      <c r="AG138" s="3616">
        <f>+'POWER DISTRIBUTION'!AK26</f>
        <v>7143984.3750000019</v>
      </c>
      <c r="AH138" s="2627">
        <f>+'POWER DISTRIBUTION'!AL26</f>
        <v>6733211.6666666623</v>
      </c>
      <c r="AI138" s="3615">
        <f>+AE138+AG138</f>
        <v>56682796.875</v>
      </c>
      <c r="AJ138" s="3615">
        <f>+AF138+AH138</f>
        <v>54457299.999999993</v>
      </c>
      <c r="AK138" s="3616">
        <f>+'POWER DISTRIBUTION'!AO26</f>
        <v>7312078.125</v>
      </c>
      <c r="AL138" s="2627">
        <f>+'POWER DISTRIBUTION'!AP26</f>
        <v>6588990.0000000028</v>
      </c>
      <c r="AM138" s="4312">
        <f>AC138+AG138+AK138</f>
        <v>21768140.625</v>
      </c>
      <c r="AN138" s="636">
        <f>AD138+AH138+AL138</f>
        <v>20712316.66666666</v>
      </c>
      <c r="AO138" s="3615">
        <f t="shared" ref="AO138:AP138" si="86">AI138+AK138</f>
        <v>63994875</v>
      </c>
      <c r="AP138" s="3615">
        <f t="shared" si="86"/>
        <v>61046289.999999993</v>
      </c>
      <c r="AQ138" s="3616">
        <f>+'POWER DISTRIBUTION'!AU26</f>
        <v>7312078.125</v>
      </c>
      <c r="AR138" s="2627">
        <f>+'POWER DISTRIBUTION'!AV26</f>
        <v>7090838.3333333358</v>
      </c>
      <c r="AS138" s="3615">
        <f>+AO138+AQ138</f>
        <v>71306953.125</v>
      </c>
      <c r="AT138" s="3615">
        <f>+AP138+AR138</f>
        <v>68137128.333333328</v>
      </c>
      <c r="AU138" s="3616">
        <f>+'POWER DISTRIBUTION'!AY26</f>
        <v>6891843.7500000019</v>
      </c>
      <c r="AV138" s="2627">
        <f>+'POWER DISTRIBUTION'!AZ26</f>
        <v>6314919.9999999888</v>
      </c>
      <c r="AW138" s="3615">
        <f>+AS138+AU138</f>
        <v>78198796.875</v>
      </c>
      <c r="AX138" s="3615">
        <f>+AT138+AV138</f>
        <v>74452048.333333313</v>
      </c>
      <c r="AY138" s="3616">
        <f>+'POWER DISTRIBUTION'!BC26</f>
        <v>7312078.125</v>
      </c>
      <c r="AZ138" s="2627">
        <f>+'POWER DISTRIBUTION'!BD26</f>
        <v>7252940.0000000075</v>
      </c>
      <c r="BA138" s="5104">
        <f>AQ138+AU138+AY138</f>
        <v>21516000</v>
      </c>
      <c r="BB138" s="636">
        <f>AR138+AV138+AZ138</f>
        <v>20658698.333333332</v>
      </c>
      <c r="BC138" s="5103">
        <f>AM138+BA138</f>
        <v>43284140.625</v>
      </c>
      <c r="BD138" s="5103">
        <f>AN138+BB138</f>
        <v>41371014.999999993</v>
      </c>
      <c r="BE138" s="3615">
        <f>+AW138+AY138</f>
        <v>85510875</v>
      </c>
      <c r="BF138" s="3615">
        <f>+AX138+AZ138</f>
        <v>81704988.333333313</v>
      </c>
      <c r="BG138" s="26"/>
      <c r="BH138" s="26"/>
      <c r="BI138" s="26"/>
      <c r="BJ138" s="26"/>
    </row>
    <row r="139" spans="1:62" x14ac:dyDescent="0.25">
      <c r="B139" s="9" t="s">
        <v>315</v>
      </c>
      <c r="C139" s="1069"/>
      <c r="D139" s="672" t="s">
        <v>307</v>
      </c>
      <c r="E139" s="227">
        <f t="shared" ref="E139:AB139" si="87">+E138/E5</f>
        <v>161.37000000000003</v>
      </c>
      <c r="F139" s="227">
        <f t="shared" si="87"/>
        <v>168.01184382960548</v>
      </c>
      <c r="G139" s="227">
        <f t="shared" si="87"/>
        <v>180.93821917808222</v>
      </c>
      <c r="H139" s="227">
        <f t="shared" si="87"/>
        <v>179.82485550898747</v>
      </c>
      <c r="I139" s="1070">
        <f t="shared" si="87"/>
        <v>170.41101265822789</v>
      </c>
      <c r="J139" s="331">
        <f t="shared" si="87"/>
        <v>173.30241739236618</v>
      </c>
      <c r="K139" s="227">
        <f t="shared" si="87"/>
        <v>181.69941176470587</v>
      </c>
      <c r="L139" s="227">
        <f t="shared" si="87"/>
        <v>166.57389210566816</v>
      </c>
      <c r="M139" s="1071">
        <f t="shared" si="87"/>
        <v>173.80752212389382</v>
      </c>
      <c r="N139" s="427">
        <f t="shared" si="87"/>
        <v>171.15103841070675</v>
      </c>
      <c r="O139" s="227">
        <f t="shared" si="87"/>
        <v>161.37</v>
      </c>
      <c r="P139" s="227">
        <f t="shared" si="87"/>
        <v>162.76227902897691</v>
      </c>
      <c r="Q139" s="1070">
        <f t="shared" si="87"/>
        <v>170.35044728434505</v>
      </c>
      <c r="R139" s="331">
        <f t="shared" si="87"/>
        <v>168.76096318064299</v>
      </c>
      <c r="S139" s="227">
        <f t="shared" si="87"/>
        <v>161.37</v>
      </c>
      <c r="T139" s="2657">
        <f t="shared" si="87"/>
        <v>154.27091851819469</v>
      </c>
      <c r="U139" s="1070">
        <f t="shared" si="87"/>
        <v>168.3972</v>
      </c>
      <c r="V139" s="331">
        <f t="shared" si="87"/>
        <v>165.26479435340269</v>
      </c>
      <c r="W139" s="227">
        <f t="shared" si="87"/>
        <v>161.37000000000003</v>
      </c>
      <c r="X139" s="2657">
        <f t="shared" si="87"/>
        <v>158.66855309032857</v>
      </c>
      <c r="Y139" s="1071">
        <f t="shared" si="87"/>
        <v>161.36999999999998</v>
      </c>
      <c r="Z139" s="430">
        <f t="shared" si="87"/>
        <v>158.41380668595667</v>
      </c>
      <c r="AA139" s="559">
        <f t="shared" si="87"/>
        <v>167.16562886597936</v>
      </c>
      <c r="AB139" s="559">
        <f t="shared" si="87"/>
        <v>164.01430266064457</v>
      </c>
      <c r="AC139" s="227">
        <f t="shared" ref="AC139:AF139" si="88">+AC138/AC5</f>
        <v>161.37</v>
      </c>
      <c r="AD139" s="2657">
        <f t="shared" si="88"/>
        <v>165.52348608449574</v>
      </c>
      <c r="AE139" s="1070">
        <f t="shared" si="88"/>
        <v>166.28412587412586</v>
      </c>
      <c r="AF139" s="331">
        <f t="shared" si="88"/>
        <v>164.24619760580717</v>
      </c>
      <c r="AG139" s="227">
        <f t="shared" ref="AG139:AJ139" si="89">+AG138/AG5</f>
        <v>161.37000000000003</v>
      </c>
      <c r="AH139" s="2657">
        <f t="shared" si="89"/>
        <v>160.89544200783791</v>
      </c>
      <c r="AI139" s="1070">
        <f t="shared" si="89"/>
        <v>165.64835616438356</v>
      </c>
      <c r="AJ139" s="331">
        <f t="shared" si="89"/>
        <v>163.82436158954332</v>
      </c>
      <c r="AK139" s="227">
        <f t="shared" ref="AK139:AV139" si="90">+AK138/AK5</f>
        <v>161.37</v>
      </c>
      <c r="AL139" s="2657">
        <f t="shared" si="90"/>
        <v>152.5536851911823</v>
      </c>
      <c r="AM139" s="1071">
        <f t="shared" si="90"/>
        <v>161.36999999999998</v>
      </c>
      <c r="AN139" s="430">
        <f t="shared" si="90"/>
        <v>159.71056023873513</v>
      </c>
      <c r="AO139" s="1070">
        <f t="shared" si="90"/>
        <v>165.14806451612904</v>
      </c>
      <c r="AP139" s="331">
        <f t="shared" si="90"/>
        <v>162.52832900497594</v>
      </c>
      <c r="AQ139" s="227">
        <f t="shared" ref="AQ139:AR139" si="91">+AQ138/AQ5</f>
        <v>161.37</v>
      </c>
      <c r="AR139" s="2657">
        <f t="shared" si="91"/>
        <v>155.7395114445637</v>
      </c>
      <c r="AS139" s="1070">
        <f t="shared" si="90"/>
        <v>164.75252707581228</v>
      </c>
      <c r="AT139" s="331">
        <f t="shared" si="90"/>
        <v>161.79436883980136</v>
      </c>
      <c r="AU139" s="227">
        <f t="shared" si="90"/>
        <v>161.37000000000003</v>
      </c>
      <c r="AV139" s="2657">
        <f t="shared" si="90"/>
        <v>165.89026063936126</v>
      </c>
      <c r="AW139" s="1070">
        <f t="shared" ref="AW139:BD139" si="92">+AW138/AW5</f>
        <v>164.44872946330779</v>
      </c>
      <c r="AX139" s="331">
        <f t="shared" si="92"/>
        <v>162.13391016951695</v>
      </c>
      <c r="AY139" s="227">
        <f t="shared" si="92"/>
        <v>161.37</v>
      </c>
      <c r="AZ139" s="2657">
        <f t="shared" si="92"/>
        <v>181.86603821856284</v>
      </c>
      <c r="BA139" s="1071">
        <f t="shared" si="92"/>
        <v>161.36999999999998</v>
      </c>
      <c r="BB139" s="430">
        <f t="shared" si="92"/>
        <v>167.30719692578947</v>
      </c>
      <c r="BC139" s="559">
        <f t="shared" si="92"/>
        <v>161.36999999999998</v>
      </c>
      <c r="BD139" s="559">
        <f t="shared" si="92"/>
        <v>163.41572352886743</v>
      </c>
      <c r="BE139" s="1070">
        <f t="shared" ref="BE139:BF139" si="93">+BE138/BE5</f>
        <v>164.18088</v>
      </c>
      <c r="BF139" s="331">
        <f t="shared" si="93"/>
        <v>163.71066732355314</v>
      </c>
      <c r="BG139" s="26"/>
      <c r="BH139" s="26"/>
      <c r="BI139" s="26"/>
      <c r="BJ139" s="26"/>
    </row>
    <row r="140" spans="1:62" ht="15" customHeight="1" x14ac:dyDescent="0.25">
      <c r="B140" s="9" t="s">
        <v>316</v>
      </c>
      <c r="C140" s="1069"/>
      <c r="D140" s="672" t="s">
        <v>308</v>
      </c>
      <c r="E140" s="131">
        <f>EMD!D34/(EMD!D2*24)</f>
        <v>1.2012976986693999</v>
      </c>
      <c r="F140" s="131">
        <f>EMD!E34/(EMD!E2*24)</f>
        <v>2.4259305555555555</v>
      </c>
      <c r="G140" s="131">
        <f>EMD!F34/(EMD!F2*24)</f>
        <v>1.20557268879143</v>
      </c>
      <c r="H140" s="131">
        <f>EMD!G34/(EMD!G2*24)</f>
        <v>2.0387096774193547</v>
      </c>
      <c r="I140" s="1070">
        <f t="shared" ref="I140:J142" si="94">+((E140*E$2)+(G140*G$2))/I$2</f>
        <v>1.2034702346330546</v>
      </c>
      <c r="J140" s="331">
        <f t="shared" si="94"/>
        <v>2.2291461748633878</v>
      </c>
      <c r="K140" s="131">
        <f>EMD!J34/(EMD!J2*24)</f>
        <v>1.3097075922935146</v>
      </c>
      <c r="L140" s="131">
        <f>EMD!K34/(EMD!K2*24)</f>
        <v>1.8070454353811805</v>
      </c>
      <c r="M140" s="1071">
        <f t="shared" ref="M140:N142" si="95">+((E140*E$2)+(G140*G$2)+(K140*K$2))/M$2</f>
        <v>1.2384935393562833</v>
      </c>
      <c r="N140" s="1071">
        <f t="shared" si="95"/>
        <v>2.0899920849241984</v>
      </c>
      <c r="O140" s="131">
        <f>EMD!N34/(EMD!N2*24)</f>
        <v>1.192197980799212</v>
      </c>
      <c r="P140" s="131">
        <f>EMD!O34/(EMD!O2*24)</f>
        <v>2.511776557035311</v>
      </c>
      <c r="Q140" s="1070">
        <f t="shared" ref="Q140:R142" si="96">+((M140*M$2)+(O140*O$2))/Q$2</f>
        <v>1.2267299138212895</v>
      </c>
      <c r="R140" s="1070">
        <f t="shared" si="96"/>
        <v>2.1971668278376781</v>
      </c>
      <c r="S140" s="131">
        <f>EMD!R34/(EMD!R2*24)</f>
        <v>1.192197980799212</v>
      </c>
      <c r="T140" s="2657">
        <f>EMD!S34/(EMD!S2*24)</f>
        <v>2.8684185032036171</v>
      </c>
      <c r="U140" s="1070">
        <f t="shared" ref="U140:U142" si="97">+((Q140*Q$2)+(S140*S$2))/U$2</f>
        <v>1.2197332476534177</v>
      </c>
      <c r="V140" s="1070">
        <f t="shared" ref="V140:V142" si="98">+((R140*R$2)+(T140*T$2))/V$2</f>
        <v>2.3331720692516917</v>
      </c>
      <c r="W140" s="131">
        <f>EMD!V34/(EMD!V2*24)</f>
        <v>1.1975560846255819</v>
      </c>
      <c r="X140" s="2657">
        <f>EMD!W34/(EMD!W2*24)</f>
        <v>2.8925972222222223</v>
      </c>
      <c r="Y140" s="1071">
        <f t="shared" ref="Y140:Z142" si="99">+((O140*O$2)+(S140*S$2)+(W140*W$2))/Y$2</f>
        <v>1.1939451885686805</v>
      </c>
      <c r="Z140" s="1071">
        <f t="shared" si="99"/>
        <v>2.7561300384138421</v>
      </c>
      <c r="AA140" s="3401">
        <f t="shared" ref="AA140:AB142" si="100">+((M140*M$2)+(Y140*Y$2))/AA$2</f>
        <v>1.2160976471570513</v>
      </c>
      <c r="AB140" s="3401">
        <f t="shared" si="100"/>
        <v>2.4248811107222705</v>
      </c>
      <c r="AC140" s="131">
        <f>EMD!AB34/(EMD!AB2*24)</f>
        <v>1.1885972119528569</v>
      </c>
      <c r="AD140" s="2657">
        <f>EMD!AC34/(EMD!AC2*24)</f>
        <v>2.0857336007757743</v>
      </c>
      <c r="AE140" s="1070">
        <f t="shared" ref="AE140:AE142" si="101">+((AA140*AA$2)+(AC140*AC$2))/AE$2</f>
        <v>1.2121139392536397</v>
      </c>
      <c r="AF140" s="1070">
        <f t="shared" ref="AF140:AF142" si="102">+((AB140*AB$2)+(AD140*AD$2))/AF$2</f>
        <v>2.3757522658234786</v>
      </c>
      <c r="AG140" s="131">
        <f>EMD!AF34/(EMD!AF2*24)</f>
        <v>1.1975560846255819</v>
      </c>
      <c r="AH140" s="2657">
        <f>EMD!AG34/(EMD!AG2*24)</f>
        <v>2.0801016296044037</v>
      </c>
      <c r="AI140" s="1070">
        <f t="shared" ref="AI140:AI142" si="103">+((AE140*AE$2)+(AG140*AG$2))/AI$2</f>
        <v>1.2103240390944525</v>
      </c>
      <c r="AJ140" s="1070">
        <f t="shared" ref="AJ140:AJ142" si="104">+((AF140*AF$2)+(AH140*AH$2))/AJ$2</f>
        <v>2.3394017777637561</v>
      </c>
      <c r="AK140" s="131">
        <f>EMD!AJ34/(EMD!AJ2*24)</f>
        <v>1.1885972119528569</v>
      </c>
      <c r="AL140" s="2657">
        <f>EMD!AK34/(EMD!AK2*24)</f>
        <v>2.0777078110617233</v>
      </c>
      <c r="AM140" s="1071">
        <f t="shared" ref="AM140:AM142" si="105">+((AC140*AC$2)+(AG140*AG$2)+(AK140*AK$2))/AM$2</f>
        <v>1.1915185834765716</v>
      </c>
      <c r="AN140" s="1071">
        <f t="shared" ref="AN140:AN142" si="106">+((AD140*AD$2)+(AH140*AH$2)+(AL140*AL$2))/AN$2</f>
        <v>2.0811927462510273</v>
      </c>
      <c r="AO140" s="1070">
        <f t="shared" ref="AO140:AP142" si="107">+((AK140*AK$2)+(AI140*AI$2))/AO$2</f>
        <v>1.2078748331257634</v>
      </c>
      <c r="AP140" s="1070">
        <f t="shared" si="107"/>
        <v>2.3099017306082543</v>
      </c>
      <c r="AQ140" s="131">
        <f>EMD!AP34/(EMD!AP2*24)</f>
        <v>1.1885972119528569</v>
      </c>
      <c r="AR140" s="2657">
        <f>EMD!AQ34/(EMD!AQ2*24)</f>
        <v>2.5416507066263123</v>
      </c>
      <c r="AS140" s="1070">
        <f t="shared" ref="AS140:AS142" si="108">+((AO140*AO$2)+(AQ140*AQ$2))/AS$2</f>
        <v>1.2059218715036715</v>
      </c>
      <c r="AT140" s="1070">
        <f t="shared" ref="AT140:AT142" si="109">+((AP140*AP$2)+(AR140*AR$2))/AT$2</f>
        <v>2.3333795680479925</v>
      </c>
      <c r="AU140" s="131">
        <f>EMD!AT34/(EMD!AT2*24)</f>
        <v>1.2081614367808149</v>
      </c>
      <c r="AV140" s="2657">
        <f>EMD!AU34/(EMD!AU2*24)</f>
        <v>2.039474172418644</v>
      </c>
      <c r="AW140" s="1070">
        <f t="shared" ref="AW140:AW142" si="110">+((AS140*AS$2)+(AU140*AU$2))/AW$2</f>
        <v>1.2061157443187078</v>
      </c>
      <c r="AX140" s="1070">
        <f t="shared" ref="AX140:AX142" si="111">+((AT140*AT$2)+(AV140*AV$2))/AX$2</f>
        <v>2.3079370114114219</v>
      </c>
      <c r="AY140" s="131">
        <f>EMD!AX34/(EMD!AX2*24)</f>
        <v>1.1885972119528569</v>
      </c>
      <c r="AZ140" s="2657">
        <f>EMD!AY34/(EMD!AY2*24)</f>
        <v>2.1714955399842748</v>
      </c>
      <c r="BA140" s="1071">
        <f t="shared" ref="BA140:BA142" si="112">+((AQ140*AQ$2)+(AU140*AU$2)+(AY140*AY$2))/BA$2</f>
        <v>1.1948319649200083</v>
      </c>
      <c r="BB140" s="1071">
        <f t="shared" ref="BB140:BB142" si="113">+((AR140*AR$2)+(AV140*AV$2)+(AZ140*AZ$2))/BB$2</f>
        <v>2.2555196114842735</v>
      </c>
      <c r="BC140" s="3401">
        <f t="shared" ref="BC140:BD142" si="114">+((AM140*AM$2)+(BA140*BA$2))/BC$2</f>
        <v>0.59658311062176328</v>
      </c>
      <c r="BD140" s="3401">
        <f t="shared" si="114"/>
        <v>1.0839399379785886</v>
      </c>
      <c r="BE140" s="1070">
        <f t="shared" ref="BE140:BE142" si="115">+((AW140*AW$2)+(AY140*AY$2))/BE$2</f>
        <v>1.2046319342002887</v>
      </c>
      <c r="BF140" s="1070">
        <f t="shared" ref="BF140:BF142" si="116">+((AX140*AX$2)+(AZ140*AZ$2))/BF$2</f>
        <v>2.2963804933397238</v>
      </c>
      <c r="BG140" s="26"/>
      <c r="BH140" s="26"/>
      <c r="BI140" s="26"/>
      <c r="BJ140" s="26"/>
    </row>
    <row r="141" spans="1:62" x14ac:dyDescent="0.25">
      <c r="B141" s="9" t="s">
        <v>317</v>
      </c>
      <c r="C141" s="1069"/>
      <c r="D141" s="672" t="s">
        <v>308</v>
      </c>
      <c r="E141" s="1706">
        <f>+EMD!D64/(EMD!D2*24)</f>
        <v>4.9971765598160607</v>
      </c>
      <c r="F141" s="1706">
        <f>+EMD!E64/(EMD!E2*24)</f>
        <v>3.9142734064771956</v>
      </c>
      <c r="G141" s="1706">
        <f>+EMD!F64/(EMD!F2*24)</f>
        <v>4.0434205077089977</v>
      </c>
      <c r="H141" s="1706">
        <f>+EMD!G64/(EMD!G2*24)</f>
        <v>2.544975576912532</v>
      </c>
      <c r="I141" s="961">
        <f t="shared" si="94"/>
        <v>4.5124808612042742</v>
      </c>
      <c r="J141" s="451">
        <f t="shared" si="94"/>
        <v>3.2184007389935139</v>
      </c>
      <c r="K141" s="1706">
        <f>+EMD!J64/(EMD!J2*24)</f>
        <v>3.8128778895766655</v>
      </c>
      <c r="L141" s="1706">
        <f>+EMD!K64/(EMD!K2*24)</f>
        <v>4.4063906522756993</v>
      </c>
      <c r="M141" s="1071">
        <f t="shared" si="95"/>
        <v>4.2818425189094578</v>
      </c>
      <c r="N141" s="1071">
        <f t="shared" si="95"/>
        <v>3.6100457653502782</v>
      </c>
      <c r="O141" s="1706">
        <f>+EMD!N64/(EMD!N2*24)</f>
        <v>4.9485467351332195</v>
      </c>
      <c r="P141" s="1706">
        <f>+EMD!O64/(EMD!O2*24)</f>
        <v>3.8719275701019344</v>
      </c>
      <c r="Q141" s="1070">
        <f t="shared" si="96"/>
        <v>4.4512509672941842</v>
      </c>
      <c r="R141" s="1070">
        <f t="shared" si="96"/>
        <v>3.6765895026232402</v>
      </c>
      <c r="S141" s="1706">
        <f>+EMD!R64/(EMD!R2*24)</f>
        <v>4.9485467351332195</v>
      </c>
      <c r="T141" s="2658">
        <f>+EMD!S64/(EMD!S2*24)</f>
        <v>3.9437546227039282</v>
      </c>
      <c r="U141" s="1070">
        <f t="shared" si="97"/>
        <v>4.5520102405164717</v>
      </c>
      <c r="V141" s="1070">
        <f t="shared" si="98"/>
        <v>3.7307209975415492</v>
      </c>
      <c r="W141" s="1706">
        <f>+EMD!V64/(EMD!V2*24)</f>
        <v>4.9991603509699116</v>
      </c>
      <c r="X141" s="2658">
        <f>+EMD!W64/(EMD!W2*24)</f>
        <v>3.4659722222222222</v>
      </c>
      <c r="Y141" s="1071">
        <f t="shared" si="99"/>
        <v>4.9650511750799664</v>
      </c>
      <c r="Z141" s="1071">
        <f t="shared" si="99"/>
        <v>3.7637534200396567</v>
      </c>
      <c r="AA141" s="3401">
        <f t="shared" si="100"/>
        <v>4.6253135373121177</v>
      </c>
      <c r="AB141" s="3401">
        <f t="shared" si="100"/>
        <v>3.6873195589646111</v>
      </c>
      <c r="AC141" s="1706">
        <f>+EMD!AB64/(EMD!AB2*24)</f>
        <v>4.9504558506381349</v>
      </c>
      <c r="AD141" s="2658">
        <f>+EMD!AC64/(EMD!AC2*24)</f>
        <v>2.5975343381540918</v>
      </c>
      <c r="AE141" s="1070">
        <f t="shared" si="101"/>
        <v>4.6724135920462606</v>
      </c>
      <c r="AF141" s="1070">
        <f t="shared" si="102"/>
        <v>3.5294534755761711</v>
      </c>
      <c r="AG141" s="1706">
        <f>+EMD!AF64/(EMD!AF2*24)</f>
        <v>4.9991603509699116</v>
      </c>
      <c r="AH141" s="2658">
        <f>+EMD!AG64/(EMD!AG2*24)</f>
        <v>2.9916773585527436</v>
      </c>
      <c r="AI141" s="1070">
        <f t="shared" si="103"/>
        <v>4.712587373881135</v>
      </c>
      <c r="AJ141" s="1070">
        <f t="shared" si="104"/>
        <v>3.4633334611880446</v>
      </c>
      <c r="AK141" s="1706">
        <f>+EMD!AJ64/(EMD!AJ2*24)</f>
        <v>4.9504558506381349</v>
      </c>
      <c r="AL141" s="2658">
        <f>+EMD!AK64/(EMD!AK2*24)</f>
        <v>2.7396766959027805</v>
      </c>
      <c r="AM141" s="1071">
        <f t="shared" si="105"/>
        <v>4.9663377529202366</v>
      </c>
      <c r="AN141" s="1071">
        <f t="shared" si="106"/>
        <v>2.7739550305689713</v>
      </c>
      <c r="AO141" s="1070">
        <f t="shared" si="107"/>
        <v>4.7394016385337423</v>
      </c>
      <c r="AP141" s="1070">
        <f t="shared" si="107"/>
        <v>3.3817576076467968</v>
      </c>
      <c r="AQ141" s="1706">
        <f>+EMD!AP64/(EMD!AP2*24)</f>
        <v>4.9504558506381349</v>
      </c>
      <c r="AR141" s="2658">
        <f>+EMD!AQ64/(EMD!AQ2*24)</f>
        <v>3.606021511589903</v>
      </c>
      <c r="AS141" s="1070">
        <f t="shared" si="108"/>
        <v>4.7607829476031407</v>
      </c>
      <c r="AT141" s="1070">
        <f t="shared" si="109"/>
        <v>3.404477153471098</v>
      </c>
      <c r="AU141" s="1706">
        <f>+EMD!AT64/(EMD!AT2*24)</f>
        <v>4.9821092331631238</v>
      </c>
      <c r="AV141" s="2658">
        <f>+EMD!AU64/(EMD!AU2*24)</f>
        <v>3.186432392993154</v>
      </c>
      <c r="AW141" s="1070">
        <f t="shared" si="110"/>
        <v>4.7799425365023636</v>
      </c>
      <c r="AX141" s="1070">
        <f t="shared" si="111"/>
        <v>3.3856016368924102</v>
      </c>
      <c r="AY141" s="1706">
        <f>+EMD!AX64/(EMD!AX2*24)</f>
        <v>4.9504558506381349</v>
      </c>
      <c r="AZ141" s="2658">
        <f>+EMD!AY64/(EMD!AY2*24)</f>
        <v>2.9383554264678224</v>
      </c>
      <c r="BA141" s="1071">
        <f t="shared" si="112"/>
        <v>4.9605431923219232</v>
      </c>
      <c r="BB141" s="1071">
        <f t="shared" si="113"/>
        <v>3.2448596096328677</v>
      </c>
      <c r="BC141" s="3401">
        <f t="shared" si="114"/>
        <v>2.481728152376931</v>
      </c>
      <c r="BD141" s="3401">
        <f t="shared" si="114"/>
        <v>1.5040603477839791</v>
      </c>
      <c r="BE141" s="1070">
        <f t="shared" si="115"/>
        <v>4.7943849210329894</v>
      </c>
      <c r="BF141" s="1070">
        <f t="shared" si="116"/>
        <v>3.3477201272662844</v>
      </c>
      <c r="BG141" s="26"/>
      <c r="BH141" s="26"/>
      <c r="BI141" s="26"/>
      <c r="BJ141" s="26"/>
    </row>
    <row r="142" spans="1:62" x14ac:dyDescent="0.25">
      <c r="B142" s="9" t="s">
        <v>640</v>
      </c>
      <c r="C142" s="1069"/>
      <c r="D142" s="672" t="s">
        <v>308</v>
      </c>
      <c r="E142" s="1706">
        <f>EMD!D99/(EMD!D2*24)</f>
        <v>1.0294168979771232</v>
      </c>
      <c r="F142" s="1706">
        <f>+EMD!E99/(EMD!E2*24)</f>
        <v>0.99583059787233719</v>
      </c>
      <c r="G142" s="1706">
        <f>EMD!F99/(EMD!F2*24)</f>
        <v>0.75824840981951969</v>
      </c>
      <c r="H142" s="1706">
        <f>+EMD!G99/(EMD!G2*24)</f>
        <v>0.8815641279679699</v>
      </c>
      <c r="I142" s="961">
        <f t="shared" si="94"/>
        <v>0.89160996137243942</v>
      </c>
      <c r="J142" s="451">
        <f t="shared" si="94"/>
        <v>0.93776075251110136</v>
      </c>
      <c r="K142" s="1706">
        <f>EMD!J99/(EMD!J2*24)</f>
        <v>0.65972744329988708</v>
      </c>
      <c r="L142" s="1706">
        <f>+EMD!K99/(EMD!K2*24)</f>
        <v>0.79853236455420595</v>
      </c>
      <c r="M142" s="1071">
        <f t="shared" si="95"/>
        <v>0.81516517519467491</v>
      </c>
      <c r="N142" s="1071">
        <f t="shared" si="95"/>
        <v>0.8918612839538832</v>
      </c>
      <c r="O142" s="1706">
        <f>EMD!N99/(EMD!N2*24)</f>
        <v>1.0185706231064069</v>
      </c>
      <c r="P142" s="1706">
        <f>+EMD!O99/(EMD!O2*24)</f>
        <v>0.71466829879388982</v>
      </c>
      <c r="Q142" s="1070">
        <f t="shared" si="96"/>
        <v>0.86685016605749199</v>
      </c>
      <c r="R142" s="1070">
        <f t="shared" si="96"/>
        <v>0.84683683690503242</v>
      </c>
      <c r="S142" s="1706">
        <f>EMD!R99/(EMD!R2*24)</f>
        <v>1.0185706231064069</v>
      </c>
      <c r="T142" s="2658">
        <f>+EMD!S99/(EMD!S2*24)</f>
        <v>1.0852390744422893</v>
      </c>
      <c r="U142" s="1070">
        <f t="shared" si="97"/>
        <v>0.89759091225694543</v>
      </c>
      <c r="V142" s="1070">
        <f t="shared" si="98"/>
        <v>0.89514055823611061</v>
      </c>
      <c r="W142" s="1706">
        <f>EMD!V99/(EMD!V2*24)</f>
        <v>1.0311747208670905</v>
      </c>
      <c r="X142" s="2658">
        <f>+EMD!W99/(EMD!W2*24)</f>
        <v>0.97356666666666658</v>
      </c>
      <c r="Y142" s="1071">
        <f t="shared" si="99"/>
        <v>1.0226806549848906</v>
      </c>
      <c r="Z142" s="1071">
        <f t="shared" si="99"/>
        <v>0.92395791924262549</v>
      </c>
      <c r="AA142" s="3401">
        <f t="shared" si="100"/>
        <v>0.91948989727500208</v>
      </c>
      <c r="AB142" s="3401">
        <f t="shared" si="100"/>
        <v>0.90799729732308698</v>
      </c>
      <c r="AC142" s="1706">
        <f>EMD!AB99/(EMD!AB2*24)</f>
        <v>1.0202622764478475</v>
      </c>
      <c r="AD142" s="2658">
        <f>+EMD!AC99/(EMD!AC2*24)</f>
        <v>0.82721757464333423</v>
      </c>
      <c r="AE142" s="1070">
        <f t="shared" si="101"/>
        <v>0.93408776528602167</v>
      </c>
      <c r="AF142" s="1070">
        <f t="shared" si="102"/>
        <v>0.89629556179471159</v>
      </c>
      <c r="AG142" s="1706">
        <f>EMD!AF99/(EMD!AF2*24)</f>
        <v>1.0311747208670905</v>
      </c>
      <c r="AH142" s="2658">
        <f>+EMD!AG99/(EMD!AG2*24)</f>
        <v>0.73574139720729703</v>
      </c>
      <c r="AI142" s="1070">
        <f t="shared" si="103"/>
        <v>0.94602468605418588</v>
      </c>
      <c r="AJ142" s="1070">
        <f t="shared" si="104"/>
        <v>0.87655529565691459</v>
      </c>
      <c r="AK142" s="1706">
        <f>EMD!AJ99/(EMD!AJ2*24)</f>
        <v>1.0202622764478475</v>
      </c>
      <c r="AL142" s="2658">
        <f>+EMD!AK99/(EMD!AK2*24)</f>
        <v>0.64157954176673515</v>
      </c>
      <c r="AM142" s="1071">
        <f t="shared" si="105"/>
        <v>1.0238206822367311</v>
      </c>
      <c r="AN142" s="1071">
        <f t="shared" si="106"/>
        <v>0.73483644048838115</v>
      </c>
      <c r="AO142" s="1070">
        <f t="shared" si="107"/>
        <v>0.95439328715310778</v>
      </c>
      <c r="AP142" s="1070">
        <f t="shared" si="107"/>
        <v>0.85006711976383986</v>
      </c>
      <c r="AQ142" s="1706">
        <f>EMD!AP99/(EMD!AP2*24)</f>
        <v>1.0202622764478475</v>
      </c>
      <c r="AR142" s="2658">
        <f>+EMD!AQ99/(EMD!AQ2*24)</f>
        <v>0.69680359765155142</v>
      </c>
      <c r="AS142" s="1070">
        <f t="shared" si="108"/>
        <v>0.96106628933656191</v>
      </c>
      <c r="AT142" s="1070">
        <f t="shared" si="109"/>
        <v>0.83454042307926157</v>
      </c>
      <c r="AU142" s="1706">
        <f>EMD!AT99/(EMD!AT2*24)</f>
        <v>1.0229594496901209</v>
      </c>
      <c r="AV142" s="2658">
        <f>+EMD!AU99/(EMD!AU2*24)</f>
        <v>0.66582351394759609</v>
      </c>
      <c r="AW142" s="1070">
        <f t="shared" si="110"/>
        <v>0.96642420471045198</v>
      </c>
      <c r="AX142" s="1070">
        <f t="shared" si="111"/>
        <v>0.81993507870666971</v>
      </c>
      <c r="AY142" s="1706">
        <f>EMD!AX99/(EMD!AX2*24)</f>
        <v>1.0202622764478475</v>
      </c>
      <c r="AZ142" s="2658">
        <f>+EMD!AY99/(EMD!AY2*24)</f>
        <v>0.5858103119976481</v>
      </c>
      <c r="BA142" s="1071">
        <f t="shared" si="112"/>
        <v>1.0211218151734072</v>
      </c>
      <c r="BB142" s="1071">
        <f t="shared" si="113"/>
        <v>0.64911992421544473</v>
      </c>
      <c r="BC142" s="3401">
        <f t="shared" si="114"/>
        <v>0.51123931132939704</v>
      </c>
      <c r="BD142" s="3401">
        <f t="shared" si="114"/>
        <v>0.34610619024190309</v>
      </c>
      <c r="BE142" s="1070">
        <f t="shared" si="115"/>
        <v>0.97098425996689808</v>
      </c>
      <c r="BF142" s="1070">
        <f t="shared" si="116"/>
        <v>0.80010483890344652</v>
      </c>
      <c r="BG142" s="26"/>
      <c r="BH142" s="26"/>
      <c r="BI142" s="26"/>
      <c r="BJ142" s="26"/>
    </row>
    <row r="143" spans="1:62" ht="15.75" thickBot="1" x14ac:dyDescent="0.3">
      <c r="B143" s="12" t="s">
        <v>319</v>
      </c>
      <c r="C143" s="1076"/>
      <c r="D143" s="912" t="s">
        <v>559</v>
      </c>
      <c r="E143" s="1706">
        <f>+E125/E135</f>
        <v>78.703703703703709</v>
      </c>
      <c r="F143" s="1706">
        <f t="shared" ref="F143:AB143" si="117">+F125/F135</f>
        <v>76.683008797074251</v>
      </c>
      <c r="G143" s="1706">
        <f>+G125/G135</f>
        <v>79.347826086956516</v>
      </c>
      <c r="H143" s="1706">
        <f t="shared" ref="H143" si="118">+H125/H135</f>
        <v>72.260085047695682</v>
      </c>
      <c r="I143" s="961">
        <f t="shared" si="117"/>
        <v>79</v>
      </c>
      <c r="J143" s="451">
        <f t="shared" si="117"/>
        <v>74.637953023700732</v>
      </c>
      <c r="K143" s="1706">
        <f>+K125/K135</f>
        <v>77.272727272727266</v>
      </c>
      <c r="L143" s="1706">
        <f t="shared" ref="L143" si="119">+L125/L135</f>
        <v>80.911299227088747</v>
      </c>
      <c r="M143" s="1075">
        <f>+M125/M135</f>
        <v>78.472222222222229</v>
      </c>
      <c r="N143" s="453">
        <f>+N125/N135</f>
        <v>76.53398346249395</v>
      </c>
      <c r="O143" s="1706">
        <f>+O125/O135</f>
        <v>77.678571428571431</v>
      </c>
      <c r="P143" s="1706">
        <f t="shared" ref="P143" si="120">+P125/P135</f>
        <v>76.191610192879693</v>
      </c>
      <c r="Q143" s="961">
        <f t="shared" si="117"/>
        <v>78.25</v>
      </c>
      <c r="R143" s="451">
        <f t="shared" si="117"/>
        <v>76.435627829947649</v>
      </c>
      <c r="S143" s="1706">
        <f>+S125/S135</f>
        <v>77.678571428571431</v>
      </c>
      <c r="T143" s="2658">
        <f t="shared" ref="T143:V143" si="121">+T125/T135</f>
        <v>86.908514179831059</v>
      </c>
      <c r="U143" s="961">
        <f t="shared" si="121"/>
        <v>78.125</v>
      </c>
      <c r="V143" s="2581">
        <f t="shared" si="121"/>
        <v>78.72972158586667</v>
      </c>
      <c r="W143" s="1706">
        <f>+W125/W135</f>
        <v>78.703703703703709</v>
      </c>
      <c r="X143" s="2658">
        <f t="shared" ref="X143" si="122">+X125/X135</f>
        <v>81.43559793284777</v>
      </c>
      <c r="Y143" s="1075">
        <f t="shared" si="117"/>
        <v>78.01204819277109</v>
      </c>
      <c r="Z143" s="3402">
        <f t="shared" si="117"/>
        <v>81.468932038834922</v>
      </c>
      <c r="AA143" s="962">
        <f t="shared" si="117"/>
        <v>78.225806451612897</v>
      </c>
      <c r="AB143" s="588">
        <f t="shared" si="117"/>
        <v>79.231462947189073</v>
      </c>
      <c r="AC143" s="1706">
        <f>+AC125/AC135</f>
        <v>77.678571428571431</v>
      </c>
      <c r="AD143" s="2658">
        <f t="shared" ref="AD143:AF143" si="123">+AD125/AD135</f>
        <v>78.370991387209074</v>
      </c>
      <c r="AE143" s="961">
        <f t="shared" si="123"/>
        <v>78.142076502732237</v>
      </c>
      <c r="AF143" s="3313">
        <f t="shared" si="123"/>
        <v>79.098059093707079</v>
      </c>
      <c r="AG143" s="1706">
        <f>+AG125/AG135</f>
        <v>78.703703703703709</v>
      </c>
      <c r="AH143" s="2658">
        <f t="shared" ref="AH143:AJ143" si="124">+AH125/AH135</f>
        <v>79.637604245640674</v>
      </c>
      <c r="AI143" s="961">
        <f t="shared" si="124"/>
        <v>78.214285714285708</v>
      </c>
      <c r="AJ143" s="3313">
        <f t="shared" si="124"/>
        <v>79.165828665118227</v>
      </c>
      <c r="AK143" s="1706">
        <f>+AK125/AK135</f>
        <v>77.678571428571431</v>
      </c>
      <c r="AL143" s="2658">
        <f t="shared" ref="AL143:AP143" si="125">+AL125/AL135</f>
        <v>79.053315994798439</v>
      </c>
      <c r="AM143" s="1075">
        <f t="shared" si="125"/>
        <v>78.01204819277109</v>
      </c>
      <c r="AN143" s="3402">
        <f t="shared" si="125"/>
        <v>79.004534500253669</v>
      </c>
      <c r="AO143" s="961">
        <f t="shared" si="125"/>
        <v>78.151260504201687</v>
      </c>
      <c r="AP143" s="3313">
        <f t="shared" si="125"/>
        <v>79.152837146958873</v>
      </c>
      <c r="AQ143" s="1706">
        <f>+AQ125/AQ135</f>
        <v>77.678571428571431</v>
      </c>
      <c r="AR143" s="2658">
        <f t="shared" ref="AR143" si="126">+AR125/AR135</f>
        <v>79.7343152140905</v>
      </c>
      <c r="AS143" s="961">
        <f t="shared" ref="AS143:AT143" si="127">+AS125/AS135</f>
        <v>78.101503759398497</v>
      </c>
      <c r="AT143" s="3313">
        <f t="shared" si="127"/>
        <v>79.215415411162596</v>
      </c>
      <c r="AU143" s="1706">
        <f>+AU125/AU135</f>
        <v>78.84615384615384</v>
      </c>
      <c r="AV143" s="2658">
        <f t="shared" ref="AV143:AX143" si="128">+AV125/AV135</f>
        <v>79.03233857840479</v>
      </c>
      <c r="AW143" s="961">
        <f t="shared" si="128"/>
        <v>78.167808219178085</v>
      </c>
      <c r="AX143" s="3313">
        <f t="shared" si="128"/>
        <v>79.200245480785696</v>
      </c>
      <c r="AY143" s="1706">
        <f>+AY125/AY135</f>
        <v>77.678571428571431</v>
      </c>
      <c r="AZ143" s="2658">
        <f t="shared" ref="AZ143:BF143" si="129">+AZ125/AZ135</f>
        <v>71.423318245668781</v>
      </c>
      <c r="BA143" s="1075">
        <f t="shared" si="129"/>
        <v>78.048780487804876</v>
      </c>
      <c r="BB143" s="3402">
        <f t="shared" si="129"/>
        <v>76.649886621315218</v>
      </c>
      <c r="BC143" s="962">
        <f t="shared" si="129"/>
        <v>78.030303030303031</v>
      </c>
      <c r="BD143" s="3401">
        <f t="shared" si="129"/>
        <v>77.839775021632548</v>
      </c>
      <c r="BE143" s="961">
        <f t="shared" si="129"/>
        <v>78.125</v>
      </c>
      <c r="BF143" s="3313">
        <f t="shared" si="129"/>
        <v>78.518930116554486</v>
      </c>
      <c r="BG143" s="26"/>
      <c r="BH143" s="26"/>
      <c r="BI143" s="26"/>
      <c r="BJ143" s="26"/>
    </row>
    <row r="144" spans="1:62" s="183" customFormat="1" ht="15.75" thickBot="1" x14ac:dyDescent="0.3">
      <c r="B144" s="1311"/>
      <c r="C144" s="1312"/>
      <c r="D144" s="1312"/>
      <c r="E144" s="1312"/>
      <c r="F144" s="1312"/>
      <c r="G144" s="1312"/>
      <c r="H144" s="1312"/>
      <c r="I144" s="1312"/>
      <c r="J144" s="1312"/>
      <c r="K144" s="1312"/>
      <c r="L144" s="1312"/>
      <c r="M144" s="1312"/>
      <c r="N144" s="1312"/>
      <c r="O144" s="1312"/>
      <c r="P144" s="1312"/>
      <c r="Q144" s="1312"/>
      <c r="R144" s="1312"/>
      <c r="S144" s="1312"/>
      <c r="T144" s="2665"/>
      <c r="U144" s="1312"/>
      <c r="V144" s="1312"/>
      <c r="W144" s="1312"/>
      <c r="X144" s="2665"/>
      <c r="Y144" s="1313"/>
      <c r="Z144" s="1313"/>
      <c r="AA144" s="1313"/>
      <c r="AB144" s="1313"/>
      <c r="AC144" s="1312"/>
      <c r="AD144" s="2665"/>
      <c r="AE144" s="1312"/>
      <c r="AF144" s="1312"/>
      <c r="AG144" s="1312"/>
      <c r="AH144" s="2665"/>
      <c r="AI144" s="1312"/>
      <c r="AJ144" s="1312"/>
      <c r="AK144" s="1312"/>
      <c r="AL144" s="2665"/>
      <c r="AM144" s="1313"/>
      <c r="AN144" s="1313"/>
      <c r="AO144" s="1312"/>
      <c r="AP144" s="1312"/>
      <c r="AQ144" s="1312"/>
      <c r="AR144" s="2665"/>
      <c r="AS144" s="1312"/>
      <c r="AT144" s="1312"/>
      <c r="AU144" s="1312"/>
      <c r="AV144" s="2665"/>
      <c r="AW144" s="1312"/>
      <c r="AX144" s="1312"/>
      <c r="AY144" s="1312"/>
      <c r="AZ144" s="2665"/>
      <c r="BA144" s="1313"/>
      <c r="BB144" s="1313"/>
      <c r="BC144" s="1313"/>
      <c r="BD144" s="1313"/>
      <c r="BE144" s="1312"/>
      <c r="BF144" s="1312"/>
      <c r="BG144" s="26"/>
      <c r="BH144" s="26"/>
      <c r="BI144" s="26"/>
      <c r="BJ144" s="26"/>
    </row>
    <row r="145" spans="2:62" ht="15.75" thickBot="1" x14ac:dyDescent="0.3">
      <c r="B145" s="1314" t="s">
        <v>832</v>
      </c>
      <c r="C145" s="1315"/>
      <c r="D145" s="988" t="s">
        <v>52</v>
      </c>
      <c r="E145" s="1315"/>
      <c r="F145" s="1316">
        <v>322.69599999999991</v>
      </c>
      <c r="G145" s="1315"/>
      <c r="H145" s="1316">
        <v>316.70999999999998</v>
      </c>
      <c r="I145" s="1317"/>
      <c r="J145" s="1318">
        <f>+F145+H145</f>
        <v>639.40599999999995</v>
      </c>
      <c r="K145" s="1315"/>
      <c r="L145" s="1316">
        <v>279.44999999999993</v>
      </c>
      <c r="M145" s="1319"/>
      <c r="N145" s="745">
        <f>+F145+H145+L145</f>
        <v>918.85599999999988</v>
      </c>
      <c r="O145" s="1315"/>
      <c r="P145" s="1316">
        <v>231.83999999999992</v>
      </c>
      <c r="Q145" s="1317"/>
      <c r="R145" s="449">
        <f>+N145+P145</f>
        <v>1150.6959999999999</v>
      </c>
      <c r="S145" s="2083"/>
      <c r="T145" s="2666">
        <v>378.80999999999977</v>
      </c>
      <c r="U145" s="1317"/>
      <c r="V145" s="449">
        <f>+R145+T145</f>
        <v>1529.5059999999996</v>
      </c>
      <c r="W145" s="2083"/>
      <c r="X145" s="2666">
        <v>244.26</v>
      </c>
      <c r="Y145" s="1320"/>
      <c r="Z145" s="102">
        <f>P145+T145+X145</f>
        <v>854.90999999999963</v>
      </c>
      <c r="AA145" s="1321"/>
      <c r="AB145" s="550">
        <f>N145+Z145</f>
        <v>1773.7659999999996</v>
      </c>
      <c r="AC145" s="2083"/>
      <c r="AD145" s="2666">
        <v>314.63999999999982</v>
      </c>
      <c r="AE145" s="1317"/>
      <c r="AF145" s="449">
        <f>+AB145+AD145</f>
        <v>2088.4059999999995</v>
      </c>
      <c r="AG145" s="2083"/>
      <c r="AH145" s="2666">
        <v>215.27999999999994</v>
      </c>
      <c r="AI145" s="1317"/>
      <c r="AJ145" s="449">
        <f>+AF145+AH145</f>
        <v>2303.6859999999992</v>
      </c>
      <c r="AK145" s="2083"/>
      <c r="AL145" s="2666">
        <v>300.14999999999992</v>
      </c>
      <c r="AM145" s="1320"/>
      <c r="AN145" s="102">
        <f>AD145+AH145+AL145</f>
        <v>830.06999999999971</v>
      </c>
      <c r="AO145" s="1317"/>
      <c r="AP145" s="449">
        <f>+AL145+AJ145</f>
        <v>2603.8359999999993</v>
      </c>
      <c r="AQ145" s="2083"/>
      <c r="AR145" s="2666">
        <v>349.82999999999993</v>
      </c>
      <c r="AS145" s="1317"/>
      <c r="AT145" s="449">
        <f>+AP145+AR145</f>
        <v>2953.6659999999993</v>
      </c>
      <c r="AU145" s="2083"/>
      <c r="AV145" s="2666">
        <v>349.82999999999964</v>
      </c>
      <c r="AW145" s="1317"/>
      <c r="AX145" s="449">
        <f>+AT145+AV145</f>
        <v>3303.4959999999987</v>
      </c>
      <c r="AY145" s="2083"/>
      <c r="AZ145" s="2666">
        <v>333.26999999999987</v>
      </c>
      <c r="BA145" s="1320"/>
      <c r="BB145" s="102">
        <f>AR145+AV145+AZ145</f>
        <v>1032.9299999999994</v>
      </c>
      <c r="BC145" s="1321"/>
      <c r="BD145" s="550">
        <f>AN145+BB145</f>
        <v>1862.9999999999991</v>
      </c>
      <c r="BE145" s="1317"/>
      <c r="BF145" s="449">
        <f>+AX145+AZ145</f>
        <v>3636.7659999999987</v>
      </c>
      <c r="BG145" s="26"/>
      <c r="BH145" s="26"/>
      <c r="BI145" s="26"/>
      <c r="BJ145" s="26"/>
    </row>
    <row r="146" spans="2:62" x14ac:dyDescent="0.25">
      <c r="B146" s="1322" t="s">
        <v>833</v>
      </c>
      <c r="C146" s="336"/>
      <c r="D146" s="193" t="s">
        <v>52</v>
      </c>
      <c r="E146" s="336"/>
      <c r="F146" s="442">
        <v>776.19915000000572</v>
      </c>
      <c r="G146" s="336"/>
      <c r="H146" s="442">
        <v>649.41</v>
      </c>
      <c r="I146" s="1077"/>
      <c r="J146" s="443">
        <f>+F146+H146</f>
        <v>1425.6091500000057</v>
      </c>
      <c r="K146" s="336"/>
      <c r="L146" s="442">
        <v>665.06999999999778</v>
      </c>
      <c r="M146" s="1078"/>
      <c r="N146" s="3578">
        <f>+F146+H146+L146</f>
        <v>2090.6791500000036</v>
      </c>
      <c r="O146" s="336"/>
      <c r="P146" s="442">
        <v>685.80500000000063</v>
      </c>
      <c r="Q146" s="1077"/>
      <c r="R146" s="3577">
        <f>+N146+P146</f>
        <v>2776.4841500000043</v>
      </c>
      <c r="S146" s="774"/>
      <c r="T146" s="2667">
        <v>736.61399999999969</v>
      </c>
      <c r="U146" s="1077"/>
      <c r="V146" s="3577">
        <f>+R146+T146</f>
        <v>3513.0981500000039</v>
      </c>
      <c r="W146" s="774"/>
      <c r="X146" s="2667">
        <v>713.7489999999998</v>
      </c>
      <c r="Y146" s="1079"/>
      <c r="Z146" s="98">
        <f>P146+T146+X146</f>
        <v>2136.1680000000001</v>
      </c>
      <c r="AA146" s="1080"/>
      <c r="AB146" s="546">
        <f>N146+Z146</f>
        <v>4226.8471500000032</v>
      </c>
      <c r="AC146" s="774"/>
      <c r="AD146" s="2667">
        <v>679.57299999999907</v>
      </c>
      <c r="AE146" s="1077"/>
      <c r="AF146" s="3615">
        <f>+AB146+AD146</f>
        <v>4906.4201500000026</v>
      </c>
      <c r="AG146" s="774"/>
      <c r="AH146" s="2667">
        <v>611.43299999999954</v>
      </c>
      <c r="AI146" s="1077"/>
      <c r="AJ146" s="3615">
        <f>+AF146+AH146</f>
        <v>5517.8531500000026</v>
      </c>
      <c r="AK146" s="774"/>
      <c r="AL146" s="2667">
        <v>567.43399999999951</v>
      </c>
      <c r="AM146" s="1079"/>
      <c r="AN146" s="98">
        <f>AD146+AH146+AL146</f>
        <v>1858.439999999998</v>
      </c>
      <c r="AO146" s="1077"/>
      <c r="AP146" s="449">
        <f>+AL146+AJ146</f>
        <v>6085.2871500000019</v>
      </c>
      <c r="AQ146" s="774"/>
      <c r="AR146" s="2667">
        <v>597.8809999999994</v>
      </c>
      <c r="AS146" s="1077"/>
      <c r="AT146" s="3615">
        <f>+AP146+AR146</f>
        <v>6683.1681500000013</v>
      </c>
      <c r="AU146" s="774"/>
      <c r="AV146" s="2667">
        <v>497.92099999999959</v>
      </c>
      <c r="AW146" s="1077"/>
      <c r="AX146" s="3615">
        <f>+AT146+AV146</f>
        <v>7181.0891500000007</v>
      </c>
      <c r="AY146" s="774"/>
      <c r="AZ146" s="2667">
        <v>522.34199999999976</v>
      </c>
      <c r="BA146" s="1079"/>
      <c r="BB146" s="98">
        <f>AR146+AV146+AZ146</f>
        <v>1618.1439999999989</v>
      </c>
      <c r="BC146" s="1080"/>
      <c r="BD146" s="546">
        <f>AN146+BB146</f>
        <v>3476.5839999999971</v>
      </c>
      <c r="BE146" s="1077"/>
      <c r="BF146" s="3615">
        <f>+AX146+AZ146</f>
        <v>7703.4311500000003</v>
      </c>
      <c r="BG146" s="26"/>
      <c r="BH146" s="26"/>
      <c r="BI146" s="26"/>
      <c r="BJ146" s="26"/>
    </row>
    <row r="147" spans="2:62" x14ac:dyDescent="0.25">
      <c r="B147" s="1323" t="s">
        <v>856</v>
      </c>
      <c r="C147" s="774"/>
      <c r="D147" s="242" t="s">
        <v>52</v>
      </c>
      <c r="E147" s="774"/>
      <c r="F147" s="473">
        <f>SUM(F145:F146)</f>
        <v>1098.8951500000057</v>
      </c>
      <c r="G147" s="774"/>
      <c r="H147" s="473">
        <f>SUM(H145:H146)</f>
        <v>966.11999999999989</v>
      </c>
      <c r="I147" s="1077"/>
      <c r="J147" s="443">
        <f>SUM(J145:J146)</f>
        <v>2065.0151500000056</v>
      </c>
      <c r="K147" s="774"/>
      <c r="L147" s="473">
        <f>SUM(L145:L146)</f>
        <v>944.51999999999771</v>
      </c>
      <c r="M147" s="1078"/>
      <c r="N147" s="533">
        <f>SUM(N145:N146)</f>
        <v>3009.5351500000033</v>
      </c>
      <c r="O147" s="774"/>
      <c r="P147" s="473">
        <f>SUM(P145:P146)</f>
        <v>917.64500000000055</v>
      </c>
      <c r="Q147" s="1077"/>
      <c r="R147" s="443">
        <f>SUM(R145:R146)</f>
        <v>3927.1801500000042</v>
      </c>
      <c r="S147" s="774"/>
      <c r="T147" s="2667">
        <f>SUM(T145:T146)</f>
        <v>1115.4239999999995</v>
      </c>
      <c r="U147" s="1077"/>
      <c r="V147" s="443">
        <f>SUM(V145:V146)</f>
        <v>5042.6041500000038</v>
      </c>
      <c r="W147" s="774"/>
      <c r="X147" s="2667">
        <f>SUM(X145:X146)</f>
        <v>958.00899999999979</v>
      </c>
      <c r="Y147" s="1079"/>
      <c r="Z147" s="98">
        <f>SUM(Z145:Z146)</f>
        <v>2991.0779999999995</v>
      </c>
      <c r="AA147" s="1080"/>
      <c r="AB147" s="546">
        <f>SUM(AB145:AB146)</f>
        <v>6000.6131500000029</v>
      </c>
      <c r="AC147" s="774"/>
      <c r="AD147" s="2667">
        <f>SUM(AD145:AD146)</f>
        <v>994.21299999999883</v>
      </c>
      <c r="AE147" s="1077"/>
      <c r="AF147" s="443">
        <f>SUM(AF145:AF146)</f>
        <v>6994.8261500000026</v>
      </c>
      <c r="AG147" s="774"/>
      <c r="AH147" s="2667">
        <f>SUM(AH145:AH146)</f>
        <v>826.71299999999951</v>
      </c>
      <c r="AI147" s="1077"/>
      <c r="AJ147" s="443">
        <f>SUM(AJ145:AJ146)</f>
        <v>7821.5391500000023</v>
      </c>
      <c r="AK147" s="774"/>
      <c r="AL147" s="2667">
        <f>SUM(AL145:AL146)</f>
        <v>867.58399999999938</v>
      </c>
      <c r="AM147" s="1079"/>
      <c r="AN147" s="98">
        <f>SUM(AN145:AN146)</f>
        <v>2688.5099999999975</v>
      </c>
      <c r="AO147" s="1077"/>
      <c r="AP147" s="443">
        <f>SUM(AP145:AP146)</f>
        <v>8689.1231500000013</v>
      </c>
      <c r="AQ147" s="774"/>
      <c r="AR147" s="2667">
        <f>SUM(AR145:AR146)</f>
        <v>947.71099999999933</v>
      </c>
      <c r="AS147" s="1077"/>
      <c r="AT147" s="443">
        <f>SUM(AT145:AT146)</f>
        <v>9636.8341500000006</v>
      </c>
      <c r="AU147" s="774"/>
      <c r="AV147" s="2667">
        <f>SUM(AV145:AV146)</f>
        <v>847.75099999999929</v>
      </c>
      <c r="AW147" s="1077"/>
      <c r="AX147" s="443">
        <f>SUM(AX145:AX146)</f>
        <v>10484.585149999999</v>
      </c>
      <c r="AY147" s="774"/>
      <c r="AZ147" s="2667">
        <f>SUM(AZ145:AZ146)</f>
        <v>855.61199999999963</v>
      </c>
      <c r="BA147" s="1079"/>
      <c r="BB147" s="98">
        <f>SUM(BB145:BB146)</f>
        <v>2651.0739999999983</v>
      </c>
      <c r="BC147" s="1080"/>
      <c r="BD147" s="546">
        <f>SUM(BD145:BD146)</f>
        <v>5339.5839999999962</v>
      </c>
      <c r="BE147" s="1077"/>
      <c r="BF147" s="443">
        <f>SUM(BF145:BF146)</f>
        <v>11340.19715</v>
      </c>
      <c r="BG147" s="26"/>
      <c r="BH147" s="26"/>
      <c r="BI147" s="26"/>
      <c r="BJ147" s="26"/>
    </row>
    <row r="148" spans="2:62" x14ac:dyDescent="0.25">
      <c r="B148" s="1323" t="s">
        <v>852</v>
      </c>
      <c r="C148" s="774"/>
      <c r="D148" s="242" t="s">
        <v>51</v>
      </c>
      <c r="E148" s="774"/>
      <c r="F148" s="529">
        <f>+F147/F5</f>
        <v>2.7057725865542167E-2</v>
      </c>
      <c r="G148" s="774"/>
      <c r="H148" s="529">
        <f>+H147/H5</f>
        <v>2.9327383507872836E-2</v>
      </c>
      <c r="I148" s="1077"/>
      <c r="J148" s="526">
        <f>+J147/J5</f>
        <v>2.8074214382182713E-2</v>
      </c>
      <c r="K148" s="774"/>
      <c r="L148" s="529">
        <f>+L147/L5</f>
        <v>2.731954118604785E-2</v>
      </c>
      <c r="M148" s="1078"/>
      <c r="N148" s="527">
        <f>+N147/N5</f>
        <v>2.7832915140074486E-2</v>
      </c>
      <c r="O148" s="774"/>
      <c r="P148" s="2451">
        <f>+P147/P5</f>
        <v>2.1299941107715326E-2</v>
      </c>
      <c r="Q148" s="1077"/>
      <c r="R148" s="526">
        <f>+R147/R5</f>
        <v>2.5971579190041363E-2</v>
      </c>
      <c r="S148" s="774"/>
      <c r="T148" s="2668">
        <f>+T147/T5</f>
        <v>2.3196152208403344E-2</v>
      </c>
      <c r="U148" s="1077"/>
      <c r="V148" s="526">
        <f>+V147/V5</f>
        <v>2.5301922089492099E-2</v>
      </c>
      <c r="W148" s="774"/>
      <c r="X148" s="2668">
        <f>+X147/X5</f>
        <v>2.0549252330629052E-2</v>
      </c>
      <c r="Y148" s="1079"/>
      <c r="Z148" s="527">
        <f>+Z147/Z5</f>
        <v>2.1707703789145268E-2</v>
      </c>
      <c r="AA148" s="1080"/>
      <c r="AB148" s="3671">
        <f>+AB147/AB5</f>
        <v>2.4400928051394828E-2</v>
      </c>
      <c r="AC148" s="774"/>
      <c r="AD148" s="2668">
        <f>+AD147/AD5</f>
        <v>2.2268341111136247E-2</v>
      </c>
      <c r="AE148" s="1077"/>
      <c r="AF148" s="526">
        <f>+AF147/AF5</f>
        <v>2.4073243474589886E-2</v>
      </c>
      <c r="AG148" s="774"/>
      <c r="AH148" s="2668">
        <f>+AH147/AH5</f>
        <v>1.9754963921173679E-2</v>
      </c>
      <c r="AI148" s="1077"/>
      <c r="AJ148" s="526">
        <f>+AJ147/AJ5</f>
        <v>2.352960315506589E-2</v>
      </c>
      <c r="AK148" s="774"/>
      <c r="AL148" s="2668">
        <f>+AL147/AL5</f>
        <v>2.008701430915915E-2</v>
      </c>
      <c r="AM148" s="1079"/>
      <c r="AN148" s="527">
        <f>+AN147/AN5</f>
        <v>2.0730826262349931E-2</v>
      </c>
      <c r="AO148" s="1077"/>
      <c r="AP148" s="526">
        <f>+AP147/AP5</f>
        <v>2.3133734516675022E-2</v>
      </c>
      <c r="AQ148" s="774"/>
      <c r="AR148" s="2668">
        <f>+AR147/AR5</f>
        <v>2.0815035006059052E-2</v>
      </c>
      <c r="AS148" s="1077"/>
      <c r="AT148" s="526">
        <f>+AT147/AT5</f>
        <v>2.2883052706380722E-2</v>
      </c>
      <c r="AU148" s="774"/>
      <c r="AV148" s="2668">
        <f>+AV147/AV5</f>
        <v>2.2270057949630283E-2</v>
      </c>
      <c r="AW148" s="1077"/>
      <c r="AX148" s="526">
        <f>+AX147/AX5</f>
        <v>2.2832236653369239E-2</v>
      </c>
      <c r="AY148" s="774"/>
      <c r="AZ148" s="2668">
        <f>+AZ147/AZ5</f>
        <v>2.1454301937181442E-2</v>
      </c>
      <c r="BA148" s="1079"/>
      <c r="BB148" s="527">
        <f>+BB147/BB5</f>
        <v>2.1470072926481096E-2</v>
      </c>
      <c r="BC148" s="1080"/>
      <c r="BD148" s="3671">
        <f>+BD147/BD5</f>
        <v>2.1091384456077854E-2</v>
      </c>
      <c r="BE148" s="1077"/>
      <c r="BF148" s="526">
        <f>+BF147/BF5</f>
        <v>2.2722128487836179E-2</v>
      </c>
      <c r="BG148" s="26"/>
      <c r="BH148" s="26"/>
      <c r="BI148" s="26"/>
      <c r="BJ148" s="26"/>
    </row>
    <row r="149" spans="2:62" ht="15.75" thickBot="1" x14ac:dyDescent="0.3">
      <c r="B149" s="1323" t="s">
        <v>855</v>
      </c>
      <c r="C149" s="774"/>
      <c r="D149" s="242" t="s">
        <v>52</v>
      </c>
      <c r="E149" s="774"/>
      <c r="F149" s="530">
        <f>+F126</f>
        <v>114.8</v>
      </c>
      <c r="G149" s="774"/>
      <c r="H149" s="530">
        <f>+H126</f>
        <v>59.45</v>
      </c>
      <c r="I149" s="1077"/>
      <c r="J149" s="531">
        <f>+J126</f>
        <v>174.25000000000003</v>
      </c>
      <c r="K149" s="774"/>
      <c r="L149" s="530">
        <f>+L126</f>
        <v>131.80000000000001</v>
      </c>
      <c r="M149" s="1078"/>
      <c r="N149" s="532">
        <f>+N126</f>
        <v>306.05000000000007</v>
      </c>
      <c r="O149" s="774"/>
      <c r="P149" s="530">
        <f>+P126</f>
        <v>104.62000000000002</v>
      </c>
      <c r="Q149" s="1077"/>
      <c r="R149" s="531">
        <f>+R126</f>
        <v>410.67</v>
      </c>
      <c r="S149" s="774"/>
      <c r="T149" s="2669">
        <f>+T126</f>
        <v>125.05</v>
      </c>
      <c r="U149" s="1077"/>
      <c r="V149" s="531">
        <f>+V126</f>
        <v>535.71999999999991</v>
      </c>
      <c r="W149" s="774"/>
      <c r="X149" s="2669">
        <f>+X126</f>
        <v>50.230000000000004</v>
      </c>
      <c r="Y149" s="1079"/>
      <c r="Z149" s="532">
        <f>+Z126</f>
        <v>279.89999999999998</v>
      </c>
      <c r="AA149" s="1080"/>
      <c r="AB149" s="3672">
        <f>+AB126</f>
        <v>585.94999999999982</v>
      </c>
      <c r="AC149" s="774"/>
      <c r="AD149" s="2669">
        <f>+AD126</f>
        <v>213.2</v>
      </c>
      <c r="AE149" s="1077"/>
      <c r="AF149" s="531">
        <f>+AF126</f>
        <v>799.14999999999986</v>
      </c>
      <c r="AG149" s="774"/>
      <c r="AH149" s="2669">
        <f>+AH126</f>
        <v>100.44999999999999</v>
      </c>
      <c r="AI149" s="1077"/>
      <c r="AJ149" s="531">
        <f>+AJ126</f>
        <v>899.59999999999991</v>
      </c>
      <c r="AK149" s="774"/>
      <c r="AL149" s="2669">
        <f>+AL126</f>
        <v>45.099999999999994</v>
      </c>
      <c r="AM149" s="1079"/>
      <c r="AN149" s="532">
        <f>+AN126</f>
        <v>358.75</v>
      </c>
      <c r="AO149" s="1077"/>
      <c r="AP149" s="531">
        <f>+AP126</f>
        <v>944.69999999999993</v>
      </c>
      <c r="AQ149" s="774"/>
      <c r="AR149" s="2669">
        <f>+AR126</f>
        <v>43.599999999999994</v>
      </c>
      <c r="AS149" s="1077"/>
      <c r="AT149" s="531">
        <f>+AT126</f>
        <v>988.29999999999984</v>
      </c>
      <c r="AU149" s="774"/>
      <c r="AV149" s="2669">
        <f>+AV126</f>
        <v>153.75</v>
      </c>
      <c r="AW149" s="1077"/>
      <c r="AX149" s="531">
        <f>+AX126</f>
        <v>1142.05</v>
      </c>
      <c r="AY149" s="774"/>
      <c r="AZ149" s="2669">
        <f>+AZ126</f>
        <v>209.1</v>
      </c>
      <c r="BA149" s="1079"/>
      <c r="BB149" s="532">
        <f>+BB126</f>
        <v>406.45000000000005</v>
      </c>
      <c r="BC149" s="1080"/>
      <c r="BD149" s="3672">
        <f>+BD126</f>
        <v>765.2</v>
      </c>
      <c r="BE149" s="1077"/>
      <c r="BF149" s="531">
        <f>+BF126</f>
        <v>1351.15</v>
      </c>
      <c r="BG149" s="26"/>
      <c r="BH149" s="26"/>
      <c r="BI149" s="26"/>
      <c r="BJ149" s="26"/>
    </row>
    <row r="150" spans="2:62" ht="15.75" thickBot="1" x14ac:dyDescent="0.3">
      <c r="B150" s="1325" t="s">
        <v>834</v>
      </c>
      <c r="C150" s="1138"/>
      <c r="D150" s="1100" t="s">
        <v>52</v>
      </c>
      <c r="E150" s="1326"/>
      <c r="F150" s="1327">
        <v>609.19485000000009</v>
      </c>
      <c r="G150" s="1326"/>
      <c r="H150" s="1327">
        <v>479.88599999999997</v>
      </c>
      <c r="I150" s="1328"/>
      <c r="J150" s="1329">
        <f>+F150+H150</f>
        <v>1089.0808500000001</v>
      </c>
      <c r="K150" s="1326"/>
      <c r="L150" s="1327">
        <v>521.03499999999974</v>
      </c>
      <c r="M150" s="1330"/>
      <c r="N150" s="583">
        <f>+F150+H150+L150</f>
        <v>1610.1158499999997</v>
      </c>
      <c r="O150" s="1326"/>
      <c r="P150" s="1327">
        <v>648.36899999999957</v>
      </c>
      <c r="Q150" s="1328"/>
      <c r="R150" s="711">
        <f>+N150+P150</f>
        <v>2258.4848499999994</v>
      </c>
      <c r="S150" s="2084"/>
      <c r="T150" s="2670">
        <v>725.22199999999987</v>
      </c>
      <c r="U150" s="1328"/>
      <c r="V150" s="711">
        <f>+R150+T150</f>
        <v>2983.7068499999991</v>
      </c>
      <c r="W150" s="2084"/>
      <c r="X150" s="2670">
        <v>701.53</v>
      </c>
      <c r="Y150" s="1331"/>
      <c r="Z150" s="103">
        <f>P150+T150+X150</f>
        <v>2075.1209999999992</v>
      </c>
      <c r="AA150" s="1332"/>
      <c r="AB150" s="551">
        <f>N150+Z150</f>
        <v>3685.2368499999989</v>
      </c>
      <c r="AC150" s="2084"/>
      <c r="AD150" s="2670">
        <v>672.41399999999999</v>
      </c>
      <c r="AE150" s="1328"/>
      <c r="AF150" s="711">
        <f>+AB150+AD150</f>
        <v>4357.6508499999991</v>
      </c>
      <c r="AG150" s="2084"/>
      <c r="AH150" s="2670">
        <v>655.10499999999968</v>
      </c>
      <c r="AI150" s="1328"/>
      <c r="AJ150" s="711">
        <f>+AF150+AH150</f>
        <v>5012.7558499999986</v>
      </c>
      <c r="AK150" s="2084"/>
      <c r="AL150" s="2670">
        <v>737.40299999999979</v>
      </c>
      <c r="AM150" s="1331"/>
      <c r="AN150" s="103">
        <f>AD150+AH150+AL150</f>
        <v>2064.9219999999996</v>
      </c>
      <c r="AO150" s="1328"/>
      <c r="AP150" s="449">
        <f>+AL150+AJ150</f>
        <v>5750.158849999998</v>
      </c>
      <c r="AQ150" s="2084"/>
      <c r="AR150" s="2670">
        <v>778.00700000000006</v>
      </c>
      <c r="AS150" s="1328"/>
      <c r="AT150" s="711">
        <f>+AP150+AR150</f>
        <v>6528.1658499999976</v>
      </c>
      <c r="AU150" s="2084"/>
      <c r="AV150" s="2670">
        <v>651.20100000000002</v>
      </c>
      <c r="AW150" s="1328"/>
      <c r="AX150" s="711">
        <f>+AT150+AV150</f>
        <v>7179.3668499999976</v>
      </c>
      <c r="AY150" s="2084"/>
      <c r="AZ150" s="2670">
        <v>681.86100000000022</v>
      </c>
      <c r="BA150" s="1331"/>
      <c r="BB150" s="103">
        <f>AR150+AV150+AZ150</f>
        <v>2111.0690000000004</v>
      </c>
      <c r="BC150" s="1332"/>
      <c r="BD150" s="551">
        <f>AN150+BB150</f>
        <v>4175.991</v>
      </c>
      <c r="BE150" s="1328"/>
      <c r="BF150" s="711">
        <f>+AX150+AZ150</f>
        <v>7861.2278499999975</v>
      </c>
      <c r="BG150" s="26"/>
      <c r="BH150" s="26"/>
      <c r="BI150" s="26"/>
      <c r="BJ150" s="26"/>
    </row>
    <row r="151" spans="2:62" s="183" customFormat="1" x14ac:dyDescent="0.25">
      <c r="B151" s="188"/>
      <c r="C151" s="188"/>
      <c r="D151" s="188"/>
      <c r="E151" s="188"/>
      <c r="F151" s="188"/>
      <c r="G151" s="188"/>
      <c r="H151" s="188"/>
      <c r="I151" s="188"/>
      <c r="J151" s="188"/>
      <c r="K151" s="188"/>
      <c r="L151" s="188"/>
      <c r="M151" s="188"/>
      <c r="N151" s="188"/>
      <c r="O151" s="188"/>
      <c r="P151" s="188"/>
      <c r="Q151" s="188"/>
      <c r="R151" s="188"/>
      <c r="S151" s="188"/>
      <c r="T151" s="2652"/>
      <c r="U151" s="188"/>
      <c r="V151" s="188"/>
      <c r="W151" s="188"/>
      <c r="X151" s="2652"/>
      <c r="Y151" s="750"/>
      <c r="Z151" s="750"/>
      <c r="AA151" s="750"/>
      <c r="AB151" s="750"/>
      <c r="AC151" s="188"/>
      <c r="AD151" s="2652"/>
      <c r="AE151" s="188"/>
      <c r="AF151" s="188"/>
      <c r="AG151" s="188"/>
      <c r="AH151" s="2652"/>
      <c r="AI151" s="188"/>
      <c r="AJ151" s="188"/>
      <c r="AK151" s="188"/>
      <c r="AL151" s="2652"/>
      <c r="AM151" s="750"/>
      <c r="AN151" s="750"/>
      <c r="AO151" s="188"/>
      <c r="AP151" s="188"/>
      <c r="AQ151" s="188"/>
      <c r="AR151" s="2652"/>
      <c r="AS151" s="188"/>
      <c r="AT151" s="188"/>
      <c r="AU151" s="188"/>
      <c r="AV151" s="2652"/>
      <c r="AW151" s="188"/>
      <c r="AX151" s="188"/>
      <c r="AY151" s="188"/>
      <c r="AZ151" s="2652"/>
      <c r="BA151" s="750"/>
      <c r="BB151" s="750"/>
      <c r="BC151" s="750"/>
      <c r="BD151" s="750"/>
      <c r="BE151" s="188"/>
      <c r="BF151" s="188"/>
      <c r="BG151" s="26"/>
      <c r="BH151" s="26"/>
      <c r="BI151" s="26"/>
      <c r="BJ151" s="26"/>
    </row>
    <row r="152" spans="2:62" s="183" customFormat="1" ht="19.5" thickBot="1" x14ac:dyDescent="0.35">
      <c r="B152" s="1086" t="s">
        <v>857</v>
      </c>
      <c r="C152" s="1086"/>
      <c r="D152" s="188"/>
      <c r="E152" s="188"/>
      <c r="F152" s="188"/>
      <c r="G152" s="188"/>
      <c r="H152" s="188"/>
      <c r="I152" s="188"/>
      <c r="J152" s="188"/>
      <c r="K152" s="188"/>
      <c r="L152" s="188"/>
      <c r="M152" s="188"/>
      <c r="N152" s="188"/>
      <c r="O152" s="188"/>
      <c r="P152" s="188"/>
      <c r="Q152" s="188"/>
      <c r="R152" s="188"/>
      <c r="S152" s="188"/>
      <c r="T152" s="2652"/>
      <c r="U152" s="188"/>
      <c r="V152" s="188"/>
      <c r="W152" s="188"/>
      <c r="X152" s="2652"/>
      <c r="Y152" s="750"/>
      <c r="Z152" s="750"/>
      <c r="AA152" s="750"/>
      <c r="AB152" s="750"/>
      <c r="AC152" s="188"/>
      <c r="AD152" s="2652"/>
      <c r="AE152" s="188"/>
      <c r="AF152" s="188"/>
      <c r="AG152" s="188"/>
      <c r="AH152" s="2652"/>
      <c r="AI152" s="188"/>
      <c r="AJ152" s="188"/>
      <c r="AK152" s="188"/>
      <c r="AL152" s="2652"/>
      <c r="AM152" s="750"/>
      <c r="AN152" s="750"/>
      <c r="AO152" s="188"/>
      <c r="AP152" s="188"/>
      <c r="AQ152" s="188"/>
      <c r="AR152" s="2652"/>
      <c r="AS152" s="188"/>
      <c r="AT152" s="188"/>
      <c r="AU152" s="188"/>
      <c r="AV152" s="2652"/>
      <c r="AW152" s="188"/>
      <c r="AX152" s="188"/>
      <c r="AY152" s="188"/>
      <c r="AZ152" s="2652"/>
      <c r="BA152" s="750"/>
      <c r="BB152" s="750"/>
      <c r="BC152" s="750"/>
      <c r="BD152" s="750"/>
      <c r="BE152" s="188"/>
      <c r="BF152" s="188"/>
      <c r="BG152" s="26"/>
      <c r="BH152" s="26"/>
      <c r="BI152" s="26"/>
      <c r="BJ152" s="26"/>
    </row>
    <row r="153" spans="2:62" x14ac:dyDescent="0.25">
      <c r="B153" s="1314" t="s">
        <v>858</v>
      </c>
      <c r="C153" s="1315"/>
      <c r="D153" s="988" t="s">
        <v>52</v>
      </c>
      <c r="E153" s="1333"/>
      <c r="F153" s="1316">
        <f>+F5</f>
        <v>40612.990000000013</v>
      </c>
      <c r="G153" s="1333"/>
      <c r="H153" s="1316">
        <f>+H5</f>
        <v>32942.590999999993</v>
      </c>
      <c r="I153" s="1334"/>
      <c r="J153" s="1318">
        <f>+J5</f>
        <v>73555.581000000006</v>
      </c>
      <c r="K153" s="1333"/>
      <c r="L153" s="1316">
        <f>+L5</f>
        <v>34573.055000000008</v>
      </c>
      <c r="M153" s="1335"/>
      <c r="N153" s="1336">
        <f>+N5</f>
        <v>108128.63600000001</v>
      </c>
      <c r="O153" s="1333"/>
      <c r="P153" s="1316">
        <f>+P5</f>
        <v>43082.044000000009</v>
      </c>
      <c r="Q153" s="1334"/>
      <c r="R153" s="1318">
        <f>+R5</f>
        <v>151210.68000000002</v>
      </c>
      <c r="S153" s="2085"/>
      <c r="T153" s="2666">
        <f>+T5</f>
        <v>48086.596000000005</v>
      </c>
      <c r="U153" s="1334"/>
      <c r="V153" s="1318">
        <f>+V5</f>
        <v>199297.27600000001</v>
      </c>
      <c r="W153" s="2085"/>
      <c r="X153" s="2666">
        <f>+X5</f>
        <v>46620.138999999974</v>
      </c>
      <c r="Y153" s="1337"/>
      <c r="Z153" s="1336">
        <f>+Z5</f>
        <v>137788.77899999998</v>
      </c>
      <c r="AA153" s="1338"/>
      <c r="AB153" s="1339">
        <f>+AB5</f>
        <v>245917.41499999998</v>
      </c>
      <c r="AC153" s="2085"/>
      <c r="AD153" s="2666">
        <f>+AD5</f>
        <v>44646.926999999996</v>
      </c>
      <c r="AE153" s="1334"/>
      <c r="AF153" s="1318">
        <f>+AF5</f>
        <v>290564.34199999995</v>
      </c>
      <c r="AG153" s="2085"/>
      <c r="AH153" s="2666">
        <f>+AH5</f>
        <v>41848.368000000017</v>
      </c>
      <c r="AI153" s="1334"/>
      <c r="AJ153" s="1318">
        <f>+AJ5</f>
        <v>332412.70999999996</v>
      </c>
      <c r="AK153" s="2085"/>
      <c r="AL153" s="2666">
        <f>+AL5</f>
        <v>43191.286999999989</v>
      </c>
      <c r="AM153" s="1337"/>
      <c r="AN153" s="1336">
        <f>+AN5</f>
        <v>129686.58199999999</v>
      </c>
      <c r="AO153" s="1334"/>
      <c r="AP153" s="1318">
        <f>+AP5</f>
        <v>375603.99699999997</v>
      </c>
      <c r="AQ153" s="2085"/>
      <c r="AR153" s="2666">
        <f>+AR5</f>
        <v>45530.118000000002</v>
      </c>
      <c r="AS153" s="1334"/>
      <c r="AT153" s="1318">
        <f>+AT5</f>
        <v>421134.11499999999</v>
      </c>
      <c r="AU153" s="2085"/>
      <c r="AV153" s="2666">
        <f>+AV5</f>
        <v>38066.851999999992</v>
      </c>
      <c r="AW153" s="1334"/>
      <c r="AX153" s="1318">
        <f>+AX5</f>
        <v>459200.967</v>
      </c>
      <c r="AY153" s="2085"/>
      <c r="AZ153" s="2666">
        <f>+AZ5</f>
        <v>39880.673000000003</v>
      </c>
      <c r="BA153" s="1337"/>
      <c r="BB153" s="1336">
        <f>+BB5</f>
        <v>123477.64300000001</v>
      </c>
      <c r="BC153" s="1338"/>
      <c r="BD153" s="1339">
        <f>+BD5</f>
        <v>253164.22500000001</v>
      </c>
      <c r="BE153" s="1334"/>
      <c r="BF153" s="1318">
        <f>+BF5</f>
        <v>499081.64</v>
      </c>
      <c r="BG153" s="26"/>
      <c r="BH153" s="26"/>
      <c r="BI153" s="26"/>
      <c r="BJ153" s="26"/>
    </row>
    <row r="154" spans="2:62" ht="30" x14ac:dyDescent="0.25">
      <c r="B154" s="1341" t="s">
        <v>864</v>
      </c>
      <c r="C154" s="1087"/>
      <c r="D154" s="193" t="s">
        <v>52</v>
      </c>
      <c r="E154" s="1081"/>
      <c r="F154" s="442">
        <f>+F147</f>
        <v>1098.8951500000057</v>
      </c>
      <c r="G154" s="1081"/>
      <c r="H154" s="442">
        <f>+H147</f>
        <v>966.11999999999989</v>
      </c>
      <c r="I154" s="1082"/>
      <c r="J154" s="443">
        <f>+J147</f>
        <v>2065.0151500000056</v>
      </c>
      <c r="K154" s="1081"/>
      <c r="L154" s="442">
        <f>+L147</f>
        <v>944.51999999999771</v>
      </c>
      <c r="M154" s="1083"/>
      <c r="N154" s="533">
        <f>+N147</f>
        <v>3009.5351500000033</v>
      </c>
      <c r="O154" s="1081"/>
      <c r="P154" s="442">
        <f>+P147</f>
        <v>917.64500000000055</v>
      </c>
      <c r="Q154" s="1082"/>
      <c r="R154" s="443">
        <f>+R147</f>
        <v>3927.1801500000042</v>
      </c>
      <c r="S154" s="2086"/>
      <c r="T154" s="2667">
        <f>+T147</f>
        <v>1115.4239999999995</v>
      </c>
      <c r="U154" s="1082"/>
      <c r="V154" s="443">
        <f>+V147</f>
        <v>5042.6041500000038</v>
      </c>
      <c r="W154" s="2086"/>
      <c r="X154" s="2667">
        <f>+X147</f>
        <v>958.00899999999979</v>
      </c>
      <c r="Y154" s="1084"/>
      <c r="Z154" s="533">
        <f>+Z147</f>
        <v>2991.0779999999995</v>
      </c>
      <c r="AA154" s="1085"/>
      <c r="AB154" s="564">
        <f>+AB147</f>
        <v>6000.6131500000029</v>
      </c>
      <c r="AC154" s="2086"/>
      <c r="AD154" s="2667">
        <f>+AD147</f>
        <v>994.21299999999883</v>
      </c>
      <c r="AE154" s="1082"/>
      <c r="AF154" s="443">
        <f>+AF147</f>
        <v>6994.8261500000026</v>
      </c>
      <c r="AG154" s="2086"/>
      <c r="AH154" s="2667">
        <f>+AH147</f>
        <v>826.71299999999951</v>
      </c>
      <c r="AI154" s="1082"/>
      <c r="AJ154" s="443">
        <f>+AJ147</f>
        <v>7821.5391500000023</v>
      </c>
      <c r="AK154" s="2086"/>
      <c r="AL154" s="2667">
        <f>+AL147</f>
        <v>867.58399999999938</v>
      </c>
      <c r="AM154" s="1084"/>
      <c r="AN154" s="533">
        <f>+AN147</f>
        <v>2688.5099999999975</v>
      </c>
      <c r="AO154" s="1082"/>
      <c r="AP154" s="443">
        <f>+AP147</f>
        <v>8689.1231500000013</v>
      </c>
      <c r="AQ154" s="2086"/>
      <c r="AR154" s="2667">
        <f>+AR147</f>
        <v>947.71099999999933</v>
      </c>
      <c r="AS154" s="1082"/>
      <c r="AT154" s="443">
        <f>+AT147</f>
        <v>9636.8341500000006</v>
      </c>
      <c r="AU154" s="2086"/>
      <c r="AV154" s="2667">
        <f>+AV147</f>
        <v>847.75099999999929</v>
      </c>
      <c r="AW154" s="1082"/>
      <c r="AX154" s="443">
        <f>+AX147</f>
        <v>10484.585149999999</v>
      </c>
      <c r="AY154" s="2086"/>
      <c r="AZ154" s="2667">
        <f>+AZ147</f>
        <v>855.61199999999963</v>
      </c>
      <c r="BA154" s="1084"/>
      <c r="BB154" s="533">
        <f>+BB147</f>
        <v>2651.0739999999983</v>
      </c>
      <c r="BC154" s="1085"/>
      <c r="BD154" s="564">
        <f>+BD147</f>
        <v>5339.5839999999962</v>
      </c>
      <c r="BE154" s="1082"/>
      <c r="BF154" s="443">
        <f>+BF147</f>
        <v>11340.19715</v>
      </c>
      <c r="BG154" s="26"/>
      <c r="BH154" s="26"/>
      <c r="BI154" s="26"/>
      <c r="BJ154" s="26"/>
    </row>
    <row r="155" spans="2:62" x14ac:dyDescent="0.25">
      <c r="B155" s="1322" t="s">
        <v>834</v>
      </c>
      <c r="C155" s="336"/>
      <c r="D155" s="193" t="s">
        <v>52</v>
      </c>
      <c r="E155" s="1081"/>
      <c r="F155" s="442">
        <f>+F150</f>
        <v>609.19485000000009</v>
      </c>
      <c r="G155" s="1081"/>
      <c r="H155" s="442">
        <f>+H150</f>
        <v>479.88599999999997</v>
      </c>
      <c r="I155" s="1082"/>
      <c r="J155" s="443">
        <f>+J150</f>
        <v>1089.0808500000001</v>
      </c>
      <c r="K155" s="1081"/>
      <c r="L155" s="442">
        <f>+L150</f>
        <v>521.03499999999974</v>
      </c>
      <c r="M155" s="1083"/>
      <c r="N155" s="533">
        <f>+N150</f>
        <v>1610.1158499999997</v>
      </c>
      <c r="O155" s="1081"/>
      <c r="P155" s="442">
        <f>+P150</f>
        <v>648.36899999999957</v>
      </c>
      <c r="Q155" s="1082"/>
      <c r="R155" s="443">
        <f>+R150</f>
        <v>2258.4848499999994</v>
      </c>
      <c r="S155" s="2086"/>
      <c r="T155" s="2667">
        <f>+T150</f>
        <v>725.22199999999987</v>
      </c>
      <c r="U155" s="1082"/>
      <c r="V155" s="443">
        <f>+V150</f>
        <v>2983.7068499999991</v>
      </c>
      <c r="W155" s="2086"/>
      <c r="X155" s="2667">
        <f>+X150</f>
        <v>701.53</v>
      </c>
      <c r="Y155" s="1084"/>
      <c r="Z155" s="533">
        <f>+Z150</f>
        <v>2075.1209999999992</v>
      </c>
      <c r="AA155" s="1085"/>
      <c r="AB155" s="564">
        <f>+AB150</f>
        <v>3685.2368499999989</v>
      </c>
      <c r="AC155" s="2086"/>
      <c r="AD155" s="2667">
        <f>+AD150</f>
        <v>672.41399999999999</v>
      </c>
      <c r="AE155" s="1082"/>
      <c r="AF155" s="443">
        <f>+AF150</f>
        <v>4357.6508499999991</v>
      </c>
      <c r="AG155" s="2086"/>
      <c r="AH155" s="2667">
        <f>+AH150</f>
        <v>655.10499999999968</v>
      </c>
      <c r="AI155" s="1082"/>
      <c r="AJ155" s="443">
        <f>+AJ150</f>
        <v>5012.7558499999986</v>
      </c>
      <c r="AK155" s="2086"/>
      <c r="AL155" s="2667">
        <f>+AL150</f>
        <v>737.40299999999979</v>
      </c>
      <c r="AM155" s="1084"/>
      <c r="AN155" s="533">
        <f>+AN150</f>
        <v>2064.9219999999996</v>
      </c>
      <c r="AO155" s="1082"/>
      <c r="AP155" s="443">
        <f>+AP150</f>
        <v>5750.158849999998</v>
      </c>
      <c r="AQ155" s="2086"/>
      <c r="AR155" s="2667">
        <f>+AR150</f>
        <v>778.00700000000006</v>
      </c>
      <c r="AS155" s="1082"/>
      <c r="AT155" s="443">
        <f>+AT150</f>
        <v>6528.1658499999976</v>
      </c>
      <c r="AU155" s="2086"/>
      <c r="AV155" s="2667">
        <f>+AV150</f>
        <v>651.20100000000002</v>
      </c>
      <c r="AW155" s="1082"/>
      <c r="AX155" s="443">
        <f>+AX150</f>
        <v>7179.3668499999976</v>
      </c>
      <c r="AY155" s="2086"/>
      <c r="AZ155" s="2667">
        <f>+AZ150</f>
        <v>681.86100000000022</v>
      </c>
      <c r="BA155" s="1084"/>
      <c r="BB155" s="533">
        <f>+BB150</f>
        <v>2111.0690000000004</v>
      </c>
      <c r="BC155" s="1085"/>
      <c r="BD155" s="564">
        <f>+BD150</f>
        <v>4175.991</v>
      </c>
      <c r="BE155" s="1082"/>
      <c r="BF155" s="443">
        <f>+BF150</f>
        <v>7861.2278499999975</v>
      </c>
      <c r="BG155" s="26"/>
      <c r="BH155" s="26"/>
      <c r="BI155" s="26"/>
      <c r="BJ155" s="26"/>
    </row>
    <row r="156" spans="2:62" x14ac:dyDescent="0.25">
      <c r="B156" s="1322" t="s">
        <v>862</v>
      </c>
      <c r="C156" s="336"/>
      <c r="D156" s="193" t="s">
        <v>52</v>
      </c>
      <c r="E156" s="1081"/>
      <c r="F156" s="442">
        <f>+F124</f>
        <v>38904.900000000023</v>
      </c>
      <c r="G156" s="1081"/>
      <c r="H156" s="442">
        <f>+H124</f>
        <v>31496.2</v>
      </c>
      <c r="I156" s="1082"/>
      <c r="J156" s="443">
        <f>+J124</f>
        <v>70401.100000000006</v>
      </c>
      <c r="K156" s="1081"/>
      <c r="L156" s="442">
        <f>+L124</f>
        <v>33107.200000000012</v>
      </c>
      <c r="M156" s="1083"/>
      <c r="N156" s="533">
        <f>+N124</f>
        <v>103508.29999999997</v>
      </c>
      <c r="O156" s="1081"/>
      <c r="P156" s="442">
        <f>+P124</f>
        <v>41516.03</v>
      </c>
      <c r="Q156" s="1082"/>
      <c r="R156" s="443">
        <f>+R124</f>
        <v>145024.32999999987</v>
      </c>
      <c r="S156" s="2086"/>
      <c r="T156" s="2667">
        <f>+T124</f>
        <v>46245.950000000019</v>
      </c>
      <c r="U156" s="1082"/>
      <c r="V156" s="443">
        <f>+V124</f>
        <v>191270.27999999988</v>
      </c>
      <c r="W156" s="2086"/>
      <c r="X156" s="2667">
        <f>+X124</f>
        <v>44960.60500000001</v>
      </c>
      <c r="Y156" s="1084"/>
      <c r="Z156" s="533">
        <f>+Z124</f>
        <v>132722.58499999999</v>
      </c>
      <c r="AA156" s="1085"/>
      <c r="AB156" s="564">
        <f>+AB124</f>
        <v>236230.88499999992</v>
      </c>
      <c r="AC156" s="2086"/>
      <c r="AD156" s="2667">
        <f>+AD124</f>
        <v>42980.249999999985</v>
      </c>
      <c r="AE156" s="1082"/>
      <c r="AF156" s="443">
        <f>+AF124</f>
        <v>279211.13500000001</v>
      </c>
      <c r="AG156" s="2086"/>
      <c r="AH156" s="2667">
        <f>+AH124</f>
        <v>40366.55000000001</v>
      </c>
      <c r="AI156" s="1082"/>
      <c r="AJ156" s="443">
        <f>+AJ124</f>
        <v>319577.68500000023</v>
      </c>
      <c r="AK156" s="2086"/>
      <c r="AL156" s="2667">
        <f>+AL124</f>
        <v>41586.30000000001</v>
      </c>
      <c r="AM156" s="1084"/>
      <c r="AN156" s="533">
        <f>+AN124</f>
        <v>124933.09999999998</v>
      </c>
      <c r="AO156" s="1082"/>
      <c r="AP156" s="443">
        <f>+AP124</f>
        <v>361163.98500000004</v>
      </c>
      <c r="AQ156" s="2086"/>
      <c r="AR156" s="2667">
        <f>+AR124</f>
        <v>43804.450000000004</v>
      </c>
      <c r="AS156" s="1082"/>
      <c r="AT156" s="443">
        <f>+AT124</f>
        <v>404968.43499999994</v>
      </c>
      <c r="AU156" s="2086"/>
      <c r="AV156" s="2667">
        <f>+AV124</f>
        <v>36567.900000000016</v>
      </c>
      <c r="AW156" s="1082"/>
      <c r="AX156" s="443">
        <f>+AX124</f>
        <v>441536.33500000025</v>
      </c>
      <c r="AY156" s="2086"/>
      <c r="AZ156" s="2667">
        <f>+AZ124</f>
        <v>38343.200000000004</v>
      </c>
      <c r="BA156" s="1084"/>
      <c r="BB156" s="533">
        <f>+BB124</f>
        <v>118715.55000000005</v>
      </c>
      <c r="BC156" s="1085"/>
      <c r="BD156" s="564">
        <f>+BD124</f>
        <v>243648.65000000002</v>
      </c>
      <c r="BE156" s="1082"/>
      <c r="BF156" s="443">
        <f>+BF124</f>
        <v>479879.53500000027</v>
      </c>
      <c r="BG156" s="26"/>
      <c r="BH156" s="26"/>
      <c r="BI156" s="26"/>
      <c r="BJ156" s="26"/>
    </row>
    <row r="157" spans="2:62" x14ac:dyDescent="0.25">
      <c r="B157" s="1322" t="s">
        <v>859</v>
      </c>
      <c r="C157" s="336"/>
      <c r="D157" s="193" t="s">
        <v>52</v>
      </c>
      <c r="E157" s="1081"/>
      <c r="F157" s="442">
        <f>+F126</f>
        <v>114.8</v>
      </c>
      <c r="G157" s="1081"/>
      <c r="H157" s="442">
        <f>+H126</f>
        <v>59.45</v>
      </c>
      <c r="I157" s="1082"/>
      <c r="J157" s="443">
        <f>+J126</f>
        <v>174.25000000000003</v>
      </c>
      <c r="K157" s="1081"/>
      <c r="L157" s="442">
        <f>+L126</f>
        <v>131.80000000000001</v>
      </c>
      <c r="M157" s="1083"/>
      <c r="N157" s="533">
        <f>+N126</f>
        <v>306.05000000000007</v>
      </c>
      <c r="O157" s="1081"/>
      <c r="P157" s="442">
        <f>+P126</f>
        <v>104.62000000000002</v>
      </c>
      <c r="Q157" s="1082"/>
      <c r="R157" s="443">
        <f>+R126</f>
        <v>410.67</v>
      </c>
      <c r="S157" s="2086"/>
      <c r="T157" s="2667">
        <f>+T126</f>
        <v>125.05</v>
      </c>
      <c r="U157" s="1082"/>
      <c r="V157" s="443">
        <f>+V126</f>
        <v>535.71999999999991</v>
      </c>
      <c r="W157" s="2086"/>
      <c r="X157" s="2667">
        <f>+X126</f>
        <v>50.230000000000004</v>
      </c>
      <c r="Y157" s="1084"/>
      <c r="Z157" s="533">
        <f>+Z126</f>
        <v>279.89999999999998</v>
      </c>
      <c r="AA157" s="1085"/>
      <c r="AB157" s="564">
        <f>+AB126</f>
        <v>585.94999999999982</v>
      </c>
      <c r="AC157" s="2086"/>
      <c r="AD157" s="2667">
        <f>+AD126</f>
        <v>213.2</v>
      </c>
      <c r="AE157" s="1082"/>
      <c r="AF157" s="443">
        <f>+AF126</f>
        <v>799.14999999999986</v>
      </c>
      <c r="AG157" s="2086"/>
      <c r="AH157" s="2667">
        <f>+AH126</f>
        <v>100.44999999999999</v>
      </c>
      <c r="AI157" s="1082"/>
      <c r="AJ157" s="443">
        <f>+AJ126</f>
        <v>899.59999999999991</v>
      </c>
      <c r="AK157" s="2086"/>
      <c r="AL157" s="2667">
        <f>+AL126</f>
        <v>45.099999999999994</v>
      </c>
      <c r="AM157" s="1084"/>
      <c r="AN157" s="533">
        <f>+AN126</f>
        <v>358.75</v>
      </c>
      <c r="AO157" s="1082"/>
      <c r="AP157" s="443">
        <f>+AP126</f>
        <v>944.69999999999993</v>
      </c>
      <c r="AQ157" s="2086"/>
      <c r="AR157" s="2667">
        <f>+AR126</f>
        <v>43.599999999999994</v>
      </c>
      <c r="AS157" s="1082"/>
      <c r="AT157" s="443">
        <f>+AT126</f>
        <v>988.29999999999984</v>
      </c>
      <c r="AU157" s="2086"/>
      <c r="AV157" s="2667">
        <f>+AV126</f>
        <v>153.75</v>
      </c>
      <c r="AW157" s="1082"/>
      <c r="AX157" s="443">
        <f>+AX126</f>
        <v>1142.05</v>
      </c>
      <c r="AY157" s="2086"/>
      <c r="AZ157" s="2667">
        <f>+AZ126</f>
        <v>209.1</v>
      </c>
      <c r="BA157" s="1084"/>
      <c r="BB157" s="533">
        <f>+BB126</f>
        <v>406.45000000000005</v>
      </c>
      <c r="BC157" s="1085"/>
      <c r="BD157" s="564">
        <f>+BD126</f>
        <v>765.2</v>
      </c>
      <c r="BE157" s="1082"/>
      <c r="BF157" s="443">
        <f>+BF126</f>
        <v>1351.15</v>
      </c>
      <c r="BG157" s="26"/>
      <c r="BH157" s="26"/>
      <c r="BI157" s="26"/>
      <c r="BJ157" s="26"/>
    </row>
    <row r="158" spans="2:62" ht="15.75" thickBot="1" x14ac:dyDescent="0.3">
      <c r="B158" s="1325" t="s">
        <v>860</v>
      </c>
      <c r="C158" s="1138"/>
      <c r="D158" s="1100" t="s">
        <v>52</v>
      </c>
      <c r="E158" s="1326"/>
      <c r="F158" s="1327">
        <f>+F156-F157</f>
        <v>38790.10000000002</v>
      </c>
      <c r="G158" s="1326"/>
      <c r="H158" s="1327">
        <f>+H156-H157</f>
        <v>31436.75</v>
      </c>
      <c r="I158" s="1328"/>
      <c r="J158" s="1329">
        <f>+J156-J157</f>
        <v>70226.850000000006</v>
      </c>
      <c r="K158" s="1326"/>
      <c r="L158" s="1327">
        <f>+L156-L157</f>
        <v>32975.400000000009</v>
      </c>
      <c r="M158" s="1330"/>
      <c r="N158" s="1343">
        <f>+N156-N157</f>
        <v>103202.24999999997</v>
      </c>
      <c r="O158" s="1326"/>
      <c r="P158" s="1327">
        <f>+P156-P157</f>
        <v>41411.409999999996</v>
      </c>
      <c r="Q158" s="1328"/>
      <c r="R158" s="1329">
        <f>+R156-R157</f>
        <v>144613.65999999986</v>
      </c>
      <c r="S158" s="2084"/>
      <c r="T158" s="2670">
        <f>+T156-T157</f>
        <v>46120.900000000016</v>
      </c>
      <c r="U158" s="1328"/>
      <c r="V158" s="1329">
        <f>+V156-V157</f>
        <v>190734.55999999988</v>
      </c>
      <c r="W158" s="2084"/>
      <c r="X158" s="2670">
        <f>+X156-X157</f>
        <v>44910.375000000007</v>
      </c>
      <c r="Y158" s="1331"/>
      <c r="Z158" s="1343">
        <f>+Z156-Z157</f>
        <v>132442.685</v>
      </c>
      <c r="AA158" s="1332"/>
      <c r="AB158" s="1344">
        <f>+AB156-AB157</f>
        <v>235644.93499999991</v>
      </c>
      <c r="AC158" s="2084"/>
      <c r="AD158" s="2670">
        <f>+AD156-AD157</f>
        <v>42767.049999999988</v>
      </c>
      <c r="AE158" s="1328"/>
      <c r="AF158" s="1329">
        <f>+AF156-AF157</f>
        <v>278411.98499999999</v>
      </c>
      <c r="AG158" s="2084"/>
      <c r="AH158" s="2670">
        <f>+AH156-AH157</f>
        <v>40266.100000000013</v>
      </c>
      <c r="AI158" s="1328"/>
      <c r="AJ158" s="1329">
        <f>+AJ156-AJ157</f>
        <v>318678.08500000025</v>
      </c>
      <c r="AK158" s="2084"/>
      <c r="AL158" s="2670">
        <f>+AL156-AL157</f>
        <v>41541.200000000012</v>
      </c>
      <c r="AM158" s="1331"/>
      <c r="AN158" s="1343">
        <f>+AN156-AN157</f>
        <v>124574.34999999998</v>
      </c>
      <c r="AO158" s="1328"/>
      <c r="AP158" s="1329">
        <f>+AP156-AP157</f>
        <v>360219.28500000003</v>
      </c>
      <c r="AQ158" s="2084"/>
      <c r="AR158" s="2670">
        <f>+AR156-AR157</f>
        <v>43760.850000000006</v>
      </c>
      <c r="AS158" s="1328"/>
      <c r="AT158" s="1329">
        <f>+AT156-AT157</f>
        <v>403980.13499999995</v>
      </c>
      <c r="AU158" s="2084"/>
      <c r="AV158" s="2670">
        <f>+AV156-AV157</f>
        <v>36414.150000000016</v>
      </c>
      <c r="AW158" s="1328"/>
      <c r="AX158" s="1329">
        <f>+AX156-AX157</f>
        <v>440394.28500000027</v>
      </c>
      <c r="AY158" s="2084"/>
      <c r="AZ158" s="2670">
        <f>+AZ156-AZ157</f>
        <v>38134.100000000006</v>
      </c>
      <c r="BA158" s="1331"/>
      <c r="BB158" s="1343">
        <f>+BB156-BB157</f>
        <v>118309.10000000005</v>
      </c>
      <c r="BC158" s="1332"/>
      <c r="BD158" s="1344">
        <f>+BD156-BD157</f>
        <v>242883.45</v>
      </c>
      <c r="BE158" s="1328"/>
      <c r="BF158" s="1329">
        <f>+BF156-BF157</f>
        <v>478528.38500000024</v>
      </c>
      <c r="BG158" s="26"/>
      <c r="BH158" s="26"/>
      <c r="BI158" s="26"/>
      <c r="BJ158" s="26"/>
    </row>
    <row r="159" spans="2:62" s="183" customFormat="1" ht="15.75" thickBot="1" x14ac:dyDescent="0.3">
      <c r="B159" s="188"/>
      <c r="C159" s="188"/>
      <c r="D159" s="188"/>
      <c r="E159" s="188"/>
      <c r="F159" s="188"/>
      <c r="G159" s="188"/>
      <c r="H159" s="188"/>
      <c r="I159" s="188"/>
      <c r="J159" s="188"/>
      <c r="K159" s="188"/>
      <c r="L159" s="188"/>
      <c r="M159" s="188"/>
      <c r="N159" s="188"/>
      <c r="O159" s="188"/>
      <c r="P159" s="188"/>
      <c r="Q159" s="188"/>
      <c r="R159" s="188"/>
      <c r="S159" s="188"/>
      <c r="T159" s="2652"/>
      <c r="U159" s="188"/>
      <c r="V159" s="188"/>
      <c r="W159" s="188"/>
      <c r="X159" s="2652"/>
      <c r="Y159" s="750"/>
      <c r="Z159" s="750"/>
      <c r="AA159" s="750"/>
      <c r="AB159" s="750"/>
      <c r="AC159" s="188"/>
      <c r="AD159" s="2652"/>
      <c r="AE159" s="188"/>
      <c r="AF159" s="188"/>
      <c r="AG159" s="188"/>
      <c r="AH159" s="2652"/>
      <c r="AI159" s="188"/>
      <c r="AJ159" s="188"/>
      <c r="AK159" s="188"/>
      <c r="AL159" s="2652"/>
      <c r="AM159" s="750"/>
      <c r="AN159" s="750"/>
      <c r="AO159" s="188"/>
      <c r="AP159" s="188"/>
      <c r="AQ159" s="188"/>
      <c r="AR159" s="2652"/>
      <c r="AS159" s="188"/>
      <c r="AT159" s="188"/>
      <c r="AU159" s="188"/>
      <c r="AV159" s="2652"/>
      <c r="AW159" s="188"/>
      <c r="AX159" s="188"/>
      <c r="AY159" s="188"/>
      <c r="AZ159" s="2652"/>
      <c r="BA159" s="750"/>
      <c r="BB159" s="750"/>
      <c r="BC159" s="750"/>
      <c r="BD159" s="750"/>
      <c r="BE159" s="188"/>
      <c r="BF159" s="188"/>
      <c r="BG159" s="26"/>
      <c r="BH159" s="26"/>
      <c r="BI159" s="26"/>
      <c r="BJ159" s="26"/>
    </row>
    <row r="160" spans="2:62" ht="15.75" thickBot="1" x14ac:dyDescent="0.3">
      <c r="B160" s="958" t="s">
        <v>865</v>
      </c>
      <c r="C160" s="1346"/>
      <c r="D160" s="955" t="s">
        <v>52</v>
      </c>
      <c r="E160" s="1347"/>
      <c r="F160" s="1347">
        <f>+F153-F154-F155-F156</f>
        <v>0</v>
      </c>
      <c r="G160" s="1347"/>
      <c r="H160" s="1347">
        <f>+H153-H154-H155-H156</f>
        <v>0.38499999999476131</v>
      </c>
      <c r="I160" s="1348"/>
      <c r="J160" s="1348">
        <f>+J153-J154-J155-J156</f>
        <v>0.38499999999476131</v>
      </c>
      <c r="K160" s="1347"/>
      <c r="L160" s="1347">
        <f>+L153-L154-L155-L156</f>
        <v>0.30000000000291038</v>
      </c>
      <c r="M160" s="1349"/>
      <c r="N160" s="1349">
        <f>+N153-N154-N155-N156</f>
        <v>0.68500000004132744</v>
      </c>
      <c r="O160" s="1347"/>
      <c r="P160" s="1347">
        <f>+P153-P154-P155-P156</f>
        <v>0</v>
      </c>
      <c r="Q160" s="1348"/>
      <c r="R160" s="1348">
        <f>+R153-R154-R155-R156</f>
        <v>0.68500000014319085</v>
      </c>
      <c r="S160" s="2087"/>
      <c r="T160" s="2671">
        <f>+T153-T154-T155-T156</f>
        <v>0</v>
      </c>
      <c r="U160" s="1348"/>
      <c r="V160" s="1348">
        <f>+V153-V154-V155-V156</f>
        <v>0.68500000014319085</v>
      </c>
      <c r="W160" s="2087"/>
      <c r="X160" s="2671">
        <f>+X153-X154-X155-X156</f>
        <v>-5.0000000337604433E-3</v>
      </c>
      <c r="Y160" s="1351"/>
      <c r="Z160" s="1349">
        <f>+Z153-Z154-Z155-Z156</f>
        <v>-5.0000000337604433E-3</v>
      </c>
      <c r="AA160" s="1352"/>
      <c r="AB160" s="1353">
        <f>+AB153-AB154-AB155-AB156</f>
        <v>0.68000000008032657</v>
      </c>
      <c r="AC160" s="2087"/>
      <c r="AD160" s="2671">
        <f>+AD153-AD154-AD155-AD156</f>
        <v>5.0000000017462298E-2</v>
      </c>
      <c r="AE160" s="1348"/>
      <c r="AF160" s="1348">
        <f>+AF153-AF154-AF155-AF156</f>
        <v>0.72999999998137355</v>
      </c>
      <c r="AG160" s="2087"/>
      <c r="AH160" s="2671">
        <f>+AH153-AH154-AH155-AH156</f>
        <v>0</v>
      </c>
      <c r="AI160" s="1348"/>
      <c r="AJ160" s="1348">
        <f>+AJ153-AJ154-AJ155-AJ156</f>
        <v>0.72999999969033524</v>
      </c>
      <c r="AK160" s="2087"/>
      <c r="AL160" s="2671">
        <f>+AL153-AL154-AL155-AL156</f>
        <v>0</v>
      </c>
      <c r="AM160" s="1351"/>
      <c r="AN160" s="1349">
        <f>+AN153-AN154-AN155-AN156</f>
        <v>5.0000000017462298E-2</v>
      </c>
      <c r="AO160" s="1348"/>
      <c r="AP160" s="1348">
        <f>+AP153-AP154-AP155-AP156</f>
        <v>0.72999999992316589</v>
      </c>
      <c r="AQ160" s="2087"/>
      <c r="AR160" s="2671">
        <f>+AR153-AR154-AR155-AR156</f>
        <v>-4.9999999995634425E-2</v>
      </c>
      <c r="AS160" s="1348"/>
      <c r="AT160" s="1348">
        <f>+AT153-AT154-AT155-AT156</f>
        <v>0.68000000005122274</v>
      </c>
      <c r="AU160" s="2087"/>
      <c r="AV160" s="2671">
        <f>+AV153-AV154-AV155-AV156</f>
        <v>0</v>
      </c>
      <c r="AW160" s="1348"/>
      <c r="AX160" s="1348">
        <f>+AX153-AX154-AX155-AX156</f>
        <v>0.67999999976018444</v>
      </c>
      <c r="AY160" s="2087"/>
      <c r="AZ160" s="2671">
        <f>+AZ153-AZ154-AZ155-AZ156</f>
        <v>0</v>
      </c>
      <c r="BA160" s="1351"/>
      <c r="BB160" s="1349">
        <f>+BB153-BB154-BB155-BB156</f>
        <v>-5.0000000032014214E-2</v>
      </c>
      <c r="BC160" s="1352"/>
      <c r="BD160" s="1353">
        <f>+BD153-BD154-BD155-BD156</f>
        <v>0</v>
      </c>
      <c r="BE160" s="1348"/>
      <c r="BF160" s="1348">
        <f>+BF153-BF154-BF155-BF156</f>
        <v>0.67999999970197678</v>
      </c>
      <c r="BG160" s="26"/>
      <c r="BH160" s="26"/>
      <c r="BI160" s="26"/>
      <c r="BJ160" s="26"/>
    </row>
    <row r="161" spans="2:62" s="183" customFormat="1" ht="15.75" thickBot="1" x14ac:dyDescent="0.3">
      <c r="I161" s="239"/>
      <c r="J161" s="188"/>
      <c r="S161" s="239"/>
      <c r="T161" s="2652"/>
      <c r="W161" s="239"/>
      <c r="X161" s="2652"/>
      <c r="AC161" s="239"/>
      <c r="AD161" s="2652"/>
      <c r="AG161" s="26"/>
      <c r="AH161" s="26"/>
      <c r="AI161" s="26"/>
      <c r="AJ161" s="26"/>
      <c r="AK161" s="26"/>
      <c r="AL161" s="26"/>
      <c r="AO161" s="26"/>
      <c r="AP161" s="26"/>
      <c r="AQ161" s="26"/>
      <c r="AR161" s="26"/>
      <c r="AS161" s="26"/>
      <c r="AT161" s="26"/>
      <c r="AU161" s="26"/>
      <c r="AV161" s="26"/>
      <c r="AW161" s="26"/>
      <c r="AX161" s="26"/>
      <c r="AY161" s="26"/>
      <c r="AZ161" s="26"/>
      <c r="BE161" s="26"/>
      <c r="BF161" s="26"/>
      <c r="BG161" s="26"/>
      <c r="BH161" s="26"/>
      <c r="BI161" s="26"/>
      <c r="BJ161" s="26"/>
    </row>
    <row r="162" spans="2:62" s="183" customFormat="1" ht="15.75" thickBot="1" x14ac:dyDescent="0.3">
      <c r="B162" s="774" t="s">
        <v>1221</v>
      </c>
      <c r="C162" s="528"/>
      <c r="D162" s="528"/>
      <c r="E162" s="528"/>
      <c r="F162" s="1708">
        <f>+F124</f>
        <v>38904.900000000023</v>
      </c>
      <c r="G162" s="528"/>
      <c r="H162" s="1708">
        <f>+H124</f>
        <v>31496.2</v>
      </c>
      <c r="I162" s="1510"/>
      <c r="J162" s="1708">
        <f>+J124</f>
        <v>70401.100000000006</v>
      </c>
      <c r="K162" s="528"/>
      <c r="L162" s="1708">
        <f>+L124</f>
        <v>33107.200000000012</v>
      </c>
      <c r="M162" s="744"/>
      <c r="N162" s="533">
        <f>+N124</f>
        <v>103508.29999999997</v>
      </c>
      <c r="O162" s="528"/>
      <c r="P162" s="1708">
        <f>+P124</f>
        <v>41516.03</v>
      </c>
      <c r="Q162" s="743"/>
      <c r="R162" s="443">
        <f>+R124</f>
        <v>145024.32999999987</v>
      </c>
      <c r="S162" s="1510"/>
      <c r="T162" s="2667">
        <f>+T124</f>
        <v>46245.950000000019</v>
      </c>
      <c r="U162" s="443">
        <f>+U125</f>
        <v>200000</v>
      </c>
      <c r="V162" s="443">
        <f>+V125</f>
        <v>190734.55999999991</v>
      </c>
      <c r="W162" s="1510"/>
      <c r="X162" s="2667">
        <f>+X124</f>
        <v>44960.60500000001</v>
      </c>
      <c r="Y162" s="1351"/>
      <c r="Z162" s="533">
        <f>+Z124</f>
        <v>132722.58499999999</v>
      </c>
      <c r="AA162" s="1352"/>
      <c r="AB162" s="564">
        <f>+AB124</f>
        <v>236230.88499999992</v>
      </c>
      <c r="AC162" s="1510"/>
      <c r="AD162" s="2667">
        <f>+AD124</f>
        <v>42980.249999999985</v>
      </c>
      <c r="AE162" s="443"/>
      <c r="AF162" s="443">
        <f>+AF124</f>
        <v>279211.13500000001</v>
      </c>
      <c r="AG162" s="1510"/>
      <c r="AH162" s="2667">
        <f>+AH124</f>
        <v>40366.55000000001</v>
      </c>
      <c r="AI162" s="443"/>
      <c r="AJ162" s="443">
        <f>+AJ124</f>
        <v>319577.68500000023</v>
      </c>
      <c r="AK162" s="1510"/>
      <c r="AL162" s="2667">
        <f>+AL124</f>
        <v>41586.30000000001</v>
      </c>
      <c r="AM162" s="1351"/>
      <c r="AN162" s="533">
        <f>+AN124</f>
        <v>124933.09999999998</v>
      </c>
      <c r="AO162" s="443"/>
      <c r="AP162" s="443">
        <f>+AP124</f>
        <v>361163.98500000004</v>
      </c>
      <c r="AQ162" s="1510"/>
      <c r="AR162" s="2667">
        <f>+AR124</f>
        <v>43804.450000000004</v>
      </c>
      <c r="AS162" s="443"/>
      <c r="AT162" s="443">
        <f>+AT124</f>
        <v>404968.43499999994</v>
      </c>
      <c r="AU162" s="1510"/>
      <c r="AV162" s="2667">
        <f>+AV124</f>
        <v>36567.900000000016</v>
      </c>
      <c r="AW162" s="443"/>
      <c r="AX162" s="443">
        <f>+AX124</f>
        <v>441536.33500000025</v>
      </c>
      <c r="AY162" s="1510"/>
      <c r="AZ162" s="2667">
        <f>+AZ124</f>
        <v>38343.200000000004</v>
      </c>
      <c r="BA162" s="1351"/>
      <c r="BB162" s="533">
        <f>+BB124</f>
        <v>118715.55000000005</v>
      </c>
      <c r="BC162" s="1352"/>
      <c r="BD162" s="564">
        <f>+BD124</f>
        <v>243648.65000000002</v>
      </c>
      <c r="BE162" s="443"/>
      <c r="BF162" s="443">
        <f>+BF124</f>
        <v>479879.53500000027</v>
      </c>
      <c r="BG162" s="26"/>
      <c r="BH162" s="26"/>
      <c r="BI162" s="26"/>
      <c r="BJ162" s="26"/>
    </row>
    <row r="163" spans="2:62" x14ac:dyDescent="0.25">
      <c r="E163"/>
      <c r="F163" s="4786"/>
      <c r="G163" s="4786"/>
      <c r="H163" s="4786"/>
      <c r="I163" s="4786"/>
      <c r="J163" s="4786"/>
      <c r="K163" s="4786"/>
      <c r="L163" s="4786"/>
      <c r="M163" s="4786"/>
      <c r="N163" s="4786"/>
      <c r="O163" s="4786"/>
      <c r="P163" s="4786"/>
      <c r="Q163" s="4786"/>
      <c r="R163" s="4786"/>
      <c r="S163" s="4786"/>
      <c r="T163" s="4786"/>
      <c r="U163" s="4786"/>
      <c r="V163" s="4786"/>
      <c r="W163" s="4786"/>
      <c r="X163" s="4786"/>
      <c r="Y163" s="4786"/>
      <c r="Z163" s="4786"/>
      <c r="AA163" s="4786"/>
      <c r="AB163" s="4786"/>
      <c r="AC163" s="4786"/>
      <c r="AK163" s="4321"/>
      <c r="AL163" s="4321"/>
      <c r="AM163" s="4321"/>
      <c r="AN163" s="4321"/>
      <c r="AO163" s="4321"/>
      <c r="AP163" s="4321"/>
      <c r="AQ163" s="4438"/>
      <c r="AR163" s="4438"/>
      <c r="AU163" s="4675"/>
      <c r="AV163" s="4675"/>
      <c r="AW163" s="4675"/>
      <c r="AX163" s="4675"/>
      <c r="AY163" s="26"/>
      <c r="AZ163" s="26"/>
      <c r="BE163" s="26"/>
      <c r="BF163" s="26"/>
    </row>
    <row r="164" spans="2:62" x14ac:dyDescent="0.25">
      <c r="E164"/>
      <c r="F164"/>
      <c r="AK164" s="4321"/>
      <c r="AL164" s="4321"/>
      <c r="AM164" s="4321"/>
      <c r="AN164" s="4321"/>
      <c r="AO164" s="4321"/>
      <c r="AP164" s="4321"/>
      <c r="AQ164" s="4438"/>
      <c r="AR164" s="4438"/>
      <c r="AU164" s="4675"/>
      <c r="AV164" s="4675"/>
      <c r="AW164" s="4675"/>
      <c r="AX164" s="4675"/>
      <c r="AY164" s="26"/>
      <c r="AZ164" s="26"/>
      <c r="BE164" s="26"/>
      <c r="BF164" s="26"/>
    </row>
    <row r="165" spans="2:62" x14ac:dyDescent="0.25">
      <c r="B165" s="2236" t="s">
        <v>1386</v>
      </c>
      <c r="C165" s="2236"/>
      <c r="D165" s="2236"/>
      <c r="E165" s="2236"/>
      <c r="F165" s="2237">
        <f>+SUM(F7:F93)+SUM(F97:F108)</f>
        <v>38790.100000000013</v>
      </c>
      <c r="G165" s="2238"/>
      <c r="H165" s="2237">
        <f>+SUM(H7:H93)+SUM(H97:H108)</f>
        <v>24710.700000000004</v>
      </c>
      <c r="I165" s="2238"/>
      <c r="J165" s="2239"/>
      <c r="K165" s="2238"/>
      <c r="L165" s="2237">
        <f>+SUM(L7:L93)+SUM(L97:L108)</f>
        <v>32975.4</v>
      </c>
      <c r="M165" s="2238"/>
      <c r="N165" s="2237">
        <f>+SUM(N7:N93)+SUM(N97:N108)</f>
        <v>96476.199999999953</v>
      </c>
      <c r="O165" s="2238"/>
      <c r="P165" s="2237">
        <f>+SUM(P7:P93)+SUM(P97:P108)</f>
        <v>41411.410000000003</v>
      </c>
      <c r="Q165" s="2238"/>
      <c r="R165" s="2239"/>
      <c r="S165" s="2238"/>
      <c r="T165" s="2237">
        <f>+SUM(T7:T93)+SUM(T97:T108)</f>
        <v>46120.900000000009</v>
      </c>
      <c r="U165" s="2236"/>
      <c r="V165" s="2236"/>
      <c r="W165" s="2236"/>
      <c r="X165" s="2237">
        <f>+SUM(X7:X93)+SUM(X97:X108)</f>
        <v>44910.375000000007</v>
      </c>
      <c r="Y165" s="2236"/>
      <c r="Z165" s="2237">
        <f>+SUM(Z7:Z93)+SUM(Z97:Z108)</f>
        <v>132442.68500000003</v>
      </c>
      <c r="AA165" s="2237"/>
      <c r="AB165" s="2237">
        <f>+SUM(AB7:AB93)+SUM(AB97:AB108)</f>
        <v>228918.88500000001</v>
      </c>
      <c r="AD165" s="2237">
        <f>+SUM(AD7:AD93)+SUM(AD97:AD108)</f>
        <v>42767.049999999988</v>
      </c>
      <c r="AF165" s="2237">
        <f>+SUM(AF8:AF93)+SUM(AF97:AF108)</f>
        <v>270503.0849999999</v>
      </c>
      <c r="AH165" s="2237">
        <f>+SUM(AH7:AH93)+SUM(AH97:AH108)</f>
        <v>40266.100000000006</v>
      </c>
      <c r="AI165" s="4213"/>
      <c r="AJ165" s="2237">
        <f>+SUM(AJ7:AJ93)+SUM(AJ97:AJ108)</f>
        <v>311952.03500000009</v>
      </c>
      <c r="AK165" s="4321"/>
      <c r="AL165" s="2237">
        <f>+SUM(AL7:AL93)+SUM(AL97:AL108)</f>
        <v>41541.200000000004</v>
      </c>
      <c r="AM165" s="2236"/>
      <c r="AN165" s="2237">
        <f>+SUM(AN7:AN93)+SUM(AN97:AN108)</f>
        <v>124574.34999999999</v>
      </c>
      <c r="AO165" s="4321"/>
      <c r="AP165" s="2237">
        <f>+SUM(AP8:AP93)+SUM(AP97:AP108)</f>
        <v>351826.58500000002</v>
      </c>
      <c r="AQ165" s="4438"/>
      <c r="AR165" s="2237">
        <f>+SUM(AR7:AR93)+SUM(AR97:AR108)</f>
        <v>43760.849999999991</v>
      </c>
      <c r="AT165" s="2237">
        <f>+SUM(AT7:AT93)+SUM(AT97:AT108)</f>
        <v>397254.0849999999</v>
      </c>
      <c r="AU165" s="4675"/>
      <c r="AV165" s="2237">
        <f>+SUM(AV7:AV93)+SUM(AV97:AV108)</f>
        <v>36414.15</v>
      </c>
      <c r="AW165" s="4675"/>
      <c r="AX165" s="2237">
        <f>+SUM(AX7:AX93)+SUM(AX97:AX108)</f>
        <v>433668.23500000016</v>
      </c>
      <c r="AY165" s="26"/>
      <c r="AZ165" s="26"/>
      <c r="BA165" s="2236"/>
      <c r="BB165" s="2237">
        <f>+SUM(BB7:BB93)+SUM(BB97:BB108)</f>
        <v>118309.10000000002</v>
      </c>
      <c r="BC165" s="2237"/>
      <c r="BD165" s="2237">
        <f>+SUM(BD7:BD93)+SUM(BD97:BD108)</f>
        <v>242883.45000000004</v>
      </c>
      <c r="BE165" s="26"/>
      <c r="BF165" s="26"/>
    </row>
    <row r="166" spans="2:62" x14ac:dyDescent="0.25">
      <c r="B166" s="2236" t="s">
        <v>650</v>
      </c>
      <c r="C166" s="2236"/>
      <c r="D166" s="2236"/>
      <c r="E166" s="2238"/>
      <c r="F166" s="2240">
        <f>+F125-F165</f>
        <v>0</v>
      </c>
      <c r="G166" s="2238"/>
      <c r="H166" s="2240">
        <f>+H125-H165</f>
        <v>6726.0499999999956</v>
      </c>
      <c r="I166" s="2238"/>
      <c r="J166" s="2239"/>
      <c r="K166" s="2238"/>
      <c r="L166" s="2240">
        <f>+L125-L165</f>
        <v>0</v>
      </c>
      <c r="M166" s="2238"/>
      <c r="N166" s="2240">
        <f>+N125-N165</f>
        <v>6726.0500000000029</v>
      </c>
      <c r="O166" s="2238"/>
      <c r="P166" s="2240">
        <f>+P125-P165</f>
        <v>0</v>
      </c>
      <c r="Q166" s="2238"/>
      <c r="R166" s="2239"/>
      <c r="S166" s="2238"/>
      <c r="T166" s="2240">
        <f>+T125-T165</f>
        <v>0</v>
      </c>
      <c r="U166" s="2236"/>
      <c r="V166" s="2236"/>
      <c r="W166" s="2236"/>
      <c r="X166" s="2240">
        <f>+X125-X165</f>
        <v>0</v>
      </c>
      <c r="Y166" s="2236"/>
      <c r="Z166" s="2240">
        <f>+Z125-Z165</f>
        <v>0</v>
      </c>
      <c r="AA166" s="2240"/>
      <c r="AB166" s="2240">
        <f>+AB125-AB165</f>
        <v>6726.0499999999593</v>
      </c>
      <c r="AD166" s="2240">
        <f>+AD125-AD165</f>
        <v>0</v>
      </c>
      <c r="AF166" s="2240">
        <f>+AF125-AF165</f>
        <v>7908.9000000000815</v>
      </c>
      <c r="AH166" s="2240">
        <f>+AH125-AH165</f>
        <v>0</v>
      </c>
      <c r="AI166" s="4213"/>
      <c r="AJ166" s="2240">
        <f>+AJ125-AJ165</f>
        <v>6726.0500000001048</v>
      </c>
      <c r="AK166" s="4321"/>
      <c r="AL166" s="2240">
        <f>+AL125-AL165</f>
        <v>0</v>
      </c>
      <c r="AM166" s="2236"/>
      <c r="AN166" s="2240">
        <f>+AN125-AN165</f>
        <v>0</v>
      </c>
      <c r="AO166" s="4321"/>
      <c r="AP166" s="2240">
        <f>+AP125-AP165</f>
        <v>8392.7000000000116</v>
      </c>
      <c r="AQ166" s="4438"/>
      <c r="AR166" s="2240">
        <f>+AR125-AR165</f>
        <v>0</v>
      </c>
      <c r="AT166" s="2240">
        <f>+AT125-AT165</f>
        <v>6726.0500000000466</v>
      </c>
      <c r="AU166" s="4675"/>
      <c r="AV166" s="2240">
        <f>+AV125-AV165</f>
        <v>0</v>
      </c>
      <c r="AW166" s="4675"/>
      <c r="AX166" s="2240">
        <f>+AX125-AX165</f>
        <v>6726.0500000000466</v>
      </c>
      <c r="AY166" s="26"/>
      <c r="AZ166" s="26"/>
      <c r="BA166" s="2236"/>
      <c r="BB166" s="2240">
        <f>+BB125-BB165</f>
        <v>0</v>
      </c>
      <c r="BC166" s="2240"/>
      <c r="BD166" s="2240">
        <f>+BD125-BD165</f>
        <v>0</v>
      </c>
      <c r="BE166" s="26"/>
      <c r="BF166" s="26"/>
    </row>
    <row r="167" spans="2:62" x14ac:dyDescent="0.25">
      <c r="AK167" s="4321"/>
      <c r="AL167" s="4321"/>
      <c r="AM167" s="4321"/>
      <c r="AN167" s="4321"/>
      <c r="AO167" s="4321"/>
      <c r="AP167" s="4321"/>
    </row>
    <row r="168" spans="2:62" x14ac:dyDescent="0.25">
      <c r="B168" t="s">
        <v>2002</v>
      </c>
      <c r="C168" s="346">
        <v>7.6</v>
      </c>
      <c r="F168" s="147"/>
      <c r="G168" s="147"/>
      <c r="H168" s="147"/>
      <c r="I168" s="147"/>
      <c r="J168" s="147"/>
      <c r="K168" s="147"/>
      <c r="L168" s="147"/>
      <c r="M168" s="147"/>
      <c r="N168" s="147"/>
      <c r="O168" s="147"/>
      <c r="P168" s="147"/>
      <c r="Q168" s="147"/>
      <c r="R168" s="147"/>
      <c r="S168" s="147"/>
      <c r="T168" s="2672"/>
      <c r="U168" s="147"/>
      <c r="V168" s="147"/>
      <c r="W168" s="147"/>
      <c r="X168" s="147"/>
      <c r="Y168" s="147"/>
      <c r="Z168" s="147"/>
      <c r="AA168" s="147"/>
      <c r="AB168" s="147"/>
      <c r="AK168" s="4321"/>
      <c r="AL168" s="4321"/>
      <c r="AM168" s="147"/>
      <c r="AN168" s="147"/>
      <c r="AO168" s="4321"/>
      <c r="AP168" s="4321"/>
    </row>
    <row r="169" spans="2:62" hidden="1" x14ac:dyDescent="0.25">
      <c r="B169" t="s">
        <v>1963</v>
      </c>
      <c r="F169" s="147">
        <v>49.2</v>
      </c>
      <c r="G169" s="147"/>
      <c r="H169" s="147">
        <v>2.0499999999999998</v>
      </c>
      <c r="I169" s="147"/>
      <c r="J169" s="147"/>
      <c r="K169" s="147"/>
      <c r="L169" s="147">
        <v>32.200000000000003</v>
      </c>
      <c r="M169" s="147"/>
      <c r="N169" s="147"/>
      <c r="O169" s="147"/>
      <c r="P169" s="147">
        <v>4.0999999999999996</v>
      </c>
      <c r="Q169" s="147"/>
      <c r="R169" s="147"/>
      <c r="S169" s="147"/>
      <c r="T169" s="2672">
        <v>30.75</v>
      </c>
      <c r="U169" s="147"/>
      <c r="V169" s="147"/>
      <c r="W169" s="147"/>
      <c r="X169" s="147">
        <v>2.0499999999999998</v>
      </c>
      <c r="Y169" s="147"/>
      <c r="Z169" s="147"/>
      <c r="AA169" s="147"/>
      <c r="AB169" s="147"/>
      <c r="AD169">
        <v>51.250000000000007</v>
      </c>
      <c r="AL169">
        <v>4.0999999999999996</v>
      </c>
      <c r="AR169">
        <v>8.1999999999999993</v>
      </c>
    </row>
    <row r="170" spans="2:62" hidden="1" x14ac:dyDescent="0.25">
      <c r="E170" s="26">
        <f>E125-'Maj Production Summ'!E28</f>
        <v>0</v>
      </c>
      <c r="F170" s="26">
        <f>F125-'Maj Production Summ'!F28</f>
        <v>0</v>
      </c>
      <c r="G170" s="26">
        <f>G125-'Maj Production Summ'!G28</f>
        <v>0</v>
      </c>
      <c r="H170" s="26">
        <f>H125-'Maj Production Summ'!H28</f>
        <v>0</v>
      </c>
      <c r="I170" s="26">
        <f>I125-'Maj Production Summ'!I28</f>
        <v>0</v>
      </c>
      <c r="J170" s="26">
        <f>J125-'Maj Production Summ'!J28</f>
        <v>0</v>
      </c>
      <c r="K170" s="26">
        <f>K125-'Maj Production Summ'!K28</f>
        <v>0</v>
      </c>
      <c r="L170" s="26">
        <f>L125-'Maj Production Summ'!L28</f>
        <v>0</v>
      </c>
      <c r="M170" s="26">
        <f>M125-'Maj Production Summ'!M28</f>
        <v>0</v>
      </c>
      <c r="N170" s="26">
        <f>N125-'Maj Production Summ'!N28</f>
        <v>0</v>
      </c>
      <c r="O170" s="26">
        <f>O125-'Maj Production Summ'!O28</f>
        <v>0</v>
      </c>
      <c r="P170" s="26">
        <f>P125-'Maj Production Summ'!P28</f>
        <v>0</v>
      </c>
      <c r="Q170" s="26">
        <f>Q125-'Maj Production Summ'!Q28</f>
        <v>0</v>
      </c>
      <c r="R170" s="26">
        <f>R125-'Maj Production Summ'!R28</f>
        <v>0</v>
      </c>
      <c r="S170" s="26">
        <f>S125-'Maj Production Summ'!S28</f>
        <v>0</v>
      </c>
      <c r="T170" s="26">
        <f>T125-'Maj Production Summ'!T28</f>
        <v>0</v>
      </c>
      <c r="U170" s="26">
        <f>U125-'Maj Production Summ'!U28</f>
        <v>0</v>
      </c>
      <c r="V170" s="26">
        <f>V125-'Maj Production Summ'!V28</f>
        <v>0</v>
      </c>
      <c r="W170" s="26">
        <f>W125-'Maj Production Summ'!W28</f>
        <v>0</v>
      </c>
      <c r="X170" s="26">
        <f>X125-'Maj Production Summ'!X28</f>
        <v>0</v>
      </c>
      <c r="Y170" s="26">
        <f>Y125-'Maj Production Summ'!Y28</f>
        <v>0</v>
      </c>
      <c r="Z170" s="26">
        <f>Z125-'Maj Production Summ'!Z28</f>
        <v>0</v>
      </c>
      <c r="AA170" s="26">
        <f>AA125-'Maj Production Summ'!AA28</f>
        <v>0</v>
      </c>
      <c r="AB170" s="26">
        <f>AB125-'Maj Production Summ'!AB28</f>
        <v>0</v>
      </c>
      <c r="AC170" s="26">
        <f>AC125-'Maj Production Summ'!AC28</f>
        <v>0</v>
      </c>
      <c r="AD170" s="26"/>
      <c r="AE170" s="26"/>
      <c r="AF170" s="26"/>
    </row>
    <row r="171" spans="2:62" hidden="1" x14ac:dyDescent="0.25"/>
    <row r="172" spans="2:62" x14ac:dyDescent="0.25">
      <c r="B172" s="5746" t="s">
        <v>2001</v>
      </c>
      <c r="C172" s="5795">
        <f>+BF126</f>
        <v>1351.15</v>
      </c>
    </row>
    <row r="173" spans="2:62" x14ac:dyDescent="0.25">
      <c r="B173" t="s">
        <v>23</v>
      </c>
      <c r="C173" s="346">
        <f>SUM(C168:C172)</f>
        <v>1358.75</v>
      </c>
    </row>
    <row r="175" spans="2:62" x14ac:dyDescent="0.25">
      <c r="B175" t="s">
        <v>2003</v>
      </c>
      <c r="C175" s="2235">
        <f>1428.335-6.14</f>
        <v>1422.1949999999999</v>
      </c>
    </row>
    <row r="176" spans="2:62" x14ac:dyDescent="0.25">
      <c r="B176" t="s">
        <v>2004</v>
      </c>
      <c r="C176" s="5796">
        <v>233.1</v>
      </c>
    </row>
    <row r="177" spans="2:3" x14ac:dyDescent="0.25">
      <c r="B177" t="s">
        <v>2005</v>
      </c>
      <c r="C177" s="5796">
        <f>+C175-C176</f>
        <v>1189.095</v>
      </c>
    </row>
  </sheetData>
  <mergeCells count="31">
    <mergeCell ref="W1:X1"/>
    <mergeCell ref="W3:X3"/>
    <mergeCell ref="Y3:Z3"/>
    <mergeCell ref="AA3:AB3"/>
    <mergeCell ref="B3:B4"/>
    <mergeCell ref="E3:F3"/>
    <mergeCell ref="G3:H3"/>
    <mergeCell ref="I3:J3"/>
    <mergeCell ref="K3:L3"/>
    <mergeCell ref="C3:C5"/>
    <mergeCell ref="D3:D5"/>
    <mergeCell ref="U3:V3"/>
    <mergeCell ref="M3:N3"/>
    <mergeCell ref="Q3:R3"/>
    <mergeCell ref="S3:T3"/>
    <mergeCell ref="O3:P3"/>
    <mergeCell ref="AS3:AT3"/>
    <mergeCell ref="AK3:AL3"/>
    <mergeCell ref="AM3:AN3"/>
    <mergeCell ref="AO3:AP3"/>
    <mergeCell ref="AC3:AD3"/>
    <mergeCell ref="AE3:AF3"/>
    <mergeCell ref="AG3:AH3"/>
    <mergeCell ref="AI3:AJ3"/>
    <mergeCell ref="AQ3:AR3"/>
    <mergeCell ref="AY3:AZ3"/>
    <mergeCell ref="BE3:BF3"/>
    <mergeCell ref="BA3:BB3"/>
    <mergeCell ref="BC3:BD3"/>
    <mergeCell ref="AU3:AV3"/>
    <mergeCell ref="AW3:AX3"/>
  </mergeCells>
  <printOptions horizontalCentered="1" verticalCentered="1"/>
  <pageMargins left="0" right="0" top="0" bottom="0" header="0" footer="0"/>
  <pageSetup scale="25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>
    <tabColor rgb="FF0033CC"/>
    <pageSetUpPr fitToPage="1"/>
  </sheetPr>
  <dimension ref="A1:BK90"/>
  <sheetViews>
    <sheetView topLeftCell="A49" zoomScaleNormal="100" workbookViewId="0">
      <pane xSplit="4" topLeftCell="E1" activePane="topRight" state="frozen"/>
      <selection pane="topRight" activeCell="E70" sqref="E70"/>
    </sheetView>
  </sheetViews>
  <sheetFormatPr defaultColWidth="8.85546875" defaultRowHeight="15" x14ac:dyDescent="0.25"/>
  <cols>
    <col min="2" max="2" width="39.28515625" bestFit="1" customWidth="1"/>
    <col min="3" max="3" width="25.42578125" customWidth="1"/>
    <col min="4" max="4" width="15.140625" bestFit="1" customWidth="1"/>
    <col min="5" max="5" width="10.42578125" customWidth="1"/>
    <col min="6" max="6" width="8" bestFit="1" customWidth="1"/>
    <col min="7" max="7" width="10.7109375" customWidth="1"/>
    <col min="8" max="8" width="8" customWidth="1"/>
    <col min="9" max="9" width="9" hidden="1" customWidth="1"/>
    <col min="10" max="10" width="9.42578125" hidden="1" customWidth="1"/>
    <col min="11" max="11" width="8.7109375" customWidth="1"/>
    <col min="12" max="12" width="8" customWidth="1"/>
    <col min="13" max="13" width="13.42578125" customWidth="1"/>
    <col min="14" max="14" width="9" customWidth="1"/>
    <col min="15" max="15" width="9.140625" customWidth="1"/>
    <col min="16" max="16" width="8" customWidth="1"/>
    <col min="17" max="17" width="12.140625" hidden="1" customWidth="1"/>
    <col min="18" max="18" width="9.42578125" hidden="1" customWidth="1"/>
    <col min="19" max="19" width="8.85546875" customWidth="1"/>
    <col min="20" max="20" width="8.7109375" customWidth="1"/>
    <col min="21" max="22" width="9" hidden="1" customWidth="1"/>
    <col min="23" max="23" width="8" customWidth="1"/>
    <col min="24" max="24" width="8.7109375" bestFit="1" customWidth="1"/>
    <col min="25" max="25" width="9.28515625" customWidth="1"/>
    <col min="26" max="26" width="9" customWidth="1"/>
    <col min="27" max="27" width="9.28515625" customWidth="1"/>
    <col min="28" max="28" width="9" customWidth="1"/>
    <col min="31" max="32" width="0" hidden="1" customWidth="1"/>
    <col min="35" max="36" width="8.85546875" hidden="1" customWidth="1"/>
    <col min="41" max="42" width="0" hidden="1" customWidth="1"/>
    <col min="45" max="46" width="0" hidden="1" customWidth="1"/>
    <col min="49" max="49" width="9" bestFit="1" customWidth="1"/>
    <col min="53" max="56" width="8.85546875" style="5117"/>
  </cols>
  <sheetData>
    <row r="1" spans="1:62" ht="22.5" x14ac:dyDescent="0.3">
      <c r="B1" s="465" t="s">
        <v>98</v>
      </c>
      <c r="C1" s="465"/>
      <c r="D1" s="59"/>
      <c r="E1" s="59"/>
      <c r="F1" s="722"/>
      <c r="G1" s="59"/>
      <c r="H1" s="722"/>
      <c r="I1" s="59"/>
      <c r="J1" s="59"/>
      <c r="K1" s="188"/>
      <c r="L1" s="722"/>
      <c r="M1" s="122"/>
      <c r="N1" s="122"/>
      <c r="O1" s="188"/>
      <c r="P1" s="2141"/>
      <c r="Q1" s="122"/>
      <c r="R1" s="147"/>
      <c r="S1" s="122"/>
      <c r="T1" s="2652"/>
      <c r="U1" s="122"/>
      <c r="V1" s="122"/>
      <c r="W1" s="122"/>
      <c r="X1" s="122"/>
      <c r="Y1" s="122"/>
      <c r="Z1" s="122"/>
      <c r="AA1" s="122"/>
      <c r="AB1" s="122"/>
    </row>
    <row r="2" spans="1:62" ht="15.75" thickBot="1" x14ac:dyDescent="0.3">
      <c r="B2" s="59"/>
      <c r="C2" s="59"/>
      <c r="D2" s="59"/>
      <c r="E2" s="126">
        <v>30</v>
      </c>
      <c r="F2" s="126">
        <v>30</v>
      </c>
      <c r="G2" s="126">
        <v>31</v>
      </c>
      <c r="H2" s="126">
        <v>31</v>
      </c>
      <c r="I2" s="126">
        <f>+E2+G2</f>
        <v>61</v>
      </c>
      <c r="J2" s="126">
        <f>+F2+H2</f>
        <v>61</v>
      </c>
      <c r="K2" s="476">
        <v>30</v>
      </c>
      <c r="L2" s="126">
        <v>30</v>
      </c>
      <c r="M2" s="476">
        <f>+I2+K2</f>
        <v>91</v>
      </c>
      <c r="N2" s="476">
        <f>+J2+L2</f>
        <v>91</v>
      </c>
      <c r="O2" s="476">
        <v>31</v>
      </c>
      <c r="P2" s="476">
        <v>31</v>
      </c>
      <c r="Q2" s="126">
        <f>+M2+O2</f>
        <v>122</v>
      </c>
      <c r="R2" s="126">
        <f>+N2+P2</f>
        <v>122</v>
      </c>
      <c r="S2" s="122">
        <v>31</v>
      </c>
      <c r="T2" s="2652">
        <v>31</v>
      </c>
      <c r="U2" s="122">
        <f>+Q2+S2</f>
        <v>153</v>
      </c>
      <c r="V2" s="122">
        <f>+R2+T2</f>
        <v>153</v>
      </c>
      <c r="W2" s="122">
        <v>30</v>
      </c>
      <c r="X2" s="122">
        <v>30</v>
      </c>
      <c r="Y2" s="122">
        <f>+O2+S2+W2</f>
        <v>92</v>
      </c>
      <c r="Z2" s="122">
        <f>+P2+T2+X2</f>
        <v>92</v>
      </c>
      <c r="AA2" s="122">
        <f>+Y2+M2</f>
        <v>183</v>
      </c>
      <c r="AB2" s="122">
        <f>+Z2+N2</f>
        <v>183</v>
      </c>
      <c r="AC2" s="122">
        <v>31</v>
      </c>
      <c r="AD2" s="2652">
        <v>31</v>
      </c>
      <c r="AE2" s="122">
        <f>+AA2+AC2</f>
        <v>214</v>
      </c>
      <c r="AF2" s="122">
        <f>+AB2+AD2</f>
        <v>214</v>
      </c>
      <c r="AG2" s="122">
        <v>30</v>
      </c>
      <c r="AH2" s="2652">
        <v>30</v>
      </c>
      <c r="AI2" s="122">
        <f>+AE2+AG2</f>
        <v>244</v>
      </c>
      <c r="AJ2" s="122">
        <f>+AF2+AH2</f>
        <v>244</v>
      </c>
      <c r="AK2" s="122">
        <v>31</v>
      </c>
      <c r="AL2" s="2652">
        <v>31</v>
      </c>
      <c r="AM2" s="122">
        <f>+AC2+AG2+AK2</f>
        <v>92</v>
      </c>
      <c r="AN2" s="122">
        <f>+AD2+AH2+AL2</f>
        <v>92</v>
      </c>
      <c r="AO2" s="122">
        <f>AI2+AK2</f>
        <v>275</v>
      </c>
      <c r="AP2" s="122">
        <f>AJ2+AL2</f>
        <v>275</v>
      </c>
      <c r="AQ2" s="122">
        <v>31</v>
      </c>
      <c r="AR2" s="2652">
        <v>31</v>
      </c>
      <c r="AS2" s="122">
        <f>+AO2+AQ2</f>
        <v>306</v>
      </c>
      <c r="AT2" s="122">
        <f>+AP2+AR2</f>
        <v>306</v>
      </c>
      <c r="AU2" s="122">
        <v>29</v>
      </c>
      <c r="AV2" s="2652">
        <v>29</v>
      </c>
      <c r="AW2" s="122">
        <f>+AS2+AU2</f>
        <v>335</v>
      </c>
      <c r="AX2" s="122">
        <f>+AT2+AV2</f>
        <v>335</v>
      </c>
      <c r="AY2" s="122">
        <v>31</v>
      </c>
      <c r="AZ2" s="2652">
        <v>31</v>
      </c>
      <c r="BA2" s="122">
        <f>+AQ2+AU2+AY2</f>
        <v>91</v>
      </c>
      <c r="BB2" s="122">
        <f>+AR2+AV2+AZ2</f>
        <v>91</v>
      </c>
      <c r="BC2" s="122">
        <f>+AM2+BA2</f>
        <v>183</v>
      </c>
      <c r="BD2" s="122">
        <f>+AN2+BB2</f>
        <v>183</v>
      </c>
      <c r="BE2" s="122">
        <f>+AW2+AY2</f>
        <v>366</v>
      </c>
      <c r="BF2" s="122">
        <f>+AX2+AZ2</f>
        <v>366</v>
      </c>
    </row>
    <row r="3" spans="1:62" ht="15.75" thickBot="1" x14ac:dyDescent="0.3">
      <c r="B3" s="6164" t="s">
        <v>175</v>
      </c>
      <c r="C3" s="6415" t="s">
        <v>881</v>
      </c>
      <c r="D3" s="6061" t="s">
        <v>176</v>
      </c>
      <c r="E3" s="6045" t="s">
        <v>1470</v>
      </c>
      <c r="F3" s="6063"/>
      <c r="G3" s="6045" t="s">
        <v>1526</v>
      </c>
      <c r="H3" s="6045"/>
      <c r="I3" s="6046" t="s">
        <v>15</v>
      </c>
      <c r="J3" s="6047"/>
      <c r="K3" s="6076" t="s">
        <v>1620</v>
      </c>
      <c r="L3" s="6077"/>
      <c r="M3" s="6078" t="s">
        <v>658</v>
      </c>
      <c r="N3" s="6079"/>
      <c r="O3" s="6045" t="s">
        <v>1688</v>
      </c>
      <c r="P3" s="6045"/>
      <c r="Q3" s="6046" t="s">
        <v>18</v>
      </c>
      <c r="R3" s="6047"/>
      <c r="S3" s="6045" t="s">
        <v>1731</v>
      </c>
      <c r="T3" s="6045"/>
      <c r="U3" s="6046" t="s">
        <v>19</v>
      </c>
      <c r="V3" s="6047"/>
      <c r="W3" s="6045" t="s">
        <v>1766</v>
      </c>
      <c r="X3" s="6045"/>
      <c r="Y3" s="6078" t="s">
        <v>682</v>
      </c>
      <c r="Z3" s="6079"/>
      <c r="AA3" s="6074" t="s">
        <v>679</v>
      </c>
      <c r="AB3" s="6075"/>
      <c r="AC3" s="6045" t="s">
        <v>1831</v>
      </c>
      <c r="AD3" s="6045"/>
      <c r="AE3" s="6046" t="s">
        <v>26</v>
      </c>
      <c r="AF3" s="6047"/>
      <c r="AG3" s="6045" t="s">
        <v>1863</v>
      </c>
      <c r="AH3" s="6045"/>
      <c r="AI3" s="6046" t="s">
        <v>29</v>
      </c>
      <c r="AJ3" s="6047"/>
      <c r="AK3" s="6045" t="s">
        <v>1888</v>
      </c>
      <c r="AL3" s="6045"/>
      <c r="AM3" s="6078" t="s">
        <v>684</v>
      </c>
      <c r="AN3" s="6079"/>
      <c r="AO3" s="6046" t="s">
        <v>1890</v>
      </c>
      <c r="AP3" s="6047"/>
      <c r="AQ3" s="6045" t="s">
        <v>1918</v>
      </c>
      <c r="AR3" s="6045"/>
      <c r="AS3" s="6046" t="s">
        <v>30</v>
      </c>
      <c r="AT3" s="6047"/>
      <c r="AU3" s="6045" t="s">
        <v>1940</v>
      </c>
      <c r="AV3" s="6045"/>
      <c r="AW3" s="6046" t="s">
        <v>32</v>
      </c>
      <c r="AX3" s="6047"/>
      <c r="AY3" s="6045" t="s">
        <v>1965</v>
      </c>
      <c r="AZ3" s="6045"/>
      <c r="BA3" s="6078" t="s">
        <v>685</v>
      </c>
      <c r="BB3" s="6079"/>
      <c r="BC3" s="6074" t="s">
        <v>693</v>
      </c>
      <c r="BD3" s="6075"/>
      <c r="BE3" s="6046" t="s">
        <v>1513</v>
      </c>
      <c r="BF3" s="6047"/>
    </row>
    <row r="4" spans="1:62" ht="15.75" thickBot="1" x14ac:dyDescent="0.3">
      <c r="B4" s="6408"/>
      <c r="C4" s="6416"/>
      <c r="D4" s="6062"/>
      <c r="E4" s="667" t="s">
        <v>177</v>
      </c>
      <c r="F4" s="191" t="s">
        <v>178</v>
      </c>
      <c r="G4" s="667" t="s">
        <v>177</v>
      </c>
      <c r="H4" s="214" t="s">
        <v>178</v>
      </c>
      <c r="I4" s="179" t="s">
        <v>177</v>
      </c>
      <c r="J4" s="199" t="s">
        <v>178</v>
      </c>
      <c r="K4" s="271" t="s">
        <v>177</v>
      </c>
      <c r="L4" s="214" t="s">
        <v>178</v>
      </c>
      <c r="M4" s="850" t="s">
        <v>177</v>
      </c>
      <c r="N4" s="206" t="s">
        <v>178</v>
      </c>
      <c r="O4" s="271" t="s">
        <v>177</v>
      </c>
      <c r="P4" s="477" t="s">
        <v>178</v>
      </c>
      <c r="Q4" s="179" t="s">
        <v>177</v>
      </c>
      <c r="R4" s="199" t="s">
        <v>178</v>
      </c>
      <c r="S4" s="271" t="s">
        <v>177</v>
      </c>
      <c r="T4" s="2654" t="s">
        <v>178</v>
      </c>
      <c r="U4" s="179" t="s">
        <v>177</v>
      </c>
      <c r="V4" s="199" t="s">
        <v>178</v>
      </c>
      <c r="W4" s="271" t="s">
        <v>177</v>
      </c>
      <c r="X4" s="477" t="s">
        <v>178</v>
      </c>
      <c r="Y4" s="850" t="s">
        <v>177</v>
      </c>
      <c r="Z4" s="206" t="s">
        <v>178</v>
      </c>
      <c r="AA4" s="851" t="s">
        <v>177</v>
      </c>
      <c r="AB4" s="561" t="s">
        <v>178</v>
      </c>
      <c r="AC4" s="271" t="s">
        <v>177</v>
      </c>
      <c r="AD4" s="2654" t="s">
        <v>178</v>
      </c>
      <c r="AE4" s="4091" t="s">
        <v>177</v>
      </c>
      <c r="AF4" s="199" t="s">
        <v>178</v>
      </c>
      <c r="AG4" s="271" t="s">
        <v>177</v>
      </c>
      <c r="AH4" s="2654" t="s">
        <v>178</v>
      </c>
      <c r="AI4" s="4182" t="s">
        <v>177</v>
      </c>
      <c r="AJ4" s="199" t="s">
        <v>178</v>
      </c>
      <c r="AK4" s="271" t="s">
        <v>177</v>
      </c>
      <c r="AL4" s="2654" t="s">
        <v>178</v>
      </c>
      <c r="AM4" s="4316" t="s">
        <v>177</v>
      </c>
      <c r="AN4" s="206" t="s">
        <v>178</v>
      </c>
      <c r="AO4" s="4318" t="s">
        <v>177</v>
      </c>
      <c r="AP4" s="199" t="s">
        <v>178</v>
      </c>
      <c r="AQ4" s="271" t="s">
        <v>177</v>
      </c>
      <c r="AR4" s="2654" t="s">
        <v>178</v>
      </c>
      <c r="AS4" s="4437" t="s">
        <v>177</v>
      </c>
      <c r="AT4" s="199" t="s">
        <v>178</v>
      </c>
      <c r="AU4" s="271" t="s">
        <v>177</v>
      </c>
      <c r="AV4" s="2654" t="s">
        <v>178</v>
      </c>
      <c r="AW4" s="4674" t="s">
        <v>177</v>
      </c>
      <c r="AX4" s="199" t="s">
        <v>178</v>
      </c>
      <c r="AY4" s="271" t="s">
        <v>177</v>
      </c>
      <c r="AZ4" s="2654" t="s">
        <v>178</v>
      </c>
      <c r="BA4" s="5107" t="s">
        <v>177</v>
      </c>
      <c r="BB4" s="206" t="s">
        <v>178</v>
      </c>
      <c r="BC4" s="5110" t="s">
        <v>177</v>
      </c>
      <c r="BD4" s="561" t="s">
        <v>178</v>
      </c>
      <c r="BE4" s="5111" t="s">
        <v>177</v>
      </c>
      <c r="BF4" s="199" t="s">
        <v>178</v>
      </c>
    </row>
    <row r="5" spans="1:62" ht="17.100000000000001" customHeight="1" x14ac:dyDescent="0.25">
      <c r="B5" s="11" t="s">
        <v>878</v>
      </c>
      <c r="C5" s="1"/>
      <c r="D5" s="880" t="s">
        <v>52</v>
      </c>
      <c r="E5" s="1088">
        <v>75129.533678756474</v>
      </c>
      <c r="F5" s="698">
        <v>73201.040000000008</v>
      </c>
      <c r="G5" s="1088">
        <v>64766.839378238343</v>
      </c>
      <c r="H5" s="698">
        <v>58492.896000000008</v>
      </c>
      <c r="I5" s="1089">
        <f>+E5+G5</f>
        <v>139896.37305699481</v>
      </c>
      <c r="J5" s="697">
        <f>+F5+H5</f>
        <v>131693.93600000002</v>
      </c>
      <c r="K5" s="1088">
        <v>48704.663212435233</v>
      </c>
      <c r="L5" s="698">
        <v>56599.180000000008</v>
      </c>
      <c r="M5" s="798">
        <f>+E5+G5+K5</f>
        <v>188601.03626943004</v>
      </c>
      <c r="N5" s="798">
        <f>+F5+H5+L5</f>
        <v>188293.11600000004</v>
      </c>
      <c r="O5" s="1088">
        <v>77720.207253886008</v>
      </c>
      <c r="P5" s="698">
        <v>77092.77399999999</v>
      </c>
      <c r="Q5" s="1089">
        <f>+M5+O5</f>
        <v>266321.24352331605</v>
      </c>
      <c r="R5" s="1089">
        <f>+N5+P5</f>
        <v>265385.89</v>
      </c>
      <c r="S5" s="1839">
        <v>77720.207253886008</v>
      </c>
      <c r="T5" s="2673">
        <v>84699.383000000002</v>
      </c>
      <c r="U5" s="1089">
        <f>+Q5+S5</f>
        <v>344041.45077720203</v>
      </c>
      <c r="V5" s="1089">
        <f>+R5+T5</f>
        <v>350085.27300000004</v>
      </c>
      <c r="W5" s="1839">
        <v>75647.668393782384</v>
      </c>
      <c r="X5" s="2673">
        <v>68769.931999999986</v>
      </c>
      <c r="Y5" s="798">
        <f>+O5+S5+W5</f>
        <v>231088.08290155442</v>
      </c>
      <c r="Z5" s="798">
        <f>+P5+T5+X5</f>
        <v>230562.08899999998</v>
      </c>
      <c r="AA5" s="799">
        <f>+M5+Y5</f>
        <v>419689.11917098449</v>
      </c>
      <c r="AB5" s="799">
        <f>+N5+Z5</f>
        <v>418855.20500000002</v>
      </c>
      <c r="AC5" s="1839">
        <v>78238.341968911918</v>
      </c>
      <c r="AD5" s="2673">
        <v>63449.649999999987</v>
      </c>
      <c r="AE5" s="1089">
        <f>+AA5+AC5</f>
        <v>497927.46113989642</v>
      </c>
      <c r="AF5" s="1089">
        <f>+AB5+AD5</f>
        <v>482304.85499999998</v>
      </c>
      <c r="AG5" s="1839">
        <v>75647.668393782384</v>
      </c>
      <c r="AH5" s="2673">
        <v>61533.251000000004</v>
      </c>
      <c r="AI5" s="1089">
        <f>+AE5+AG5</f>
        <v>573575.12953367876</v>
      </c>
      <c r="AJ5" s="1089">
        <f>+AF5+AH5</f>
        <v>543838.10600000003</v>
      </c>
      <c r="AK5" s="1839">
        <v>78238.341968911918</v>
      </c>
      <c r="AL5" s="2673">
        <v>70248.22</v>
      </c>
      <c r="AM5" s="798">
        <f>+AC5+AG5+AK5</f>
        <v>232124.35233160621</v>
      </c>
      <c r="AN5" s="798">
        <f>+AD5+AH5+AL5</f>
        <v>195231.12099999998</v>
      </c>
      <c r="AO5" s="1089">
        <f>AI5+AK5</f>
        <v>651813.47150259069</v>
      </c>
      <c r="AP5" s="1089">
        <f>AJ5+AL5</f>
        <v>614086.326</v>
      </c>
      <c r="AQ5" s="1839">
        <v>78238.341968911918</v>
      </c>
      <c r="AR5" s="2673">
        <v>73584.417999999961</v>
      </c>
      <c r="AS5" s="1089">
        <f>+AO5+AQ5</f>
        <v>730051.81347150262</v>
      </c>
      <c r="AT5" s="1089">
        <f>+AP5+AR5</f>
        <v>687670.74399999995</v>
      </c>
      <c r="AU5" s="1839">
        <v>72538.860103626939</v>
      </c>
      <c r="AV5" s="2673">
        <v>67808.762999999992</v>
      </c>
      <c r="AW5" s="1089">
        <f>+AS5+AU5</f>
        <v>802590.67357512959</v>
      </c>
      <c r="AX5" s="1089">
        <f>+AT5+AV5</f>
        <v>755479.50699999998</v>
      </c>
      <c r="AY5" s="1839">
        <v>78238.341968911918</v>
      </c>
      <c r="AZ5" s="2673">
        <v>72216.371999999974</v>
      </c>
      <c r="BA5" s="798">
        <f>+AQ5+AU5+AY5</f>
        <v>229015.54404145078</v>
      </c>
      <c r="BB5" s="798">
        <f>+AR5+AV5+AZ5</f>
        <v>213609.55299999993</v>
      </c>
      <c r="BC5" s="799">
        <f>+AM5+BA5</f>
        <v>461139.89637305698</v>
      </c>
      <c r="BD5" s="799">
        <f>+AN5+BB5</f>
        <v>408840.67399999988</v>
      </c>
      <c r="BE5" s="1089">
        <f>+AW5+AY5</f>
        <v>880829.01554404153</v>
      </c>
      <c r="BF5" s="1089">
        <f>+AX5+AZ5</f>
        <v>827695.87899999996</v>
      </c>
      <c r="BG5" s="26"/>
      <c r="BH5" s="26"/>
      <c r="BI5" s="26"/>
      <c r="BJ5" s="26"/>
    </row>
    <row r="6" spans="1:62" ht="24.75" customHeight="1" x14ac:dyDescent="0.25">
      <c r="A6" s="183"/>
      <c r="B6" s="992" t="s">
        <v>320</v>
      </c>
      <c r="C6" s="1090"/>
      <c r="D6" s="1090"/>
      <c r="E6" s="699"/>
      <c r="F6" s="723"/>
      <c r="G6" s="699"/>
      <c r="H6" s="723"/>
      <c r="I6" s="699"/>
      <c r="J6" s="699"/>
      <c r="K6" s="699"/>
      <c r="L6" s="723"/>
      <c r="M6" s="699"/>
      <c r="N6" s="699"/>
      <c r="O6" s="699"/>
      <c r="P6" s="723"/>
      <c r="Q6" s="699"/>
      <c r="R6" s="699"/>
      <c r="S6" s="699"/>
      <c r="T6" s="2674"/>
      <c r="U6" s="699"/>
      <c r="V6" s="699"/>
      <c r="W6" s="699"/>
      <c r="X6" s="2674"/>
      <c r="Y6" s="699"/>
      <c r="Z6" s="699"/>
      <c r="AA6" s="699"/>
      <c r="AB6" s="710"/>
      <c r="AC6" s="699"/>
      <c r="AD6" s="2674"/>
      <c r="AE6" s="699"/>
      <c r="AF6" s="699"/>
      <c r="AG6" s="699"/>
      <c r="AH6" s="2674"/>
      <c r="AI6" s="699"/>
      <c r="AJ6" s="699"/>
      <c r="AK6" s="699"/>
      <c r="AL6" s="2674"/>
      <c r="AM6" s="699"/>
      <c r="AN6" s="699"/>
      <c r="AO6" s="699"/>
      <c r="AP6" s="699"/>
      <c r="AQ6" s="699"/>
      <c r="AR6" s="2674"/>
      <c r="AS6" s="699"/>
      <c r="AT6" s="699"/>
      <c r="AU6" s="699"/>
      <c r="AV6" s="2674"/>
      <c r="AW6" s="699"/>
      <c r="AX6" s="699"/>
      <c r="AY6" s="699"/>
      <c r="AZ6" s="2674"/>
      <c r="BA6" s="699"/>
      <c r="BB6" s="699"/>
      <c r="BC6" s="699"/>
      <c r="BD6" s="710"/>
      <c r="BE6" s="699"/>
      <c r="BF6" s="699"/>
      <c r="BG6" s="26"/>
      <c r="BH6" s="26"/>
      <c r="BI6" s="26"/>
      <c r="BJ6" s="26"/>
    </row>
    <row r="7" spans="1:62" ht="15.75" x14ac:dyDescent="0.25">
      <c r="A7" s="183"/>
      <c r="B7" s="1091" t="s">
        <v>889</v>
      </c>
      <c r="C7" s="1092" t="s">
        <v>1090</v>
      </c>
      <c r="D7" s="672" t="s">
        <v>52</v>
      </c>
      <c r="E7" s="699"/>
      <c r="F7" s="1411"/>
      <c r="G7" s="699"/>
      <c r="H7" s="1411">
        <v>2052.1399999999994</v>
      </c>
      <c r="I7" s="947"/>
      <c r="J7" s="947">
        <f>+F7+H7</f>
        <v>2052.1399999999994</v>
      </c>
      <c r="K7" s="699"/>
      <c r="L7" s="1411"/>
      <c r="M7" s="946"/>
      <c r="N7" s="946">
        <f>+F7+H7+L7</f>
        <v>2052.1399999999994</v>
      </c>
      <c r="O7" s="699"/>
      <c r="P7" s="1411"/>
      <c r="Q7" s="947"/>
      <c r="R7" s="947">
        <f>+N7+P7</f>
        <v>2052.1399999999994</v>
      </c>
      <c r="S7" s="699"/>
      <c r="T7" s="2627"/>
      <c r="U7" s="947"/>
      <c r="V7" s="2565">
        <f>+R7+T7</f>
        <v>2052.1399999999994</v>
      </c>
      <c r="W7" s="699"/>
      <c r="X7" s="2627"/>
      <c r="Y7" s="969"/>
      <c r="Z7" s="946">
        <f>+P7+T7+X7</f>
        <v>0</v>
      </c>
      <c r="AA7" s="625"/>
      <c r="AB7" s="795">
        <f>+N7+Z7</f>
        <v>2052.1399999999994</v>
      </c>
      <c r="AC7" s="699"/>
      <c r="AD7" s="2627"/>
      <c r="AE7" s="3615"/>
      <c r="AF7" s="3615">
        <f>+AB7+AD7</f>
        <v>2052.1399999999994</v>
      </c>
      <c r="AG7" s="699"/>
      <c r="AH7" s="2627">
        <v>897.75500000000011</v>
      </c>
      <c r="AI7" s="3615"/>
      <c r="AJ7" s="3615">
        <f>+AF7+AH7</f>
        <v>2949.8949999999995</v>
      </c>
      <c r="AK7" s="699"/>
      <c r="AL7" s="2627"/>
      <c r="AM7" s="969"/>
      <c r="AN7" s="4312">
        <f>+AD7+AH7+AL7</f>
        <v>897.75500000000011</v>
      </c>
      <c r="AO7" s="3615"/>
      <c r="AP7" s="3615">
        <f>AJ7+AL7</f>
        <v>2949.8949999999995</v>
      </c>
      <c r="AQ7" s="699"/>
      <c r="AR7" s="2627"/>
      <c r="AS7" s="3615"/>
      <c r="AT7" s="3615">
        <f>+AP7+AR7</f>
        <v>2949.8949999999995</v>
      </c>
      <c r="AU7" s="699"/>
      <c r="AV7" s="2627">
        <v>2026.5950000000003</v>
      </c>
      <c r="AW7" s="3615"/>
      <c r="AX7" s="3615">
        <f>+AT7+AV7</f>
        <v>4976.49</v>
      </c>
      <c r="AY7" s="699"/>
      <c r="AZ7" s="2627"/>
      <c r="BA7" s="969"/>
      <c r="BB7" s="5104">
        <f>+AR7+AV7+AZ7</f>
        <v>2026.5950000000003</v>
      </c>
      <c r="BC7" s="625"/>
      <c r="BD7" s="795">
        <f>+AN7+BB7</f>
        <v>2924.3500000000004</v>
      </c>
      <c r="BE7" s="3615"/>
      <c r="BF7" s="3615">
        <f>+AX7+AZ7</f>
        <v>4976.49</v>
      </c>
      <c r="BG7" s="26"/>
      <c r="BH7" s="26"/>
      <c r="BI7" s="26"/>
      <c r="BJ7" s="26"/>
    </row>
    <row r="8" spans="1:62" ht="15.75" x14ac:dyDescent="0.25">
      <c r="A8" s="183"/>
      <c r="B8" s="1091" t="s">
        <v>889</v>
      </c>
      <c r="C8" s="1092" t="s">
        <v>1091</v>
      </c>
      <c r="D8" s="672" t="s">
        <v>52</v>
      </c>
      <c r="E8" s="699"/>
      <c r="F8" s="1411"/>
      <c r="G8" s="699"/>
      <c r="H8" s="1411">
        <v>1126.5179999999998</v>
      </c>
      <c r="I8" s="947"/>
      <c r="J8" s="947">
        <f t="shared" ref="J8:J39" si="0">+F8+H8</f>
        <v>1126.5179999999998</v>
      </c>
      <c r="K8" s="699"/>
      <c r="L8" s="1411"/>
      <c r="M8" s="946"/>
      <c r="N8" s="3578">
        <f t="shared" ref="N8:N50" si="1">+F8+H8+L8</f>
        <v>1126.5179999999998</v>
      </c>
      <c r="O8" s="699"/>
      <c r="P8" s="1411"/>
      <c r="Q8" s="947"/>
      <c r="R8" s="2443">
        <f t="shared" ref="R8:R39" si="2">+N8+P8</f>
        <v>1126.5179999999998</v>
      </c>
      <c r="S8" s="699"/>
      <c r="T8" s="2627"/>
      <c r="U8" s="947"/>
      <c r="V8" s="3390">
        <f t="shared" ref="V8:V39" si="3">+R8+T8</f>
        <v>1126.5179999999998</v>
      </c>
      <c r="W8" s="699"/>
      <c r="X8" s="2627"/>
      <c r="Y8" s="969"/>
      <c r="Z8" s="3578">
        <f t="shared" ref="Z8:Z50" si="4">+P8+T8+X8</f>
        <v>0</v>
      </c>
      <c r="AA8" s="625"/>
      <c r="AB8" s="795">
        <f t="shared" ref="AB8:AB39" si="5">+N8+Z8</f>
        <v>1126.5179999999998</v>
      </c>
      <c r="AC8" s="699"/>
      <c r="AD8" s="2627"/>
      <c r="AE8" s="3615"/>
      <c r="AF8" s="3615">
        <f t="shared" ref="AF8:AF39" si="6">+AB8+AD8</f>
        <v>1126.5179999999998</v>
      </c>
      <c r="AG8" s="699"/>
      <c r="AH8" s="2627">
        <v>1426.6170000000002</v>
      </c>
      <c r="AI8" s="3615"/>
      <c r="AJ8" s="3615">
        <f t="shared" ref="AJ8:AJ39" si="7">+AF8+AH8</f>
        <v>2553.1350000000002</v>
      </c>
      <c r="AK8" s="699"/>
      <c r="AL8" s="2627"/>
      <c r="AM8" s="969"/>
      <c r="AN8" s="4312">
        <f t="shared" ref="AN8:AN39" si="8">+AD8+AH8+AL8</f>
        <v>1426.6170000000002</v>
      </c>
      <c r="AO8" s="3615"/>
      <c r="AP8" s="3615">
        <f t="shared" ref="AP8:AP50" si="9">AJ8+AL8</f>
        <v>2553.1350000000002</v>
      </c>
      <c r="AQ8" s="699"/>
      <c r="AR8" s="2627"/>
      <c r="AS8" s="3615"/>
      <c r="AT8" s="3615">
        <f t="shared" ref="AT8:AT39" si="10">+AP8+AR8</f>
        <v>2553.1350000000002</v>
      </c>
      <c r="AU8" s="699"/>
      <c r="AV8" s="2627"/>
      <c r="AW8" s="3615"/>
      <c r="AX8" s="3615">
        <f t="shared" ref="AX8:AX39" si="11">+AT8+AV8</f>
        <v>2553.1350000000002</v>
      </c>
      <c r="AY8" s="699"/>
      <c r="AZ8" s="2627"/>
      <c r="BA8" s="969"/>
      <c r="BB8" s="5104">
        <f t="shared" ref="BB8:BB39" si="12">+AR8+AV8+AZ8</f>
        <v>0</v>
      </c>
      <c r="BC8" s="625"/>
      <c r="BD8" s="795">
        <f t="shared" ref="BD8:BD39" si="13">+AN8+BB8</f>
        <v>1426.6170000000002</v>
      </c>
      <c r="BE8" s="3615"/>
      <c r="BF8" s="3615">
        <f t="shared" ref="BF8:BF39" si="14">+AX8+AZ8</f>
        <v>2553.1350000000002</v>
      </c>
      <c r="BG8" s="26"/>
      <c r="BH8" s="26"/>
      <c r="BI8" s="26"/>
      <c r="BJ8" s="26"/>
    </row>
    <row r="9" spans="1:62" ht="15.75" x14ac:dyDescent="0.25">
      <c r="A9" s="183"/>
      <c r="B9" s="1091" t="s">
        <v>889</v>
      </c>
      <c r="C9" s="1092" t="s">
        <v>1060</v>
      </c>
      <c r="D9" s="672" t="s">
        <v>52</v>
      </c>
      <c r="E9" s="699"/>
      <c r="F9" s="1411"/>
      <c r="G9" s="699"/>
      <c r="H9" s="1411">
        <v>611.45499999999993</v>
      </c>
      <c r="I9" s="947"/>
      <c r="J9" s="947">
        <f t="shared" si="0"/>
        <v>611.45499999999993</v>
      </c>
      <c r="K9" s="699"/>
      <c r="L9" s="1411"/>
      <c r="M9" s="946"/>
      <c r="N9" s="3578">
        <f t="shared" si="1"/>
        <v>611.45499999999993</v>
      </c>
      <c r="O9" s="699"/>
      <c r="P9" s="1411"/>
      <c r="Q9" s="947"/>
      <c r="R9" s="2443">
        <f t="shared" si="2"/>
        <v>611.45499999999993</v>
      </c>
      <c r="S9" s="699"/>
      <c r="T9" s="2627"/>
      <c r="U9" s="947"/>
      <c r="V9" s="3390">
        <f t="shared" si="3"/>
        <v>611.45499999999993</v>
      </c>
      <c r="W9" s="699"/>
      <c r="X9" s="2627"/>
      <c r="Y9" s="969"/>
      <c r="Z9" s="3578">
        <f t="shared" si="4"/>
        <v>0</v>
      </c>
      <c r="AA9" s="625"/>
      <c r="AB9" s="795">
        <f t="shared" si="5"/>
        <v>611.45499999999993</v>
      </c>
      <c r="AC9" s="699"/>
      <c r="AD9" s="2627"/>
      <c r="AE9" s="3615"/>
      <c r="AF9" s="3615">
        <f t="shared" si="6"/>
        <v>611.45499999999993</v>
      </c>
      <c r="AG9" s="699"/>
      <c r="AH9" s="2627"/>
      <c r="AI9" s="3615"/>
      <c r="AJ9" s="3615">
        <f t="shared" si="7"/>
        <v>611.45499999999993</v>
      </c>
      <c r="AK9" s="699"/>
      <c r="AL9" s="2627"/>
      <c r="AM9" s="969"/>
      <c r="AN9" s="4312">
        <f t="shared" si="8"/>
        <v>0</v>
      </c>
      <c r="AO9" s="3615"/>
      <c r="AP9" s="3615">
        <f t="shared" si="9"/>
        <v>611.45499999999993</v>
      </c>
      <c r="AQ9" s="699"/>
      <c r="AR9" s="2627"/>
      <c r="AS9" s="3615"/>
      <c r="AT9" s="3615">
        <f t="shared" si="10"/>
        <v>611.45499999999993</v>
      </c>
      <c r="AU9" s="699"/>
      <c r="AV9" s="2627"/>
      <c r="AW9" s="3615"/>
      <c r="AX9" s="3615">
        <f t="shared" si="11"/>
        <v>611.45499999999993</v>
      </c>
      <c r="AY9" s="699"/>
      <c r="AZ9" s="2627"/>
      <c r="BA9" s="969"/>
      <c r="BB9" s="5104">
        <f t="shared" si="12"/>
        <v>0</v>
      </c>
      <c r="BC9" s="625"/>
      <c r="BD9" s="795">
        <f t="shared" si="13"/>
        <v>0</v>
      </c>
      <c r="BE9" s="3615"/>
      <c r="BF9" s="3615">
        <f t="shared" si="14"/>
        <v>611.45499999999993</v>
      </c>
      <c r="BG9" s="26"/>
      <c r="BH9" s="26"/>
      <c r="BI9" s="26"/>
      <c r="BJ9" s="26"/>
    </row>
    <row r="10" spans="1:62" ht="15.75" x14ac:dyDescent="0.25">
      <c r="A10" s="26"/>
      <c r="B10" s="1091" t="s">
        <v>888</v>
      </c>
      <c r="C10" s="1092" t="s">
        <v>1090</v>
      </c>
      <c r="D10" s="672" t="s">
        <v>52</v>
      </c>
      <c r="E10" s="1494"/>
      <c r="F10" s="1411">
        <v>12495.174999999999</v>
      </c>
      <c r="G10" s="1494"/>
      <c r="H10" s="1411">
        <v>9318.0290000000077</v>
      </c>
      <c r="I10" s="947"/>
      <c r="J10" s="947">
        <f t="shared" si="0"/>
        <v>21813.204000000005</v>
      </c>
      <c r="K10" s="1494"/>
      <c r="L10" s="1411">
        <v>7843.9470000000056</v>
      </c>
      <c r="M10" s="946"/>
      <c r="N10" s="3578">
        <f t="shared" si="1"/>
        <v>29657.151000000013</v>
      </c>
      <c r="O10" s="1494"/>
      <c r="P10" s="1411">
        <v>13469.909000000038</v>
      </c>
      <c r="Q10" s="947"/>
      <c r="R10" s="2443">
        <f t="shared" si="2"/>
        <v>43127.060000000049</v>
      </c>
      <c r="S10" s="1411"/>
      <c r="T10" s="2627">
        <f>8593.635-8.28</f>
        <v>8585.3549999999996</v>
      </c>
      <c r="U10" s="947"/>
      <c r="V10" s="3390">
        <f t="shared" si="3"/>
        <v>51712.415000000052</v>
      </c>
      <c r="W10" s="3296"/>
      <c r="X10" s="2627">
        <v>8286.6600000000108</v>
      </c>
      <c r="Y10" s="969"/>
      <c r="Z10" s="3578">
        <f t="shared" si="4"/>
        <v>30341.92400000005</v>
      </c>
      <c r="AA10" s="625"/>
      <c r="AB10" s="795">
        <f t="shared" si="5"/>
        <v>59999.075000000063</v>
      </c>
      <c r="AC10" s="3616"/>
      <c r="AD10" s="2627">
        <v>12503.885000000033</v>
      </c>
      <c r="AE10" s="3615"/>
      <c r="AF10" s="3615">
        <f t="shared" si="6"/>
        <v>72502.960000000094</v>
      </c>
      <c r="AG10" s="3616"/>
      <c r="AH10" s="2627">
        <v>5742.3600000000051</v>
      </c>
      <c r="AI10" s="3615"/>
      <c r="AJ10" s="3615">
        <f t="shared" si="7"/>
        <v>78245.320000000094</v>
      </c>
      <c r="AK10" s="3616"/>
      <c r="AL10" s="2627">
        <v>10214.775</v>
      </c>
      <c r="AM10" s="969"/>
      <c r="AN10" s="4312">
        <f t="shared" si="8"/>
        <v>28461.02000000004</v>
      </c>
      <c r="AO10" s="3615"/>
      <c r="AP10" s="3615">
        <f t="shared" si="9"/>
        <v>88460.095000000088</v>
      </c>
      <c r="AQ10" s="3616"/>
      <c r="AR10" s="2627">
        <v>9650.3600000000133</v>
      </c>
      <c r="AS10" s="3615"/>
      <c r="AT10" s="3615">
        <f t="shared" si="10"/>
        <v>98110.455000000104</v>
      </c>
      <c r="AU10" s="3616"/>
      <c r="AV10" s="2627">
        <v>6028.6400000000067</v>
      </c>
      <c r="AW10" s="3615"/>
      <c r="AX10" s="3615">
        <f t="shared" si="11"/>
        <v>104139.09500000012</v>
      </c>
      <c r="AY10" s="3616"/>
      <c r="AZ10" s="2627">
        <v>7710.3630000000057</v>
      </c>
      <c r="BA10" s="969"/>
      <c r="BB10" s="5104">
        <f t="shared" si="12"/>
        <v>23389.363000000027</v>
      </c>
      <c r="BC10" s="625"/>
      <c r="BD10" s="795">
        <f t="shared" si="13"/>
        <v>51850.383000000067</v>
      </c>
      <c r="BE10" s="3615"/>
      <c r="BF10" s="3615">
        <f t="shared" si="14"/>
        <v>111849.45800000013</v>
      </c>
      <c r="BG10" s="26"/>
      <c r="BH10" s="26"/>
      <c r="BI10" s="26"/>
      <c r="BJ10" s="26"/>
    </row>
    <row r="11" spans="1:62" ht="15" customHeight="1" x14ac:dyDescent="0.25">
      <c r="B11" s="1091" t="s">
        <v>888</v>
      </c>
      <c r="C11" s="1092" t="s">
        <v>1091</v>
      </c>
      <c r="D11" s="672" t="s">
        <v>52</v>
      </c>
      <c r="E11" s="1494"/>
      <c r="F11" s="1411">
        <v>4750.5349999999999</v>
      </c>
      <c r="G11" s="1494"/>
      <c r="H11" s="1411">
        <v>2965.2500000000005</v>
      </c>
      <c r="I11" s="947"/>
      <c r="J11" s="947">
        <f>+F11+H11</f>
        <v>7715.7849999999999</v>
      </c>
      <c r="K11" s="1494"/>
      <c r="L11" s="1411">
        <v>4037.1560000000022</v>
      </c>
      <c r="M11" s="946"/>
      <c r="N11" s="3578">
        <f t="shared" si="1"/>
        <v>11752.941000000003</v>
      </c>
      <c r="O11" s="1494"/>
      <c r="P11" s="1411">
        <v>3795.5199999999991</v>
      </c>
      <c r="Q11" s="947"/>
      <c r="R11" s="2443">
        <f>+N11+P11</f>
        <v>15548.461000000001</v>
      </c>
      <c r="S11" s="1411"/>
      <c r="T11" s="2627">
        <v>0</v>
      </c>
      <c r="U11" s="947"/>
      <c r="V11" s="3390">
        <f t="shared" si="3"/>
        <v>15548.461000000001</v>
      </c>
      <c r="W11" s="3296"/>
      <c r="X11" s="2627">
        <v>2362.7089999999998</v>
      </c>
      <c r="Y11" s="969"/>
      <c r="Z11" s="3578">
        <f t="shared" si="4"/>
        <v>6158.2289999999994</v>
      </c>
      <c r="AA11" s="625"/>
      <c r="AB11" s="795">
        <f t="shared" si="5"/>
        <v>17911.170000000002</v>
      </c>
      <c r="AC11" s="3616"/>
      <c r="AD11" s="2627">
        <v>3118.5109999999991</v>
      </c>
      <c r="AE11" s="3615"/>
      <c r="AF11" s="3615">
        <f t="shared" si="6"/>
        <v>21029.681</v>
      </c>
      <c r="AG11" s="3616"/>
      <c r="AH11" s="2627">
        <v>2521.4849999999992</v>
      </c>
      <c r="AI11" s="3615"/>
      <c r="AJ11" s="3615">
        <f t="shared" si="7"/>
        <v>23551.166000000001</v>
      </c>
      <c r="AK11" s="3616"/>
      <c r="AL11" s="2627">
        <v>6586.9449999999997</v>
      </c>
      <c r="AM11" s="969"/>
      <c r="AN11" s="4312">
        <f t="shared" si="8"/>
        <v>12226.940999999999</v>
      </c>
      <c r="AO11" s="3615"/>
      <c r="AP11" s="3615">
        <f t="shared" si="9"/>
        <v>30138.111000000001</v>
      </c>
      <c r="AQ11" s="3616"/>
      <c r="AR11" s="2627">
        <v>9039.5050000000174</v>
      </c>
      <c r="AS11" s="3615"/>
      <c r="AT11" s="3615">
        <f t="shared" si="10"/>
        <v>39177.616000000016</v>
      </c>
      <c r="AU11" s="3616"/>
      <c r="AV11" s="2627">
        <v>3556.7950000000001</v>
      </c>
      <c r="AW11" s="3615"/>
      <c r="AX11" s="3615">
        <f t="shared" si="11"/>
        <v>42734.411000000015</v>
      </c>
      <c r="AY11" s="3616"/>
      <c r="AZ11" s="2627">
        <v>2106.3500000000004</v>
      </c>
      <c r="BA11" s="969"/>
      <c r="BB11" s="5104">
        <f t="shared" si="12"/>
        <v>14702.650000000018</v>
      </c>
      <c r="BC11" s="625"/>
      <c r="BD11" s="795">
        <f t="shared" si="13"/>
        <v>26929.591000000015</v>
      </c>
      <c r="BE11" s="3615"/>
      <c r="BF11" s="3615">
        <f t="shared" si="14"/>
        <v>44840.761000000013</v>
      </c>
      <c r="BG11" s="26"/>
      <c r="BH11" s="26"/>
      <c r="BI11" s="26"/>
      <c r="BJ11" s="26"/>
    </row>
    <row r="12" spans="1:62" ht="15.75" x14ac:dyDescent="0.25">
      <c r="A12" s="26"/>
      <c r="B12" s="1091" t="s">
        <v>888</v>
      </c>
      <c r="C12" s="1092" t="s">
        <v>1060</v>
      </c>
      <c r="D12" s="672" t="s">
        <v>52</v>
      </c>
      <c r="E12" s="1494"/>
      <c r="F12" s="1411"/>
      <c r="G12" s="1494"/>
      <c r="H12" s="1411">
        <v>1010.23</v>
      </c>
      <c r="I12" s="947"/>
      <c r="J12" s="947">
        <f t="shared" si="0"/>
        <v>1010.23</v>
      </c>
      <c r="K12" s="1494"/>
      <c r="L12" s="1411"/>
      <c r="M12" s="946"/>
      <c r="N12" s="3578">
        <f t="shared" si="1"/>
        <v>1010.23</v>
      </c>
      <c r="O12" s="1494"/>
      <c r="P12" s="1411"/>
      <c r="Q12" s="947"/>
      <c r="R12" s="2443">
        <f t="shared" si="2"/>
        <v>1010.23</v>
      </c>
      <c r="S12" s="1411"/>
      <c r="T12" s="2627">
        <v>0</v>
      </c>
      <c r="U12" s="947"/>
      <c r="V12" s="3390">
        <f t="shared" si="3"/>
        <v>1010.23</v>
      </c>
      <c r="W12" s="3296"/>
      <c r="X12" s="2627"/>
      <c r="Y12" s="969"/>
      <c r="Z12" s="3578">
        <f t="shared" si="4"/>
        <v>0</v>
      </c>
      <c r="AA12" s="625"/>
      <c r="AB12" s="795">
        <f t="shared" si="5"/>
        <v>1010.23</v>
      </c>
      <c r="AC12" s="3616"/>
      <c r="AD12" s="2627"/>
      <c r="AE12" s="3615"/>
      <c r="AF12" s="3615">
        <f t="shared" si="6"/>
        <v>1010.23</v>
      </c>
      <c r="AG12" s="3616"/>
      <c r="AH12" s="2627"/>
      <c r="AI12" s="3615"/>
      <c r="AJ12" s="3615">
        <f t="shared" si="7"/>
        <v>1010.23</v>
      </c>
      <c r="AK12" s="3616"/>
      <c r="AL12" s="2627"/>
      <c r="AM12" s="969"/>
      <c r="AN12" s="4312">
        <f t="shared" si="8"/>
        <v>0</v>
      </c>
      <c r="AO12" s="3615"/>
      <c r="AP12" s="3615">
        <f t="shared" si="9"/>
        <v>1010.23</v>
      </c>
      <c r="AQ12" s="3616"/>
      <c r="AR12" s="2627">
        <v>613.5</v>
      </c>
      <c r="AS12" s="3615"/>
      <c r="AT12" s="3615">
        <f t="shared" si="10"/>
        <v>1623.73</v>
      </c>
      <c r="AU12" s="3616"/>
      <c r="AV12" s="2627"/>
      <c r="AW12" s="3615"/>
      <c r="AX12" s="3615">
        <f t="shared" si="11"/>
        <v>1623.73</v>
      </c>
      <c r="AY12" s="3616"/>
      <c r="AZ12" s="2627"/>
      <c r="BA12" s="969"/>
      <c r="BB12" s="5104">
        <f t="shared" si="12"/>
        <v>613.5</v>
      </c>
      <c r="BC12" s="625"/>
      <c r="BD12" s="795">
        <f t="shared" si="13"/>
        <v>613.5</v>
      </c>
      <c r="BE12" s="3615"/>
      <c r="BF12" s="3615">
        <f t="shared" si="14"/>
        <v>1623.73</v>
      </c>
      <c r="BG12" s="26"/>
      <c r="BH12" s="26"/>
      <c r="BI12" s="26"/>
      <c r="BJ12" s="26"/>
    </row>
    <row r="13" spans="1:62" ht="15.75" x14ac:dyDescent="0.25">
      <c r="A13" s="26"/>
      <c r="B13" s="1091" t="s">
        <v>888</v>
      </c>
      <c r="C13" s="1092" t="s">
        <v>1092</v>
      </c>
      <c r="D13" s="672" t="s">
        <v>52</v>
      </c>
      <c r="E13" s="1494"/>
      <c r="F13" s="1411">
        <v>1020.4549999999999</v>
      </c>
      <c r="G13" s="1494"/>
      <c r="H13" s="1411"/>
      <c r="I13" s="947"/>
      <c r="J13" s="947">
        <f>+F13+H13</f>
        <v>1020.4549999999999</v>
      </c>
      <c r="K13" s="1494"/>
      <c r="L13" s="1411"/>
      <c r="M13" s="946"/>
      <c r="N13" s="3578">
        <f t="shared" si="1"/>
        <v>1020.4549999999999</v>
      </c>
      <c r="O13" s="1494"/>
      <c r="P13" s="1411"/>
      <c r="Q13" s="947"/>
      <c r="R13" s="2443">
        <f>+N13+P13</f>
        <v>1020.4549999999999</v>
      </c>
      <c r="S13" s="1411"/>
      <c r="T13" s="2627">
        <v>0</v>
      </c>
      <c r="U13" s="947"/>
      <c r="V13" s="3390">
        <f t="shared" si="3"/>
        <v>1020.4549999999999</v>
      </c>
      <c r="W13" s="3296"/>
      <c r="X13" s="2627"/>
      <c r="Y13" s="969"/>
      <c r="Z13" s="3578">
        <f t="shared" si="4"/>
        <v>0</v>
      </c>
      <c r="AA13" s="625"/>
      <c r="AB13" s="795">
        <f t="shared" si="5"/>
        <v>1020.4549999999999</v>
      </c>
      <c r="AC13" s="3616"/>
      <c r="AD13" s="2627">
        <v>604.35500000000013</v>
      </c>
      <c r="AE13" s="3615"/>
      <c r="AF13" s="3615">
        <f t="shared" si="6"/>
        <v>1624.81</v>
      </c>
      <c r="AG13" s="3616"/>
      <c r="AH13" s="2627"/>
      <c r="AI13" s="3615"/>
      <c r="AJ13" s="3615">
        <f t="shared" si="7"/>
        <v>1624.81</v>
      </c>
      <c r="AK13" s="3616"/>
      <c r="AL13" s="2627"/>
      <c r="AM13" s="969"/>
      <c r="AN13" s="4312">
        <f t="shared" si="8"/>
        <v>604.35500000000013</v>
      </c>
      <c r="AO13" s="3615"/>
      <c r="AP13" s="3615">
        <f t="shared" si="9"/>
        <v>1624.81</v>
      </c>
      <c r="AQ13" s="3616"/>
      <c r="AR13" s="2627"/>
      <c r="AS13" s="3615"/>
      <c r="AT13" s="3615">
        <f t="shared" si="10"/>
        <v>1624.81</v>
      </c>
      <c r="AU13" s="3616"/>
      <c r="AV13" s="2627"/>
      <c r="AW13" s="3615"/>
      <c r="AX13" s="3615">
        <f t="shared" si="11"/>
        <v>1624.81</v>
      </c>
      <c r="AY13" s="3616"/>
      <c r="AZ13" s="2627"/>
      <c r="BA13" s="969"/>
      <c r="BB13" s="5104">
        <f t="shared" si="12"/>
        <v>0</v>
      </c>
      <c r="BC13" s="625"/>
      <c r="BD13" s="795">
        <f t="shared" si="13"/>
        <v>604.35500000000013</v>
      </c>
      <c r="BE13" s="3615"/>
      <c r="BF13" s="3615">
        <f t="shared" si="14"/>
        <v>1624.81</v>
      </c>
      <c r="BG13" s="26"/>
      <c r="BH13" s="26"/>
      <c r="BI13" s="26"/>
      <c r="BJ13" s="26"/>
    </row>
    <row r="14" spans="1:62" ht="15.75" x14ac:dyDescent="0.25">
      <c r="A14" s="26"/>
      <c r="B14" s="1091" t="s">
        <v>888</v>
      </c>
      <c r="C14" s="1092" t="s">
        <v>1177</v>
      </c>
      <c r="D14" s="672" t="s">
        <v>52</v>
      </c>
      <c r="E14" s="1494"/>
      <c r="F14" s="1411">
        <v>989.01099999999997</v>
      </c>
      <c r="G14" s="1494"/>
      <c r="H14" s="1411"/>
      <c r="I14" s="947"/>
      <c r="J14" s="947">
        <f t="shared" si="0"/>
        <v>989.01099999999997</v>
      </c>
      <c r="K14" s="1494"/>
      <c r="L14" s="1411"/>
      <c r="M14" s="946"/>
      <c r="N14" s="3578">
        <f t="shared" si="1"/>
        <v>989.01099999999997</v>
      </c>
      <c r="O14" s="1494"/>
      <c r="P14" s="1411"/>
      <c r="Q14" s="947"/>
      <c r="R14" s="2443">
        <f t="shared" si="2"/>
        <v>989.01099999999997</v>
      </c>
      <c r="S14" s="1411"/>
      <c r="T14" s="2627">
        <v>0</v>
      </c>
      <c r="U14" s="947"/>
      <c r="V14" s="3390">
        <f t="shared" si="3"/>
        <v>989.01099999999997</v>
      </c>
      <c r="W14" s="3296"/>
      <c r="X14" s="2627"/>
      <c r="Y14" s="969"/>
      <c r="Z14" s="3578">
        <f t="shared" si="4"/>
        <v>0</v>
      </c>
      <c r="AA14" s="625"/>
      <c r="AB14" s="795">
        <f t="shared" si="5"/>
        <v>989.01099999999997</v>
      </c>
      <c r="AC14" s="3616"/>
      <c r="AD14" s="2627"/>
      <c r="AE14" s="3615"/>
      <c r="AF14" s="3615">
        <f t="shared" si="6"/>
        <v>989.01099999999997</v>
      </c>
      <c r="AG14" s="3616"/>
      <c r="AH14" s="2627">
        <v>640.08499999999992</v>
      </c>
      <c r="AI14" s="3615"/>
      <c r="AJ14" s="3615">
        <f t="shared" si="7"/>
        <v>1629.096</v>
      </c>
      <c r="AK14" s="3616"/>
      <c r="AL14" s="2627">
        <v>1102.2549999999999</v>
      </c>
      <c r="AM14" s="969"/>
      <c r="AN14" s="4312">
        <f t="shared" si="8"/>
        <v>1742.3399999999997</v>
      </c>
      <c r="AO14" s="3615"/>
      <c r="AP14" s="3615">
        <f t="shared" si="9"/>
        <v>2731.3509999999997</v>
      </c>
      <c r="AQ14" s="3616"/>
      <c r="AR14" s="2627">
        <v>509.20499999999993</v>
      </c>
      <c r="AS14" s="3615"/>
      <c r="AT14" s="3615">
        <f t="shared" si="10"/>
        <v>3240.5559999999996</v>
      </c>
      <c r="AU14" s="3616"/>
      <c r="AV14" s="2627">
        <v>507.16</v>
      </c>
      <c r="AW14" s="3615"/>
      <c r="AX14" s="3615">
        <f t="shared" si="11"/>
        <v>3747.7159999999994</v>
      </c>
      <c r="AY14" s="3616"/>
      <c r="AZ14" s="2627"/>
      <c r="BA14" s="969"/>
      <c r="BB14" s="5104">
        <f t="shared" si="12"/>
        <v>1016.365</v>
      </c>
      <c r="BC14" s="625"/>
      <c r="BD14" s="795">
        <f t="shared" si="13"/>
        <v>2758.7049999999999</v>
      </c>
      <c r="BE14" s="3615"/>
      <c r="BF14" s="3615">
        <f t="shared" si="14"/>
        <v>3747.7159999999994</v>
      </c>
      <c r="BG14" s="26"/>
      <c r="BH14" s="26"/>
      <c r="BI14" s="26"/>
      <c r="BJ14" s="26"/>
    </row>
    <row r="15" spans="1:62" ht="15" customHeight="1" x14ac:dyDescent="0.25">
      <c r="B15" s="1091" t="s">
        <v>994</v>
      </c>
      <c r="C15" s="1092" t="s">
        <v>1090</v>
      </c>
      <c r="D15" s="672" t="s">
        <v>52</v>
      </c>
      <c r="E15" s="1494"/>
      <c r="F15" s="1411">
        <v>5819.5419999999995</v>
      </c>
      <c r="G15" s="1494"/>
      <c r="H15" s="1411"/>
      <c r="I15" s="947"/>
      <c r="J15" s="947">
        <f t="shared" si="0"/>
        <v>5819.5419999999995</v>
      </c>
      <c r="K15" s="1494"/>
      <c r="L15" s="1411"/>
      <c r="M15" s="946"/>
      <c r="N15" s="3578">
        <f t="shared" si="1"/>
        <v>5819.5419999999995</v>
      </c>
      <c r="O15" s="1494"/>
      <c r="P15" s="1411"/>
      <c r="Q15" s="947"/>
      <c r="R15" s="2443">
        <f t="shared" si="2"/>
        <v>5819.5419999999995</v>
      </c>
      <c r="S15" s="1411"/>
      <c r="T15" s="2627"/>
      <c r="U15" s="947"/>
      <c r="V15" s="3390">
        <f t="shared" si="3"/>
        <v>5819.5419999999995</v>
      </c>
      <c r="W15" s="3296"/>
      <c r="X15" s="2627"/>
      <c r="Y15" s="969"/>
      <c r="Z15" s="3578">
        <f t="shared" si="4"/>
        <v>0</v>
      </c>
      <c r="AA15" s="625"/>
      <c r="AB15" s="795">
        <f t="shared" si="5"/>
        <v>5819.5419999999995</v>
      </c>
      <c r="AC15" s="3616"/>
      <c r="AD15" s="2627"/>
      <c r="AE15" s="3615"/>
      <c r="AF15" s="3615">
        <f t="shared" si="6"/>
        <v>5819.5419999999995</v>
      </c>
      <c r="AG15" s="3616"/>
      <c r="AH15" s="2627"/>
      <c r="AI15" s="3615"/>
      <c r="AJ15" s="3615">
        <f t="shared" si="7"/>
        <v>5819.5419999999995</v>
      </c>
      <c r="AK15" s="3616"/>
      <c r="AL15" s="2627"/>
      <c r="AM15" s="969"/>
      <c r="AN15" s="4312">
        <f t="shared" si="8"/>
        <v>0</v>
      </c>
      <c r="AO15" s="3615"/>
      <c r="AP15" s="3615">
        <f t="shared" si="9"/>
        <v>5819.5419999999995</v>
      </c>
      <c r="AQ15" s="3616"/>
      <c r="AR15" s="2627"/>
      <c r="AS15" s="3615"/>
      <c r="AT15" s="3615">
        <f t="shared" si="10"/>
        <v>5819.5419999999995</v>
      </c>
      <c r="AU15" s="3616"/>
      <c r="AV15" s="2627"/>
      <c r="AW15" s="3615"/>
      <c r="AX15" s="3615">
        <f t="shared" si="11"/>
        <v>5819.5419999999995</v>
      </c>
      <c r="AY15" s="3616"/>
      <c r="AZ15" s="2627"/>
      <c r="BA15" s="969"/>
      <c r="BB15" s="5104">
        <f t="shared" si="12"/>
        <v>0</v>
      </c>
      <c r="BC15" s="625"/>
      <c r="BD15" s="795">
        <f t="shared" si="13"/>
        <v>0</v>
      </c>
      <c r="BE15" s="3615"/>
      <c r="BF15" s="3615">
        <f t="shared" si="14"/>
        <v>5819.5419999999995</v>
      </c>
      <c r="BG15" s="26"/>
      <c r="BH15" s="26"/>
      <c r="BI15" s="26"/>
      <c r="BJ15" s="26"/>
    </row>
    <row r="16" spans="1:62" ht="15" customHeight="1" x14ac:dyDescent="0.25">
      <c r="A16" s="2632"/>
      <c r="B16" s="1091" t="s">
        <v>1744</v>
      </c>
      <c r="C16" s="1092" t="s">
        <v>1090</v>
      </c>
      <c r="D16" s="672" t="s">
        <v>52</v>
      </c>
      <c r="E16" s="2631"/>
      <c r="F16" s="2630"/>
      <c r="G16" s="2631"/>
      <c r="H16" s="2630"/>
      <c r="I16" s="2628"/>
      <c r="J16" s="2628"/>
      <c r="K16" s="2631"/>
      <c r="L16" s="2630"/>
      <c r="M16" s="2629"/>
      <c r="N16" s="3578">
        <f t="shared" si="1"/>
        <v>0</v>
      </c>
      <c r="O16" s="2631"/>
      <c r="P16" s="2630"/>
      <c r="Q16" s="2628"/>
      <c r="R16" s="2628"/>
      <c r="S16" s="2630"/>
      <c r="T16" s="2627">
        <v>4010.2449999999999</v>
      </c>
      <c r="U16" s="2628"/>
      <c r="V16" s="3390">
        <f t="shared" si="3"/>
        <v>4010.2449999999999</v>
      </c>
      <c r="W16" s="3296"/>
      <c r="X16" s="2627"/>
      <c r="Y16" s="969"/>
      <c r="Z16" s="3578">
        <f t="shared" si="4"/>
        <v>4010.2449999999999</v>
      </c>
      <c r="AA16" s="625"/>
      <c r="AB16" s="795">
        <f t="shared" si="5"/>
        <v>4010.2449999999999</v>
      </c>
      <c r="AC16" s="3616"/>
      <c r="AD16" s="2627"/>
      <c r="AE16" s="3615"/>
      <c r="AF16" s="3615">
        <f t="shared" si="6"/>
        <v>4010.2449999999999</v>
      </c>
      <c r="AG16" s="3616"/>
      <c r="AH16" s="2627"/>
      <c r="AI16" s="3615"/>
      <c r="AJ16" s="3615">
        <f t="shared" si="7"/>
        <v>4010.2449999999999</v>
      </c>
      <c r="AK16" s="3616"/>
      <c r="AL16" s="2627"/>
      <c r="AM16" s="969"/>
      <c r="AN16" s="4312">
        <f t="shared" si="8"/>
        <v>0</v>
      </c>
      <c r="AO16" s="3615"/>
      <c r="AP16" s="3615">
        <f t="shared" si="9"/>
        <v>4010.2449999999999</v>
      </c>
      <c r="AQ16" s="3616"/>
      <c r="AR16" s="2627">
        <v>2265.8599999999992</v>
      </c>
      <c r="AS16" s="3615"/>
      <c r="AT16" s="3615">
        <f t="shared" si="10"/>
        <v>6276.1049999999996</v>
      </c>
      <c r="AU16" s="3616"/>
      <c r="AV16" s="2627"/>
      <c r="AW16" s="3615"/>
      <c r="AX16" s="3615">
        <f t="shared" si="11"/>
        <v>6276.1049999999996</v>
      </c>
      <c r="AY16" s="3616"/>
      <c r="AZ16" s="2627"/>
      <c r="BA16" s="969"/>
      <c r="BB16" s="5104">
        <f t="shared" si="12"/>
        <v>2265.8599999999992</v>
      </c>
      <c r="BC16" s="625"/>
      <c r="BD16" s="795">
        <f t="shared" si="13"/>
        <v>2265.8599999999992</v>
      </c>
      <c r="BE16" s="3615"/>
      <c r="BF16" s="3615">
        <f t="shared" si="14"/>
        <v>6276.1049999999996</v>
      </c>
      <c r="BG16" s="26"/>
      <c r="BH16" s="26"/>
      <c r="BI16" s="26"/>
      <c r="BJ16" s="26"/>
    </row>
    <row r="17" spans="1:62" ht="15" customHeight="1" x14ac:dyDescent="0.25">
      <c r="A17" s="2632"/>
      <c r="B17" s="1091" t="s">
        <v>1744</v>
      </c>
      <c r="C17" s="1092" t="s">
        <v>1091</v>
      </c>
      <c r="D17" s="672" t="s">
        <v>52</v>
      </c>
      <c r="E17" s="2631"/>
      <c r="F17" s="2630"/>
      <c r="G17" s="2631"/>
      <c r="H17" s="2630"/>
      <c r="I17" s="2628"/>
      <c r="J17" s="2628"/>
      <c r="K17" s="2631"/>
      <c r="L17" s="2630"/>
      <c r="M17" s="2629"/>
      <c r="N17" s="3578">
        <f t="shared" si="1"/>
        <v>0</v>
      </c>
      <c r="O17" s="2631"/>
      <c r="P17" s="2630"/>
      <c r="Q17" s="2628"/>
      <c r="R17" s="2628"/>
      <c r="S17" s="2630"/>
      <c r="T17" s="2627">
        <v>1883.4449999999993</v>
      </c>
      <c r="U17" s="2628"/>
      <c r="V17" s="3390">
        <f t="shared" si="3"/>
        <v>1883.4449999999993</v>
      </c>
      <c r="W17" s="3296"/>
      <c r="X17" s="2627"/>
      <c r="Y17" s="969"/>
      <c r="Z17" s="3578">
        <f t="shared" si="4"/>
        <v>1883.4449999999993</v>
      </c>
      <c r="AA17" s="625"/>
      <c r="AB17" s="795">
        <f t="shared" si="5"/>
        <v>1883.4449999999993</v>
      </c>
      <c r="AC17" s="3616"/>
      <c r="AD17" s="2627"/>
      <c r="AE17" s="3615"/>
      <c r="AF17" s="3615">
        <f t="shared" si="6"/>
        <v>1883.4449999999993</v>
      </c>
      <c r="AG17" s="3616"/>
      <c r="AH17" s="2627"/>
      <c r="AI17" s="3615"/>
      <c r="AJ17" s="3615">
        <f t="shared" si="7"/>
        <v>1883.4449999999993</v>
      </c>
      <c r="AK17" s="3616"/>
      <c r="AL17" s="2627"/>
      <c r="AM17" s="969"/>
      <c r="AN17" s="4312">
        <f t="shared" si="8"/>
        <v>0</v>
      </c>
      <c r="AO17" s="3615"/>
      <c r="AP17" s="3615">
        <f t="shared" si="9"/>
        <v>1883.4449999999993</v>
      </c>
      <c r="AQ17" s="3616"/>
      <c r="AR17" s="2627">
        <v>2020.46</v>
      </c>
      <c r="AS17" s="3615"/>
      <c r="AT17" s="3615">
        <f t="shared" si="10"/>
        <v>3903.9049999999993</v>
      </c>
      <c r="AU17" s="3616"/>
      <c r="AV17" s="2627"/>
      <c r="AW17" s="3615"/>
      <c r="AX17" s="3615">
        <f t="shared" si="11"/>
        <v>3903.9049999999993</v>
      </c>
      <c r="AY17" s="3616"/>
      <c r="AZ17" s="2627"/>
      <c r="BA17" s="969"/>
      <c r="BB17" s="5104">
        <f t="shared" si="12"/>
        <v>2020.46</v>
      </c>
      <c r="BC17" s="625"/>
      <c r="BD17" s="795">
        <f t="shared" si="13"/>
        <v>2020.46</v>
      </c>
      <c r="BE17" s="3615"/>
      <c r="BF17" s="3615">
        <f t="shared" si="14"/>
        <v>3903.9049999999993</v>
      </c>
      <c r="BG17" s="26"/>
      <c r="BH17" s="26"/>
      <c r="BI17" s="26"/>
      <c r="BJ17" s="26"/>
    </row>
    <row r="18" spans="1:62" s="4332" customFormat="1" ht="15" customHeight="1" x14ac:dyDescent="0.25">
      <c r="B18" s="1091" t="s">
        <v>1751</v>
      </c>
      <c r="C18" s="1092" t="s">
        <v>1177</v>
      </c>
      <c r="D18" s="672" t="s">
        <v>52</v>
      </c>
      <c r="E18" s="2941"/>
      <c r="F18" s="3616"/>
      <c r="G18" s="2941"/>
      <c r="H18" s="3616"/>
      <c r="I18" s="3615"/>
      <c r="J18" s="3615"/>
      <c r="K18" s="2941"/>
      <c r="L18" s="3616"/>
      <c r="M18" s="4328"/>
      <c r="N18" s="4328"/>
      <c r="O18" s="2941"/>
      <c r="P18" s="3616"/>
      <c r="Q18" s="3615"/>
      <c r="R18" s="3615"/>
      <c r="S18" s="3616"/>
      <c r="T18" s="2627"/>
      <c r="U18" s="3615"/>
      <c r="V18" s="3615"/>
      <c r="W18" s="3616"/>
      <c r="X18" s="2627"/>
      <c r="Y18" s="969"/>
      <c r="Z18" s="4328"/>
      <c r="AA18" s="625"/>
      <c r="AB18" s="795"/>
      <c r="AC18" s="3616"/>
      <c r="AD18" s="2627"/>
      <c r="AE18" s="3615"/>
      <c r="AF18" s="3615"/>
      <c r="AG18" s="3616"/>
      <c r="AH18" s="2627"/>
      <c r="AI18" s="3615"/>
      <c r="AJ18" s="3615">
        <f t="shared" si="7"/>
        <v>0</v>
      </c>
      <c r="AK18" s="3616"/>
      <c r="AL18" s="2627">
        <v>890.51</v>
      </c>
      <c r="AM18" s="969"/>
      <c r="AN18" s="4328">
        <f t="shared" si="8"/>
        <v>890.51</v>
      </c>
      <c r="AO18" s="3615"/>
      <c r="AP18" s="3615">
        <f t="shared" si="9"/>
        <v>890.51</v>
      </c>
      <c r="AQ18" s="3616"/>
      <c r="AR18" s="2627"/>
      <c r="AS18" s="3615"/>
      <c r="AT18" s="3615">
        <f t="shared" si="10"/>
        <v>890.51</v>
      </c>
      <c r="AU18" s="3616"/>
      <c r="AV18" s="2627"/>
      <c r="AW18" s="3615"/>
      <c r="AX18" s="3615">
        <f t="shared" si="11"/>
        <v>890.51</v>
      </c>
      <c r="AY18" s="3616"/>
      <c r="AZ18" s="2627"/>
      <c r="BA18" s="969"/>
      <c r="BB18" s="5104">
        <f t="shared" si="12"/>
        <v>0</v>
      </c>
      <c r="BC18" s="625"/>
      <c r="BD18" s="795">
        <f t="shared" si="13"/>
        <v>890.51</v>
      </c>
      <c r="BE18" s="3615"/>
      <c r="BF18" s="3615">
        <f t="shared" si="14"/>
        <v>890.51</v>
      </c>
      <c r="BG18" s="26"/>
      <c r="BH18" s="26"/>
      <c r="BI18" s="26"/>
      <c r="BJ18" s="26"/>
    </row>
    <row r="19" spans="1:62" ht="15" customHeight="1" x14ac:dyDescent="0.25">
      <c r="B19" s="1091" t="s">
        <v>890</v>
      </c>
      <c r="C19" s="1092" t="s">
        <v>1090</v>
      </c>
      <c r="D19" s="672" t="s">
        <v>52</v>
      </c>
      <c r="E19" s="1494"/>
      <c r="F19" s="1411"/>
      <c r="G19" s="1494"/>
      <c r="H19" s="1411"/>
      <c r="I19" s="947"/>
      <c r="J19" s="947"/>
      <c r="K19" s="1494"/>
      <c r="L19" s="1411"/>
      <c r="M19" s="946"/>
      <c r="N19" s="3578">
        <f t="shared" si="1"/>
        <v>0</v>
      </c>
      <c r="O19" s="1494"/>
      <c r="P19" s="1411">
        <v>3654.4050000000002</v>
      </c>
      <c r="Q19" s="947"/>
      <c r="R19" s="2443">
        <f t="shared" si="2"/>
        <v>3654.4050000000002</v>
      </c>
      <c r="S19" s="1411"/>
      <c r="T19" s="2627">
        <v>3661.3369999999995</v>
      </c>
      <c r="U19" s="947"/>
      <c r="V19" s="3390">
        <f t="shared" si="3"/>
        <v>7315.7420000000002</v>
      </c>
      <c r="W19" s="3296"/>
      <c r="X19" s="2627">
        <v>6651.0200000000041</v>
      </c>
      <c r="Y19" s="969"/>
      <c r="Z19" s="3578">
        <f t="shared" si="4"/>
        <v>13966.762000000004</v>
      </c>
      <c r="AA19" s="625"/>
      <c r="AB19" s="795">
        <f t="shared" si="5"/>
        <v>13966.762000000004</v>
      </c>
      <c r="AC19" s="3616"/>
      <c r="AD19" s="2627"/>
      <c r="AE19" s="3615"/>
      <c r="AF19" s="3615">
        <f t="shared" si="6"/>
        <v>13966.762000000004</v>
      </c>
      <c r="AG19" s="3616"/>
      <c r="AH19" s="2627">
        <v>3980.1500000000005</v>
      </c>
      <c r="AI19" s="3615"/>
      <c r="AJ19" s="3615">
        <f t="shared" si="7"/>
        <v>17946.912000000004</v>
      </c>
      <c r="AK19" s="3616"/>
      <c r="AL19" s="2627">
        <v>3570.5699999999997</v>
      </c>
      <c r="AM19" s="969"/>
      <c r="AN19" s="4312">
        <f t="shared" si="8"/>
        <v>7550.72</v>
      </c>
      <c r="AO19" s="3615"/>
      <c r="AP19" s="3615">
        <f t="shared" si="9"/>
        <v>21517.482000000004</v>
      </c>
      <c r="AQ19" s="3616"/>
      <c r="AR19" s="2627"/>
      <c r="AS19" s="3615"/>
      <c r="AT19" s="3615">
        <f t="shared" si="10"/>
        <v>21517.482000000004</v>
      </c>
      <c r="AU19" s="3616"/>
      <c r="AV19" s="2627"/>
      <c r="AW19" s="3615"/>
      <c r="AX19" s="3615">
        <f t="shared" si="11"/>
        <v>21517.482000000004</v>
      </c>
      <c r="AY19" s="3616"/>
      <c r="AZ19" s="2627">
        <v>2967.2950000000005</v>
      </c>
      <c r="BA19" s="969"/>
      <c r="BB19" s="5104">
        <f t="shared" si="12"/>
        <v>2967.2950000000005</v>
      </c>
      <c r="BC19" s="625"/>
      <c r="BD19" s="795">
        <f t="shared" si="13"/>
        <v>10518.015000000001</v>
      </c>
      <c r="BE19" s="3615"/>
      <c r="BF19" s="3615">
        <f t="shared" si="14"/>
        <v>24484.777000000006</v>
      </c>
      <c r="BG19" s="26"/>
      <c r="BH19" s="26"/>
      <c r="BI19" s="26"/>
      <c r="BJ19" s="26"/>
    </row>
    <row r="20" spans="1:62" ht="15" customHeight="1" x14ac:dyDescent="0.25">
      <c r="B20" s="1091" t="s">
        <v>890</v>
      </c>
      <c r="C20" s="1092" t="s">
        <v>1091</v>
      </c>
      <c r="D20" s="672" t="s">
        <v>52</v>
      </c>
      <c r="E20" s="1494"/>
      <c r="F20" s="1411"/>
      <c r="G20" s="1494"/>
      <c r="H20" s="1411"/>
      <c r="I20" s="947"/>
      <c r="J20" s="947"/>
      <c r="K20" s="1494"/>
      <c r="L20" s="1411"/>
      <c r="M20" s="946"/>
      <c r="N20" s="3578">
        <f t="shared" si="1"/>
        <v>0</v>
      </c>
      <c r="O20" s="1494"/>
      <c r="P20" s="1411">
        <v>4018.4250000000002</v>
      </c>
      <c r="Q20" s="947"/>
      <c r="R20" s="2443">
        <f t="shared" si="2"/>
        <v>4018.4250000000002</v>
      </c>
      <c r="S20" s="1411"/>
      <c r="T20" s="2627">
        <v>2950.9350000000009</v>
      </c>
      <c r="U20" s="947"/>
      <c r="V20" s="3390">
        <f t="shared" si="3"/>
        <v>6969.3600000000006</v>
      </c>
      <c r="W20" s="3296"/>
      <c r="X20" s="2627">
        <v>1478.5349999999996</v>
      </c>
      <c r="Y20" s="969"/>
      <c r="Z20" s="3578">
        <f t="shared" si="4"/>
        <v>8447.8950000000004</v>
      </c>
      <c r="AA20" s="625"/>
      <c r="AB20" s="795">
        <f t="shared" si="5"/>
        <v>8447.8950000000004</v>
      </c>
      <c r="AC20" s="3616"/>
      <c r="AD20" s="2627"/>
      <c r="AE20" s="3615"/>
      <c r="AF20" s="3615">
        <f t="shared" si="6"/>
        <v>8447.8950000000004</v>
      </c>
      <c r="AG20" s="3616"/>
      <c r="AH20" s="2627">
        <v>1891.0600000000002</v>
      </c>
      <c r="AI20" s="3615"/>
      <c r="AJ20" s="3615">
        <f t="shared" si="7"/>
        <v>10338.955</v>
      </c>
      <c r="AK20" s="3616"/>
      <c r="AL20" s="2627">
        <v>2337.4349999999999</v>
      </c>
      <c r="AM20" s="969"/>
      <c r="AN20" s="4312">
        <f t="shared" si="8"/>
        <v>4228.4949999999999</v>
      </c>
      <c r="AO20" s="3615"/>
      <c r="AP20" s="3615">
        <f t="shared" si="9"/>
        <v>12676.39</v>
      </c>
      <c r="AQ20" s="3616"/>
      <c r="AR20" s="2627"/>
      <c r="AS20" s="3615"/>
      <c r="AT20" s="3615">
        <f t="shared" si="10"/>
        <v>12676.39</v>
      </c>
      <c r="AU20" s="3616"/>
      <c r="AV20" s="2627"/>
      <c r="AW20" s="3615"/>
      <c r="AX20" s="3615">
        <f t="shared" si="11"/>
        <v>12676.39</v>
      </c>
      <c r="AY20" s="3616"/>
      <c r="AZ20" s="2627">
        <v>640.08499999999981</v>
      </c>
      <c r="BA20" s="969"/>
      <c r="BB20" s="5104">
        <f t="shared" si="12"/>
        <v>640.08499999999981</v>
      </c>
      <c r="BC20" s="625"/>
      <c r="BD20" s="795">
        <f t="shared" si="13"/>
        <v>4868.58</v>
      </c>
      <c r="BE20" s="3615"/>
      <c r="BF20" s="3615">
        <f t="shared" si="14"/>
        <v>13316.474999999999</v>
      </c>
      <c r="BG20" s="26"/>
      <c r="BH20" s="26"/>
      <c r="BI20" s="26"/>
      <c r="BJ20" s="26"/>
    </row>
    <row r="21" spans="1:62" ht="15" customHeight="1" x14ac:dyDescent="0.25">
      <c r="B21" s="1091" t="s">
        <v>890</v>
      </c>
      <c r="C21" s="1092" t="s">
        <v>1202</v>
      </c>
      <c r="D21" s="672" t="s">
        <v>52</v>
      </c>
      <c r="E21" s="1494"/>
      <c r="F21" s="1411"/>
      <c r="G21" s="1494"/>
      <c r="H21" s="1411"/>
      <c r="I21" s="947"/>
      <c r="J21" s="947"/>
      <c r="K21" s="1494"/>
      <c r="L21" s="1411"/>
      <c r="M21" s="946"/>
      <c r="N21" s="3578">
        <f t="shared" si="1"/>
        <v>0</v>
      </c>
      <c r="O21" s="1494"/>
      <c r="P21" s="1411">
        <v>1891.9150000000002</v>
      </c>
      <c r="Q21" s="947"/>
      <c r="R21" s="2443">
        <f>+N21+P21</f>
        <v>1891.9150000000002</v>
      </c>
      <c r="S21" s="1411"/>
      <c r="T21" s="2627">
        <v>0</v>
      </c>
      <c r="U21" s="947"/>
      <c r="V21" s="3390">
        <f t="shared" si="3"/>
        <v>1891.9150000000002</v>
      </c>
      <c r="W21" s="3296"/>
      <c r="X21" s="2627"/>
      <c r="Y21" s="969"/>
      <c r="Z21" s="3578">
        <f t="shared" si="4"/>
        <v>1891.9150000000002</v>
      </c>
      <c r="AA21" s="625"/>
      <c r="AB21" s="795">
        <f t="shared" si="5"/>
        <v>1891.9150000000002</v>
      </c>
      <c r="AC21" s="3616"/>
      <c r="AD21" s="2627"/>
      <c r="AE21" s="3615"/>
      <c r="AF21" s="3615">
        <f t="shared" si="6"/>
        <v>1891.9150000000002</v>
      </c>
      <c r="AG21" s="3616"/>
      <c r="AH21" s="2627"/>
      <c r="AI21" s="3615"/>
      <c r="AJ21" s="3615">
        <f t="shared" si="7"/>
        <v>1891.9150000000002</v>
      </c>
      <c r="AK21" s="3616"/>
      <c r="AL21" s="2627"/>
      <c r="AM21" s="969"/>
      <c r="AN21" s="4312">
        <f t="shared" si="8"/>
        <v>0</v>
      </c>
      <c r="AO21" s="3615"/>
      <c r="AP21" s="3615">
        <f t="shared" si="9"/>
        <v>1891.9150000000002</v>
      </c>
      <c r="AQ21" s="3616"/>
      <c r="AR21" s="2627"/>
      <c r="AS21" s="3615"/>
      <c r="AT21" s="3615">
        <f t="shared" si="10"/>
        <v>1891.9150000000002</v>
      </c>
      <c r="AU21" s="3616"/>
      <c r="AV21" s="2627"/>
      <c r="AW21" s="3615"/>
      <c r="AX21" s="3615">
        <f t="shared" si="11"/>
        <v>1891.9150000000002</v>
      </c>
      <c r="AY21" s="3616"/>
      <c r="AZ21" s="2627"/>
      <c r="BA21" s="969"/>
      <c r="BB21" s="5104">
        <f t="shared" si="12"/>
        <v>0</v>
      </c>
      <c r="BC21" s="625"/>
      <c r="BD21" s="795">
        <f t="shared" si="13"/>
        <v>0</v>
      </c>
      <c r="BE21" s="3615"/>
      <c r="BF21" s="3615">
        <f t="shared" si="14"/>
        <v>1891.9150000000002</v>
      </c>
      <c r="BG21" s="26"/>
      <c r="BH21" s="26"/>
      <c r="BI21" s="26"/>
      <c r="BJ21" s="26"/>
    </row>
    <row r="22" spans="1:62" ht="15" customHeight="1" x14ac:dyDescent="0.25">
      <c r="B22" s="1091" t="s">
        <v>890</v>
      </c>
      <c r="C22" s="1092" t="s">
        <v>1092</v>
      </c>
      <c r="D22" s="672" t="s">
        <v>52</v>
      </c>
      <c r="E22" s="1494"/>
      <c r="F22" s="1411"/>
      <c r="G22" s="1494"/>
      <c r="H22" s="1411"/>
      <c r="I22" s="947"/>
      <c r="J22" s="947"/>
      <c r="K22" s="1494"/>
      <c r="L22" s="1411"/>
      <c r="M22" s="946"/>
      <c r="N22" s="3578">
        <f t="shared" si="1"/>
        <v>0</v>
      </c>
      <c r="O22" s="1494"/>
      <c r="P22" s="1411">
        <v>1018.4100000000001</v>
      </c>
      <c r="Q22" s="947"/>
      <c r="R22" s="2443">
        <f t="shared" si="2"/>
        <v>1018.4100000000001</v>
      </c>
      <c r="S22" s="1411"/>
      <c r="T22" s="2627">
        <v>0</v>
      </c>
      <c r="U22" s="947"/>
      <c r="V22" s="3390">
        <f t="shared" si="3"/>
        <v>1018.4100000000001</v>
      </c>
      <c r="W22" s="3296"/>
      <c r="X22" s="2627"/>
      <c r="Y22" s="969"/>
      <c r="Z22" s="3578">
        <f t="shared" si="4"/>
        <v>1018.4100000000001</v>
      </c>
      <c r="AA22" s="625"/>
      <c r="AB22" s="795">
        <f t="shared" si="5"/>
        <v>1018.4100000000001</v>
      </c>
      <c r="AC22" s="3616"/>
      <c r="AD22" s="2627"/>
      <c r="AE22" s="3615"/>
      <c r="AF22" s="3615">
        <f t="shared" si="6"/>
        <v>1018.4100000000001</v>
      </c>
      <c r="AG22" s="3616"/>
      <c r="AH22" s="2627"/>
      <c r="AI22" s="3615"/>
      <c r="AJ22" s="3615">
        <f t="shared" si="7"/>
        <v>1018.4100000000001</v>
      </c>
      <c r="AK22" s="3616"/>
      <c r="AL22" s="2627"/>
      <c r="AM22" s="969"/>
      <c r="AN22" s="4312">
        <f t="shared" si="8"/>
        <v>0</v>
      </c>
      <c r="AO22" s="3615"/>
      <c r="AP22" s="3615">
        <f t="shared" si="9"/>
        <v>1018.4100000000001</v>
      </c>
      <c r="AQ22" s="3616"/>
      <c r="AR22" s="2627"/>
      <c r="AS22" s="3615"/>
      <c r="AT22" s="3615">
        <f t="shared" si="10"/>
        <v>1018.4100000000001</v>
      </c>
      <c r="AU22" s="3616"/>
      <c r="AV22" s="2627"/>
      <c r="AW22" s="3615"/>
      <c r="AX22" s="3615">
        <f t="shared" si="11"/>
        <v>1018.4100000000001</v>
      </c>
      <c r="AY22" s="3616"/>
      <c r="AZ22" s="2627"/>
      <c r="BA22" s="969"/>
      <c r="BB22" s="5104">
        <f t="shared" si="12"/>
        <v>0</v>
      </c>
      <c r="BC22" s="625"/>
      <c r="BD22" s="795">
        <f t="shared" si="13"/>
        <v>0</v>
      </c>
      <c r="BE22" s="3615"/>
      <c r="BF22" s="3615">
        <f t="shared" si="14"/>
        <v>1018.4100000000001</v>
      </c>
      <c r="BG22" s="26"/>
      <c r="BH22" s="26"/>
      <c r="BI22" s="26"/>
      <c r="BJ22" s="26"/>
    </row>
    <row r="23" spans="1:62" ht="15" customHeight="1" x14ac:dyDescent="0.25">
      <c r="B23" s="1091" t="s">
        <v>890</v>
      </c>
      <c r="C23" s="1092" t="s">
        <v>1695</v>
      </c>
      <c r="D23" s="672" t="s">
        <v>52</v>
      </c>
      <c r="E23" s="1494"/>
      <c r="F23" s="1411"/>
      <c r="G23" s="1494"/>
      <c r="H23" s="1411"/>
      <c r="I23" s="947"/>
      <c r="J23" s="947"/>
      <c r="K23" s="1494"/>
      <c r="L23" s="1411"/>
      <c r="M23" s="946"/>
      <c r="N23" s="3578">
        <f t="shared" si="1"/>
        <v>0</v>
      </c>
      <c r="O23" s="1494"/>
      <c r="P23" s="1411">
        <v>151.32999999999998</v>
      </c>
      <c r="Q23" s="947"/>
      <c r="R23" s="2443">
        <f t="shared" si="2"/>
        <v>151.32999999999998</v>
      </c>
      <c r="S23" s="1411"/>
      <c r="T23" s="2627">
        <v>0</v>
      </c>
      <c r="U23" s="947"/>
      <c r="V23" s="3390">
        <f t="shared" si="3"/>
        <v>151.32999999999998</v>
      </c>
      <c r="W23" s="3296"/>
      <c r="X23" s="2627"/>
      <c r="Y23" s="969"/>
      <c r="Z23" s="3578">
        <f t="shared" si="4"/>
        <v>151.32999999999998</v>
      </c>
      <c r="AA23" s="625"/>
      <c r="AB23" s="795">
        <f t="shared" si="5"/>
        <v>151.32999999999998</v>
      </c>
      <c r="AC23" s="3616"/>
      <c r="AD23" s="2627"/>
      <c r="AE23" s="3615"/>
      <c r="AF23" s="3615">
        <f t="shared" si="6"/>
        <v>151.32999999999998</v>
      </c>
      <c r="AG23" s="3616"/>
      <c r="AH23" s="2627"/>
      <c r="AI23" s="3615"/>
      <c r="AJ23" s="3615">
        <f t="shared" si="7"/>
        <v>151.32999999999998</v>
      </c>
      <c r="AK23" s="3616"/>
      <c r="AL23" s="2627"/>
      <c r="AM23" s="969"/>
      <c r="AN23" s="4312">
        <f t="shared" si="8"/>
        <v>0</v>
      </c>
      <c r="AO23" s="3615"/>
      <c r="AP23" s="3615">
        <f t="shared" si="9"/>
        <v>151.32999999999998</v>
      </c>
      <c r="AQ23" s="3616"/>
      <c r="AR23" s="2627"/>
      <c r="AS23" s="3615"/>
      <c r="AT23" s="3615">
        <f t="shared" si="10"/>
        <v>151.32999999999998</v>
      </c>
      <c r="AU23" s="3616"/>
      <c r="AV23" s="2627"/>
      <c r="AW23" s="3615"/>
      <c r="AX23" s="3615">
        <f t="shared" si="11"/>
        <v>151.32999999999998</v>
      </c>
      <c r="AY23" s="3616"/>
      <c r="AZ23" s="2627"/>
      <c r="BA23" s="969"/>
      <c r="BB23" s="5104">
        <f t="shared" si="12"/>
        <v>0</v>
      </c>
      <c r="BC23" s="625"/>
      <c r="BD23" s="795">
        <f t="shared" si="13"/>
        <v>0</v>
      </c>
      <c r="BE23" s="3615"/>
      <c r="BF23" s="3615">
        <f t="shared" si="14"/>
        <v>151.32999999999998</v>
      </c>
      <c r="BG23" s="26"/>
      <c r="BH23" s="26"/>
      <c r="BI23" s="26"/>
      <c r="BJ23" s="26"/>
    </row>
    <row r="24" spans="1:62" ht="15.75" x14ac:dyDescent="0.25">
      <c r="B24" s="1091" t="s">
        <v>891</v>
      </c>
      <c r="C24" s="1092" t="s">
        <v>1090</v>
      </c>
      <c r="D24" s="672" t="s">
        <v>52</v>
      </c>
      <c r="E24" s="1411"/>
      <c r="F24" s="1411">
        <v>8487.5969999999998</v>
      </c>
      <c r="G24" s="1411"/>
      <c r="H24" s="1411"/>
      <c r="I24" s="947"/>
      <c r="J24" s="947">
        <f>+F24+H24</f>
        <v>8487.5969999999998</v>
      </c>
      <c r="K24" s="1411"/>
      <c r="L24" s="1411"/>
      <c r="M24" s="946"/>
      <c r="N24" s="3578">
        <f t="shared" si="1"/>
        <v>8487.5969999999998</v>
      </c>
      <c r="O24" s="1411"/>
      <c r="P24" s="1411">
        <v>12990.276000000016</v>
      </c>
      <c r="Q24" s="947"/>
      <c r="R24" s="2443">
        <f>+N24+P24</f>
        <v>21477.873000000014</v>
      </c>
      <c r="S24" s="1411"/>
      <c r="T24" s="2627">
        <v>10147.077000000014</v>
      </c>
      <c r="U24" s="947"/>
      <c r="V24" s="3390">
        <f t="shared" si="3"/>
        <v>31624.950000000026</v>
      </c>
      <c r="W24" s="3296"/>
      <c r="X24" s="2627">
        <v>11205.527000000018</v>
      </c>
      <c r="Y24" s="969"/>
      <c r="Z24" s="3578">
        <f t="shared" si="4"/>
        <v>34342.880000000048</v>
      </c>
      <c r="AA24" s="625"/>
      <c r="AB24" s="795">
        <f t="shared" si="5"/>
        <v>42830.47700000005</v>
      </c>
      <c r="AC24" s="3616"/>
      <c r="AD24" s="2627">
        <v>9297.9750000000076</v>
      </c>
      <c r="AE24" s="3615"/>
      <c r="AF24" s="3615">
        <f t="shared" si="6"/>
        <v>52128.452000000056</v>
      </c>
      <c r="AG24" s="3616"/>
      <c r="AH24" s="2627">
        <v>5390.228000000001</v>
      </c>
      <c r="AI24" s="3615"/>
      <c r="AJ24" s="3615">
        <f t="shared" si="7"/>
        <v>57518.680000000058</v>
      </c>
      <c r="AK24" s="3616"/>
      <c r="AL24" s="2627">
        <v>11213.864000000001</v>
      </c>
      <c r="AM24" s="969"/>
      <c r="AN24" s="4312">
        <f t="shared" si="8"/>
        <v>25902.06700000001</v>
      </c>
      <c r="AO24" s="3615"/>
      <c r="AP24" s="3615">
        <f t="shared" si="9"/>
        <v>68732.544000000053</v>
      </c>
      <c r="AQ24" s="3616"/>
      <c r="AR24" s="2627">
        <v>4161.5750000000007</v>
      </c>
      <c r="AS24" s="3615"/>
      <c r="AT24" s="3615">
        <f t="shared" si="10"/>
        <v>72894.11900000005</v>
      </c>
      <c r="AU24" s="3616"/>
      <c r="AV24" s="2627">
        <v>10533.795000000022</v>
      </c>
      <c r="AW24" s="3615"/>
      <c r="AX24" s="3615">
        <f t="shared" si="11"/>
        <v>83427.914000000077</v>
      </c>
      <c r="AY24" s="3616"/>
      <c r="AZ24" s="2627">
        <v>5593.0749999999989</v>
      </c>
      <c r="BA24" s="969"/>
      <c r="BB24" s="5104">
        <f t="shared" si="12"/>
        <v>20288.445000000022</v>
      </c>
      <c r="BC24" s="625"/>
      <c r="BD24" s="795">
        <f t="shared" si="13"/>
        <v>46190.512000000032</v>
      </c>
      <c r="BE24" s="3615"/>
      <c r="BF24" s="3615">
        <f t="shared" si="14"/>
        <v>89020.989000000074</v>
      </c>
      <c r="BG24" s="26"/>
      <c r="BH24" s="26"/>
      <c r="BI24" s="26"/>
      <c r="BJ24" s="26"/>
    </row>
    <row r="25" spans="1:62" ht="15.75" x14ac:dyDescent="0.25">
      <c r="B25" s="1091" t="s">
        <v>891</v>
      </c>
      <c r="C25" s="1092" t="s">
        <v>1091</v>
      </c>
      <c r="D25" s="672" t="s">
        <v>52</v>
      </c>
      <c r="E25" s="1411"/>
      <c r="F25" s="1411">
        <v>7579.4919999999993</v>
      </c>
      <c r="G25" s="1411"/>
      <c r="H25" s="1411">
        <v>3402.8949999999995</v>
      </c>
      <c r="I25" s="947"/>
      <c r="J25" s="947">
        <f t="shared" si="0"/>
        <v>10982.386999999999</v>
      </c>
      <c r="K25" s="1411"/>
      <c r="L25" s="1411"/>
      <c r="M25" s="946"/>
      <c r="N25" s="3578">
        <f t="shared" si="1"/>
        <v>10982.386999999999</v>
      </c>
      <c r="O25" s="1411"/>
      <c r="P25" s="1411">
        <v>1960.4709999999998</v>
      </c>
      <c r="Q25" s="947"/>
      <c r="R25" s="2443">
        <f t="shared" si="2"/>
        <v>12942.857999999998</v>
      </c>
      <c r="S25" s="1411"/>
      <c r="T25" s="2627">
        <v>4332.110999999999</v>
      </c>
      <c r="U25" s="947"/>
      <c r="V25" s="3390">
        <f t="shared" si="3"/>
        <v>17274.968999999997</v>
      </c>
      <c r="W25" s="3296"/>
      <c r="X25" s="2627">
        <v>1781.1950000000006</v>
      </c>
      <c r="Y25" s="969"/>
      <c r="Z25" s="3578">
        <f t="shared" si="4"/>
        <v>8073.7769999999991</v>
      </c>
      <c r="AA25" s="625"/>
      <c r="AB25" s="795">
        <f t="shared" si="5"/>
        <v>19056.163999999997</v>
      </c>
      <c r="AC25" s="3616"/>
      <c r="AD25" s="2627">
        <v>2241.505000000001</v>
      </c>
      <c r="AE25" s="3615"/>
      <c r="AF25" s="3615">
        <f t="shared" si="6"/>
        <v>21297.668999999998</v>
      </c>
      <c r="AG25" s="3616"/>
      <c r="AH25" s="2627">
        <v>3528.5170000000012</v>
      </c>
      <c r="AI25" s="3615"/>
      <c r="AJ25" s="3615">
        <f t="shared" si="7"/>
        <v>24826.185999999998</v>
      </c>
      <c r="AK25" s="3616"/>
      <c r="AL25" s="2627">
        <v>5517.41</v>
      </c>
      <c r="AM25" s="969"/>
      <c r="AN25" s="4312">
        <f t="shared" si="8"/>
        <v>11287.432000000003</v>
      </c>
      <c r="AO25" s="3615"/>
      <c r="AP25" s="3615">
        <f t="shared" si="9"/>
        <v>30343.595999999998</v>
      </c>
      <c r="AQ25" s="3616"/>
      <c r="AR25" s="2627"/>
      <c r="AS25" s="3615"/>
      <c r="AT25" s="3615">
        <f t="shared" si="10"/>
        <v>30343.595999999998</v>
      </c>
      <c r="AU25" s="3616"/>
      <c r="AV25" s="2627">
        <v>5400.8549999999977</v>
      </c>
      <c r="AW25" s="3615"/>
      <c r="AX25" s="3615">
        <f t="shared" si="11"/>
        <v>35744.450999999994</v>
      </c>
      <c r="AY25" s="3616"/>
      <c r="AZ25" s="2627">
        <v>1856.8600000000006</v>
      </c>
      <c r="BA25" s="969"/>
      <c r="BB25" s="5104">
        <f t="shared" si="12"/>
        <v>7257.7149999999983</v>
      </c>
      <c r="BC25" s="625"/>
      <c r="BD25" s="795">
        <f t="shared" si="13"/>
        <v>18545.147000000001</v>
      </c>
      <c r="BE25" s="3615"/>
      <c r="BF25" s="3615">
        <f t="shared" si="14"/>
        <v>37601.310999999994</v>
      </c>
      <c r="BG25" s="26"/>
      <c r="BH25" s="26"/>
      <c r="BI25" s="26"/>
      <c r="BJ25" s="26"/>
    </row>
    <row r="26" spans="1:62" ht="15.75" x14ac:dyDescent="0.25">
      <c r="B26" s="1091" t="s">
        <v>891</v>
      </c>
      <c r="C26" s="1092" t="s">
        <v>1202</v>
      </c>
      <c r="D26" s="672" t="s">
        <v>52</v>
      </c>
      <c r="E26" s="1411"/>
      <c r="F26" s="1411">
        <v>6705.6390000000001</v>
      </c>
      <c r="G26" s="1411"/>
      <c r="H26" s="1411">
        <v>4925.0219999999981</v>
      </c>
      <c r="I26" s="947"/>
      <c r="J26" s="947">
        <f t="shared" si="0"/>
        <v>11630.660999999998</v>
      </c>
      <c r="K26" s="1411"/>
      <c r="L26" s="1411">
        <v>7956.190000000006</v>
      </c>
      <c r="M26" s="946"/>
      <c r="N26" s="3578">
        <f t="shared" si="1"/>
        <v>19586.851000000002</v>
      </c>
      <c r="O26" s="1411"/>
      <c r="P26" s="1411">
        <v>629.86</v>
      </c>
      <c r="Q26" s="947"/>
      <c r="R26" s="2443">
        <f t="shared" si="2"/>
        <v>20216.711000000003</v>
      </c>
      <c r="S26" s="1411"/>
      <c r="T26" s="2627">
        <v>9863.9910000000182</v>
      </c>
      <c r="U26" s="947"/>
      <c r="V26" s="3390">
        <f t="shared" si="3"/>
        <v>30080.702000000019</v>
      </c>
      <c r="W26" s="3296"/>
      <c r="X26" s="2627">
        <v>13161.005000000021</v>
      </c>
      <c r="Y26" s="969"/>
      <c r="Z26" s="3578">
        <f t="shared" si="4"/>
        <v>23654.85600000004</v>
      </c>
      <c r="AA26" s="625"/>
      <c r="AB26" s="795">
        <f t="shared" si="5"/>
        <v>43241.707000000039</v>
      </c>
      <c r="AC26" s="3616"/>
      <c r="AD26" s="2627">
        <v>4917.8950000000013</v>
      </c>
      <c r="AE26" s="3615"/>
      <c r="AF26" s="3615">
        <f t="shared" si="6"/>
        <v>48159.602000000043</v>
      </c>
      <c r="AG26" s="3616"/>
      <c r="AH26" s="2627"/>
      <c r="AI26" s="3615"/>
      <c r="AJ26" s="3615">
        <f t="shared" si="7"/>
        <v>48159.602000000043</v>
      </c>
      <c r="AK26" s="3616"/>
      <c r="AL26" s="2627">
        <v>7558.32</v>
      </c>
      <c r="AM26" s="969"/>
      <c r="AN26" s="4312">
        <f t="shared" si="8"/>
        <v>12476.215</v>
      </c>
      <c r="AO26" s="3615"/>
      <c r="AP26" s="3615">
        <f t="shared" si="9"/>
        <v>55717.922000000042</v>
      </c>
      <c r="AQ26" s="3616"/>
      <c r="AR26" s="2627">
        <v>7554.2300000000077</v>
      </c>
      <c r="AS26" s="3615"/>
      <c r="AT26" s="3615">
        <f t="shared" si="10"/>
        <v>63272.152000000053</v>
      </c>
      <c r="AU26" s="3616"/>
      <c r="AV26" s="2627">
        <v>8910.0650000000132</v>
      </c>
      <c r="AW26" s="3615"/>
      <c r="AX26" s="3615">
        <f t="shared" si="11"/>
        <v>72182.217000000062</v>
      </c>
      <c r="AY26" s="3616"/>
      <c r="AZ26" s="2627">
        <v>15368.175000000045</v>
      </c>
      <c r="BA26" s="969"/>
      <c r="BB26" s="5104">
        <f t="shared" si="12"/>
        <v>31832.470000000067</v>
      </c>
      <c r="BC26" s="625"/>
      <c r="BD26" s="795">
        <f t="shared" si="13"/>
        <v>44308.68500000007</v>
      </c>
      <c r="BE26" s="3615"/>
      <c r="BF26" s="3615">
        <f t="shared" si="14"/>
        <v>87550.392000000109</v>
      </c>
      <c r="BG26" s="26"/>
      <c r="BH26" s="26"/>
      <c r="BI26" s="26"/>
      <c r="BJ26" s="26"/>
    </row>
    <row r="27" spans="1:62" ht="15.75" x14ac:dyDescent="0.25">
      <c r="B27" s="1091" t="s">
        <v>891</v>
      </c>
      <c r="C27" s="1092" t="s">
        <v>1060</v>
      </c>
      <c r="D27" s="672" t="s">
        <v>52</v>
      </c>
      <c r="E27" s="1411"/>
      <c r="F27" s="1411"/>
      <c r="G27" s="1411"/>
      <c r="H27" s="1411"/>
      <c r="I27" s="947"/>
      <c r="J27" s="947"/>
      <c r="K27" s="1411"/>
      <c r="L27" s="1411"/>
      <c r="M27" s="946"/>
      <c r="N27" s="3578">
        <f t="shared" si="1"/>
        <v>0</v>
      </c>
      <c r="O27" s="1411"/>
      <c r="P27" s="1411">
        <v>926.38499999999988</v>
      </c>
      <c r="Q27" s="947"/>
      <c r="R27" s="2443">
        <f t="shared" si="2"/>
        <v>926.38499999999988</v>
      </c>
      <c r="S27" s="1411"/>
      <c r="T27" s="2627">
        <v>0</v>
      </c>
      <c r="U27" s="947"/>
      <c r="V27" s="3390">
        <f t="shared" si="3"/>
        <v>926.38499999999988</v>
      </c>
      <c r="W27" s="3296"/>
      <c r="X27" s="2627"/>
      <c r="Y27" s="969"/>
      <c r="Z27" s="3578">
        <f t="shared" si="4"/>
        <v>926.38499999999988</v>
      </c>
      <c r="AA27" s="625"/>
      <c r="AB27" s="795">
        <f t="shared" si="5"/>
        <v>926.38499999999988</v>
      </c>
      <c r="AC27" s="3616"/>
      <c r="AD27" s="2627"/>
      <c r="AE27" s="3615"/>
      <c r="AF27" s="3615">
        <f t="shared" si="6"/>
        <v>926.38499999999988</v>
      </c>
      <c r="AG27" s="3616"/>
      <c r="AH27" s="2627"/>
      <c r="AI27" s="3615"/>
      <c r="AJ27" s="3615">
        <f t="shared" si="7"/>
        <v>926.38499999999988</v>
      </c>
      <c r="AK27" s="3616"/>
      <c r="AL27" s="2627"/>
      <c r="AM27" s="969"/>
      <c r="AN27" s="4312">
        <f t="shared" si="8"/>
        <v>0</v>
      </c>
      <c r="AO27" s="3615"/>
      <c r="AP27" s="3615">
        <f t="shared" si="9"/>
        <v>926.38499999999988</v>
      </c>
      <c r="AQ27" s="3616"/>
      <c r="AR27" s="2627"/>
      <c r="AS27" s="3615"/>
      <c r="AT27" s="3615">
        <f t="shared" si="10"/>
        <v>926.38499999999988</v>
      </c>
      <c r="AU27" s="3616"/>
      <c r="AV27" s="2627">
        <v>820.04499999999996</v>
      </c>
      <c r="AW27" s="3615"/>
      <c r="AX27" s="3615">
        <f t="shared" si="11"/>
        <v>1746.4299999999998</v>
      </c>
      <c r="AY27" s="3616"/>
      <c r="AZ27" s="2627"/>
      <c r="BA27" s="969"/>
      <c r="BB27" s="5104">
        <f t="shared" si="12"/>
        <v>820.04499999999996</v>
      </c>
      <c r="BC27" s="625"/>
      <c r="BD27" s="795">
        <f t="shared" si="13"/>
        <v>820.04499999999996</v>
      </c>
      <c r="BE27" s="3615"/>
      <c r="BF27" s="3615">
        <f t="shared" si="14"/>
        <v>1746.4299999999998</v>
      </c>
      <c r="BG27" s="26"/>
      <c r="BH27" s="26"/>
      <c r="BI27" s="26"/>
      <c r="BJ27" s="26"/>
    </row>
    <row r="28" spans="1:62" ht="15.75" x14ac:dyDescent="0.25">
      <c r="B28" s="1091" t="s">
        <v>891</v>
      </c>
      <c r="C28" s="1092" t="s">
        <v>1092</v>
      </c>
      <c r="D28" s="672" t="s">
        <v>52</v>
      </c>
      <c r="E28" s="1411"/>
      <c r="F28" s="1411">
        <v>1717.9939999999999</v>
      </c>
      <c r="G28" s="1411"/>
      <c r="H28" s="1411"/>
      <c r="I28" s="947"/>
      <c r="J28" s="947">
        <f t="shared" si="0"/>
        <v>1717.9939999999999</v>
      </c>
      <c r="K28" s="1411"/>
      <c r="L28" s="1411"/>
      <c r="M28" s="946"/>
      <c r="N28" s="3578">
        <f t="shared" si="1"/>
        <v>1717.9939999999999</v>
      </c>
      <c r="O28" s="1411"/>
      <c r="P28" s="1411"/>
      <c r="Q28" s="947"/>
      <c r="R28" s="2443">
        <f t="shared" si="2"/>
        <v>1717.9939999999999</v>
      </c>
      <c r="S28" s="1411"/>
      <c r="T28" s="2627">
        <v>0</v>
      </c>
      <c r="U28" s="947"/>
      <c r="V28" s="3390">
        <f t="shared" si="3"/>
        <v>1717.9939999999999</v>
      </c>
      <c r="W28" s="3296"/>
      <c r="X28" s="2627"/>
      <c r="Y28" s="969"/>
      <c r="Z28" s="3578">
        <f t="shared" si="4"/>
        <v>0</v>
      </c>
      <c r="AA28" s="625"/>
      <c r="AB28" s="795">
        <f t="shared" si="5"/>
        <v>1717.9939999999999</v>
      </c>
      <c r="AC28" s="3616"/>
      <c r="AD28" s="2627"/>
      <c r="AE28" s="3615"/>
      <c r="AF28" s="3615">
        <f t="shared" si="6"/>
        <v>1717.9939999999999</v>
      </c>
      <c r="AG28" s="3616"/>
      <c r="AH28" s="2627">
        <v>1012.2750000000002</v>
      </c>
      <c r="AI28" s="3615"/>
      <c r="AJ28" s="3615">
        <f t="shared" si="7"/>
        <v>2730.2690000000002</v>
      </c>
      <c r="AK28" s="3616"/>
      <c r="AL28" s="2627"/>
      <c r="AM28" s="969"/>
      <c r="AN28" s="4312">
        <f t="shared" si="8"/>
        <v>1012.2750000000002</v>
      </c>
      <c r="AO28" s="3615"/>
      <c r="AP28" s="3615">
        <f t="shared" si="9"/>
        <v>2730.2690000000002</v>
      </c>
      <c r="AQ28" s="3616"/>
      <c r="AR28" s="2627"/>
      <c r="AS28" s="3615"/>
      <c r="AT28" s="3615">
        <f t="shared" si="10"/>
        <v>2730.2690000000002</v>
      </c>
      <c r="AU28" s="3616"/>
      <c r="AV28" s="2627"/>
      <c r="AW28" s="3615"/>
      <c r="AX28" s="3615">
        <f t="shared" si="11"/>
        <v>2730.2690000000002</v>
      </c>
      <c r="AY28" s="3616"/>
      <c r="AZ28" s="2627"/>
      <c r="BA28" s="969"/>
      <c r="BB28" s="5104">
        <f t="shared" si="12"/>
        <v>0</v>
      </c>
      <c r="BC28" s="625"/>
      <c r="BD28" s="795">
        <f t="shared" si="13"/>
        <v>1012.2750000000002</v>
      </c>
      <c r="BE28" s="3615"/>
      <c r="BF28" s="3615">
        <f t="shared" si="14"/>
        <v>2730.2690000000002</v>
      </c>
      <c r="BG28" s="26"/>
      <c r="BH28" s="26"/>
      <c r="BI28" s="26"/>
      <c r="BJ28" s="26"/>
    </row>
    <row r="29" spans="1:62" s="4332" customFormat="1" ht="15.75" x14ac:dyDescent="0.25">
      <c r="B29" s="1091" t="s">
        <v>891</v>
      </c>
      <c r="C29" s="1092" t="s">
        <v>1177</v>
      </c>
      <c r="D29" s="672" t="s">
        <v>52</v>
      </c>
      <c r="E29" s="3616"/>
      <c r="F29" s="3616"/>
      <c r="G29" s="3616"/>
      <c r="H29" s="3616"/>
      <c r="I29" s="3615"/>
      <c r="J29" s="3615"/>
      <c r="K29" s="3616"/>
      <c r="L29" s="3616"/>
      <c r="M29" s="4328"/>
      <c r="N29" s="4328"/>
      <c r="O29" s="3616"/>
      <c r="P29" s="3616"/>
      <c r="Q29" s="3615"/>
      <c r="R29" s="3615"/>
      <c r="S29" s="3616"/>
      <c r="T29" s="2627"/>
      <c r="U29" s="3615"/>
      <c r="V29" s="3615"/>
      <c r="W29" s="3616"/>
      <c r="X29" s="2627"/>
      <c r="Y29" s="969"/>
      <c r="Z29" s="4328"/>
      <c r="AA29" s="625"/>
      <c r="AB29" s="795"/>
      <c r="AC29" s="3616"/>
      <c r="AD29" s="2627"/>
      <c r="AE29" s="3615"/>
      <c r="AF29" s="3615"/>
      <c r="AG29" s="3616"/>
      <c r="AH29" s="2627"/>
      <c r="AI29" s="3615"/>
      <c r="AJ29" s="3615">
        <f t="shared" si="7"/>
        <v>0</v>
      </c>
      <c r="AK29" s="3616"/>
      <c r="AL29" s="2627">
        <v>1239.27</v>
      </c>
      <c r="AM29" s="969"/>
      <c r="AN29" s="4328">
        <f t="shared" si="8"/>
        <v>1239.27</v>
      </c>
      <c r="AO29" s="3615"/>
      <c r="AP29" s="3615">
        <f t="shared" si="9"/>
        <v>1239.27</v>
      </c>
      <c r="AQ29" s="3616"/>
      <c r="AR29" s="2627"/>
      <c r="AS29" s="3615"/>
      <c r="AT29" s="3615">
        <f t="shared" si="10"/>
        <v>1239.27</v>
      </c>
      <c r="AU29" s="3616"/>
      <c r="AV29" s="2627"/>
      <c r="AW29" s="3615"/>
      <c r="AX29" s="3615">
        <f t="shared" si="11"/>
        <v>1239.27</v>
      </c>
      <c r="AY29" s="3616"/>
      <c r="AZ29" s="2627"/>
      <c r="BA29" s="969"/>
      <c r="BB29" s="5104">
        <f t="shared" si="12"/>
        <v>0</v>
      </c>
      <c r="BC29" s="625"/>
      <c r="BD29" s="795">
        <f t="shared" si="13"/>
        <v>1239.27</v>
      </c>
      <c r="BE29" s="3615"/>
      <c r="BF29" s="3615">
        <f t="shared" si="14"/>
        <v>1239.27</v>
      </c>
      <c r="BG29" s="26"/>
      <c r="BH29" s="26"/>
      <c r="BI29" s="26"/>
      <c r="BJ29" s="26"/>
    </row>
    <row r="30" spans="1:62" ht="15.75" x14ac:dyDescent="0.25">
      <c r="B30" s="1091" t="s">
        <v>892</v>
      </c>
      <c r="C30" s="1092" t="s">
        <v>1090</v>
      </c>
      <c r="D30" s="672" t="s">
        <v>52</v>
      </c>
      <c r="E30" s="1411"/>
      <c r="F30" s="1411">
        <v>5080.4449999999997</v>
      </c>
      <c r="G30" s="1411"/>
      <c r="H30" s="1411">
        <v>9906.7610000000041</v>
      </c>
      <c r="I30" s="947"/>
      <c r="J30" s="947">
        <f t="shared" si="0"/>
        <v>14987.206000000004</v>
      </c>
      <c r="K30" s="1411"/>
      <c r="L30" s="1411">
        <v>9230.1869999999999</v>
      </c>
      <c r="M30" s="946"/>
      <c r="N30" s="3578">
        <f t="shared" si="1"/>
        <v>24217.393000000004</v>
      </c>
      <c r="O30" s="1411"/>
      <c r="P30" s="1411">
        <v>10412.401000000016</v>
      </c>
      <c r="Q30" s="947"/>
      <c r="R30" s="2443">
        <f t="shared" si="2"/>
        <v>34629.794000000024</v>
      </c>
      <c r="S30" s="1411"/>
      <c r="T30" s="2627">
        <v>10672.843000000012</v>
      </c>
      <c r="U30" s="947"/>
      <c r="V30" s="3390">
        <f t="shared" si="3"/>
        <v>45302.637000000032</v>
      </c>
      <c r="W30" s="3296"/>
      <c r="X30" s="2627">
        <v>2693.2650000000012</v>
      </c>
      <c r="Y30" s="969"/>
      <c r="Z30" s="3578">
        <f t="shared" si="4"/>
        <v>23778.509000000027</v>
      </c>
      <c r="AA30" s="625"/>
      <c r="AB30" s="795">
        <f t="shared" si="5"/>
        <v>47995.902000000031</v>
      </c>
      <c r="AC30" s="3616"/>
      <c r="AD30" s="2627">
        <v>6821.4820000000118</v>
      </c>
      <c r="AE30" s="3615"/>
      <c r="AF30" s="3615">
        <f t="shared" si="6"/>
        <v>54817.384000000042</v>
      </c>
      <c r="AG30" s="3616"/>
      <c r="AH30" s="2627">
        <v>13630.508000000043</v>
      </c>
      <c r="AI30" s="3615"/>
      <c r="AJ30" s="3615">
        <f t="shared" si="7"/>
        <v>68447.89200000008</v>
      </c>
      <c r="AK30" s="3616"/>
      <c r="AL30" s="2627"/>
      <c r="AM30" s="969"/>
      <c r="AN30" s="4312">
        <f t="shared" si="8"/>
        <v>20451.990000000056</v>
      </c>
      <c r="AO30" s="3615"/>
      <c r="AP30" s="3615">
        <f t="shared" si="9"/>
        <v>68447.89200000008</v>
      </c>
      <c r="AQ30" s="3616"/>
      <c r="AR30" s="2627">
        <v>11718.326000000019</v>
      </c>
      <c r="AS30" s="3615"/>
      <c r="AT30" s="3615">
        <f t="shared" si="10"/>
        <v>80166.218000000095</v>
      </c>
      <c r="AU30" s="3616"/>
      <c r="AV30" s="2627">
        <v>9220.9050000000134</v>
      </c>
      <c r="AW30" s="3615"/>
      <c r="AX30" s="3615">
        <f t="shared" si="11"/>
        <v>89387.123000000109</v>
      </c>
      <c r="AY30" s="3616"/>
      <c r="AZ30" s="2627">
        <v>10175.920000000009</v>
      </c>
      <c r="BA30" s="969"/>
      <c r="BB30" s="5104">
        <f t="shared" si="12"/>
        <v>31115.151000000042</v>
      </c>
      <c r="BC30" s="625"/>
      <c r="BD30" s="795">
        <f t="shared" si="13"/>
        <v>51567.141000000098</v>
      </c>
      <c r="BE30" s="3615"/>
      <c r="BF30" s="3615">
        <f t="shared" si="14"/>
        <v>99563.043000000122</v>
      </c>
      <c r="BG30" s="26"/>
      <c r="BH30" s="26"/>
      <c r="BI30" s="26"/>
      <c r="BJ30" s="26"/>
    </row>
    <row r="31" spans="1:62" ht="15.75" x14ac:dyDescent="0.25">
      <c r="B31" s="1091" t="s">
        <v>892</v>
      </c>
      <c r="C31" s="1092" t="s">
        <v>1091</v>
      </c>
      <c r="D31" s="672" t="s">
        <v>52</v>
      </c>
      <c r="E31" s="1411"/>
      <c r="F31" s="1411">
        <v>2542.7529999999997</v>
      </c>
      <c r="G31" s="1411"/>
      <c r="H31" s="1411">
        <v>6453.601000000006</v>
      </c>
      <c r="I31" s="947"/>
      <c r="J31" s="947">
        <f>+F31+H31</f>
        <v>8996.3540000000066</v>
      </c>
      <c r="K31" s="1411"/>
      <c r="L31" s="1411">
        <v>3220.8749999999995</v>
      </c>
      <c r="M31" s="946"/>
      <c r="N31" s="3578">
        <f t="shared" si="1"/>
        <v>12217.229000000007</v>
      </c>
      <c r="O31" s="1411"/>
      <c r="P31" s="1411">
        <v>5102.2749999999996</v>
      </c>
      <c r="Q31" s="947"/>
      <c r="R31" s="2443">
        <f>+N31+P31</f>
        <v>17319.504000000008</v>
      </c>
      <c r="S31" s="1411"/>
      <c r="T31" s="2627">
        <v>4286.32</v>
      </c>
      <c r="U31" s="947"/>
      <c r="V31" s="3390">
        <f t="shared" si="3"/>
        <v>21605.824000000008</v>
      </c>
      <c r="W31" s="3296"/>
      <c r="X31" s="2627">
        <v>492.84499999999997</v>
      </c>
      <c r="Y31" s="969"/>
      <c r="Z31" s="3578">
        <f t="shared" si="4"/>
        <v>9881.4399999999987</v>
      </c>
      <c r="AA31" s="625"/>
      <c r="AB31" s="795">
        <f t="shared" si="5"/>
        <v>22098.669000000005</v>
      </c>
      <c r="AC31" s="3616"/>
      <c r="AD31" s="2627">
        <v>2533.7549999999997</v>
      </c>
      <c r="AE31" s="3615"/>
      <c r="AF31" s="3615">
        <f t="shared" si="6"/>
        <v>24632.424000000006</v>
      </c>
      <c r="AG31" s="3616"/>
      <c r="AH31" s="2627">
        <v>4509.6769999999997</v>
      </c>
      <c r="AI31" s="3615"/>
      <c r="AJ31" s="3615">
        <f t="shared" si="7"/>
        <v>29142.101000000006</v>
      </c>
      <c r="AK31" s="3616"/>
      <c r="AL31" s="2627"/>
      <c r="AM31" s="969"/>
      <c r="AN31" s="4312">
        <f t="shared" si="8"/>
        <v>7043.4319999999989</v>
      </c>
      <c r="AO31" s="3615"/>
      <c r="AP31" s="3615">
        <f t="shared" si="9"/>
        <v>29142.101000000006</v>
      </c>
      <c r="AQ31" s="3616"/>
      <c r="AR31" s="2627">
        <v>4709.6349999999993</v>
      </c>
      <c r="AS31" s="3615"/>
      <c r="AT31" s="3615">
        <f t="shared" si="10"/>
        <v>33851.736000000004</v>
      </c>
      <c r="AU31" s="3616"/>
      <c r="AV31" s="2627">
        <v>1631.4030000000005</v>
      </c>
      <c r="AW31" s="3615"/>
      <c r="AX31" s="3615">
        <f t="shared" si="11"/>
        <v>35483.139000000003</v>
      </c>
      <c r="AY31" s="3616"/>
      <c r="AZ31" s="2627"/>
      <c r="BA31" s="969"/>
      <c r="BB31" s="5104">
        <f t="shared" si="12"/>
        <v>6341.0379999999996</v>
      </c>
      <c r="BC31" s="625"/>
      <c r="BD31" s="795">
        <f t="shared" si="13"/>
        <v>13384.469999999998</v>
      </c>
      <c r="BE31" s="3615"/>
      <c r="BF31" s="3615">
        <f t="shared" si="14"/>
        <v>35483.139000000003</v>
      </c>
      <c r="BG31" s="26"/>
      <c r="BH31" s="26"/>
      <c r="BI31" s="26"/>
      <c r="BJ31" s="26"/>
    </row>
    <row r="32" spans="1:62" ht="15.75" x14ac:dyDescent="0.25">
      <c r="B32" s="1091" t="s">
        <v>892</v>
      </c>
      <c r="C32" s="1092" t="s">
        <v>1202</v>
      </c>
      <c r="D32" s="672" t="s">
        <v>52</v>
      </c>
      <c r="E32" s="1411"/>
      <c r="F32" s="1411">
        <v>1588.9650000000001</v>
      </c>
      <c r="G32" s="1411"/>
      <c r="H32" s="1411">
        <v>6048.4050000000043</v>
      </c>
      <c r="I32" s="947"/>
      <c r="J32" s="947">
        <f>+F32+H32</f>
        <v>7637.3700000000044</v>
      </c>
      <c r="K32" s="1411"/>
      <c r="L32" s="1411">
        <v>6392.6700000000019</v>
      </c>
      <c r="M32" s="946"/>
      <c r="N32" s="3578">
        <f t="shared" si="1"/>
        <v>14030.040000000006</v>
      </c>
      <c r="O32" s="1411"/>
      <c r="P32" s="1411">
        <v>6258.7190000000019</v>
      </c>
      <c r="Q32" s="947"/>
      <c r="R32" s="2443">
        <f>+N32+P32</f>
        <v>20288.759000000009</v>
      </c>
      <c r="S32" s="1411"/>
      <c r="T32" s="2627">
        <v>10393.368000000011</v>
      </c>
      <c r="U32" s="947"/>
      <c r="V32" s="3390">
        <f t="shared" si="3"/>
        <v>30682.127000000022</v>
      </c>
      <c r="W32" s="3296"/>
      <c r="X32" s="2627">
        <v>8748.5620000000199</v>
      </c>
      <c r="Y32" s="969"/>
      <c r="Z32" s="3578">
        <f t="shared" si="4"/>
        <v>25400.649000000034</v>
      </c>
      <c r="AA32" s="625"/>
      <c r="AB32" s="795">
        <f t="shared" si="5"/>
        <v>39430.689000000042</v>
      </c>
      <c r="AC32" s="3616"/>
      <c r="AD32" s="2627">
        <v>7272.0200000000077</v>
      </c>
      <c r="AE32" s="3615"/>
      <c r="AF32" s="3615">
        <f t="shared" si="6"/>
        <v>46702.709000000046</v>
      </c>
      <c r="AG32" s="3616"/>
      <c r="AH32" s="2627">
        <v>1948.885</v>
      </c>
      <c r="AI32" s="3615"/>
      <c r="AJ32" s="3615">
        <f t="shared" si="7"/>
        <v>48651.594000000048</v>
      </c>
      <c r="AK32" s="3616"/>
      <c r="AL32" s="2627">
        <v>5605.3449999999993</v>
      </c>
      <c r="AM32" s="969"/>
      <c r="AN32" s="4312">
        <f t="shared" si="8"/>
        <v>14826.250000000007</v>
      </c>
      <c r="AO32" s="3615"/>
      <c r="AP32" s="3615">
        <f t="shared" si="9"/>
        <v>54256.939000000049</v>
      </c>
      <c r="AQ32" s="3616"/>
      <c r="AR32" s="2627">
        <v>7102.2850000000035</v>
      </c>
      <c r="AS32" s="3615"/>
      <c r="AT32" s="3615">
        <f t="shared" si="10"/>
        <v>61359.224000000053</v>
      </c>
      <c r="AU32" s="3616"/>
      <c r="AV32" s="2627">
        <v>7854.8450000000093</v>
      </c>
      <c r="AW32" s="3615"/>
      <c r="AX32" s="3615">
        <f t="shared" si="11"/>
        <v>69214.069000000061</v>
      </c>
      <c r="AY32" s="3616"/>
      <c r="AZ32" s="2627">
        <v>10995.965000000018</v>
      </c>
      <c r="BA32" s="969"/>
      <c r="BB32" s="5104">
        <f t="shared" si="12"/>
        <v>25953.09500000003</v>
      </c>
      <c r="BC32" s="625"/>
      <c r="BD32" s="795">
        <f t="shared" si="13"/>
        <v>40779.345000000038</v>
      </c>
      <c r="BE32" s="3615"/>
      <c r="BF32" s="3615">
        <f t="shared" si="14"/>
        <v>80210.034000000072</v>
      </c>
      <c r="BG32" s="26"/>
      <c r="BH32" s="26"/>
      <c r="BI32" s="26"/>
      <c r="BJ32" s="26"/>
    </row>
    <row r="33" spans="1:62" ht="15.75" x14ac:dyDescent="0.25">
      <c r="B33" s="1091" t="s">
        <v>892</v>
      </c>
      <c r="C33" s="1092" t="s">
        <v>1092</v>
      </c>
      <c r="D33" s="672" t="s">
        <v>52</v>
      </c>
      <c r="E33" s="1411"/>
      <c r="F33" s="1411"/>
      <c r="G33" s="1411"/>
      <c r="H33" s="1411"/>
      <c r="I33" s="947"/>
      <c r="J33" s="947">
        <f t="shared" si="0"/>
        <v>0</v>
      </c>
      <c r="K33" s="1411"/>
      <c r="L33" s="1411">
        <v>1032.7250000000001</v>
      </c>
      <c r="M33" s="946"/>
      <c r="N33" s="3578">
        <f t="shared" si="1"/>
        <v>1032.7250000000001</v>
      </c>
      <c r="O33" s="1411"/>
      <c r="P33" s="1411"/>
      <c r="Q33" s="947"/>
      <c r="R33" s="2443">
        <f t="shared" si="2"/>
        <v>1032.7250000000001</v>
      </c>
      <c r="S33" s="1411"/>
      <c r="T33" s="2627">
        <v>0</v>
      </c>
      <c r="U33" s="947"/>
      <c r="V33" s="3390">
        <f t="shared" si="3"/>
        <v>1032.7250000000001</v>
      </c>
      <c r="W33" s="3296"/>
      <c r="X33" s="2627"/>
      <c r="Y33" s="969"/>
      <c r="Z33" s="3578">
        <f t="shared" si="4"/>
        <v>0</v>
      </c>
      <c r="AA33" s="625"/>
      <c r="AB33" s="795">
        <f t="shared" si="5"/>
        <v>1032.7250000000001</v>
      </c>
      <c r="AC33" s="3616"/>
      <c r="AD33" s="2627"/>
      <c r="AE33" s="3615"/>
      <c r="AF33" s="3615">
        <f t="shared" si="6"/>
        <v>1032.7250000000001</v>
      </c>
      <c r="AG33" s="3616"/>
      <c r="AH33" s="2627"/>
      <c r="AI33" s="3615"/>
      <c r="AJ33" s="3615">
        <f t="shared" si="7"/>
        <v>1032.7250000000001</v>
      </c>
      <c r="AK33" s="3616"/>
      <c r="AL33" s="2627"/>
      <c r="AM33" s="969"/>
      <c r="AN33" s="4312">
        <f t="shared" si="8"/>
        <v>0</v>
      </c>
      <c r="AO33" s="3615"/>
      <c r="AP33" s="3615">
        <f t="shared" si="9"/>
        <v>1032.7250000000001</v>
      </c>
      <c r="AQ33" s="3616"/>
      <c r="AR33" s="2627"/>
      <c r="AS33" s="3615"/>
      <c r="AT33" s="3615">
        <f t="shared" si="10"/>
        <v>1032.7250000000001</v>
      </c>
      <c r="AU33" s="3616"/>
      <c r="AV33" s="2627"/>
      <c r="AW33" s="3615"/>
      <c r="AX33" s="3615">
        <f t="shared" si="11"/>
        <v>1032.7250000000001</v>
      </c>
      <c r="AY33" s="3616"/>
      <c r="AZ33" s="2627"/>
      <c r="BA33" s="969"/>
      <c r="BB33" s="5104">
        <f t="shared" si="12"/>
        <v>0</v>
      </c>
      <c r="BC33" s="625"/>
      <c r="BD33" s="795">
        <f t="shared" si="13"/>
        <v>0</v>
      </c>
      <c r="BE33" s="3615"/>
      <c r="BF33" s="3615">
        <f t="shared" si="14"/>
        <v>1032.7250000000001</v>
      </c>
      <c r="BG33" s="26"/>
      <c r="BH33" s="26"/>
      <c r="BI33" s="26"/>
      <c r="BJ33" s="26"/>
    </row>
    <row r="34" spans="1:62" ht="15.75" x14ac:dyDescent="0.25">
      <c r="B34" s="1091" t="s">
        <v>892</v>
      </c>
      <c r="C34" s="1092" t="s">
        <v>1060</v>
      </c>
      <c r="D34" s="672" t="s">
        <v>52</v>
      </c>
      <c r="E34" s="1411"/>
      <c r="F34" s="1411"/>
      <c r="G34" s="1411"/>
      <c r="H34" s="1411">
        <v>881.24</v>
      </c>
      <c r="I34" s="947"/>
      <c r="J34" s="947">
        <f t="shared" si="0"/>
        <v>881.24</v>
      </c>
      <c r="K34" s="1411"/>
      <c r="L34" s="1411">
        <v>995.91499999999996</v>
      </c>
      <c r="M34" s="946"/>
      <c r="N34" s="3578">
        <f t="shared" si="1"/>
        <v>1877.155</v>
      </c>
      <c r="O34" s="1411"/>
      <c r="P34" s="1411">
        <v>963.19500000000005</v>
      </c>
      <c r="Q34" s="947"/>
      <c r="R34" s="2443">
        <f t="shared" si="2"/>
        <v>2840.35</v>
      </c>
      <c r="S34" s="1411"/>
      <c r="T34" s="2627">
        <v>0</v>
      </c>
      <c r="U34" s="947"/>
      <c r="V34" s="3390">
        <f t="shared" si="3"/>
        <v>2840.35</v>
      </c>
      <c r="W34" s="3296"/>
      <c r="X34" s="2627"/>
      <c r="Y34" s="969"/>
      <c r="Z34" s="3578">
        <f t="shared" si="4"/>
        <v>963.19500000000005</v>
      </c>
      <c r="AA34" s="625"/>
      <c r="AB34" s="795">
        <f t="shared" si="5"/>
        <v>2840.35</v>
      </c>
      <c r="AC34" s="3616"/>
      <c r="AD34" s="2627"/>
      <c r="AE34" s="3615"/>
      <c r="AF34" s="3615">
        <f t="shared" si="6"/>
        <v>2840.35</v>
      </c>
      <c r="AG34" s="3616"/>
      <c r="AH34" s="2627"/>
      <c r="AI34" s="3615"/>
      <c r="AJ34" s="3615">
        <f t="shared" si="7"/>
        <v>2840.35</v>
      </c>
      <c r="AK34" s="3616"/>
      <c r="AL34" s="2627"/>
      <c r="AM34" s="969"/>
      <c r="AN34" s="4312">
        <f t="shared" si="8"/>
        <v>0</v>
      </c>
      <c r="AO34" s="3615"/>
      <c r="AP34" s="3615">
        <f t="shared" si="9"/>
        <v>2840.35</v>
      </c>
      <c r="AQ34" s="3616"/>
      <c r="AR34" s="2627"/>
      <c r="AS34" s="3615"/>
      <c r="AT34" s="3615">
        <f t="shared" si="10"/>
        <v>2840.35</v>
      </c>
      <c r="AU34" s="3616"/>
      <c r="AV34" s="2627"/>
      <c r="AW34" s="3615"/>
      <c r="AX34" s="3615">
        <f t="shared" si="11"/>
        <v>2840.35</v>
      </c>
      <c r="AY34" s="3616"/>
      <c r="AZ34" s="2627"/>
      <c r="BA34" s="969"/>
      <c r="BB34" s="5104">
        <f t="shared" si="12"/>
        <v>0</v>
      </c>
      <c r="BC34" s="625"/>
      <c r="BD34" s="795">
        <f t="shared" si="13"/>
        <v>0</v>
      </c>
      <c r="BE34" s="3615"/>
      <c r="BF34" s="3615">
        <f t="shared" si="14"/>
        <v>2840.35</v>
      </c>
      <c r="BG34" s="26"/>
      <c r="BH34" s="26"/>
      <c r="BI34" s="26"/>
      <c r="BJ34" s="26"/>
    </row>
    <row r="35" spans="1:62" ht="15.75" x14ac:dyDescent="0.25">
      <c r="B35" s="1091" t="s">
        <v>893</v>
      </c>
      <c r="C35" s="1092" t="s">
        <v>1090</v>
      </c>
      <c r="D35" s="672" t="s">
        <v>52</v>
      </c>
      <c r="E35" s="1411"/>
      <c r="F35" s="1411">
        <v>5247.4699999999993</v>
      </c>
      <c r="G35" s="1411"/>
      <c r="H35" s="1411">
        <v>1261.7649999999999</v>
      </c>
      <c r="I35" s="947"/>
      <c r="J35" s="947">
        <f t="shared" si="0"/>
        <v>6509.2349999999988</v>
      </c>
      <c r="K35" s="1411"/>
      <c r="L35" s="1411">
        <v>7484.7000000000053</v>
      </c>
      <c r="M35" s="946"/>
      <c r="N35" s="3578">
        <f t="shared" si="1"/>
        <v>13993.935000000005</v>
      </c>
      <c r="O35" s="1411"/>
      <c r="P35" s="1411"/>
      <c r="Q35" s="947"/>
      <c r="R35" s="2443">
        <f t="shared" si="2"/>
        <v>13993.935000000005</v>
      </c>
      <c r="S35" s="1411"/>
      <c r="T35" s="2627">
        <v>4083.8649999999993</v>
      </c>
      <c r="U35" s="947"/>
      <c r="V35" s="3390">
        <f t="shared" si="3"/>
        <v>18077.800000000003</v>
      </c>
      <c r="W35" s="3296"/>
      <c r="X35" s="2627"/>
      <c r="Y35" s="969"/>
      <c r="Z35" s="3578">
        <f t="shared" si="4"/>
        <v>4083.8649999999993</v>
      </c>
      <c r="AA35" s="625"/>
      <c r="AB35" s="795">
        <f t="shared" si="5"/>
        <v>18077.800000000003</v>
      </c>
      <c r="AC35" s="3616"/>
      <c r="AD35" s="2627">
        <v>2592.5449999999992</v>
      </c>
      <c r="AE35" s="3615"/>
      <c r="AF35" s="3615">
        <f t="shared" si="6"/>
        <v>20670.345000000001</v>
      </c>
      <c r="AG35" s="3616"/>
      <c r="AH35" s="2627">
        <v>4061.5500000000011</v>
      </c>
      <c r="AI35" s="3615"/>
      <c r="AJ35" s="3615">
        <f t="shared" si="7"/>
        <v>24731.895000000004</v>
      </c>
      <c r="AK35" s="3616"/>
      <c r="AL35" s="2627">
        <v>2826.1899999999996</v>
      </c>
      <c r="AM35" s="969"/>
      <c r="AN35" s="4312">
        <f t="shared" si="8"/>
        <v>9480.2849999999999</v>
      </c>
      <c r="AO35" s="3615"/>
      <c r="AP35" s="3615">
        <f t="shared" si="9"/>
        <v>27558.085000000003</v>
      </c>
      <c r="AQ35" s="3616"/>
      <c r="AR35" s="2627">
        <v>3116.5800000000004</v>
      </c>
      <c r="AS35" s="3615"/>
      <c r="AT35" s="3615">
        <f t="shared" si="10"/>
        <v>30674.665000000005</v>
      </c>
      <c r="AU35" s="3616"/>
      <c r="AV35" s="2627">
        <v>1161.5600000000002</v>
      </c>
      <c r="AW35" s="3615"/>
      <c r="AX35" s="3615">
        <f t="shared" si="11"/>
        <v>31836.225000000006</v>
      </c>
      <c r="AY35" s="3616"/>
      <c r="AZ35" s="2627">
        <v>3566.4819999999986</v>
      </c>
      <c r="BA35" s="969"/>
      <c r="BB35" s="5104">
        <f t="shared" si="12"/>
        <v>7844.6219999999994</v>
      </c>
      <c r="BC35" s="625"/>
      <c r="BD35" s="795">
        <f t="shared" si="13"/>
        <v>17324.906999999999</v>
      </c>
      <c r="BE35" s="3615"/>
      <c r="BF35" s="3615">
        <f t="shared" si="14"/>
        <v>35402.707000000002</v>
      </c>
      <c r="BG35" s="26"/>
      <c r="BH35" s="26"/>
      <c r="BI35" s="26"/>
      <c r="BJ35" s="26"/>
    </row>
    <row r="36" spans="1:62" ht="15" customHeight="1" x14ac:dyDescent="0.25">
      <c r="B36" s="1091" t="s">
        <v>893</v>
      </c>
      <c r="C36" s="1092" t="s">
        <v>1091</v>
      </c>
      <c r="D36" s="672" t="s">
        <v>52</v>
      </c>
      <c r="E36" s="1411"/>
      <c r="F36" s="1411"/>
      <c r="G36" s="1411"/>
      <c r="H36" s="1411"/>
      <c r="I36" s="947"/>
      <c r="J36" s="947">
        <f t="shared" si="0"/>
        <v>0</v>
      </c>
      <c r="K36" s="1411"/>
      <c r="L36" s="1411">
        <v>1014.32</v>
      </c>
      <c r="M36" s="946"/>
      <c r="N36" s="3578">
        <f t="shared" si="1"/>
        <v>1014.32</v>
      </c>
      <c r="O36" s="1411"/>
      <c r="P36" s="1411"/>
      <c r="Q36" s="947"/>
      <c r="R36" s="2443">
        <f t="shared" si="2"/>
        <v>1014.32</v>
      </c>
      <c r="S36" s="1411"/>
      <c r="T36" s="2627">
        <v>2895.72</v>
      </c>
      <c r="U36" s="947"/>
      <c r="V36" s="3390">
        <f t="shared" si="3"/>
        <v>3910.04</v>
      </c>
      <c r="W36" s="3296"/>
      <c r="X36" s="2627">
        <v>2128.8449999999993</v>
      </c>
      <c r="Y36" s="969"/>
      <c r="Z36" s="3578">
        <f t="shared" si="4"/>
        <v>5024.5649999999987</v>
      </c>
      <c r="AA36" s="625"/>
      <c r="AB36" s="795">
        <f t="shared" si="5"/>
        <v>6038.8849999999984</v>
      </c>
      <c r="AC36" s="3616"/>
      <c r="AD36" s="2627">
        <v>1169.7399999999998</v>
      </c>
      <c r="AE36" s="3615"/>
      <c r="AF36" s="3615">
        <f t="shared" si="6"/>
        <v>7208.6249999999982</v>
      </c>
      <c r="AG36" s="3616"/>
      <c r="AH36" s="2627">
        <v>2842.55</v>
      </c>
      <c r="AI36" s="3615"/>
      <c r="AJ36" s="3615">
        <f t="shared" si="7"/>
        <v>10051.174999999999</v>
      </c>
      <c r="AK36" s="3616"/>
      <c r="AL36" s="2627">
        <v>1762.79</v>
      </c>
      <c r="AM36" s="969"/>
      <c r="AN36" s="4312">
        <f t="shared" si="8"/>
        <v>5775.08</v>
      </c>
      <c r="AO36" s="3615"/>
      <c r="AP36" s="3615">
        <f t="shared" si="9"/>
        <v>11813.965</v>
      </c>
      <c r="AQ36" s="3616"/>
      <c r="AR36" s="2627">
        <v>519.43000000000006</v>
      </c>
      <c r="AS36" s="3615"/>
      <c r="AT36" s="3615">
        <f t="shared" si="10"/>
        <v>12333.395</v>
      </c>
      <c r="AU36" s="3616"/>
      <c r="AV36" s="2627"/>
      <c r="AW36" s="3615"/>
      <c r="AX36" s="3615">
        <f t="shared" si="11"/>
        <v>12333.395</v>
      </c>
      <c r="AY36" s="3616"/>
      <c r="AZ36" s="2627">
        <v>2012.2800000000007</v>
      </c>
      <c r="BA36" s="969"/>
      <c r="BB36" s="5104">
        <f t="shared" si="12"/>
        <v>2531.7100000000009</v>
      </c>
      <c r="BC36" s="625"/>
      <c r="BD36" s="795">
        <f t="shared" si="13"/>
        <v>8306.7900000000009</v>
      </c>
      <c r="BE36" s="3615"/>
      <c r="BF36" s="3615">
        <f t="shared" si="14"/>
        <v>14345.675000000001</v>
      </c>
      <c r="BG36" s="26"/>
      <c r="BH36" s="26"/>
      <c r="BI36" s="26"/>
      <c r="BJ36" s="26"/>
    </row>
    <row r="37" spans="1:62" ht="15" customHeight="1" x14ac:dyDescent="0.25">
      <c r="B37" s="1091" t="s">
        <v>893</v>
      </c>
      <c r="C37" s="1092" t="s">
        <v>1202</v>
      </c>
      <c r="D37" s="672" t="s">
        <v>52</v>
      </c>
      <c r="E37" s="1411"/>
      <c r="F37" s="1411">
        <v>6016.8249999999998</v>
      </c>
      <c r="G37" s="1411"/>
      <c r="H37" s="1411">
        <v>6098.1850000000031</v>
      </c>
      <c r="I37" s="947"/>
      <c r="J37" s="947">
        <f t="shared" si="0"/>
        <v>12115.010000000002</v>
      </c>
      <c r="K37" s="1411"/>
      <c r="L37" s="1411">
        <v>3924.3550000000009</v>
      </c>
      <c r="M37" s="946"/>
      <c r="N37" s="3578">
        <f t="shared" si="1"/>
        <v>16039.365000000003</v>
      </c>
      <c r="O37" s="1411"/>
      <c r="P37" s="1411">
        <v>6753.4770000000017</v>
      </c>
      <c r="Q37" s="947"/>
      <c r="R37" s="2443">
        <f t="shared" si="2"/>
        <v>22792.842000000004</v>
      </c>
      <c r="S37" s="1411"/>
      <c r="T37" s="2627">
        <v>3784.0890000000004</v>
      </c>
      <c r="U37" s="947"/>
      <c r="V37" s="3390">
        <f t="shared" si="3"/>
        <v>26576.931000000004</v>
      </c>
      <c r="W37" s="3296"/>
      <c r="X37" s="2627">
        <v>7180.6200000000135</v>
      </c>
      <c r="Y37" s="969"/>
      <c r="Z37" s="3578">
        <f t="shared" si="4"/>
        <v>17718.186000000016</v>
      </c>
      <c r="AA37" s="625"/>
      <c r="AB37" s="795">
        <f t="shared" si="5"/>
        <v>33757.551000000021</v>
      </c>
      <c r="AC37" s="3616"/>
      <c r="AD37" s="2627">
        <v>7936.5620000000108</v>
      </c>
      <c r="AE37" s="3615"/>
      <c r="AF37" s="3615">
        <f t="shared" si="6"/>
        <v>41694.113000000034</v>
      </c>
      <c r="AG37" s="3616"/>
      <c r="AH37" s="2627">
        <v>4417.199999999998</v>
      </c>
      <c r="AI37" s="3615"/>
      <c r="AJ37" s="3615">
        <f t="shared" si="7"/>
        <v>46111.313000000031</v>
      </c>
      <c r="AK37" s="3616"/>
      <c r="AL37" s="2627">
        <v>7118.7930000000006</v>
      </c>
      <c r="AM37" s="969"/>
      <c r="AN37" s="4312">
        <f t="shared" si="8"/>
        <v>19472.555000000011</v>
      </c>
      <c r="AO37" s="3615"/>
      <c r="AP37" s="3615">
        <f t="shared" si="9"/>
        <v>53230.106000000029</v>
      </c>
      <c r="AQ37" s="3616"/>
      <c r="AR37" s="2627">
        <v>7924.3750000000055</v>
      </c>
      <c r="AS37" s="3615"/>
      <c r="AT37" s="3615">
        <f t="shared" si="10"/>
        <v>61154.481000000036</v>
      </c>
      <c r="AU37" s="3616"/>
      <c r="AV37" s="2627">
        <v>7578.7770000000028</v>
      </c>
      <c r="AW37" s="3615"/>
      <c r="AX37" s="3615">
        <f t="shared" si="11"/>
        <v>68733.258000000045</v>
      </c>
      <c r="AY37" s="3616"/>
      <c r="AZ37" s="2627">
        <v>6566.4950000000081</v>
      </c>
      <c r="BA37" s="969"/>
      <c r="BB37" s="5104">
        <f t="shared" si="12"/>
        <v>22069.647000000019</v>
      </c>
      <c r="BC37" s="625"/>
      <c r="BD37" s="795">
        <f t="shared" si="13"/>
        <v>41542.202000000034</v>
      </c>
      <c r="BE37" s="3615"/>
      <c r="BF37" s="3615">
        <f t="shared" si="14"/>
        <v>75299.753000000055</v>
      </c>
      <c r="BG37" s="26"/>
      <c r="BH37" s="26"/>
      <c r="BI37" s="26"/>
      <c r="BJ37" s="26"/>
    </row>
    <row r="38" spans="1:62" ht="15" customHeight="1" x14ac:dyDescent="0.25">
      <c r="B38" s="1091" t="s">
        <v>893</v>
      </c>
      <c r="C38" s="1092" t="s">
        <v>1092</v>
      </c>
      <c r="D38" s="672" t="s">
        <v>52</v>
      </c>
      <c r="E38" s="1411"/>
      <c r="F38" s="1411"/>
      <c r="G38" s="1411"/>
      <c r="H38" s="1411"/>
      <c r="I38" s="947"/>
      <c r="J38" s="947">
        <f t="shared" si="0"/>
        <v>0</v>
      </c>
      <c r="K38" s="1411"/>
      <c r="L38" s="1411">
        <v>1004.0949999999998</v>
      </c>
      <c r="M38" s="946"/>
      <c r="N38" s="3578">
        <f t="shared" si="1"/>
        <v>1004.0949999999998</v>
      </c>
      <c r="O38" s="1411"/>
      <c r="P38" s="1411"/>
      <c r="Q38" s="947"/>
      <c r="R38" s="2443">
        <f t="shared" si="2"/>
        <v>1004.0949999999998</v>
      </c>
      <c r="S38" s="1411"/>
      <c r="T38" s="2627">
        <v>0</v>
      </c>
      <c r="U38" s="947"/>
      <c r="V38" s="3390">
        <f t="shared" si="3"/>
        <v>1004.0949999999998</v>
      </c>
      <c r="W38" s="3296"/>
      <c r="X38" s="2627"/>
      <c r="Y38" s="969"/>
      <c r="Z38" s="3578">
        <f t="shared" si="4"/>
        <v>0</v>
      </c>
      <c r="AA38" s="625"/>
      <c r="AB38" s="795">
        <f t="shared" si="5"/>
        <v>1004.0949999999998</v>
      </c>
      <c r="AC38" s="3616"/>
      <c r="AD38" s="2627"/>
      <c r="AE38" s="3615"/>
      <c r="AF38" s="3615">
        <f t="shared" si="6"/>
        <v>1004.0949999999998</v>
      </c>
      <c r="AG38" s="3616"/>
      <c r="AH38" s="2627">
        <v>613.5</v>
      </c>
      <c r="AI38" s="3615"/>
      <c r="AJ38" s="3615">
        <f t="shared" si="7"/>
        <v>1617.5949999999998</v>
      </c>
      <c r="AK38" s="3616"/>
      <c r="AL38" s="2627"/>
      <c r="AM38" s="969"/>
      <c r="AN38" s="4312">
        <f t="shared" si="8"/>
        <v>613.5</v>
      </c>
      <c r="AO38" s="3615"/>
      <c r="AP38" s="3615">
        <f t="shared" si="9"/>
        <v>1617.5949999999998</v>
      </c>
      <c r="AQ38" s="3616"/>
      <c r="AR38" s="2627"/>
      <c r="AS38" s="3615"/>
      <c r="AT38" s="3615">
        <f t="shared" si="10"/>
        <v>1617.5949999999998</v>
      </c>
      <c r="AU38" s="3616"/>
      <c r="AV38" s="2627"/>
      <c r="AW38" s="3615"/>
      <c r="AX38" s="3615">
        <f t="shared" si="11"/>
        <v>1617.5949999999998</v>
      </c>
      <c r="AY38" s="3616"/>
      <c r="AZ38" s="2627"/>
      <c r="BA38" s="969"/>
      <c r="BB38" s="5104">
        <f t="shared" si="12"/>
        <v>0</v>
      </c>
      <c r="BC38" s="625"/>
      <c r="BD38" s="795">
        <f t="shared" si="13"/>
        <v>613.5</v>
      </c>
      <c r="BE38" s="3615"/>
      <c r="BF38" s="3615">
        <f t="shared" si="14"/>
        <v>1617.5949999999998</v>
      </c>
      <c r="BG38" s="26"/>
      <c r="BH38" s="26"/>
      <c r="BI38" s="26"/>
      <c r="BJ38" s="26"/>
    </row>
    <row r="39" spans="1:62" ht="15.75" x14ac:dyDescent="0.25">
      <c r="B39" s="1091" t="s">
        <v>894</v>
      </c>
      <c r="C39" s="1092" t="s">
        <v>1202</v>
      </c>
      <c r="D39" s="672" t="s">
        <v>52</v>
      </c>
      <c r="E39" s="1411"/>
      <c r="F39" s="1411">
        <v>2.8569999999999993</v>
      </c>
      <c r="G39" s="1411"/>
      <c r="H39" s="1411"/>
      <c r="I39" s="947"/>
      <c r="J39" s="947">
        <f t="shared" si="0"/>
        <v>2.8569999999999993</v>
      </c>
      <c r="K39" s="1411"/>
      <c r="L39" s="1411">
        <v>55.211999999999996</v>
      </c>
      <c r="M39" s="946"/>
      <c r="N39" s="3578">
        <f t="shared" si="1"/>
        <v>58.068999999999996</v>
      </c>
      <c r="O39" s="1411"/>
      <c r="P39" s="1411"/>
      <c r="Q39" s="947"/>
      <c r="R39" s="2443">
        <f t="shared" si="2"/>
        <v>58.068999999999996</v>
      </c>
      <c r="S39" s="1411"/>
      <c r="T39" s="2627"/>
      <c r="U39" s="947"/>
      <c r="V39" s="3390">
        <f t="shared" si="3"/>
        <v>58.068999999999996</v>
      </c>
      <c r="W39" s="3296"/>
      <c r="X39" s="2627"/>
      <c r="Y39" s="969"/>
      <c r="Z39" s="3578">
        <f t="shared" si="4"/>
        <v>0</v>
      </c>
      <c r="AA39" s="625"/>
      <c r="AB39" s="795">
        <f t="shared" si="5"/>
        <v>58.068999999999996</v>
      </c>
      <c r="AC39" s="3616"/>
      <c r="AD39" s="2627"/>
      <c r="AE39" s="3615"/>
      <c r="AF39" s="3615">
        <f t="shared" si="6"/>
        <v>58.068999999999996</v>
      </c>
      <c r="AG39" s="3616"/>
      <c r="AH39" s="2627"/>
      <c r="AI39" s="3615"/>
      <c r="AJ39" s="3615">
        <f t="shared" si="7"/>
        <v>58.068999999999996</v>
      </c>
      <c r="AK39" s="3616"/>
      <c r="AL39" s="2627"/>
      <c r="AM39" s="969"/>
      <c r="AN39" s="4312">
        <f t="shared" si="8"/>
        <v>0</v>
      </c>
      <c r="AO39" s="3615"/>
      <c r="AP39" s="3615">
        <f t="shared" si="9"/>
        <v>58.068999999999996</v>
      </c>
      <c r="AQ39" s="3616"/>
      <c r="AR39" s="2627"/>
      <c r="AS39" s="3615"/>
      <c r="AT39" s="3615">
        <f t="shared" si="10"/>
        <v>58.068999999999996</v>
      </c>
      <c r="AU39" s="3616"/>
      <c r="AV39" s="2627"/>
      <c r="AW39" s="3615"/>
      <c r="AX39" s="3615">
        <f t="shared" si="11"/>
        <v>58.068999999999996</v>
      </c>
      <c r="AY39" s="3616"/>
      <c r="AZ39" s="2627"/>
      <c r="BA39" s="969"/>
      <c r="BB39" s="5104">
        <f t="shared" si="12"/>
        <v>0</v>
      </c>
      <c r="BC39" s="625"/>
      <c r="BD39" s="795">
        <f t="shared" si="13"/>
        <v>0</v>
      </c>
      <c r="BE39" s="3615"/>
      <c r="BF39" s="3615">
        <f t="shared" si="14"/>
        <v>58.068999999999996</v>
      </c>
      <c r="BG39" s="26"/>
      <c r="BH39" s="26"/>
      <c r="BI39" s="26"/>
      <c r="BJ39" s="26"/>
    </row>
    <row r="40" spans="1:62" ht="15.75" x14ac:dyDescent="0.25">
      <c r="A40" s="183"/>
      <c r="B40" s="2233" t="s">
        <v>859</v>
      </c>
      <c r="C40" s="2234"/>
      <c r="D40" s="1093"/>
      <c r="E40" s="1411"/>
      <c r="F40" s="1411"/>
      <c r="G40" s="1411"/>
      <c r="H40" s="1411"/>
      <c r="I40" s="1411"/>
      <c r="J40" s="1411"/>
      <c r="K40" s="1411"/>
      <c r="L40" s="1411"/>
      <c r="M40" s="1411"/>
      <c r="N40" s="1411"/>
      <c r="O40" s="1411"/>
      <c r="P40" s="1411"/>
      <c r="Q40" s="1411"/>
      <c r="R40" s="1411"/>
      <c r="S40" s="1411"/>
      <c r="T40" s="2627"/>
      <c r="U40" s="1411"/>
      <c r="V40" s="2567"/>
      <c r="W40" s="3296"/>
      <c r="X40" s="2627"/>
      <c r="Y40" s="1416"/>
      <c r="Z40" s="1411"/>
      <c r="AA40" s="1416"/>
      <c r="AB40" s="719"/>
      <c r="AC40" s="3616"/>
      <c r="AD40" s="2627"/>
      <c r="AE40" s="3616"/>
      <c r="AF40" s="3616"/>
      <c r="AG40" s="3616"/>
      <c r="AH40" s="2627"/>
      <c r="AI40" s="3616"/>
      <c r="AJ40" s="3616"/>
      <c r="AK40" s="3616"/>
      <c r="AL40" s="2627"/>
      <c r="AM40" s="1416"/>
      <c r="AN40" s="3616"/>
      <c r="AO40" s="3616"/>
      <c r="AP40" s="3616"/>
      <c r="AQ40" s="3616"/>
      <c r="AR40" s="2627"/>
      <c r="AS40" s="3616"/>
      <c r="AT40" s="3616"/>
      <c r="AU40" s="3616"/>
      <c r="AV40" s="2627"/>
      <c r="AW40" s="3616"/>
      <c r="AX40" s="3616"/>
      <c r="AY40" s="3616"/>
      <c r="AZ40" s="2627"/>
      <c r="BA40" s="1416"/>
      <c r="BB40" s="3616"/>
      <c r="BC40" s="1416"/>
      <c r="BD40" s="719"/>
      <c r="BE40" s="3616"/>
      <c r="BF40" s="3616"/>
      <c r="BG40" s="26"/>
      <c r="BH40" s="26"/>
      <c r="BI40" s="26"/>
      <c r="BJ40" s="26"/>
    </row>
    <row r="41" spans="1:62" ht="15" customHeight="1" x14ac:dyDescent="0.25">
      <c r="B41" s="2224" t="s">
        <v>1081</v>
      </c>
      <c r="C41" s="2225"/>
      <c r="D41" s="2220" t="s">
        <v>52</v>
      </c>
      <c r="E41" s="236"/>
      <c r="F41" s="1411">
        <v>17.593</v>
      </c>
      <c r="G41" s="236"/>
      <c r="H41" s="1411"/>
      <c r="I41" s="947"/>
      <c r="J41" s="947">
        <f t="shared" ref="J41:J50" si="15">+F41+H41</f>
        <v>17.593</v>
      </c>
      <c r="K41" s="236"/>
      <c r="L41" s="227">
        <v>10.228</v>
      </c>
      <c r="M41" s="946"/>
      <c r="N41" s="3578">
        <f t="shared" si="1"/>
        <v>27.820999999999998</v>
      </c>
      <c r="O41" s="236"/>
      <c r="P41" s="1411"/>
      <c r="Q41" s="947"/>
      <c r="R41" s="947">
        <f t="shared" ref="R41:R50" si="16">+N41+P41</f>
        <v>27.820999999999998</v>
      </c>
      <c r="S41" s="1416"/>
      <c r="T41" s="2627"/>
      <c r="U41" s="947"/>
      <c r="V41" s="2565">
        <f t="shared" ref="V41:V50" si="17">+R41+T41</f>
        <v>27.820999999999998</v>
      </c>
      <c r="W41" s="1416"/>
      <c r="X41" s="2627"/>
      <c r="Y41" s="969"/>
      <c r="Z41" s="3578">
        <f t="shared" si="4"/>
        <v>0</v>
      </c>
      <c r="AA41" s="625"/>
      <c r="AB41" s="795">
        <f t="shared" ref="AB41:AB50" si="18">+N41+Z41</f>
        <v>27.820999999999998</v>
      </c>
      <c r="AC41" s="1416"/>
      <c r="AD41" s="2627"/>
      <c r="AE41" s="3615"/>
      <c r="AF41" s="3615">
        <f t="shared" ref="AF41:AF50" si="19">+AB41+AD41</f>
        <v>27.820999999999998</v>
      </c>
      <c r="AG41" s="1416"/>
      <c r="AH41" s="2627"/>
      <c r="AI41" s="3615"/>
      <c r="AJ41" s="3615">
        <f t="shared" ref="AJ41:AJ50" si="20">+AF41+AH41</f>
        <v>27.820999999999998</v>
      </c>
      <c r="AK41" s="1416"/>
      <c r="AL41" s="2627"/>
      <c r="AM41" s="969"/>
      <c r="AN41" s="4312">
        <f t="shared" ref="AN41:AN50" si="21">+AD41+AH41+AL41</f>
        <v>0</v>
      </c>
      <c r="AO41" s="3615"/>
      <c r="AP41" s="3615">
        <f t="shared" si="9"/>
        <v>27.820999999999998</v>
      </c>
      <c r="AQ41" s="1416"/>
      <c r="AR41" s="2627"/>
      <c r="AS41" s="3615"/>
      <c r="AT41" s="3615">
        <f t="shared" ref="AT41:AT50" si="22">+AP41+AR41</f>
        <v>27.820999999999998</v>
      </c>
      <c r="AU41" s="1416"/>
      <c r="AV41" s="2627"/>
      <c r="AW41" s="3615"/>
      <c r="AX41" s="3615">
        <f t="shared" ref="AX41:AX50" si="23">+AT41+AV41</f>
        <v>27.820999999999998</v>
      </c>
      <c r="AY41" s="1416"/>
      <c r="AZ41" s="2627"/>
      <c r="BA41" s="969"/>
      <c r="BB41" s="5104">
        <f t="shared" ref="BB41:BB49" si="24">+AR41+AV41+AZ41</f>
        <v>0</v>
      </c>
      <c r="BC41" s="625"/>
      <c r="BD41" s="795">
        <f>+AN41+BB41</f>
        <v>0</v>
      </c>
      <c r="BE41" s="3615"/>
      <c r="BF41" s="3615">
        <f t="shared" ref="BF41:BF50" si="25">+AX41+AZ41</f>
        <v>27.820999999999998</v>
      </c>
      <c r="BG41" s="26"/>
      <c r="BH41" s="26"/>
      <c r="BI41" s="26"/>
      <c r="BJ41" s="26"/>
    </row>
    <row r="42" spans="1:62" ht="15" customHeight="1" x14ac:dyDescent="0.25">
      <c r="B42" s="2224" t="s">
        <v>1079</v>
      </c>
      <c r="C42" s="2225"/>
      <c r="D42" s="2220" t="s">
        <v>52</v>
      </c>
      <c r="E42" s="236"/>
      <c r="F42" s="1411">
        <v>5.6999999999999993</v>
      </c>
      <c r="G42" s="236"/>
      <c r="H42" s="1411"/>
      <c r="I42" s="947"/>
      <c r="J42" s="947">
        <f t="shared" si="15"/>
        <v>5.6999999999999993</v>
      </c>
      <c r="K42" s="236"/>
      <c r="L42" s="227"/>
      <c r="M42" s="946"/>
      <c r="N42" s="3578">
        <f t="shared" si="1"/>
        <v>5.6999999999999993</v>
      </c>
      <c r="O42" s="236"/>
      <c r="P42" s="1411">
        <v>23.652999999999999</v>
      </c>
      <c r="Q42" s="947"/>
      <c r="R42" s="2443">
        <f t="shared" si="16"/>
        <v>29.352999999999998</v>
      </c>
      <c r="S42" s="1416"/>
      <c r="T42" s="2627">
        <v>5.2959999999999994</v>
      </c>
      <c r="U42" s="947"/>
      <c r="V42" s="2565">
        <f t="shared" si="17"/>
        <v>34.649000000000001</v>
      </c>
      <c r="W42" s="1416"/>
      <c r="X42" s="2627">
        <v>5.55</v>
      </c>
      <c r="Y42" s="969"/>
      <c r="Z42" s="3578">
        <f t="shared" si="4"/>
        <v>34.498999999999995</v>
      </c>
      <c r="AA42" s="625"/>
      <c r="AB42" s="795">
        <f t="shared" si="18"/>
        <v>40.198999999999998</v>
      </c>
      <c r="AC42" s="1416"/>
      <c r="AD42" s="2627">
        <v>23.1</v>
      </c>
      <c r="AE42" s="3615"/>
      <c r="AF42" s="3615">
        <f t="shared" si="19"/>
        <v>63.298999999999999</v>
      </c>
      <c r="AG42" s="1416"/>
      <c r="AH42" s="2627">
        <v>1.865</v>
      </c>
      <c r="AI42" s="3615"/>
      <c r="AJ42" s="3615">
        <f t="shared" si="20"/>
        <v>65.164000000000001</v>
      </c>
      <c r="AK42" s="1416"/>
      <c r="AL42" s="2627">
        <v>20.302</v>
      </c>
      <c r="AM42" s="969"/>
      <c r="AN42" s="4312">
        <f t="shared" si="21"/>
        <v>45.266999999999996</v>
      </c>
      <c r="AO42" s="3615"/>
      <c r="AP42" s="3615">
        <f t="shared" si="9"/>
        <v>85.466000000000008</v>
      </c>
      <c r="AQ42" s="1416"/>
      <c r="AR42" s="2627"/>
      <c r="AS42" s="3615"/>
      <c r="AT42" s="3615">
        <f t="shared" si="22"/>
        <v>85.466000000000008</v>
      </c>
      <c r="AU42" s="1416"/>
      <c r="AV42" s="2627"/>
      <c r="AW42" s="3615"/>
      <c r="AX42" s="3615">
        <f t="shared" si="23"/>
        <v>85.466000000000008</v>
      </c>
      <c r="AY42" s="1416"/>
      <c r="AZ42" s="2627"/>
      <c r="BA42" s="969"/>
      <c r="BB42" s="5104">
        <f t="shared" si="24"/>
        <v>0</v>
      </c>
      <c r="BC42" s="625"/>
      <c r="BD42" s="795">
        <f t="shared" ref="BD42:BD49" si="26">+AN42+BB42</f>
        <v>45.266999999999996</v>
      </c>
      <c r="BE42" s="3615"/>
      <c r="BF42" s="3615">
        <f t="shared" si="25"/>
        <v>85.466000000000008</v>
      </c>
      <c r="BG42" s="26"/>
      <c r="BH42" s="26"/>
      <c r="BI42" s="26"/>
      <c r="BJ42" s="26"/>
    </row>
    <row r="43" spans="1:62" ht="15.75" customHeight="1" x14ac:dyDescent="0.25">
      <c r="B43" s="2226" t="s">
        <v>1078</v>
      </c>
      <c r="C43" s="2227"/>
      <c r="D43" s="2228" t="s">
        <v>52</v>
      </c>
      <c r="E43" s="237"/>
      <c r="F43" s="1411">
        <v>23.06</v>
      </c>
      <c r="G43" s="237"/>
      <c r="H43" s="1411">
        <v>35.729999999999997</v>
      </c>
      <c r="I43" s="342"/>
      <c r="J43" s="947">
        <f t="shared" si="15"/>
        <v>58.789999999999992</v>
      </c>
      <c r="K43" s="237"/>
      <c r="L43" s="227">
        <v>15.263000000000002</v>
      </c>
      <c r="M43" s="1497"/>
      <c r="N43" s="3578">
        <f t="shared" si="1"/>
        <v>74.052999999999997</v>
      </c>
      <c r="O43" s="237"/>
      <c r="P43" s="1411">
        <v>48.82</v>
      </c>
      <c r="Q43" s="342"/>
      <c r="R43" s="2443">
        <f t="shared" si="16"/>
        <v>122.87299999999999</v>
      </c>
      <c r="S43" s="1505"/>
      <c r="T43" s="2627">
        <f>5.307+10.237</f>
        <v>15.544</v>
      </c>
      <c r="U43" s="342"/>
      <c r="V43" s="2565">
        <f t="shared" si="17"/>
        <v>138.417</v>
      </c>
      <c r="W43" s="1505"/>
      <c r="X43" s="2627">
        <v>26.532999999999994</v>
      </c>
      <c r="Y43" s="1094"/>
      <c r="Z43" s="3578">
        <f t="shared" si="4"/>
        <v>90.896999999999991</v>
      </c>
      <c r="AA43" s="625"/>
      <c r="AB43" s="795">
        <f t="shared" si="18"/>
        <v>164.95</v>
      </c>
      <c r="AC43" s="1505"/>
      <c r="AD43" s="2627">
        <v>8.8179999999999996</v>
      </c>
      <c r="AE43" s="3617"/>
      <c r="AF43" s="3615">
        <f t="shared" si="19"/>
        <v>173.768</v>
      </c>
      <c r="AG43" s="1505"/>
      <c r="AH43" s="2627">
        <v>68.5</v>
      </c>
      <c r="AI43" s="3617"/>
      <c r="AJ43" s="3615">
        <f t="shared" si="20"/>
        <v>242.268</v>
      </c>
      <c r="AK43" s="1505"/>
      <c r="AL43" s="2627"/>
      <c r="AM43" s="1094"/>
      <c r="AN43" s="4312">
        <f t="shared" si="21"/>
        <v>77.317999999999998</v>
      </c>
      <c r="AO43" s="3617"/>
      <c r="AP43" s="3615">
        <f t="shared" si="9"/>
        <v>242.268</v>
      </c>
      <c r="AQ43" s="1505"/>
      <c r="AR43" s="2627">
        <v>15.884</v>
      </c>
      <c r="AS43" s="3617"/>
      <c r="AT43" s="3615">
        <f t="shared" si="22"/>
        <v>258.15199999999999</v>
      </c>
      <c r="AU43" s="1505"/>
      <c r="AV43" s="2627">
        <v>43.451999999999998</v>
      </c>
      <c r="AW43" s="3617"/>
      <c r="AX43" s="3615">
        <f t="shared" si="23"/>
        <v>301.60399999999998</v>
      </c>
      <c r="AY43" s="1505"/>
      <c r="AZ43" s="2627"/>
      <c r="BA43" s="1094"/>
      <c r="BB43" s="5104">
        <f t="shared" si="24"/>
        <v>59.335999999999999</v>
      </c>
      <c r="BC43" s="625"/>
      <c r="BD43" s="795">
        <f t="shared" si="26"/>
        <v>136.654</v>
      </c>
      <c r="BE43" s="3617"/>
      <c r="BF43" s="3615">
        <f t="shared" si="25"/>
        <v>301.60399999999998</v>
      </c>
      <c r="BG43" s="26"/>
      <c r="BH43" s="26"/>
      <c r="BI43" s="26"/>
      <c r="BJ43" s="26"/>
    </row>
    <row r="44" spans="1:62" ht="15.75" x14ac:dyDescent="0.25">
      <c r="B44" s="2224" t="s">
        <v>1077</v>
      </c>
      <c r="C44" s="2225"/>
      <c r="D44" s="2220" t="s">
        <v>52</v>
      </c>
      <c r="E44" s="236"/>
      <c r="F44" s="1411">
        <v>71.77</v>
      </c>
      <c r="G44" s="236"/>
      <c r="H44" s="1411">
        <v>11.595000000000001</v>
      </c>
      <c r="I44" s="947"/>
      <c r="J44" s="947">
        <f t="shared" si="15"/>
        <v>83.364999999999995</v>
      </c>
      <c r="K44" s="236"/>
      <c r="L44" s="227">
        <v>23.4</v>
      </c>
      <c r="M44" s="946"/>
      <c r="N44" s="3578">
        <f t="shared" si="1"/>
        <v>106.76499999999999</v>
      </c>
      <c r="O44" s="236"/>
      <c r="P44" s="1411">
        <v>49.33</v>
      </c>
      <c r="Q44" s="947"/>
      <c r="R44" s="2443">
        <f t="shared" si="16"/>
        <v>156.09499999999997</v>
      </c>
      <c r="S44" s="1416"/>
      <c r="T44" s="2657">
        <f>10.438+12.969+5.334</f>
        <v>28.741</v>
      </c>
      <c r="U44" s="947"/>
      <c r="V44" s="2565">
        <f t="shared" si="17"/>
        <v>184.83599999999996</v>
      </c>
      <c r="W44" s="1416"/>
      <c r="X44" s="2657">
        <v>36.712000000000003</v>
      </c>
      <c r="Y44" s="969"/>
      <c r="Z44" s="3578">
        <f t="shared" si="4"/>
        <v>114.783</v>
      </c>
      <c r="AA44" s="625"/>
      <c r="AB44" s="795">
        <f t="shared" si="18"/>
        <v>221.548</v>
      </c>
      <c r="AC44" s="1416"/>
      <c r="AD44" s="2657">
        <v>17.329999999999998</v>
      </c>
      <c r="AE44" s="3615"/>
      <c r="AF44" s="3615">
        <f t="shared" si="19"/>
        <v>238.87799999999999</v>
      </c>
      <c r="AG44" s="1416"/>
      <c r="AH44" s="2657">
        <v>5.64</v>
      </c>
      <c r="AI44" s="3615"/>
      <c r="AJ44" s="3615">
        <f t="shared" si="20"/>
        <v>244.51799999999997</v>
      </c>
      <c r="AK44" s="1416"/>
      <c r="AL44" s="2657">
        <v>13.186</v>
      </c>
      <c r="AM44" s="969"/>
      <c r="AN44" s="4312">
        <f t="shared" si="21"/>
        <v>36.155999999999999</v>
      </c>
      <c r="AO44" s="3615"/>
      <c r="AP44" s="3615">
        <f t="shared" si="9"/>
        <v>257.70399999999995</v>
      </c>
      <c r="AQ44" s="1416"/>
      <c r="AR44" s="2657"/>
      <c r="AS44" s="3615"/>
      <c r="AT44" s="3615">
        <f t="shared" si="22"/>
        <v>257.70399999999995</v>
      </c>
      <c r="AU44" s="1416"/>
      <c r="AV44" s="2657"/>
      <c r="AW44" s="3615"/>
      <c r="AX44" s="3615">
        <f t="shared" si="23"/>
        <v>257.70399999999995</v>
      </c>
      <c r="AY44" s="1416"/>
      <c r="AZ44" s="2657"/>
      <c r="BA44" s="969"/>
      <c r="BB44" s="5104">
        <f t="shared" si="24"/>
        <v>0</v>
      </c>
      <c r="BC44" s="625"/>
      <c r="BD44" s="795">
        <f t="shared" si="26"/>
        <v>36.155999999999999</v>
      </c>
      <c r="BE44" s="3615"/>
      <c r="BF44" s="3615">
        <f t="shared" si="25"/>
        <v>257.70399999999995</v>
      </c>
      <c r="BG44" s="26"/>
      <c r="BH44" s="26"/>
      <c r="BI44" s="26"/>
      <c r="BJ44" s="26"/>
    </row>
    <row r="45" spans="1:62" ht="15.75" x14ac:dyDescent="0.25">
      <c r="B45" s="2224" t="s">
        <v>1416</v>
      </c>
      <c r="C45" s="2225"/>
      <c r="D45" s="2220" t="s">
        <v>52</v>
      </c>
      <c r="E45" s="236"/>
      <c r="F45" s="1411"/>
      <c r="G45" s="236"/>
      <c r="H45" s="1411"/>
      <c r="I45" s="947"/>
      <c r="J45" s="947">
        <f t="shared" si="15"/>
        <v>0</v>
      </c>
      <c r="K45" s="236"/>
      <c r="L45" s="227"/>
      <c r="M45" s="946"/>
      <c r="N45" s="3578">
        <f t="shared" si="1"/>
        <v>0</v>
      </c>
      <c r="O45" s="236"/>
      <c r="P45" s="1411">
        <v>7.9</v>
      </c>
      <c r="Q45" s="947"/>
      <c r="R45" s="2443">
        <f t="shared" si="16"/>
        <v>7.9</v>
      </c>
      <c r="S45" s="1416"/>
      <c r="T45" s="2657">
        <v>5.3479999999999999</v>
      </c>
      <c r="U45" s="947"/>
      <c r="V45" s="2565">
        <f t="shared" si="17"/>
        <v>13.248000000000001</v>
      </c>
      <c r="W45" s="1416"/>
      <c r="X45" s="2657">
        <v>7.5</v>
      </c>
      <c r="Y45" s="969"/>
      <c r="Z45" s="3578">
        <f t="shared" si="4"/>
        <v>20.748000000000001</v>
      </c>
      <c r="AA45" s="625"/>
      <c r="AB45" s="795">
        <f t="shared" si="18"/>
        <v>20.748000000000001</v>
      </c>
      <c r="AC45" s="1416"/>
      <c r="AD45" s="2657"/>
      <c r="AE45" s="3615"/>
      <c r="AF45" s="3615">
        <f t="shared" si="19"/>
        <v>20.748000000000001</v>
      </c>
      <c r="AG45" s="1416"/>
      <c r="AH45" s="2657">
        <v>28.62</v>
      </c>
      <c r="AI45" s="3615"/>
      <c r="AJ45" s="3615">
        <f t="shared" si="20"/>
        <v>49.368000000000002</v>
      </c>
      <c r="AK45" s="1416"/>
      <c r="AL45" s="2657"/>
      <c r="AM45" s="969"/>
      <c r="AN45" s="4312">
        <f t="shared" si="21"/>
        <v>28.62</v>
      </c>
      <c r="AO45" s="3615"/>
      <c r="AP45" s="3615">
        <f t="shared" si="9"/>
        <v>49.368000000000002</v>
      </c>
      <c r="AQ45" s="1416"/>
      <c r="AR45" s="2657"/>
      <c r="AS45" s="3615"/>
      <c r="AT45" s="3615">
        <f t="shared" si="22"/>
        <v>49.368000000000002</v>
      </c>
      <c r="AU45" s="1416"/>
      <c r="AV45" s="2657"/>
      <c r="AW45" s="3615"/>
      <c r="AX45" s="3615">
        <f t="shared" si="23"/>
        <v>49.368000000000002</v>
      </c>
      <c r="AY45" s="1416"/>
      <c r="AZ45" s="2657"/>
      <c r="BA45" s="969"/>
      <c r="BB45" s="5104">
        <f t="shared" si="24"/>
        <v>0</v>
      </c>
      <c r="BC45" s="625"/>
      <c r="BD45" s="795">
        <f t="shared" si="26"/>
        <v>28.62</v>
      </c>
      <c r="BE45" s="3615"/>
      <c r="BF45" s="3615">
        <f t="shared" si="25"/>
        <v>49.368000000000002</v>
      </c>
      <c r="BG45" s="26"/>
      <c r="BH45" s="26"/>
      <c r="BI45" s="26"/>
      <c r="BJ45" s="26"/>
    </row>
    <row r="46" spans="1:62" s="4332" customFormat="1" ht="15.75" x14ac:dyDescent="0.25">
      <c r="B46" s="2224" t="s">
        <v>1894</v>
      </c>
      <c r="C46" s="2225"/>
      <c r="D46" s="2220" t="s">
        <v>52</v>
      </c>
      <c r="E46" s="236"/>
      <c r="F46" s="3616"/>
      <c r="G46" s="236"/>
      <c r="H46" s="3616"/>
      <c r="I46" s="3615"/>
      <c r="J46" s="3615"/>
      <c r="K46" s="236"/>
      <c r="L46" s="227"/>
      <c r="M46" s="4328"/>
      <c r="N46" s="4328"/>
      <c r="O46" s="236"/>
      <c r="P46" s="3616"/>
      <c r="Q46" s="3615"/>
      <c r="R46" s="3615"/>
      <c r="S46" s="1416"/>
      <c r="T46" s="2657"/>
      <c r="U46" s="3615"/>
      <c r="V46" s="3615"/>
      <c r="W46" s="1416"/>
      <c r="X46" s="2657"/>
      <c r="Y46" s="969"/>
      <c r="Z46" s="4328"/>
      <c r="AA46" s="625"/>
      <c r="AB46" s="795"/>
      <c r="AC46" s="1416"/>
      <c r="AD46" s="2657"/>
      <c r="AE46" s="3615"/>
      <c r="AF46" s="3615"/>
      <c r="AG46" s="1416"/>
      <c r="AH46" s="2657"/>
      <c r="AI46" s="3615"/>
      <c r="AJ46" s="3615">
        <f t="shared" si="20"/>
        <v>0</v>
      </c>
      <c r="AK46" s="1416"/>
      <c r="AL46" s="2657">
        <v>25.65</v>
      </c>
      <c r="AM46" s="969"/>
      <c r="AN46" s="4328">
        <f t="shared" si="21"/>
        <v>25.65</v>
      </c>
      <c r="AO46" s="3615"/>
      <c r="AP46" s="3615">
        <f t="shared" si="9"/>
        <v>25.65</v>
      </c>
      <c r="AQ46" s="1416"/>
      <c r="AR46" s="2657"/>
      <c r="AS46" s="3615"/>
      <c r="AT46" s="3615">
        <f t="shared" si="22"/>
        <v>25.65</v>
      </c>
      <c r="AU46" s="1416"/>
      <c r="AV46" s="2657"/>
      <c r="AW46" s="3615"/>
      <c r="AX46" s="3615">
        <f t="shared" si="23"/>
        <v>25.65</v>
      </c>
      <c r="AY46" s="1416"/>
      <c r="AZ46" s="2657"/>
      <c r="BA46" s="969"/>
      <c r="BB46" s="5104">
        <f t="shared" si="24"/>
        <v>0</v>
      </c>
      <c r="BC46" s="625"/>
      <c r="BD46" s="795">
        <f t="shared" si="26"/>
        <v>25.65</v>
      </c>
      <c r="BE46" s="3615"/>
      <c r="BF46" s="3615">
        <f t="shared" si="25"/>
        <v>25.65</v>
      </c>
      <c r="BG46" s="26"/>
      <c r="BH46" s="26"/>
      <c r="BI46" s="26"/>
      <c r="BJ46" s="26"/>
    </row>
    <row r="47" spans="1:62" ht="15.75" x14ac:dyDescent="0.25">
      <c r="B47" s="2224" t="s">
        <v>1340</v>
      </c>
      <c r="C47" s="2225"/>
      <c r="D47" s="2220" t="s">
        <v>52</v>
      </c>
      <c r="E47" s="236"/>
      <c r="F47" s="1411"/>
      <c r="G47" s="236"/>
      <c r="H47" s="1411"/>
      <c r="I47" s="947"/>
      <c r="J47" s="947">
        <f t="shared" si="15"/>
        <v>0</v>
      </c>
      <c r="K47" s="236"/>
      <c r="L47" s="227"/>
      <c r="M47" s="946"/>
      <c r="N47" s="3578">
        <f t="shared" si="1"/>
        <v>0</v>
      </c>
      <c r="O47" s="236"/>
      <c r="P47" s="1411"/>
      <c r="Q47" s="947"/>
      <c r="R47" s="2443">
        <f t="shared" si="16"/>
        <v>0</v>
      </c>
      <c r="S47" s="1416"/>
      <c r="T47" s="2627"/>
      <c r="U47" s="947"/>
      <c r="V47" s="2565">
        <f t="shared" si="17"/>
        <v>0</v>
      </c>
      <c r="W47" s="1416"/>
      <c r="X47" s="2627">
        <v>41.916999999999994</v>
      </c>
      <c r="Y47" s="969"/>
      <c r="Z47" s="3578">
        <f t="shared" si="4"/>
        <v>41.916999999999994</v>
      </c>
      <c r="AA47" s="625"/>
      <c r="AB47" s="795">
        <f t="shared" si="18"/>
        <v>41.916999999999994</v>
      </c>
      <c r="AC47" s="1416"/>
      <c r="AD47" s="2627"/>
      <c r="AE47" s="3615"/>
      <c r="AF47" s="3615">
        <f t="shared" si="19"/>
        <v>41.916999999999994</v>
      </c>
      <c r="AG47" s="1416"/>
      <c r="AH47" s="2627"/>
      <c r="AI47" s="3615"/>
      <c r="AJ47" s="3615">
        <f t="shared" si="20"/>
        <v>41.916999999999994</v>
      </c>
      <c r="AK47" s="1416"/>
      <c r="AL47" s="2627"/>
      <c r="AM47" s="969"/>
      <c r="AN47" s="4312">
        <f t="shared" si="21"/>
        <v>0</v>
      </c>
      <c r="AO47" s="3615"/>
      <c r="AP47" s="3615">
        <f t="shared" si="9"/>
        <v>41.916999999999994</v>
      </c>
      <c r="AQ47" s="1416"/>
      <c r="AR47" s="2627"/>
      <c r="AS47" s="3615"/>
      <c r="AT47" s="3615">
        <f t="shared" si="22"/>
        <v>41.916999999999994</v>
      </c>
      <c r="AU47" s="1416"/>
      <c r="AV47" s="2627"/>
      <c r="AW47" s="3615"/>
      <c r="AX47" s="3615">
        <f t="shared" si="23"/>
        <v>41.916999999999994</v>
      </c>
      <c r="AY47" s="1416"/>
      <c r="AZ47" s="2627"/>
      <c r="BA47" s="969"/>
      <c r="BB47" s="5104">
        <f t="shared" si="24"/>
        <v>0</v>
      </c>
      <c r="BC47" s="625"/>
      <c r="BD47" s="795">
        <f t="shared" si="26"/>
        <v>0</v>
      </c>
      <c r="BE47" s="3615"/>
      <c r="BF47" s="3615">
        <f t="shared" si="25"/>
        <v>41.916999999999994</v>
      </c>
      <c r="BG47" s="26"/>
      <c r="BH47" s="26"/>
      <c r="BI47" s="26"/>
      <c r="BJ47" s="26"/>
    </row>
    <row r="48" spans="1:62" ht="15.75" x14ac:dyDescent="0.25">
      <c r="B48" s="2224" t="s">
        <v>1483</v>
      </c>
      <c r="C48" s="2225"/>
      <c r="D48" s="2220" t="s">
        <v>52</v>
      </c>
      <c r="E48" s="236"/>
      <c r="F48" s="1411">
        <v>2.573</v>
      </c>
      <c r="G48" s="236"/>
      <c r="H48" s="1411"/>
      <c r="I48" s="947"/>
      <c r="J48" s="947">
        <f t="shared" si="15"/>
        <v>2.573</v>
      </c>
      <c r="K48" s="236"/>
      <c r="L48" s="227"/>
      <c r="M48" s="946"/>
      <c r="N48" s="3578">
        <f t="shared" si="1"/>
        <v>2.573</v>
      </c>
      <c r="O48" s="236"/>
      <c r="P48" s="1411"/>
      <c r="Q48" s="947"/>
      <c r="R48" s="2443">
        <f t="shared" si="16"/>
        <v>2.573</v>
      </c>
      <c r="S48" s="1416"/>
      <c r="T48" s="2627"/>
      <c r="U48" s="947"/>
      <c r="V48" s="2565">
        <f t="shared" si="17"/>
        <v>2.573</v>
      </c>
      <c r="W48" s="1416"/>
      <c r="X48" s="2627"/>
      <c r="Y48" s="969"/>
      <c r="Z48" s="3578">
        <f t="shared" si="4"/>
        <v>0</v>
      </c>
      <c r="AA48" s="625"/>
      <c r="AB48" s="795">
        <f t="shared" si="18"/>
        <v>2.573</v>
      </c>
      <c r="AC48" s="1416"/>
      <c r="AD48" s="2627"/>
      <c r="AE48" s="3615"/>
      <c r="AF48" s="3615">
        <f t="shared" si="19"/>
        <v>2.573</v>
      </c>
      <c r="AG48" s="1416"/>
      <c r="AH48" s="2627"/>
      <c r="AI48" s="3615"/>
      <c r="AJ48" s="3615">
        <f t="shared" si="20"/>
        <v>2.573</v>
      </c>
      <c r="AK48" s="1416"/>
      <c r="AL48" s="2627"/>
      <c r="AM48" s="969"/>
      <c r="AN48" s="4312">
        <f t="shared" si="21"/>
        <v>0</v>
      </c>
      <c r="AO48" s="3615"/>
      <c r="AP48" s="3615">
        <f t="shared" si="9"/>
        <v>2.573</v>
      </c>
      <c r="AQ48" s="1416"/>
      <c r="AR48" s="2627"/>
      <c r="AS48" s="3615"/>
      <c r="AT48" s="3615">
        <f t="shared" si="22"/>
        <v>2.573</v>
      </c>
      <c r="AU48" s="1416"/>
      <c r="AV48" s="2627"/>
      <c r="AW48" s="3615"/>
      <c r="AX48" s="3615">
        <f t="shared" si="23"/>
        <v>2.573</v>
      </c>
      <c r="AY48" s="1416"/>
      <c r="AZ48" s="2627"/>
      <c r="BA48" s="969"/>
      <c r="BB48" s="5104">
        <f t="shared" si="24"/>
        <v>0</v>
      </c>
      <c r="BC48" s="625"/>
      <c r="BD48" s="795">
        <f t="shared" si="26"/>
        <v>0</v>
      </c>
      <c r="BE48" s="3615"/>
      <c r="BF48" s="3615">
        <f t="shared" si="25"/>
        <v>2.573</v>
      </c>
      <c r="BG48" s="26"/>
      <c r="BH48" s="26"/>
      <c r="BI48" s="26"/>
      <c r="BJ48" s="26"/>
    </row>
    <row r="49" spans="1:63" ht="15.75" x14ac:dyDescent="0.25">
      <c r="B49" s="2224" t="s">
        <v>1096</v>
      </c>
      <c r="C49" s="2225"/>
      <c r="D49" s="2220" t="s">
        <v>52</v>
      </c>
      <c r="E49" s="236"/>
      <c r="F49" s="1411">
        <v>33.26</v>
      </c>
      <c r="G49" s="236"/>
      <c r="H49" s="1411">
        <v>5.1360000000000001</v>
      </c>
      <c r="I49" s="947"/>
      <c r="J49" s="947">
        <f t="shared" si="15"/>
        <v>38.396000000000001</v>
      </c>
      <c r="K49" s="236"/>
      <c r="L49" s="227">
        <v>12.62</v>
      </c>
      <c r="M49" s="946"/>
      <c r="N49" s="3578">
        <f t="shared" si="1"/>
        <v>51.015999999999998</v>
      </c>
      <c r="O49" s="236"/>
      <c r="P49" s="1411">
        <v>2.556</v>
      </c>
      <c r="Q49" s="947"/>
      <c r="R49" s="2443">
        <f t="shared" si="16"/>
        <v>53.571999999999996</v>
      </c>
      <c r="S49" s="1416"/>
      <c r="T49" s="2627">
        <v>8.2799999999999994</v>
      </c>
      <c r="U49" s="947"/>
      <c r="V49" s="2565">
        <f t="shared" si="17"/>
        <v>61.851999999999997</v>
      </c>
      <c r="W49" s="1416"/>
      <c r="X49" s="2627"/>
      <c r="Y49" s="969"/>
      <c r="Z49" s="3578">
        <f t="shared" si="4"/>
        <v>10.835999999999999</v>
      </c>
      <c r="AA49" s="625"/>
      <c r="AB49" s="795">
        <f t="shared" si="18"/>
        <v>61.851999999999997</v>
      </c>
      <c r="AC49" s="1416"/>
      <c r="AD49" s="2627">
        <v>18.53</v>
      </c>
      <c r="AE49" s="3615"/>
      <c r="AF49" s="3615">
        <f t="shared" si="19"/>
        <v>80.382000000000005</v>
      </c>
      <c r="AG49" s="1416"/>
      <c r="AH49" s="2627"/>
      <c r="AI49" s="3615"/>
      <c r="AJ49" s="3615">
        <f t="shared" si="20"/>
        <v>80.382000000000005</v>
      </c>
      <c r="AK49" s="1416"/>
      <c r="AL49" s="2627"/>
      <c r="AM49" s="969"/>
      <c r="AN49" s="4312">
        <f t="shared" si="21"/>
        <v>18.53</v>
      </c>
      <c r="AO49" s="3615"/>
      <c r="AP49" s="3615">
        <f t="shared" si="9"/>
        <v>80.382000000000005</v>
      </c>
      <c r="AQ49" s="1416"/>
      <c r="AR49" s="2627">
        <v>3.4849999999999999</v>
      </c>
      <c r="AS49" s="3615"/>
      <c r="AT49" s="3615">
        <f t="shared" si="22"/>
        <v>83.867000000000004</v>
      </c>
      <c r="AU49" s="1416"/>
      <c r="AV49" s="2627">
        <v>28.05</v>
      </c>
      <c r="AW49" s="3615"/>
      <c r="AX49" s="3615">
        <f t="shared" si="23"/>
        <v>111.917</v>
      </c>
      <c r="AY49" s="1416"/>
      <c r="AZ49" s="2627">
        <v>19.736999999999998</v>
      </c>
      <c r="BA49" s="969"/>
      <c r="BB49" s="5104">
        <f t="shared" si="24"/>
        <v>51.271999999999998</v>
      </c>
      <c r="BC49" s="625"/>
      <c r="BD49" s="795">
        <f t="shared" si="26"/>
        <v>69.801999999999992</v>
      </c>
      <c r="BE49" s="3615"/>
      <c r="BF49" s="3615">
        <f t="shared" si="25"/>
        <v>131.654</v>
      </c>
      <c r="BG49" s="26"/>
      <c r="BH49" s="26"/>
      <c r="BI49" s="26"/>
      <c r="BJ49" s="26"/>
    </row>
    <row r="50" spans="1:63" ht="16.5" thickBot="1" x14ac:dyDescent="0.3">
      <c r="B50" s="2224" t="s">
        <v>1095</v>
      </c>
      <c r="C50" s="2225"/>
      <c r="D50" s="2220" t="s">
        <v>52</v>
      </c>
      <c r="E50" s="1411"/>
      <c r="F50" s="1411"/>
      <c r="G50" s="1411"/>
      <c r="H50" s="1411">
        <v>13.11</v>
      </c>
      <c r="I50" s="947"/>
      <c r="J50" s="947">
        <f t="shared" si="15"/>
        <v>13.11</v>
      </c>
      <c r="K50" s="1411"/>
      <c r="L50" s="1411"/>
      <c r="M50" s="946"/>
      <c r="N50" s="3578">
        <f t="shared" si="1"/>
        <v>13.11</v>
      </c>
      <c r="O50" s="1411"/>
      <c r="P50" s="1411"/>
      <c r="Q50" s="947"/>
      <c r="R50" s="2443">
        <f t="shared" si="16"/>
        <v>13.11</v>
      </c>
      <c r="S50" s="1411"/>
      <c r="T50" s="2627"/>
      <c r="U50" s="947"/>
      <c r="V50" s="2565">
        <f t="shared" si="17"/>
        <v>13.11</v>
      </c>
      <c r="W50" s="3296"/>
      <c r="X50" s="2627"/>
      <c r="Y50" s="969"/>
      <c r="Z50" s="3578">
        <f t="shared" si="4"/>
        <v>0</v>
      </c>
      <c r="AA50" s="625"/>
      <c r="AB50" s="795">
        <f t="shared" si="18"/>
        <v>13.11</v>
      </c>
      <c r="AC50" s="3616"/>
      <c r="AD50" s="2627"/>
      <c r="AE50" s="3615"/>
      <c r="AF50" s="3615">
        <f t="shared" si="19"/>
        <v>13.11</v>
      </c>
      <c r="AG50" s="3616"/>
      <c r="AH50" s="2627">
        <v>72.367999999999995</v>
      </c>
      <c r="AI50" s="3615"/>
      <c r="AJ50" s="3615">
        <f t="shared" si="20"/>
        <v>85.477999999999994</v>
      </c>
      <c r="AK50" s="3616"/>
      <c r="AL50" s="2627"/>
      <c r="AM50" s="969"/>
      <c r="AN50" s="4312">
        <f t="shared" si="21"/>
        <v>72.367999999999995</v>
      </c>
      <c r="AO50" s="3615"/>
      <c r="AP50" s="3615">
        <f t="shared" si="9"/>
        <v>85.477999999999994</v>
      </c>
      <c r="AQ50" s="3616"/>
      <c r="AR50" s="2627"/>
      <c r="AS50" s="3615"/>
      <c r="AT50" s="3615">
        <f t="shared" si="22"/>
        <v>85.477999999999994</v>
      </c>
      <c r="AU50" s="3616"/>
      <c r="AV50" s="2627"/>
      <c r="AW50" s="3615"/>
      <c r="AX50" s="3615">
        <f t="shared" si="23"/>
        <v>85.477999999999994</v>
      </c>
      <c r="AY50" s="3616"/>
      <c r="AZ50" s="2627"/>
      <c r="BA50" s="969"/>
      <c r="BB50" s="5104">
        <f t="shared" ref="BB50" si="27">+AR50+AV50+AZ50</f>
        <v>0</v>
      </c>
      <c r="BC50" s="625"/>
      <c r="BD50" s="795">
        <f>+AN50+BB50</f>
        <v>72.367999999999995</v>
      </c>
      <c r="BE50" s="3615"/>
      <c r="BF50" s="3615">
        <f t="shared" si="25"/>
        <v>85.477999999999994</v>
      </c>
      <c r="BG50" s="26"/>
      <c r="BH50" s="26"/>
      <c r="BI50" s="26"/>
      <c r="BJ50" s="26"/>
    </row>
    <row r="51" spans="1:63" ht="16.5" thickBot="1" x14ac:dyDescent="0.3">
      <c r="A51" s="183"/>
      <c r="B51" s="1115" t="s">
        <v>306</v>
      </c>
      <c r="C51" s="1298"/>
      <c r="D51" s="881" t="s">
        <v>52</v>
      </c>
      <c r="E51" s="1416">
        <f>+E52</f>
        <v>72500</v>
      </c>
      <c r="F51" s="1416">
        <f>SUM(F7:F50)</f>
        <v>70198.710999999996</v>
      </c>
      <c r="G51" s="1416">
        <f>+G52</f>
        <v>62500</v>
      </c>
      <c r="H51" s="1416">
        <f>SUM(H7:H50)</f>
        <v>56127.067000000025</v>
      </c>
      <c r="I51" s="311">
        <f>+I52</f>
        <v>135000</v>
      </c>
      <c r="J51" s="311">
        <f>SUM(J7:J50)</f>
        <v>126325.77800000002</v>
      </c>
      <c r="K51" s="1416">
        <f>+K52</f>
        <v>47000</v>
      </c>
      <c r="L51" s="1416">
        <f>SUM(L7:L50)</f>
        <v>54253.858000000022</v>
      </c>
      <c r="M51" s="969">
        <f>+M52</f>
        <v>182000</v>
      </c>
      <c r="N51" s="969">
        <f>SUM(N7:N50)</f>
        <v>180579.63600000006</v>
      </c>
      <c r="O51" s="1416">
        <f>+O52</f>
        <v>75000</v>
      </c>
      <c r="P51" s="1416">
        <f>SUM(P7:P50)</f>
        <v>74129.232000000091</v>
      </c>
      <c r="Q51" s="1416">
        <f>+Q52</f>
        <v>257000</v>
      </c>
      <c r="R51" s="1416">
        <f>SUM(R7:R50)</f>
        <v>254708.8680000001</v>
      </c>
      <c r="S51" s="1416">
        <f>+S52</f>
        <v>75000</v>
      </c>
      <c r="T51" s="1416">
        <f>SUM(T7:T50)</f>
        <v>81613.910000000047</v>
      </c>
      <c r="U51" s="1416">
        <f>+U52</f>
        <v>332000</v>
      </c>
      <c r="V51" s="1416">
        <f>SUM(V7:V50)</f>
        <v>336322.77800000005</v>
      </c>
      <c r="W51" s="1416">
        <f>+W52</f>
        <v>73000</v>
      </c>
      <c r="X51" s="1416">
        <f>SUM(X7:X50)</f>
        <v>66289.000000000087</v>
      </c>
      <c r="Y51" s="969">
        <f>+Y52</f>
        <v>223000</v>
      </c>
      <c r="Z51" s="969">
        <f>SUM(Z7:Z50)</f>
        <v>222032.14200000023</v>
      </c>
      <c r="AA51" s="625">
        <f>+AA52</f>
        <v>405000</v>
      </c>
      <c r="AB51" s="625">
        <f>SUM(AB7:AB50)</f>
        <v>402611.77800000022</v>
      </c>
      <c r="AC51" s="1416">
        <f>+AC52</f>
        <v>75500</v>
      </c>
      <c r="AD51" s="1416">
        <f>SUM(AD7:AD50)</f>
        <v>61078.008000000067</v>
      </c>
      <c r="AE51" s="1416">
        <f>+AE52</f>
        <v>480500</v>
      </c>
      <c r="AF51" s="1416">
        <f>SUM(AF7:AF50)</f>
        <v>463689.78600000014</v>
      </c>
      <c r="AG51" s="1416">
        <f>+AG52</f>
        <v>73000</v>
      </c>
      <c r="AH51" s="1416">
        <f>SUM(AH7:AH50)</f>
        <v>59231.395000000055</v>
      </c>
      <c r="AI51" s="1416">
        <f>+AI52</f>
        <v>553500</v>
      </c>
      <c r="AJ51" s="1416">
        <f>SUM(AJ7:AJ50)</f>
        <v>522921.18100000022</v>
      </c>
      <c r="AK51" s="1416">
        <f>+AK52</f>
        <v>75500</v>
      </c>
      <c r="AL51" s="1416">
        <f>SUM(AL7:AL50)</f>
        <v>67603.61</v>
      </c>
      <c r="AM51" s="969">
        <f>+AM52</f>
        <v>224000</v>
      </c>
      <c r="AN51" s="969">
        <f>SUM(AN7:AN50)</f>
        <v>187913.01300000009</v>
      </c>
      <c r="AO51" s="1416">
        <f>+AO52</f>
        <v>629000</v>
      </c>
      <c r="AP51" s="1416">
        <f>SUM(AP7:AP50)</f>
        <v>590524.79100000043</v>
      </c>
      <c r="AQ51" s="1416">
        <f>+AQ52</f>
        <v>75500</v>
      </c>
      <c r="AR51" s="1416">
        <f>SUM(AR7:AR50)</f>
        <v>70924.695000000065</v>
      </c>
      <c r="AS51" s="1416">
        <f>+AS52</f>
        <v>704500</v>
      </c>
      <c r="AT51" s="1416">
        <f>SUM(AT7:AT50)</f>
        <v>661449.48600000062</v>
      </c>
      <c r="AU51" s="1416">
        <f>+AU52</f>
        <v>70000</v>
      </c>
      <c r="AV51" s="1416">
        <f>SUM(AV7:AV50)</f>
        <v>65302.942000000061</v>
      </c>
      <c r="AW51" s="1416">
        <f>+AW52</f>
        <v>774500</v>
      </c>
      <c r="AX51" s="1416">
        <f>SUM(AX7:AX50)</f>
        <v>726752.42800000054</v>
      </c>
      <c r="AY51" s="1416">
        <f>+AY52</f>
        <v>75500</v>
      </c>
      <c r="AZ51" s="1416">
        <f>SUM(AZ7:AZ50)</f>
        <v>69579.082000000082</v>
      </c>
      <c r="BA51" s="969">
        <f>+BA52</f>
        <v>221000</v>
      </c>
      <c r="BB51" s="969">
        <f>SUM(BB7:BB50)</f>
        <v>205806.71900000024</v>
      </c>
      <c r="BC51" s="625">
        <f>+BC52</f>
        <v>445000</v>
      </c>
      <c r="BD51" s="625">
        <f>SUM(BD7:BD50)</f>
        <v>393719.73200000037</v>
      </c>
      <c r="BE51" s="1416">
        <f>AW51+AY51</f>
        <v>850000</v>
      </c>
      <c r="BF51" s="1416">
        <f>SUM(BF7:BF50)</f>
        <v>796331.51000000059</v>
      </c>
      <c r="BG51" s="26"/>
      <c r="BH51" s="26"/>
      <c r="BI51" s="26"/>
      <c r="BJ51" s="26"/>
    </row>
    <row r="52" spans="1:63" ht="16.5" thickBot="1" x14ac:dyDescent="0.3">
      <c r="A52" s="183"/>
      <c r="B52" s="1115" t="s">
        <v>854</v>
      </c>
      <c r="C52" s="1115"/>
      <c r="D52" s="1116" t="s">
        <v>52</v>
      </c>
      <c r="E52" s="1416">
        <f>+'Maj Production Summ'!E29</f>
        <v>72500</v>
      </c>
      <c r="F52" s="1416">
        <f>SUM(F7:F39)</f>
        <v>70044.755000000005</v>
      </c>
      <c r="G52" s="1416">
        <f>+'Maj Production Summ'!G29</f>
        <v>62500</v>
      </c>
      <c r="H52" s="1416">
        <f>SUM(H7:H39)</f>
        <v>56061.496000000021</v>
      </c>
      <c r="I52" s="311">
        <f>+'Maj Production Summ'!I29</f>
        <v>135000</v>
      </c>
      <c r="J52" s="311">
        <f>SUM(J7:J39)</f>
        <v>126106.25100000003</v>
      </c>
      <c r="K52" s="1416">
        <f>+'Maj Production Summ'!K29</f>
        <v>47000</v>
      </c>
      <c r="L52" s="1416">
        <f>SUM(L7:L39)</f>
        <v>54192.347000000016</v>
      </c>
      <c r="M52" s="969">
        <f>+'Maj Production Summ'!M29</f>
        <v>182000</v>
      </c>
      <c r="N52" s="969">
        <f>SUM(N7:N39)</f>
        <v>180298.59800000003</v>
      </c>
      <c r="O52" s="1416">
        <f>+'Maj Production Summ'!O29</f>
        <v>75000</v>
      </c>
      <c r="P52" s="1416">
        <f>SUM(P7:P39)</f>
        <v>73996.973000000085</v>
      </c>
      <c r="Q52" s="1416">
        <f>+'Maj Production Summ'!Q29</f>
        <v>257000</v>
      </c>
      <c r="R52" s="1416">
        <f>SUM(R7:R39)</f>
        <v>254295.57100000014</v>
      </c>
      <c r="S52" s="1416">
        <f>+'Maj Production Summ'!S29</f>
        <v>75000</v>
      </c>
      <c r="T52" s="1416">
        <f>SUM(T7:T39)</f>
        <v>81550.701000000059</v>
      </c>
      <c r="U52" s="1416">
        <f>+'Maj Production Summ'!U29</f>
        <v>332000</v>
      </c>
      <c r="V52" s="1416">
        <f>SUM(V7:V39)</f>
        <v>335846.27200000006</v>
      </c>
      <c r="W52" s="1416">
        <f>+'Maj Production Summ'!W29</f>
        <v>73000</v>
      </c>
      <c r="X52" s="1416">
        <f>SUM(X7:X39)</f>
        <v>66170.788000000088</v>
      </c>
      <c r="Y52" s="969">
        <f>+'Maj Production Summ'!Y29</f>
        <v>223000</v>
      </c>
      <c r="Z52" s="969">
        <f>SUM(Z7:Z39)</f>
        <v>221718.46200000023</v>
      </c>
      <c r="AA52" s="625">
        <f>+'Maj Production Summ'!AA29</f>
        <v>405000</v>
      </c>
      <c r="AB52" s="625">
        <f>SUM(AB7:AB39)</f>
        <v>402017.06000000017</v>
      </c>
      <c r="AC52" s="1416">
        <f>+'Maj Production Summ'!AC29</f>
        <v>75500</v>
      </c>
      <c r="AD52" s="1416">
        <f>SUM(AD7:AD39)</f>
        <v>61010.230000000069</v>
      </c>
      <c r="AE52" s="1416">
        <f>+'Maj Production Summ'!AE29</f>
        <v>480500</v>
      </c>
      <c r="AF52" s="1416">
        <f>SUM(AF7:AF39)</f>
        <v>463027.29000000015</v>
      </c>
      <c r="AG52" s="1416">
        <f>+'Maj Production Summ'!AG29</f>
        <v>73000</v>
      </c>
      <c r="AH52" s="1416">
        <f>SUM(AH7:AH39)</f>
        <v>59054.402000000053</v>
      </c>
      <c r="AI52" s="1416">
        <f>+'Maj Production Summ'!AI29</f>
        <v>553500</v>
      </c>
      <c r="AJ52" s="1416">
        <f>SUM(AJ7:AJ39)</f>
        <v>522081.69200000027</v>
      </c>
      <c r="AK52" s="1416">
        <f>+'Maj Production Summ'!AK29</f>
        <v>75500</v>
      </c>
      <c r="AL52" s="1416">
        <f>SUM(AL7:AL39)</f>
        <v>67544.472000000009</v>
      </c>
      <c r="AM52" s="969">
        <f>+'Maj Production Summ'!AM29</f>
        <v>224000</v>
      </c>
      <c r="AN52" s="969">
        <f>SUM(AN7:AN39)</f>
        <v>187609.10400000014</v>
      </c>
      <c r="AO52" s="1416">
        <f>+'Maj Production Summ'!AO29</f>
        <v>629000</v>
      </c>
      <c r="AP52" s="1416">
        <f>SUM(AP7:AP39)</f>
        <v>589626.16400000034</v>
      </c>
      <c r="AQ52" s="1416">
        <f>+'Maj Production Summ'!AQ29</f>
        <v>75500</v>
      </c>
      <c r="AR52" s="1416">
        <f>SUM(AR7:AR39)</f>
        <v>70905.326000000059</v>
      </c>
      <c r="AS52" s="1416">
        <f>+'Maj Production Summ'!AS29</f>
        <v>704500</v>
      </c>
      <c r="AT52" s="1416">
        <f>SUM(AT7:AT39)</f>
        <v>660531.49000000057</v>
      </c>
      <c r="AU52" s="1416">
        <f>+'Maj Production Summ'!AU29</f>
        <v>70000</v>
      </c>
      <c r="AV52" s="1416">
        <f>SUM(AV7:AV39)</f>
        <v>65231.440000000061</v>
      </c>
      <c r="AW52" s="1416">
        <f>+'Maj Production Summ'!AW29</f>
        <v>774500</v>
      </c>
      <c r="AX52" s="1416">
        <f>SUM(AX7:AX39)</f>
        <v>725762.9300000004</v>
      </c>
      <c r="AY52" s="1416">
        <f>+'Maj Production Summ'!AY29</f>
        <v>75500</v>
      </c>
      <c r="AZ52" s="1416">
        <f>SUM(AZ7:AZ39)</f>
        <v>69559.345000000088</v>
      </c>
      <c r="BA52" s="969">
        <f>+'Maj Production Summ'!BA29</f>
        <v>221000</v>
      </c>
      <c r="BB52" s="969">
        <f>SUM(BB7:BB39)</f>
        <v>205696.11100000024</v>
      </c>
      <c r="BC52" s="625">
        <f>+'Maj Production Summ'!BC29</f>
        <v>445000</v>
      </c>
      <c r="BD52" s="625">
        <f>SUM(BD7:BD39)</f>
        <v>393305.21500000032</v>
      </c>
      <c r="BE52" s="1416">
        <f>AW52+AY52</f>
        <v>850000</v>
      </c>
      <c r="BF52" s="1416">
        <f>SUM(BF7:BF39)</f>
        <v>795322.27500000049</v>
      </c>
      <c r="BG52" s="26"/>
      <c r="BH52" s="26"/>
      <c r="BI52" s="26"/>
      <c r="BJ52" s="26"/>
    </row>
    <row r="53" spans="1:63" ht="16.5" thickBot="1" x14ac:dyDescent="0.3">
      <c r="A53" s="183"/>
      <c r="B53" s="1115" t="s">
        <v>853</v>
      </c>
      <c r="C53" s="1115"/>
      <c r="D53" s="1116" t="s">
        <v>52</v>
      </c>
      <c r="E53" s="1416"/>
      <c r="F53" s="982">
        <f>+SUM(F41:F50)</f>
        <v>153.95599999999999</v>
      </c>
      <c r="G53" s="1416"/>
      <c r="H53" s="982">
        <f>+SUM(H41:H50)</f>
        <v>65.570999999999998</v>
      </c>
      <c r="I53" s="311"/>
      <c r="J53" s="983">
        <f>+SUM(J41:J50)</f>
        <v>219.52699999999999</v>
      </c>
      <c r="K53" s="1416"/>
      <c r="L53" s="982">
        <f>+SUM(L41:L50)</f>
        <v>61.510999999999996</v>
      </c>
      <c r="M53" s="969"/>
      <c r="N53" s="984">
        <f>+SUM(N41:N50)</f>
        <v>281.03800000000001</v>
      </c>
      <c r="O53" s="1416"/>
      <c r="P53" s="982">
        <f>+SUM(P41:P50)</f>
        <v>132.25900000000001</v>
      </c>
      <c r="Q53" s="1416"/>
      <c r="R53" s="982">
        <f>+SUM(R41:R50)</f>
        <v>413.29699999999991</v>
      </c>
      <c r="S53" s="1416"/>
      <c r="T53" s="982">
        <f>+SUM(T41:T50)</f>
        <v>63.209000000000003</v>
      </c>
      <c r="U53" s="1416"/>
      <c r="V53" s="982">
        <f>+SUM(V41:V50)</f>
        <v>476.50599999999991</v>
      </c>
      <c r="W53" s="1416"/>
      <c r="X53" s="982">
        <f>+SUM(X41:X50)</f>
        <v>118.21199999999999</v>
      </c>
      <c r="Y53" s="969"/>
      <c r="Z53" s="984">
        <f>+SUM(Z41:Z50)</f>
        <v>313.67999999999995</v>
      </c>
      <c r="AA53" s="625"/>
      <c r="AB53" s="985">
        <f>+SUM(AB41:AB50)</f>
        <v>594.71799999999996</v>
      </c>
      <c r="AC53" s="1416"/>
      <c r="AD53" s="982">
        <f>+SUM(AD41:AD50)</f>
        <v>67.777999999999992</v>
      </c>
      <c r="AE53" s="1416"/>
      <c r="AF53" s="982">
        <f>+SUM(AF41:AF50)</f>
        <v>662.49599999999998</v>
      </c>
      <c r="AG53" s="1416"/>
      <c r="AH53" s="982">
        <f>+SUM(AH41:AH50)</f>
        <v>176.99299999999999</v>
      </c>
      <c r="AI53" s="1416"/>
      <c r="AJ53" s="982">
        <f>+SUM(AJ41:AJ50)</f>
        <v>839.48899999999992</v>
      </c>
      <c r="AK53" s="1416"/>
      <c r="AL53" s="982">
        <f>+SUM(AL41:AL50)</f>
        <v>59.137999999999998</v>
      </c>
      <c r="AM53" s="969"/>
      <c r="AN53" s="984">
        <f>+SUM(AN41:AN50)</f>
        <v>303.90899999999999</v>
      </c>
      <c r="AO53" s="1416"/>
      <c r="AP53" s="982">
        <f>+SUM(AP41:AP50)</f>
        <v>898.62700000000007</v>
      </c>
      <c r="AQ53" s="1416"/>
      <c r="AR53" s="982">
        <f>+SUM(AR41:AR50)</f>
        <v>19.369</v>
      </c>
      <c r="AS53" s="1416"/>
      <c r="AT53" s="982">
        <f>+SUM(AT41:AT50)</f>
        <v>917.99599999999987</v>
      </c>
      <c r="AU53" s="1416"/>
      <c r="AV53" s="982">
        <f>+SUM(AV41:AV50)</f>
        <v>71.501999999999995</v>
      </c>
      <c r="AW53" s="1416"/>
      <c r="AX53" s="982">
        <f>+SUM(AX41:AX50)</f>
        <v>989.49799999999993</v>
      </c>
      <c r="AY53" s="1416"/>
      <c r="AZ53" s="982">
        <f>+SUM(AZ41:AZ50)</f>
        <v>19.736999999999998</v>
      </c>
      <c r="BA53" s="969"/>
      <c r="BB53" s="984">
        <f>+SUM(BB41:BB50)</f>
        <v>110.608</v>
      </c>
      <c r="BC53" s="625"/>
      <c r="BD53" s="985">
        <f>+SUM(BD41:BD50)</f>
        <v>414.517</v>
      </c>
      <c r="BE53" s="1416"/>
      <c r="BF53" s="982">
        <f>+SUM(BF41:BF50)</f>
        <v>1009.2349999999999</v>
      </c>
      <c r="BG53" s="26"/>
      <c r="BH53" s="26"/>
      <c r="BI53" s="26"/>
      <c r="BJ53" s="26"/>
    </row>
    <row r="54" spans="1:63" ht="16.5" thickBot="1" x14ac:dyDescent="0.3">
      <c r="A54" s="183"/>
      <c r="B54" s="1299" t="s">
        <v>322</v>
      </c>
      <c r="C54" s="1300"/>
      <c r="D54" s="1301" t="s">
        <v>51</v>
      </c>
      <c r="E54" s="982">
        <f t="shared" ref="E54:AP54" si="28">+E52/E5*100</f>
        <v>96.500000000000014</v>
      </c>
      <c r="F54" s="982">
        <f t="shared" si="28"/>
        <v>95.688196506497718</v>
      </c>
      <c r="G54" s="982">
        <f t="shared" si="28"/>
        <v>96.5</v>
      </c>
      <c r="H54" s="982">
        <f t="shared" si="28"/>
        <v>95.843255905811219</v>
      </c>
      <c r="I54" s="983">
        <f t="shared" si="28"/>
        <v>96.500000000000014</v>
      </c>
      <c r="J54" s="983">
        <f t="shared" si="28"/>
        <v>95.757067356541015</v>
      </c>
      <c r="K54" s="982">
        <f t="shared" si="28"/>
        <v>96.5</v>
      </c>
      <c r="L54" s="982">
        <f t="shared" si="28"/>
        <v>95.747583268874223</v>
      </c>
      <c r="M54" s="984">
        <f t="shared" si="28"/>
        <v>96.500000000000014</v>
      </c>
      <c r="N54" s="984">
        <f t="shared" si="28"/>
        <v>95.754216526960008</v>
      </c>
      <c r="O54" s="982">
        <f t="shared" si="28"/>
        <v>96.5</v>
      </c>
      <c r="P54" s="982">
        <f t="shared" si="28"/>
        <v>95.984317544469334</v>
      </c>
      <c r="Q54" s="982">
        <f t="shared" si="28"/>
        <v>96.500000000000014</v>
      </c>
      <c r="R54" s="982">
        <f t="shared" si="28"/>
        <v>95.821059288419647</v>
      </c>
      <c r="S54" s="982">
        <f t="shared" si="28"/>
        <v>96.5</v>
      </c>
      <c r="T54" s="2660">
        <f t="shared" si="28"/>
        <v>96.282520735717824</v>
      </c>
      <c r="U54" s="982">
        <f t="shared" si="28"/>
        <v>96.500000000000014</v>
      </c>
      <c r="V54" s="982">
        <f t="shared" si="28"/>
        <v>95.932704944146579</v>
      </c>
      <c r="W54" s="982">
        <f t="shared" si="28"/>
        <v>96.5</v>
      </c>
      <c r="X54" s="2660">
        <f t="shared" si="28"/>
        <v>96.220522655162881</v>
      </c>
      <c r="Y54" s="984">
        <f t="shared" si="28"/>
        <v>96.5</v>
      </c>
      <c r="Z54" s="3942">
        <f t="shared" si="28"/>
        <v>96.164318670794245</v>
      </c>
      <c r="AA54" s="985">
        <f t="shared" si="28"/>
        <v>96.5</v>
      </c>
      <c r="AB54" s="3515">
        <f t="shared" si="28"/>
        <v>95.979960425703709</v>
      </c>
      <c r="AC54" s="982">
        <f t="shared" si="28"/>
        <v>96.5</v>
      </c>
      <c r="AD54" s="2660">
        <f t="shared" si="28"/>
        <v>96.155345222550608</v>
      </c>
      <c r="AE54" s="982">
        <f t="shared" si="28"/>
        <v>96.499999999999986</v>
      </c>
      <c r="AF54" s="982">
        <f t="shared" si="28"/>
        <v>96.0030331853077</v>
      </c>
      <c r="AG54" s="982">
        <f t="shared" si="28"/>
        <v>96.5</v>
      </c>
      <c r="AH54" s="2660">
        <f t="shared" si="28"/>
        <v>95.971529279348573</v>
      </c>
      <c r="AI54" s="982">
        <f t="shared" si="28"/>
        <v>96.5</v>
      </c>
      <c r="AJ54" s="982">
        <f t="shared" si="28"/>
        <v>95.999468635984158</v>
      </c>
      <c r="AK54" s="982">
        <f t="shared" si="28"/>
        <v>96.5</v>
      </c>
      <c r="AL54" s="2660">
        <f t="shared" si="28"/>
        <v>96.1511508761361</v>
      </c>
      <c r="AM54" s="984">
        <f t="shared" si="28"/>
        <v>96.500000000000014</v>
      </c>
      <c r="AN54" s="3942">
        <f t="shared" si="28"/>
        <v>96.095900612075141</v>
      </c>
      <c r="AO54" s="982">
        <f t="shared" si="28"/>
        <v>96.5</v>
      </c>
      <c r="AP54" s="982">
        <f t="shared" si="28"/>
        <v>96.016820280085554</v>
      </c>
      <c r="AQ54" s="982">
        <f t="shared" ref="AQ54:AR54" si="29">+AQ52/AQ5*100</f>
        <v>96.5</v>
      </c>
      <c r="AR54" s="2660">
        <f t="shared" si="29"/>
        <v>96.359158538156947</v>
      </c>
      <c r="AS54" s="982">
        <f t="shared" ref="AS54:AV54" si="30">+AS52/AS5*100</f>
        <v>96.5</v>
      </c>
      <c r="AT54" s="982">
        <f t="shared" si="30"/>
        <v>96.053452289952389</v>
      </c>
      <c r="AU54" s="982">
        <f t="shared" si="30"/>
        <v>96.500000000000014</v>
      </c>
      <c r="AV54" s="2660">
        <f t="shared" si="30"/>
        <v>96.199129897119747</v>
      </c>
      <c r="AW54" s="982">
        <f t="shared" ref="AW54:BD54" si="31">+AW52/AW5*100</f>
        <v>96.5</v>
      </c>
      <c r="AX54" s="982">
        <f t="shared" si="31"/>
        <v>96.066527718534189</v>
      </c>
      <c r="AY54" s="982">
        <f t="shared" si="31"/>
        <v>96.5</v>
      </c>
      <c r="AZ54" s="2660">
        <f t="shared" si="31"/>
        <v>96.320741507202996</v>
      </c>
      <c r="BA54" s="984">
        <f t="shared" si="31"/>
        <v>96.5</v>
      </c>
      <c r="BB54" s="3942">
        <f t="shared" si="31"/>
        <v>96.295370741214143</v>
      </c>
      <c r="BC54" s="985">
        <f t="shared" si="31"/>
        <v>96.500000000000014</v>
      </c>
      <c r="BD54" s="3515">
        <f t="shared" si="31"/>
        <v>96.200119022404422</v>
      </c>
      <c r="BE54" s="982">
        <f t="shared" ref="BE54:BF54" si="32">+BE52/BE5*100</f>
        <v>96.5</v>
      </c>
      <c r="BF54" s="982">
        <f t="shared" si="32"/>
        <v>96.088707842896071</v>
      </c>
      <c r="BG54" s="26"/>
      <c r="BH54" s="26"/>
      <c r="BI54" s="26"/>
      <c r="BJ54" s="26"/>
      <c r="BK54" s="26"/>
    </row>
    <row r="55" spans="1:63" x14ac:dyDescent="0.25">
      <c r="A55" s="183"/>
      <c r="B55" s="1096" t="s">
        <v>847</v>
      </c>
      <c r="C55" s="1097"/>
      <c r="D55" s="1098" t="s">
        <v>52</v>
      </c>
      <c r="E55" s="549"/>
      <c r="F55" s="549">
        <f>+SUM(F7:F39)</f>
        <v>70044.755000000005</v>
      </c>
      <c r="G55" s="549"/>
      <c r="H55" s="2942">
        <f>+SUM(H7:H39)</f>
        <v>56061.496000000021</v>
      </c>
      <c r="I55" s="452"/>
      <c r="J55" s="452">
        <f>+SUM(J7:J39)</f>
        <v>126106.25100000003</v>
      </c>
      <c r="K55" s="549"/>
      <c r="L55" s="2942">
        <f>+SUM(L7:L39)</f>
        <v>54192.347000000016</v>
      </c>
      <c r="M55" s="454"/>
      <c r="N55" s="454">
        <f>+SUM(N7:N39)</f>
        <v>180298.59800000003</v>
      </c>
      <c r="O55" s="549"/>
      <c r="P55" s="2942">
        <f>+SUM(P7:P39)</f>
        <v>73996.973000000085</v>
      </c>
      <c r="Q55" s="549"/>
      <c r="R55" s="549">
        <f>+SUM(R7:R39)</f>
        <v>254295.57100000014</v>
      </c>
      <c r="S55" s="549"/>
      <c r="T55" s="2942">
        <f>+SUM(T7:T39)</f>
        <v>81550.701000000059</v>
      </c>
      <c r="U55" s="549"/>
      <c r="V55" s="549">
        <f>+SUM(V7:V39)</f>
        <v>335846.27200000006</v>
      </c>
      <c r="W55" s="2942"/>
      <c r="X55" s="2942">
        <f>+SUM(X7:X39)</f>
        <v>66170.788000000088</v>
      </c>
      <c r="Y55" s="454"/>
      <c r="Z55" s="454">
        <f>+SUM(Z7:Z39)</f>
        <v>221718.46200000023</v>
      </c>
      <c r="AA55" s="660"/>
      <c r="AB55" s="660">
        <f>+SUM(AB7:AB39)</f>
        <v>402017.06000000017</v>
      </c>
      <c r="AC55" s="2942"/>
      <c r="AD55" s="2942">
        <f>+SUM(AD7:AD39)</f>
        <v>61010.230000000069</v>
      </c>
      <c r="AE55" s="2942"/>
      <c r="AF55" s="2942">
        <f>+SUM(AF7:AF39)</f>
        <v>463027.29000000015</v>
      </c>
      <c r="AG55" s="2942"/>
      <c r="AH55" s="2942">
        <f>+SUM(AH7:AH39)</f>
        <v>59054.402000000053</v>
      </c>
      <c r="AI55" s="2942"/>
      <c r="AJ55" s="2942">
        <f>+SUM(AJ7:AJ39)</f>
        <v>522081.69200000027</v>
      </c>
      <c r="AK55" s="2942"/>
      <c r="AL55" s="2942">
        <f>+SUM(AL7:AL39)</f>
        <v>67544.472000000009</v>
      </c>
      <c r="AM55" s="454"/>
      <c r="AN55" s="454">
        <f>+SUM(AN7:AN39)</f>
        <v>187609.10400000014</v>
      </c>
      <c r="AO55" s="2942"/>
      <c r="AP55" s="2942">
        <f>+SUM(AP7:AP39)</f>
        <v>589626.16400000034</v>
      </c>
      <c r="AQ55" s="2942"/>
      <c r="AR55" s="2942">
        <f>+SUM(AR7:AR39)</f>
        <v>70905.326000000059</v>
      </c>
      <c r="AS55" s="2942"/>
      <c r="AT55" s="2942">
        <f>+SUM(AT7:AT39)</f>
        <v>660531.49000000057</v>
      </c>
      <c r="AU55" s="2942"/>
      <c r="AV55" s="2942">
        <f>+SUM(AV7:AV39)</f>
        <v>65231.440000000061</v>
      </c>
      <c r="AW55" s="2942"/>
      <c r="AX55" s="2942">
        <f>+SUM(AX7:AX39)</f>
        <v>725762.9300000004</v>
      </c>
      <c r="AY55" s="2942"/>
      <c r="AZ55" s="2942">
        <f>+SUM(AZ7:AZ39)</f>
        <v>69559.345000000088</v>
      </c>
      <c r="BA55" s="454"/>
      <c r="BB55" s="454">
        <f>+SUM(BB7:BB39)</f>
        <v>205696.11100000024</v>
      </c>
      <c r="BC55" s="660"/>
      <c r="BD55" s="660">
        <f>+SUM(BD7:BD39)</f>
        <v>393305.21500000032</v>
      </c>
      <c r="BE55" s="2942"/>
      <c r="BF55" s="2942">
        <f>+SUM(BF7:BF39)</f>
        <v>795322.27500000049</v>
      </c>
      <c r="BG55" s="26"/>
      <c r="BH55" s="26"/>
      <c r="BI55" s="26"/>
      <c r="BJ55" s="26"/>
    </row>
    <row r="56" spans="1:63" x14ac:dyDescent="0.25">
      <c r="A56" s="183"/>
      <c r="B56" s="1063" t="s">
        <v>846</v>
      </c>
      <c r="C56" s="1063"/>
      <c r="D56" s="981" t="s">
        <v>51</v>
      </c>
      <c r="E56" s="2370"/>
      <c r="F56" s="751">
        <f>+F55/F52</f>
        <v>1</v>
      </c>
      <c r="G56" s="751"/>
      <c r="H56" s="751">
        <f>+H55/H52</f>
        <v>1</v>
      </c>
      <c r="I56" s="2067"/>
      <c r="J56" s="2067">
        <f>+J55/J52</f>
        <v>1</v>
      </c>
      <c r="K56" s="751"/>
      <c r="L56" s="751">
        <f>+L55/L52</f>
        <v>1</v>
      </c>
      <c r="M56" s="1980"/>
      <c r="N56" s="1980">
        <f>+N55/N52</f>
        <v>1</v>
      </c>
      <c r="O56" s="751"/>
      <c r="P56" s="751">
        <f>+P55/P52</f>
        <v>1</v>
      </c>
      <c r="Q56" s="751"/>
      <c r="R56" s="751">
        <f>+R55/R52</f>
        <v>1</v>
      </c>
      <c r="S56" s="751"/>
      <c r="T56" s="2661">
        <f>+T55/T52</f>
        <v>1</v>
      </c>
      <c r="U56" s="751"/>
      <c r="V56" s="751">
        <f>+V55/V52</f>
        <v>1</v>
      </c>
      <c r="W56" s="751"/>
      <c r="X56" s="2661">
        <f>+X55/X52</f>
        <v>1</v>
      </c>
      <c r="Y56" s="1980"/>
      <c r="Z56" s="1980">
        <f>+Z55/Z52</f>
        <v>1</v>
      </c>
      <c r="AA56" s="2190"/>
      <c r="AB56" s="2190">
        <f>+AB55/AB52</f>
        <v>1</v>
      </c>
      <c r="AC56" s="751"/>
      <c r="AD56" s="2661">
        <f>+AD55/AD52</f>
        <v>1</v>
      </c>
      <c r="AE56" s="751"/>
      <c r="AF56" s="751">
        <f>+AF55/AF52</f>
        <v>1</v>
      </c>
      <c r="AG56" s="751"/>
      <c r="AH56" s="2661">
        <f>+AH55/AH52</f>
        <v>1</v>
      </c>
      <c r="AI56" s="751"/>
      <c r="AJ56" s="751">
        <f>+AJ55/AJ52</f>
        <v>1</v>
      </c>
      <c r="AK56" s="751"/>
      <c r="AL56" s="2661">
        <f>+AL55/AL52</f>
        <v>1</v>
      </c>
      <c r="AM56" s="1980"/>
      <c r="AN56" s="1980">
        <f>+AN55/AN52</f>
        <v>1</v>
      </c>
      <c r="AO56" s="751"/>
      <c r="AP56" s="751">
        <f>+AP55/AP52</f>
        <v>1</v>
      </c>
      <c r="AQ56" s="751"/>
      <c r="AR56" s="2661">
        <f>+AR55/AR52</f>
        <v>1</v>
      </c>
      <c r="AS56" s="751"/>
      <c r="AT56" s="751">
        <f>+AT55/AT52</f>
        <v>1</v>
      </c>
      <c r="AU56" s="751"/>
      <c r="AV56" s="2661">
        <f>+AV55/AV52</f>
        <v>1</v>
      </c>
      <c r="AW56" s="751"/>
      <c r="AX56" s="751">
        <f>+AX55/AX52</f>
        <v>1</v>
      </c>
      <c r="AY56" s="751"/>
      <c r="AZ56" s="2661">
        <f>+AZ55/AZ52</f>
        <v>1</v>
      </c>
      <c r="BA56" s="1980"/>
      <c r="BB56" s="1980">
        <f>+BB55/BB52</f>
        <v>1</v>
      </c>
      <c r="BC56" s="2190"/>
      <c r="BD56" s="2190">
        <f>+BD55/BD52</f>
        <v>1</v>
      </c>
      <c r="BE56" s="751"/>
      <c r="BF56" s="751">
        <f>+BF55/BF52</f>
        <v>1</v>
      </c>
      <c r="BG56" s="26"/>
      <c r="BH56" s="26"/>
      <c r="BI56" s="26"/>
      <c r="BJ56" s="26"/>
    </row>
    <row r="57" spans="1:63" ht="15.75" thickBot="1" x14ac:dyDescent="0.3">
      <c r="A57" s="183"/>
      <c r="B57" s="1063" t="s">
        <v>1648</v>
      </c>
      <c r="C57" s="1063"/>
      <c r="D57" s="981" t="s">
        <v>51</v>
      </c>
      <c r="E57" s="2371"/>
      <c r="F57" s="2365">
        <v>0.49330000000000002</v>
      </c>
      <c r="G57" s="2365"/>
      <c r="H57" s="2365">
        <v>0.4587</v>
      </c>
      <c r="I57" s="2366"/>
      <c r="J57" s="2366"/>
      <c r="K57" s="2365"/>
      <c r="L57" s="2365">
        <v>0.37230000000000002</v>
      </c>
      <c r="M57" s="2367"/>
      <c r="N57" s="3170">
        <f>(F57*F5+H57*H5+L57*L5)/N5</f>
        <v>0.4461800883957967</v>
      </c>
      <c r="O57" s="2365"/>
      <c r="P57" s="2365">
        <v>0.53180000000000005</v>
      </c>
      <c r="Q57" s="2365"/>
      <c r="R57" s="2365">
        <f>(N57*N5+P57*P5)/R5</f>
        <v>0.4710520832678784</v>
      </c>
      <c r="S57" s="2365"/>
      <c r="T57" s="3171">
        <v>0.53249999999999997</v>
      </c>
      <c r="U57" s="2365"/>
      <c r="V57" s="3171">
        <f>(R57*R5+T57*T5)/V5</f>
        <v>0.48591874872125801</v>
      </c>
      <c r="W57" s="2365"/>
      <c r="X57" s="2648">
        <v>0.52890000000000004</v>
      </c>
      <c r="Y57" s="2367"/>
      <c r="Z57" s="2367">
        <f>(P57*P5+T57*T5+X57*X5)/Z5</f>
        <v>0.53119216705006522</v>
      </c>
      <c r="AA57" s="2368"/>
      <c r="AB57" s="2369">
        <f>(N57*N5+Z57*Z5)/AB5</f>
        <v>0.49297564497664537</v>
      </c>
      <c r="AC57" s="2365"/>
      <c r="AD57" s="3171">
        <v>0.44829000000000002</v>
      </c>
      <c r="AE57" s="2365"/>
      <c r="AF57" s="3171">
        <f>(AB57*AB5+AD57*AD5)/AF5</f>
        <v>0.4870970217274716</v>
      </c>
      <c r="AG57" s="2365"/>
      <c r="AH57" s="3171">
        <v>0.44919999999999999</v>
      </c>
      <c r="AI57" s="2365"/>
      <c r="AJ57" s="3171">
        <f>(AF57*AF5+AH57*AH5)/AJ5</f>
        <v>0.48280911522665537</v>
      </c>
      <c r="AK57" s="2365"/>
      <c r="AL57" s="3171">
        <v>0.38455</v>
      </c>
      <c r="AM57" s="2367"/>
      <c r="AN57" s="2367">
        <f>(AD57*AD5+AH57*AH5+AL57*AL5)/AN5</f>
        <v>0.42564183682938544</v>
      </c>
      <c r="AO57" s="2365"/>
      <c r="AP57" s="3171">
        <f>(AL57*AL5+AJ57*AJ5)/AP5</f>
        <v>0.4715687933839452</v>
      </c>
      <c r="AQ57" s="2365"/>
      <c r="AR57" s="3171">
        <v>0.50819000000000003</v>
      </c>
      <c r="AS57" s="2365"/>
      <c r="AT57" s="3171">
        <f>(AP57*AP5+AR57*AR5)/AT5</f>
        <v>0.47548745678327131</v>
      </c>
      <c r="AU57" s="2365"/>
      <c r="AV57" s="3171">
        <v>0.48470000000000002</v>
      </c>
      <c r="AW57" s="2365"/>
      <c r="AX57" s="3171">
        <f>(AT57*AT5+AV57*AV5)/AX5</f>
        <v>0.47631433713385951</v>
      </c>
      <c r="AY57" s="2365"/>
      <c r="AZ57" s="3171">
        <v>0.45079999999999998</v>
      </c>
      <c r="BA57" s="2367"/>
      <c r="BB57" s="2367">
        <f>(AR57*AR5+AV57*AV5+AZ57*AZ5)/BB5</f>
        <v>0.48133106344321602</v>
      </c>
      <c r="BC57" s="2368"/>
      <c r="BD57" s="2369">
        <f>(AN57*AN5+BB57*BB5)/BD5</f>
        <v>0.45473813658721257</v>
      </c>
      <c r="BE57" s="2365"/>
      <c r="BF57" s="3171">
        <f>(AX57*AX5+AZ57*AZ5)/BF5</f>
        <v>0.47408821409937207</v>
      </c>
      <c r="BG57" s="26"/>
      <c r="BH57" s="26"/>
      <c r="BI57" s="26"/>
      <c r="BJ57" s="26"/>
    </row>
    <row r="58" spans="1:63" ht="18.75" x14ac:dyDescent="0.25">
      <c r="A58" s="183"/>
      <c r="B58" s="2364" t="s">
        <v>55</v>
      </c>
      <c r="C58" s="2372"/>
      <c r="D58" s="2372"/>
      <c r="E58" s="713"/>
      <c r="F58" s="713"/>
      <c r="G58" s="713"/>
      <c r="H58" s="713"/>
      <c r="I58" s="713"/>
      <c r="J58" s="713"/>
      <c r="K58" s="713"/>
      <c r="L58" s="713"/>
      <c r="M58" s="713"/>
      <c r="N58" s="713"/>
      <c r="O58" s="713"/>
      <c r="P58" s="713"/>
      <c r="Q58" s="713"/>
      <c r="R58" s="713"/>
      <c r="S58" s="713"/>
      <c r="T58" s="2675"/>
      <c r="U58" s="713"/>
      <c r="V58" s="713"/>
      <c r="W58" s="713"/>
      <c r="X58" s="2675"/>
      <c r="Y58" s="713"/>
      <c r="Z58" s="713"/>
      <c r="AA58" s="713"/>
      <c r="AB58" s="714"/>
      <c r="AC58" s="713"/>
      <c r="AD58" s="2675"/>
      <c r="AE58" s="713"/>
      <c r="AF58" s="713"/>
      <c r="AG58" s="713"/>
      <c r="AH58" s="2675"/>
      <c r="AI58" s="713"/>
      <c r="AJ58" s="713"/>
      <c r="AK58" s="713"/>
      <c r="AL58" s="2675"/>
      <c r="AM58" s="713"/>
      <c r="AN58" s="713"/>
      <c r="AO58" s="713"/>
      <c r="AP58" s="713"/>
      <c r="AQ58" s="713"/>
      <c r="AR58" s="2675"/>
      <c r="AS58" s="713"/>
      <c r="AT58" s="713"/>
      <c r="AU58" s="713"/>
      <c r="AV58" s="2675"/>
      <c r="AW58" s="713"/>
      <c r="AX58" s="713"/>
      <c r="AY58" s="5109"/>
      <c r="AZ58" s="2675"/>
      <c r="BA58" s="5109"/>
      <c r="BB58" s="5109"/>
      <c r="BC58" s="5109"/>
      <c r="BD58" s="714"/>
      <c r="BE58" s="5109"/>
      <c r="BF58" s="5109"/>
      <c r="BG58" s="26"/>
      <c r="BH58" s="26"/>
      <c r="BI58" s="26"/>
      <c r="BJ58" s="26"/>
    </row>
    <row r="59" spans="1:63" x14ac:dyDescent="0.25">
      <c r="B59" s="9" t="s">
        <v>95</v>
      </c>
      <c r="C59" s="941"/>
      <c r="D59" s="193" t="s">
        <v>226</v>
      </c>
      <c r="E59" s="193">
        <f>+E2*24</f>
        <v>720</v>
      </c>
      <c r="F59" s="193">
        <f>+F2*24</f>
        <v>720</v>
      </c>
      <c r="G59" s="193">
        <f>+G2*24</f>
        <v>744</v>
      </c>
      <c r="H59" s="193">
        <f>+H2*24</f>
        <v>744</v>
      </c>
      <c r="I59" s="712">
        <f>+E59+G59</f>
        <v>1464</v>
      </c>
      <c r="J59" s="712">
        <f>+F59+H59</f>
        <v>1464</v>
      </c>
      <c r="K59" s="193">
        <f>+K2*24</f>
        <v>720</v>
      </c>
      <c r="L59" s="193">
        <f>+L2*24</f>
        <v>720</v>
      </c>
      <c r="M59" s="1158">
        <f>+E59+G59+K59</f>
        <v>2184</v>
      </c>
      <c r="N59" s="1158">
        <f>+F59+H59+L59</f>
        <v>2184</v>
      </c>
      <c r="O59" s="193">
        <f>+O2*24</f>
        <v>744</v>
      </c>
      <c r="P59" s="193">
        <f>+P2*24</f>
        <v>744</v>
      </c>
      <c r="Q59" s="712">
        <f>+M59+O59</f>
        <v>2928</v>
      </c>
      <c r="R59" s="712">
        <f>+N59+P59</f>
        <v>2928</v>
      </c>
      <c r="S59" s="193">
        <f>+S2*24</f>
        <v>744</v>
      </c>
      <c r="T59" s="2663">
        <f>+T2*24</f>
        <v>744</v>
      </c>
      <c r="U59" s="712">
        <f>+Q59+S59</f>
        <v>3672</v>
      </c>
      <c r="V59" s="712">
        <f>+R59+T59</f>
        <v>3672</v>
      </c>
      <c r="W59" s="193">
        <f>+W2*24</f>
        <v>720</v>
      </c>
      <c r="X59" s="2663">
        <f>+X2*24</f>
        <v>720</v>
      </c>
      <c r="Y59" s="946">
        <f>+O59+S59+W59</f>
        <v>2208</v>
      </c>
      <c r="Z59" s="3578">
        <f>+P59+T59+X59</f>
        <v>2208</v>
      </c>
      <c r="AA59" s="558">
        <f>+M59+Y59</f>
        <v>4392</v>
      </c>
      <c r="AB59" s="546">
        <f>+N59+Z59</f>
        <v>4392</v>
      </c>
      <c r="AC59" s="193">
        <f>+AC2*24</f>
        <v>744</v>
      </c>
      <c r="AD59" s="2663">
        <f>+AD2*24</f>
        <v>744</v>
      </c>
      <c r="AE59" s="712">
        <f>+AA59+AC59</f>
        <v>5136</v>
      </c>
      <c r="AF59" s="712">
        <f>+AB59+AD59</f>
        <v>5136</v>
      </c>
      <c r="AG59" s="193">
        <f>+AG2*24</f>
        <v>720</v>
      </c>
      <c r="AH59" s="2663">
        <f>+AH2*24</f>
        <v>720</v>
      </c>
      <c r="AI59" s="712">
        <f>+AE59+AG59</f>
        <v>5856</v>
      </c>
      <c r="AJ59" s="712">
        <f>+AF59+AH59</f>
        <v>5856</v>
      </c>
      <c r="AK59" s="193">
        <f>+AK2*24</f>
        <v>744</v>
      </c>
      <c r="AL59" s="2663">
        <f>+AL2*24</f>
        <v>744</v>
      </c>
      <c r="AM59" s="4312">
        <f>+AC59+AG59+AK59</f>
        <v>2208</v>
      </c>
      <c r="AN59" s="4312">
        <f>+AD59+AH59+AL59</f>
        <v>2208</v>
      </c>
      <c r="AO59" s="3615">
        <f t="shared" ref="AO59" si="33">AI59+AK59</f>
        <v>6600</v>
      </c>
      <c r="AP59" s="3615">
        <f t="shared" ref="AP59" si="34">AJ59+AL59</f>
        <v>6600</v>
      </c>
      <c r="AQ59" s="193">
        <f>+AQ2*24</f>
        <v>744</v>
      </c>
      <c r="AR59" s="2663">
        <f>+AR2*24</f>
        <v>744</v>
      </c>
      <c r="AS59" s="712">
        <f>+AO59+AQ59</f>
        <v>7344</v>
      </c>
      <c r="AT59" s="712">
        <f>+AP59+AR59</f>
        <v>7344</v>
      </c>
      <c r="AU59" s="193">
        <f>+AU2*24</f>
        <v>696</v>
      </c>
      <c r="AV59" s="2663">
        <f>+AV2*24</f>
        <v>696</v>
      </c>
      <c r="AW59" s="712">
        <f>+AS59+AU59</f>
        <v>8040</v>
      </c>
      <c r="AX59" s="712">
        <f>+AT59+AV59</f>
        <v>8040</v>
      </c>
      <c r="AY59" s="193">
        <f>+AY2*24</f>
        <v>744</v>
      </c>
      <c r="AZ59" s="2663">
        <f>+AZ2*24</f>
        <v>744</v>
      </c>
      <c r="BA59" s="5104">
        <f>+AQ59+AU59+AY59</f>
        <v>2184</v>
      </c>
      <c r="BB59" s="5104">
        <f>+AR59+AV59+AZ59</f>
        <v>2184</v>
      </c>
      <c r="BC59" s="5103">
        <f t="shared" ref="BC59" si="35">+AM59+BA59</f>
        <v>4392</v>
      </c>
      <c r="BD59" s="546">
        <f t="shared" ref="BD59" si="36">+AN59+BB59</f>
        <v>4392</v>
      </c>
      <c r="BE59" s="712">
        <f>+AW59+AY59</f>
        <v>8784</v>
      </c>
      <c r="BF59" s="712">
        <f>+AX59+AZ59</f>
        <v>8784</v>
      </c>
      <c r="BG59" s="26"/>
      <c r="BH59" s="26"/>
      <c r="BI59" s="26"/>
      <c r="BJ59" s="26"/>
    </row>
    <row r="60" spans="1:63" x14ac:dyDescent="0.25">
      <c r="B60" s="9" t="s">
        <v>310</v>
      </c>
      <c r="C60" s="941"/>
      <c r="D60" s="193" t="s">
        <v>51</v>
      </c>
      <c r="E60" s="131">
        <f t="shared" ref="E60:AB60" si="37">+E61/E59*100</f>
        <v>93.333333333333329</v>
      </c>
      <c r="F60" s="131">
        <f t="shared" si="37"/>
        <v>85.879629629629633</v>
      </c>
      <c r="G60" s="131">
        <f t="shared" ref="G60:H60" si="38">+G61/G59*100</f>
        <v>77.41935483870968</v>
      </c>
      <c r="H60" s="131">
        <f t="shared" si="38"/>
        <v>75.266577060931908</v>
      </c>
      <c r="I60" s="331">
        <f t="shared" si="37"/>
        <v>85.245901639344254</v>
      </c>
      <c r="J60" s="331">
        <f t="shared" si="37"/>
        <v>80.4861111111111</v>
      </c>
      <c r="K60" s="131">
        <f t="shared" si="37"/>
        <v>60</v>
      </c>
      <c r="L60" s="131">
        <f t="shared" si="37"/>
        <v>73.671296296296305</v>
      </c>
      <c r="M60" s="427">
        <f t="shared" si="37"/>
        <v>76.923076923076934</v>
      </c>
      <c r="N60" s="427">
        <f t="shared" si="37"/>
        <v>78.239468864468861</v>
      </c>
      <c r="O60" s="131">
        <f t="shared" ref="O60:P60" si="39">+O61/O59*100</f>
        <v>93.548387096774192</v>
      </c>
      <c r="P60" s="131">
        <f t="shared" si="39"/>
        <v>88.429659498207883</v>
      </c>
      <c r="Q60" s="331">
        <f t="shared" si="37"/>
        <v>81.147540983606561</v>
      </c>
      <c r="R60" s="331">
        <f t="shared" si="37"/>
        <v>80.8287795992714</v>
      </c>
      <c r="S60" s="131">
        <f t="shared" si="37"/>
        <v>93.548387096774192</v>
      </c>
      <c r="T60" s="2657">
        <f t="shared" si="37"/>
        <v>89.836469534050167</v>
      </c>
      <c r="U60" s="331">
        <f t="shared" ref="U60:X60" si="40">+U61/U59*100</f>
        <v>83.66013071895425</v>
      </c>
      <c r="V60" s="331">
        <f t="shared" si="40"/>
        <v>82.653867102396504</v>
      </c>
      <c r="W60" s="131">
        <f t="shared" si="40"/>
        <v>93.333333333333329</v>
      </c>
      <c r="X60" s="2657">
        <f t="shared" si="40"/>
        <v>84.018518518518519</v>
      </c>
      <c r="Y60" s="427">
        <f t="shared" si="37"/>
        <v>93.478260869565219</v>
      </c>
      <c r="Z60" s="427">
        <f t="shared" si="37"/>
        <v>87.465277777777771</v>
      </c>
      <c r="AA60" s="559">
        <f t="shared" si="37"/>
        <v>85.245901639344254</v>
      </c>
      <c r="AB60" s="568">
        <f t="shared" si="37"/>
        <v>82.87758044930176</v>
      </c>
      <c r="AC60" s="131">
        <f t="shared" ref="AC60:AF60" si="41">+AC61/AC59*100</f>
        <v>93.548387096774192</v>
      </c>
      <c r="AD60" s="2657">
        <f t="shared" si="41"/>
        <v>78.725358422939067</v>
      </c>
      <c r="AE60" s="331">
        <f t="shared" si="41"/>
        <v>86.44859813084112</v>
      </c>
      <c r="AF60" s="331">
        <f t="shared" si="41"/>
        <v>82.276090342679126</v>
      </c>
      <c r="AG60" s="131">
        <f t="shared" ref="AG60:AJ60" si="42">+AG61/AG59*100</f>
        <v>93.333333333333329</v>
      </c>
      <c r="AH60" s="2657">
        <f t="shared" si="42"/>
        <v>78.731481481481481</v>
      </c>
      <c r="AI60" s="331">
        <f t="shared" si="42"/>
        <v>87.295081967213122</v>
      </c>
      <c r="AJ60" s="331">
        <f t="shared" si="42"/>
        <v>81.840277777777786</v>
      </c>
      <c r="AK60" s="131">
        <f t="shared" ref="AK60:AV60" si="43">+AK61/AK59*100</f>
        <v>93.548387096774192</v>
      </c>
      <c r="AL60" s="2657">
        <f t="shared" si="43"/>
        <v>88.794802867383524</v>
      </c>
      <c r="AM60" s="427">
        <f t="shared" si="43"/>
        <v>93.478260869565219</v>
      </c>
      <c r="AN60" s="427">
        <f t="shared" si="43"/>
        <v>82.120320048309182</v>
      </c>
      <c r="AO60" s="331">
        <f t="shared" si="43"/>
        <v>88</v>
      </c>
      <c r="AP60" s="331">
        <f t="shared" si="43"/>
        <v>82.624242424242425</v>
      </c>
      <c r="AQ60" s="131">
        <f t="shared" ref="AQ60:AR60" si="44">+AQ61/AQ59*100</f>
        <v>93.548387096774192</v>
      </c>
      <c r="AR60" s="2657">
        <f t="shared" si="44"/>
        <v>84.681899641577075</v>
      </c>
      <c r="AS60" s="331">
        <f t="shared" si="43"/>
        <v>88.562091503267965</v>
      </c>
      <c r="AT60" s="331">
        <f t="shared" si="43"/>
        <v>82.832697893972409</v>
      </c>
      <c r="AU60" s="131">
        <f t="shared" si="43"/>
        <v>93.103448275862064</v>
      </c>
      <c r="AV60" s="2657">
        <f t="shared" si="43"/>
        <v>88.915229885057485</v>
      </c>
      <c r="AW60" s="331">
        <f t="shared" ref="AW60:BD60" si="45">+AW61/AW59*100</f>
        <v>88.955223880597018</v>
      </c>
      <c r="AX60" s="331">
        <f t="shared" si="45"/>
        <v>83.359245439469333</v>
      </c>
      <c r="AY60" s="131">
        <f t="shared" si="45"/>
        <v>93.548387096774192</v>
      </c>
      <c r="AZ60" s="2657">
        <f t="shared" si="45"/>
        <v>88.369175627240153</v>
      </c>
      <c r="BA60" s="427">
        <f t="shared" si="45"/>
        <v>93.406593406593402</v>
      </c>
      <c r="BB60" s="427">
        <f t="shared" si="45"/>
        <v>87.287087912087912</v>
      </c>
      <c r="BC60" s="559">
        <f t="shared" si="45"/>
        <v>93.442622950819683</v>
      </c>
      <c r="BD60" s="568">
        <f t="shared" si="45"/>
        <v>84.689587128111725</v>
      </c>
      <c r="BE60" s="331">
        <f t="shared" ref="BE60:BF60" si="46">+BE61/BE59*100</f>
        <v>89.344262295081961</v>
      </c>
      <c r="BF60" s="331">
        <f t="shared" si="46"/>
        <v>83.78358378870675</v>
      </c>
      <c r="BG60" s="26"/>
      <c r="BH60" s="26"/>
      <c r="BI60" s="26"/>
      <c r="BJ60" s="26"/>
    </row>
    <row r="61" spans="1:63" x14ac:dyDescent="0.25">
      <c r="B61" s="9" t="s">
        <v>309</v>
      </c>
      <c r="C61" s="941"/>
      <c r="D61" s="193" t="s">
        <v>226</v>
      </c>
      <c r="E61" s="242">
        <v>672</v>
      </c>
      <c r="F61" s="1411">
        <v>618.33333333333337</v>
      </c>
      <c r="G61" s="242">
        <v>576</v>
      </c>
      <c r="H61" s="1411">
        <v>559.98333333333335</v>
      </c>
      <c r="I61" s="712">
        <f>+E61+G61</f>
        <v>1248</v>
      </c>
      <c r="J61" s="712">
        <f>+F61+H61</f>
        <v>1178.3166666666666</v>
      </c>
      <c r="K61" s="242">
        <v>432</v>
      </c>
      <c r="L61" s="1411">
        <v>530.43333333333339</v>
      </c>
      <c r="M61" s="1158">
        <f>+E61+G61+K61</f>
        <v>1680</v>
      </c>
      <c r="N61" s="946">
        <f>+F61+H61+L61</f>
        <v>1708.75</v>
      </c>
      <c r="O61" s="242">
        <v>696</v>
      </c>
      <c r="P61" s="1411">
        <v>657.91666666666663</v>
      </c>
      <c r="Q61" s="712">
        <f>+M61+O61</f>
        <v>2376</v>
      </c>
      <c r="R61" s="947">
        <f>+N61+P61</f>
        <v>2366.6666666666665</v>
      </c>
      <c r="S61" s="242">
        <v>696</v>
      </c>
      <c r="T61" s="2627">
        <v>668.38333333333321</v>
      </c>
      <c r="U61" s="712">
        <f>+Q61+S61</f>
        <v>3072</v>
      </c>
      <c r="V61" s="2565">
        <f>+R61+T61</f>
        <v>3035.0499999999997</v>
      </c>
      <c r="W61" s="242">
        <v>672</v>
      </c>
      <c r="X61" s="2627">
        <v>604.93333333333339</v>
      </c>
      <c r="Y61" s="3578">
        <f>+O61+S61+W61</f>
        <v>2064</v>
      </c>
      <c r="Z61" s="3578">
        <f>+P61+T61+X61</f>
        <v>1931.2333333333331</v>
      </c>
      <c r="AA61" s="558">
        <f>+M61+Y61</f>
        <v>3744</v>
      </c>
      <c r="AB61" s="546">
        <f>+N61+Z61</f>
        <v>3639.9833333333331</v>
      </c>
      <c r="AC61" s="242">
        <v>696</v>
      </c>
      <c r="AD61" s="2627">
        <v>585.71666666666658</v>
      </c>
      <c r="AE61" s="712">
        <f>+AA61+AC61</f>
        <v>4440</v>
      </c>
      <c r="AF61" s="3615">
        <f>+AB61+AD61</f>
        <v>4225.7</v>
      </c>
      <c r="AG61" s="242">
        <v>672</v>
      </c>
      <c r="AH61" s="2627">
        <v>566.86666666666667</v>
      </c>
      <c r="AI61" s="712">
        <f>+AE61+AG61</f>
        <v>5112</v>
      </c>
      <c r="AJ61" s="3615">
        <f>+AF61+AH61</f>
        <v>4792.5666666666666</v>
      </c>
      <c r="AK61" s="242">
        <v>696</v>
      </c>
      <c r="AL61" s="2627">
        <v>660.63333333333344</v>
      </c>
      <c r="AM61" s="4312">
        <f>+AC61+AG61+AK61</f>
        <v>2064</v>
      </c>
      <c r="AN61" s="4312">
        <f>+AD61+AH61+AL61</f>
        <v>1813.2166666666667</v>
      </c>
      <c r="AO61" s="3615">
        <f t="shared" ref="AO61" si="47">AI61+AK61</f>
        <v>5808</v>
      </c>
      <c r="AP61" s="3615">
        <f t="shared" ref="AP61" si="48">AJ61+AL61</f>
        <v>5453.2</v>
      </c>
      <c r="AQ61" s="242">
        <v>696</v>
      </c>
      <c r="AR61" s="2627">
        <v>630.03333333333342</v>
      </c>
      <c r="AS61" s="712">
        <f>+AO61+AQ61</f>
        <v>6504</v>
      </c>
      <c r="AT61" s="3615">
        <f>+AP61+AR61</f>
        <v>6083.2333333333336</v>
      </c>
      <c r="AU61" s="242">
        <v>648</v>
      </c>
      <c r="AV61" s="2627">
        <v>618.85</v>
      </c>
      <c r="AW61" s="712">
        <f>+AS61+AU61</f>
        <v>7152</v>
      </c>
      <c r="AX61" s="3615">
        <f>+AT61+AV61</f>
        <v>6702.0833333333339</v>
      </c>
      <c r="AY61" s="242">
        <v>696</v>
      </c>
      <c r="AZ61" s="2627">
        <v>657.4666666666667</v>
      </c>
      <c r="BA61" s="5104">
        <f>+AQ61+AU61+AY61</f>
        <v>2040</v>
      </c>
      <c r="BB61" s="5104">
        <f>+AR61+AV61+AZ61</f>
        <v>1906.3500000000001</v>
      </c>
      <c r="BC61" s="5103">
        <f t="shared" ref="BC61" si="49">+AM61+BA61</f>
        <v>4104</v>
      </c>
      <c r="BD61" s="546">
        <f t="shared" ref="BD61" si="50">+AN61+BB61</f>
        <v>3719.5666666666666</v>
      </c>
      <c r="BE61" s="712">
        <f>+AW61+AY61</f>
        <v>7848</v>
      </c>
      <c r="BF61" s="3615">
        <f>+AX61+AZ61</f>
        <v>7359.5500000000011</v>
      </c>
      <c r="BG61" s="26"/>
      <c r="BH61" s="26"/>
      <c r="BI61" s="26"/>
      <c r="BJ61" s="26"/>
    </row>
    <row r="62" spans="1:63" x14ac:dyDescent="0.25">
      <c r="B62" s="9" t="s">
        <v>311</v>
      </c>
      <c r="C62" s="941"/>
      <c r="D62" s="193" t="s">
        <v>51</v>
      </c>
      <c r="E62" s="227">
        <f t="shared" ref="E62:AB62" si="51">+E63/E61*100</f>
        <v>83.333333333333343</v>
      </c>
      <c r="F62" s="227">
        <f t="shared" si="51"/>
        <v>85.989218328840977</v>
      </c>
      <c r="G62" s="227">
        <f t="shared" ref="G62:H62" si="52">+G63/G61*100</f>
        <v>83.333333333333343</v>
      </c>
      <c r="H62" s="227">
        <f t="shared" si="52"/>
        <v>76.996339176761211</v>
      </c>
      <c r="I62" s="331">
        <f t="shared" si="51"/>
        <v>83.333333333333343</v>
      </c>
      <c r="J62" s="331">
        <f t="shared" si="51"/>
        <v>81.715441519682045</v>
      </c>
      <c r="K62" s="227">
        <f t="shared" si="51"/>
        <v>83.333333333333343</v>
      </c>
      <c r="L62" s="227">
        <f t="shared" si="51"/>
        <v>78.800351913529795</v>
      </c>
      <c r="M62" s="427">
        <f t="shared" si="51"/>
        <v>83.333333333333343</v>
      </c>
      <c r="N62" s="427">
        <f t="shared" si="51"/>
        <v>80.810534016093627</v>
      </c>
      <c r="O62" s="227">
        <f t="shared" ref="O62:P62" si="53">+O63/O61*100</f>
        <v>83.333333333333343</v>
      </c>
      <c r="P62" s="227">
        <f t="shared" si="53"/>
        <v>80.734642178594044</v>
      </c>
      <c r="Q62" s="331">
        <f t="shared" si="51"/>
        <v>83.333333333333343</v>
      </c>
      <c r="R62" s="331">
        <f t="shared" si="51"/>
        <v>80.789436619718302</v>
      </c>
      <c r="S62" s="227">
        <f t="shared" si="51"/>
        <v>83.333333333333343</v>
      </c>
      <c r="T62" s="2657">
        <f t="shared" si="51"/>
        <v>87.961000423908445</v>
      </c>
      <c r="U62" s="331">
        <f t="shared" ref="U62:X62" si="54">+U63/U61*100</f>
        <v>83.333333333333343</v>
      </c>
      <c r="V62" s="331">
        <f t="shared" si="54"/>
        <v>82.368769322855741</v>
      </c>
      <c r="W62" s="227">
        <f t="shared" si="54"/>
        <v>83.333333333333343</v>
      </c>
      <c r="X62" s="2657">
        <f t="shared" si="54"/>
        <v>79.554220850782457</v>
      </c>
      <c r="Y62" s="427">
        <f t="shared" si="51"/>
        <v>83.333333333333343</v>
      </c>
      <c r="Z62" s="427">
        <f t="shared" si="51"/>
        <v>82.865871550132042</v>
      </c>
      <c r="AA62" s="559">
        <f t="shared" si="51"/>
        <v>83.333333333333343</v>
      </c>
      <c r="AB62" s="568">
        <f t="shared" si="51"/>
        <v>81.901016030293178</v>
      </c>
      <c r="AC62" s="227">
        <f t="shared" ref="AC62:AF62" si="55">+AC63/AC61*100</f>
        <v>83.333333333333343</v>
      </c>
      <c r="AD62" s="2657">
        <f t="shared" si="55"/>
        <v>77.355376604160156</v>
      </c>
      <c r="AE62" s="331">
        <f t="shared" si="55"/>
        <v>83.333333333333343</v>
      </c>
      <c r="AF62" s="331">
        <f t="shared" si="55"/>
        <v>81.270953135969592</v>
      </c>
      <c r="AG62" s="227">
        <f t="shared" ref="AG62:AJ62" si="56">+AG63/AG61*100</f>
        <v>83.333333333333343</v>
      </c>
      <c r="AH62" s="2657">
        <f t="shared" si="56"/>
        <v>79.460190520992597</v>
      </c>
      <c r="AI62" s="331">
        <f t="shared" si="56"/>
        <v>83.333333333333343</v>
      </c>
      <c r="AJ62" s="331">
        <f t="shared" si="56"/>
        <v>81.056775423050993</v>
      </c>
      <c r="AK62" s="227">
        <f t="shared" ref="AK62:AV62" si="57">+AK63/AK61*100</f>
        <v>83.333333333333343</v>
      </c>
      <c r="AL62" s="2657">
        <f t="shared" si="57"/>
        <v>79.625611786669339</v>
      </c>
      <c r="AM62" s="427">
        <f t="shared" si="57"/>
        <v>83.333333333333343</v>
      </c>
      <c r="AN62" s="427">
        <f t="shared" si="57"/>
        <v>78.840550403059012</v>
      </c>
      <c r="AO62" s="331">
        <f t="shared" si="57"/>
        <v>83.333333333333343</v>
      </c>
      <c r="AP62" s="331">
        <f t="shared" si="57"/>
        <v>80.883395682046029</v>
      </c>
      <c r="AQ62" s="227">
        <f t="shared" ref="AQ62:AR62" si="58">+AQ63/AQ61*100</f>
        <v>83.333333333333343</v>
      </c>
      <c r="AR62" s="2657">
        <f t="shared" si="58"/>
        <v>86.516586423998717</v>
      </c>
      <c r="AS62" s="331">
        <f t="shared" si="57"/>
        <v>83.333333333333343</v>
      </c>
      <c r="AT62" s="331">
        <f t="shared" si="57"/>
        <v>81.466818632635054</v>
      </c>
      <c r="AU62" s="227">
        <f t="shared" si="57"/>
        <v>83.333333333333343</v>
      </c>
      <c r="AV62" s="2657">
        <f t="shared" si="57"/>
        <v>80.032856642697482</v>
      </c>
      <c r="AW62" s="331">
        <f t="shared" ref="AW62:BD62" si="59">+AW63/AW61*100</f>
        <v>83.333333333333343</v>
      </c>
      <c r="AX62" s="331">
        <f t="shared" si="59"/>
        <v>81.334410941871312</v>
      </c>
      <c r="AY62" s="227">
        <f t="shared" si="59"/>
        <v>83.333333333333343</v>
      </c>
      <c r="AZ62" s="2657">
        <f t="shared" si="59"/>
        <v>81.608700060839595</v>
      </c>
      <c r="BA62" s="427">
        <f t="shared" si="59"/>
        <v>83.333333333333343</v>
      </c>
      <c r="BB62" s="427">
        <f t="shared" si="59"/>
        <v>82.719157902099141</v>
      </c>
      <c r="BC62" s="559">
        <f t="shared" si="59"/>
        <v>83.333333333333343</v>
      </c>
      <c r="BD62" s="568">
        <f t="shared" si="59"/>
        <v>80.828411911781856</v>
      </c>
      <c r="BE62" s="331">
        <f t="shared" ref="BE62:BF62" si="60">+BE63/BE61*100</f>
        <v>83.333333333333343</v>
      </c>
      <c r="BF62" s="331">
        <f t="shared" si="60"/>
        <v>81.35891460755073</v>
      </c>
      <c r="BG62" s="26"/>
      <c r="BH62" s="26"/>
      <c r="BI62" s="26"/>
      <c r="BJ62" s="26"/>
    </row>
    <row r="63" spans="1:63" x14ac:dyDescent="0.25">
      <c r="B63" s="9" t="s">
        <v>312</v>
      </c>
      <c r="C63" s="941"/>
      <c r="D63" s="193" t="s">
        <v>226</v>
      </c>
      <c r="E63" s="1411">
        <v>560</v>
      </c>
      <c r="F63" s="1411">
        <v>531.70000000000005</v>
      </c>
      <c r="G63" s="1411">
        <v>480</v>
      </c>
      <c r="H63" s="1411">
        <v>431.16666666666663</v>
      </c>
      <c r="I63" s="947">
        <f>+E63+G63</f>
        <v>1040</v>
      </c>
      <c r="J63" s="712">
        <f>+F63+H63</f>
        <v>962.86666666666667</v>
      </c>
      <c r="K63" s="1411">
        <v>360</v>
      </c>
      <c r="L63" s="1411">
        <v>417.98333333333329</v>
      </c>
      <c r="M63" s="1158">
        <f>+E63+G63+K63</f>
        <v>1400</v>
      </c>
      <c r="N63" s="3578">
        <f>+F63+H63+L63</f>
        <v>1380.85</v>
      </c>
      <c r="O63" s="1411">
        <v>580</v>
      </c>
      <c r="P63" s="1411">
        <v>531.16666666666663</v>
      </c>
      <c r="Q63" s="712">
        <f>+M63+O63</f>
        <v>1980</v>
      </c>
      <c r="R63" s="947">
        <f>+N63+P63</f>
        <v>1912.0166666666664</v>
      </c>
      <c r="S63" s="2567">
        <v>580</v>
      </c>
      <c r="T63" s="2627">
        <v>587.91666666666663</v>
      </c>
      <c r="U63" s="712">
        <f>+Q63+S63</f>
        <v>2560</v>
      </c>
      <c r="V63" s="2565">
        <f>+R63+T63</f>
        <v>2499.9333333333329</v>
      </c>
      <c r="W63" s="3296">
        <v>560</v>
      </c>
      <c r="X63" s="2627">
        <v>481.25000000000006</v>
      </c>
      <c r="Y63" s="3578">
        <f>+O63+S63+W63</f>
        <v>1720</v>
      </c>
      <c r="Z63" s="3578">
        <f>+P63+T63+X63</f>
        <v>1600.3333333333333</v>
      </c>
      <c r="AA63" s="558">
        <f>+M63+Y63</f>
        <v>3120</v>
      </c>
      <c r="AB63" s="546">
        <f>+N63+Z63</f>
        <v>2981.1833333333334</v>
      </c>
      <c r="AC63" s="3616">
        <v>580</v>
      </c>
      <c r="AD63" s="2627">
        <v>453.08333333333331</v>
      </c>
      <c r="AE63" s="712">
        <f>+AA63+AC63</f>
        <v>3700</v>
      </c>
      <c r="AF63" s="3615">
        <f>+AB63+AD63</f>
        <v>3434.2666666666669</v>
      </c>
      <c r="AG63" s="3616">
        <v>560</v>
      </c>
      <c r="AH63" s="2627">
        <v>450.43333333333339</v>
      </c>
      <c r="AI63" s="712">
        <f>+AE63+AG63</f>
        <v>4260</v>
      </c>
      <c r="AJ63" s="3615">
        <f>+AF63+AH63</f>
        <v>3884.7000000000003</v>
      </c>
      <c r="AK63" s="3616">
        <v>580</v>
      </c>
      <c r="AL63" s="2627">
        <v>526.0333333333333</v>
      </c>
      <c r="AM63" s="4312">
        <f>+AC63+AG63+AK63</f>
        <v>1720</v>
      </c>
      <c r="AN63" s="4312">
        <f>+AD63+AH63+AL63</f>
        <v>1429.55</v>
      </c>
      <c r="AO63" s="3615">
        <f t="shared" ref="AO63:AP63" si="61">AI63+AK63</f>
        <v>4840</v>
      </c>
      <c r="AP63" s="3615">
        <f t="shared" si="61"/>
        <v>4410.7333333333336</v>
      </c>
      <c r="AQ63" s="3616">
        <v>580</v>
      </c>
      <c r="AR63" s="2627">
        <v>545.08333333333337</v>
      </c>
      <c r="AS63" s="712">
        <f>+AO63+AQ63</f>
        <v>5420</v>
      </c>
      <c r="AT63" s="3615">
        <f>+AP63+AR63</f>
        <v>4955.8166666666666</v>
      </c>
      <c r="AU63" s="3616">
        <v>540</v>
      </c>
      <c r="AV63" s="2627">
        <v>495.28333333333336</v>
      </c>
      <c r="AW63" s="712">
        <f>+AS63+AU63</f>
        <v>5960</v>
      </c>
      <c r="AX63" s="3615">
        <f>+AT63+AV63</f>
        <v>5451.1</v>
      </c>
      <c r="AY63" s="3616">
        <v>580</v>
      </c>
      <c r="AZ63" s="2627">
        <v>536.55000000000007</v>
      </c>
      <c r="BA63" s="5104">
        <f>+AQ63+AU63+AY63</f>
        <v>1700</v>
      </c>
      <c r="BB63" s="5104">
        <f>+AR63+AV63+AZ63</f>
        <v>1576.916666666667</v>
      </c>
      <c r="BC63" s="5103">
        <f t="shared" ref="BC63" si="62">+AM63+BA63</f>
        <v>3420</v>
      </c>
      <c r="BD63" s="546">
        <f t="shared" ref="BD63" si="63">+AN63+BB63</f>
        <v>3006.4666666666672</v>
      </c>
      <c r="BE63" s="712">
        <f>+AW63+AY63</f>
        <v>6540</v>
      </c>
      <c r="BF63" s="3615">
        <f>+AX63+AZ63</f>
        <v>5987.6500000000005</v>
      </c>
      <c r="BG63" s="26"/>
      <c r="BH63" s="26"/>
      <c r="BI63" s="26"/>
      <c r="BJ63" s="26"/>
    </row>
    <row r="64" spans="1:63" x14ac:dyDescent="0.25">
      <c r="B64" s="9" t="s">
        <v>519</v>
      </c>
      <c r="C64" s="941"/>
      <c r="D64" s="193" t="s">
        <v>518</v>
      </c>
      <c r="E64" s="227">
        <f t="shared" ref="E64:AB64" si="64">+E63/(E61/24)</f>
        <v>20</v>
      </c>
      <c r="F64" s="227">
        <f t="shared" si="64"/>
        <v>20.637412398921835</v>
      </c>
      <c r="G64" s="227">
        <f t="shared" ref="G64:H64" si="65">+G63/(G61/24)</f>
        <v>20</v>
      </c>
      <c r="H64" s="227">
        <f t="shared" si="65"/>
        <v>18.479121402422688</v>
      </c>
      <c r="I64" s="331">
        <f t="shared" si="64"/>
        <v>20</v>
      </c>
      <c r="J64" s="331">
        <f t="shared" si="64"/>
        <v>19.61170596472369</v>
      </c>
      <c r="K64" s="227">
        <f t="shared" si="64"/>
        <v>20</v>
      </c>
      <c r="L64" s="227">
        <f t="shared" si="64"/>
        <v>18.912084459247151</v>
      </c>
      <c r="M64" s="427">
        <f t="shared" si="64"/>
        <v>20</v>
      </c>
      <c r="N64" s="427">
        <f t="shared" si="64"/>
        <v>19.394528163862471</v>
      </c>
      <c r="O64" s="227">
        <f t="shared" ref="O64:P64" si="66">+O63/(O61/24)</f>
        <v>20</v>
      </c>
      <c r="P64" s="227">
        <f t="shared" si="66"/>
        <v>19.376314122862571</v>
      </c>
      <c r="Q64" s="331">
        <f t="shared" si="64"/>
        <v>20</v>
      </c>
      <c r="R64" s="331">
        <f t="shared" si="64"/>
        <v>19.389464788732393</v>
      </c>
      <c r="S64" s="227">
        <f t="shared" si="64"/>
        <v>20</v>
      </c>
      <c r="T64" s="2657">
        <f t="shared" si="64"/>
        <v>21.110640101738028</v>
      </c>
      <c r="U64" s="331">
        <f t="shared" ref="U64:X64" si="67">+U63/(U61/24)</f>
        <v>20</v>
      </c>
      <c r="V64" s="331">
        <f t="shared" si="67"/>
        <v>19.768504637485378</v>
      </c>
      <c r="W64" s="227">
        <f t="shared" si="67"/>
        <v>20</v>
      </c>
      <c r="X64" s="2657">
        <f t="shared" si="67"/>
        <v>19.093013004187789</v>
      </c>
      <c r="Y64" s="427">
        <f t="shared" si="64"/>
        <v>20</v>
      </c>
      <c r="Z64" s="427">
        <f t="shared" si="64"/>
        <v>19.887809172031691</v>
      </c>
      <c r="AA64" s="559">
        <f t="shared" si="64"/>
        <v>20</v>
      </c>
      <c r="AB64" s="568">
        <f t="shared" si="64"/>
        <v>19.656243847270364</v>
      </c>
      <c r="AC64" s="227">
        <f t="shared" ref="AC64:AF64" si="68">+AC63/(AC61/24)</f>
        <v>20</v>
      </c>
      <c r="AD64" s="2657">
        <f t="shared" si="68"/>
        <v>18.565290384998438</v>
      </c>
      <c r="AE64" s="331">
        <f t="shared" si="68"/>
        <v>20</v>
      </c>
      <c r="AF64" s="331">
        <f t="shared" si="68"/>
        <v>19.5050287526327</v>
      </c>
      <c r="AG64" s="227">
        <f t="shared" ref="AG64:AJ64" si="69">+AG63/(AG61/24)</f>
        <v>20</v>
      </c>
      <c r="AH64" s="2657">
        <f t="shared" si="69"/>
        <v>19.070445725038226</v>
      </c>
      <c r="AI64" s="331">
        <f t="shared" si="69"/>
        <v>20</v>
      </c>
      <c r="AJ64" s="331">
        <f t="shared" si="69"/>
        <v>19.453626101532237</v>
      </c>
      <c r="AK64" s="227">
        <f t="shared" ref="AK64:AV64" si="70">+AK63/(AK61/24)</f>
        <v>20</v>
      </c>
      <c r="AL64" s="2657">
        <f t="shared" si="70"/>
        <v>19.110146828800641</v>
      </c>
      <c r="AM64" s="427">
        <f t="shared" si="70"/>
        <v>20</v>
      </c>
      <c r="AN64" s="427">
        <f t="shared" si="70"/>
        <v>18.921732096734164</v>
      </c>
      <c r="AO64" s="331">
        <f t="shared" si="70"/>
        <v>20</v>
      </c>
      <c r="AP64" s="331">
        <f t="shared" si="70"/>
        <v>19.412014963691046</v>
      </c>
      <c r="AQ64" s="227">
        <f t="shared" ref="AQ64:AR64" si="71">+AQ63/(AQ61/24)</f>
        <v>20</v>
      </c>
      <c r="AR64" s="2657">
        <f t="shared" si="71"/>
        <v>20.763980741759692</v>
      </c>
      <c r="AS64" s="331">
        <f t="shared" si="70"/>
        <v>20</v>
      </c>
      <c r="AT64" s="331">
        <f t="shared" si="70"/>
        <v>19.552036471832412</v>
      </c>
      <c r="AU64" s="227">
        <f t="shared" si="70"/>
        <v>20</v>
      </c>
      <c r="AV64" s="2657">
        <f t="shared" si="70"/>
        <v>19.207885594247397</v>
      </c>
      <c r="AW64" s="331">
        <f t="shared" ref="AW64:BD64" si="72">+AW63/(AW61/24)</f>
        <v>20</v>
      </c>
      <c r="AX64" s="331">
        <f t="shared" si="72"/>
        <v>19.520258626049117</v>
      </c>
      <c r="AY64" s="227">
        <f t="shared" si="72"/>
        <v>20</v>
      </c>
      <c r="AZ64" s="2657">
        <f t="shared" si="72"/>
        <v>19.586088014601501</v>
      </c>
      <c r="BA64" s="427">
        <f t="shared" si="72"/>
        <v>20</v>
      </c>
      <c r="BB64" s="427">
        <f t="shared" si="72"/>
        <v>19.852597896503791</v>
      </c>
      <c r="BC64" s="559">
        <f t="shared" si="72"/>
        <v>20</v>
      </c>
      <c r="BD64" s="568">
        <f t="shared" si="72"/>
        <v>19.398818858827642</v>
      </c>
      <c r="BE64" s="331">
        <f t="shared" ref="BE64:BF64" si="73">+BE63/(BE61/24)</f>
        <v>20</v>
      </c>
      <c r="BF64" s="331">
        <f t="shared" si="73"/>
        <v>19.526139505812175</v>
      </c>
      <c r="BG64" s="26"/>
      <c r="BH64" s="26"/>
      <c r="BI64" s="26"/>
      <c r="BJ64" s="26"/>
    </row>
    <row r="65" spans="1:62" x14ac:dyDescent="0.25">
      <c r="A65">
        <v>0.28799999999999998</v>
      </c>
      <c r="B65" s="9" t="s">
        <v>313</v>
      </c>
      <c r="C65" s="941"/>
      <c r="D65" s="193" t="s">
        <v>1143</v>
      </c>
      <c r="E65" s="327">
        <f>+$A$65</f>
        <v>0.28799999999999998</v>
      </c>
      <c r="F65" s="327">
        <v>0.23</v>
      </c>
      <c r="G65" s="327">
        <f>+$A$65</f>
        <v>0.28799999999999998</v>
      </c>
      <c r="H65" s="327">
        <v>0.21199999999999999</v>
      </c>
      <c r="I65" s="457">
        <f>+((E65*E5)+(G65*G5))/I5</f>
        <v>0.28799999999999998</v>
      </c>
      <c r="J65" s="457">
        <f>+((F65*F5)+(H65*H5))/J5</f>
        <v>0.22200515862780501</v>
      </c>
      <c r="K65" s="327">
        <f>+$A$65</f>
        <v>0.28799999999999998</v>
      </c>
      <c r="L65" s="327">
        <v>0.308</v>
      </c>
      <c r="M65" s="458">
        <f>+((E65*E5)+(G65*G5)+(K65*K5))/M5</f>
        <v>0.28799999999999998</v>
      </c>
      <c r="N65" s="458">
        <f>+((F65*F5)+(H65*H5)+(L65*L5))/N5</f>
        <v>0.24785441753483967</v>
      </c>
      <c r="O65" s="327">
        <f>+$A$65</f>
        <v>0.28799999999999998</v>
      </c>
      <c r="P65" s="327">
        <v>0.27100000000000002</v>
      </c>
      <c r="Q65" s="457">
        <f>+((M65*M5)+(O65*O5))/Q5</f>
        <v>0.28799999999999992</v>
      </c>
      <c r="R65" s="457">
        <f>+((N65*N5)+(P65*P5))/R5</f>
        <v>0.25457804989556904</v>
      </c>
      <c r="S65" s="327">
        <f>+$A$65</f>
        <v>0.28799999999999998</v>
      </c>
      <c r="T65" s="2664">
        <v>0.216</v>
      </c>
      <c r="U65" s="457">
        <f>+((Q65*Q5)+(S65*S5))/U5</f>
        <v>0.28799999999999998</v>
      </c>
      <c r="V65" s="457">
        <f>+((R65*R5)+(T65*T5))/V5</f>
        <v>0.245244503826929</v>
      </c>
      <c r="W65" s="327">
        <f>+$A$65</f>
        <v>0.28799999999999998</v>
      </c>
      <c r="X65" s="2664">
        <v>0.23599999999999999</v>
      </c>
      <c r="Y65" s="427">
        <f>+((O65*O5)+(S65*S5)+(W65*W5))/Y5</f>
        <v>0.28799999999999992</v>
      </c>
      <c r="Z65" s="427">
        <f>+((P65*P5)+(T65*T5)+(X65*X5))/Z5</f>
        <v>0.24035570060262598</v>
      </c>
      <c r="AA65" s="796">
        <f>+((M65*M5)+(Y65*Y5))/AA5</f>
        <v>0.28799999999999992</v>
      </c>
      <c r="AB65" s="796">
        <f>+((N65*N5)+(Z65*Z5))/AB5</f>
        <v>0.24372669076894962</v>
      </c>
      <c r="AC65" s="327">
        <f>+$A$65</f>
        <v>0.28799999999999998</v>
      </c>
      <c r="AD65" s="2664">
        <v>0.26200000000000001</v>
      </c>
      <c r="AE65" s="457">
        <f>+((AA65*AA5)+(AC65*AC5))/AE5</f>
        <v>0.28799999999999992</v>
      </c>
      <c r="AF65" s="457">
        <f>+((AB65*AB5)+(AD65*AD5))/AF5</f>
        <v>0.24613063728334231</v>
      </c>
      <c r="AG65" s="327">
        <f>+$A$65</f>
        <v>0.28799999999999998</v>
      </c>
      <c r="AH65" s="2664">
        <v>0.27700000000000002</v>
      </c>
      <c r="AI65" s="457">
        <f>+((AE65*AE5)+(AG65*AG5))/AI5</f>
        <v>0.28799999999999998</v>
      </c>
      <c r="AJ65" s="457">
        <f>+((AF65*AF5)+(AH65*AH5))/AJ5</f>
        <v>0.24962339040839476</v>
      </c>
      <c r="AK65" s="327">
        <f>+$A$65</f>
        <v>0.28799999999999998</v>
      </c>
      <c r="AL65" s="2664">
        <v>0.246</v>
      </c>
      <c r="AM65" s="427">
        <f>+((AC65*AC5)+(AG65*AG5)+(AK65*AK5))/AM5</f>
        <v>0.28799999999999998</v>
      </c>
      <c r="AN65" s="427">
        <f>+((AD65*AD5)+(AH65*AH5)+(AL65*AL5))/AN5</f>
        <v>0.26097059058017702</v>
      </c>
      <c r="AO65" s="457">
        <f>+((AK65*AK5)+(AI65*AI5))/AO5</f>
        <v>0.28799999999999998</v>
      </c>
      <c r="AP65" s="457">
        <f>+((AL65*AL5)+(AJ65*AJ5))/AP5</f>
        <v>0.24920889375576158</v>
      </c>
      <c r="AQ65" s="327">
        <f>+$A$65</f>
        <v>0.28799999999999998</v>
      </c>
      <c r="AR65" s="2664">
        <v>0.221</v>
      </c>
      <c r="AS65" s="457">
        <f>+((AO65*AO5)+(AQ65*AQ5))/AS5</f>
        <v>0.28799999999999998</v>
      </c>
      <c r="AT65" s="457">
        <f>+((AP65*AP5)+(AR65*AR5))/AT5</f>
        <v>0.24619039246346064</v>
      </c>
      <c r="AU65" s="327">
        <f>+$A$65</f>
        <v>0.28799999999999998</v>
      </c>
      <c r="AV65" s="2664">
        <v>0.23200000000000001</v>
      </c>
      <c r="AW65" s="457">
        <f>+((AS65*AS5)+(AU65*AU5))/AW5</f>
        <v>0.28799999999999998</v>
      </c>
      <c r="AX65" s="457">
        <f>+((AT65*AT5)+(AV65*AV5))/AX5</f>
        <v>0.24491672064243031</v>
      </c>
      <c r="AY65" s="327">
        <f>+$A$65</f>
        <v>0.28799999999999998</v>
      </c>
      <c r="AZ65" s="2664">
        <v>0.25900000000000001</v>
      </c>
      <c r="BA65" s="458">
        <f>+((AQ65*AQ5)+(AU65*AU5)+(AY65*AY5))/BA5</f>
        <v>0.28799999999999998</v>
      </c>
      <c r="BB65" s="458">
        <f>+((AR65*AR5)+(AV65*AV5)+(AZ65*AZ5))/BB5</f>
        <v>0.23733877549006435</v>
      </c>
      <c r="BC65" s="796">
        <f>+((AM65*AM5)+(BA65*BA5))/BC5</f>
        <v>0.28799999999999998</v>
      </c>
      <c r="BD65" s="796">
        <f>+((AN65*AN5)+(BB65*BB5))/BD5</f>
        <v>0.24862352782688155</v>
      </c>
      <c r="BE65" s="457">
        <f>+((AW65*AW5)+(AY65*AY5))/BE5</f>
        <v>0.28799999999999998</v>
      </c>
      <c r="BF65" s="457">
        <f>+((AX65*AX5)+(AZ65*AZ5))/BF5</f>
        <v>0.24614548517644605</v>
      </c>
      <c r="BG65" s="26"/>
      <c r="BH65" s="26"/>
      <c r="BI65" s="26"/>
      <c r="BJ65" s="26"/>
    </row>
    <row r="66" spans="1:62" x14ac:dyDescent="0.25">
      <c r="B66" s="9" t="s">
        <v>314</v>
      </c>
      <c r="C66" s="941"/>
      <c r="D66" s="193" t="s">
        <v>218</v>
      </c>
      <c r="E66" s="1411">
        <f>+'POWER DISTRIBUTION'!I27</f>
        <v>6152522.9633076796</v>
      </c>
      <c r="F66" s="1411">
        <f>+'POWER DISTRIBUTION'!J27</f>
        <v>5587673.3333333414</v>
      </c>
      <c r="G66" s="1411">
        <f>+'POWER DISTRIBUTION'!K27</f>
        <v>5675899.1062997244</v>
      </c>
      <c r="H66" s="1411">
        <f>+'POWER DISTRIBUTION'!L27</f>
        <v>4913076.6666666707</v>
      </c>
      <c r="I66" s="947">
        <f>+E66+G66</f>
        <v>11828422.069607403</v>
      </c>
      <c r="J66" s="947">
        <f>+F66+H66</f>
        <v>10500750.000000011</v>
      </c>
      <c r="K66" s="1411">
        <f>+'POWER DISTRIBUTION'!O27</f>
        <v>4348532.1279373933</v>
      </c>
      <c r="L66" s="1411">
        <f>+'POWER DISTRIBUTION'!P27</f>
        <v>4932048.3333333209</v>
      </c>
      <c r="M66" s="1158">
        <f>+E66+G66+K66</f>
        <v>16176954.197544796</v>
      </c>
      <c r="N66" s="3578">
        <f>+F66+H66+L66</f>
        <v>15432798.333333332</v>
      </c>
      <c r="O66" s="1411">
        <f>+'POWER DISTRIBUTION'!S27</f>
        <v>6364678.9275596701</v>
      </c>
      <c r="P66" s="1411">
        <f>+'POWER DISTRIBUTION'!T27</f>
        <v>6095831.6666666716</v>
      </c>
      <c r="Q66" s="947">
        <f>+M66+O66</f>
        <v>22541633.125104465</v>
      </c>
      <c r="R66" s="947">
        <f>+N66+P66</f>
        <v>21528630.000000004</v>
      </c>
      <c r="S66" s="2567">
        <f>+'POWER DISTRIBUTION'!W27</f>
        <v>6364678.9275596701</v>
      </c>
      <c r="T66" s="2627">
        <f>+'POWER DISTRIBUTION'!X27</f>
        <v>6442453.333333333</v>
      </c>
      <c r="U66" s="2565">
        <f>+Q66+S66</f>
        <v>28906312.052664135</v>
      </c>
      <c r="V66" s="2565">
        <f>+R66+T66</f>
        <v>27971083.333333336</v>
      </c>
      <c r="W66" s="3296">
        <f>+'POWER DISTRIBUTION'!AA27</f>
        <v>6194954.1561580794</v>
      </c>
      <c r="X66" s="2627">
        <f>+'POWER DISTRIBUTION'!AB27</f>
        <v>5592789.9999999963</v>
      </c>
      <c r="Y66" s="3578">
        <f>+O66+S66+W66</f>
        <v>18924312.011277419</v>
      </c>
      <c r="Z66" s="3578">
        <f>+P66+T66+X66</f>
        <v>18131075</v>
      </c>
      <c r="AA66" s="558">
        <f>+M66+Y66</f>
        <v>35101266.208822213</v>
      </c>
      <c r="AB66" s="546">
        <f>+N66+Z66</f>
        <v>33563873.333333328</v>
      </c>
      <c r="AC66" s="3616">
        <f>+'POWER DISTRIBUTION'!AG27</f>
        <v>6407110.120410068</v>
      </c>
      <c r="AD66" s="2627">
        <f>+'POWER DISTRIBUTION'!AH27</f>
        <v>5441095.0000000028</v>
      </c>
      <c r="AE66" s="3615">
        <f>+AA66+AC66</f>
        <v>41508376.329232283</v>
      </c>
      <c r="AF66" s="3615">
        <f>+AB66+AD66</f>
        <v>39004968.333333328</v>
      </c>
      <c r="AG66" s="3616">
        <f>+'POWER DISTRIBUTION'!AK27</f>
        <v>6194954.1561580794</v>
      </c>
      <c r="AH66" s="2627">
        <f>+'POWER DISTRIBUTION'!AL27</f>
        <v>5378371.6666666651</v>
      </c>
      <c r="AI66" s="3615">
        <f>+AE66+AG66</f>
        <v>47703330.485390365</v>
      </c>
      <c r="AJ66" s="3615">
        <f>+AF66+AH66</f>
        <v>44383339.999999993</v>
      </c>
      <c r="AK66" s="3616">
        <f>+'POWER DISTRIBUTION'!AO27</f>
        <v>6407110.120410068</v>
      </c>
      <c r="AL66" s="2627">
        <f>+'POWER DISTRIBUTION'!AP27</f>
        <v>5699910.0000000056</v>
      </c>
      <c r="AM66" s="4312">
        <f>+AC66+AG66+AK66</f>
        <v>19009174.396978214</v>
      </c>
      <c r="AN66" s="4312">
        <f>+AD66+AH66+AL66</f>
        <v>16519376.666666673</v>
      </c>
      <c r="AO66" s="3615">
        <f t="shared" ref="AO66:AP66" si="74">AI66+AK66</f>
        <v>54110440.605800435</v>
      </c>
      <c r="AP66" s="3615">
        <f t="shared" si="74"/>
        <v>50083250</v>
      </c>
      <c r="AQ66" s="3616">
        <f>+'POWER DISTRIBUTION'!AU27</f>
        <v>6407110.120410068</v>
      </c>
      <c r="AR66" s="2627">
        <f>+'POWER DISTRIBUTION'!AV27</f>
        <v>6081988.3333333293</v>
      </c>
      <c r="AS66" s="3615">
        <f>+AO66+AQ66</f>
        <v>60517550.726210505</v>
      </c>
      <c r="AT66" s="3615">
        <f>+AP66+AR66</f>
        <v>56165238.333333328</v>
      </c>
      <c r="AU66" s="3616">
        <f>+'POWER DISTRIBUTION'!AY27</f>
        <v>5940366.999055692</v>
      </c>
      <c r="AV66" s="2627">
        <f>+'POWER DISTRIBUTION'!AZ27</f>
        <v>5655479.9999999972</v>
      </c>
      <c r="AW66" s="3615">
        <f>+AS66+AU66</f>
        <v>66457917.725266196</v>
      </c>
      <c r="AX66" s="3615">
        <f>+AT66+AV66</f>
        <v>61820718.333333328</v>
      </c>
      <c r="AY66" s="3616">
        <f>+'POWER DISTRIBUTION'!BC27</f>
        <v>6407110.120410068</v>
      </c>
      <c r="AZ66" s="2627">
        <f>+'POWER DISTRIBUTION'!BD27</f>
        <v>6208110</v>
      </c>
      <c r="BA66" s="5104">
        <f>+AQ66+AU66+AY66</f>
        <v>18754587.239875831</v>
      </c>
      <c r="BB66" s="5104">
        <f>+AR66+AV66+AZ66</f>
        <v>17945578.333333328</v>
      </c>
      <c r="BC66" s="5103">
        <f t="shared" ref="BC66" si="75">+AM66+BA66</f>
        <v>37763761.636854045</v>
      </c>
      <c r="BD66" s="546">
        <f t="shared" ref="BD66" si="76">+AN66+BB66</f>
        <v>34464955</v>
      </c>
      <c r="BE66" s="3615">
        <f>+AW66+AY66</f>
        <v>72865027.845676258</v>
      </c>
      <c r="BF66" s="3615">
        <f>+AX66+AZ66</f>
        <v>68028828.333333328</v>
      </c>
      <c r="BG66" s="26"/>
      <c r="BH66" s="26"/>
      <c r="BI66" s="26"/>
      <c r="BJ66" s="26"/>
    </row>
    <row r="67" spans="1:62" x14ac:dyDescent="0.25">
      <c r="B67" s="9" t="s">
        <v>315</v>
      </c>
      <c r="C67" s="941"/>
      <c r="D67" s="193" t="s">
        <v>307</v>
      </c>
      <c r="E67" s="227">
        <f t="shared" ref="E67:AP67" si="77">+E66/E5</f>
        <v>81.892202201267736</v>
      </c>
      <c r="F67" s="227">
        <f t="shared" si="77"/>
        <v>76.333250638697763</v>
      </c>
      <c r="G67" s="227">
        <f t="shared" si="77"/>
        <v>87.635882201267748</v>
      </c>
      <c r="H67" s="227">
        <f t="shared" si="77"/>
        <v>83.994416461559197</v>
      </c>
      <c r="I67" s="331">
        <f t="shared" si="77"/>
        <v>84.551313312378852</v>
      </c>
      <c r="J67" s="331">
        <f t="shared" si="77"/>
        <v>79.736017609801024</v>
      </c>
      <c r="K67" s="227">
        <f t="shared" si="77"/>
        <v>89.283691562969878</v>
      </c>
      <c r="L67" s="227">
        <f t="shared" si="77"/>
        <v>87.139925584316245</v>
      </c>
      <c r="M67" s="427">
        <f t="shared" si="77"/>
        <v>85.773410992476528</v>
      </c>
      <c r="N67" s="427">
        <f t="shared" si="77"/>
        <v>81.961564294965143</v>
      </c>
      <c r="O67" s="227">
        <f t="shared" si="77"/>
        <v>81.89220220126775</v>
      </c>
      <c r="P67" s="227">
        <f t="shared" si="77"/>
        <v>79.071375310306934</v>
      </c>
      <c r="Q67" s="331">
        <f t="shared" si="77"/>
        <v>84.640762512551788</v>
      </c>
      <c r="R67" s="331">
        <f t="shared" si="77"/>
        <v>81.121984292382692</v>
      </c>
      <c r="S67" s="227">
        <f t="shared" si="77"/>
        <v>81.89220220126775</v>
      </c>
      <c r="T67" s="2657">
        <f t="shared" si="77"/>
        <v>76.062576906060016</v>
      </c>
      <c r="U67" s="331">
        <f t="shared" si="77"/>
        <v>84.019852803677395</v>
      </c>
      <c r="V67" s="331">
        <f t="shared" si="77"/>
        <v>79.897914852686</v>
      </c>
      <c r="W67" s="227">
        <f t="shared" si="77"/>
        <v>81.892202201267764</v>
      </c>
      <c r="X67" s="2657">
        <f t="shared" si="77"/>
        <v>81.326094665907149</v>
      </c>
      <c r="Y67" s="427">
        <f t="shared" si="77"/>
        <v>81.89220220126775</v>
      </c>
      <c r="Z67" s="427">
        <f t="shared" si="77"/>
        <v>78.638578782134473</v>
      </c>
      <c r="AA67" s="559">
        <f t="shared" si="77"/>
        <v>83.636350349415878</v>
      </c>
      <c r="AB67" s="568">
        <f t="shared" si="77"/>
        <v>80.132401203736563</v>
      </c>
      <c r="AC67" s="227">
        <f t="shared" si="77"/>
        <v>81.89220220126775</v>
      </c>
      <c r="AD67" s="2657">
        <f t="shared" si="77"/>
        <v>85.754531348872746</v>
      </c>
      <c r="AE67" s="331">
        <f t="shared" si="77"/>
        <v>83.362295853713107</v>
      </c>
      <c r="AF67" s="331">
        <f t="shared" si="77"/>
        <v>80.872020940642059</v>
      </c>
      <c r="AG67" s="227">
        <f t="shared" si="77"/>
        <v>81.892202201267764</v>
      </c>
      <c r="AH67" s="2657">
        <f t="shared" si="77"/>
        <v>87.405940353560467</v>
      </c>
      <c r="AI67" s="331">
        <f t="shared" si="77"/>
        <v>83.168408163327371</v>
      </c>
      <c r="AJ67" s="331">
        <f t="shared" si="77"/>
        <v>81.611309524529702</v>
      </c>
      <c r="AK67" s="227">
        <f t="shared" si="77"/>
        <v>81.89220220126775</v>
      </c>
      <c r="AL67" s="2657">
        <f t="shared" si="77"/>
        <v>81.139564817443144</v>
      </c>
      <c r="AM67" s="427">
        <f t="shared" si="77"/>
        <v>81.892202201267764</v>
      </c>
      <c r="AN67" s="427">
        <f t="shared" si="77"/>
        <v>84.614464036533775</v>
      </c>
      <c r="AO67" s="331">
        <f t="shared" si="77"/>
        <v>83.0152228689943</v>
      </c>
      <c r="AP67" s="331">
        <f t="shared" si="77"/>
        <v>81.557344431082484</v>
      </c>
      <c r="AQ67" s="227">
        <f t="shared" ref="AQ67:AR67" si="78">+AQ66/AQ5</f>
        <v>81.89220220126775</v>
      </c>
      <c r="AR67" s="2657">
        <f t="shared" si="78"/>
        <v>82.653209723467981</v>
      </c>
      <c r="AS67" s="331">
        <f t="shared" ref="AS67:AV67" si="79">+AS66/AS5</f>
        <v>82.894870760529642</v>
      </c>
      <c r="AT67" s="331">
        <f t="shared" si="79"/>
        <v>81.674607831409119</v>
      </c>
      <c r="AU67" s="227">
        <f t="shared" si="79"/>
        <v>81.892202201267764</v>
      </c>
      <c r="AV67" s="2657">
        <f t="shared" si="79"/>
        <v>83.403379589744148</v>
      </c>
      <c r="AW67" s="331">
        <f t="shared" ref="AW67:BD67" si="80">+AW66/AW5</f>
        <v>82.804248682868788</v>
      </c>
      <c r="AX67" s="331">
        <f t="shared" si="80"/>
        <v>81.829775342050851</v>
      </c>
      <c r="AY67" s="227">
        <f t="shared" si="80"/>
        <v>81.89220220126775</v>
      </c>
      <c r="AZ67" s="2657">
        <f t="shared" si="80"/>
        <v>85.965409616534075</v>
      </c>
      <c r="BA67" s="427">
        <f t="shared" si="80"/>
        <v>81.892202201267764</v>
      </c>
      <c r="BB67" s="427">
        <f t="shared" si="80"/>
        <v>84.011122542507891</v>
      </c>
      <c r="BC67" s="559">
        <f t="shared" si="80"/>
        <v>81.892202201267764</v>
      </c>
      <c r="BD67" s="568">
        <f t="shared" si="80"/>
        <v>84.299232419326287</v>
      </c>
      <c r="BE67" s="331">
        <f t="shared" ref="BE67:BF67" si="81">+BE66/BE5</f>
        <v>82.723237495385391</v>
      </c>
      <c r="BF67" s="331">
        <f t="shared" si="81"/>
        <v>82.190608965606955</v>
      </c>
      <c r="BG67" s="26"/>
      <c r="BH67" s="26"/>
      <c r="BI67" s="26"/>
      <c r="BJ67" s="26"/>
    </row>
    <row r="68" spans="1:62" ht="15" customHeight="1" x14ac:dyDescent="0.25">
      <c r="B68" s="9" t="s">
        <v>316</v>
      </c>
      <c r="C68" s="941"/>
      <c r="D68" s="193" t="s">
        <v>308</v>
      </c>
      <c r="E68" s="1415">
        <f>+EMD!D36/(EMD!D2*24)</f>
        <v>2.0386545523289294</v>
      </c>
      <c r="F68" s="1706">
        <f>+EMD!E36/(EMD!E2*24)</f>
        <v>3.0186527777777776</v>
      </c>
      <c r="G68" s="1415">
        <f>+EMD!F36/(EMD!F2*24)</f>
        <v>2.0536407503012497</v>
      </c>
      <c r="H68" s="1706">
        <f>+EMD!G36/(EMD!G2*24)</f>
        <v>2.3462365591397849</v>
      </c>
      <c r="I68" s="451">
        <f t="shared" ref="I68:J70" si="82">+((E68*E$2)+(G68*G$2))/I$2</f>
        <v>2.0462704890033874</v>
      </c>
      <c r="J68" s="451">
        <f t="shared" si="82"/>
        <v>2.6769330601092896</v>
      </c>
      <c r="K68" s="1415">
        <f>+EMD!J36/(EMD!J2*24)</f>
        <v>1.8010974265249426</v>
      </c>
      <c r="L68" s="1706">
        <f>+EMD!K36/(EMD!K2*24)</f>
        <v>2.4770601819582652</v>
      </c>
      <c r="M68" s="453">
        <f t="shared" ref="M68:N70" si="83">+((E68*E$2)+(G68*G$2)+(K68*K$2))/M$2</f>
        <v>1.9654442046698342</v>
      </c>
      <c r="N68" s="453">
        <f t="shared" si="83"/>
        <v>2.6110409024770838</v>
      </c>
      <c r="O68" s="1415">
        <f>+EMD!N36/(EMD!N2*24)</f>
        <v>2.0448634296359547</v>
      </c>
      <c r="P68" s="1706">
        <f>+EMD!O36/(EMD!O2*24)</f>
        <v>3.5541417640767068</v>
      </c>
      <c r="Q68" s="451">
        <f t="shared" ref="Q68:R70" si="84">+((M68*M$2)+(O68*O$2))/Q$2</f>
        <v>1.9856244995382746</v>
      </c>
      <c r="R68" s="451">
        <f t="shared" si="84"/>
        <v>2.8506812853425618</v>
      </c>
      <c r="S68" s="1415">
        <f>+EMD!R36/(EMD!R2*24)</f>
        <v>2.0448634296359547</v>
      </c>
      <c r="T68" s="2658">
        <f>+EMD!S36/(EMD!S2*24)</f>
        <v>3.3513287357086958</v>
      </c>
      <c r="U68" s="2581">
        <f t="shared" ref="U68:U70" si="85">+((Q68*Q$2)+(S68*S$2))/U$2</f>
        <v>1.9976271585776739</v>
      </c>
      <c r="V68" s="2581">
        <f t="shared" ref="V68:V70" si="86">+((R68*R$2)+(T68*T$2))/V$2</f>
        <v>2.9521196576389679</v>
      </c>
      <c r="W68" s="1415">
        <f>+EMD!V36/(EMD!V2*24)</f>
        <v>2.0463207658777391</v>
      </c>
      <c r="X68" s="2658">
        <f>+EMD!W36/(EMD!W2*24)</f>
        <v>3.1908055555555559</v>
      </c>
      <c r="Y68" s="453">
        <f t="shared" ref="Y68:Z70" si="87">+((O68*O$2)+(S68*S$2)+(W68*W$2))/Y$2</f>
        <v>2.045338647975667</v>
      </c>
      <c r="Z68" s="453">
        <f t="shared" si="87"/>
        <v>3.3673233930436322</v>
      </c>
      <c r="AA68" s="588">
        <f t="shared" ref="AA68:AB70" si="88">+((M68*M$2)+(Y68*Y$2))/AA$2</f>
        <v>2.0056097171514553</v>
      </c>
      <c r="AB68" s="588">
        <f t="shared" si="88"/>
        <v>2.9912484933629986</v>
      </c>
      <c r="AC68" s="1415">
        <f>+EMD!AB36/(EMD!AB2*24)</f>
        <v>2.0522786236041477</v>
      </c>
      <c r="AD68" s="2658">
        <f>+EMD!AC36/(EMD!AC2*24)</f>
        <v>3.0896371759723316</v>
      </c>
      <c r="AE68" s="3313">
        <f t="shared" ref="AE68:AE70" si="89">+((AA68*AA$2)+(AC68*AC$2))/AE$2</f>
        <v>2.0123701662170319</v>
      </c>
      <c r="AF68" s="3313">
        <f t="shared" ref="AF68:AF70" si="90">+((AB68*AB$2)+(AD68*AD$2))/AF$2</f>
        <v>3.0055010595353782</v>
      </c>
      <c r="AG68" s="1415">
        <f>+EMD!AF36/(EMD!AF2*24)</f>
        <v>2.0463207658777391</v>
      </c>
      <c r="AH68" s="2658">
        <f>+EMD!AG36/(EMD!AG2*24)</f>
        <v>3.2493334399607976</v>
      </c>
      <c r="AI68" s="3313">
        <f t="shared" ref="AI68:AI70" si="91">+((AE68*AE$2)+(AG68*AG$2))/AI$2</f>
        <v>2.0165444202736764</v>
      </c>
      <c r="AJ68" s="3313">
        <f t="shared" ref="AJ68:AJ70" si="92">+((AF68*AF$2)+(AH68*AH$2))/AJ$2</f>
        <v>3.0354804505712907</v>
      </c>
      <c r="AK68" s="1415">
        <f>+EMD!AJ36/(EMD!AJ2*24)</f>
        <v>2.0522786236041477</v>
      </c>
      <c r="AL68" s="2658">
        <f>+EMD!AK36/(EMD!AK2*24)</f>
        <v>3.3732271422496285</v>
      </c>
      <c r="AM68" s="3402">
        <f t="shared" ref="AM68:AM70" si="93">+((AC68*AC$2)+(AG68*AG$2)+(AK68*AK$2))/AM$2</f>
        <v>2.0503358439107537</v>
      </c>
      <c r="AN68" s="3402">
        <f t="shared" ref="AN68:AN70" si="94">+((AD68*AD$2)+(AH68*AH$2)+(AL68*AL$2))/AN$2</f>
        <v>3.2372695333011374</v>
      </c>
      <c r="AO68" s="3313">
        <f t="shared" ref="AO68:AP70" si="95">+((AK68*AK$2)+(AI68*AI$2))/AO$2</f>
        <v>2.0205726395582024</v>
      </c>
      <c r="AP68" s="3313">
        <f t="shared" si="95"/>
        <v>3.0735537139968487</v>
      </c>
      <c r="AQ68" s="1415">
        <f>+EMD!AP36/(EMD!AP2*24)</f>
        <v>2.0522786236041477</v>
      </c>
      <c r="AR68" s="2658">
        <f>+EMD!AQ36/(EMD!AQ2*24)</f>
        <v>2.8589569286639143</v>
      </c>
      <c r="AS68" s="3313">
        <f t="shared" ref="AS68:AS70" si="96">+((AO68*AO$2)+(AQ68*AQ$2))/AS$2</f>
        <v>2.023784683693576</v>
      </c>
      <c r="AT68" s="3313">
        <f t="shared" ref="AT68:AT70" si="97">+((AP68*AP$2)+(AR68*AR$2))/AT$2</f>
        <v>3.0518135167899176</v>
      </c>
      <c r="AU68" s="1415">
        <f>+EMD!AT36/(EMD!AT2*24)</f>
        <v>2.0520270074983129</v>
      </c>
      <c r="AV68" s="2658">
        <f>+EMD!AU36/(EMD!AU2*24)</f>
        <v>2.9241670947826872</v>
      </c>
      <c r="AW68" s="3313">
        <f t="shared" ref="AW68:AW70" si="98">+((AS68*AS$2)+(AU68*AU$2))/AW$2</f>
        <v>2.0262295415751801</v>
      </c>
      <c r="AX68" s="3313">
        <f t="shared" ref="AX68:AX70" si="99">+((AT68*AT$2)+(AV68*AV$2))/AX$2</f>
        <v>3.0407635280191427</v>
      </c>
      <c r="AY68" s="1415">
        <f>+EMD!AX36/(EMD!AX2*24)</f>
        <v>2.0522786236041477</v>
      </c>
      <c r="AZ68" s="2658">
        <f>+EMD!AY36/(EMD!AY2*24)</f>
        <v>3.531140104614829</v>
      </c>
      <c r="BA68" s="3402">
        <f t="shared" ref="BA68:BA70" si="100">+((AQ68*AQ$2)+(AU68*AU$2)+(AY68*AY$2))/BA$2</f>
        <v>2.0521984382517386</v>
      </c>
      <c r="BB68" s="3402">
        <f t="shared" ref="BB68:BB70" si="101">+((AR68*AR$2)+(AV68*AV$2)+(AZ68*AZ$2))/BB$2</f>
        <v>3.1087236679158132</v>
      </c>
      <c r="BC68" s="3401">
        <f t="shared" ref="BC68:BD70" si="102">+((AM68*AM$2)+(BA68*BA$2))/BC$2</f>
        <v>2.0512620520256699</v>
      </c>
      <c r="BD68" s="3401">
        <f t="shared" si="102"/>
        <v>3.1733478188199107</v>
      </c>
      <c r="BE68" s="3313">
        <f t="shared" ref="BE68:BE70" si="103">+((AW68*AW$2)+(AY68*AY$2))/BE$2</f>
        <v>2.0284358845885628</v>
      </c>
      <c r="BF68" s="3313">
        <f t="shared" ref="BF68:BF70" si="104">+((AX68*AX$2)+(AZ68*AZ$2))/BF$2</f>
        <v>3.0822981560914551</v>
      </c>
      <c r="BG68" s="26"/>
      <c r="BH68" s="26"/>
      <c r="BI68" s="26"/>
      <c r="BJ68" s="26"/>
    </row>
    <row r="69" spans="1:62" x14ac:dyDescent="0.25">
      <c r="B69" s="9" t="s">
        <v>317</v>
      </c>
      <c r="C69" s="941"/>
      <c r="D69" s="193" t="s">
        <v>308</v>
      </c>
      <c r="E69" s="1415">
        <f>+EMD!D66/(EMD!D2*24)</f>
        <v>8.4804264203157036</v>
      </c>
      <c r="F69" s="1706">
        <f>+EMD!E66/(EMD!E2*24)</f>
        <v>5.0977367129258111</v>
      </c>
      <c r="G69" s="1415">
        <f>+EMD!F66/(EMD!F2*24)</f>
        <v>6.8877913396987651</v>
      </c>
      <c r="H69" s="1706">
        <f>+EMD!G66/(EMD!G2*24)</f>
        <v>3.161385334989653</v>
      </c>
      <c r="I69" s="331">
        <f t="shared" si="82"/>
        <v>7.6710544941005381</v>
      </c>
      <c r="J69" s="331">
        <f t="shared" si="82"/>
        <v>4.1136892913516983</v>
      </c>
      <c r="K69" s="1415">
        <f>+EMD!J66/(EMD!J2*24)</f>
        <v>5.2434334159615696</v>
      </c>
      <c r="L69" s="1706">
        <f>+EMD!K66/(EMD!K2*24)</f>
        <v>6.2940857200888347</v>
      </c>
      <c r="M69" s="453">
        <f t="shared" si="83"/>
        <v>6.8707398529558237</v>
      </c>
      <c r="N69" s="453">
        <f t="shared" si="83"/>
        <v>4.8325013008254798</v>
      </c>
      <c r="O69" s="1415">
        <f>+EMD!N66/(EMD!N2*24)</f>
        <v>8.4877699941538154</v>
      </c>
      <c r="P69" s="1706">
        <f>+EMD!O66/(EMD!O2*24)</f>
        <v>5.7731793366332091</v>
      </c>
      <c r="Q69" s="451">
        <f t="shared" si="84"/>
        <v>7.2816245609651498</v>
      </c>
      <c r="R69" s="451">
        <f t="shared" si="84"/>
        <v>5.0715260476290833</v>
      </c>
      <c r="S69" s="1415">
        <f>+EMD!R66/(EMD!R2*24)</f>
        <v>8.4877699941538154</v>
      </c>
      <c r="T69" s="2658">
        <f>+EMD!S66/(EMD!S2*24)</f>
        <v>4.6838226440271251</v>
      </c>
      <c r="U69" s="2581">
        <f t="shared" si="85"/>
        <v>7.5260069689968399</v>
      </c>
      <c r="V69" s="2581">
        <f t="shared" si="86"/>
        <v>4.9929717632391446</v>
      </c>
      <c r="W69" s="1415">
        <f>+EMD!V66/(EMD!V2*24)</f>
        <v>8.5423019176097874</v>
      </c>
      <c r="X69" s="2658">
        <f>+EMD!W66/(EMD!W2*24)</f>
        <v>4.336236111111111</v>
      </c>
      <c r="Y69" s="453">
        <f t="shared" si="87"/>
        <v>8.5055521431068488</v>
      </c>
      <c r="Z69" s="453">
        <f t="shared" si="87"/>
        <v>4.9375450514543884</v>
      </c>
      <c r="AA69" s="588">
        <f t="shared" si="88"/>
        <v>7.6926126982776513</v>
      </c>
      <c r="AB69" s="588">
        <f t="shared" si="88"/>
        <v>4.8853101809230735</v>
      </c>
      <c r="AC69" s="1415">
        <f>+EMD!AB66/(EMD!AB2*24)</f>
        <v>8.5476514812519078</v>
      </c>
      <c r="AD69" s="2658">
        <f>+EMD!AC66/(EMD!AC2*24)</f>
        <v>3.9071351954852194</v>
      </c>
      <c r="AE69" s="3313">
        <f t="shared" si="89"/>
        <v>7.8164734565589686</v>
      </c>
      <c r="AF69" s="3313">
        <f t="shared" si="90"/>
        <v>4.7436119353689916</v>
      </c>
      <c r="AG69" s="1415">
        <f>+EMD!AF66/(EMD!AF2*24)</f>
        <v>8.5423019176097874</v>
      </c>
      <c r="AH69" s="2658">
        <f>+EMD!AG66/(EMD!AG2*24)</f>
        <v>4.8067146609198881</v>
      </c>
      <c r="AI69" s="3313">
        <f t="shared" si="91"/>
        <v>7.9057146607865283</v>
      </c>
      <c r="AJ69" s="3313">
        <f t="shared" si="92"/>
        <v>4.7513704671990205</v>
      </c>
      <c r="AK69" s="1415">
        <f>+EMD!AJ66/(EMD!AJ2*24)</f>
        <v>8.5476514812519078</v>
      </c>
      <c r="AL69" s="2658">
        <f>+EMD!AK66/(EMD!AK2*24)</f>
        <v>4.6504758121028678</v>
      </c>
      <c r="AM69" s="3402">
        <f t="shared" si="93"/>
        <v>8.5459070583251293</v>
      </c>
      <c r="AN69" s="3402">
        <f t="shared" si="94"/>
        <v>4.4509497941611667</v>
      </c>
      <c r="AO69" s="3313">
        <f t="shared" si="95"/>
        <v>7.978078447820808</v>
      </c>
      <c r="AP69" s="3313">
        <f t="shared" si="95"/>
        <v>4.7399968878972718</v>
      </c>
      <c r="AQ69" s="1415">
        <f>+EMD!AP66/(EMD!AP2*24)</f>
        <v>8.5476514812519078</v>
      </c>
      <c r="AR69" s="2658">
        <f>+EMD!AQ66/(EMD!AQ2*24)</f>
        <v>4.3958915522984165</v>
      </c>
      <c r="AS69" s="3313">
        <f t="shared" si="96"/>
        <v>8.0357802910769003</v>
      </c>
      <c r="AT69" s="3313">
        <f t="shared" si="97"/>
        <v>4.7051365434411787</v>
      </c>
      <c r="AU69" s="1415">
        <f>+EMD!AT66/(EMD!AT2*24)</f>
        <v>8.4619674072680908</v>
      </c>
      <c r="AV69" s="2658">
        <f>+EMD!AU66/(EMD!AU2*24)</f>
        <v>4.6177337319206027</v>
      </c>
      <c r="AW69" s="3313">
        <f t="shared" si="98"/>
        <v>8.0726741011352416</v>
      </c>
      <c r="AX69" s="3313">
        <f t="shared" si="99"/>
        <v>4.6975703299065623</v>
      </c>
      <c r="AY69" s="1415">
        <f>+EMD!AX66/(EMD!AX2*24)</f>
        <v>8.5476514812519078</v>
      </c>
      <c r="AZ69" s="2658">
        <f>+EMD!AY66/(EMD!AY2*24)</f>
        <v>4.8981731748077317</v>
      </c>
      <c r="BA69" s="3402">
        <f t="shared" si="100"/>
        <v>8.5203455675647568</v>
      </c>
      <c r="BB69" s="3402">
        <f t="shared" si="101"/>
        <v>4.6376954369888796</v>
      </c>
      <c r="BC69" s="3401">
        <f t="shared" si="102"/>
        <v>8.5331961530836313</v>
      </c>
      <c r="BD69" s="3401">
        <f t="shared" si="102"/>
        <v>4.5438123815782259</v>
      </c>
      <c r="BE69" s="3313">
        <f t="shared" si="103"/>
        <v>8.1129044256806431</v>
      </c>
      <c r="BF69" s="3313">
        <f t="shared" si="104"/>
        <v>4.714561281250651</v>
      </c>
      <c r="BG69" s="26"/>
      <c r="BH69" s="26"/>
      <c r="BI69" s="26"/>
      <c r="BJ69" s="26"/>
    </row>
    <row r="70" spans="1:62" x14ac:dyDescent="0.25">
      <c r="B70" s="9" t="s">
        <v>318</v>
      </c>
      <c r="C70" s="941"/>
      <c r="D70" s="193" t="s">
        <v>308</v>
      </c>
      <c r="E70" s="1415">
        <f>+EMD!D101/(EMD!D2*24)</f>
        <v>1.7469653422543792</v>
      </c>
      <c r="F70" s="1706">
        <f>+EMD!E101/(EMD!E2*24)</f>
        <v>1.3009775161741364</v>
      </c>
      <c r="G70" s="1415">
        <f>+EMD!F101/(EMD!F2*24)</f>
        <v>1.2916432561337547</v>
      </c>
      <c r="H70" s="1706">
        <f>+EMD!G101/(EMD!G2*24)</f>
        <v>1.0771507509086129</v>
      </c>
      <c r="I70" s="331">
        <f t="shared" si="82"/>
        <v>1.5155721509471767</v>
      </c>
      <c r="J70" s="331">
        <f t="shared" si="82"/>
        <v>1.187229487924444</v>
      </c>
      <c r="K70" s="1415">
        <f>+EMD!J101/(EMD!J2*24)</f>
        <v>0.90725090648250273</v>
      </c>
      <c r="L70" s="1706">
        <f>+EMD!K101/(EMD!K2*24)</f>
        <v>1.2745235736079872</v>
      </c>
      <c r="M70" s="453">
        <f t="shared" si="83"/>
        <v>1.3150266857390422</v>
      </c>
      <c r="N70" s="453">
        <f t="shared" si="83"/>
        <v>1.2160077579300077</v>
      </c>
      <c r="O70" s="1415">
        <f>+EMD!N101/(EMD!N2*24)</f>
        <v>1.7470569915707534</v>
      </c>
      <c r="P70" s="1706">
        <f>+EMD!O101/(EMD!O2*24)</f>
        <v>1.0697317091720104</v>
      </c>
      <c r="Q70" s="451">
        <f t="shared" si="84"/>
        <v>1.4248048782044771</v>
      </c>
      <c r="R70" s="451">
        <f t="shared" si="84"/>
        <v>1.1788392537374019</v>
      </c>
      <c r="S70" s="1415">
        <f>+EMD!R101/(EMD!R2*24)</f>
        <v>1.7470569915707534</v>
      </c>
      <c r="T70" s="2658">
        <f>+EMD!S101/(EMD!S2*24)</f>
        <v>1.3161508893817842</v>
      </c>
      <c r="U70" s="2581">
        <f t="shared" si="85"/>
        <v>1.4900977900630037</v>
      </c>
      <c r="V70" s="2581">
        <f t="shared" si="86"/>
        <v>1.2066605655346296</v>
      </c>
      <c r="W70" s="1415">
        <f>+EMD!V101/(EMD!V2*24)</f>
        <v>1.7620170542728602</v>
      </c>
      <c r="X70" s="2658">
        <f>+EMD!W101/(EMD!W2*24)</f>
        <v>1.2412986111111111</v>
      </c>
      <c r="Y70" s="453">
        <f t="shared" si="87"/>
        <v>1.751935272886658</v>
      </c>
      <c r="Z70" s="453">
        <f t="shared" si="87"/>
        <v>1.2087099879184888</v>
      </c>
      <c r="AA70" s="588">
        <f t="shared" si="88"/>
        <v>1.5346747186219967</v>
      </c>
      <c r="AB70" s="588">
        <f t="shared" si="88"/>
        <v>1.2123389336619217</v>
      </c>
      <c r="AC70" s="1415">
        <f>+EMD!AB101/(EMD!AB2*24)</f>
        <v>1.7616249132735398</v>
      </c>
      <c r="AD70" s="2658">
        <f>+EMD!AC101/(EMD!AC2*24)</f>
        <v>1.2362929557506721</v>
      </c>
      <c r="AE70" s="3313">
        <f t="shared" si="89"/>
        <v>1.567550681398622</v>
      </c>
      <c r="AF70" s="3313">
        <f t="shared" si="90"/>
        <v>1.2158089088243109</v>
      </c>
      <c r="AG70" s="1415">
        <f>+EMD!AF101/(EMD!AF2*24)</f>
        <v>1.7620170542728602</v>
      </c>
      <c r="AH70" s="2658">
        <f>+EMD!AG101/(EMD!AG2*24)</f>
        <v>1.1828114291283545</v>
      </c>
      <c r="AI70" s="3313">
        <f t="shared" si="91"/>
        <v>1.591460481342176</v>
      </c>
      <c r="AJ70" s="3313">
        <f t="shared" si="92"/>
        <v>1.2117518416485784</v>
      </c>
      <c r="AK70" s="1415">
        <f>+EMD!AJ101/(EMD!AJ2*24)</f>
        <v>1.7616249132735398</v>
      </c>
      <c r="AL70" s="2658">
        <f>+EMD!AK101/(EMD!AK2*24)</f>
        <v>1.0954969340082383</v>
      </c>
      <c r="AM70" s="3402">
        <f t="shared" si="93"/>
        <v>1.7617527853385355</v>
      </c>
      <c r="AN70" s="3402">
        <f t="shared" si="94"/>
        <v>1.1714111897432269</v>
      </c>
      <c r="AO70" s="3313">
        <f t="shared" si="95"/>
        <v>1.6106426536689842</v>
      </c>
      <c r="AP70" s="3313">
        <f t="shared" si="95"/>
        <v>1.1986467429691219</v>
      </c>
      <c r="AQ70" s="1415">
        <f>+EMD!AP101/(EMD!AP2*24)</f>
        <v>1.7616249132735398</v>
      </c>
      <c r="AR70" s="2658">
        <f>+EMD!AQ101/(EMD!AQ2*24)</f>
        <v>0.84902404891566707</v>
      </c>
      <c r="AS70" s="3313">
        <f t="shared" si="96"/>
        <v>1.6259382420602952</v>
      </c>
      <c r="AT70" s="3313">
        <f t="shared" si="97"/>
        <v>1.1632274504342948</v>
      </c>
      <c r="AU70" s="1415">
        <f>+EMD!AT101/(EMD!AT2*24)</f>
        <v>1.737466827225477</v>
      </c>
      <c r="AV70" s="2658">
        <f>+EMD!AU101/(EMD!AU2*24)</f>
        <v>0.9616184494194463</v>
      </c>
      <c r="AW70" s="3313">
        <f t="shared" si="98"/>
        <v>1.6355929554029529</v>
      </c>
      <c r="AX70" s="3313">
        <f t="shared" si="99"/>
        <v>1.1457747309434569</v>
      </c>
      <c r="AY70" s="1415">
        <f>+EMD!AX101/(EMD!AX2*24)</f>
        <v>1.7616249132735398</v>
      </c>
      <c r="AZ70" s="2658">
        <f>+EMD!AY101/(EMD!AY2*24)</f>
        <v>0.97492853180476968</v>
      </c>
      <c r="BA70" s="3402">
        <f t="shared" si="100"/>
        <v>1.7539261825549264</v>
      </c>
      <c r="BB70" s="3402">
        <f t="shared" si="101"/>
        <v>0.92779631907140092</v>
      </c>
      <c r="BC70" s="3401">
        <f t="shared" si="102"/>
        <v>1.7578608681073418</v>
      </c>
      <c r="BD70" s="3401">
        <f t="shared" si="102"/>
        <v>1.0502693688080567</v>
      </c>
      <c r="BE70" s="3313">
        <f t="shared" si="103"/>
        <v>1.6462677933646694</v>
      </c>
      <c r="BF70" s="3313">
        <f t="shared" si="104"/>
        <v>1.1313041512349888</v>
      </c>
      <c r="BG70" s="26"/>
      <c r="BH70" s="26"/>
      <c r="BI70" s="26"/>
      <c r="BJ70" s="26"/>
    </row>
    <row r="71" spans="1:62" ht="15.75" thickBot="1" x14ac:dyDescent="0.3">
      <c r="B71" s="12" t="s">
        <v>319</v>
      </c>
      <c r="C71" s="1099"/>
      <c r="D71" s="1100" t="s">
        <v>559</v>
      </c>
      <c r="E71" s="227">
        <f>+E52/E63</f>
        <v>129.46428571428572</v>
      </c>
      <c r="F71" s="131">
        <f t="shared" ref="F71:AB71" si="105">+F52/F63</f>
        <v>131.73736129396275</v>
      </c>
      <c r="G71" s="227">
        <f>+G52/G63</f>
        <v>130.20833333333334</v>
      </c>
      <c r="H71" s="131">
        <f t="shared" ref="H71" si="106">+H52/H63</f>
        <v>130.0227970622343</v>
      </c>
      <c r="I71" s="331">
        <f t="shared" si="105"/>
        <v>129.80769230769232</v>
      </c>
      <c r="J71" s="331">
        <f t="shared" si="105"/>
        <v>130.96958838191514</v>
      </c>
      <c r="K71" s="227">
        <f>+K52/K63</f>
        <v>130.55555555555554</v>
      </c>
      <c r="L71" s="131">
        <f t="shared" ref="L71" si="107">+L52/L63</f>
        <v>129.65193269269116</v>
      </c>
      <c r="M71" s="427">
        <f t="shared" ref="M71:N71" si="108">+M52/M63</f>
        <v>130</v>
      </c>
      <c r="N71" s="427">
        <f t="shared" si="108"/>
        <v>130.570733968208</v>
      </c>
      <c r="O71" s="227">
        <f>+O52/O63</f>
        <v>129.31034482758622</v>
      </c>
      <c r="P71" s="131">
        <f t="shared" ref="P71" si="109">+P52/P63</f>
        <v>139.31027235644825</v>
      </c>
      <c r="Q71" s="331">
        <f t="shared" si="105"/>
        <v>129.79797979797979</v>
      </c>
      <c r="R71" s="331">
        <f t="shared" si="105"/>
        <v>132.9986162951858</v>
      </c>
      <c r="S71" s="227">
        <f>+S52/S63</f>
        <v>129.31034482758622</v>
      </c>
      <c r="T71" s="2657">
        <f t="shared" ref="T71:V71" si="110">+T52/T63</f>
        <v>138.71132700212627</v>
      </c>
      <c r="U71" s="331">
        <f t="shared" si="110"/>
        <v>129.6875</v>
      </c>
      <c r="V71" s="331">
        <f t="shared" si="110"/>
        <v>134.34209125576686</v>
      </c>
      <c r="W71" s="227">
        <f>+W52/W63</f>
        <v>130.35714285714286</v>
      </c>
      <c r="X71" s="2657">
        <f t="shared" ref="X71" si="111">+X52/X63</f>
        <v>137.49774129870147</v>
      </c>
      <c r="Y71" s="453">
        <f t="shared" si="105"/>
        <v>129.65116279069767</v>
      </c>
      <c r="Z71" s="453">
        <f t="shared" si="105"/>
        <v>138.54517517183936</v>
      </c>
      <c r="AA71" s="588">
        <f t="shared" si="105"/>
        <v>129.80769230769232</v>
      </c>
      <c r="AB71" s="588">
        <f t="shared" si="105"/>
        <v>134.85150527475113</v>
      </c>
      <c r="AC71" s="227">
        <f>+AC52/AC63</f>
        <v>130.17241379310346</v>
      </c>
      <c r="AD71" s="2657">
        <f t="shared" ref="AD71:AF71" si="112">+AD52/AD63</f>
        <v>134.65564833547927</v>
      </c>
      <c r="AE71" s="331">
        <f t="shared" si="112"/>
        <v>129.86486486486487</v>
      </c>
      <c r="AF71" s="331">
        <f t="shared" si="112"/>
        <v>134.8256658384129</v>
      </c>
      <c r="AG71" s="227">
        <f>+AG52/AG63</f>
        <v>130.35714285714286</v>
      </c>
      <c r="AH71" s="2657">
        <f t="shared" ref="AH71:AJ71" si="113">+AH52/AH63</f>
        <v>131.10575445866954</v>
      </c>
      <c r="AI71" s="331">
        <f t="shared" si="113"/>
        <v>129.92957746478874</v>
      </c>
      <c r="AJ71" s="331">
        <f t="shared" si="113"/>
        <v>134.39433984606282</v>
      </c>
      <c r="AK71" s="227">
        <f>+AK52/AK63</f>
        <v>130.17241379310346</v>
      </c>
      <c r="AL71" s="2657">
        <f t="shared" ref="AL71:AP71" si="114">+AL52/AL63</f>
        <v>128.40340662822385</v>
      </c>
      <c r="AM71" s="3402">
        <f t="shared" si="114"/>
        <v>130.23255813953489</v>
      </c>
      <c r="AN71" s="3402">
        <f t="shared" si="114"/>
        <v>131.23647581406746</v>
      </c>
      <c r="AO71" s="331">
        <f t="shared" si="114"/>
        <v>129.95867768595042</v>
      </c>
      <c r="AP71" s="331">
        <f t="shared" si="114"/>
        <v>133.67984855126139</v>
      </c>
      <c r="AQ71" s="227">
        <f>+AQ52/AQ63</f>
        <v>130.17241379310346</v>
      </c>
      <c r="AR71" s="2657">
        <f t="shared" ref="AR71" si="115">+AR52/AR63</f>
        <v>130.08162543953534</v>
      </c>
      <c r="AS71" s="331">
        <f t="shared" ref="AS71:AT71" si="116">+AS52/AS63</f>
        <v>129.98154981549814</v>
      </c>
      <c r="AT71" s="331">
        <f t="shared" si="116"/>
        <v>133.2840850313942</v>
      </c>
      <c r="AU71" s="227">
        <f>+AU52/AU63</f>
        <v>129.62962962962962</v>
      </c>
      <c r="AV71" s="2657">
        <f t="shared" ref="AV71:AX71" si="117">+AV52/AV63</f>
        <v>131.70529999663503</v>
      </c>
      <c r="AW71" s="331">
        <f t="shared" si="117"/>
        <v>129.9496644295302</v>
      </c>
      <c r="AX71" s="331">
        <f t="shared" si="117"/>
        <v>133.14063766946128</v>
      </c>
      <c r="AY71" s="227">
        <f>+AY52/AY63</f>
        <v>130.17241379310346</v>
      </c>
      <c r="AZ71" s="2657">
        <f t="shared" ref="AZ71:BF71" si="118">+AZ52/AZ63</f>
        <v>129.64186935048008</v>
      </c>
      <c r="BA71" s="3402">
        <f t="shared" si="118"/>
        <v>130</v>
      </c>
      <c r="BB71" s="3402">
        <f t="shared" si="118"/>
        <v>130.44196649579888</v>
      </c>
      <c r="BC71" s="3401">
        <f t="shared" si="118"/>
        <v>130.11695906432749</v>
      </c>
      <c r="BD71" s="3401">
        <f t="shared" si="118"/>
        <v>130.81974909639231</v>
      </c>
      <c r="BE71" s="331">
        <f t="shared" si="118"/>
        <v>129.96941896024464</v>
      </c>
      <c r="BF71" s="331">
        <f t="shared" si="118"/>
        <v>132.82711497833046</v>
      </c>
      <c r="BG71" s="26"/>
      <c r="BH71" s="26"/>
      <c r="BI71" s="26"/>
      <c r="BJ71" s="26"/>
    </row>
    <row r="72" spans="1:62" x14ac:dyDescent="0.25">
      <c r="B72" s="188"/>
      <c r="C72" s="188"/>
      <c r="D72" s="188"/>
      <c r="E72" s="700"/>
      <c r="F72" s="700"/>
      <c r="G72" s="700"/>
      <c r="H72" s="700"/>
      <c r="I72" s="700"/>
      <c r="J72" s="700"/>
      <c r="K72" s="700"/>
      <c r="L72" s="700"/>
      <c r="M72" s="700"/>
      <c r="N72" s="700"/>
      <c r="O72" s="700"/>
      <c r="P72" s="700"/>
      <c r="Q72" s="700"/>
      <c r="R72" s="700"/>
      <c r="S72" s="700"/>
      <c r="T72" s="2676"/>
      <c r="U72" s="700"/>
      <c r="V72" s="700"/>
      <c r="W72" s="700"/>
      <c r="X72" s="2676"/>
      <c r="Y72" s="700"/>
      <c r="Z72" s="700"/>
      <c r="AA72" s="700"/>
      <c r="AB72" s="700"/>
      <c r="AC72" s="700"/>
      <c r="AD72" s="2676"/>
      <c r="AE72" s="700"/>
      <c r="AF72" s="700"/>
      <c r="AG72" s="700"/>
      <c r="AH72" s="2676"/>
      <c r="AI72" s="700"/>
      <c r="AJ72" s="700"/>
      <c r="AK72" s="700"/>
      <c r="AL72" s="2676"/>
      <c r="AM72" s="700"/>
      <c r="AN72" s="700"/>
      <c r="AO72" s="700"/>
      <c r="AP72" s="700"/>
      <c r="AQ72" s="700"/>
      <c r="AR72" s="2676"/>
      <c r="AS72" s="700"/>
      <c r="AT72" s="700"/>
      <c r="AU72" s="700"/>
      <c r="AV72" s="2676"/>
      <c r="AW72" s="700"/>
      <c r="AX72" s="700"/>
      <c r="AY72" s="700"/>
      <c r="AZ72" s="2676"/>
      <c r="BA72" s="700"/>
      <c r="BB72" s="700"/>
      <c r="BC72" s="700"/>
      <c r="BD72" s="700"/>
      <c r="BE72" s="700"/>
      <c r="BF72" s="700"/>
      <c r="BG72" s="26"/>
      <c r="BH72" s="26"/>
      <c r="BI72" s="26"/>
      <c r="BJ72" s="26"/>
    </row>
    <row r="73" spans="1:62" x14ac:dyDescent="0.25">
      <c r="B73" s="336" t="s">
        <v>835</v>
      </c>
      <c r="C73" s="1101"/>
      <c r="D73" s="13" t="s">
        <v>52</v>
      </c>
      <c r="E73" s="1106"/>
      <c r="F73" s="442">
        <v>324.81900000000002</v>
      </c>
      <c r="G73" s="1106"/>
      <c r="H73" s="442">
        <v>215.71</v>
      </c>
      <c r="I73" s="779"/>
      <c r="J73" s="53">
        <f>+F73+H73</f>
        <v>540.529</v>
      </c>
      <c r="K73" s="1106"/>
      <c r="L73" s="442">
        <v>264.55</v>
      </c>
      <c r="M73" s="778"/>
      <c r="N73" s="946">
        <f>+F73+H73+L73</f>
        <v>805.07899999999995</v>
      </c>
      <c r="O73" s="1106"/>
      <c r="P73" s="442">
        <v>280.82999999999987</v>
      </c>
      <c r="Q73" s="779"/>
      <c r="R73" s="947">
        <f>+N73+P73</f>
        <v>1085.9089999999999</v>
      </c>
      <c r="S73" s="1013"/>
      <c r="T73" s="2667">
        <v>299.14499999999998</v>
      </c>
      <c r="U73" s="779"/>
      <c r="V73" s="947">
        <f>+R73+T73</f>
        <v>1385.0539999999999</v>
      </c>
      <c r="W73" s="1013"/>
      <c r="X73" s="2667">
        <v>234.02499999999992</v>
      </c>
      <c r="Y73" s="946"/>
      <c r="Z73" s="946">
        <f>+P73+T73+X73</f>
        <v>813.99999999999977</v>
      </c>
      <c r="AA73" s="558"/>
      <c r="AB73" s="546">
        <f>+N73+Z73</f>
        <v>1619.0789999999997</v>
      </c>
      <c r="AC73" s="1013"/>
      <c r="AD73" s="2667">
        <v>299.14499999999992</v>
      </c>
      <c r="AE73" s="779"/>
      <c r="AF73" s="3615">
        <f>+AB73+AD73</f>
        <v>1918.2239999999997</v>
      </c>
      <c r="AG73" s="1013"/>
      <c r="AH73" s="2667">
        <v>293.04000000000002</v>
      </c>
      <c r="AI73" s="779"/>
      <c r="AJ73" s="3615">
        <f>+AF73+AH73</f>
        <v>2211.2639999999997</v>
      </c>
      <c r="AK73" s="1013"/>
      <c r="AL73" s="2667">
        <v>350.02</v>
      </c>
      <c r="AM73" s="4312"/>
      <c r="AN73" s="4312">
        <f>+AD73+AH73+AL73</f>
        <v>942.20499999999993</v>
      </c>
      <c r="AO73" s="779"/>
      <c r="AP73" s="3615">
        <f t="shared" ref="AP73:AP74" si="119">AJ73+AL73</f>
        <v>2561.2839999999997</v>
      </c>
      <c r="AQ73" s="1013"/>
      <c r="AR73" s="2667">
        <v>250.50072575905963</v>
      </c>
      <c r="AS73" s="779"/>
      <c r="AT73" s="3615">
        <f>+AP73+AR73</f>
        <v>2811.7847257590593</v>
      </c>
      <c r="AU73" s="1013"/>
      <c r="AV73" s="2667">
        <v>291.00499999999988</v>
      </c>
      <c r="AW73" s="779"/>
      <c r="AX73" s="3615">
        <f>+AT73+AV73</f>
        <v>3102.7897257590594</v>
      </c>
      <c r="AY73" s="1013"/>
      <c r="AZ73" s="2667">
        <v>278.79500000000002</v>
      </c>
      <c r="BA73" s="5104"/>
      <c r="BB73" s="5104">
        <f>+AR73+AV73+AZ73</f>
        <v>820.30072575905956</v>
      </c>
      <c r="BC73" s="5103"/>
      <c r="BD73" s="546">
        <f t="shared" ref="BD73:BD74" si="120">+AN73+BB73</f>
        <v>1762.5057257590595</v>
      </c>
      <c r="BE73" s="779"/>
      <c r="BF73" s="3615">
        <f>+AX73+AZ73</f>
        <v>3381.5847257590594</v>
      </c>
      <c r="BG73" s="26"/>
      <c r="BH73" s="26"/>
      <c r="BI73" s="26"/>
      <c r="BJ73" s="26"/>
    </row>
    <row r="74" spans="1:62" x14ac:dyDescent="0.25">
      <c r="B74" s="336" t="s">
        <v>833</v>
      </c>
      <c r="C74" s="1101"/>
      <c r="D74" s="13" t="s">
        <v>52</v>
      </c>
      <c r="E74" s="1106"/>
      <c r="F74" s="442">
        <v>1579.4904000000126</v>
      </c>
      <c r="G74" s="1106"/>
      <c r="H74" s="442">
        <v>1325.4179999999806</v>
      </c>
      <c r="I74" s="779"/>
      <c r="J74" s="53">
        <f>+F74+H74</f>
        <v>2904.908399999993</v>
      </c>
      <c r="K74" s="1106"/>
      <c r="L74" s="442">
        <v>1282.5349999999839</v>
      </c>
      <c r="M74" s="778"/>
      <c r="N74" s="946">
        <f>+F74+H74+L74</f>
        <v>4187.4433999999765</v>
      </c>
      <c r="O74" s="1106"/>
      <c r="P74" s="442">
        <v>1592.514877184261</v>
      </c>
      <c r="Q74" s="779"/>
      <c r="R74" s="947">
        <f>+N74+P74</f>
        <v>5779.9582771842379</v>
      </c>
      <c r="S74" s="1013"/>
      <c r="T74" s="2667">
        <v>1587.8809999999976</v>
      </c>
      <c r="U74" s="779"/>
      <c r="V74" s="947">
        <f>+R74+T74</f>
        <v>7367.8392771842355</v>
      </c>
      <c r="W74" s="1013"/>
      <c r="X74" s="2667">
        <v>1272.4169999999979</v>
      </c>
      <c r="Y74" s="778"/>
      <c r="Z74" s="946">
        <f>+P74+T74+X74</f>
        <v>4452.8128771842566</v>
      </c>
      <c r="AA74" s="558"/>
      <c r="AB74" s="546">
        <f>+N74+Z74</f>
        <v>8640.2562771842331</v>
      </c>
      <c r="AC74" s="1013"/>
      <c r="AD74" s="2667">
        <v>1175.720999999998</v>
      </c>
      <c r="AE74" s="779"/>
      <c r="AF74" s="3615">
        <f>+AB74+AD74</f>
        <v>9815.9772771842308</v>
      </c>
      <c r="AG74" s="1013"/>
      <c r="AH74" s="2667">
        <v>1099.7875631480224</v>
      </c>
      <c r="AI74" s="779"/>
      <c r="AJ74" s="3615">
        <f>+AF74+AH74</f>
        <v>10915.764840332253</v>
      </c>
      <c r="AK74" s="1013"/>
      <c r="AL74" s="2667">
        <v>1086.3206159999975</v>
      </c>
      <c r="AM74" s="778"/>
      <c r="AN74" s="4312">
        <f>+AD74+AH74+AL74</f>
        <v>3361.8291791480178</v>
      </c>
      <c r="AO74" s="779"/>
      <c r="AP74" s="3615">
        <f t="shared" si="119"/>
        <v>12002.08545633225</v>
      </c>
      <c r="AQ74" s="1013"/>
      <c r="AR74" s="2667">
        <v>1144.8762634671884</v>
      </c>
      <c r="AS74" s="779"/>
      <c r="AT74" s="3615">
        <f>+AP74+AR74</f>
        <v>13146.961719799438</v>
      </c>
      <c r="AU74" s="1013"/>
      <c r="AV74" s="2667">
        <v>1047.6389999999997</v>
      </c>
      <c r="AW74" s="779"/>
      <c r="AX74" s="3615">
        <f>+AT74+AV74</f>
        <v>14194.600719799437</v>
      </c>
      <c r="AY74" s="1013"/>
      <c r="AZ74" s="2667">
        <v>1117.1279999999986</v>
      </c>
      <c r="BA74" s="778"/>
      <c r="BB74" s="5104">
        <f>+AR74+AV74+AZ74</f>
        <v>3309.6432634671864</v>
      </c>
      <c r="BC74" s="5103"/>
      <c r="BD74" s="546">
        <f t="shared" si="120"/>
        <v>6671.4724426152043</v>
      </c>
      <c r="BE74" s="779"/>
      <c r="BF74" s="3615">
        <f>+AX74+AZ74</f>
        <v>15311.728719799436</v>
      </c>
      <c r="BG74" s="26"/>
      <c r="BH74" s="26"/>
      <c r="BI74" s="26"/>
      <c r="BJ74" s="26"/>
    </row>
    <row r="75" spans="1:62" x14ac:dyDescent="0.25">
      <c r="B75" s="774" t="s">
        <v>856</v>
      </c>
      <c r="C75" s="774"/>
      <c r="D75" s="242" t="s">
        <v>52</v>
      </c>
      <c r="E75" s="1106"/>
      <c r="F75" s="442">
        <f>SUM(F73:F74)</f>
        <v>1904.3094000000126</v>
      </c>
      <c r="G75" s="1106"/>
      <c r="H75" s="442">
        <f>SUM(H73:H74)</f>
        <v>1541.1279999999806</v>
      </c>
      <c r="I75" s="779"/>
      <c r="J75" s="443">
        <f>SUM(J73:J74)</f>
        <v>3445.437399999993</v>
      </c>
      <c r="K75" s="1106"/>
      <c r="L75" s="442">
        <f>SUM(L73:L74)</f>
        <v>1547.0849999999839</v>
      </c>
      <c r="M75" s="778"/>
      <c r="N75" s="533">
        <f>SUM(N73:N74)</f>
        <v>4992.5223999999762</v>
      </c>
      <c r="O75" s="1106"/>
      <c r="P75" s="442">
        <f>SUM(P73:P74)</f>
        <v>1873.3448771842609</v>
      </c>
      <c r="Q75" s="779"/>
      <c r="R75" s="443">
        <f>SUM(R73:R74)</f>
        <v>6865.8672771842375</v>
      </c>
      <c r="S75" s="1013"/>
      <c r="T75" s="2667">
        <f>SUM(T73:T74)</f>
        <v>1887.0259999999976</v>
      </c>
      <c r="U75" s="779"/>
      <c r="V75" s="443">
        <f>SUM(V73:V74)</f>
        <v>8752.8932771842356</v>
      </c>
      <c r="W75" s="1013"/>
      <c r="X75" s="2667">
        <f>SUM(X73:X74)</f>
        <v>1506.4419999999977</v>
      </c>
      <c r="Y75" s="778"/>
      <c r="Z75" s="533">
        <f>SUM(Z73:Z74)</f>
        <v>5266.8128771842566</v>
      </c>
      <c r="AA75" s="1014"/>
      <c r="AB75" s="564">
        <f>SUM(AB73:AB74)</f>
        <v>10259.335277184233</v>
      </c>
      <c r="AC75" s="1013"/>
      <c r="AD75" s="2667">
        <f>SUM(AD73:AD74)</f>
        <v>1474.8659999999979</v>
      </c>
      <c r="AE75" s="779"/>
      <c r="AF75" s="443">
        <f>SUM(AF73:AF74)</f>
        <v>11734.201277184231</v>
      </c>
      <c r="AG75" s="1013"/>
      <c r="AH75" s="2667">
        <f>SUM(AH73:AH74)</f>
        <v>1392.8275631480224</v>
      </c>
      <c r="AI75" s="779"/>
      <c r="AJ75" s="443">
        <f>SUM(AJ73:AJ74)</f>
        <v>13127.028840332252</v>
      </c>
      <c r="AK75" s="1013"/>
      <c r="AL75" s="2667">
        <f>SUM(AL73:AL74)</f>
        <v>1436.3406159999975</v>
      </c>
      <c r="AM75" s="778"/>
      <c r="AN75" s="533">
        <f>SUM(AN73:AN74)</f>
        <v>4304.0341791480178</v>
      </c>
      <c r="AO75" s="779"/>
      <c r="AP75" s="443">
        <f>SUM(AP73:AP74)</f>
        <v>14563.36945633225</v>
      </c>
      <c r="AQ75" s="1013"/>
      <c r="AR75" s="2667">
        <f>SUM(AR73:AR74)</f>
        <v>1395.376989226248</v>
      </c>
      <c r="AS75" s="779"/>
      <c r="AT75" s="443">
        <f>SUM(AT73:AT74)</f>
        <v>15958.746445558496</v>
      </c>
      <c r="AU75" s="1013"/>
      <c r="AV75" s="2667">
        <f>SUM(AV73:AV74)</f>
        <v>1338.6439999999996</v>
      </c>
      <c r="AW75" s="779"/>
      <c r="AX75" s="443">
        <f>SUM(AX73:AX74)</f>
        <v>17297.390445558496</v>
      </c>
      <c r="AY75" s="1013"/>
      <c r="AZ75" s="2667">
        <f>SUM(AZ73:AZ74)</f>
        <v>1395.9229999999986</v>
      </c>
      <c r="BA75" s="778"/>
      <c r="BB75" s="533">
        <f>SUM(BB73:BB74)</f>
        <v>4129.9439892262462</v>
      </c>
      <c r="BC75" s="1014"/>
      <c r="BD75" s="564">
        <f>SUM(BD73:BD74)</f>
        <v>8433.978168374264</v>
      </c>
      <c r="BE75" s="779"/>
      <c r="BF75" s="443">
        <f>SUM(BF73:BF74)</f>
        <v>18693.313445558495</v>
      </c>
      <c r="BG75" s="26"/>
      <c r="BH75" s="26"/>
      <c r="BI75" s="26"/>
      <c r="BJ75" s="26"/>
    </row>
    <row r="76" spans="1:62" x14ac:dyDescent="0.25">
      <c r="B76" s="774" t="s">
        <v>852</v>
      </c>
      <c r="C76" s="774"/>
      <c r="D76" s="242" t="s">
        <v>51</v>
      </c>
      <c r="E76" s="1106"/>
      <c r="F76" s="525">
        <f>+F75/F5</f>
        <v>2.6014786128721837E-2</v>
      </c>
      <c r="G76" s="1106"/>
      <c r="H76" s="525">
        <f>+H75/H5</f>
        <v>2.6347267880188055E-2</v>
      </c>
      <c r="I76" s="779"/>
      <c r="J76" s="526">
        <f>+J75/J5</f>
        <v>2.6162460509950834E-2</v>
      </c>
      <c r="K76" s="1106"/>
      <c r="L76" s="525">
        <f>+L75/L5</f>
        <v>2.7334053249534421E-2</v>
      </c>
      <c r="M76" s="778"/>
      <c r="N76" s="532">
        <f>+N75/N5</f>
        <v>2.651463051894035E-2</v>
      </c>
      <c r="O76" s="1106"/>
      <c r="P76" s="525">
        <f>+P75/P5</f>
        <v>2.4299876369531872E-2</v>
      </c>
      <c r="Q76" s="779"/>
      <c r="R76" s="531">
        <f>+R75/R5</f>
        <v>2.5871259685977418E-2</v>
      </c>
      <c r="S76" s="1013"/>
      <c r="T76" s="2668">
        <f>+T75/T5</f>
        <v>2.2279099719061678E-2</v>
      </c>
      <c r="U76" s="779"/>
      <c r="V76" s="2191">
        <f>+V75/V5</f>
        <v>2.5002175047746822E-2</v>
      </c>
      <c r="W76" s="1013"/>
      <c r="X76" s="2668">
        <f>+X75/X5</f>
        <v>2.1905532784298784E-2</v>
      </c>
      <c r="Y76" s="778"/>
      <c r="Z76" s="527">
        <f>+Z75/Z5</f>
        <v>2.2843360328784396E-2</v>
      </c>
      <c r="AA76" s="1014"/>
      <c r="AB76" s="797">
        <f>+AB75/AB5</f>
        <v>2.4493751431796659E-2</v>
      </c>
      <c r="AC76" s="1013"/>
      <c r="AD76" s="2668">
        <f>+AD75/AD5</f>
        <v>2.3244667228266794E-2</v>
      </c>
      <c r="AE76" s="779"/>
      <c r="AF76" s="2191">
        <f>+AF75/AF5</f>
        <v>2.4329428069274218E-2</v>
      </c>
      <c r="AG76" s="1013"/>
      <c r="AH76" s="2668">
        <f>+AH75/AH5</f>
        <v>2.2635364465758884E-2</v>
      </c>
      <c r="AI76" s="779"/>
      <c r="AJ76" s="2191">
        <f>+AJ75/AJ5</f>
        <v>2.4137751098177462E-2</v>
      </c>
      <c r="AK76" s="1013"/>
      <c r="AL76" s="2668">
        <f>+AL75/AL5</f>
        <v>2.0446647843888392E-2</v>
      </c>
      <c r="AM76" s="778"/>
      <c r="AN76" s="527">
        <f>+AN75/AN5</f>
        <v>2.2045840627775825E-2</v>
      </c>
      <c r="AO76" s="779"/>
      <c r="AP76" s="2191">
        <f>+AP75/AP5</f>
        <v>2.3715508454966394E-2</v>
      </c>
      <c r="AQ76" s="1013"/>
      <c r="AR76" s="2668">
        <f>+AR75/AR5</f>
        <v>1.8962941165427832E-2</v>
      </c>
      <c r="AS76" s="779"/>
      <c r="AT76" s="2191">
        <f>+AT75/AT5</f>
        <v>2.3206958540551926E-2</v>
      </c>
      <c r="AU76" s="1013"/>
      <c r="AV76" s="2668">
        <f>+AV75/AV5</f>
        <v>1.9741460259347303E-2</v>
      </c>
      <c r="AW76" s="779"/>
      <c r="AX76" s="2191">
        <f>+AX75/AX5</f>
        <v>2.2895909532008651E-2</v>
      </c>
      <c r="AY76" s="1013"/>
      <c r="AZ76" s="2668">
        <f>+AZ75/AZ5</f>
        <v>1.9329730383021722E-2</v>
      </c>
      <c r="BA76" s="778"/>
      <c r="BB76" s="527">
        <f>+BB75/BB5</f>
        <v>1.9334079076633093E-2</v>
      </c>
      <c r="BC76" s="1014"/>
      <c r="BD76" s="797">
        <f>+BD75/BD5</f>
        <v>2.0629009549999584E-2</v>
      </c>
      <c r="BE76" s="779"/>
      <c r="BF76" s="2191">
        <f>+BF75/BF5</f>
        <v>2.258476080386344E-2</v>
      </c>
      <c r="BG76" s="26"/>
      <c r="BH76" s="26"/>
      <c r="BI76" s="26"/>
      <c r="BJ76" s="26"/>
    </row>
    <row r="77" spans="1:62" x14ac:dyDescent="0.25">
      <c r="B77" s="774" t="s">
        <v>855</v>
      </c>
      <c r="C77" s="774"/>
      <c r="D77" s="242" t="s">
        <v>52</v>
      </c>
      <c r="E77" s="1106"/>
      <c r="F77" s="442">
        <f>+F53</f>
        <v>153.95599999999999</v>
      </c>
      <c r="G77" s="1106"/>
      <c r="H77" s="442">
        <f>+H53</f>
        <v>65.570999999999998</v>
      </c>
      <c r="I77" s="779"/>
      <c r="J77" s="443">
        <f>+J53</f>
        <v>219.52699999999999</v>
      </c>
      <c r="K77" s="1106"/>
      <c r="L77" s="442">
        <f>+L53</f>
        <v>61.510999999999996</v>
      </c>
      <c r="M77" s="778"/>
      <c r="N77" s="533">
        <f>+N53</f>
        <v>281.03800000000001</v>
      </c>
      <c r="O77" s="1106"/>
      <c r="P77" s="442">
        <f>+P53</f>
        <v>132.25900000000001</v>
      </c>
      <c r="Q77" s="779"/>
      <c r="R77" s="443">
        <f>+R53</f>
        <v>413.29699999999991</v>
      </c>
      <c r="S77" s="1013"/>
      <c r="T77" s="2667">
        <f>+T53</f>
        <v>63.209000000000003</v>
      </c>
      <c r="U77" s="779"/>
      <c r="V77" s="443">
        <f>+V53</f>
        <v>476.50599999999991</v>
      </c>
      <c r="W77" s="1013"/>
      <c r="X77" s="2667">
        <f>+X53</f>
        <v>118.21199999999999</v>
      </c>
      <c r="Y77" s="778"/>
      <c r="Z77" s="533">
        <f>+Z53</f>
        <v>313.67999999999995</v>
      </c>
      <c r="AA77" s="1014"/>
      <c r="AB77" s="564">
        <f>+AB53</f>
        <v>594.71799999999996</v>
      </c>
      <c r="AC77" s="1013"/>
      <c r="AD77" s="2667">
        <f>+AD53</f>
        <v>67.777999999999992</v>
      </c>
      <c r="AE77" s="779"/>
      <c r="AF77" s="443">
        <f>+AF53</f>
        <v>662.49599999999998</v>
      </c>
      <c r="AG77" s="1013"/>
      <c r="AH77" s="2667">
        <f>+AH53</f>
        <v>176.99299999999999</v>
      </c>
      <c r="AI77" s="779"/>
      <c r="AJ77" s="443">
        <f>+AJ53</f>
        <v>839.48899999999992</v>
      </c>
      <c r="AK77" s="1013"/>
      <c r="AL77" s="2667">
        <f>+AL53</f>
        <v>59.137999999999998</v>
      </c>
      <c r="AM77" s="778"/>
      <c r="AN77" s="533">
        <f>+AN53</f>
        <v>303.90899999999999</v>
      </c>
      <c r="AO77" s="779"/>
      <c r="AP77" s="443">
        <f>+AP53</f>
        <v>898.62700000000007</v>
      </c>
      <c r="AQ77" s="1013"/>
      <c r="AR77" s="2667">
        <f>+AR53</f>
        <v>19.369</v>
      </c>
      <c r="AS77" s="779"/>
      <c r="AT77" s="443">
        <f>+AT53</f>
        <v>917.99599999999987</v>
      </c>
      <c r="AU77" s="1013"/>
      <c r="AV77" s="2667">
        <f>+AV53</f>
        <v>71.501999999999995</v>
      </c>
      <c r="AW77" s="779"/>
      <c r="AX77" s="443">
        <f>+AX53</f>
        <v>989.49799999999993</v>
      </c>
      <c r="AY77" s="1013"/>
      <c r="AZ77" s="2667">
        <f>+AZ53</f>
        <v>19.736999999999998</v>
      </c>
      <c r="BA77" s="778"/>
      <c r="BB77" s="533">
        <f>+BB53</f>
        <v>110.608</v>
      </c>
      <c r="BC77" s="1014"/>
      <c r="BD77" s="564">
        <f>+BD53</f>
        <v>414.517</v>
      </c>
      <c r="BE77" s="779"/>
      <c r="BF77" s="443">
        <f>+BF53</f>
        <v>1009.2349999999999</v>
      </c>
      <c r="BG77" s="26"/>
      <c r="BH77" s="26"/>
      <c r="BI77" s="26"/>
      <c r="BJ77" s="26"/>
    </row>
    <row r="78" spans="1:62" x14ac:dyDescent="0.25">
      <c r="B78" s="336" t="s">
        <v>836</v>
      </c>
      <c r="C78" s="1101"/>
      <c r="D78" s="13" t="s">
        <v>52</v>
      </c>
      <c r="E78" s="1106"/>
      <c r="F78" s="442">
        <v>1098.0156000000002</v>
      </c>
      <c r="G78" s="1106"/>
      <c r="H78" s="442">
        <v>824.70000000000061</v>
      </c>
      <c r="I78" s="779"/>
      <c r="J78" s="53">
        <f>+F78+H78</f>
        <v>1922.7156000000009</v>
      </c>
      <c r="K78" s="1106"/>
      <c r="L78" s="442">
        <v>798.24000000000035</v>
      </c>
      <c r="M78" s="778"/>
      <c r="N78" s="946">
        <f>+F78+H78+L78</f>
        <v>2720.9556000000011</v>
      </c>
      <c r="O78" s="1106"/>
      <c r="P78" s="442">
        <v>1090.1991228157412</v>
      </c>
      <c r="Q78" s="779"/>
      <c r="R78" s="947">
        <f>+N78+P78</f>
        <v>3811.1547228157424</v>
      </c>
      <c r="S78" s="1013"/>
      <c r="T78" s="2667">
        <v>1198.4470000000019</v>
      </c>
      <c r="U78" s="779"/>
      <c r="V78" s="947">
        <f>+R78+T78</f>
        <v>5009.6017228157443</v>
      </c>
      <c r="W78" s="1013"/>
      <c r="X78" s="2667">
        <v>974.49000000000206</v>
      </c>
      <c r="Y78" s="778"/>
      <c r="Z78" s="946">
        <f>+P78+T78+X78</f>
        <v>3263.1361228157452</v>
      </c>
      <c r="AA78" s="558"/>
      <c r="AB78" s="546">
        <f>+N78+Z78</f>
        <v>5984.0917228157468</v>
      </c>
      <c r="AC78" s="1013"/>
      <c r="AD78" s="2667">
        <v>896.77400000000171</v>
      </c>
      <c r="AE78" s="779"/>
      <c r="AF78" s="3615">
        <f>+AB78+AD78</f>
        <v>6880.8657228157481</v>
      </c>
      <c r="AG78" s="1013"/>
      <c r="AH78" s="2667">
        <v>909.04343685197762</v>
      </c>
      <c r="AI78" s="779"/>
      <c r="AJ78" s="3615">
        <f>+AF78+AH78</f>
        <v>7789.9091596677254</v>
      </c>
      <c r="AK78" s="1013"/>
      <c r="AL78" s="2667">
        <v>1208.2693839999997</v>
      </c>
      <c r="AM78" s="778"/>
      <c r="AN78" s="4312">
        <f>+AD78+AH78+AL78</f>
        <v>3014.0868208519792</v>
      </c>
      <c r="AO78" s="779"/>
      <c r="AP78" s="3615">
        <f t="shared" ref="AP78" si="121">AJ78+AL78</f>
        <v>8998.1785436677255</v>
      </c>
      <c r="AQ78" s="1013"/>
      <c r="AR78" s="2667">
        <v>1264.3450000000003</v>
      </c>
      <c r="AS78" s="779"/>
      <c r="AT78" s="3615">
        <f>+AP78+AR78</f>
        <v>10262.523543667725</v>
      </c>
      <c r="AU78" s="1013"/>
      <c r="AV78" s="2667">
        <v>1167.1770000000001</v>
      </c>
      <c r="AW78" s="779"/>
      <c r="AX78" s="3615">
        <f>+AT78+AV78</f>
        <v>11429.700543667725</v>
      </c>
      <c r="AY78" s="1013"/>
      <c r="AZ78" s="2667">
        <v>1241.3670000000006</v>
      </c>
      <c r="BA78" s="778"/>
      <c r="BB78" s="5104">
        <f>+AR78+AV78+AZ78</f>
        <v>3672.889000000001</v>
      </c>
      <c r="BC78" s="5103"/>
      <c r="BD78" s="546">
        <f t="shared" ref="BD78" si="122">+AN78+BB78</f>
        <v>6686.9758208519797</v>
      </c>
      <c r="BE78" s="779"/>
      <c r="BF78" s="3615">
        <f>+AX78+AZ78</f>
        <v>12671.067543667725</v>
      </c>
      <c r="BG78" s="26"/>
      <c r="BH78" s="26"/>
      <c r="BI78" s="26"/>
      <c r="BJ78" s="26"/>
    </row>
    <row r="79" spans="1:62" x14ac:dyDescent="0.25">
      <c r="B79" s="188"/>
      <c r="C79" s="188"/>
      <c r="D79" s="188"/>
      <c r="E79" s="700"/>
      <c r="F79" s="700"/>
      <c r="G79" s="700"/>
      <c r="H79" s="700"/>
      <c r="I79" s="700"/>
      <c r="J79" s="700"/>
      <c r="K79" s="700"/>
      <c r="L79" s="700"/>
      <c r="M79" s="700"/>
      <c r="N79" s="700"/>
      <c r="O79" s="700"/>
      <c r="P79" s="700"/>
      <c r="Q79" s="700"/>
      <c r="R79" s="700"/>
      <c r="S79" s="700"/>
      <c r="T79" s="2676"/>
      <c r="U79" s="700"/>
      <c r="V79" s="700"/>
      <c r="W79" s="700"/>
      <c r="X79" s="2676"/>
      <c r="Y79" s="700"/>
      <c r="Z79" s="700"/>
      <c r="AA79" s="700"/>
      <c r="AB79" s="700"/>
      <c r="AC79" s="700"/>
      <c r="AD79" s="2676"/>
      <c r="AE79" s="700"/>
      <c r="AF79" s="700"/>
      <c r="AG79" s="700"/>
      <c r="AH79" s="2676"/>
      <c r="AI79" s="700"/>
      <c r="AJ79" s="700"/>
      <c r="AK79" s="700"/>
      <c r="AL79" s="2676"/>
      <c r="AM79" s="700"/>
      <c r="AN79" s="700"/>
      <c r="AO79" s="700"/>
      <c r="AP79" s="700"/>
      <c r="AQ79" s="700"/>
      <c r="AR79" s="2676"/>
      <c r="AS79" s="700"/>
      <c r="AT79" s="700"/>
      <c r="AU79" s="700"/>
      <c r="AV79" s="2676"/>
      <c r="AW79" s="700"/>
      <c r="AX79" s="700"/>
      <c r="AY79" s="700"/>
      <c r="AZ79" s="2676"/>
      <c r="BA79" s="700"/>
      <c r="BB79" s="700"/>
      <c r="BC79" s="700"/>
      <c r="BD79" s="700"/>
      <c r="BE79" s="700"/>
      <c r="BF79" s="700"/>
      <c r="BG79" s="26"/>
      <c r="BH79" s="26"/>
      <c r="BI79" s="26"/>
      <c r="BJ79" s="26"/>
    </row>
    <row r="80" spans="1:62" ht="18.75" x14ac:dyDescent="0.3">
      <c r="B80" s="1086" t="s">
        <v>857</v>
      </c>
      <c r="C80" s="1086"/>
      <c r="D80" s="188"/>
      <c r="E80" s="700"/>
      <c r="F80" s="700"/>
      <c r="G80" s="700"/>
      <c r="H80" s="700"/>
      <c r="I80" s="700"/>
      <c r="J80" s="700"/>
      <c r="K80" s="700"/>
      <c r="L80" s="700"/>
      <c r="M80" s="700"/>
      <c r="N80" s="700"/>
      <c r="O80" s="700"/>
      <c r="P80" s="700"/>
      <c r="Q80" s="700"/>
      <c r="R80" s="700"/>
      <c r="S80" s="700"/>
      <c r="T80" s="2676"/>
      <c r="U80" s="700"/>
      <c r="V80" s="700"/>
      <c r="W80" s="700"/>
      <c r="X80" s="2676"/>
      <c r="Y80" s="700"/>
      <c r="Z80" s="700"/>
      <c r="AA80" s="700"/>
      <c r="AB80" s="700"/>
      <c r="AC80" s="700"/>
      <c r="AD80" s="2676"/>
      <c r="AE80" s="700"/>
      <c r="AF80" s="700"/>
      <c r="AG80" s="700"/>
      <c r="AH80" s="2676"/>
      <c r="AI80" s="700"/>
      <c r="AJ80" s="700"/>
      <c r="AK80" s="700"/>
      <c r="AL80" s="2676"/>
      <c r="AM80" s="700"/>
      <c r="AN80" s="700"/>
      <c r="AO80" s="700"/>
      <c r="AP80" s="700"/>
      <c r="AQ80" s="700"/>
      <c r="AR80" s="2676"/>
      <c r="AS80" s="700"/>
      <c r="AT80" s="700"/>
      <c r="AU80" s="700"/>
      <c r="AV80" s="2676"/>
      <c r="AW80" s="700"/>
      <c r="AX80" s="700"/>
      <c r="AY80" s="700"/>
      <c r="AZ80" s="2676"/>
      <c r="BA80" s="700"/>
      <c r="BB80" s="700"/>
      <c r="BC80" s="700"/>
      <c r="BD80" s="700"/>
      <c r="BE80" s="700"/>
      <c r="BF80" s="700"/>
      <c r="BG80" s="26"/>
      <c r="BH80" s="26"/>
      <c r="BI80" s="26"/>
      <c r="BJ80" s="26"/>
    </row>
    <row r="81" spans="2:62" x14ac:dyDescent="0.25">
      <c r="B81" s="336" t="s">
        <v>858</v>
      </c>
      <c r="C81" s="336"/>
      <c r="D81" s="193" t="s">
        <v>52</v>
      </c>
      <c r="E81" s="967"/>
      <c r="F81" s="442">
        <f>+F5</f>
        <v>73201.040000000008</v>
      </c>
      <c r="G81" s="967"/>
      <c r="H81" s="442">
        <f>+H5</f>
        <v>58492.896000000008</v>
      </c>
      <c r="I81" s="1102"/>
      <c r="J81" s="443">
        <f>+J5</f>
        <v>131693.93600000002</v>
      </c>
      <c r="K81" s="967"/>
      <c r="L81" s="442">
        <f>+L5</f>
        <v>56599.180000000008</v>
      </c>
      <c r="M81" s="1103"/>
      <c r="N81" s="533">
        <f>+N5</f>
        <v>188293.11600000004</v>
      </c>
      <c r="O81" s="967"/>
      <c r="P81" s="442">
        <f>+P5</f>
        <v>77092.77399999999</v>
      </c>
      <c r="Q81" s="1102"/>
      <c r="R81" s="443">
        <f>+R5</f>
        <v>265385.89</v>
      </c>
      <c r="S81" s="2088"/>
      <c r="T81" s="2667">
        <f>+T5</f>
        <v>84699.383000000002</v>
      </c>
      <c r="U81" s="1102"/>
      <c r="V81" s="443">
        <f>+V5</f>
        <v>350085.27300000004</v>
      </c>
      <c r="W81" s="2088"/>
      <c r="X81" s="2667">
        <f>+X5</f>
        <v>68769.931999999986</v>
      </c>
      <c r="Y81" s="1103"/>
      <c r="Z81" s="533">
        <f>+Z5</f>
        <v>230562.08899999998</v>
      </c>
      <c r="AA81" s="1104"/>
      <c r="AB81" s="564">
        <f>+AB5</f>
        <v>418855.20500000002</v>
      </c>
      <c r="AC81" s="2088"/>
      <c r="AD81" s="2667">
        <f>+AD5</f>
        <v>63449.649999999987</v>
      </c>
      <c r="AE81" s="1102"/>
      <c r="AF81" s="443">
        <f>+AF5</f>
        <v>482304.85499999998</v>
      </c>
      <c r="AG81" s="2088"/>
      <c r="AH81" s="2667">
        <f>+AH5</f>
        <v>61533.251000000004</v>
      </c>
      <c r="AI81" s="1102"/>
      <c r="AJ81" s="443">
        <f>+AJ5</f>
        <v>543838.10600000003</v>
      </c>
      <c r="AK81" s="2088"/>
      <c r="AL81" s="2667">
        <f>+AL5</f>
        <v>70248.22</v>
      </c>
      <c r="AM81" s="1103"/>
      <c r="AN81" s="533">
        <f>+AN5</f>
        <v>195231.12099999998</v>
      </c>
      <c r="AO81" s="1102"/>
      <c r="AP81" s="443">
        <f>+AP5</f>
        <v>614086.326</v>
      </c>
      <c r="AQ81" s="2088"/>
      <c r="AR81" s="2667">
        <f>+AR5</f>
        <v>73584.417999999961</v>
      </c>
      <c r="AS81" s="1102"/>
      <c r="AT81" s="443">
        <f>+AT5</f>
        <v>687670.74399999995</v>
      </c>
      <c r="AU81" s="2088"/>
      <c r="AV81" s="2667">
        <f>+AV5</f>
        <v>67808.762999999992</v>
      </c>
      <c r="AW81" s="1102"/>
      <c r="AX81" s="443">
        <f>+AX5</f>
        <v>755479.50699999998</v>
      </c>
      <c r="AY81" s="2088"/>
      <c r="AZ81" s="2667">
        <f>+AZ5</f>
        <v>72216.371999999974</v>
      </c>
      <c r="BA81" s="1103"/>
      <c r="BB81" s="533">
        <f>+BB5</f>
        <v>213609.55299999993</v>
      </c>
      <c r="BC81" s="1104"/>
      <c r="BD81" s="564">
        <f>+BD5</f>
        <v>408840.67399999988</v>
      </c>
      <c r="BE81" s="1102"/>
      <c r="BF81" s="443">
        <f>+BF5</f>
        <v>827695.87899999996</v>
      </c>
      <c r="BG81" s="26"/>
      <c r="BH81" s="26"/>
      <c r="BI81" s="26"/>
      <c r="BJ81" s="26"/>
    </row>
    <row r="82" spans="2:62" ht="30" x14ac:dyDescent="0.25">
      <c r="B82" s="1105" t="s">
        <v>863</v>
      </c>
      <c r="C82" s="1105"/>
      <c r="D82" s="193" t="s">
        <v>52</v>
      </c>
      <c r="E82" s="967"/>
      <c r="F82" s="442">
        <f>+F75</f>
        <v>1904.3094000000126</v>
      </c>
      <c r="G82" s="967"/>
      <c r="H82" s="442">
        <f>+H75</f>
        <v>1541.1279999999806</v>
      </c>
      <c r="I82" s="1102"/>
      <c r="J82" s="443">
        <f>+J75</f>
        <v>3445.437399999993</v>
      </c>
      <c r="K82" s="967"/>
      <c r="L82" s="442">
        <f>+L75</f>
        <v>1547.0849999999839</v>
      </c>
      <c r="M82" s="1103"/>
      <c r="N82" s="533">
        <f>+N75</f>
        <v>4992.5223999999762</v>
      </c>
      <c r="O82" s="967"/>
      <c r="P82" s="442">
        <f>+P75</f>
        <v>1873.3448771842609</v>
      </c>
      <c r="Q82" s="1102"/>
      <c r="R82" s="443">
        <f>+R75</f>
        <v>6865.8672771842375</v>
      </c>
      <c r="S82" s="2088"/>
      <c r="T82" s="2667">
        <f>+T75</f>
        <v>1887.0259999999976</v>
      </c>
      <c r="U82" s="1102"/>
      <c r="V82" s="443">
        <f>+V75</f>
        <v>8752.8932771842356</v>
      </c>
      <c r="W82" s="2088"/>
      <c r="X82" s="2667">
        <f>+X75</f>
        <v>1506.4419999999977</v>
      </c>
      <c r="Y82" s="1103"/>
      <c r="Z82" s="533">
        <f>+Z75</f>
        <v>5266.8128771842566</v>
      </c>
      <c r="AA82" s="1104"/>
      <c r="AB82" s="564">
        <f>+AB75</f>
        <v>10259.335277184233</v>
      </c>
      <c r="AC82" s="2088"/>
      <c r="AD82" s="2667">
        <f>+AD75</f>
        <v>1474.8659999999979</v>
      </c>
      <c r="AE82" s="1102"/>
      <c r="AF82" s="443">
        <f>+AF75</f>
        <v>11734.201277184231</v>
      </c>
      <c r="AG82" s="2088"/>
      <c r="AH82" s="2667">
        <f>+AH75</f>
        <v>1392.8275631480224</v>
      </c>
      <c r="AI82" s="1102"/>
      <c r="AJ82" s="443">
        <f>+AJ75</f>
        <v>13127.028840332252</v>
      </c>
      <c r="AK82" s="2088"/>
      <c r="AL82" s="2667">
        <f>+AL75</f>
        <v>1436.3406159999975</v>
      </c>
      <c r="AM82" s="1103"/>
      <c r="AN82" s="533">
        <f>+AN75</f>
        <v>4304.0341791480178</v>
      </c>
      <c r="AO82" s="1102"/>
      <c r="AP82" s="443">
        <f>+AP75</f>
        <v>14563.36945633225</v>
      </c>
      <c r="AQ82" s="2088"/>
      <c r="AR82" s="2667">
        <f>+AR75</f>
        <v>1395.376989226248</v>
      </c>
      <c r="AS82" s="1102"/>
      <c r="AT82" s="443">
        <f>+AT75</f>
        <v>15958.746445558496</v>
      </c>
      <c r="AU82" s="2088"/>
      <c r="AV82" s="2667">
        <f>+AV75</f>
        <v>1338.6439999999996</v>
      </c>
      <c r="AW82" s="1102"/>
      <c r="AX82" s="443">
        <f>+AX75</f>
        <v>17297.390445558496</v>
      </c>
      <c r="AY82" s="2088"/>
      <c r="AZ82" s="2667">
        <f>+AZ75</f>
        <v>1395.9229999999986</v>
      </c>
      <c r="BA82" s="1103"/>
      <c r="BB82" s="533">
        <f>+BB75</f>
        <v>4129.9439892262462</v>
      </c>
      <c r="BC82" s="1104"/>
      <c r="BD82" s="564">
        <f>+BD75</f>
        <v>8433.978168374264</v>
      </c>
      <c r="BE82" s="1102"/>
      <c r="BF82" s="443">
        <f>+BF75</f>
        <v>18693.313445558495</v>
      </c>
      <c r="BG82" s="26"/>
      <c r="BH82" s="26"/>
      <c r="BI82" s="26"/>
      <c r="BJ82" s="26"/>
    </row>
    <row r="83" spans="2:62" x14ac:dyDescent="0.25">
      <c r="B83" s="336" t="s">
        <v>834</v>
      </c>
      <c r="C83" s="336"/>
      <c r="D83" s="193" t="s">
        <v>52</v>
      </c>
      <c r="E83" s="967"/>
      <c r="F83" s="442">
        <f>+F78</f>
        <v>1098.0156000000002</v>
      </c>
      <c r="G83" s="967"/>
      <c r="H83" s="442">
        <f>+H78</f>
        <v>824.70000000000061</v>
      </c>
      <c r="I83" s="1102"/>
      <c r="J83" s="443">
        <f>+J78</f>
        <v>1922.7156000000009</v>
      </c>
      <c r="K83" s="967"/>
      <c r="L83" s="442">
        <f>+L78</f>
        <v>798.24000000000035</v>
      </c>
      <c r="M83" s="1103"/>
      <c r="N83" s="533">
        <f>+N78</f>
        <v>2720.9556000000011</v>
      </c>
      <c r="O83" s="967"/>
      <c r="P83" s="442">
        <f>+P78</f>
        <v>1090.1991228157412</v>
      </c>
      <c r="Q83" s="1102"/>
      <c r="R83" s="443">
        <f>+R78</f>
        <v>3811.1547228157424</v>
      </c>
      <c r="S83" s="2088"/>
      <c r="T83" s="2667">
        <f>+T78</f>
        <v>1198.4470000000019</v>
      </c>
      <c r="U83" s="1102"/>
      <c r="V83" s="443">
        <f>+V78</f>
        <v>5009.6017228157443</v>
      </c>
      <c r="W83" s="2088"/>
      <c r="X83" s="2667">
        <f>+X78</f>
        <v>974.49000000000206</v>
      </c>
      <c r="Y83" s="1103"/>
      <c r="Z83" s="533">
        <f>+Z78</f>
        <v>3263.1361228157452</v>
      </c>
      <c r="AA83" s="1104"/>
      <c r="AB83" s="564">
        <f>+AB78</f>
        <v>5984.0917228157468</v>
      </c>
      <c r="AC83" s="2088"/>
      <c r="AD83" s="2667">
        <f>+AD78</f>
        <v>896.77400000000171</v>
      </c>
      <c r="AE83" s="1102"/>
      <c r="AF83" s="443">
        <f>+AF78</f>
        <v>6880.8657228157481</v>
      </c>
      <c r="AG83" s="2088"/>
      <c r="AH83" s="2667">
        <f>+AH78</f>
        <v>909.04343685197762</v>
      </c>
      <c r="AI83" s="1102"/>
      <c r="AJ83" s="443">
        <f>+AJ78</f>
        <v>7789.9091596677254</v>
      </c>
      <c r="AK83" s="2088"/>
      <c r="AL83" s="2667">
        <f>+AL78</f>
        <v>1208.2693839999997</v>
      </c>
      <c r="AM83" s="1103"/>
      <c r="AN83" s="533">
        <f>+AN78</f>
        <v>3014.0868208519792</v>
      </c>
      <c r="AO83" s="1102"/>
      <c r="AP83" s="443">
        <f>+AP78</f>
        <v>8998.1785436677255</v>
      </c>
      <c r="AQ83" s="2088"/>
      <c r="AR83" s="2667">
        <f>+AR78</f>
        <v>1264.3450000000003</v>
      </c>
      <c r="AS83" s="1102"/>
      <c r="AT83" s="443">
        <f>+AT78</f>
        <v>10262.523543667725</v>
      </c>
      <c r="AU83" s="2088"/>
      <c r="AV83" s="2667">
        <f>+AV78</f>
        <v>1167.1770000000001</v>
      </c>
      <c r="AW83" s="1102"/>
      <c r="AX83" s="443">
        <f>+AX78</f>
        <v>11429.700543667725</v>
      </c>
      <c r="AY83" s="2088"/>
      <c r="AZ83" s="2667">
        <f>+AZ78</f>
        <v>1241.3670000000006</v>
      </c>
      <c r="BA83" s="1103"/>
      <c r="BB83" s="533">
        <f>+BB78</f>
        <v>3672.889000000001</v>
      </c>
      <c r="BC83" s="1104"/>
      <c r="BD83" s="564">
        <f>+BD78</f>
        <v>6686.9758208519797</v>
      </c>
      <c r="BE83" s="1102"/>
      <c r="BF83" s="443">
        <f>+BF78</f>
        <v>12671.067543667725</v>
      </c>
      <c r="BG83" s="26"/>
      <c r="BH83" s="26"/>
      <c r="BI83" s="26"/>
      <c r="BJ83" s="26"/>
    </row>
    <row r="84" spans="2:62" x14ac:dyDescent="0.25">
      <c r="B84" s="336" t="s">
        <v>861</v>
      </c>
      <c r="C84" s="336"/>
      <c r="D84" s="193" t="s">
        <v>52</v>
      </c>
      <c r="E84" s="967"/>
      <c r="F84" s="442">
        <f>+F51</f>
        <v>70198.710999999996</v>
      </c>
      <c r="G84" s="967"/>
      <c r="H84" s="442">
        <f>+H51</f>
        <v>56127.067000000025</v>
      </c>
      <c r="I84" s="1102"/>
      <c r="J84" s="443">
        <f>+J51</f>
        <v>126325.77800000002</v>
      </c>
      <c r="K84" s="967"/>
      <c r="L84" s="442">
        <f>+L51</f>
        <v>54253.858000000022</v>
      </c>
      <c r="M84" s="1103"/>
      <c r="N84" s="533">
        <f>+N51</f>
        <v>180579.63600000006</v>
      </c>
      <c r="O84" s="967"/>
      <c r="P84" s="442">
        <f>+P51</f>
        <v>74129.232000000091</v>
      </c>
      <c r="Q84" s="1102"/>
      <c r="R84" s="443">
        <f>+R51</f>
        <v>254708.8680000001</v>
      </c>
      <c r="S84" s="2088"/>
      <c r="T84" s="2667">
        <f>+T51</f>
        <v>81613.910000000047</v>
      </c>
      <c r="U84" s="1102"/>
      <c r="V84" s="443">
        <f>+V51</f>
        <v>336322.77800000005</v>
      </c>
      <c r="W84" s="2088"/>
      <c r="X84" s="2667">
        <f>+X51</f>
        <v>66289.000000000087</v>
      </c>
      <c r="Y84" s="1103"/>
      <c r="Z84" s="533">
        <f>+Z51</f>
        <v>222032.14200000023</v>
      </c>
      <c r="AA84" s="1104"/>
      <c r="AB84" s="564">
        <f>+AB51</f>
        <v>402611.77800000022</v>
      </c>
      <c r="AC84" s="2088"/>
      <c r="AD84" s="2667">
        <f>+AD51</f>
        <v>61078.008000000067</v>
      </c>
      <c r="AE84" s="1102"/>
      <c r="AF84" s="443">
        <f>+AF51</f>
        <v>463689.78600000014</v>
      </c>
      <c r="AG84" s="2088"/>
      <c r="AH84" s="2667">
        <f>+AH51</f>
        <v>59231.395000000055</v>
      </c>
      <c r="AI84" s="1102"/>
      <c r="AJ84" s="443">
        <f>+AJ51</f>
        <v>522921.18100000022</v>
      </c>
      <c r="AK84" s="2088"/>
      <c r="AL84" s="2667">
        <f>+AL51</f>
        <v>67603.61</v>
      </c>
      <c r="AM84" s="1103"/>
      <c r="AN84" s="533">
        <f>+AN51</f>
        <v>187913.01300000009</v>
      </c>
      <c r="AO84" s="1102"/>
      <c r="AP84" s="443">
        <f>+AP51</f>
        <v>590524.79100000043</v>
      </c>
      <c r="AQ84" s="2088"/>
      <c r="AR84" s="2667">
        <f>+AR51</f>
        <v>70924.695000000065</v>
      </c>
      <c r="AS84" s="1102"/>
      <c r="AT84" s="443">
        <f>+AT51</f>
        <v>661449.48600000062</v>
      </c>
      <c r="AU84" s="2088"/>
      <c r="AV84" s="2667">
        <f>+AV51</f>
        <v>65302.942000000061</v>
      </c>
      <c r="AW84" s="1102"/>
      <c r="AX84" s="443">
        <f>+AX51</f>
        <v>726752.42800000054</v>
      </c>
      <c r="AY84" s="2088"/>
      <c r="AZ84" s="2667">
        <f>+AZ51</f>
        <v>69579.082000000082</v>
      </c>
      <c r="BA84" s="1103"/>
      <c r="BB84" s="533">
        <f>+BB51</f>
        <v>205806.71900000024</v>
      </c>
      <c r="BC84" s="1104"/>
      <c r="BD84" s="564">
        <f>+BD51</f>
        <v>393719.73200000037</v>
      </c>
      <c r="BE84" s="1102"/>
      <c r="BF84" s="443">
        <f>+BF51</f>
        <v>796331.51000000059</v>
      </c>
      <c r="BG84" s="26"/>
      <c r="BH84" s="26"/>
      <c r="BI84" s="26"/>
      <c r="BJ84" s="26"/>
    </row>
    <row r="85" spans="2:62" x14ac:dyDescent="0.25">
      <c r="B85" s="336" t="s">
        <v>859</v>
      </c>
      <c r="C85" s="336"/>
      <c r="D85" s="193" t="s">
        <v>52</v>
      </c>
      <c r="E85" s="967"/>
      <c r="F85" s="442">
        <f>+F53</f>
        <v>153.95599999999999</v>
      </c>
      <c r="G85" s="967"/>
      <c r="H85" s="442">
        <f>+H53</f>
        <v>65.570999999999998</v>
      </c>
      <c r="I85" s="1102"/>
      <c r="J85" s="443">
        <f>+J53</f>
        <v>219.52699999999999</v>
      </c>
      <c r="K85" s="967"/>
      <c r="L85" s="442">
        <f>+L53</f>
        <v>61.510999999999996</v>
      </c>
      <c r="M85" s="1103"/>
      <c r="N85" s="533">
        <f>+N53</f>
        <v>281.03800000000001</v>
      </c>
      <c r="O85" s="967"/>
      <c r="P85" s="442">
        <f>+P53</f>
        <v>132.25900000000001</v>
      </c>
      <c r="Q85" s="1102"/>
      <c r="R85" s="443">
        <f>+R53</f>
        <v>413.29699999999991</v>
      </c>
      <c r="S85" s="2088"/>
      <c r="T85" s="2667">
        <f>+T53</f>
        <v>63.209000000000003</v>
      </c>
      <c r="U85" s="1102"/>
      <c r="V85" s="443">
        <f>+V53</f>
        <v>476.50599999999991</v>
      </c>
      <c r="W85" s="2088"/>
      <c r="X85" s="2667">
        <f>+X53</f>
        <v>118.21199999999999</v>
      </c>
      <c r="Y85" s="1103"/>
      <c r="Z85" s="533">
        <f>+Z53</f>
        <v>313.67999999999995</v>
      </c>
      <c r="AA85" s="1104"/>
      <c r="AB85" s="564">
        <f>+AB53</f>
        <v>594.71799999999996</v>
      </c>
      <c r="AC85" s="2088"/>
      <c r="AD85" s="2667">
        <f>+AD53</f>
        <v>67.777999999999992</v>
      </c>
      <c r="AE85" s="1102"/>
      <c r="AF85" s="443">
        <f>+AF53</f>
        <v>662.49599999999998</v>
      </c>
      <c r="AG85" s="2088"/>
      <c r="AH85" s="2667">
        <f>+AH53</f>
        <v>176.99299999999999</v>
      </c>
      <c r="AI85" s="1102"/>
      <c r="AJ85" s="443">
        <f>+AJ53</f>
        <v>839.48899999999992</v>
      </c>
      <c r="AK85" s="2088"/>
      <c r="AL85" s="2667">
        <f>+AL53</f>
        <v>59.137999999999998</v>
      </c>
      <c r="AM85" s="1103"/>
      <c r="AN85" s="533">
        <f>+AN53</f>
        <v>303.90899999999999</v>
      </c>
      <c r="AO85" s="1102"/>
      <c r="AP85" s="443">
        <f>+AP53</f>
        <v>898.62700000000007</v>
      </c>
      <c r="AQ85" s="2088"/>
      <c r="AR85" s="2667">
        <f>+AR53</f>
        <v>19.369</v>
      </c>
      <c r="AS85" s="1102"/>
      <c r="AT85" s="443">
        <f>+AT53</f>
        <v>917.99599999999987</v>
      </c>
      <c r="AU85" s="2088"/>
      <c r="AV85" s="2667">
        <f>+AV53</f>
        <v>71.501999999999995</v>
      </c>
      <c r="AW85" s="1102"/>
      <c r="AX85" s="443">
        <f>+AX53</f>
        <v>989.49799999999993</v>
      </c>
      <c r="AY85" s="2088"/>
      <c r="AZ85" s="2667">
        <f>+AZ53</f>
        <v>19.736999999999998</v>
      </c>
      <c r="BA85" s="1103"/>
      <c r="BB85" s="533">
        <f>+BB53</f>
        <v>110.608</v>
      </c>
      <c r="BC85" s="1104"/>
      <c r="BD85" s="564">
        <f>+BD53</f>
        <v>414.517</v>
      </c>
      <c r="BE85" s="1102"/>
      <c r="BF85" s="443">
        <f>+BF53</f>
        <v>1009.2349999999999</v>
      </c>
      <c r="BG85" s="26"/>
      <c r="BH85" s="26"/>
      <c r="BI85" s="26"/>
      <c r="BJ85" s="26"/>
    </row>
    <row r="86" spans="2:62" x14ac:dyDescent="0.25">
      <c r="B86" s="336" t="s">
        <v>860</v>
      </c>
      <c r="C86" s="336"/>
      <c r="D86" s="193" t="s">
        <v>52</v>
      </c>
      <c r="E86" s="967"/>
      <c r="F86" s="442">
        <f>+F84-F85</f>
        <v>70044.75499999999</v>
      </c>
      <c r="G86" s="967"/>
      <c r="H86" s="442">
        <f>+H84-H85</f>
        <v>56061.496000000021</v>
      </c>
      <c r="I86" s="1102"/>
      <c r="J86" s="443">
        <f>+J84-J85</f>
        <v>126106.25100000002</v>
      </c>
      <c r="K86" s="967"/>
      <c r="L86" s="442">
        <f>+L84-L85</f>
        <v>54192.347000000023</v>
      </c>
      <c r="M86" s="1103"/>
      <c r="N86" s="533">
        <f>+N84-N85</f>
        <v>180298.59800000006</v>
      </c>
      <c r="O86" s="967"/>
      <c r="P86" s="442">
        <f>+P84-P85</f>
        <v>73996.973000000085</v>
      </c>
      <c r="Q86" s="1102"/>
      <c r="R86" s="443">
        <f>+R84-R85</f>
        <v>254295.57100000011</v>
      </c>
      <c r="S86" s="2088"/>
      <c r="T86" s="2667">
        <f>+T84-T85</f>
        <v>81550.701000000045</v>
      </c>
      <c r="U86" s="1102"/>
      <c r="V86" s="443">
        <f>+V84-V85</f>
        <v>335846.27200000006</v>
      </c>
      <c r="W86" s="2088"/>
      <c r="X86" s="2667">
        <f>+X84-X85</f>
        <v>66170.788000000088</v>
      </c>
      <c r="Y86" s="1103"/>
      <c r="Z86" s="533">
        <f>+Z84-Z85</f>
        <v>221718.46200000023</v>
      </c>
      <c r="AA86" s="1104"/>
      <c r="AB86" s="564">
        <f>+AB84-AB85</f>
        <v>402017.06000000023</v>
      </c>
      <c r="AC86" s="2088"/>
      <c r="AD86" s="2667">
        <f>+AD84-AD85</f>
        <v>61010.230000000069</v>
      </c>
      <c r="AE86" s="1102"/>
      <c r="AF86" s="443">
        <f>+AF84-AF85</f>
        <v>463027.29000000015</v>
      </c>
      <c r="AG86" s="2088"/>
      <c r="AH86" s="2667">
        <f>+AH84-AH85</f>
        <v>59054.402000000053</v>
      </c>
      <c r="AI86" s="1102"/>
      <c r="AJ86" s="443">
        <f>+AJ84-AJ85</f>
        <v>522081.69200000021</v>
      </c>
      <c r="AK86" s="2088"/>
      <c r="AL86" s="2667">
        <f>+AL84-AL85</f>
        <v>67544.471999999994</v>
      </c>
      <c r="AM86" s="1103"/>
      <c r="AN86" s="533">
        <f>+AN84-AN85</f>
        <v>187609.10400000008</v>
      </c>
      <c r="AO86" s="1102"/>
      <c r="AP86" s="443">
        <f>+AP84-AP85</f>
        <v>589626.16400000046</v>
      </c>
      <c r="AQ86" s="2088"/>
      <c r="AR86" s="2667">
        <f>+AR84-AR85</f>
        <v>70905.326000000059</v>
      </c>
      <c r="AS86" s="1102"/>
      <c r="AT86" s="443">
        <f>+AT84-AT85</f>
        <v>660531.49000000057</v>
      </c>
      <c r="AU86" s="2088"/>
      <c r="AV86" s="2667">
        <f>+AV84-AV85</f>
        <v>65231.440000000061</v>
      </c>
      <c r="AW86" s="1102"/>
      <c r="AX86" s="443">
        <f>+AX84-AX85</f>
        <v>725762.93000000052</v>
      </c>
      <c r="AY86" s="2088"/>
      <c r="AZ86" s="2667">
        <f>+AZ84-AZ85</f>
        <v>69559.345000000088</v>
      </c>
      <c r="BA86" s="1103"/>
      <c r="BB86" s="533">
        <f>+BB84-BB85</f>
        <v>205696.11100000024</v>
      </c>
      <c r="BC86" s="1104"/>
      <c r="BD86" s="564">
        <f>+BD84-BD85</f>
        <v>393305.21500000037</v>
      </c>
      <c r="BE86" s="1102"/>
      <c r="BF86" s="443">
        <f>+BF84-BF85</f>
        <v>795322.27500000061</v>
      </c>
      <c r="BG86" s="26"/>
      <c r="BH86" s="26"/>
      <c r="BI86" s="26"/>
      <c r="BJ86" s="26"/>
    </row>
    <row r="87" spans="2:62" x14ac:dyDescent="0.25">
      <c r="B87" s="188"/>
      <c r="C87" s="188"/>
      <c r="D87" s="188"/>
      <c r="E87" s="700"/>
      <c r="F87" s="700"/>
      <c r="G87" s="700"/>
      <c r="H87" s="700"/>
      <c r="I87" s="700"/>
      <c r="J87" s="700"/>
      <c r="K87" s="700"/>
      <c r="L87" s="700"/>
      <c r="M87" s="700"/>
      <c r="N87" s="700"/>
      <c r="O87" s="700"/>
      <c r="P87" s="700"/>
      <c r="Q87" s="700"/>
      <c r="R87" s="700"/>
      <c r="S87" s="700"/>
      <c r="T87" s="2676"/>
      <c r="U87" s="700"/>
      <c r="V87" s="700"/>
      <c r="W87" s="700"/>
      <c r="X87" s="2676"/>
      <c r="Y87" s="700"/>
      <c r="Z87" s="700"/>
      <c r="AA87" s="700"/>
      <c r="AB87" s="700"/>
      <c r="AC87" s="700"/>
      <c r="AD87" s="2676"/>
      <c r="AE87" s="700"/>
      <c r="AF87" s="700"/>
      <c r="AG87" s="700"/>
      <c r="AH87" s="2676"/>
      <c r="AI87" s="700"/>
      <c r="AJ87" s="700"/>
      <c r="AK87" s="700"/>
      <c r="AL87" s="2676"/>
      <c r="AM87" s="700"/>
      <c r="AN87" s="700"/>
      <c r="AO87" s="700"/>
      <c r="AP87" s="700"/>
      <c r="AQ87" s="700"/>
      <c r="AR87" s="2676"/>
      <c r="AS87" s="700"/>
      <c r="AT87" s="700"/>
      <c r="AU87" s="700"/>
      <c r="AV87" s="2676"/>
      <c r="AW87" s="700"/>
      <c r="AX87" s="700"/>
      <c r="AY87" s="700"/>
      <c r="AZ87" s="2676"/>
      <c r="BA87" s="700"/>
      <c r="BB87" s="700"/>
      <c r="BC87" s="700"/>
      <c r="BD87" s="700"/>
      <c r="BE87" s="700"/>
      <c r="BF87" s="700"/>
      <c r="BG87" s="26"/>
    </row>
    <row r="88" spans="2:62" x14ac:dyDescent="0.25">
      <c r="B88" s="336" t="s">
        <v>865</v>
      </c>
      <c r="C88" s="336"/>
      <c r="D88" s="193" t="s">
        <v>52</v>
      </c>
      <c r="E88" s="967"/>
      <c r="F88" s="442">
        <f>+F81-F82-F83-F84</f>
        <v>4.0000000008149073E-3</v>
      </c>
      <c r="G88" s="967"/>
      <c r="H88" s="442">
        <f>+H81-H82-H83-H84</f>
        <v>1.0000000038417056E-3</v>
      </c>
      <c r="I88" s="1102"/>
      <c r="J88" s="443">
        <f>+J81-J82-J83-J84</f>
        <v>5.0000000046566129E-3</v>
      </c>
      <c r="K88" s="967"/>
      <c r="L88" s="442">
        <f>+L81-L82-L83-L84</f>
        <v>-2.9999999969732016E-3</v>
      </c>
      <c r="M88" s="1103"/>
      <c r="N88" s="533">
        <f>+N81-N82-N83-N84</f>
        <v>1.9999999785795808E-3</v>
      </c>
      <c r="O88" s="967"/>
      <c r="P88" s="442">
        <f>+P81-P82-P83-P84</f>
        <v>-2.0000001095468178E-3</v>
      </c>
      <c r="Q88" s="1102"/>
      <c r="R88" s="443">
        <f>+R81-R82-R83-R84</f>
        <v>0</v>
      </c>
      <c r="S88" s="2088"/>
      <c r="T88" s="2667">
        <f>+T81-T82-T83-T84</f>
        <v>0</v>
      </c>
      <c r="U88" s="1102"/>
      <c r="V88" s="443">
        <f>+V81-V82-V83-V84</f>
        <v>0</v>
      </c>
      <c r="W88" s="2088"/>
      <c r="X88" s="2667">
        <f>+X81-X82-X83-X84</f>
        <v>0</v>
      </c>
      <c r="Y88" s="1103"/>
      <c r="Z88" s="533">
        <f>+Z81-Z82-Z83-Z84</f>
        <v>-2.0000002405140549E-3</v>
      </c>
      <c r="AA88" s="1104"/>
      <c r="AB88" s="564">
        <f>+AB81-AB82-AB83-AB84</f>
        <v>0</v>
      </c>
      <c r="AC88" s="2088"/>
      <c r="AD88" s="2667">
        <f>+AD81-AD82-AD83-AD84</f>
        <v>1.9999999203719199E-3</v>
      </c>
      <c r="AE88" s="1102"/>
      <c r="AF88" s="443">
        <f>+AF81-AF82-AF83-AF84</f>
        <v>1.999999862164259E-3</v>
      </c>
      <c r="AG88" s="2088"/>
      <c r="AH88" s="2667">
        <f>+AH81-AH82-AH83-AH84</f>
        <v>-1.5000000050349627E-2</v>
      </c>
      <c r="AI88" s="1102"/>
      <c r="AJ88" s="443">
        <f>+AJ81-AJ82-AJ83-AJ84</f>
        <v>-1.3000000210013241E-2</v>
      </c>
      <c r="AK88" s="2088"/>
      <c r="AL88" s="2667">
        <f>+AL81-AL82-AL83-AL84</f>
        <v>0</v>
      </c>
      <c r="AM88" s="1103"/>
      <c r="AN88" s="533">
        <f>+AN81-AN82-AN83-AN84</f>
        <v>-1.3000000122701749E-2</v>
      </c>
      <c r="AO88" s="1102"/>
      <c r="AP88" s="443">
        <f>+AP81-AP82-AP83-AP84</f>
        <v>-1.3000000501051545E-2</v>
      </c>
      <c r="AQ88" s="2088"/>
      <c r="AR88" s="2667">
        <f>+AR81-AR82-AR83-AR84</f>
        <v>1.0107736452482641E-3</v>
      </c>
      <c r="AS88" s="1102"/>
      <c r="AT88" s="443">
        <f>+AT81-AT82-AT83-AT84</f>
        <v>-1.1989226914010942E-2</v>
      </c>
      <c r="AU88" s="2088"/>
      <c r="AV88" s="2667">
        <f>+AV81-AV82-AV83-AV84</f>
        <v>-7.2759576141834259E-11</v>
      </c>
      <c r="AW88" s="1102"/>
      <c r="AX88" s="443">
        <f>+AX81-AX82-AX83-AX84</f>
        <v>-1.198922679759562E-2</v>
      </c>
      <c r="AY88" s="2088"/>
      <c r="AZ88" s="2667">
        <f>+AZ81-AZ82-AZ83-AZ84</f>
        <v>0</v>
      </c>
      <c r="BA88" s="1103"/>
      <c r="BB88" s="533">
        <f>+BB81-BB82-BB83-BB84</f>
        <v>1.0107734415214509E-3</v>
      </c>
      <c r="BC88" s="1104"/>
      <c r="BD88" s="564">
        <f>+BD81-BD82-BD83-BD84</f>
        <v>-1.1989226739387959E-2</v>
      </c>
      <c r="BE88" s="1102"/>
      <c r="BF88" s="443">
        <f>+BF81-BF82-BF83-BF84</f>
        <v>-1.1989226914010942E-2</v>
      </c>
      <c r="BG88" s="26"/>
    </row>
    <row r="89" spans="2:62" x14ac:dyDescent="0.25">
      <c r="AG89" s="4184"/>
      <c r="AH89" s="4184"/>
      <c r="AI89" s="4184"/>
      <c r="AJ89" s="4184"/>
      <c r="AK89" s="4321"/>
      <c r="AL89" s="4321"/>
      <c r="AM89" s="4321"/>
      <c r="AN89" s="4321"/>
      <c r="AO89" s="4321"/>
      <c r="AP89" s="4321"/>
      <c r="AQ89" s="4438"/>
      <c r="AR89" s="4438"/>
      <c r="AS89" s="4438"/>
      <c r="AT89" s="4438"/>
      <c r="AU89" s="4675"/>
      <c r="AV89" s="4675"/>
      <c r="AW89" s="4675"/>
      <c r="AX89" s="4675"/>
      <c r="AY89" s="5117"/>
      <c r="AZ89" s="5117"/>
      <c r="BE89" s="5117"/>
      <c r="BF89" s="5117"/>
    </row>
    <row r="90" spans="2:62" ht="15" customHeight="1" x14ac:dyDescent="0.25">
      <c r="E90" s="26">
        <f>E52-'Maj Production Summ'!E29</f>
        <v>0</v>
      </c>
      <c r="F90" s="26">
        <f>F52-'Maj Production Summ'!F29</f>
        <v>0</v>
      </c>
      <c r="G90" s="26">
        <f>G52-'Maj Production Summ'!G29</f>
        <v>0</v>
      </c>
      <c r="H90" s="26">
        <f>H52-'Maj Production Summ'!H29</f>
        <v>0</v>
      </c>
      <c r="I90" s="26">
        <f>I52-'Maj Production Summ'!I29</f>
        <v>0</v>
      </c>
      <c r="J90" s="26">
        <f>J52-'Maj Production Summ'!J29</f>
        <v>0</v>
      </c>
      <c r="K90" s="26">
        <f>K52-'Maj Production Summ'!K29</f>
        <v>0</v>
      </c>
      <c r="L90" s="26">
        <f>L52-'Maj Production Summ'!L29</f>
        <v>0</v>
      </c>
      <c r="M90" s="26">
        <f>M52-'Maj Production Summ'!M29</f>
        <v>0</v>
      </c>
      <c r="N90" s="26">
        <f>N52-'Maj Production Summ'!N29</f>
        <v>0</v>
      </c>
      <c r="O90" s="26">
        <f>O52-'Maj Production Summ'!O29</f>
        <v>0</v>
      </c>
      <c r="P90" s="26">
        <f>P52-'Maj Production Summ'!P29</f>
        <v>0</v>
      </c>
      <c r="Q90" s="26">
        <f>Q52-'Maj Production Summ'!Q29</f>
        <v>0</v>
      </c>
      <c r="R90" s="26">
        <f>R52-'Maj Production Summ'!R29</f>
        <v>0</v>
      </c>
      <c r="S90" s="26">
        <f>S52-'Maj Production Summ'!S29</f>
        <v>0</v>
      </c>
      <c r="T90" s="26">
        <f>T52-'Maj Production Summ'!T29</f>
        <v>0</v>
      </c>
      <c r="U90" s="26">
        <f>U52-'Maj Production Summ'!U29</f>
        <v>0</v>
      </c>
      <c r="V90" s="26">
        <f>V52-'Maj Production Summ'!V29</f>
        <v>0</v>
      </c>
      <c r="W90" s="26">
        <f>W52-'Maj Production Summ'!W29</f>
        <v>0</v>
      </c>
      <c r="X90" s="26">
        <f>X52-'Maj Production Summ'!X29</f>
        <v>0</v>
      </c>
      <c r="Y90" s="26">
        <f>Y52-'Maj Production Summ'!Y29</f>
        <v>0</v>
      </c>
      <c r="Z90" s="26">
        <f>Z52-'Maj Production Summ'!Z29</f>
        <v>0</v>
      </c>
      <c r="AA90" s="26">
        <f>AA52-'Maj Production Summ'!AA29</f>
        <v>0</v>
      </c>
      <c r="AB90" s="26">
        <f>AB52-'Maj Production Summ'!AB29</f>
        <v>0</v>
      </c>
      <c r="AC90" s="26">
        <f>AC52-'Maj Production Summ'!AC29</f>
        <v>0</v>
      </c>
      <c r="AD90" s="26">
        <f>AD52-'Maj Production Summ'!AD29</f>
        <v>0</v>
      </c>
      <c r="AE90" s="26">
        <f>AE52-'Maj Production Summ'!AE29</f>
        <v>0</v>
      </c>
      <c r="AF90" s="26">
        <f>AF52-'Maj Production Summ'!AF29</f>
        <v>0</v>
      </c>
      <c r="AG90" s="26">
        <f>AG52-'Maj Production Summ'!AG29</f>
        <v>0</v>
      </c>
      <c r="AH90" s="26">
        <f>AH52-'Maj Production Summ'!AH29</f>
        <v>0</v>
      </c>
      <c r="AI90" s="26">
        <f>AI52-'Maj Production Summ'!AI29</f>
        <v>0</v>
      </c>
      <c r="AJ90" s="26">
        <f>AJ52-'Maj Production Summ'!AJ29</f>
        <v>0</v>
      </c>
      <c r="AK90" s="26">
        <f>AK52-'Maj Production Summ'!AK29</f>
        <v>0</v>
      </c>
      <c r="AL90" s="26">
        <f>AL52-'Maj Production Summ'!AL29</f>
        <v>2.0000000076834112E-3</v>
      </c>
      <c r="AM90" s="26">
        <f>AM52-'Maj Production Summ'!AM29</f>
        <v>0</v>
      </c>
      <c r="AN90" s="26">
        <f>AN52-'Maj Production Summ'!AN29</f>
        <v>2.0000000076834112E-3</v>
      </c>
      <c r="AO90" s="26">
        <f>AO52-'Maj Production Summ'!AO29</f>
        <v>0</v>
      </c>
      <c r="AP90" s="26">
        <f>AP52-'Maj Production Summ'!AP29</f>
        <v>1.999999862164259E-3</v>
      </c>
      <c r="AQ90" s="26">
        <f>AQ52-'Maj Production Summ'!AQ29</f>
        <v>0</v>
      </c>
      <c r="AR90" s="26">
        <f>AR52-'Maj Production Summ'!AR29</f>
        <v>0</v>
      </c>
      <c r="AS90" s="26">
        <f>AS52-'Maj Production Summ'!AS29</f>
        <v>0</v>
      </c>
      <c r="AT90" s="26">
        <f>AT52-'Maj Production Summ'!AT29</f>
        <v>1.9999999785795808E-3</v>
      </c>
      <c r="AU90" s="26">
        <f>AU52-'Maj Production Summ'!AU29</f>
        <v>0</v>
      </c>
      <c r="AV90" s="26">
        <f>AV52-'Maj Production Summ'!AV29</f>
        <v>0</v>
      </c>
      <c r="AW90" s="26">
        <f>AW52-'Maj Production Summ'!AW29</f>
        <v>0</v>
      </c>
      <c r="AX90" s="26">
        <f>AX52-'Maj Production Summ'!AX29</f>
        <v>1.9999997457489371E-3</v>
      </c>
      <c r="AY90" s="26">
        <f>AY52-'Maj Production Summ'!AY29</f>
        <v>0</v>
      </c>
      <c r="AZ90" s="26">
        <f>AZ52-'Maj Production Summ'!AZ29</f>
        <v>0</v>
      </c>
      <c r="BA90" s="26">
        <f>BA52-'Maj Production Summ'!BA29</f>
        <v>0</v>
      </c>
      <c r="BB90" s="26">
        <f>BB52-'Maj Production Summ'!BB29</f>
        <v>0</v>
      </c>
      <c r="BC90" s="26">
        <f>BC52-'Maj Production Summ'!BC29</f>
        <v>0</v>
      </c>
      <c r="BD90" s="26">
        <f>BD52-'Maj Production Summ'!BD29</f>
        <v>1.9999999785795808E-3</v>
      </c>
      <c r="BE90" s="26">
        <f>BE52-'Maj Production Summ'!BE29</f>
        <v>0</v>
      </c>
      <c r="BF90" s="26">
        <f>BF52-'Maj Production Summ'!BF29</f>
        <v>1.9999997457489371E-3</v>
      </c>
    </row>
  </sheetData>
  <autoFilter ref="C5:C71"/>
  <mergeCells count="30">
    <mergeCell ref="S3:T3"/>
    <mergeCell ref="U3:V3"/>
    <mergeCell ref="B3:B4"/>
    <mergeCell ref="D3:D4"/>
    <mergeCell ref="E3:F3"/>
    <mergeCell ref="G3:H3"/>
    <mergeCell ref="I3:J3"/>
    <mergeCell ref="K3:L3"/>
    <mergeCell ref="M3:N3"/>
    <mergeCell ref="O3:P3"/>
    <mergeCell ref="Q3:R3"/>
    <mergeCell ref="C3:C4"/>
    <mergeCell ref="W3:X3"/>
    <mergeCell ref="Y3:Z3"/>
    <mergeCell ref="AA3:AB3"/>
    <mergeCell ref="AG3:AH3"/>
    <mergeCell ref="AI3:AJ3"/>
    <mergeCell ref="AC3:AD3"/>
    <mergeCell ref="AE3:AF3"/>
    <mergeCell ref="AQ3:AR3"/>
    <mergeCell ref="AS3:AT3"/>
    <mergeCell ref="AK3:AL3"/>
    <mergeCell ref="AM3:AN3"/>
    <mergeCell ref="AO3:AP3"/>
    <mergeCell ref="AY3:AZ3"/>
    <mergeCell ref="BE3:BF3"/>
    <mergeCell ref="BA3:BB3"/>
    <mergeCell ref="BC3:BD3"/>
    <mergeCell ref="AU3:AV3"/>
    <mergeCell ref="AW3:AX3"/>
  </mergeCells>
  <printOptions horizontalCentered="1" verticalCentered="1"/>
  <pageMargins left="0" right="0" top="0" bottom="0" header="0" footer="0"/>
  <pageSetup scale="40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tabColor rgb="FF92D050"/>
    <pageSetUpPr fitToPage="1"/>
  </sheetPr>
  <dimension ref="A1:BK114"/>
  <sheetViews>
    <sheetView tabSelected="1" topLeftCell="A58" zoomScaleNormal="100" workbookViewId="0">
      <pane xSplit="5" topLeftCell="AH1" activePane="topRight" state="frozen"/>
      <selection pane="topRight" activeCell="BC91" sqref="BC91"/>
    </sheetView>
  </sheetViews>
  <sheetFormatPr defaultColWidth="9.140625" defaultRowHeight="15" x14ac:dyDescent="0.25"/>
  <cols>
    <col min="2" max="2" width="39.28515625" bestFit="1" customWidth="1"/>
    <col min="3" max="3" width="14.28515625" customWidth="1"/>
    <col min="4" max="4" width="12" customWidth="1"/>
    <col min="5" max="5" width="15.140625" bestFit="1" customWidth="1"/>
    <col min="6" max="6" width="8.5703125" bestFit="1" customWidth="1"/>
    <col min="7" max="7" width="11.85546875" customWidth="1"/>
    <col min="8" max="8" width="8.7109375" customWidth="1"/>
    <col min="9" max="9" width="8.5703125" customWidth="1"/>
    <col min="10" max="10" width="10.28515625" hidden="1" customWidth="1"/>
    <col min="11" max="11" width="9.42578125" hidden="1" customWidth="1"/>
    <col min="12" max="13" width="8.5703125" customWidth="1"/>
    <col min="14" max="15" width="10.28515625" customWidth="1"/>
    <col min="16" max="17" width="8.5703125" customWidth="1"/>
    <col min="18" max="18" width="12.140625" hidden="1" customWidth="1"/>
    <col min="19" max="19" width="9.42578125" hidden="1" customWidth="1"/>
    <col min="20" max="21" width="8.5703125" customWidth="1"/>
    <col min="22" max="22" width="9.7109375" hidden="1" customWidth="1"/>
    <col min="23" max="23" width="12.85546875" hidden="1" customWidth="1"/>
    <col min="24" max="25" width="9.140625" customWidth="1"/>
    <col min="26" max="26" width="11.28515625" customWidth="1"/>
    <col min="27" max="27" width="10.28515625" customWidth="1"/>
    <col min="28" max="29" width="9.7109375" customWidth="1"/>
    <col min="32" max="33" width="0" hidden="1" customWidth="1"/>
    <col min="35" max="35" width="9.5703125" bestFit="1" customWidth="1"/>
    <col min="36" max="37" width="9.140625" hidden="1" customWidth="1"/>
    <col min="42" max="43" width="0" hidden="1" customWidth="1"/>
    <col min="46" max="47" width="0" hidden="1" customWidth="1"/>
    <col min="50" max="51" width="0" hidden="1" customWidth="1"/>
    <col min="54" max="57" width="9.140625" style="5117"/>
    <col min="60" max="60" width="10.28515625" bestFit="1" customWidth="1"/>
  </cols>
  <sheetData>
    <row r="1" spans="1:63" ht="22.5" x14ac:dyDescent="0.3">
      <c r="A1" s="183"/>
      <c r="B1" s="960" t="s">
        <v>118</v>
      </c>
      <c r="C1" s="960"/>
      <c r="D1" s="960"/>
      <c r="E1" s="633"/>
      <c r="F1" s="633"/>
      <c r="G1" s="633"/>
      <c r="H1" s="633"/>
      <c r="I1" s="633"/>
      <c r="J1" s="633"/>
      <c r="K1" s="633"/>
      <c r="L1" s="188"/>
      <c r="M1" s="188"/>
      <c r="N1" s="188"/>
      <c r="O1" s="188"/>
      <c r="P1" s="188"/>
      <c r="Q1" s="188"/>
      <c r="R1" s="188"/>
      <c r="S1" s="188"/>
      <c r="T1" s="188"/>
      <c r="U1" s="2652"/>
      <c r="V1" s="188"/>
      <c r="W1" s="188"/>
      <c r="X1" s="188"/>
      <c r="Y1" s="188"/>
      <c r="Z1" s="188"/>
      <c r="AA1" s="188"/>
      <c r="AB1" s="188"/>
      <c r="AC1" s="188"/>
    </row>
    <row r="2" spans="1:63" ht="15.75" thickBot="1" x14ac:dyDescent="0.3">
      <c r="A2" s="183"/>
      <c r="B2" s="633"/>
      <c r="C2" s="633"/>
      <c r="D2" s="633"/>
      <c r="E2" s="633"/>
      <c r="F2" s="476">
        <v>30</v>
      </c>
      <c r="G2" s="476">
        <v>30</v>
      </c>
      <c r="H2" s="476">
        <v>31</v>
      </c>
      <c r="I2" s="476">
        <v>31</v>
      </c>
      <c r="J2" s="476">
        <f>+F2+H2</f>
        <v>61</v>
      </c>
      <c r="K2" s="476">
        <f>+G2+I2</f>
        <v>61</v>
      </c>
      <c r="L2" s="476">
        <v>30</v>
      </c>
      <c r="M2" s="476">
        <v>30</v>
      </c>
      <c r="N2" s="476">
        <f>+J2+L2</f>
        <v>91</v>
      </c>
      <c r="O2" s="476">
        <f>+K2+M2</f>
        <v>91</v>
      </c>
      <c r="P2" s="476">
        <v>31</v>
      </c>
      <c r="Q2" s="476">
        <v>31</v>
      </c>
      <c r="R2" s="476">
        <f>+N2+P2</f>
        <v>122</v>
      </c>
      <c r="S2" s="476">
        <f>+O2+Q2</f>
        <v>122</v>
      </c>
      <c r="T2" s="476">
        <v>31</v>
      </c>
      <c r="U2" s="2653">
        <v>31</v>
      </c>
      <c r="V2" s="476">
        <f>+R2+T2</f>
        <v>153</v>
      </c>
      <c r="W2" s="476">
        <f>+S2+U2</f>
        <v>153</v>
      </c>
      <c r="X2" s="476">
        <v>30</v>
      </c>
      <c r="Y2" s="476">
        <v>30</v>
      </c>
      <c r="Z2" s="476">
        <f>+P2+T2+X2</f>
        <v>92</v>
      </c>
      <c r="AA2" s="476">
        <f>+Q2+U2+Y2</f>
        <v>92</v>
      </c>
      <c r="AB2" s="476">
        <f>+Z2+N2</f>
        <v>183</v>
      </c>
      <c r="AC2" s="476">
        <f>+AA2+O2</f>
        <v>183</v>
      </c>
      <c r="AD2" s="476">
        <v>31</v>
      </c>
      <c r="AE2" s="2653">
        <v>31</v>
      </c>
      <c r="AF2" s="476">
        <f>+AB2+AD2</f>
        <v>214</v>
      </c>
      <c r="AG2" s="476">
        <f>+AC2+AE2</f>
        <v>214</v>
      </c>
      <c r="AH2" s="476">
        <v>30</v>
      </c>
      <c r="AI2" s="2653">
        <v>30</v>
      </c>
      <c r="AJ2" s="476">
        <f>+AF2+AH2</f>
        <v>244</v>
      </c>
      <c r="AK2" s="476">
        <f>+AG2+AI2</f>
        <v>244</v>
      </c>
      <c r="AL2" s="476">
        <v>31</v>
      </c>
      <c r="AM2" s="2653">
        <v>31</v>
      </c>
      <c r="AN2" s="476">
        <f>+AD2+AH2+AL2</f>
        <v>92</v>
      </c>
      <c r="AO2" s="476">
        <f>+AE2+AI2+AM2</f>
        <v>92</v>
      </c>
      <c r="AP2" s="476">
        <f>AJ2+AL2</f>
        <v>275</v>
      </c>
      <c r="AQ2" s="476">
        <f>AK2+AM2</f>
        <v>275</v>
      </c>
      <c r="AR2" s="476">
        <v>31</v>
      </c>
      <c r="AS2" s="2653">
        <v>31</v>
      </c>
      <c r="AT2" s="476">
        <f>+AP2+AR2</f>
        <v>306</v>
      </c>
      <c r="AU2" s="476">
        <f>+AQ2+AS2</f>
        <v>306</v>
      </c>
      <c r="AV2" s="476">
        <v>29</v>
      </c>
      <c r="AW2" s="2653">
        <v>29</v>
      </c>
      <c r="AX2" s="476">
        <f>+AT2+AV2</f>
        <v>335</v>
      </c>
      <c r="AY2" s="476">
        <f>+AU2+AW2</f>
        <v>335</v>
      </c>
      <c r="AZ2" s="476">
        <v>31</v>
      </c>
      <c r="BA2" s="2653">
        <v>31</v>
      </c>
      <c r="BB2" s="476">
        <f>+AR2+AV2+AZ2</f>
        <v>91</v>
      </c>
      <c r="BC2" s="476">
        <f>+AS2+AW2+BA2</f>
        <v>91</v>
      </c>
      <c r="BD2" s="476">
        <f>+AN2+BB2</f>
        <v>183</v>
      </c>
      <c r="BE2" s="476">
        <f>+AO2+BC2</f>
        <v>183</v>
      </c>
      <c r="BF2" s="476">
        <f>+AX2+AZ2</f>
        <v>366</v>
      </c>
      <c r="BG2" s="476">
        <f>+AY2+BA2</f>
        <v>366</v>
      </c>
    </row>
    <row r="3" spans="1:63" ht="15.75" thickBot="1" x14ac:dyDescent="0.3">
      <c r="B3" s="6423" t="s">
        <v>175</v>
      </c>
      <c r="C3" s="6419" t="s">
        <v>881</v>
      </c>
      <c r="D3" s="6421" t="s">
        <v>882</v>
      </c>
      <c r="E3" s="6425" t="s">
        <v>176</v>
      </c>
      <c r="F3" s="6076" t="s">
        <v>1470</v>
      </c>
      <c r="G3" s="6077"/>
      <c r="H3" s="6076" t="s">
        <v>1526</v>
      </c>
      <c r="I3" s="6077"/>
      <c r="J3" s="6154" t="s">
        <v>15</v>
      </c>
      <c r="K3" s="6427"/>
      <c r="L3" s="6076" t="s">
        <v>1620</v>
      </c>
      <c r="M3" s="6077"/>
      <c r="N3" s="6100" t="s">
        <v>658</v>
      </c>
      <c r="O3" s="6079"/>
      <c r="P3" s="6076" t="s">
        <v>1688</v>
      </c>
      <c r="Q3" s="6077"/>
      <c r="R3" s="6046" t="s">
        <v>18</v>
      </c>
      <c r="S3" s="6047"/>
      <c r="T3" s="6076" t="s">
        <v>1731</v>
      </c>
      <c r="U3" s="6077"/>
      <c r="V3" s="6046" t="s">
        <v>19</v>
      </c>
      <c r="W3" s="6047"/>
      <c r="X3" s="6045" t="s">
        <v>1766</v>
      </c>
      <c r="Y3" s="6045"/>
      <c r="Z3" s="6078" t="s">
        <v>682</v>
      </c>
      <c r="AA3" s="6079"/>
      <c r="AB3" s="6417" t="s">
        <v>679</v>
      </c>
      <c r="AC3" s="6418"/>
      <c r="AD3" s="6076" t="s">
        <v>1831</v>
      </c>
      <c r="AE3" s="6077"/>
      <c r="AF3" s="6046" t="s">
        <v>26</v>
      </c>
      <c r="AG3" s="6047"/>
      <c r="AH3" s="6076" t="s">
        <v>1863</v>
      </c>
      <c r="AI3" s="6077"/>
      <c r="AJ3" s="6046" t="s">
        <v>29</v>
      </c>
      <c r="AK3" s="6047"/>
      <c r="AL3" s="6076" t="s">
        <v>1888</v>
      </c>
      <c r="AM3" s="6077"/>
      <c r="AN3" s="6078" t="s">
        <v>684</v>
      </c>
      <c r="AO3" s="6079"/>
      <c r="AP3" s="6046" t="s">
        <v>1890</v>
      </c>
      <c r="AQ3" s="6047"/>
      <c r="AR3" s="6076" t="s">
        <v>1918</v>
      </c>
      <c r="AS3" s="6077"/>
      <c r="AT3" s="6046" t="s">
        <v>30</v>
      </c>
      <c r="AU3" s="6047"/>
      <c r="AV3" s="6076" t="s">
        <v>1940</v>
      </c>
      <c r="AW3" s="6077"/>
      <c r="AX3" s="6046" t="s">
        <v>32</v>
      </c>
      <c r="AY3" s="6047"/>
      <c r="AZ3" s="6076" t="s">
        <v>1965</v>
      </c>
      <c r="BA3" s="6077"/>
      <c r="BB3" s="6078" t="s">
        <v>685</v>
      </c>
      <c r="BC3" s="6079"/>
      <c r="BD3" s="6417" t="s">
        <v>693</v>
      </c>
      <c r="BE3" s="6418"/>
      <c r="BF3" s="6046" t="s">
        <v>1513</v>
      </c>
      <c r="BG3" s="6047"/>
    </row>
    <row r="4" spans="1:63" ht="15.75" thickBot="1" x14ac:dyDescent="0.3">
      <c r="B4" s="6424"/>
      <c r="C4" s="6420"/>
      <c r="D4" s="6422"/>
      <c r="E4" s="6426"/>
      <c r="F4" s="215" t="s">
        <v>177</v>
      </c>
      <c r="G4" s="214" t="s">
        <v>178</v>
      </c>
      <c r="H4" s="215" t="s">
        <v>177</v>
      </c>
      <c r="I4" s="214" t="s">
        <v>178</v>
      </c>
      <c r="J4" s="179" t="s">
        <v>177</v>
      </c>
      <c r="K4" s="2300" t="s">
        <v>178</v>
      </c>
      <c r="L4" s="215" t="s">
        <v>177</v>
      </c>
      <c r="M4" s="214" t="s">
        <v>178</v>
      </c>
      <c r="N4" s="2947" t="s">
        <v>177</v>
      </c>
      <c r="O4" s="206" t="s">
        <v>178</v>
      </c>
      <c r="P4" s="1296" t="s">
        <v>177</v>
      </c>
      <c r="Q4" s="477" t="s">
        <v>178</v>
      </c>
      <c r="R4" s="2948" t="s">
        <v>177</v>
      </c>
      <c r="S4" s="199" t="s">
        <v>178</v>
      </c>
      <c r="T4" s="1296" t="s">
        <v>177</v>
      </c>
      <c r="U4" s="2654" t="s">
        <v>178</v>
      </c>
      <c r="V4" s="2948" t="s">
        <v>177</v>
      </c>
      <c r="W4" s="199" t="s">
        <v>178</v>
      </c>
      <c r="X4" s="271" t="s">
        <v>177</v>
      </c>
      <c r="Y4" s="477" t="s">
        <v>178</v>
      </c>
      <c r="Z4" s="850" t="s">
        <v>177</v>
      </c>
      <c r="AA4" s="206" t="s">
        <v>178</v>
      </c>
      <c r="AB4" s="1107" t="s">
        <v>177</v>
      </c>
      <c r="AC4" s="837" t="s">
        <v>178</v>
      </c>
      <c r="AD4" s="1296" t="s">
        <v>177</v>
      </c>
      <c r="AE4" s="2654" t="s">
        <v>178</v>
      </c>
      <c r="AF4" s="4090" t="s">
        <v>177</v>
      </c>
      <c r="AG4" s="199" t="s">
        <v>178</v>
      </c>
      <c r="AH4" s="1296" t="s">
        <v>177</v>
      </c>
      <c r="AI4" s="2654" t="s">
        <v>178</v>
      </c>
      <c r="AJ4" s="4181" t="s">
        <v>177</v>
      </c>
      <c r="AK4" s="199" t="s">
        <v>178</v>
      </c>
      <c r="AL4" s="1296" t="s">
        <v>177</v>
      </c>
      <c r="AM4" s="2654" t="s">
        <v>178</v>
      </c>
      <c r="AN4" s="4316" t="s">
        <v>177</v>
      </c>
      <c r="AO4" s="206" t="s">
        <v>178</v>
      </c>
      <c r="AP4" s="4314" t="s">
        <v>177</v>
      </c>
      <c r="AQ4" s="199" t="s">
        <v>178</v>
      </c>
      <c r="AR4" s="1296" t="s">
        <v>177</v>
      </c>
      <c r="AS4" s="2654" t="s">
        <v>178</v>
      </c>
      <c r="AT4" s="4436" t="s">
        <v>177</v>
      </c>
      <c r="AU4" s="199" t="s">
        <v>178</v>
      </c>
      <c r="AV4" s="1296" t="s">
        <v>177</v>
      </c>
      <c r="AW4" s="2654" t="s">
        <v>178</v>
      </c>
      <c r="AX4" s="4673" t="s">
        <v>177</v>
      </c>
      <c r="AY4" s="199" t="s">
        <v>178</v>
      </c>
      <c r="AZ4" s="1296" t="s">
        <v>177</v>
      </c>
      <c r="BA4" s="2654" t="s">
        <v>178</v>
      </c>
      <c r="BB4" s="5107" t="s">
        <v>177</v>
      </c>
      <c r="BC4" s="206" t="s">
        <v>178</v>
      </c>
      <c r="BD4" s="1107" t="s">
        <v>177</v>
      </c>
      <c r="BE4" s="837" t="s">
        <v>178</v>
      </c>
      <c r="BF4" s="5105" t="s">
        <v>177</v>
      </c>
      <c r="BG4" s="199" t="s">
        <v>178</v>
      </c>
    </row>
    <row r="5" spans="1:63" ht="17.100000000000001" customHeight="1" x14ac:dyDescent="0.25">
      <c r="B5" s="1358" t="s">
        <v>878</v>
      </c>
      <c r="C5" s="1357"/>
      <c r="D5" s="3141"/>
      <c r="E5" s="3151" t="s">
        <v>52</v>
      </c>
      <c r="F5" s="3087">
        <v>47089.947089947091</v>
      </c>
      <c r="G5" s="172">
        <v>36905.83</v>
      </c>
      <c r="H5" s="3087">
        <v>39682.539682539682</v>
      </c>
      <c r="I5" s="172">
        <v>31163.479000000003</v>
      </c>
      <c r="J5" s="1108">
        <f>+H5+F5</f>
        <v>86772.486772486765</v>
      </c>
      <c r="K5" s="3100">
        <f>+G5+I5</f>
        <v>68069.309000000008</v>
      </c>
      <c r="L5" s="3087">
        <v>38095.238095238099</v>
      </c>
      <c r="M5" s="172">
        <v>31087.134000000002</v>
      </c>
      <c r="N5" s="3106">
        <f>+F5+H5+L5</f>
        <v>124867.72486772487</v>
      </c>
      <c r="O5" s="3107">
        <f>+G5+I5+M5</f>
        <v>99156.443000000014</v>
      </c>
      <c r="P5" s="3087">
        <v>48677.248677248681</v>
      </c>
      <c r="Q5" s="172">
        <v>35610.076000000001</v>
      </c>
      <c r="R5" s="3117">
        <f>+N5+P5</f>
        <v>173544.97354497356</v>
      </c>
      <c r="S5" s="128">
        <f>+O5+Q5</f>
        <v>134766.51900000003</v>
      </c>
      <c r="T5" s="3087">
        <v>48677.248677248681</v>
      </c>
      <c r="U5" s="2677">
        <v>47117.615999999995</v>
      </c>
      <c r="V5" s="3117">
        <f>+R5+T5</f>
        <v>222222.22222222225</v>
      </c>
      <c r="W5" s="128">
        <f>+S5+U5</f>
        <v>181884.13500000001</v>
      </c>
      <c r="X5" s="989">
        <v>47089.947089947091</v>
      </c>
      <c r="Y5" s="2144">
        <v>39830.337999999996</v>
      </c>
      <c r="Z5" s="1109">
        <f>+P5+T5+X5</f>
        <v>144444.44444444444</v>
      </c>
      <c r="AA5" s="120">
        <f>+Q5+U5+Y5</f>
        <v>122558.03</v>
      </c>
      <c r="AB5" s="1110">
        <f>+N5+Z5</f>
        <v>269312.16931216931</v>
      </c>
      <c r="AC5" s="838">
        <f>+AA5+O5</f>
        <v>221714.473</v>
      </c>
      <c r="AD5" s="3087">
        <v>48677.248677248681</v>
      </c>
      <c r="AE5" s="2677">
        <v>41120.632000000005</v>
      </c>
      <c r="AF5" s="3117">
        <f>+AB5+AD5</f>
        <v>317989.41798941797</v>
      </c>
      <c r="AG5" s="128">
        <f>+AC5+AE5</f>
        <v>262835.10499999998</v>
      </c>
      <c r="AH5" s="3087">
        <v>47089.947089947091</v>
      </c>
      <c r="AI5" s="2677">
        <v>43918.169000000002</v>
      </c>
      <c r="AJ5" s="3117">
        <f>+AF5+AH5</f>
        <v>365079.36507936509</v>
      </c>
      <c r="AK5" s="128">
        <f>+AG5+AI5</f>
        <v>306753.27399999998</v>
      </c>
      <c r="AL5" s="3087">
        <v>48677.248677248681</v>
      </c>
      <c r="AM5" s="2677">
        <v>43131.484999999993</v>
      </c>
      <c r="AN5" s="1109">
        <f>+AD5+AH5+AL5</f>
        <v>144444.44444444447</v>
      </c>
      <c r="AO5" s="120">
        <f>+AE5+AI5+AM5</f>
        <v>128170.28599999999</v>
      </c>
      <c r="AP5" s="3117">
        <f>+AL5+AJ5</f>
        <v>413756.61375661375</v>
      </c>
      <c r="AQ5" s="3117">
        <f>+AM5+AK5</f>
        <v>349884.75899999996</v>
      </c>
      <c r="AR5" s="3087">
        <v>48677.248677248681</v>
      </c>
      <c r="AS5" s="2677">
        <v>43271.91</v>
      </c>
      <c r="AT5" s="3117">
        <f>+AP5+AR5</f>
        <v>462433.86243386241</v>
      </c>
      <c r="AU5" s="128">
        <f>+AQ5+AS5</f>
        <v>393156.66899999999</v>
      </c>
      <c r="AV5" s="3087">
        <v>44444.444444444445</v>
      </c>
      <c r="AW5" s="2677">
        <v>45081.006000000001</v>
      </c>
      <c r="AX5" s="3117">
        <f>+AT5+AV5</f>
        <v>506878.30687830684</v>
      </c>
      <c r="AY5" s="128">
        <f>+AU5+AW5</f>
        <v>438237.67499999999</v>
      </c>
      <c r="AZ5" s="3087">
        <v>48677.248677248681</v>
      </c>
      <c r="BA5" s="2677">
        <v>49336.470000000008</v>
      </c>
      <c r="BB5" s="1109">
        <f>+AR5+AV5+AZ5</f>
        <v>141798.94179894181</v>
      </c>
      <c r="BC5" s="120">
        <f>+AS5+AW5+BA5</f>
        <v>137689.386</v>
      </c>
      <c r="BD5" s="1110">
        <f>+AN5+BB5</f>
        <v>286243.38624338631</v>
      </c>
      <c r="BE5" s="1110">
        <f>+AO5+BC5</f>
        <v>265859.67200000002</v>
      </c>
      <c r="BF5" s="3117">
        <f>+AX5+AZ5</f>
        <v>555555.5555555555</v>
      </c>
      <c r="BG5" s="128">
        <f>+AY5+BA5</f>
        <v>487574.14500000002</v>
      </c>
      <c r="BH5" s="26"/>
      <c r="BI5" s="26"/>
      <c r="BJ5" s="26"/>
      <c r="BK5" s="26"/>
    </row>
    <row r="6" spans="1:63" x14ac:dyDescent="0.25">
      <c r="B6" s="1359" t="s">
        <v>883</v>
      </c>
      <c r="C6" s="1356" t="s">
        <v>992</v>
      </c>
      <c r="D6" s="3142">
        <v>42.24</v>
      </c>
      <c r="E6" s="1828" t="s">
        <v>52</v>
      </c>
      <c r="F6" s="3088"/>
      <c r="G6" s="18">
        <v>737.46299999999997</v>
      </c>
      <c r="H6" s="3088"/>
      <c r="I6" s="18"/>
      <c r="J6" s="3095"/>
      <c r="K6" s="635">
        <f>+G6+I6</f>
        <v>737.46299999999997</v>
      </c>
      <c r="L6" s="3088"/>
      <c r="M6" s="18">
        <v>665.13000000000011</v>
      </c>
      <c r="N6" s="3108"/>
      <c r="O6" s="98">
        <f>+G6+I6+M6</f>
        <v>1402.5930000000001</v>
      </c>
      <c r="P6" s="3088"/>
      <c r="Q6" s="18">
        <v>745.19200000000001</v>
      </c>
      <c r="R6" s="3118"/>
      <c r="S6" s="53">
        <f>+O6+Q6</f>
        <v>2147.7849999999999</v>
      </c>
      <c r="T6" s="3088"/>
      <c r="U6" s="2697">
        <v>1828.7539999999999</v>
      </c>
      <c r="V6" s="3118"/>
      <c r="W6" s="53">
        <f>+S6+U6</f>
        <v>3976.5389999999998</v>
      </c>
      <c r="X6" s="1052"/>
      <c r="Y6" s="1411">
        <v>2295.2499999999991</v>
      </c>
      <c r="Z6" s="1111"/>
      <c r="AA6" s="946">
        <f>+Q6+U6+Y6</f>
        <v>4869.195999999999</v>
      </c>
      <c r="AB6" s="1112"/>
      <c r="AC6" s="839">
        <f>+AA6+O6</f>
        <v>6271.7889999999989</v>
      </c>
      <c r="AD6" s="3088"/>
      <c r="AE6" s="2697">
        <v>1756.4090000000001</v>
      </c>
      <c r="AF6" s="3118"/>
      <c r="AG6" s="53">
        <f>+AC6+AE6</f>
        <v>8028.1979999999985</v>
      </c>
      <c r="AH6" s="3088"/>
      <c r="AI6" s="2697">
        <v>1242.7059999999999</v>
      </c>
      <c r="AJ6" s="3118"/>
      <c r="AK6" s="53">
        <f>+AG6+AI6</f>
        <v>9270.9039999999986</v>
      </c>
      <c r="AL6" s="3088"/>
      <c r="AM6" s="2697">
        <v>987.53600000000006</v>
      </c>
      <c r="AN6" s="1111"/>
      <c r="AO6" s="4312">
        <f>+AE6+AI6+AM6</f>
        <v>3986.6509999999998</v>
      </c>
      <c r="AP6" s="3118"/>
      <c r="AQ6" s="53">
        <f>AK6+AM6</f>
        <v>10258.439999999999</v>
      </c>
      <c r="AR6" s="3088"/>
      <c r="AS6" s="2697">
        <v>502.10500000000002</v>
      </c>
      <c r="AT6" s="3118"/>
      <c r="AU6" s="53">
        <f>+AQ6+AS6</f>
        <v>10760.544999999998</v>
      </c>
      <c r="AV6" s="3088"/>
      <c r="AW6" s="2697">
        <v>391.923</v>
      </c>
      <c r="AX6" s="3118"/>
      <c r="AY6" s="53">
        <f>+AU6+AW6</f>
        <v>11152.467999999999</v>
      </c>
      <c r="AZ6" s="3088"/>
      <c r="BA6" s="2697">
        <v>536.05000000000007</v>
      </c>
      <c r="BB6" s="1111"/>
      <c r="BC6" s="5104">
        <f>+AS6+AW6+BA6</f>
        <v>1430.078</v>
      </c>
      <c r="BD6" s="1112"/>
      <c r="BE6" s="839">
        <f>+AO6+BC6</f>
        <v>5416.7289999999994</v>
      </c>
      <c r="BF6" s="3118"/>
      <c r="BG6" s="53">
        <f>+AY6+BA6</f>
        <v>11688.517999999998</v>
      </c>
      <c r="BH6" s="26"/>
      <c r="BI6" s="26"/>
      <c r="BJ6" s="26"/>
      <c r="BK6" s="26"/>
    </row>
    <row r="7" spans="1:63" x14ac:dyDescent="0.25">
      <c r="B7" s="1359" t="s">
        <v>883</v>
      </c>
      <c r="C7" s="1356" t="s">
        <v>1061</v>
      </c>
      <c r="D7" s="3142">
        <v>42.24</v>
      </c>
      <c r="E7" s="1828" t="s">
        <v>52</v>
      </c>
      <c r="F7" s="3088"/>
      <c r="G7" s="18">
        <v>2028.0229999999999</v>
      </c>
      <c r="H7" s="3088"/>
      <c r="I7" s="18"/>
      <c r="J7" s="3095"/>
      <c r="K7" s="635">
        <f t="shared" ref="K7:K71" si="0">+G7+I7</f>
        <v>2028.0229999999999</v>
      </c>
      <c r="L7" s="3088"/>
      <c r="M7" s="18">
        <v>2481.9179999999992</v>
      </c>
      <c r="N7" s="3108"/>
      <c r="O7" s="98">
        <f t="shared" ref="O7:O71" si="1">+G7+I7+M7</f>
        <v>4509.9409999999989</v>
      </c>
      <c r="P7" s="3088"/>
      <c r="Q7" s="18">
        <v>1428.799</v>
      </c>
      <c r="R7" s="3118"/>
      <c r="S7" s="53">
        <f t="shared" ref="S7:S71" si="2">+O7+Q7</f>
        <v>5938.7399999999989</v>
      </c>
      <c r="T7" s="3088"/>
      <c r="U7" s="2697">
        <v>4701.6290000000026</v>
      </c>
      <c r="V7" s="3118"/>
      <c r="W7" s="53">
        <f t="shared" ref="W7:W71" si="3">+S7+U7</f>
        <v>10640.369000000002</v>
      </c>
      <c r="X7" s="1052"/>
      <c r="Y7" s="1411">
        <v>794.99699999999996</v>
      </c>
      <c r="Z7" s="1111"/>
      <c r="AA7" s="3578">
        <f t="shared" ref="AA7:AA71" si="4">+Q7+U7+Y7</f>
        <v>6925.4250000000029</v>
      </c>
      <c r="AB7" s="1112"/>
      <c r="AC7" s="839">
        <f t="shared" ref="AC7:AC71" si="5">+AA7+O7</f>
        <v>11435.366000000002</v>
      </c>
      <c r="AD7" s="3088"/>
      <c r="AE7" s="2697">
        <v>1829.7680000000005</v>
      </c>
      <c r="AF7" s="3118"/>
      <c r="AG7" s="53">
        <f t="shared" ref="AG7:AG25" si="6">+AC7+AE7</f>
        <v>13265.134000000002</v>
      </c>
      <c r="AH7" s="3088"/>
      <c r="AI7" s="2697">
        <v>3030.0250800000003</v>
      </c>
      <c r="AJ7" s="3118"/>
      <c r="AK7" s="53">
        <f t="shared" ref="AK7:AK71" si="7">+AG7+AI7</f>
        <v>16295.159080000001</v>
      </c>
      <c r="AL7" s="3088"/>
      <c r="AM7" s="2697">
        <v>2799.1950000000011</v>
      </c>
      <c r="AN7" s="1111"/>
      <c r="AO7" s="4312">
        <f t="shared" ref="AO7:AO71" si="8">+AE7+AI7+AM7</f>
        <v>7658.9880800000028</v>
      </c>
      <c r="AP7" s="3118"/>
      <c r="AQ7" s="53">
        <f t="shared" ref="AQ7:AQ71" si="9">AK7+AM7</f>
        <v>19094.354080000001</v>
      </c>
      <c r="AR7" s="3088"/>
      <c r="AS7" s="2697">
        <v>2736.1050000000009</v>
      </c>
      <c r="AT7" s="3118"/>
      <c r="AU7" s="53">
        <f t="shared" ref="AU7:AU71" si="10">+AQ7+AS7</f>
        <v>21830.459080000001</v>
      </c>
      <c r="AV7" s="3088"/>
      <c r="AW7" s="2697">
        <v>1513.8719999999998</v>
      </c>
      <c r="AX7" s="3118"/>
      <c r="AY7" s="53">
        <f t="shared" ref="AY7:AY71" si="11">+AU7+AW7</f>
        <v>23344.33108</v>
      </c>
      <c r="AZ7" s="3088"/>
      <c r="BA7" s="2697">
        <v>4350.0410000000011</v>
      </c>
      <c r="BB7" s="1111"/>
      <c r="BC7" s="5104">
        <f t="shared" ref="BC7:BC71" si="12">+AS7+AW7+BA7</f>
        <v>8600.0180000000018</v>
      </c>
      <c r="BD7" s="1112"/>
      <c r="BE7" s="839">
        <f t="shared" ref="BE7:BE71" si="13">+AO7+BC7</f>
        <v>16259.006080000005</v>
      </c>
      <c r="BF7" s="3118"/>
      <c r="BG7" s="53">
        <f t="shared" ref="BG7:BG71" si="14">+AY7+BA7</f>
        <v>27694.372080000001</v>
      </c>
      <c r="BH7" s="26"/>
      <c r="BI7" s="26"/>
      <c r="BJ7" s="26"/>
      <c r="BK7" s="26"/>
    </row>
    <row r="8" spans="1:63" x14ac:dyDescent="0.25">
      <c r="B8" s="1359" t="s">
        <v>944</v>
      </c>
      <c r="C8" s="1356" t="s">
        <v>992</v>
      </c>
      <c r="D8" s="3142">
        <v>49.32</v>
      </c>
      <c r="E8" s="1828" t="s">
        <v>52</v>
      </c>
      <c r="F8" s="3088"/>
      <c r="G8" s="18">
        <v>288.90199999999999</v>
      </c>
      <c r="H8" s="3088"/>
      <c r="I8" s="18"/>
      <c r="J8" s="3095"/>
      <c r="K8" s="635">
        <f t="shared" si="0"/>
        <v>288.90199999999999</v>
      </c>
      <c r="L8" s="3088"/>
      <c r="M8" s="18"/>
      <c r="N8" s="3108"/>
      <c r="O8" s="98">
        <f t="shared" si="1"/>
        <v>288.90199999999999</v>
      </c>
      <c r="P8" s="3088"/>
      <c r="Q8" s="18">
        <v>536.81399999999996</v>
      </c>
      <c r="R8" s="3118"/>
      <c r="S8" s="53">
        <f t="shared" si="2"/>
        <v>825.71599999999989</v>
      </c>
      <c r="T8" s="3088"/>
      <c r="U8" s="2697">
        <v>974.18399999999997</v>
      </c>
      <c r="V8" s="3118"/>
      <c r="W8" s="53">
        <f t="shared" si="3"/>
        <v>1799.8999999999999</v>
      </c>
      <c r="X8" s="1052"/>
      <c r="Y8" s="1411">
        <v>328.47399999999999</v>
      </c>
      <c r="Z8" s="1111"/>
      <c r="AA8" s="3578">
        <f t="shared" si="4"/>
        <v>1839.472</v>
      </c>
      <c r="AB8" s="1112"/>
      <c r="AC8" s="839">
        <f t="shared" si="5"/>
        <v>2128.3739999999998</v>
      </c>
      <c r="AD8" s="3088"/>
      <c r="AE8" s="2697">
        <v>272.54399999999998</v>
      </c>
      <c r="AF8" s="3118"/>
      <c r="AG8" s="53">
        <f t="shared" si="6"/>
        <v>2400.9179999999997</v>
      </c>
      <c r="AH8" s="3088"/>
      <c r="AI8" s="2697">
        <v>262.57100000000003</v>
      </c>
      <c r="AJ8" s="3118"/>
      <c r="AK8" s="53">
        <f t="shared" si="7"/>
        <v>2663.4889999999996</v>
      </c>
      <c r="AL8" s="3088"/>
      <c r="AM8" s="2697">
        <v>504.04599999999999</v>
      </c>
      <c r="AN8" s="1111"/>
      <c r="AO8" s="4312">
        <f t="shared" si="8"/>
        <v>1039.1610000000001</v>
      </c>
      <c r="AP8" s="3118"/>
      <c r="AQ8" s="53">
        <f t="shared" si="9"/>
        <v>3167.5349999999994</v>
      </c>
      <c r="AR8" s="3088"/>
      <c r="AS8" s="2697">
        <v>620.83500000000004</v>
      </c>
      <c r="AT8" s="3118"/>
      <c r="AU8" s="53">
        <f t="shared" si="10"/>
        <v>3788.3699999999994</v>
      </c>
      <c r="AV8" s="3088"/>
      <c r="AW8" s="2697"/>
      <c r="AX8" s="3118"/>
      <c r="AY8" s="53">
        <f t="shared" si="11"/>
        <v>3788.3699999999994</v>
      </c>
      <c r="AZ8" s="3088"/>
      <c r="BA8" s="2697">
        <v>492.71200000000005</v>
      </c>
      <c r="BB8" s="1111"/>
      <c r="BC8" s="5104">
        <f t="shared" si="12"/>
        <v>1113.547</v>
      </c>
      <c r="BD8" s="1112"/>
      <c r="BE8" s="839">
        <f t="shared" si="13"/>
        <v>2152.7080000000001</v>
      </c>
      <c r="BF8" s="3118"/>
      <c r="BG8" s="53">
        <f t="shared" si="14"/>
        <v>4281.0819999999994</v>
      </c>
      <c r="BH8" s="26"/>
      <c r="BI8" s="26"/>
      <c r="BJ8" s="26"/>
      <c r="BK8" s="26"/>
    </row>
    <row r="9" spans="1:63" x14ac:dyDescent="0.25">
      <c r="B9" s="1359" t="s">
        <v>944</v>
      </c>
      <c r="C9" s="1356" t="s">
        <v>1061</v>
      </c>
      <c r="D9" s="3142">
        <v>49.32</v>
      </c>
      <c r="E9" s="1828" t="s">
        <v>52</v>
      </c>
      <c r="F9" s="3088"/>
      <c r="G9" s="18">
        <v>704.20100000000002</v>
      </c>
      <c r="H9" s="3088"/>
      <c r="I9" s="18"/>
      <c r="J9" s="3095"/>
      <c r="K9" s="635">
        <f t="shared" si="0"/>
        <v>704.20100000000002</v>
      </c>
      <c r="L9" s="3088"/>
      <c r="M9" s="18">
        <v>711.72900000000004</v>
      </c>
      <c r="N9" s="3108"/>
      <c r="O9" s="98">
        <f t="shared" si="1"/>
        <v>1415.93</v>
      </c>
      <c r="P9" s="3088"/>
      <c r="Q9" s="18"/>
      <c r="R9" s="3118"/>
      <c r="S9" s="53">
        <f t="shared" si="2"/>
        <v>1415.93</v>
      </c>
      <c r="T9" s="3088"/>
      <c r="U9" s="2697">
        <v>181.52500000000001</v>
      </c>
      <c r="V9" s="3118"/>
      <c r="W9" s="53">
        <f t="shared" si="3"/>
        <v>1597.4550000000002</v>
      </c>
      <c r="X9" s="1052"/>
      <c r="Y9" s="3391">
        <v>900.64400000000012</v>
      </c>
      <c r="Z9" s="1111"/>
      <c r="AA9" s="3578">
        <f t="shared" si="4"/>
        <v>1082.1690000000001</v>
      </c>
      <c r="AB9" s="1112"/>
      <c r="AC9" s="839">
        <f t="shared" si="5"/>
        <v>2498.0990000000002</v>
      </c>
      <c r="AD9" s="3088"/>
      <c r="AE9" s="2697">
        <v>591.68299999999999</v>
      </c>
      <c r="AF9" s="3118"/>
      <c r="AG9" s="53">
        <f t="shared" si="6"/>
        <v>3089.7820000000002</v>
      </c>
      <c r="AH9" s="3088"/>
      <c r="AI9" s="2697">
        <v>725.3309999999999</v>
      </c>
      <c r="AJ9" s="3118"/>
      <c r="AK9" s="53">
        <f t="shared" si="7"/>
        <v>3815.1130000000003</v>
      </c>
      <c r="AL9" s="3088"/>
      <c r="AM9" s="2697">
        <v>1068.1319999999996</v>
      </c>
      <c r="AN9" s="1111"/>
      <c r="AO9" s="4312">
        <f t="shared" si="8"/>
        <v>2385.1459999999997</v>
      </c>
      <c r="AP9" s="3118"/>
      <c r="AQ9" s="53">
        <f t="shared" si="9"/>
        <v>4883.2449999999999</v>
      </c>
      <c r="AR9" s="3088"/>
      <c r="AS9" s="2697">
        <v>963.76400000000024</v>
      </c>
      <c r="AT9" s="3118"/>
      <c r="AU9" s="53">
        <f t="shared" si="10"/>
        <v>5847.009</v>
      </c>
      <c r="AV9" s="3088"/>
      <c r="AW9" s="2697">
        <v>486.62799999999999</v>
      </c>
      <c r="AX9" s="3118"/>
      <c r="AY9" s="53">
        <f t="shared" si="11"/>
        <v>6333.6369999999997</v>
      </c>
      <c r="AZ9" s="3088"/>
      <c r="BA9" s="2697">
        <v>565.70399999999995</v>
      </c>
      <c r="BB9" s="1111"/>
      <c r="BC9" s="5104">
        <f t="shared" si="12"/>
        <v>2016.0960000000002</v>
      </c>
      <c r="BD9" s="1112"/>
      <c r="BE9" s="839">
        <f t="shared" si="13"/>
        <v>4401.2420000000002</v>
      </c>
      <c r="BF9" s="3118"/>
      <c r="BG9" s="53">
        <f t="shared" si="14"/>
        <v>6899.3409999999994</v>
      </c>
      <c r="BH9" s="26"/>
      <c r="BI9" s="26"/>
      <c r="BJ9" s="26"/>
      <c r="BK9" s="26"/>
    </row>
    <row r="10" spans="1:63" x14ac:dyDescent="0.25">
      <c r="B10" s="1359" t="s">
        <v>883</v>
      </c>
      <c r="C10" s="1356" t="s">
        <v>992</v>
      </c>
      <c r="D10" s="3142">
        <v>36.520000000000003</v>
      </c>
      <c r="E10" s="1828" t="s">
        <v>52</v>
      </c>
      <c r="F10" s="3088"/>
      <c r="G10" s="18"/>
      <c r="H10" s="3088"/>
      <c r="I10" s="18"/>
      <c r="J10" s="3095"/>
      <c r="K10" s="635"/>
      <c r="L10" s="3088"/>
      <c r="M10" s="18"/>
      <c r="N10" s="3108"/>
      <c r="O10" s="98">
        <f t="shared" si="1"/>
        <v>0</v>
      </c>
      <c r="P10" s="3088"/>
      <c r="Q10" s="18">
        <v>939.30799999999988</v>
      </c>
      <c r="R10" s="3118"/>
      <c r="S10" s="53">
        <f t="shared" si="2"/>
        <v>939.30799999999988</v>
      </c>
      <c r="T10" s="3088"/>
      <c r="U10" s="2697">
        <v>0</v>
      </c>
      <c r="V10" s="3118"/>
      <c r="W10" s="53">
        <f t="shared" si="3"/>
        <v>939.30799999999988</v>
      </c>
      <c r="X10" s="1052"/>
      <c r="Y10" s="1411">
        <v>168.71899999999999</v>
      </c>
      <c r="Z10" s="1111"/>
      <c r="AA10" s="3578">
        <f t="shared" si="4"/>
        <v>1108.0269999999998</v>
      </c>
      <c r="AB10" s="1112"/>
      <c r="AC10" s="839">
        <f t="shared" si="5"/>
        <v>1108.0269999999998</v>
      </c>
      <c r="AD10" s="3088"/>
      <c r="AE10" s="2697">
        <v>195.93200000000002</v>
      </c>
      <c r="AF10" s="3118"/>
      <c r="AG10" s="53">
        <f t="shared" si="6"/>
        <v>1303.9589999999998</v>
      </c>
      <c r="AH10" s="3088"/>
      <c r="AI10" s="2697"/>
      <c r="AJ10" s="3118"/>
      <c r="AK10" s="53">
        <f t="shared" si="7"/>
        <v>1303.9589999999998</v>
      </c>
      <c r="AL10" s="3088"/>
      <c r="AM10" s="2697"/>
      <c r="AN10" s="1111"/>
      <c r="AO10" s="4312">
        <f t="shared" si="8"/>
        <v>195.93200000000002</v>
      </c>
      <c r="AP10" s="3118"/>
      <c r="AQ10" s="53">
        <f t="shared" si="9"/>
        <v>1303.9589999999998</v>
      </c>
      <c r="AR10" s="3088"/>
      <c r="AS10" s="2697"/>
      <c r="AT10" s="3118"/>
      <c r="AU10" s="53">
        <f t="shared" si="10"/>
        <v>1303.9589999999998</v>
      </c>
      <c r="AV10" s="3088"/>
      <c r="AW10" s="2697"/>
      <c r="AX10" s="3118"/>
      <c r="AY10" s="53">
        <f t="shared" si="11"/>
        <v>1303.9589999999998</v>
      </c>
      <c r="AZ10" s="3088"/>
      <c r="BA10" s="2697">
        <v>714.19299999999998</v>
      </c>
      <c r="BB10" s="1111"/>
      <c r="BC10" s="5104">
        <f t="shared" si="12"/>
        <v>714.19299999999998</v>
      </c>
      <c r="BD10" s="1112"/>
      <c r="BE10" s="839">
        <f t="shared" si="13"/>
        <v>910.125</v>
      </c>
      <c r="BF10" s="3118"/>
      <c r="BG10" s="53">
        <f t="shared" si="14"/>
        <v>2018.1519999999998</v>
      </c>
      <c r="BH10" s="26"/>
      <c r="BI10" s="26"/>
      <c r="BJ10" s="26"/>
      <c r="BK10" s="26"/>
    </row>
    <row r="11" spans="1:63" x14ac:dyDescent="0.25">
      <c r="A11" s="3399"/>
      <c r="B11" s="1359" t="s">
        <v>883</v>
      </c>
      <c r="C11" s="1356" t="s">
        <v>1061</v>
      </c>
      <c r="D11" s="3142">
        <v>36.520000000000003</v>
      </c>
      <c r="E11" s="1828" t="s">
        <v>52</v>
      </c>
      <c r="F11" s="3088"/>
      <c r="G11" s="18"/>
      <c r="H11" s="3088"/>
      <c r="I11" s="18"/>
      <c r="J11" s="3095"/>
      <c r="K11" s="635"/>
      <c r="L11" s="3088"/>
      <c r="M11" s="18"/>
      <c r="N11" s="3108"/>
      <c r="O11" s="98">
        <f t="shared" si="1"/>
        <v>0</v>
      </c>
      <c r="P11" s="3088"/>
      <c r="Q11" s="18"/>
      <c r="R11" s="3118"/>
      <c r="S11" s="53"/>
      <c r="T11" s="3088"/>
      <c r="U11" s="2697"/>
      <c r="V11" s="3118"/>
      <c r="W11" s="53">
        <f t="shared" si="3"/>
        <v>0</v>
      </c>
      <c r="X11" s="1052"/>
      <c r="Y11" s="3391">
        <v>239.47200000000004</v>
      </c>
      <c r="Z11" s="1111"/>
      <c r="AA11" s="3578">
        <f t="shared" si="4"/>
        <v>239.47200000000004</v>
      </c>
      <c r="AB11" s="1112"/>
      <c r="AC11" s="839">
        <f t="shared" si="5"/>
        <v>239.47200000000004</v>
      </c>
      <c r="AD11" s="3088"/>
      <c r="AE11" s="2697"/>
      <c r="AF11" s="3118"/>
      <c r="AG11" s="53">
        <f t="shared" si="6"/>
        <v>239.47200000000004</v>
      </c>
      <c r="AH11" s="3088"/>
      <c r="AI11" s="2697"/>
      <c r="AJ11" s="3118"/>
      <c r="AK11" s="53">
        <f t="shared" si="7"/>
        <v>239.47200000000004</v>
      </c>
      <c r="AL11" s="3088"/>
      <c r="AM11" s="2697"/>
      <c r="AN11" s="1111"/>
      <c r="AO11" s="4312">
        <f t="shared" si="8"/>
        <v>0</v>
      </c>
      <c r="AP11" s="3118"/>
      <c r="AQ11" s="53">
        <f t="shared" si="9"/>
        <v>239.47200000000004</v>
      </c>
      <c r="AR11" s="3088"/>
      <c r="AS11" s="2697"/>
      <c r="AT11" s="3118"/>
      <c r="AU11" s="53">
        <f t="shared" si="10"/>
        <v>239.47200000000004</v>
      </c>
      <c r="AV11" s="3088"/>
      <c r="AW11" s="2697"/>
      <c r="AX11" s="3118"/>
      <c r="AY11" s="53">
        <f t="shared" si="11"/>
        <v>239.47200000000004</v>
      </c>
      <c r="AZ11" s="3088"/>
      <c r="BA11" s="2697">
        <v>300.95300000000003</v>
      </c>
      <c r="BB11" s="1111"/>
      <c r="BC11" s="5104">
        <f t="shared" si="12"/>
        <v>300.95300000000003</v>
      </c>
      <c r="BD11" s="1112"/>
      <c r="BE11" s="839">
        <f t="shared" si="13"/>
        <v>300.95300000000003</v>
      </c>
      <c r="BF11" s="3118"/>
      <c r="BG11" s="53">
        <f t="shared" si="14"/>
        <v>540.42500000000007</v>
      </c>
      <c r="BH11" s="26"/>
      <c r="BI11" s="26"/>
      <c r="BJ11" s="26"/>
      <c r="BK11" s="26"/>
    </row>
    <row r="12" spans="1:63" x14ac:dyDescent="0.25">
      <c r="B12" s="1359" t="s">
        <v>884</v>
      </c>
      <c r="C12" s="1356" t="s">
        <v>1061</v>
      </c>
      <c r="D12" s="3142">
        <v>66.3</v>
      </c>
      <c r="E12" s="1828" t="s">
        <v>52</v>
      </c>
      <c r="F12" s="3088"/>
      <c r="G12" s="18">
        <v>1488.864</v>
      </c>
      <c r="H12" s="3088"/>
      <c r="I12" s="18">
        <v>1390.4500000000003</v>
      </c>
      <c r="J12" s="3095"/>
      <c r="K12" s="635">
        <f t="shared" si="0"/>
        <v>2879.3140000000003</v>
      </c>
      <c r="L12" s="3088"/>
      <c r="M12" s="18">
        <v>804.80900000000008</v>
      </c>
      <c r="N12" s="3108"/>
      <c r="O12" s="98">
        <f t="shared" si="1"/>
        <v>3684.1230000000005</v>
      </c>
      <c r="P12" s="3088"/>
      <c r="Q12" s="18">
        <v>603.05799999999999</v>
      </c>
      <c r="R12" s="3118"/>
      <c r="S12" s="53">
        <f t="shared" si="2"/>
        <v>4287.1810000000005</v>
      </c>
      <c r="T12" s="3088"/>
      <c r="U12" s="2697">
        <v>2519.991</v>
      </c>
      <c r="V12" s="3118"/>
      <c r="W12" s="53">
        <f t="shared" si="3"/>
        <v>6807.1720000000005</v>
      </c>
      <c r="X12" s="1052"/>
      <c r="Y12" s="1411">
        <v>1133.3310000000001</v>
      </c>
      <c r="Z12" s="1111"/>
      <c r="AA12" s="3578">
        <f t="shared" si="4"/>
        <v>4256.38</v>
      </c>
      <c r="AB12" s="1112"/>
      <c r="AC12" s="839">
        <f t="shared" si="5"/>
        <v>7940.5030000000006</v>
      </c>
      <c r="AD12" s="3088"/>
      <c r="AE12" s="2697">
        <v>979.70799999999997</v>
      </c>
      <c r="AF12" s="3118"/>
      <c r="AG12" s="53">
        <f t="shared" si="6"/>
        <v>8920.2110000000011</v>
      </c>
      <c r="AH12" s="3088"/>
      <c r="AI12" s="2697">
        <v>2179.6532399999996</v>
      </c>
      <c r="AJ12" s="3118"/>
      <c r="AK12" s="53">
        <f t="shared" si="7"/>
        <v>11099.864240000001</v>
      </c>
      <c r="AL12" s="3088"/>
      <c r="AM12" s="2697">
        <v>2051.7019999999998</v>
      </c>
      <c r="AN12" s="1111"/>
      <c r="AO12" s="4312">
        <f t="shared" si="8"/>
        <v>5211.0632399999995</v>
      </c>
      <c r="AP12" s="3118"/>
      <c r="AQ12" s="53">
        <f t="shared" si="9"/>
        <v>13151.56624</v>
      </c>
      <c r="AR12" s="3088"/>
      <c r="AS12" s="2697">
        <v>4140.7519999999995</v>
      </c>
      <c r="AT12" s="3118"/>
      <c r="AU12" s="53">
        <f t="shared" si="10"/>
        <v>17292.318240000001</v>
      </c>
      <c r="AV12" s="3088"/>
      <c r="AW12" s="2697">
        <v>3399.4739999999997</v>
      </c>
      <c r="AX12" s="3118"/>
      <c r="AY12" s="53">
        <f t="shared" si="11"/>
        <v>20691.792239999999</v>
      </c>
      <c r="AZ12" s="3088"/>
      <c r="BA12" s="2697">
        <v>6422.2449999999999</v>
      </c>
      <c r="BB12" s="1111"/>
      <c r="BC12" s="5104">
        <f t="shared" si="12"/>
        <v>13962.470999999998</v>
      </c>
      <c r="BD12" s="1112"/>
      <c r="BE12" s="839">
        <f t="shared" si="13"/>
        <v>19173.534239999997</v>
      </c>
      <c r="BF12" s="3118"/>
      <c r="BG12" s="53">
        <f t="shared" si="14"/>
        <v>27114.037239999998</v>
      </c>
      <c r="BH12" s="26"/>
      <c r="BI12" s="26"/>
      <c r="BJ12" s="26"/>
      <c r="BK12" s="26"/>
    </row>
    <row r="13" spans="1:63" x14ac:dyDescent="0.25">
      <c r="B13" s="1359" t="s">
        <v>884</v>
      </c>
      <c r="C13" s="1356" t="s">
        <v>992</v>
      </c>
      <c r="D13" s="3142">
        <v>66.3</v>
      </c>
      <c r="E13" s="1828" t="s">
        <v>52</v>
      </c>
      <c r="F13" s="3088"/>
      <c r="G13" s="18">
        <v>1729.617</v>
      </c>
      <c r="H13" s="3088"/>
      <c r="I13" s="18">
        <v>1123.7879999999998</v>
      </c>
      <c r="J13" s="3095"/>
      <c r="K13" s="635">
        <f t="shared" si="0"/>
        <v>2853.4049999999997</v>
      </c>
      <c r="L13" s="3088"/>
      <c r="M13" s="18">
        <v>3122.4769999999985</v>
      </c>
      <c r="N13" s="3108"/>
      <c r="O13" s="98">
        <f t="shared" si="1"/>
        <v>5975.8819999999978</v>
      </c>
      <c r="P13" s="3088"/>
      <c r="Q13" s="18">
        <v>4058.6260000000007</v>
      </c>
      <c r="R13" s="3118"/>
      <c r="S13" s="53">
        <f t="shared" si="2"/>
        <v>10034.507999999998</v>
      </c>
      <c r="T13" s="3088"/>
      <c r="U13" s="2697">
        <v>2410.7870000000003</v>
      </c>
      <c r="V13" s="3118"/>
      <c r="W13" s="53">
        <f t="shared" si="3"/>
        <v>12445.294999999998</v>
      </c>
      <c r="X13" s="1052"/>
      <c r="Y13" s="1411">
        <v>1949.0889999999997</v>
      </c>
      <c r="Z13" s="1111"/>
      <c r="AA13" s="3578">
        <f t="shared" si="4"/>
        <v>8418.5020000000004</v>
      </c>
      <c r="AB13" s="1112"/>
      <c r="AC13" s="839">
        <f t="shared" si="5"/>
        <v>14394.383999999998</v>
      </c>
      <c r="AD13" s="3088"/>
      <c r="AE13" s="2697">
        <v>1742.3820000000003</v>
      </c>
      <c r="AF13" s="3118"/>
      <c r="AG13" s="53">
        <f t="shared" si="6"/>
        <v>16136.765999999998</v>
      </c>
      <c r="AH13" s="3088"/>
      <c r="AI13" s="2697">
        <v>5629.8296</v>
      </c>
      <c r="AJ13" s="3118"/>
      <c r="AK13" s="53">
        <f t="shared" si="7"/>
        <v>21766.595599999997</v>
      </c>
      <c r="AL13" s="3088"/>
      <c r="AM13" s="2697">
        <v>1879.5219999999995</v>
      </c>
      <c r="AN13" s="1111"/>
      <c r="AO13" s="4312">
        <f t="shared" si="8"/>
        <v>9251.7335999999996</v>
      </c>
      <c r="AP13" s="3118"/>
      <c r="AQ13" s="53">
        <f t="shared" si="9"/>
        <v>23646.117599999998</v>
      </c>
      <c r="AR13" s="3088"/>
      <c r="AS13" s="2697">
        <v>2552.7349999999997</v>
      </c>
      <c r="AT13" s="3118"/>
      <c r="AU13" s="53">
        <f t="shared" si="10"/>
        <v>26198.852599999998</v>
      </c>
      <c r="AV13" s="3088"/>
      <c r="AW13" s="2697">
        <v>1370.242</v>
      </c>
      <c r="AX13" s="3118"/>
      <c r="AY13" s="53">
        <f t="shared" si="11"/>
        <v>27569.094599999997</v>
      </c>
      <c r="AZ13" s="3088"/>
      <c r="BA13" s="2697">
        <v>2597.12</v>
      </c>
      <c r="BB13" s="1111"/>
      <c r="BC13" s="5104">
        <f t="shared" si="12"/>
        <v>6520.0969999999998</v>
      </c>
      <c r="BD13" s="1112"/>
      <c r="BE13" s="839">
        <f t="shared" si="13"/>
        <v>15771.830599999999</v>
      </c>
      <c r="BF13" s="3118"/>
      <c r="BG13" s="53">
        <f t="shared" si="14"/>
        <v>30166.214599999996</v>
      </c>
      <c r="BH13" s="26"/>
      <c r="BI13" s="26"/>
      <c r="BJ13" s="26"/>
      <c r="BK13" s="26"/>
    </row>
    <row r="14" spans="1:63" s="4092" customFormat="1" x14ac:dyDescent="0.25">
      <c r="B14" s="1359" t="s">
        <v>884</v>
      </c>
      <c r="C14" s="1356" t="s">
        <v>1834</v>
      </c>
      <c r="D14" s="3142">
        <v>66.3</v>
      </c>
      <c r="E14" s="1828" t="s">
        <v>52</v>
      </c>
      <c r="F14" s="3088"/>
      <c r="G14" s="18"/>
      <c r="H14" s="3088"/>
      <c r="I14" s="18"/>
      <c r="J14" s="3095"/>
      <c r="K14" s="635"/>
      <c r="L14" s="3088"/>
      <c r="M14" s="18"/>
      <c r="N14" s="3108"/>
      <c r="O14" s="98">
        <f t="shared" si="1"/>
        <v>0</v>
      </c>
      <c r="P14" s="3088"/>
      <c r="Q14" s="18"/>
      <c r="R14" s="3118"/>
      <c r="S14" s="53"/>
      <c r="T14" s="3088"/>
      <c r="U14" s="2697"/>
      <c r="V14" s="3118"/>
      <c r="W14" s="53">
        <f t="shared" si="3"/>
        <v>0</v>
      </c>
      <c r="X14" s="1052"/>
      <c r="Y14" s="3616"/>
      <c r="Z14" s="1111"/>
      <c r="AA14" s="4087">
        <f t="shared" si="4"/>
        <v>0</v>
      </c>
      <c r="AB14" s="1112"/>
      <c r="AC14" s="839">
        <f t="shared" si="5"/>
        <v>0</v>
      </c>
      <c r="AD14" s="3088"/>
      <c r="AE14" s="2697">
        <v>275.32900000000001</v>
      </c>
      <c r="AF14" s="3118"/>
      <c r="AG14" s="53">
        <f t="shared" si="6"/>
        <v>275.32900000000001</v>
      </c>
      <c r="AH14" s="3088"/>
      <c r="AI14" s="2697"/>
      <c r="AJ14" s="3118"/>
      <c r="AK14" s="53">
        <f t="shared" si="7"/>
        <v>275.32900000000001</v>
      </c>
      <c r="AL14" s="3088"/>
      <c r="AM14" s="2697"/>
      <c r="AN14" s="1111"/>
      <c r="AO14" s="4312">
        <f t="shared" si="8"/>
        <v>275.32900000000001</v>
      </c>
      <c r="AP14" s="3118"/>
      <c r="AQ14" s="53">
        <f t="shared" si="9"/>
        <v>275.32900000000001</v>
      </c>
      <c r="AR14" s="3088"/>
      <c r="AS14" s="2697"/>
      <c r="AT14" s="3118"/>
      <c r="AU14" s="53">
        <f t="shared" si="10"/>
        <v>275.32900000000001</v>
      </c>
      <c r="AV14" s="3088"/>
      <c r="AW14" s="2697"/>
      <c r="AX14" s="3118"/>
      <c r="AY14" s="53">
        <f t="shared" si="11"/>
        <v>275.32900000000001</v>
      </c>
      <c r="AZ14" s="3088"/>
      <c r="BA14" s="2697"/>
      <c r="BB14" s="1111"/>
      <c r="BC14" s="5104">
        <f t="shared" si="12"/>
        <v>0</v>
      </c>
      <c r="BD14" s="1112"/>
      <c r="BE14" s="839">
        <f t="shared" si="13"/>
        <v>275.32900000000001</v>
      </c>
      <c r="BF14" s="3118"/>
      <c r="BG14" s="53">
        <f t="shared" si="14"/>
        <v>275.32900000000001</v>
      </c>
      <c r="BH14" s="26"/>
      <c r="BI14" s="26"/>
      <c r="BJ14" s="26"/>
      <c r="BK14" s="26"/>
    </row>
    <row r="15" spans="1:63" ht="15" customHeight="1" x14ac:dyDescent="0.25">
      <c r="B15" s="1359" t="s">
        <v>885</v>
      </c>
      <c r="C15" s="1356" t="s">
        <v>1061</v>
      </c>
      <c r="D15" s="3142">
        <v>57.38</v>
      </c>
      <c r="E15" s="1828" t="s">
        <v>52</v>
      </c>
      <c r="F15" s="3055"/>
      <c r="G15" s="18">
        <v>942.22900000000004</v>
      </c>
      <c r="H15" s="3055"/>
      <c r="I15" s="18">
        <v>1202.864</v>
      </c>
      <c r="J15" s="524"/>
      <c r="K15" s="635">
        <f t="shared" si="0"/>
        <v>2145.0929999999998</v>
      </c>
      <c r="L15" s="3055"/>
      <c r="M15" s="18">
        <v>715.16200000000003</v>
      </c>
      <c r="N15" s="2950"/>
      <c r="O15" s="98">
        <f t="shared" si="1"/>
        <v>2860.2550000000001</v>
      </c>
      <c r="P15" s="3055"/>
      <c r="Q15" s="18">
        <v>541.51099999999997</v>
      </c>
      <c r="R15" s="3058"/>
      <c r="S15" s="53">
        <f t="shared" si="2"/>
        <v>3401.7660000000001</v>
      </c>
      <c r="T15" s="3055"/>
      <c r="U15" s="2697">
        <v>610.34500000000014</v>
      </c>
      <c r="V15" s="3118"/>
      <c r="W15" s="53">
        <f t="shared" si="3"/>
        <v>4012.1110000000003</v>
      </c>
      <c r="X15" s="2362"/>
      <c r="Y15" s="1411">
        <v>495.84800000000001</v>
      </c>
      <c r="Z15" s="946"/>
      <c r="AA15" s="3578">
        <f t="shared" si="4"/>
        <v>1647.7040000000002</v>
      </c>
      <c r="AB15" s="839"/>
      <c r="AC15" s="839">
        <f t="shared" si="5"/>
        <v>4507.9590000000007</v>
      </c>
      <c r="AD15" s="4089"/>
      <c r="AE15" s="2697">
        <v>569.09400000000005</v>
      </c>
      <c r="AF15" s="3118"/>
      <c r="AG15" s="53">
        <f t="shared" si="6"/>
        <v>5077.0530000000008</v>
      </c>
      <c r="AH15" s="4177"/>
      <c r="AI15" s="2697">
        <v>711.74599999999998</v>
      </c>
      <c r="AJ15" s="3118"/>
      <c r="AK15" s="53">
        <f t="shared" si="7"/>
        <v>5788.7990000000009</v>
      </c>
      <c r="AL15" s="4309"/>
      <c r="AM15" s="2697">
        <v>1267.5519999999999</v>
      </c>
      <c r="AN15" s="4312"/>
      <c r="AO15" s="4312">
        <f t="shared" si="8"/>
        <v>2548.3919999999998</v>
      </c>
      <c r="AP15" s="3118"/>
      <c r="AQ15" s="53">
        <f t="shared" si="9"/>
        <v>7056.3510000000006</v>
      </c>
      <c r="AR15" s="4434"/>
      <c r="AS15" s="2697">
        <v>2129.6050000000005</v>
      </c>
      <c r="AT15" s="3118"/>
      <c r="AU15" s="53">
        <f t="shared" si="10"/>
        <v>9185.9560000000019</v>
      </c>
      <c r="AV15" s="4670"/>
      <c r="AW15" s="2697">
        <v>1272.2860000000001</v>
      </c>
      <c r="AX15" s="3118"/>
      <c r="AY15" s="53">
        <f t="shared" si="11"/>
        <v>10458.242000000002</v>
      </c>
      <c r="AZ15" s="5101"/>
      <c r="BA15" s="2697">
        <v>2875.2090000000003</v>
      </c>
      <c r="BB15" s="5104"/>
      <c r="BC15" s="5104">
        <f t="shared" si="12"/>
        <v>6277.1</v>
      </c>
      <c r="BD15" s="839"/>
      <c r="BE15" s="839">
        <f t="shared" si="13"/>
        <v>8825.4920000000002</v>
      </c>
      <c r="BF15" s="3118"/>
      <c r="BG15" s="53">
        <f t="shared" si="14"/>
        <v>13333.451000000003</v>
      </c>
      <c r="BH15" s="26"/>
      <c r="BI15" s="26"/>
      <c r="BJ15" s="26"/>
      <c r="BK15" s="26"/>
    </row>
    <row r="16" spans="1:63" ht="15" customHeight="1" x14ac:dyDescent="0.25">
      <c r="B16" s="1359" t="s">
        <v>885</v>
      </c>
      <c r="C16" s="1356" t="s">
        <v>992</v>
      </c>
      <c r="D16" s="3142">
        <v>57.38</v>
      </c>
      <c r="E16" s="1828" t="s">
        <v>52</v>
      </c>
      <c r="F16" s="3088"/>
      <c r="G16" s="18">
        <v>2084.029</v>
      </c>
      <c r="H16" s="3088"/>
      <c r="I16" s="18">
        <v>2469.558</v>
      </c>
      <c r="J16" s="3095"/>
      <c r="K16" s="635">
        <f t="shared" si="0"/>
        <v>4553.5869999999995</v>
      </c>
      <c r="L16" s="3088"/>
      <c r="M16" s="18">
        <v>2475.1279999999992</v>
      </c>
      <c r="N16" s="3108"/>
      <c r="O16" s="98">
        <f t="shared" si="1"/>
        <v>7028.7149999999983</v>
      </c>
      <c r="P16" s="3088"/>
      <c r="Q16" s="18">
        <v>1039.3420000000001</v>
      </c>
      <c r="R16" s="3118"/>
      <c r="S16" s="53">
        <f t="shared" si="2"/>
        <v>8068.0569999999989</v>
      </c>
      <c r="T16" s="3088"/>
      <c r="U16" s="2697">
        <v>2405.0440000000003</v>
      </c>
      <c r="V16" s="3118"/>
      <c r="W16" s="53">
        <f t="shared" si="3"/>
        <v>10473.100999999999</v>
      </c>
      <c r="X16" s="1052"/>
      <c r="Y16" s="1411">
        <v>2032.9159999999997</v>
      </c>
      <c r="Z16" s="1111"/>
      <c r="AA16" s="3578">
        <f t="shared" si="4"/>
        <v>5477.3019999999997</v>
      </c>
      <c r="AB16" s="1112"/>
      <c r="AC16" s="839">
        <f t="shared" si="5"/>
        <v>12506.016999999998</v>
      </c>
      <c r="AD16" s="3088"/>
      <c r="AE16" s="2697">
        <v>2509.7380000000003</v>
      </c>
      <c r="AF16" s="3118"/>
      <c r="AG16" s="53">
        <f t="shared" si="6"/>
        <v>15015.754999999997</v>
      </c>
      <c r="AH16" s="3088"/>
      <c r="AI16" s="2697">
        <v>3440.7268800000002</v>
      </c>
      <c r="AJ16" s="3118"/>
      <c r="AK16" s="53">
        <f t="shared" si="7"/>
        <v>18456.481879999999</v>
      </c>
      <c r="AL16" s="3088"/>
      <c r="AM16" s="2697">
        <v>2099.3419999999996</v>
      </c>
      <c r="AN16" s="1111"/>
      <c r="AO16" s="4312">
        <f t="shared" si="8"/>
        <v>8049.8068800000001</v>
      </c>
      <c r="AP16" s="3118"/>
      <c r="AQ16" s="53">
        <f t="shared" si="9"/>
        <v>20555.82388</v>
      </c>
      <c r="AR16" s="3088"/>
      <c r="AS16" s="2697">
        <v>1471.3720000000001</v>
      </c>
      <c r="AT16" s="3118"/>
      <c r="AU16" s="53">
        <f t="shared" si="10"/>
        <v>22027.195879999999</v>
      </c>
      <c r="AV16" s="3088"/>
      <c r="AW16" s="2697">
        <v>1778.1970000000001</v>
      </c>
      <c r="AX16" s="3118"/>
      <c r="AY16" s="53">
        <f t="shared" si="11"/>
        <v>23805.392879999999</v>
      </c>
      <c r="AZ16" s="3088"/>
      <c r="BA16" s="2697">
        <v>3064.8449999999998</v>
      </c>
      <c r="BB16" s="1111"/>
      <c r="BC16" s="5104">
        <f t="shared" si="12"/>
        <v>6314.4140000000007</v>
      </c>
      <c r="BD16" s="1112"/>
      <c r="BE16" s="839">
        <f t="shared" si="13"/>
        <v>14364.220880000001</v>
      </c>
      <c r="BF16" s="3118"/>
      <c r="BG16" s="53">
        <f t="shared" si="14"/>
        <v>26870.237880000001</v>
      </c>
      <c r="BH16" s="26"/>
      <c r="BI16" s="26"/>
      <c r="BJ16" s="26"/>
      <c r="BK16" s="26"/>
    </row>
    <row r="17" spans="1:63" ht="15" customHeight="1" x14ac:dyDescent="0.25">
      <c r="A17" s="3399"/>
      <c r="B17" s="1359" t="s">
        <v>954</v>
      </c>
      <c r="C17" s="1356" t="s">
        <v>992</v>
      </c>
      <c r="D17" s="3142">
        <v>77.569999999999993</v>
      </c>
      <c r="E17" s="1828" t="s">
        <v>52</v>
      </c>
      <c r="F17" s="3088"/>
      <c r="G17" s="18">
        <v>3401.5800000000004</v>
      </c>
      <c r="H17" s="3088"/>
      <c r="I17" s="18">
        <v>1296.0990000000002</v>
      </c>
      <c r="J17" s="3095"/>
      <c r="K17" s="635"/>
      <c r="L17" s="3088"/>
      <c r="M17" s="18">
        <v>2674.6059999999998</v>
      </c>
      <c r="N17" s="3108"/>
      <c r="O17" s="98">
        <f t="shared" si="1"/>
        <v>7372.2849999999999</v>
      </c>
      <c r="P17" s="3088"/>
      <c r="Q17" s="18">
        <v>1969.2930000000003</v>
      </c>
      <c r="R17" s="3118"/>
      <c r="S17" s="53"/>
      <c r="T17" s="3088"/>
      <c r="U17" s="2697">
        <v>1779.1320000000001</v>
      </c>
      <c r="V17" s="3118"/>
      <c r="W17" s="53">
        <f t="shared" si="3"/>
        <v>1779.1320000000001</v>
      </c>
      <c r="X17" s="1052"/>
      <c r="Y17" s="3391">
        <v>2403.14</v>
      </c>
      <c r="Z17" s="1111"/>
      <c r="AA17" s="3578">
        <f t="shared" si="4"/>
        <v>6151.5650000000005</v>
      </c>
      <c r="AB17" s="1112"/>
      <c r="AC17" s="839">
        <f t="shared" si="5"/>
        <v>13523.85</v>
      </c>
      <c r="AD17" s="3088"/>
      <c r="AE17" s="2697"/>
      <c r="AF17" s="3118"/>
      <c r="AG17" s="53">
        <f t="shared" si="6"/>
        <v>13523.85</v>
      </c>
      <c r="AH17" s="3088"/>
      <c r="AI17" s="2697">
        <v>1052.604</v>
      </c>
      <c r="AJ17" s="3118"/>
      <c r="AK17" s="53">
        <f t="shared" si="7"/>
        <v>14576.454</v>
      </c>
      <c r="AL17" s="3088"/>
      <c r="AM17" s="2697">
        <v>1191.068</v>
      </c>
      <c r="AN17" s="1111"/>
      <c r="AO17" s="4312">
        <f t="shared" si="8"/>
        <v>2243.672</v>
      </c>
      <c r="AP17" s="3118"/>
      <c r="AQ17" s="53">
        <f t="shared" si="9"/>
        <v>15767.521999999999</v>
      </c>
      <c r="AR17" s="3088"/>
      <c r="AS17" s="2697">
        <v>992.55799999999999</v>
      </c>
      <c r="AT17" s="3118"/>
      <c r="AU17" s="53">
        <f t="shared" si="10"/>
        <v>16760.079999999998</v>
      </c>
      <c r="AV17" s="3088"/>
      <c r="AW17" s="2697">
        <v>1163.809</v>
      </c>
      <c r="AX17" s="3118"/>
      <c r="AY17" s="53">
        <f t="shared" si="11"/>
        <v>17923.888999999999</v>
      </c>
      <c r="AZ17" s="3088"/>
      <c r="BA17" s="2697"/>
      <c r="BB17" s="1111"/>
      <c r="BC17" s="5104">
        <f t="shared" si="12"/>
        <v>2156.3670000000002</v>
      </c>
      <c r="BD17" s="1112"/>
      <c r="BE17" s="839">
        <f t="shared" si="13"/>
        <v>4400.0390000000007</v>
      </c>
      <c r="BF17" s="3118"/>
      <c r="BG17" s="53">
        <f t="shared" si="14"/>
        <v>17923.888999999999</v>
      </c>
      <c r="BH17" s="26"/>
      <c r="BI17" s="26"/>
      <c r="BJ17" s="26"/>
      <c r="BK17" s="26"/>
    </row>
    <row r="18" spans="1:63" ht="15" customHeight="1" x14ac:dyDescent="0.25">
      <c r="B18" s="1359" t="s">
        <v>954</v>
      </c>
      <c r="C18" s="1356" t="s">
        <v>1061</v>
      </c>
      <c r="D18" s="3142">
        <v>77.569999999999993</v>
      </c>
      <c r="E18" s="1828" t="s">
        <v>52</v>
      </c>
      <c r="F18" s="3088"/>
      <c r="G18" s="18">
        <v>448.56</v>
      </c>
      <c r="H18" s="3088"/>
      <c r="I18" s="18">
        <v>891.53599999999994</v>
      </c>
      <c r="J18" s="3095"/>
      <c r="K18" s="635">
        <f t="shared" si="0"/>
        <v>1340.096</v>
      </c>
      <c r="L18" s="3088"/>
      <c r="M18" s="18">
        <v>979.53099999999995</v>
      </c>
      <c r="N18" s="3108"/>
      <c r="O18" s="98">
        <f t="shared" si="1"/>
        <v>2319.627</v>
      </c>
      <c r="P18" s="3088"/>
      <c r="Q18" s="18">
        <v>1595.7750000000001</v>
      </c>
      <c r="R18" s="3118"/>
      <c r="S18" s="53">
        <f t="shared" si="2"/>
        <v>3915.402</v>
      </c>
      <c r="T18" s="3088"/>
      <c r="U18" s="2697">
        <v>1834.9930000000002</v>
      </c>
      <c r="V18" s="3118"/>
      <c r="W18" s="53">
        <f t="shared" si="3"/>
        <v>5750.3950000000004</v>
      </c>
      <c r="X18" s="1052"/>
      <c r="Y18" s="1411">
        <v>1499.1980000000003</v>
      </c>
      <c r="Z18" s="1111"/>
      <c r="AA18" s="3578">
        <f t="shared" si="4"/>
        <v>4929.9660000000003</v>
      </c>
      <c r="AB18" s="1112"/>
      <c r="AC18" s="839">
        <f t="shared" si="5"/>
        <v>7249.5930000000008</v>
      </c>
      <c r="AD18" s="3088"/>
      <c r="AE18" s="2697"/>
      <c r="AF18" s="3118"/>
      <c r="AG18" s="53">
        <f t="shared" si="6"/>
        <v>7249.5930000000008</v>
      </c>
      <c r="AH18" s="3088"/>
      <c r="AI18" s="2697">
        <v>1694.9820000000002</v>
      </c>
      <c r="AJ18" s="3118"/>
      <c r="AK18" s="53">
        <f t="shared" si="7"/>
        <v>8944.5750000000007</v>
      </c>
      <c r="AL18" s="3088"/>
      <c r="AM18" s="2697">
        <v>2931.8630000000003</v>
      </c>
      <c r="AN18" s="1111"/>
      <c r="AO18" s="4312">
        <f t="shared" si="8"/>
        <v>4626.8450000000003</v>
      </c>
      <c r="AP18" s="3118"/>
      <c r="AQ18" s="53">
        <f t="shared" si="9"/>
        <v>11876.438000000002</v>
      </c>
      <c r="AR18" s="3088"/>
      <c r="AS18" s="2697">
        <v>3038.7539999999999</v>
      </c>
      <c r="AT18" s="3118"/>
      <c r="AU18" s="53">
        <f t="shared" si="10"/>
        <v>14915.192000000003</v>
      </c>
      <c r="AV18" s="3088"/>
      <c r="AW18" s="2697">
        <v>959.55399999999997</v>
      </c>
      <c r="AX18" s="3118"/>
      <c r="AY18" s="53">
        <f t="shared" si="11"/>
        <v>15874.746000000003</v>
      </c>
      <c r="AZ18" s="3088"/>
      <c r="BA18" s="2697">
        <v>3784.2309999999989</v>
      </c>
      <c r="BB18" s="1111"/>
      <c r="BC18" s="5104">
        <f t="shared" si="12"/>
        <v>7782.5389999999989</v>
      </c>
      <c r="BD18" s="1112"/>
      <c r="BE18" s="839">
        <f t="shared" si="13"/>
        <v>12409.383999999998</v>
      </c>
      <c r="BF18" s="3118"/>
      <c r="BG18" s="53">
        <f t="shared" si="14"/>
        <v>19658.977000000003</v>
      </c>
      <c r="BH18" s="26"/>
      <c r="BI18" s="26"/>
      <c r="BJ18" s="26"/>
      <c r="BK18" s="26"/>
    </row>
    <row r="19" spans="1:63" ht="15" customHeight="1" x14ac:dyDescent="0.25">
      <c r="B19" s="1359" t="s">
        <v>1122</v>
      </c>
      <c r="C19" s="1356" t="s">
        <v>992</v>
      </c>
      <c r="D19" s="3142">
        <v>67.150000000000006</v>
      </c>
      <c r="E19" s="1828" t="s">
        <v>52</v>
      </c>
      <c r="F19" s="3088"/>
      <c r="G19" s="18">
        <v>473.58500000000004</v>
      </c>
      <c r="H19" s="3088"/>
      <c r="I19" s="18"/>
      <c r="J19" s="3095"/>
      <c r="K19" s="635">
        <f t="shared" si="0"/>
        <v>473.58500000000004</v>
      </c>
      <c r="L19" s="3088"/>
      <c r="M19" s="18">
        <v>839.66199999999992</v>
      </c>
      <c r="N19" s="3108"/>
      <c r="O19" s="98">
        <f t="shared" si="1"/>
        <v>1313.2469999999998</v>
      </c>
      <c r="P19" s="3088"/>
      <c r="Q19" s="18">
        <v>870.84999999999991</v>
      </c>
      <c r="R19" s="3118"/>
      <c r="S19" s="53">
        <f t="shared" si="2"/>
        <v>2184.0969999999998</v>
      </c>
      <c r="T19" s="3088"/>
      <c r="U19" s="2697">
        <v>805.71500000000003</v>
      </c>
      <c r="V19" s="3118"/>
      <c r="W19" s="53">
        <f t="shared" si="3"/>
        <v>2989.8119999999999</v>
      </c>
      <c r="X19" s="1052"/>
      <c r="Y19" s="1411">
        <v>851.49300000000005</v>
      </c>
      <c r="Z19" s="1111"/>
      <c r="AA19" s="3578">
        <f t="shared" si="4"/>
        <v>2528.058</v>
      </c>
      <c r="AB19" s="1112"/>
      <c r="AC19" s="839">
        <f t="shared" si="5"/>
        <v>3841.3049999999998</v>
      </c>
      <c r="AD19" s="3088"/>
      <c r="AE19" s="2697"/>
      <c r="AF19" s="3118"/>
      <c r="AG19" s="53">
        <f t="shared" si="6"/>
        <v>3841.3049999999998</v>
      </c>
      <c r="AH19" s="3088"/>
      <c r="AI19" s="2697">
        <v>1086.377</v>
      </c>
      <c r="AJ19" s="3118"/>
      <c r="AK19" s="53">
        <f t="shared" si="7"/>
        <v>4927.6819999999998</v>
      </c>
      <c r="AL19" s="3088"/>
      <c r="AM19" s="2697">
        <v>290.197</v>
      </c>
      <c r="AN19" s="1111"/>
      <c r="AO19" s="4312">
        <f t="shared" si="8"/>
        <v>1376.5740000000001</v>
      </c>
      <c r="AP19" s="3118"/>
      <c r="AQ19" s="53">
        <f t="shared" si="9"/>
        <v>5217.8789999999999</v>
      </c>
      <c r="AR19" s="3088"/>
      <c r="AS19" s="2697"/>
      <c r="AT19" s="3118"/>
      <c r="AU19" s="53">
        <f t="shared" si="10"/>
        <v>5217.8789999999999</v>
      </c>
      <c r="AV19" s="3088"/>
      <c r="AW19" s="2697">
        <v>368.17099999999994</v>
      </c>
      <c r="AX19" s="3118"/>
      <c r="AY19" s="53">
        <f t="shared" si="11"/>
        <v>5586.05</v>
      </c>
      <c r="AZ19" s="3088"/>
      <c r="BA19" s="2697"/>
      <c r="BB19" s="1111"/>
      <c r="BC19" s="5104">
        <f t="shared" si="12"/>
        <v>368.17099999999994</v>
      </c>
      <c r="BD19" s="1112"/>
      <c r="BE19" s="839">
        <f t="shared" si="13"/>
        <v>1744.7449999999999</v>
      </c>
      <c r="BF19" s="3118"/>
      <c r="BG19" s="53">
        <f t="shared" si="14"/>
        <v>5586.05</v>
      </c>
      <c r="BH19" s="26"/>
      <c r="BI19" s="26"/>
      <c r="BJ19" s="26"/>
      <c r="BK19" s="26"/>
    </row>
    <row r="20" spans="1:63" ht="15" customHeight="1" x14ac:dyDescent="0.25">
      <c r="B20" s="1359" t="s">
        <v>1122</v>
      </c>
      <c r="C20" s="1356" t="s">
        <v>1061</v>
      </c>
      <c r="D20" s="3142">
        <v>67.150000000000006</v>
      </c>
      <c r="E20" s="1828" t="s">
        <v>52</v>
      </c>
      <c r="F20" s="3088"/>
      <c r="G20" s="18">
        <v>517.30100000000004</v>
      </c>
      <c r="H20" s="3088"/>
      <c r="I20" s="18"/>
      <c r="J20" s="3095"/>
      <c r="K20" s="635">
        <f t="shared" si="0"/>
        <v>517.30100000000004</v>
      </c>
      <c r="L20" s="3088"/>
      <c r="M20" s="18"/>
      <c r="N20" s="3108"/>
      <c r="O20" s="98">
        <f t="shared" si="1"/>
        <v>517.30100000000004</v>
      </c>
      <c r="P20" s="3088"/>
      <c r="Q20" s="18">
        <v>1124.3989999999999</v>
      </c>
      <c r="R20" s="3118"/>
      <c r="S20" s="53">
        <f t="shared" si="2"/>
        <v>1641.6999999999998</v>
      </c>
      <c r="T20" s="3088"/>
      <c r="U20" s="2697">
        <v>1003.282</v>
      </c>
      <c r="V20" s="3118"/>
      <c r="W20" s="53">
        <f t="shared" si="3"/>
        <v>2644.982</v>
      </c>
      <c r="X20" s="1052"/>
      <c r="Y20" s="1411">
        <v>536.601</v>
      </c>
      <c r="Z20" s="1111"/>
      <c r="AA20" s="3578">
        <f t="shared" si="4"/>
        <v>2664.2820000000002</v>
      </c>
      <c r="AB20" s="1112"/>
      <c r="AC20" s="839">
        <f t="shared" si="5"/>
        <v>3181.5830000000001</v>
      </c>
      <c r="AD20" s="3088"/>
      <c r="AE20" s="2697"/>
      <c r="AF20" s="3118"/>
      <c r="AG20" s="53">
        <f t="shared" si="6"/>
        <v>3181.5830000000001</v>
      </c>
      <c r="AH20" s="3088"/>
      <c r="AI20" s="2697">
        <v>1644.4499999999996</v>
      </c>
      <c r="AJ20" s="3118"/>
      <c r="AK20" s="53">
        <f t="shared" si="7"/>
        <v>4826.0329999999994</v>
      </c>
      <c r="AL20" s="3088"/>
      <c r="AM20" s="2697">
        <v>1064.0540000000001</v>
      </c>
      <c r="AN20" s="1111"/>
      <c r="AO20" s="4312">
        <f t="shared" si="8"/>
        <v>2708.5039999999999</v>
      </c>
      <c r="AP20" s="3118"/>
      <c r="AQ20" s="53">
        <f t="shared" si="9"/>
        <v>5890.0869999999995</v>
      </c>
      <c r="AR20" s="3088"/>
      <c r="AS20" s="2697">
        <v>1517.9529999999997</v>
      </c>
      <c r="AT20" s="3118"/>
      <c r="AU20" s="53">
        <f t="shared" si="10"/>
        <v>7408.0399999999991</v>
      </c>
      <c r="AV20" s="3088"/>
      <c r="AW20" s="2697">
        <v>979.3359999999999</v>
      </c>
      <c r="AX20" s="3118"/>
      <c r="AY20" s="53">
        <f t="shared" si="11"/>
        <v>8387.3759999999984</v>
      </c>
      <c r="AZ20" s="3088"/>
      <c r="BA20" s="2697"/>
      <c r="BB20" s="1111"/>
      <c r="BC20" s="5104">
        <f t="shared" si="12"/>
        <v>2497.2889999999998</v>
      </c>
      <c r="BD20" s="1112"/>
      <c r="BE20" s="839">
        <f t="shared" si="13"/>
        <v>5205.7929999999997</v>
      </c>
      <c r="BF20" s="3118"/>
      <c r="BG20" s="53">
        <f t="shared" si="14"/>
        <v>8387.3759999999984</v>
      </c>
      <c r="BH20" s="26"/>
      <c r="BI20" s="26"/>
      <c r="BJ20" s="26"/>
      <c r="BK20" s="26"/>
    </row>
    <row r="21" spans="1:63" ht="15" customHeight="1" x14ac:dyDescent="0.25">
      <c r="B21" s="1359" t="s">
        <v>954</v>
      </c>
      <c r="C21" s="1356" t="s">
        <v>1061</v>
      </c>
      <c r="D21" s="3142">
        <v>92.36</v>
      </c>
      <c r="E21" s="1828" t="s">
        <v>52</v>
      </c>
      <c r="F21" s="3088"/>
      <c r="G21" s="18"/>
      <c r="H21" s="3088"/>
      <c r="I21" s="18"/>
      <c r="J21" s="3095"/>
      <c r="K21" s="635"/>
      <c r="L21" s="3088"/>
      <c r="M21" s="18">
        <v>564.30700000000002</v>
      </c>
      <c r="N21" s="3108"/>
      <c r="O21" s="98">
        <f t="shared" si="1"/>
        <v>564.30700000000002</v>
      </c>
      <c r="P21" s="3088"/>
      <c r="Q21" s="18"/>
      <c r="R21" s="3118"/>
      <c r="S21" s="53">
        <f t="shared" si="2"/>
        <v>564.30700000000002</v>
      </c>
      <c r="T21" s="3088"/>
      <c r="U21" s="2697">
        <v>0</v>
      </c>
      <c r="V21" s="3118"/>
      <c r="W21" s="53">
        <f t="shared" si="3"/>
        <v>564.30700000000002</v>
      </c>
      <c r="X21" s="1052"/>
      <c r="Y21" s="1411"/>
      <c r="Z21" s="1111"/>
      <c r="AA21" s="3578">
        <f t="shared" si="4"/>
        <v>0</v>
      </c>
      <c r="AB21" s="1112"/>
      <c r="AC21" s="839">
        <f t="shared" si="5"/>
        <v>564.30700000000002</v>
      </c>
      <c r="AD21" s="3088"/>
      <c r="AE21" s="2697"/>
      <c r="AF21" s="3118"/>
      <c r="AG21" s="53">
        <f t="shared" si="6"/>
        <v>564.30700000000002</v>
      </c>
      <c r="AH21" s="3088"/>
      <c r="AI21" s="2697"/>
      <c r="AJ21" s="3118"/>
      <c r="AK21" s="53">
        <f t="shared" si="7"/>
        <v>564.30700000000002</v>
      </c>
      <c r="AL21" s="3088"/>
      <c r="AM21" s="2697"/>
      <c r="AN21" s="1111"/>
      <c r="AO21" s="4312">
        <f t="shared" si="8"/>
        <v>0</v>
      </c>
      <c r="AP21" s="3118"/>
      <c r="AQ21" s="53">
        <f t="shared" si="9"/>
        <v>564.30700000000002</v>
      </c>
      <c r="AR21" s="3088"/>
      <c r="AS21" s="2697"/>
      <c r="AT21" s="3118"/>
      <c r="AU21" s="53">
        <f t="shared" si="10"/>
        <v>564.30700000000002</v>
      </c>
      <c r="AV21" s="3088"/>
      <c r="AW21" s="2697"/>
      <c r="AX21" s="3118"/>
      <c r="AY21" s="53">
        <f t="shared" si="11"/>
        <v>564.30700000000002</v>
      </c>
      <c r="AZ21" s="3088"/>
      <c r="BA21" s="2697"/>
      <c r="BB21" s="1111"/>
      <c r="BC21" s="5104">
        <f t="shared" si="12"/>
        <v>0</v>
      </c>
      <c r="BD21" s="1112"/>
      <c r="BE21" s="839">
        <f t="shared" si="13"/>
        <v>0</v>
      </c>
      <c r="BF21" s="3118"/>
      <c r="BG21" s="53">
        <f t="shared" si="14"/>
        <v>564.30700000000002</v>
      </c>
      <c r="BH21" s="26"/>
      <c r="BI21" s="26"/>
      <c r="BJ21" s="26"/>
      <c r="BK21" s="26"/>
    </row>
    <row r="22" spans="1:63" ht="15" customHeight="1" x14ac:dyDescent="0.25">
      <c r="B22" s="1359" t="s">
        <v>1357</v>
      </c>
      <c r="C22" s="1356" t="s">
        <v>1061</v>
      </c>
      <c r="D22" s="3142">
        <v>79.36</v>
      </c>
      <c r="E22" s="1828" t="s">
        <v>52</v>
      </c>
      <c r="F22" s="3088"/>
      <c r="G22" s="18">
        <v>905.16499999999996</v>
      </c>
      <c r="H22" s="3088"/>
      <c r="I22" s="18"/>
      <c r="J22" s="3095"/>
      <c r="K22" s="635">
        <f t="shared" si="0"/>
        <v>905.16499999999996</v>
      </c>
      <c r="L22" s="3088"/>
      <c r="M22" s="18"/>
      <c r="N22" s="3108"/>
      <c r="O22" s="98">
        <f t="shared" si="1"/>
        <v>905.16499999999996</v>
      </c>
      <c r="P22" s="3088"/>
      <c r="Q22" s="18"/>
      <c r="R22" s="3118"/>
      <c r="S22" s="53">
        <f t="shared" si="2"/>
        <v>905.16499999999996</v>
      </c>
      <c r="T22" s="3088"/>
      <c r="U22" s="2697">
        <v>562.21699999999998</v>
      </c>
      <c r="V22" s="3118"/>
      <c r="W22" s="53">
        <f t="shared" si="3"/>
        <v>1467.3820000000001</v>
      </c>
      <c r="X22" s="1052"/>
      <c r="Y22" s="1411">
        <v>238.892</v>
      </c>
      <c r="Z22" s="1111"/>
      <c r="AA22" s="3578">
        <f t="shared" si="4"/>
        <v>801.10899999999992</v>
      </c>
      <c r="AB22" s="1112"/>
      <c r="AC22" s="839">
        <f t="shared" si="5"/>
        <v>1706.2739999999999</v>
      </c>
      <c r="AD22" s="3088"/>
      <c r="AE22" s="2697"/>
      <c r="AF22" s="3118"/>
      <c r="AG22" s="53">
        <f t="shared" si="6"/>
        <v>1706.2739999999999</v>
      </c>
      <c r="AH22" s="3088"/>
      <c r="AI22" s="2697">
        <v>206.084</v>
      </c>
      <c r="AJ22" s="3118"/>
      <c r="AK22" s="53">
        <f t="shared" si="7"/>
        <v>1912.3579999999999</v>
      </c>
      <c r="AL22" s="3088"/>
      <c r="AM22" s="2697"/>
      <c r="AN22" s="1111"/>
      <c r="AO22" s="4312">
        <f t="shared" si="8"/>
        <v>206.084</v>
      </c>
      <c r="AP22" s="3118"/>
      <c r="AQ22" s="53">
        <f t="shared" si="9"/>
        <v>1912.3579999999999</v>
      </c>
      <c r="AR22" s="3088"/>
      <c r="AS22" s="2697"/>
      <c r="AT22" s="3118"/>
      <c r="AU22" s="53">
        <f t="shared" si="10"/>
        <v>1912.3579999999999</v>
      </c>
      <c r="AV22" s="3088"/>
      <c r="AW22" s="2697">
        <v>489.447</v>
      </c>
      <c r="AX22" s="3118"/>
      <c r="AY22" s="53">
        <f t="shared" si="11"/>
        <v>2401.8049999999998</v>
      </c>
      <c r="AZ22" s="3088"/>
      <c r="BA22" s="2697">
        <v>291.30200000000002</v>
      </c>
      <c r="BB22" s="1111"/>
      <c r="BC22" s="5104">
        <f t="shared" si="12"/>
        <v>780.74900000000002</v>
      </c>
      <c r="BD22" s="1112"/>
      <c r="BE22" s="839">
        <f t="shared" si="13"/>
        <v>986.83300000000008</v>
      </c>
      <c r="BF22" s="3118"/>
      <c r="BG22" s="53">
        <f t="shared" si="14"/>
        <v>2693.107</v>
      </c>
      <c r="BH22" s="26"/>
      <c r="BI22" s="26"/>
      <c r="BJ22" s="26"/>
      <c r="BK22" s="26"/>
    </row>
    <row r="23" spans="1:63" s="5117" customFormat="1" ht="15" customHeight="1" x14ac:dyDescent="0.25">
      <c r="B23" s="1359" t="s">
        <v>1357</v>
      </c>
      <c r="C23" s="1356" t="s">
        <v>1809</v>
      </c>
      <c r="D23" s="3142">
        <v>79.36</v>
      </c>
      <c r="E23" s="1828"/>
      <c r="F23" s="3088"/>
      <c r="G23" s="18"/>
      <c r="H23" s="3088"/>
      <c r="I23" s="18"/>
      <c r="J23" s="3095"/>
      <c r="K23" s="635"/>
      <c r="L23" s="3088"/>
      <c r="M23" s="18"/>
      <c r="N23" s="3108"/>
      <c r="O23" s="98"/>
      <c r="P23" s="3088"/>
      <c r="Q23" s="18"/>
      <c r="R23" s="3118"/>
      <c r="S23" s="53"/>
      <c r="T23" s="3088"/>
      <c r="U23" s="2697"/>
      <c r="V23" s="3118"/>
      <c r="W23" s="53"/>
      <c r="X23" s="1052"/>
      <c r="Y23" s="4710"/>
      <c r="Z23" s="4705"/>
      <c r="AA23" s="4706"/>
      <c r="AB23" s="4711"/>
      <c r="AC23" s="4712"/>
      <c r="AD23" s="3088"/>
      <c r="AE23" s="2697"/>
      <c r="AF23" s="3118"/>
      <c r="AG23" s="53"/>
      <c r="AH23" s="3088"/>
      <c r="AI23" s="2697"/>
      <c r="AJ23" s="3118"/>
      <c r="AK23" s="53"/>
      <c r="AL23" s="3088"/>
      <c r="AM23" s="2697"/>
      <c r="AN23" s="4705"/>
      <c r="AO23" s="4706"/>
      <c r="AP23" s="3118"/>
      <c r="AQ23" s="53"/>
      <c r="AR23" s="3088"/>
      <c r="AS23" s="2697"/>
      <c r="AT23" s="3118"/>
      <c r="AU23" s="53"/>
      <c r="AV23" s="3088"/>
      <c r="AW23" s="2697"/>
      <c r="AX23" s="3118"/>
      <c r="AY23" s="53"/>
      <c r="AZ23" s="3088"/>
      <c r="BA23" s="2697">
        <v>506.81300000000005</v>
      </c>
      <c r="BB23" s="4705"/>
      <c r="BC23" s="5104">
        <f t="shared" si="12"/>
        <v>506.81300000000005</v>
      </c>
      <c r="BD23" s="4711"/>
      <c r="BE23" s="839">
        <f t="shared" si="13"/>
        <v>506.81300000000005</v>
      </c>
      <c r="BF23" s="3118"/>
      <c r="BG23" s="53">
        <f t="shared" si="14"/>
        <v>506.81300000000005</v>
      </c>
      <c r="BH23" s="26"/>
      <c r="BI23" s="26"/>
      <c r="BJ23" s="26"/>
      <c r="BK23" s="26"/>
    </row>
    <row r="24" spans="1:63" ht="15" customHeight="1" x14ac:dyDescent="0.25">
      <c r="A24" s="3399"/>
      <c r="B24" s="1359" t="s">
        <v>1357</v>
      </c>
      <c r="C24" s="1356" t="s">
        <v>992</v>
      </c>
      <c r="D24" s="3142">
        <v>79.36</v>
      </c>
      <c r="E24" s="1828" t="s">
        <v>52</v>
      </c>
      <c r="F24" s="3088"/>
      <c r="G24" s="18"/>
      <c r="H24" s="3088"/>
      <c r="I24" s="18"/>
      <c r="J24" s="3095"/>
      <c r="K24" s="635"/>
      <c r="L24" s="3088"/>
      <c r="M24" s="18"/>
      <c r="N24" s="3108"/>
      <c r="O24" s="98">
        <f t="shared" si="1"/>
        <v>0</v>
      </c>
      <c r="P24" s="3088"/>
      <c r="Q24" s="18"/>
      <c r="R24" s="3118"/>
      <c r="S24" s="53"/>
      <c r="T24" s="3088"/>
      <c r="U24" s="2697"/>
      <c r="V24" s="3118"/>
      <c r="W24" s="53">
        <f t="shared" si="3"/>
        <v>0</v>
      </c>
      <c r="X24" s="1052"/>
      <c r="Y24" s="3391">
        <v>571.00399999999991</v>
      </c>
      <c r="Z24" s="1111"/>
      <c r="AA24" s="3578">
        <f t="shared" si="4"/>
        <v>571.00399999999991</v>
      </c>
      <c r="AB24" s="1112"/>
      <c r="AC24" s="839">
        <f t="shared" si="5"/>
        <v>571.00399999999991</v>
      </c>
      <c r="AD24" s="3088"/>
      <c r="AE24" s="2697">
        <v>518.55899999999997</v>
      </c>
      <c r="AF24" s="3118"/>
      <c r="AG24" s="53">
        <f t="shared" si="6"/>
        <v>1089.5629999999999</v>
      </c>
      <c r="AH24" s="3088"/>
      <c r="AI24" s="2697">
        <v>501.00724000000002</v>
      </c>
      <c r="AJ24" s="3118"/>
      <c r="AK24" s="53">
        <f t="shared" si="7"/>
        <v>1590.57024</v>
      </c>
      <c r="AL24" s="3088"/>
      <c r="AM24" s="2697"/>
      <c r="AN24" s="1111"/>
      <c r="AO24" s="4312">
        <f t="shared" si="8"/>
        <v>1019.56624</v>
      </c>
      <c r="AP24" s="3118"/>
      <c r="AQ24" s="53">
        <f t="shared" si="9"/>
        <v>1590.57024</v>
      </c>
      <c r="AR24" s="3088"/>
      <c r="AS24" s="2697">
        <v>524.03699999999992</v>
      </c>
      <c r="AT24" s="3118"/>
      <c r="AU24" s="53">
        <f t="shared" si="10"/>
        <v>2114.6072399999998</v>
      </c>
      <c r="AV24" s="3088"/>
      <c r="AW24" s="2697">
        <v>506.92500000000001</v>
      </c>
      <c r="AX24" s="3118"/>
      <c r="AY24" s="53">
        <f t="shared" si="11"/>
        <v>2621.53224</v>
      </c>
      <c r="AZ24" s="3088"/>
      <c r="BA24" s="2697"/>
      <c r="BB24" s="1111"/>
      <c r="BC24" s="5104">
        <f t="shared" si="12"/>
        <v>1030.962</v>
      </c>
      <c r="BD24" s="1112"/>
      <c r="BE24" s="839">
        <f t="shared" si="13"/>
        <v>2050.5282400000001</v>
      </c>
      <c r="BF24" s="3118"/>
      <c r="BG24" s="53">
        <f t="shared" si="14"/>
        <v>2621.53224</v>
      </c>
      <c r="BH24" s="26"/>
      <c r="BI24" s="26"/>
      <c r="BJ24" s="26"/>
      <c r="BK24" s="26"/>
    </row>
    <row r="25" spans="1:63" s="4092" customFormat="1" ht="15" customHeight="1" x14ac:dyDescent="0.25">
      <c r="B25" s="1359" t="s">
        <v>1357</v>
      </c>
      <c r="C25" s="1356" t="s">
        <v>1834</v>
      </c>
      <c r="D25" s="3142">
        <v>90.68</v>
      </c>
      <c r="E25" s="1828" t="s">
        <v>52</v>
      </c>
      <c r="F25" s="3088"/>
      <c r="G25" s="18"/>
      <c r="H25" s="3088"/>
      <c r="I25" s="18"/>
      <c r="J25" s="3095"/>
      <c r="K25" s="635"/>
      <c r="L25" s="3088"/>
      <c r="M25" s="18"/>
      <c r="N25" s="3108"/>
      <c r="O25" s="98">
        <f t="shared" si="1"/>
        <v>0</v>
      </c>
      <c r="P25" s="3088"/>
      <c r="Q25" s="18"/>
      <c r="R25" s="3118"/>
      <c r="S25" s="53"/>
      <c r="T25" s="3088"/>
      <c r="U25" s="2697"/>
      <c r="V25" s="3118"/>
      <c r="W25" s="53">
        <f t="shared" si="3"/>
        <v>0</v>
      </c>
      <c r="X25" s="1052"/>
      <c r="Y25" s="3616"/>
      <c r="Z25" s="1111"/>
      <c r="AA25" s="4087">
        <f t="shared" si="4"/>
        <v>0</v>
      </c>
      <c r="AB25" s="1112"/>
      <c r="AC25" s="839">
        <f t="shared" si="5"/>
        <v>0</v>
      </c>
      <c r="AD25" s="3088"/>
      <c r="AE25" s="2697">
        <v>116.983</v>
      </c>
      <c r="AF25" s="3118"/>
      <c r="AG25" s="53">
        <f t="shared" si="6"/>
        <v>116.983</v>
      </c>
      <c r="AH25" s="3088"/>
      <c r="AI25" s="2697"/>
      <c r="AJ25" s="3118"/>
      <c r="AK25" s="53">
        <f t="shared" si="7"/>
        <v>116.983</v>
      </c>
      <c r="AL25" s="3088"/>
      <c r="AM25" s="2697"/>
      <c r="AN25" s="1111"/>
      <c r="AO25" s="4312">
        <f t="shared" si="8"/>
        <v>116.983</v>
      </c>
      <c r="AP25" s="3118"/>
      <c r="AQ25" s="53">
        <f t="shared" si="9"/>
        <v>116.983</v>
      </c>
      <c r="AR25" s="3088"/>
      <c r="AS25" s="2697"/>
      <c r="AT25" s="3118"/>
      <c r="AU25" s="53">
        <f t="shared" si="10"/>
        <v>116.983</v>
      </c>
      <c r="AV25" s="3088"/>
      <c r="AW25" s="2697"/>
      <c r="AX25" s="3118"/>
      <c r="AY25" s="53">
        <f t="shared" si="11"/>
        <v>116.983</v>
      </c>
      <c r="AZ25" s="3088"/>
      <c r="BA25" s="2697"/>
      <c r="BB25" s="1111"/>
      <c r="BC25" s="5104">
        <f t="shared" si="12"/>
        <v>0</v>
      </c>
      <c r="BD25" s="1112"/>
      <c r="BE25" s="839">
        <f t="shared" si="13"/>
        <v>116.983</v>
      </c>
      <c r="BF25" s="3118"/>
      <c r="BG25" s="53">
        <f t="shared" si="14"/>
        <v>116.983</v>
      </c>
      <c r="BH25" s="26"/>
      <c r="BI25" s="26"/>
      <c r="BJ25" s="26"/>
      <c r="BK25" s="26"/>
    </row>
    <row r="26" spans="1:63" ht="15" customHeight="1" x14ac:dyDescent="0.25">
      <c r="A26" s="183"/>
      <c r="B26" s="1359" t="s">
        <v>886</v>
      </c>
      <c r="C26" s="1356" t="s">
        <v>992</v>
      </c>
      <c r="D26" s="3142">
        <v>90.68</v>
      </c>
      <c r="E26" s="1828" t="s">
        <v>52</v>
      </c>
      <c r="F26" s="3088"/>
      <c r="G26" s="18">
        <v>2598.8580000000002</v>
      </c>
      <c r="H26" s="3088"/>
      <c r="I26" s="18"/>
      <c r="J26" s="3095"/>
      <c r="K26" s="635">
        <f t="shared" si="0"/>
        <v>2598.8580000000002</v>
      </c>
      <c r="L26" s="3088"/>
      <c r="M26" s="18">
        <v>3435.9769999999994</v>
      </c>
      <c r="N26" s="3108"/>
      <c r="O26" s="98">
        <f t="shared" si="1"/>
        <v>6034.8349999999991</v>
      </c>
      <c r="P26" s="3088"/>
      <c r="Q26" s="18"/>
      <c r="R26" s="3118"/>
      <c r="S26" s="53">
        <f t="shared" si="2"/>
        <v>6034.8349999999991</v>
      </c>
      <c r="T26" s="3088"/>
      <c r="U26" s="2697">
        <v>3615.7920000000008</v>
      </c>
      <c r="V26" s="3118"/>
      <c r="W26" s="53">
        <f t="shared" si="3"/>
        <v>9650.6270000000004</v>
      </c>
      <c r="X26" s="1052"/>
      <c r="Y26" s="1411">
        <v>2754.0159999999996</v>
      </c>
      <c r="Z26" s="1111"/>
      <c r="AA26" s="3578">
        <f t="shared" si="4"/>
        <v>6369.8080000000009</v>
      </c>
      <c r="AB26" s="1112"/>
      <c r="AC26" s="839">
        <f t="shared" si="5"/>
        <v>12404.643</v>
      </c>
      <c r="AD26" s="3088"/>
      <c r="AE26" s="2697">
        <v>3620.8909999999996</v>
      </c>
      <c r="AF26" s="3118"/>
      <c r="AG26" s="53">
        <f t="shared" ref="AG26:AG71" si="15">+AC26+AE26</f>
        <v>16025.534</v>
      </c>
      <c r="AH26" s="3088"/>
      <c r="AI26" s="2697">
        <v>4382.3900000000003</v>
      </c>
      <c r="AJ26" s="3118"/>
      <c r="AK26" s="53">
        <f t="shared" si="7"/>
        <v>20407.923999999999</v>
      </c>
      <c r="AL26" s="3088"/>
      <c r="AM26" s="2697">
        <v>157.61799999999999</v>
      </c>
      <c r="AN26" s="1111"/>
      <c r="AO26" s="4312">
        <f t="shared" si="8"/>
        <v>8160.8990000000003</v>
      </c>
      <c r="AP26" s="3118"/>
      <c r="AQ26" s="53">
        <f t="shared" si="9"/>
        <v>20565.541999999998</v>
      </c>
      <c r="AR26" s="3088"/>
      <c r="AS26" s="2697">
        <v>1576.1840000000002</v>
      </c>
      <c r="AT26" s="3118"/>
      <c r="AU26" s="53">
        <f t="shared" si="10"/>
        <v>22141.725999999999</v>
      </c>
      <c r="AV26" s="3088"/>
      <c r="AW26" s="2697">
        <v>1897.7840000000006</v>
      </c>
      <c r="AX26" s="3118"/>
      <c r="AY26" s="53">
        <f t="shared" si="11"/>
        <v>24039.51</v>
      </c>
      <c r="AZ26" s="3088"/>
      <c r="BA26" s="2697"/>
      <c r="BB26" s="1111"/>
      <c r="BC26" s="5104">
        <f t="shared" si="12"/>
        <v>3473.9680000000008</v>
      </c>
      <c r="BD26" s="1112"/>
      <c r="BE26" s="839">
        <f t="shared" si="13"/>
        <v>11634.867000000002</v>
      </c>
      <c r="BF26" s="3118"/>
      <c r="BG26" s="53">
        <f t="shared" si="14"/>
        <v>24039.51</v>
      </c>
      <c r="BH26" s="26"/>
      <c r="BI26" s="26"/>
      <c r="BJ26" s="26"/>
      <c r="BK26" s="26"/>
    </row>
    <row r="27" spans="1:63" x14ac:dyDescent="0.25">
      <c r="B27" s="1359" t="s">
        <v>886</v>
      </c>
      <c r="C27" s="1356" t="s">
        <v>1061</v>
      </c>
      <c r="D27" s="3142">
        <v>90.68</v>
      </c>
      <c r="E27" s="1828" t="s">
        <v>52</v>
      </c>
      <c r="F27" s="3088"/>
      <c r="G27" s="18">
        <v>3407.471</v>
      </c>
      <c r="H27" s="3088"/>
      <c r="I27" s="18"/>
      <c r="J27" s="3095"/>
      <c r="K27" s="635">
        <f t="shared" si="0"/>
        <v>3407.471</v>
      </c>
      <c r="L27" s="3088"/>
      <c r="M27" s="18">
        <v>2336.5259999999998</v>
      </c>
      <c r="N27" s="3108"/>
      <c r="O27" s="98">
        <f t="shared" si="1"/>
        <v>5743.9969999999994</v>
      </c>
      <c r="P27" s="3088"/>
      <c r="Q27" s="18"/>
      <c r="R27" s="3118"/>
      <c r="S27" s="53">
        <f t="shared" si="2"/>
        <v>5743.9969999999994</v>
      </c>
      <c r="T27" s="3088"/>
      <c r="U27" s="2697">
        <v>2558.14</v>
      </c>
      <c r="V27" s="3118"/>
      <c r="W27" s="53">
        <f t="shared" si="3"/>
        <v>8302.1369999999988</v>
      </c>
      <c r="X27" s="1052"/>
      <c r="Y27" s="1411">
        <v>1905.1469999999997</v>
      </c>
      <c r="Z27" s="1111"/>
      <c r="AA27" s="3578">
        <f t="shared" si="4"/>
        <v>4463.2869999999994</v>
      </c>
      <c r="AB27" s="1112"/>
      <c r="AC27" s="839">
        <f t="shared" si="5"/>
        <v>10207.284</v>
      </c>
      <c r="AD27" s="3088"/>
      <c r="AE27" s="2697">
        <v>1835.0329999999999</v>
      </c>
      <c r="AF27" s="3118"/>
      <c r="AG27" s="53">
        <f t="shared" si="15"/>
        <v>12042.316999999999</v>
      </c>
      <c r="AH27" s="3088"/>
      <c r="AI27" s="2697">
        <v>1232.8029999999999</v>
      </c>
      <c r="AJ27" s="3118"/>
      <c r="AK27" s="53">
        <f t="shared" si="7"/>
        <v>13275.119999999999</v>
      </c>
      <c r="AL27" s="3088"/>
      <c r="AM27" s="2697">
        <v>2747.0680000000007</v>
      </c>
      <c r="AN27" s="1111"/>
      <c r="AO27" s="4312">
        <f t="shared" si="8"/>
        <v>5814.9040000000005</v>
      </c>
      <c r="AP27" s="3118"/>
      <c r="AQ27" s="53">
        <f t="shared" si="9"/>
        <v>16022.188</v>
      </c>
      <c r="AR27" s="3088"/>
      <c r="AS27" s="2697">
        <v>4074.6160000000009</v>
      </c>
      <c r="AT27" s="3118"/>
      <c r="AU27" s="53">
        <f t="shared" si="10"/>
        <v>20096.804</v>
      </c>
      <c r="AV27" s="3088"/>
      <c r="AW27" s="2697">
        <v>1342.5160000000001</v>
      </c>
      <c r="AX27" s="3118"/>
      <c r="AY27" s="53">
        <f t="shared" si="11"/>
        <v>21439.32</v>
      </c>
      <c r="AZ27" s="3088"/>
      <c r="BA27" s="2697">
        <v>3034.7179999999998</v>
      </c>
      <c r="BB27" s="1111"/>
      <c r="BC27" s="5104">
        <f t="shared" si="12"/>
        <v>8451.8500000000022</v>
      </c>
      <c r="BD27" s="1112"/>
      <c r="BE27" s="839">
        <f t="shared" si="13"/>
        <v>14266.754000000003</v>
      </c>
      <c r="BF27" s="3118"/>
      <c r="BG27" s="53">
        <f t="shared" si="14"/>
        <v>24474.038</v>
      </c>
      <c r="BH27" s="26"/>
      <c r="BI27" s="26"/>
      <c r="BJ27" s="26"/>
      <c r="BK27" s="26"/>
    </row>
    <row r="28" spans="1:63" x14ac:dyDescent="0.25">
      <c r="A28" s="3399"/>
      <c r="B28" s="1359" t="s">
        <v>886</v>
      </c>
      <c r="C28" s="1356" t="s">
        <v>992</v>
      </c>
      <c r="D28" s="3142">
        <v>107.31</v>
      </c>
      <c r="E28" s="1828" t="s">
        <v>52</v>
      </c>
      <c r="F28" s="3088"/>
      <c r="G28" s="18"/>
      <c r="H28" s="3088"/>
      <c r="I28" s="18"/>
      <c r="J28" s="3095"/>
      <c r="K28" s="635"/>
      <c r="L28" s="3088"/>
      <c r="M28" s="18"/>
      <c r="N28" s="3108"/>
      <c r="O28" s="98">
        <f t="shared" si="1"/>
        <v>0</v>
      </c>
      <c r="P28" s="3088"/>
      <c r="Q28" s="18"/>
      <c r="R28" s="3118"/>
      <c r="S28" s="53"/>
      <c r="T28" s="3088"/>
      <c r="U28" s="2697"/>
      <c r="V28" s="3118"/>
      <c r="W28" s="53">
        <f t="shared" si="3"/>
        <v>0</v>
      </c>
      <c r="X28" s="1052"/>
      <c r="Y28" s="3391">
        <v>367.66199999999998</v>
      </c>
      <c r="Z28" s="1111"/>
      <c r="AA28" s="3578">
        <f t="shared" si="4"/>
        <v>367.66199999999998</v>
      </c>
      <c r="AB28" s="1112"/>
      <c r="AC28" s="839">
        <f t="shared" si="5"/>
        <v>367.66199999999998</v>
      </c>
      <c r="AD28" s="3088"/>
      <c r="AE28" s="2697">
        <v>389.94200000000001</v>
      </c>
      <c r="AF28" s="3118"/>
      <c r="AG28" s="53">
        <f t="shared" si="15"/>
        <v>757.60400000000004</v>
      </c>
      <c r="AH28" s="3088"/>
      <c r="AI28" s="2697">
        <v>548.95000000000005</v>
      </c>
      <c r="AJ28" s="3118"/>
      <c r="AK28" s="53">
        <f t="shared" si="7"/>
        <v>1306.5540000000001</v>
      </c>
      <c r="AL28" s="3088"/>
      <c r="AM28" s="2697"/>
      <c r="AN28" s="1111"/>
      <c r="AO28" s="4312">
        <f t="shared" si="8"/>
        <v>938.89200000000005</v>
      </c>
      <c r="AP28" s="3118"/>
      <c r="AQ28" s="53">
        <f t="shared" si="9"/>
        <v>1306.5540000000001</v>
      </c>
      <c r="AR28" s="3088"/>
      <c r="AS28" s="2697">
        <v>99.405000000000001</v>
      </c>
      <c r="AT28" s="3118"/>
      <c r="AU28" s="53">
        <f t="shared" si="10"/>
        <v>1405.9590000000001</v>
      </c>
      <c r="AV28" s="3088"/>
      <c r="AW28" s="2697"/>
      <c r="AX28" s="3118"/>
      <c r="AY28" s="53">
        <f t="shared" si="11"/>
        <v>1405.9590000000001</v>
      </c>
      <c r="AZ28" s="3088"/>
      <c r="BA28" s="2697">
        <v>376.72600000000006</v>
      </c>
      <c r="BB28" s="1111"/>
      <c r="BC28" s="5104">
        <f t="shared" si="12"/>
        <v>476.13100000000009</v>
      </c>
      <c r="BD28" s="1112"/>
      <c r="BE28" s="839">
        <f t="shared" si="13"/>
        <v>1415.0230000000001</v>
      </c>
      <c r="BF28" s="3118"/>
      <c r="BG28" s="53">
        <f t="shared" si="14"/>
        <v>1782.6850000000002</v>
      </c>
      <c r="BH28" s="26"/>
      <c r="BI28" s="26"/>
      <c r="BJ28" s="26"/>
      <c r="BK28" s="26"/>
    </row>
    <row r="29" spans="1:63" x14ac:dyDescent="0.25">
      <c r="A29" s="3399"/>
      <c r="B29" s="1359" t="s">
        <v>886</v>
      </c>
      <c r="C29" s="1356" t="s">
        <v>1061</v>
      </c>
      <c r="D29" s="3142">
        <v>107.31</v>
      </c>
      <c r="E29" s="1828" t="s">
        <v>52</v>
      </c>
      <c r="F29" s="3088"/>
      <c r="G29" s="18"/>
      <c r="H29" s="3088"/>
      <c r="I29" s="18"/>
      <c r="J29" s="3095"/>
      <c r="K29" s="635"/>
      <c r="L29" s="3088"/>
      <c r="M29" s="18"/>
      <c r="N29" s="3108"/>
      <c r="O29" s="98">
        <f t="shared" si="1"/>
        <v>0</v>
      </c>
      <c r="P29" s="3088"/>
      <c r="Q29" s="18"/>
      <c r="R29" s="3118"/>
      <c r="S29" s="53"/>
      <c r="T29" s="3088"/>
      <c r="U29" s="2697"/>
      <c r="V29" s="3118"/>
      <c r="W29" s="53">
        <f t="shared" si="3"/>
        <v>0</v>
      </c>
      <c r="X29" s="1052"/>
      <c r="Y29" s="3391"/>
      <c r="Z29" s="1111"/>
      <c r="AA29" s="3578">
        <f t="shared" si="4"/>
        <v>0</v>
      </c>
      <c r="AB29" s="1112"/>
      <c r="AC29" s="839">
        <f t="shared" si="5"/>
        <v>0</v>
      </c>
      <c r="AD29" s="3088"/>
      <c r="AE29" s="2697"/>
      <c r="AF29" s="3118"/>
      <c r="AG29" s="53">
        <f t="shared" si="15"/>
        <v>0</v>
      </c>
      <c r="AH29" s="3088"/>
      <c r="AI29" s="2697"/>
      <c r="AJ29" s="3118"/>
      <c r="AK29" s="53">
        <f t="shared" si="7"/>
        <v>0</v>
      </c>
      <c r="AL29" s="3088"/>
      <c r="AM29" s="2697"/>
      <c r="AN29" s="1111"/>
      <c r="AO29" s="4312">
        <f t="shared" si="8"/>
        <v>0</v>
      </c>
      <c r="AP29" s="3118"/>
      <c r="AQ29" s="53">
        <f t="shared" si="9"/>
        <v>0</v>
      </c>
      <c r="AR29" s="3088"/>
      <c r="AS29" s="2697"/>
      <c r="AT29" s="3118"/>
      <c r="AU29" s="53">
        <f t="shared" si="10"/>
        <v>0</v>
      </c>
      <c r="AV29" s="3088"/>
      <c r="AW29" s="2697"/>
      <c r="AX29" s="3118"/>
      <c r="AY29" s="53">
        <f t="shared" si="11"/>
        <v>0</v>
      </c>
      <c r="AZ29" s="3088"/>
      <c r="BA29" s="2697"/>
      <c r="BB29" s="1111"/>
      <c r="BC29" s="5104">
        <f t="shared" si="12"/>
        <v>0</v>
      </c>
      <c r="BD29" s="1112"/>
      <c r="BE29" s="839">
        <f t="shared" si="13"/>
        <v>0</v>
      </c>
      <c r="BF29" s="3118"/>
      <c r="BG29" s="53">
        <f t="shared" si="14"/>
        <v>0</v>
      </c>
      <c r="BH29" s="26"/>
      <c r="BI29" s="26"/>
      <c r="BJ29" s="26"/>
      <c r="BK29" s="26"/>
    </row>
    <row r="30" spans="1:63" s="4213" customFormat="1" x14ac:dyDescent="0.25">
      <c r="B30" s="1359" t="s">
        <v>886</v>
      </c>
      <c r="C30" s="1356" t="s">
        <v>1835</v>
      </c>
      <c r="D30" s="3142">
        <v>10.199999999999999</v>
      </c>
      <c r="E30" s="1828" t="s">
        <v>52</v>
      </c>
      <c r="F30" s="3088"/>
      <c r="G30" s="18"/>
      <c r="H30" s="3088"/>
      <c r="I30" s="18"/>
      <c r="J30" s="3095"/>
      <c r="K30" s="635"/>
      <c r="L30" s="3088"/>
      <c r="M30" s="18"/>
      <c r="N30" s="3108"/>
      <c r="O30" s="98">
        <f t="shared" si="1"/>
        <v>0</v>
      </c>
      <c r="P30" s="3088"/>
      <c r="Q30" s="18"/>
      <c r="R30" s="3118"/>
      <c r="S30" s="53"/>
      <c r="T30" s="3088"/>
      <c r="U30" s="2697"/>
      <c r="V30" s="3118"/>
      <c r="W30" s="53"/>
      <c r="X30" s="1052"/>
      <c r="Y30" s="3616"/>
      <c r="Z30" s="1111"/>
      <c r="AA30" s="4209">
        <f t="shared" si="4"/>
        <v>0</v>
      </c>
      <c r="AB30" s="1112"/>
      <c r="AC30" s="839">
        <f t="shared" si="5"/>
        <v>0</v>
      </c>
      <c r="AD30" s="3088"/>
      <c r="AE30" s="2697"/>
      <c r="AF30" s="3118"/>
      <c r="AG30" s="53">
        <f t="shared" si="15"/>
        <v>0</v>
      </c>
      <c r="AH30" s="3088"/>
      <c r="AI30" s="2697">
        <v>101.32599999999999</v>
      </c>
      <c r="AJ30" s="3118"/>
      <c r="AK30" s="53">
        <f t="shared" si="7"/>
        <v>101.32599999999999</v>
      </c>
      <c r="AL30" s="3088"/>
      <c r="AM30" s="2697"/>
      <c r="AN30" s="1111"/>
      <c r="AO30" s="4312">
        <f t="shared" si="8"/>
        <v>101.32599999999999</v>
      </c>
      <c r="AP30" s="3118"/>
      <c r="AQ30" s="53">
        <f t="shared" si="9"/>
        <v>101.32599999999999</v>
      </c>
      <c r="AR30" s="3088"/>
      <c r="AS30" s="2697"/>
      <c r="AT30" s="3118"/>
      <c r="AU30" s="53">
        <f t="shared" si="10"/>
        <v>101.32599999999999</v>
      </c>
      <c r="AV30" s="3088"/>
      <c r="AW30" s="2697"/>
      <c r="AX30" s="3118"/>
      <c r="AY30" s="53">
        <f t="shared" si="11"/>
        <v>101.32599999999999</v>
      </c>
      <c r="AZ30" s="3088"/>
      <c r="BA30" s="2697"/>
      <c r="BB30" s="1111"/>
      <c r="BC30" s="5104">
        <f t="shared" si="12"/>
        <v>0</v>
      </c>
      <c r="BD30" s="1112"/>
      <c r="BE30" s="839">
        <f t="shared" si="13"/>
        <v>101.32599999999999</v>
      </c>
      <c r="BF30" s="3118"/>
      <c r="BG30" s="53">
        <f t="shared" si="14"/>
        <v>101.32599999999999</v>
      </c>
      <c r="BH30" s="26"/>
      <c r="BI30" s="26"/>
      <c r="BJ30" s="26"/>
      <c r="BK30" s="26"/>
    </row>
    <row r="31" spans="1:63" s="4092" customFormat="1" x14ac:dyDescent="0.25">
      <c r="B31" s="1359" t="s">
        <v>1858</v>
      </c>
      <c r="C31" s="1356" t="s">
        <v>1450</v>
      </c>
      <c r="D31" s="3142">
        <v>122.45</v>
      </c>
      <c r="E31" s="1828" t="s">
        <v>52</v>
      </c>
      <c r="F31" s="3088"/>
      <c r="G31" s="18"/>
      <c r="H31" s="3088"/>
      <c r="I31" s="18"/>
      <c r="J31" s="3095"/>
      <c r="K31" s="635"/>
      <c r="L31" s="3088"/>
      <c r="M31" s="18"/>
      <c r="N31" s="3108"/>
      <c r="O31" s="98">
        <f t="shared" si="1"/>
        <v>0</v>
      </c>
      <c r="P31" s="3088"/>
      <c r="Q31" s="18"/>
      <c r="R31" s="3118"/>
      <c r="S31" s="53"/>
      <c r="T31" s="3088"/>
      <c r="U31" s="2697"/>
      <c r="V31" s="3118"/>
      <c r="W31" s="53">
        <f t="shared" si="3"/>
        <v>0</v>
      </c>
      <c r="X31" s="1052"/>
      <c r="Y31" s="3616"/>
      <c r="Z31" s="1111"/>
      <c r="AA31" s="4087">
        <f t="shared" si="4"/>
        <v>0</v>
      </c>
      <c r="AB31" s="1112"/>
      <c r="AC31" s="839">
        <f t="shared" si="5"/>
        <v>0</v>
      </c>
      <c r="AD31" s="3088"/>
      <c r="AE31" s="2697">
        <v>300.19299999999998</v>
      </c>
      <c r="AF31" s="3118"/>
      <c r="AG31" s="53">
        <f t="shared" si="15"/>
        <v>300.19299999999998</v>
      </c>
      <c r="AH31" s="3088"/>
      <c r="AI31" s="2697"/>
      <c r="AJ31" s="3118"/>
      <c r="AK31" s="53">
        <f t="shared" si="7"/>
        <v>300.19299999999998</v>
      </c>
      <c r="AL31" s="3088"/>
      <c r="AM31" s="2697"/>
      <c r="AN31" s="1111"/>
      <c r="AO31" s="4312">
        <f t="shared" si="8"/>
        <v>300.19299999999998</v>
      </c>
      <c r="AP31" s="3118"/>
      <c r="AQ31" s="53">
        <f t="shared" si="9"/>
        <v>300.19299999999998</v>
      </c>
      <c r="AR31" s="3088"/>
      <c r="AS31" s="2697"/>
      <c r="AT31" s="3118"/>
      <c r="AU31" s="53">
        <f t="shared" si="10"/>
        <v>300.19299999999998</v>
      </c>
      <c r="AV31" s="3088"/>
      <c r="AW31" s="2697"/>
      <c r="AX31" s="3118"/>
      <c r="AY31" s="53">
        <f t="shared" si="11"/>
        <v>300.19299999999998</v>
      </c>
      <c r="AZ31" s="3088"/>
      <c r="BA31" s="2697"/>
      <c r="BB31" s="1111"/>
      <c r="BC31" s="5104">
        <f t="shared" si="12"/>
        <v>0</v>
      </c>
      <c r="BD31" s="1112"/>
      <c r="BE31" s="839">
        <f t="shared" si="13"/>
        <v>300.19299999999998</v>
      </c>
      <c r="BF31" s="3118"/>
      <c r="BG31" s="53">
        <f t="shared" si="14"/>
        <v>300.19299999999998</v>
      </c>
      <c r="BH31" s="26"/>
      <c r="BI31" s="26"/>
      <c r="BJ31" s="26"/>
      <c r="BK31" s="26"/>
    </row>
    <row r="32" spans="1:63" ht="15" customHeight="1" x14ac:dyDescent="0.25">
      <c r="B32" s="1359" t="s">
        <v>887</v>
      </c>
      <c r="C32" s="1356" t="s">
        <v>992</v>
      </c>
      <c r="D32" s="3142">
        <v>122.45</v>
      </c>
      <c r="E32" s="1828" t="s">
        <v>52</v>
      </c>
      <c r="F32" s="3088"/>
      <c r="G32" s="18">
        <v>3564.1659999999997</v>
      </c>
      <c r="H32" s="3088"/>
      <c r="I32" s="18">
        <v>4964.0450000000019</v>
      </c>
      <c r="J32" s="3095"/>
      <c r="K32" s="635">
        <f t="shared" si="0"/>
        <v>8528.2110000000011</v>
      </c>
      <c r="L32" s="3088"/>
      <c r="M32" s="18"/>
      <c r="N32" s="3108"/>
      <c r="O32" s="98">
        <f t="shared" si="1"/>
        <v>8528.2110000000011</v>
      </c>
      <c r="P32" s="3088"/>
      <c r="Q32" s="18">
        <v>4202.4530000000004</v>
      </c>
      <c r="R32" s="3118"/>
      <c r="S32" s="53">
        <f t="shared" si="2"/>
        <v>12730.664000000001</v>
      </c>
      <c r="T32" s="3088"/>
      <c r="U32" s="2697">
        <v>3195.4350000000004</v>
      </c>
      <c r="V32" s="3118"/>
      <c r="W32" s="53">
        <f t="shared" si="3"/>
        <v>15926.099000000002</v>
      </c>
      <c r="X32" s="1052"/>
      <c r="Y32" s="1411">
        <v>3188.1270000000009</v>
      </c>
      <c r="Z32" s="1111"/>
      <c r="AA32" s="3578">
        <f t="shared" si="4"/>
        <v>10586.015000000001</v>
      </c>
      <c r="AB32" s="1112"/>
      <c r="AC32" s="839">
        <f t="shared" si="5"/>
        <v>19114.226000000002</v>
      </c>
      <c r="AD32" s="3088"/>
      <c r="AE32" s="2697">
        <v>5036.0590000000011</v>
      </c>
      <c r="AF32" s="3118"/>
      <c r="AG32" s="53">
        <f t="shared" si="15"/>
        <v>24150.285000000003</v>
      </c>
      <c r="AH32" s="3088"/>
      <c r="AI32" s="2697">
        <v>853.07000000000016</v>
      </c>
      <c r="AJ32" s="3118"/>
      <c r="AK32" s="53">
        <f t="shared" si="7"/>
        <v>25003.355000000003</v>
      </c>
      <c r="AL32" s="3088"/>
      <c r="AM32" s="2697">
        <v>2703.0450000000001</v>
      </c>
      <c r="AN32" s="1111"/>
      <c r="AO32" s="4312">
        <f t="shared" si="8"/>
        <v>8592.1740000000009</v>
      </c>
      <c r="AP32" s="3118"/>
      <c r="AQ32" s="53">
        <f t="shared" si="9"/>
        <v>27706.400000000001</v>
      </c>
      <c r="AR32" s="3088"/>
      <c r="AS32" s="2697"/>
      <c r="AT32" s="3118"/>
      <c r="AU32" s="53">
        <f t="shared" si="10"/>
        <v>27706.400000000001</v>
      </c>
      <c r="AV32" s="3088"/>
      <c r="AW32" s="2697">
        <v>1198.6309999999999</v>
      </c>
      <c r="AX32" s="3118"/>
      <c r="AY32" s="53">
        <f t="shared" si="11"/>
        <v>28905.031000000003</v>
      </c>
      <c r="AZ32" s="3088"/>
      <c r="BA32" s="2697">
        <v>1855.9220000000009</v>
      </c>
      <c r="BB32" s="1111"/>
      <c r="BC32" s="5104">
        <f t="shared" si="12"/>
        <v>3054.5530000000008</v>
      </c>
      <c r="BD32" s="1112"/>
      <c r="BE32" s="839">
        <f t="shared" si="13"/>
        <v>11646.727000000003</v>
      </c>
      <c r="BF32" s="3118"/>
      <c r="BG32" s="53">
        <f t="shared" si="14"/>
        <v>30760.953000000005</v>
      </c>
      <c r="BH32" s="26"/>
      <c r="BI32" s="26"/>
      <c r="BJ32" s="26"/>
      <c r="BK32" s="26"/>
    </row>
    <row r="33" spans="1:63" ht="15" customHeight="1" x14ac:dyDescent="0.25">
      <c r="B33" s="1359" t="s">
        <v>887</v>
      </c>
      <c r="C33" s="1356" t="s">
        <v>1061</v>
      </c>
      <c r="D33" s="3143">
        <v>122.45</v>
      </c>
      <c r="E33" s="1828" t="s">
        <v>52</v>
      </c>
      <c r="F33" s="3088"/>
      <c r="G33" s="18">
        <v>1554.9839999999999</v>
      </c>
      <c r="H33" s="3088"/>
      <c r="I33" s="18">
        <v>1601.146</v>
      </c>
      <c r="J33" s="3095"/>
      <c r="K33" s="635">
        <f t="shared" si="0"/>
        <v>3156.13</v>
      </c>
      <c r="L33" s="3088"/>
      <c r="M33" s="18"/>
      <c r="N33" s="3108"/>
      <c r="O33" s="98">
        <f t="shared" si="1"/>
        <v>3156.13</v>
      </c>
      <c r="P33" s="3088"/>
      <c r="Q33" s="18">
        <v>2039.1399999999999</v>
      </c>
      <c r="R33" s="3118"/>
      <c r="S33" s="53">
        <f t="shared" si="2"/>
        <v>5195.2700000000004</v>
      </c>
      <c r="T33" s="3088"/>
      <c r="U33" s="2697">
        <v>2307.375</v>
      </c>
      <c r="V33" s="3118"/>
      <c r="W33" s="53">
        <f t="shared" si="3"/>
        <v>7502.6450000000004</v>
      </c>
      <c r="X33" s="1052"/>
      <c r="Y33" s="1411">
        <v>2092.3829999999998</v>
      </c>
      <c r="Z33" s="1111"/>
      <c r="AA33" s="3578">
        <f t="shared" si="4"/>
        <v>6438.8979999999992</v>
      </c>
      <c r="AB33" s="1112"/>
      <c r="AC33" s="839">
        <f t="shared" si="5"/>
        <v>9595.0279999999984</v>
      </c>
      <c r="AD33" s="3088"/>
      <c r="AE33" s="2697">
        <v>2397.1360000000004</v>
      </c>
      <c r="AF33" s="3118"/>
      <c r="AG33" s="53">
        <f t="shared" si="15"/>
        <v>11992.163999999999</v>
      </c>
      <c r="AH33" s="3088"/>
      <c r="AI33" s="2697">
        <v>1559.2139999999999</v>
      </c>
      <c r="AJ33" s="3118"/>
      <c r="AK33" s="53">
        <f t="shared" si="7"/>
        <v>13551.377999999999</v>
      </c>
      <c r="AL33" s="3088"/>
      <c r="AM33" s="2697">
        <v>2270.2130000000002</v>
      </c>
      <c r="AN33" s="1111"/>
      <c r="AO33" s="4312">
        <f t="shared" si="8"/>
        <v>6226.5630000000001</v>
      </c>
      <c r="AP33" s="3118"/>
      <c r="AQ33" s="53">
        <f t="shared" si="9"/>
        <v>15821.590999999999</v>
      </c>
      <c r="AR33" s="3088"/>
      <c r="AS33" s="2697">
        <v>1668.7389999999998</v>
      </c>
      <c r="AT33" s="3118"/>
      <c r="AU33" s="53">
        <f t="shared" si="10"/>
        <v>17490.329999999998</v>
      </c>
      <c r="AV33" s="3088"/>
      <c r="AW33" s="2697">
        <v>6127.657000000002</v>
      </c>
      <c r="AX33" s="3118"/>
      <c r="AY33" s="53">
        <f t="shared" si="11"/>
        <v>23617.987000000001</v>
      </c>
      <c r="AZ33" s="3088"/>
      <c r="BA33" s="2697">
        <v>1553.5360000000003</v>
      </c>
      <c r="BB33" s="1111"/>
      <c r="BC33" s="5104">
        <f t="shared" si="12"/>
        <v>9349.9320000000025</v>
      </c>
      <c r="BD33" s="1112"/>
      <c r="BE33" s="839">
        <f t="shared" si="13"/>
        <v>15576.495000000003</v>
      </c>
      <c r="BF33" s="3118"/>
      <c r="BG33" s="53">
        <f t="shared" si="14"/>
        <v>25171.523000000001</v>
      </c>
      <c r="BH33" s="26"/>
      <c r="BI33" s="26"/>
      <c r="BJ33" s="26"/>
      <c r="BK33" s="26"/>
    </row>
    <row r="34" spans="1:63" s="4092" customFormat="1" ht="15" customHeight="1" x14ac:dyDescent="0.25">
      <c r="B34" s="1359" t="s">
        <v>887</v>
      </c>
      <c r="C34" s="1356" t="s">
        <v>1835</v>
      </c>
      <c r="D34" s="3143">
        <v>122.45</v>
      </c>
      <c r="E34" s="1828" t="s">
        <v>52</v>
      </c>
      <c r="F34" s="3088"/>
      <c r="G34" s="18"/>
      <c r="H34" s="3088"/>
      <c r="I34" s="18"/>
      <c r="J34" s="3095"/>
      <c r="K34" s="635"/>
      <c r="L34" s="3088"/>
      <c r="M34" s="18"/>
      <c r="N34" s="3108"/>
      <c r="O34" s="98">
        <f t="shared" si="1"/>
        <v>0</v>
      </c>
      <c r="P34" s="3088"/>
      <c r="Q34" s="18"/>
      <c r="R34" s="3118"/>
      <c r="S34" s="53"/>
      <c r="T34" s="3088"/>
      <c r="U34" s="2697"/>
      <c r="V34" s="3118"/>
      <c r="W34" s="53">
        <f t="shared" si="3"/>
        <v>0</v>
      </c>
      <c r="X34" s="1052"/>
      <c r="Y34" s="3616"/>
      <c r="Z34" s="1111"/>
      <c r="AA34" s="4087">
        <f t="shared" si="4"/>
        <v>0</v>
      </c>
      <c r="AB34" s="1112"/>
      <c r="AC34" s="839">
        <f t="shared" si="5"/>
        <v>0</v>
      </c>
      <c r="AD34" s="3088"/>
      <c r="AE34" s="2697">
        <v>628.61199999999997</v>
      </c>
      <c r="AF34" s="3118"/>
      <c r="AG34" s="53">
        <f t="shared" si="15"/>
        <v>628.61199999999997</v>
      </c>
      <c r="AH34" s="3088"/>
      <c r="AI34" s="2697"/>
      <c r="AJ34" s="3118"/>
      <c r="AK34" s="53">
        <f t="shared" si="7"/>
        <v>628.61199999999997</v>
      </c>
      <c r="AL34" s="3088"/>
      <c r="AM34" s="2697"/>
      <c r="AN34" s="1111"/>
      <c r="AO34" s="4312">
        <f t="shared" si="8"/>
        <v>628.61199999999997</v>
      </c>
      <c r="AP34" s="3118"/>
      <c r="AQ34" s="53">
        <f t="shared" si="9"/>
        <v>628.61199999999997</v>
      </c>
      <c r="AR34" s="3088"/>
      <c r="AS34" s="2697"/>
      <c r="AT34" s="3118"/>
      <c r="AU34" s="53">
        <f t="shared" si="10"/>
        <v>628.61199999999997</v>
      </c>
      <c r="AV34" s="3088"/>
      <c r="AW34" s="2697">
        <v>737.22399999999993</v>
      </c>
      <c r="AX34" s="3118"/>
      <c r="AY34" s="53">
        <f t="shared" si="11"/>
        <v>1365.8359999999998</v>
      </c>
      <c r="AZ34" s="3088"/>
      <c r="BA34" s="2697"/>
      <c r="BB34" s="1111"/>
      <c r="BC34" s="5104">
        <f t="shared" si="12"/>
        <v>737.22399999999993</v>
      </c>
      <c r="BD34" s="1112"/>
      <c r="BE34" s="839">
        <f t="shared" si="13"/>
        <v>1365.8359999999998</v>
      </c>
      <c r="BF34" s="3118"/>
      <c r="BG34" s="53">
        <f t="shared" si="14"/>
        <v>1365.8359999999998</v>
      </c>
      <c r="BH34" s="26"/>
      <c r="BI34" s="26"/>
      <c r="BJ34" s="26"/>
      <c r="BK34" s="26"/>
    </row>
    <row r="35" spans="1:63" s="4332" customFormat="1" ht="15" customHeight="1" x14ac:dyDescent="0.25">
      <c r="B35" s="1359" t="s">
        <v>887</v>
      </c>
      <c r="C35" s="1356" t="s">
        <v>992</v>
      </c>
      <c r="D35" s="3143">
        <v>154.46</v>
      </c>
      <c r="E35" s="1828" t="s">
        <v>52</v>
      </c>
      <c r="F35" s="3088"/>
      <c r="G35" s="18"/>
      <c r="H35" s="3088"/>
      <c r="I35" s="18"/>
      <c r="J35" s="3095"/>
      <c r="K35" s="635"/>
      <c r="L35" s="3088"/>
      <c r="M35" s="18"/>
      <c r="N35" s="3108"/>
      <c r="O35" s="98">
        <f t="shared" si="1"/>
        <v>0</v>
      </c>
      <c r="P35" s="3088"/>
      <c r="Q35" s="18"/>
      <c r="R35" s="3118"/>
      <c r="S35" s="53"/>
      <c r="T35" s="3088"/>
      <c r="U35" s="2697"/>
      <c r="V35" s="3118"/>
      <c r="W35" s="53"/>
      <c r="X35" s="1052"/>
      <c r="Y35" s="3616"/>
      <c r="Z35" s="1111"/>
      <c r="AA35" s="4328"/>
      <c r="AB35" s="1112"/>
      <c r="AC35" s="839">
        <f t="shared" si="5"/>
        <v>0</v>
      </c>
      <c r="AD35" s="3088"/>
      <c r="AE35" s="2697"/>
      <c r="AF35" s="3118"/>
      <c r="AG35" s="53"/>
      <c r="AH35" s="3088"/>
      <c r="AI35" s="2697"/>
      <c r="AJ35" s="3118"/>
      <c r="AK35" s="53">
        <f t="shared" si="7"/>
        <v>0</v>
      </c>
      <c r="AL35" s="3088"/>
      <c r="AM35" s="2697">
        <v>559.30799999999999</v>
      </c>
      <c r="AN35" s="1111"/>
      <c r="AO35" s="4328">
        <f t="shared" si="8"/>
        <v>559.30799999999999</v>
      </c>
      <c r="AP35" s="3118"/>
      <c r="AQ35" s="53">
        <f t="shared" si="9"/>
        <v>559.30799999999999</v>
      </c>
      <c r="AR35" s="3088"/>
      <c r="AS35" s="2697"/>
      <c r="AT35" s="3118"/>
      <c r="AU35" s="53">
        <f t="shared" si="10"/>
        <v>559.30799999999999</v>
      </c>
      <c r="AV35" s="3088"/>
      <c r="AW35" s="2697">
        <v>500.93700000000007</v>
      </c>
      <c r="AX35" s="3118"/>
      <c r="AY35" s="53">
        <f t="shared" si="11"/>
        <v>1060.2450000000001</v>
      </c>
      <c r="AZ35" s="3088"/>
      <c r="BA35" s="2697"/>
      <c r="BB35" s="1111"/>
      <c r="BC35" s="5104">
        <f t="shared" si="12"/>
        <v>500.93700000000007</v>
      </c>
      <c r="BD35" s="1112"/>
      <c r="BE35" s="839">
        <f t="shared" si="13"/>
        <v>1060.2450000000001</v>
      </c>
      <c r="BF35" s="3118"/>
      <c r="BG35" s="53">
        <f t="shared" si="14"/>
        <v>1060.2450000000001</v>
      </c>
      <c r="BH35" s="26"/>
      <c r="BI35" s="26"/>
      <c r="BJ35" s="26"/>
      <c r="BK35" s="26"/>
    </row>
    <row r="36" spans="1:63" s="4332" customFormat="1" ht="15" customHeight="1" x14ac:dyDescent="0.25">
      <c r="B36" s="1359" t="s">
        <v>887</v>
      </c>
      <c r="C36" s="1356" t="s">
        <v>1061</v>
      </c>
      <c r="D36" s="3143">
        <v>154.46</v>
      </c>
      <c r="E36" s="1828" t="s">
        <v>52</v>
      </c>
      <c r="F36" s="3088"/>
      <c r="G36" s="18"/>
      <c r="H36" s="3088"/>
      <c r="I36" s="18"/>
      <c r="J36" s="3095"/>
      <c r="K36" s="635"/>
      <c r="L36" s="3088"/>
      <c r="M36" s="18"/>
      <c r="N36" s="3108"/>
      <c r="O36" s="98">
        <f t="shared" si="1"/>
        <v>0</v>
      </c>
      <c r="P36" s="3088"/>
      <c r="Q36" s="18"/>
      <c r="R36" s="3118"/>
      <c r="S36" s="53"/>
      <c r="T36" s="3088"/>
      <c r="U36" s="2697"/>
      <c r="V36" s="3118"/>
      <c r="W36" s="53"/>
      <c r="X36" s="1052"/>
      <c r="Y36" s="3616"/>
      <c r="Z36" s="1111"/>
      <c r="AA36" s="4328"/>
      <c r="AB36" s="1112"/>
      <c r="AC36" s="839">
        <f t="shared" si="5"/>
        <v>0</v>
      </c>
      <c r="AD36" s="3088"/>
      <c r="AE36" s="2697"/>
      <c r="AF36" s="3118"/>
      <c r="AG36" s="53"/>
      <c r="AH36" s="3088"/>
      <c r="AI36" s="2697"/>
      <c r="AJ36" s="3118"/>
      <c r="AK36" s="53">
        <f t="shared" si="7"/>
        <v>0</v>
      </c>
      <c r="AL36" s="3088"/>
      <c r="AM36" s="2697">
        <v>433.72800000000001</v>
      </c>
      <c r="AN36" s="1111"/>
      <c r="AO36" s="4328">
        <f t="shared" si="8"/>
        <v>433.72800000000001</v>
      </c>
      <c r="AP36" s="3118"/>
      <c r="AQ36" s="53">
        <f t="shared" si="9"/>
        <v>433.72800000000001</v>
      </c>
      <c r="AR36" s="3088"/>
      <c r="AS36" s="2697"/>
      <c r="AT36" s="3118"/>
      <c r="AU36" s="53">
        <f t="shared" si="10"/>
        <v>433.72800000000001</v>
      </c>
      <c r="AV36" s="3088"/>
      <c r="AW36" s="2697">
        <v>1232.1759999999999</v>
      </c>
      <c r="AX36" s="3118"/>
      <c r="AY36" s="53">
        <f t="shared" si="11"/>
        <v>1665.904</v>
      </c>
      <c r="AZ36" s="3088"/>
      <c r="BA36" s="2697"/>
      <c r="BB36" s="1111"/>
      <c r="BC36" s="5104">
        <f t="shared" si="12"/>
        <v>1232.1759999999999</v>
      </c>
      <c r="BD36" s="1112"/>
      <c r="BE36" s="839">
        <f t="shared" si="13"/>
        <v>1665.904</v>
      </c>
      <c r="BF36" s="3118"/>
      <c r="BG36" s="53">
        <f t="shared" si="14"/>
        <v>1665.904</v>
      </c>
      <c r="BH36" s="26"/>
      <c r="BI36" s="26"/>
      <c r="BJ36" s="26"/>
      <c r="BK36" s="26"/>
    </row>
    <row r="37" spans="1:63" ht="15" customHeight="1" x14ac:dyDescent="0.25">
      <c r="A37" s="2632"/>
      <c r="B37" s="1359" t="s">
        <v>887</v>
      </c>
      <c r="C37" s="1356" t="s">
        <v>992</v>
      </c>
      <c r="D37" s="3143">
        <v>107.56</v>
      </c>
      <c r="E37" s="1828" t="s">
        <v>52</v>
      </c>
      <c r="F37" s="3088"/>
      <c r="G37" s="18"/>
      <c r="H37" s="3088"/>
      <c r="I37" s="18"/>
      <c r="J37" s="3095"/>
      <c r="K37" s="635"/>
      <c r="L37" s="3088"/>
      <c r="M37" s="18"/>
      <c r="N37" s="3108"/>
      <c r="O37" s="98">
        <f t="shared" si="1"/>
        <v>0</v>
      </c>
      <c r="P37" s="3088"/>
      <c r="Q37" s="18"/>
      <c r="R37" s="3118"/>
      <c r="S37" s="53">
        <f t="shared" si="2"/>
        <v>0</v>
      </c>
      <c r="T37" s="3088"/>
      <c r="U37" s="2697">
        <v>321.02600000000001</v>
      </c>
      <c r="V37" s="3118"/>
      <c r="W37" s="53">
        <f t="shared" si="3"/>
        <v>321.02600000000001</v>
      </c>
      <c r="X37" s="1052"/>
      <c r="Y37" s="2630"/>
      <c r="Z37" s="1111"/>
      <c r="AA37" s="3578">
        <f t="shared" si="4"/>
        <v>321.02600000000001</v>
      </c>
      <c r="AB37" s="1112"/>
      <c r="AC37" s="839">
        <f t="shared" si="5"/>
        <v>321.02600000000001</v>
      </c>
      <c r="AD37" s="3088"/>
      <c r="AE37" s="2697"/>
      <c r="AF37" s="3118"/>
      <c r="AG37" s="53">
        <f t="shared" si="15"/>
        <v>321.02600000000001</v>
      </c>
      <c r="AH37" s="3088"/>
      <c r="AI37" s="2697"/>
      <c r="AJ37" s="3118"/>
      <c r="AK37" s="53">
        <f t="shared" si="7"/>
        <v>321.02600000000001</v>
      </c>
      <c r="AL37" s="3088"/>
      <c r="AM37" s="2697"/>
      <c r="AN37" s="1111"/>
      <c r="AO37" s="4312">
        <f t="shared" si="8"/>
        <v>0</v>
      </c>
      <c r="AP37" s="3118"/>
      <c r="AQ37" s="53">
        <f t="shared" si="9"/>
        <v>321.02600000000001</v>
      </c>
      <c r="AR37" s="3088"/>
      <c r="AS37" s="2697"/>
      <c r="AT37" s="3118"/>
      <c r="AU37" s="53">
        <f t="shared" si="10"/>
        <v>321.02600000000001</v>
      </c>
      <c r="AV37" s="3088"/>
      <c r="AW37" s="2697">
        <v>102.149</v>
      </c>
      <c r="AX37" s="3118"/>
      <c r="AY37" s="53">
        <f t="shared" si="11"/>
        <v>423.17500000000001</v>
      </c>
      <c r="AZ37" s="3088"/>
      <c r="BA37" s="2697"/>
      <c r="BB37" s="1111"/>
      <c r="BC37" s="5104">
        <f t="shared" si="12"/>
        <v>102.149</v>
      </c>
      <c r="BD37" s="1112"/>
      <c r="BE37" s="839">
        <f t="shared" si="13"/>
        <v>102.149</v>
      </c>
      <c r="BF37" s="3118"/>
      <c r="BG37" s="53">
        <f t="shared" si="14"/>
        <v>423.17500000000001</v>
      </c>
      <c r="BH37" s="26"/>
      <c r="BI37" s="26"/>
      <c r="BJ37" s="26"/>
      <c r="BK37" s="26"/>
    </row>
    <row r="38" spans="1:63" s="4697" customFormat="1" ht="15" customHeight="1" x14ac:dyDescent="0.25">
      <c r="B38" s="1359" t="s">
        <v>887</v>
      </c>
      <c r="C38" s="1356" t="s">
        <v>1061</v>
      </c>
      <c r="D38" s="3143">
        <v>107.56</v>
      </c>
      <c r="E38" s="1828" t="s">
        <v>52</v>
      </c>
      <c r="F38" s="3088"/>
      <c r="G38" s="18"/>
      <c r="H38" s="3088"/>
      <c r="I38" s="18"/>
      <c r="J38" s="3095"/>
      <c r="K38" s="635"/>
      <c r="L38" s="3088"/>
      <c r="M38" s="18"/>
      <c r="N38" s="3108"/>
      <c r="O38" s="98">
        <f t="shared" si="1"/>
        <v>0</v>
      </c>
      <c r="P38" s="3088"/>
      <c r="Q38" s="18"/>
      <c r="R38" s="3118"/>
      <c r="S38" s="53"/>
      <c r="T38" s="3088"/>
      <c r="U38" s="2697"/>
      <c r="V38" s="3118"/>
      <c r="W38" s="53"/>
      <c r="X38" s="1052"/>
      <c r="Y38" s="4710"/>
      <c r="Z38" s="4705"/>
      <c r="AA38" s="4706"/>
      <c r="AB38" s="4711"/>
      <c r="AC38" s="839">
        <f t="shared" si="5"/>
        <v>0</v>
      </c>
      <c r="AD38" s="3088"/>
      <c r="AE38" s="2697"/>
      <c r="AF38" s="3118"/>
      <c r="AG38" s="53"/>
      <c r="AH38" s="3088"/>
      <c r="AI38" s="2697"/>
      <c r="AJ38" s="3118"/>
      <c r="AK38" s="53"/>
      <c r="AL38" s="3088"/>
      <c r="AM38" s="2697"/>
      <c r="AN38" s="4705"/>
      <c r="AO38" s="4706"/>
      <c r="AP38" s="3118"/>
      <c r="AQ38" s="53"/>
      <c r="AR38" s="3088"/>
      <c r="AS38" s="2697"/>
      <c r="AT38" s="3118"/>
      <c r="AU38" s="53">
        <f t="shared" si="10"/>
        <v>0</v>
      </c>
      <c r="AV38" s="3088"/>
      <c r="AW38" s="2697">
        <v>298.63599999999997</v>
      </c>
      <c r="AX38" s="3118"/>
      <c r="AY38" s="53">
        <f t="shared" si="11"/>
        <v>298.63599999999997</v>
      </c>
      <c r="AZ38" s="3088"/>
      <c r="BA38" s="2697"/>
      <c r="BB38" s="4705"/>
      <c r="BC38" s="5104">
        <f t="shared" si="12"/>
        <v>298.63599999999997</v>
      </c>
      <c r="BD38" s="4711"/>
      <c r="BE38" s="839">
        <f t="shared" si="13"/>
        <v>298.63599999999997</v>
      </c>
      <c r="BF38" s="3118"/>
      <c r="BG38" s="53">
        <f t="shared" si="14"/>
        <v>298.63599999999997</v>
      </c>
      <c r="BH38" s="26"/>
      <c r="BI38" s="26"/>
      <c r="BJ38" s="26"/>
      <c r="BK38" s="26"/>
    </row>
    <row r="39" spans="1:63" s="4092" customFormat="1" ht="15" customHeight="1" x14ac:dyDescent="0.25">
      <c r="B39" s="1359" t="s">
        <v>1836</v>
      </c>
      <c r="C39" s="1356" t="s">
        <v>992</v>
      </c>
      <c r="D39" s="3143">
        <v>202.48</v>
      </c>
      <c r="E39" s="1828" t="s">
        <v>52</v>
      </c>
      <c r="F39" s="3088"/>
      <c r="G39" s="18"/>
      <c r="H39" s="3088"/>
      <c r="I39" s="18"/>
      <c r="J39" s="3095"/>
      <c r="K39" s="635"/>
      <c r="L39" s="3088"/>
      <c r="M39" s="18"/>
      <c r="N39" s="3108"/>
      <c r="O39" s="98">
        <f t="shared" si="1"/>
        <v>0</v>
      </c>
      <c r="P39" s="3088"/>
      <c r="Q39" s="18"/>
      <c r="R39" s="3118"/>
      <c r="S39" s="53"/>
      <c r="T39" s="3088"/>
      <c r="U39" s="2697"/>
      <c r="V39" s="3118"/>
      <c r="W39" s="53">
        <f t="shared" si="3"/>
        <v>0</v>
      </c>
      <c r="X39" s="1052"/>
      <c r="Y39" s="3616"/>
      <c r="Z39" s="1111"/>
      <c r="AA39" s="4087">
        <f t="shared" si="4"/>
        <v>0</v>
      </c>
      <c r="AB39" s="1112"/>
      <c r="AC39" s="839">
        <f t="shared" si="5"/>
        <v>0</v>
      </c>
      <c r="AD39" s="3088"/>
      <c r="AE39" s="2697">
        <v>731.08100000000002</v>
      </c>
      <c r="AF39" s="3118"/>
      <c r="AG39" s="53">
        <f t="shared" si="15"/>
        <v>731.08100000000002</v>
      </c>
      <c r="AH39" s="3088"/>
      <c r="AI39" s="2697">
        <v>473.09500000000003</v>
      </c>
      <c r="AJ39" s="3118"/>
      <c r="AK39" s="53">
        <f t="shared" si="7"/>
        <v>1204.1759999999999</v>
      </c>
      <c r="AL39" s="3088"/>
      <c r="AM39" s="2697">
        <v>222.05700000000002</v>
      </c>
      <c r="AN39" s="1111"/>
      <c r="AO39" s="4312">
        <f t="shared" si="8"/>
        <v>1426.2329999999999</v>
      </c>
      <c r="AP39" s="3118"/>
      <c r="AQ39" s="53">
        <f t="shared" si="9"/>
        <v>1426.2329999999999</v>
      </c>
      <c r="AR39" s="3088"/>
      <c r="AS39" s="2697"/>
      <c r="AT39" s="3118"/>
      <c r="AU39" s="53">
        <f t="shared" si="10"/>
        <v>1426.2329999999999</v>
      </c>
      <c r="AV39" s="3088"/>
      <c r="AW39" s="2697"/>
      <c r="AX39" s="3118"/>
      <c r="AY39" s="53">
        <f t="shared" si="11"/>
        <v>1426.2329999999999</v>
      </c>
      <c r="AZ39" s="3088"/>
      <c r="BA39" s="2697"/>
      <c r="BB39" s="1111"/>
      <c r="BC39" s="5104">
        <f t="shared" si="12"/>
        <v>0</v>
      </c>
      <c r="BD39" s="1112"/>
      <c r="BE39" s="839">
        <f t="shared" si="13"/>
        <v>1426.2329999999999</v>
      </c>
      <c r="BF39" s="3118"/>
      <c r="BG39" s="53">
        <f t="shared" si="14"/>
        <v>1426.2329999999999</v>
      </c>
      <c r="BH39" s="26"/>
      <c r="BI39" s="26"/>
      <c r="BJ39" s="26"/>
      <c r="BK39" s="26"/>
    </row>
    <row r="40" spans="1:63" s="4092" customFormat="1" ht="15" customHeight="1" x14ac:dyDescent="0.25">
      <c r="B40" s="1359" t="s">
        <v>1836</v>
      </c>
      <c r="C40" s="1356" t="s">
        <v>992</v>
      </c>
      <c r="D40" s="3143">
        <v>174.54</v>
      </c>
      <c r="E40" s="1828" t="s">
        <v>52</v>
      </c>
      <c r="F40" s="3088"/>
      <c r="G40" s="18"/>
      <c r="H40" s="3088"/>
      <c r="I40" s="18"/>
      <c r="J40" s="3095"/>
      <c r="K40" s="635"/>
      <c r="L40" s="3088"/>
      <c r="M40" s="18"/>
      <c r="N40" s="3108"/>
      <c r="O40" s="98">
        <f t="shared" si="1"/>
        <v>0</v>
      </c>
      <c r="P40" s="3088"/>
      <c r="Q40" s="18"/>
      <c r="R40" s="3118"/>
      <c r="S40" s="53"/>
      <c r="T40" s="3088"/>
      <c r="U40" s="2697"/>
      <c r="V40" s="3118"/>
      <c r="W40" s="53">
        <f t="shared" si="3"/>
        <v>0</v>
      </c>
      <c r="X40" s="1052"/>
      <c r="Y40" s="3616"/>
      <c r="Z40" s="1111"/>
      <c r="AA40" s="4087">
        <f t="shared" si="4"/>
        <v>0</v>
      </c>
      <c r="AB40" s="1112"/>
      <c r="AC40" s="839">
        <f t="shared" si="5"/>
        <v>0</v>
      </c>
      <c r="AD40" s="3088"/>
      <c r="AE40" s="2697">
        <v>25.972000000000001</v>
      </c>
      <c r="AF40" s="3118"/>
      <c r="AG40" s="53">
        <f t="shared" si="15"/>
        <v>25.972000000000001</v>
      </c>
      <c r="AH40" s="3088"/>
      <c r="AI40" s="2697">
        <v>595.39799999999991</v>
      </c>
      <c r="AJ40" s="3118"/>
      <c r="AK40" s="53">
        <f t="shared" si="7"/>
        <v>621.36999999999989</v>
      </c>
      <c r="AL40" s="3088"/>
      <c r="AM40" s="2697">
        <v>188.845</v>
      </c>
      <c r="AN40" s="1111"/>
      <c r="AO40" s="4312">
        <f t="shared" si="8"/>
        <v>810.21499999999992</v>
      </c>
      <c r="AP40" s="3118"/>
      <c r="AQ40" s="53">
        <f t="shared" si="9"/>
        <v>810.21499999999992</v>
      </c>
      <c r="AR40" s="3088"/>
      <c r="AS40" s="2697"/>
      <c r="AT40" s="3118"/>
      <c r="AU40" s="53">
        <f t="shared" si="10"/>
        <v>810.21499999999992</v>
      </c>
      <c r="AV40" s="3088"/>
      <c r="AW40" s="2697"/>
      <c r="AX40" s="3118"/>
      <c r="AY40" s="53">
        <f t="shared" si="11"/>
        <v>810.21499999999992</v>
      </c>
      <c r="AZ40" s="3088"/>
      <c r="BA40" s="2697"/>
      <c r="BB40" s="1111"/>
      <c r="BC40" s="5104">
        <f t="shared" si="12"/>
        <v>0</v>
      </c>
      <c r="BD40" s="1112"/>
      <c r="BE40" s="839">
        <f t="shared" si="13"/>
        <v>810.21499999999992</v>
      </c>
      <c r="BF40" s="3118"/>
      <c r="BG40" s="53">
        <f t="shared" si="14"/>
        <v>810.21499999999992</v>
      </c>
      <c r="BH40" s="26"/>
      <c r="BI40" s="26"/>
      <c r="BJ40" s="26"/>
      <c r="BK40" s="26"/>
    </row>
    <row r="41" spans="1:63" s="4332" customFormat="1" ht="15" customHeight="1" x14ac:dyDescent="0.25">
      <c r="B41" s="1359" t="s">
        <v>1836</v>
      </c>
      <c r="C41" s="1356" t="s">
        <v>992</v>
      </c>
      <c r="D41" s="3143">
        <v>145.29</v>
      </c>
      <c r="E41" s="1828" t="s">
        <v>52</v>
      </c>
      <c r="F41" s="3088"/>
      <c r="G41" s="18"/>
      <c r="H41" s="3088"/>
      <c r="I41" s="18"/>
      <c r="J41" s="3095"/>
      <c r="K41" s="635"/>
      <c r="L41" s="3088"/>
      <c r="M41" s="18"/>
      <c r="N41" s="3108"/>
      <c r="O41" s="98">
        <f t="shared" si="1"/>
        <v>0</v>
      </c>
      <c r="P41" s="3088"/>
      <c r="Q41" s="18"/>
      <c r="R41" s="3118"/>
      <c r="S41" s="53"/>
      <c r="T41" s="3088"/>
      <c r="U41" s="2697"/>
      <c r="V41" s="3118"/>
      <c r="W41" s="53"/>
      <c r="X41" s="1052"/>
      <c r="Y41" s="3616"/>
      <c r="Z41" s="1111"/>
      <c r="AA41" s="4328"/>
      <c r="AB41" s="1112"/>
      <c r="AC41" s="839">
        <f t="shared" si="5"/>
        <v>0</v>
      </c>
      <c r="AD41" s="3088"/>
      <c r="AE41" s="2697"/>
      <c r="AF41" s="3118"/>
      <c r="AG41" s="53"/>
      <c r="AH41" s="3088"/>
      <c r="AI41" s="2697"/>
      <c r="AJ41" s="3118"/>
      <c r="AK41" s="53">
        <f t="shared" si="7"/>
        <v>0</v>
      </c>
      <c r="AL41" s="3088"/>
      <c r="AM41" s="2697">
        <v>327.74700000000001</v>
      </c>
      <c r="AN41" s="1111"/>
      <c r="AO41" s="4328">
        <f t="shared" si="8"/>
        <v>327.74700000000001</v>
      </c>
      <c r="AP41" s="3118"/>
      <c r="AQ41" s="53">
        <f t="shared" si="9"/>
        <v>327.74700000000001</v>
      </c>
      <c r="AR41" s="3088"/>
      <c r="AS41" s="2697"/>
      <c r="AT41" s="3118"/>
      <c r="AU41" s="53">
        <f t="shared" si="10"/>
        <v>327.74700000000001</v>
      </c>
      <c r="AV41" s="3088"/>
      <c r="AW41" s="2697"/>
      <c r="AX41" s="3118"/>
      <c r="AY41" s="53">
        <f t="shared" si="11"/>
        <v>327.74700000000001</v>
      </c>
      <c r="AZ41" s="3088"/>
      <c r="BA41" s="2697"/>
      <c r="BB41" s="1111"/>
      <c r="BC41" s="5104">
        <f t="shared" si="12"/>
        <v>0</v>
      </c>
      <c r="BD41" s="1112"/>
      <c r="BE41" s="839">
        <f t="shared" si="13"/>
        <v>327.74700000000001</v>
      </c>
      <c r="BF41" s="3118"/>
      <c r="BG41" s="53">
        <f t="shared" si="14"/>
        <v>327.74700000000001</v>
      </c>
      <c r="BH41" s="26"/>
      <c r="BI41" s="26"/>
      <c r="BJ41" s="26"/>
      <c r="BK41" s="26"/>
    </row>
    <row r="42" spans="1:63" ht="15" customHeight="1" x14ac:dyDescent="0.25">
      <c r="B42" s="1359" t="s">
        <v>1155</v>
      </c>
      <c r="C42" s="1356" t="s">
        <v>1061</v>
      </c>
      <c r="D42" s="3143">
        <v>37.340000000000003</v>
      </c>
      <c r="E42" s="1828" t="s">
        <v>52</v>
      </c>
      <c r="F42" s="3088"/>
      <c r="G42" s="18"/>
      <c r="H42" s="3088"/>
      <c r="I42" s="217"/>
      <c r="J42" s="3095"/>
      <c r="K42" s="635">
        <f t="shared" si="0"/>
        <v>0</v>
      </c>
      <c r="L42" s="3088"/>
      <c r="M42" s="18"/>
      <c r="N42" s="3108"/>
      <c r="O42" s="98">
        <f t="shared" si="1"/>
        <v>0</v>
      </c>
      <c r="P42" s="3088"/>
      <c r="Q42" s="18"/>
      <c r="R42" s="3118"/>
      <c r="S42" s="53">
        <f t="shared" si="2"/>
        <v>0</v>
      </c>
      <c r="T42" s="3088"/>
      <c r="U42" s="2697">
        <v>0</v>
      </c>
      <c r="V42" s="3118"/>
      <c r="W42" s="53">
        <f t="shared" si="3"/>
        <v>0</v>
      </c>
      <c r="X42" s="1052"/>
      <c r="Y42" s="3391"/>
      <c r="Z42" s="1111"/>
      <c r="AA42" s="3578">
        <f t="shared" si="4"/>
        <v>0</v>
      </c>
      <c r="AB42" s="1112"/>
      <c r="AC42" s="839">
        <f t="shared" si="5"/>
        <v>0</v>
      </c>
      <c r="AD42" s="3088"/>
      <c r="AE42" s="2697"/>
      <c r="AF42" s="3118"/>
      <c r="AG42" s="53">
        <f t="shared" si="15"/>
        <v>0</v>
      </c>
      <c r="AH42" s="3088"/>
      <c r="AI42" s="2697"/>
      <c r="AJ42" s="3118"/>
      <c r="AK42" s="53">
        <f t="shared" si="7"/>
        <v>0</v>
      </c>
      <c r="AL42" s="3088"/>
      <c r="AM42" s="217"/>
      <c r="AN42" s="1111"/>
      <c r="AO42" s="4312">
        <f t="shared" si="8"/>
        <v>0</v>
      </c>
      <c r="AP42" s="3118"/>
      <c r="AQ42" s="53">
        <f t="shared" si="9"/>
        <v>0</v>
      </c>
      <c r="AR42" s="3088"/>
      <c r="AS42" s="2697"/>
      <c r="AT42" s="3118"/>
      <c r="AU42" s="53">
        <f t="shared" si="10"/>
        <v>0</v>
      </c>
      <c r="AV42" s="3088"/>
      <c r="AW42" s="2697"/>
      <c r="AX42" s="3118"/>
      <c r="AY42" s="53">
        <f t="shared" si="11"/>
        <v>0</v>
      </c>
      <c r="AZ42" s="3088"/>
      <c r="BA42" s="2697"/>
      <c r="BB42" s="1111"/>
      <c r="BC42" s="5104">
        <f t="shared" si="12"/>
        <v>0</v>
      </c>
      <c r="BD42" s="1112"/>
      <c r="BE42" s="839">
        <f t="shared" si="13"/>
        <v>0</v>
      </c>
      <c r="BF42" s="3118"/>
      <c r="BG42" s="53">
        <f t="shared" si="14"/>
        <v>0</v>
      </c>
      <c r="BH42" s="26"/>
      <c r="BI42" s="26"/>
      <c r="BJ42" s="26"/>
      <c r="BK42" s="26"/>
    </row>
    <row r="43" spans="1:63" ht="15" customHeight="1" x14ac:dyDescent="0.25">
      <c r="B43" s="1359" t="s">
        <v>1155</v>
      </c>
      <c r="C43" s="1356" t="s">
        <v>1450</v>
      </c>
      <c r="D43" s="3143">
        <v>37.340000000000003</v>
      </c>
      <c r="E43" s="1828" t="s">
        <v>52</v>
      </c>
      <c r="F43" s="3088"/>
      <c r="G43" s="18"/>
      <c r="H43" s="3088"/>
      <c r="I43" s="18">
        <v>2179.0050000000001</v>
      </c>
      <c r="J43" s="3095"/>
      <c r="K43" s="635">
        <f t="shared" si="0"/>
        <v>2179.0050000000001</v>
      </c>
      <c r="L43" s="3088"/>
      <c r="M43" s="18">
        <v>2519.3199999999993</v>
      </c>
      <c r="N43" s="3108"/>
      <c r="O43" s="98">
        <f t="shared" si="1"/>
        <v>4698.3249999999989</v>
      </c>
      <c r="P43" s="3088"/>
      <c r="Q43" s="18">
        <v>4813.6819999999989</v>
      </c>
      <c r="R43" s="3118"/>
      <c r="S43" s="53">
        <f t="shared" si="2"/>
        <v>9512.0069999999978</v>
      </c>
      <c r="T43" s="3088"/>
      <c r="U43" s="2697">
        <v>2816.5849999999996</v>
      </c>
      <c r="V43" s="3118"/>
      <c r="W43" s="53">
        <f t="shared" si="3"/>
        <v>12328.591999999997</v>
      </c>
      <c r="X43" s="1052"/>
      <c r="Y43" s="3391"/>
      <c r="Z43" s="1111"/>
      <c r="AA43" s="3578">
        <f t="shared" si="4"/>
        <v>7630.266999999998</v>
      </c>
      <c r="AB43" s="1112"/>
      <c r="AC43" s="839">
        <f t="shared" si="5"/>
        <v>12328.591999999997</v>
      </c>
      <c r="AD43" s="3088"/>
      <c r="AE43" s="2697">
        <v>2204.79</v>
      </c>
      <c r="AF43" s="3118"/>
      <c r="AG43" s="53">
        <f t="shared" si="15"/>
        <v>14533.381999999998</v>
      </c>
      <c r="AH43" s="3088"/>
      <c r="AI43" s="2697"/>
      <c r="AJ43" s="3118"/>
      <c r="AK43" s="53">
        <f t="shared" si="7"/>
        <v>14533.381999999998</v>
      </c>
      <c r="AL43" s="3088"/>
      <c r="AM43" s="2697">
        <v>2483.0639999999999</v>
      </c>
      <c r="AN43" s="1111"/>
      <c r="AO43" s="4312">
        <f t="shared" si="8"/>
        <v>4687.8539999999994</v>
      </c>
      <c r="AP43" s="3118"/>
      <c r="AQ43" s="53">
        <f t="shared" si="9"/>
        <v>17016.445999999996</v>
      </c>
      <c r="AR43" s="3088"/>
      <c r="AS43" s="2697">
        <v>1603.07</v>
      </c>
      <c r="AT43" s="3118"/>
      <c r="AU43" s="53">
        <f t="shared" si="10"/>
        <v>18619.515999999996</v>
      </c>
      <c r="AV43" s="3088"/>
      <c r="AW43" s="2697">
        <v>2253.0930000000008</v>
      </c>
      <c r="AX43" s="3118"/>
      <c r="AY43" s="53">
        <f t="shared" si="11"/>
        <v>20872.608999999997</v>
      </c>
      <c r="AZ43" s="3088"/>
      <c r="BA43" s="2697">
        <v>2436.1299999999992</v>
      </c>
      <c r="BB43" s="1111"/>
      <c r="BC43" s="5104">
        <f t="shared" si="12"/>
        <v>6292.2929999999997</v>
      </c>
      <c r="BD43" s="1112"/>
      <c r="BE43" s="839">
        <f t="shared" si="13"/>
        <v>10980.146999999999</v>
      </c>
      <c r="BF43" s="3118"/>
      <c r="BG43" s="53">
        <f t="shared" si="14"/>
        <v>23308.738999999994</v>
      </c>
      <c r="BH43" s="26"/>
      <c r="BI43" s="26"/>
      <c r="BJ43" s="26"/>
      <c r="BK43" s="26"/>
    </row>
    <row r="44" spans="1:63" s="5117" customFormat="1" ht="15" customHeight="1" x14ac:dyDescent="0.25">
      <c r="B44" s="1359" t="s">
        <v>1970</v>
      </c>
      <c r="C44" s="1356" t="s">
        <v>992</v>
      </c>
      <c r="D44" s="3143">
        <v>42.26</v>
      </c>
      <c r="E44" s="1828" t="s">
        <v>52</v>
      </c>
      <c r="F44" s="3088"/>
      <c r="G44" s="18"/>
      <c r="H44" s="3088"/>
      <c r="I44" s="18"/>
      <c r="J44" s="3095"/>
      <c r="K44" s="635"/>
      <c r="L44" s="3088"/>
      <c r="M44" s="18"/>
      <c r="N44" s="3108"/>
      <c r="O44" s="98"/>
      <c r="P44" s="3088"/>
      <c r="Q44" s="18"/>
      <c r="R44" s="3118"/>
      <c r="S44" s="53"/>
      <c r="T44" s="3088"/>
      <c r="U44" s="2697"/>
      <c r="V44" s="3118"/>
      <c r="W44" s="53"/>
      <c r="X44" s="1052"/>
      <c r="Y44" s="4710"/>
      <c r="Z44" s="4705"/>
      <c r="AA44" s="4706"/>
      <c r="AB44" s="4711"/>
      <c r="AC44" s="4712"/>
      <c r="AD44" s="3088"/>
      <c r="AE44" s="2697"/>
      <c r="AF44" s="3118"/>
      <c r="AG44" s="53"/>
      <c r="AH44" s="3088"/>
      <c r="AI44" s="2697"/>
      <c r="AJ44" s="3118"/>
      <c r="AK44" s="53"/>
      <c r="AL44" s="3088"/>
      <c r="AM44" s="2697"/>
      <c r="AN44" s="4705"/>
      <c r="AO44" s="4706"/>
      <c r="AP44" s="3118"/>
      <c r="AQ44" s="53"/>
      <c r="AR44" s="3088"/>
      <c r="AS44" s="2697"/>
      <c r="AT44" s="3118"/>
      <c r="AU44" s="53"/>
      <c r="AV44" s="3088"/>
      <c r="AW44" s="2697"/>
      <c r="AX44" s="3118"/>
      <c r="AY44" s="53">
        <f t="shared" si="11"/>
        <v>0</v>
      </c>
      <c r="AZ44" s="3088"/>
      <c r="BA44" s="2697">
        <v>1000.89</v>
      </c>
      <c r="BB44" s="4705"/>
      <c r="BC44" s="5104">
        <f t="shared" si="12"/>
        <v>1000.89</v>
      </c>
      <c r="BD44" s="4711"/>
      <c r="BE44" s="839">
        <f t="shared" si="13"/>
        <v>1000.89</v>
      </c>
      <c r="BF44" s="3118"/>
      <c r="BG44" s="53">
        <f t="shared" si="14"/>
        <v>1000.89</v>
      </c>
      <c r="BH44" s="26"/>
      <c r="BI44" s="26"/>
      <c r="BJ44" s="26"/>
      <c r="BK44" s="26"/>
    </row>
    <row r="45" spans="1:63" ht="15" customHeight="1" x14ac:dyDescent="0.25">
      <c r="B45" s="1359" t="s">
        <v>1156</v>
      </c>
      <c r="C45" s="1356" t="s">
        <v>992</v>
      </c>
      <c r="D45" s="3143">
        <v>61.3</v>
      </c>
      <c r="E45" s="1828" t="s">
        <v>52</v>
      </c>
      <c r="F45" s="3088"/>
      <c r="G45" s="18"/>
      <c r="H45" s="3088"/>
      <c r="I45" s="18">
        <v>2279.2959999999998</v>
      </c>
      <c r="J45" s="3095"/>
      <c r="K45" s="635">
        <f t="shared" si="0"/>
        <v>2279.2959999999998</v>
      </c>
      <c r="L45" s="3088"/>
      <c r="M45" s="18"/>
      <c r="N45" s="3108"/>
      <c r="O45" s="98">
        <f t="shared" si="1"/>
        <v>2279.2959999999998</v>
      </c>
      <c r="P45" s="3088"/>
      <c r="Q45" s="18"/>
      <c r="R45" s="3118"/>
      <c r="S45" s="53">
        <f t="shared" si="2"/>
        <v>2279.2959999999998</v>
      </c>
      <c r="T45" s="3088"/>
      <c r="U45" s="2697">
        <v>0</v>
      </c>
      <c r="V45" s="3118"/>
      <c r="W45" s="53">
        <f t="shared" si="3"/>
        <v>2279.2959999999998</v>
      </c>
      <c r="X45" s="1052"/>
      <c r="Y45" s="3391"/>
      <c r="Z45" s="1111"/>
      <c r="AA45" s="3578">
        <f t="shared" si="4"/>
        <v>0</v>
      </c>
      <c r="AB45" s="1112"/>
      <c r="AC45" s="839">
        <f t="shared" si="5"/>
        <v>2279.2959999999998</v>
      </c>
      <c r="AD45" s="3088"/>
      <c r="AE45" s="2697"/>
      <c r="AF45" s="3118"/>
      <c r="AG45" s="53">
        <f t="shared" si="15"/>
        <v>2279.2959999999998</v>
      </c>
      <c r="AH45" s="3088"/>
      <c r="AI45" s="2697"/>
      <c r="AJ45" s="3118"/>
      <c r="AK45" s="53">
        <f t="shared" si="7"/>
        <v>2279.2959999999998</v>
      </c>
      <c r="AL45" s="3088"/>
      <c r="AM45" s="2697"/>
      <c r="AN45" s="1111"/>
      <c r="AO45" s="4312">
        <f t="shared" si="8"/>
        <v>0</v>
      </c>
      <c r="AP45" s="3118"/>
      <c r="AQ45" s="53">
        <f t="shared" si="9"/>
        <v>2279.2959999999998</v>
      </c>
      <c r="AR45" s="3088"/>
      <c r="AS45" s="2697"/>
      <c r="AT45" s="3118"/>
      <c r="AU45" s="53">
        <f t="shared" si="10"/>
        <v>2279.2959999999998</v>
      </c>
      <c r="AV45" s="3088"/>
      <c r="AW45" s="2697"/>
      <c r="AX45" s="3118"/>
      <c r="AY45" s="53">
        <f t="shared" si="11"/>
        <v>2279.2959999999998</v>
      </c>
      <c r="AZ45" s="3088"/>
      <c r="BA45" s="2697">
        <v>1056.3980000000001</v>
      </c>
      <c r="BB45" s="1111"/>
      <c r="BC45" s="5104">
        <f t="shared" si="12"/>
        <v>1056.3980000000001</v>
      </c>
      <c r="BD45" s="1112"/>
      <c r="BE45" s="839">
        <f t="shared" si="13"/>
        <v>1056.3980000000001</v>
      </c>
      <c r="BF45" s="3118"/>
      <c r="BG45" s="53">
        <f t="shared" si="14"/>
        <v>3335.694</v>
      </c>
      <c r="BH45" s="26"/>
      <c r="BI45" s="26"/>
      <c r="BJ45" s="26"/>
      <c r="BK45" s="26"/>
    </row>
    <row r="46" spans="1:63" ht="15" customHeight="1" x14ac:dyDescent="0.25">
      <c r="B46" s="1359" t="s">
        <v>1156</v>
      </c>
      <c r="C46" s="1356" t="s">
        <v>1061</v>
      </c>
      <c r="D46" s="3143">
        <v>61.3</v>
      </c>
      <c r="E46" s="1828" t="s">
        <v>52</v>
      </c>
      <c r="F46" s="3088"/>
      <c r="G46" s="18"/>
      <c r="H46" s="3088"/>
      <c r="I46" s="18">
        <v>81.775999999999996</v>
      </c>
      <c r="J46" s="3095"/>
      <c r="K46" s="635">
        <f t="shared" si="0"/>
        <v>81.775999999999996</v>
      </c>
      <c r="L46" s="3088"/>
      <c r="M46" s="18"/>
      <c r="N46" s="3108"/>
      <c r="O46" s="98">
        <f t="shared" si="1"/>
        <v>81.775999999999996</v>
      </c>
      <c r="P46" s="3088"/>
      <c r="Q46" s="18"/>
      <c r="R46" s="3118"/>
      <c r="S46" s="53">
        <f t="shared" si="2"/>
        <v>81.775999999999996</v>
      </c>
      <c r="T46" s="3088"/>
      <c r="U46" s="2697">
        <v>0</v>
      </c>
      <c r="V46" s="3118"/>
      <c r="W46" s="53">
        <f t="shared" si="3"/>
        <v>81.775999999999996</v>
      </c>
      <c r="X46" s="1052"/>
      <c r="Y46" s="3391"/>
      <c r="Z46" s="1111"/>
      <c r="AA46" s="3578">
        <f t="shared" si="4"/>
        <v>0</v>
      </c>
      <c r="AB46" s="1112"/>
      <c r="AC46" s="839">
        <f t="shared" si="5"/>
        <v>81.775999999999996</v>
      </c>
      <c r="AD46" s="3088"/>
      <c r="AE46" s="2697"/>
      <c r="AF46" s="3118"/>
      <c r="AG46" s="53">
        <f t="shared" si="15"/>
        <v>81.775999999999996</v>
      </c>
      <c r="AH46" s="3088"/>
      <c r="AI46" s="2697"/>
      <c r="AJ46" s="3118"/>
      <c r="AK46" s="53">
        <f t="shared" si="7"/>
        <v>81.775999999999996</v>
      </c>
      <c r="AL46" s="3088"/>
      <c r="AM46" s="2697"/>
      <c r="AN46" s="1111"/>
      <c r="AO46" s="4312">
        <f t="shared" si="8"/>
        <v>0</v>
      </c>
      <c r="AP46" s="3118"/>
      <c r="AQ46" s="53">
        <f t="shared" si="9"/>
        <v>81.775999999999996</v>
      </c>
      <c r="AR46" s="3088"/>
      <c r="AS46" s="2697"/>
      <c r="AT46" s="3118"/>
      <c r="AU46" s="53">
        <f t="shared" si="10"/>
        <v>81.775999999999996</v>
      </c>
      <c r="AV46" s="3088"/>
      <c r="AW46" s="2697"/>
      <c r="AX46" s="3118"/>
      <c r="AY46" s="53">
        <f t="shared" si="11"/>
        <v>81.775999999999996</v>
      </c>
      <c r="AZ46" s="3088"/>
      <c r="BA46" s="2697"/>
      <c r="BB46" s="1111"/>
      <c r="BC46" s="5104">
        <f t="shared" si="12"/>
        <v>0</v>
      </c>
      <c r="BD46" s="1112"/>
      <c r="BE46" s="839">
        <f t="shared" si="13"/>
        <v>0</v>
      </c>
      <c r="BF46" s="3118"/>
      <c r="BG46" s="53">
        <f t="shared" si="14"/>
        <v>81.775999999999996</v>
      </c>
      <c r="BH46" s="26"/>
      <c r="BI46" s="26"/>
      <c r="BJ46" s="26"/>
      <c r="BK46" s="26"/>
    </row>
    <row r="47" spans="1:63" ht="15" customHeight="1" x14ac:dyDescent="0.25">
      <c r="B47" s="1359" t="s">
        <v>1326</v>
      </c>
      <c r="C47" s="1356" t="s">
        <v>992</v>
      </c>
      <c r="D47" s="3143">
        <v>83.2</v>
      </c>
      <c r="E47" s="1828" t="s">
        <v>52</v>
      </c>
      <c r="F47" s="3088"/>
      <c r="G47" s="18"/>
      <c r="H47" s="3088"/>
      <c r="I47" s="18"/>
      <c r="J47" s="3095"/>
      <c r="K47" s="635">
        <f t="shared" si="0"/>
        <v>0</v>
      </c>
      <c r="L47" s="3088"/>
      <c r="M47" s="18">
        <v>2164.0820000000003</v>
      </c>
      <c r="N47" s="3108"/>
      <c r="O47" s="98">
        <f t="shared" si="1"/>
        <v>2164.0820000000003</v>
      </c>
      <c r="P47" s="3088"/>
      <c r="Q47" s="18"/>
      <c r="R47" s="3118"/>
      <c r="S47" s="53">
        <f t="shared" si="2"/>
        <v>2164.0820000000003</v>
      </c>
      <c r="T47" s="3088"/>
      <c r="U47" s="2697">
        <v>0</v>
      </c>
      <c r="V47" s="3118"/>
      <c r="W47" s="53">
        <f t="shared" si="3"/>
        <v>2164.0820000000003</v>
      </c>
      <c r="X47" s="1052"/>
      <c r="Y47" s="3391"/>
      <c r="Z47" s="1111"/>
      <c r="AA47" s="4209">
        <f t="shared" si="4"/>
        <v>0</v>
      </c>
      <c r="AB47" s="1112"/>
      <c r="AC47" s="839">
        <f t="shared" si="5"/>
        <v>2164.0820000000003</v>
      </c>
      <c r="AD47" s="3088"/>
      <c r="AE47" s="2697"/>
      <c r="AF47" s="3118"/>
      <c r="AG47" s="53">
        <f t="shared" si="15"/>
        <v>2164.0820000000003</v>
      </c>
      <c r="AH47" s="3088"/>
      <c r="AI47" s="2697">
        <v>528.72699999999998</v>
      </c>
      <c r="AJ47" s="3118"/>
      <c r="AK47" s="53">
        <f t="shared" si="7"/>
        <v>2692.8090000000002</v>
      </c>
      <c r="AL47" s="3088"/>
      <c r="AM47" s="2697"/>
      <c r="AN47" s="1111"/>
      <c r="AO47" s="4312">
        <f t="shared" si="8"/>
        <v>528.72699999999998</v>
      </c>
      <c r="AP47" s="3118"/>
      <c r="AQ47" s="53">
        <f t="shared" si="9"/>
        <v>2692.8090000000002</v>
      </c>
      <c r="AR47" s="3088"/>
      <c r="AS47" s="2697">
        <v>1357.6179999999999</v>
      </c>
      <c r="AT47" s="3118"/>
      <c r="AU47" s="53">
        <f t="shared" si="10"/>
        <v>4050.4270000000001</v>
      </c>
      <c r="AV47" s="3088"/>
      <c r="AW47" s="2697">
        <v>1003.6679999999999</v>
      </c>
      <c r="AX47" s="3118"/>
      <c r="AY47" s="53">
        <f t="shared" si="11"/>
        <v>5054.0950000000003</v>
      </c>
      <c r="AZ47" s="3088"/>
      <c r="BA47" s="2697"/>
      <c r="BB47" s="1111"/>
      <c r="BC47" s="5104">
        <f t="shared" si="12"/>
        <v>2361.2860000000001</v>
      </c>
      <c r="BD47" s="1112"/>
      <c r="BE47" s="839">
        <f t="shared" si="13"/>
        <v>2890.0129999999999</v>
      </c>
      <c r="BF47" s="3118"/>
      <c r="BG47" s="53">
        <f t="shared" si="14"/>
        <v>5054.0950000000003</v>
      </c>
      <c r="BH47" s="26"/>
      <c r="BI47" s="26"/>
      <c r="BJ47" s="26"/>
      <c r="BK47" s="26"/>
    </row>
    <row r="48" spans="1:63" s="4213" customFormat="1" ht="15" customHeight="1" x14ac:dyDescent="0.25">
      <c r="B48" s="1359" t="s">
        <v>1326</v>
      </c>
      <c r="C48" s="1356" t="s">
        <v>992</v>
      </c>
      <c r="D48" s="3143">
        <v>60.32</v>
      </c>
      <c r="E48" s="1828" t="s">
        <v>52</v>
      </c>
      <c r="F48" s="3088"/>
      <c r="G48" s="18"/>
      <c r="H48" s="3088"/>
      <c r="I48" s="18"/>
      <c r="J48" s="3095"/>
      <c r="K48" s="635"/>
      <c r="L48" s="3088"/>
      <c r="M48" s="18"/>
      <c r="N48" s="3108"/>
      <c r="O48" s="98">
        <f t="shared" si="1"/>
        <v>0</v>
      </c>
      <c r="P48" s="3088"/>
      <c r="Q48" s="18"/>
      <c r="R48" s="3118"/>
      <c r="S48" s="53"/>
      <c r="T48" s="3088"/>
      <c r="U48" s="2697"/>
      <c r="V48" s="3118"/>
      <c r="W48" s="53"/>
      <c r="X48" s="1052"/>
      <c r="Y48" s="3616"/>
      <c r="Z48" s="1111"/>
      <c r="AA48" s="4209">
        <f t="shared" si="4"/>
        <v>0</v>
      </c>
      <c r="AB48" s="1112"/>
      <c r="AC48" s="839">
        <f t="shared" si="5"/>
        <v>0</v>
      </c>
      <c r="AD48" s="3088"/>
      <c r="AE48" s="2697"/>
      <c r="AF48" s="3118"/>
      <c r="AG48" s="53">
        <f t="shared" si="15"/>
        <v>0</v>
      </c>
      <c r="AH48" s="3088"/>
      <c r="AI48" s="2697">
        <v>411.25899999999996</v>
      </c>
      <c r="AJ48" s="3118"/>
      <c r="AK48" s="53">
        <f t="shared" si="7"/>
        <v>411.25899999999996</v>
      </c>
      <c r="AL48" s="3088"/>
      <c r="AM48" s="2697"/>
      <c r="AN48" s="1111"/>
      <c r="AO48" s="4312">
        <f t="shared" si="8"/>
        <v>411.25899999999996</v>
      </c>
      <c r="AP48" s="3118"/>
      <c r="AQ48" s="53">
        <f t="shared" si="9"/>
        <v>411.25899999999996</v>
      </c>
      <c r="AR48" s="3088"/>
      <c r="AS48" s="2697">
        <v>505.98500000000001</v>
      </c>
      <c r="AT48" s="3118"/>
      <c r="AU48" s="53">
        <f t="shared" si="10"/>
        <v>917.24399999999991</v>
      </c>
      <c r="AV48" s="3088"/>
      <c r="AW48" s="2697">
        <v>1017.751</v>
      </c>
      <c r="AX48" s="3118"/>
      <c r="AY48" s="53">
        <f t="shared" si="11"/>
        <v>1934.9949999999999</v>
      </c>
      <c r="AZ48" s="3088"/>
      <c r="BA48" s="2697"/>
      <c r="BB48" s="1111"/>
      <c r="BC48" s="5104">
        <f t="shared" si="12"/>
        <v>1523.7359999999999</v>
      </c>
      <c r="BD48" s="1112"/>
      <c r="BE48" s="839">
        <f t="shared" si="13"/>
        <v>1934.9949999999999</v>
      </c>
      <c r="BF48" s="3118"/>
      <c r="BG48" s="53">
        <f t="shared" si="14"/>
        <v>1934.9949999999999</v>
      </c>
      <c r="BH48" s="26"/>
      <c r="BI48" s="26"/>
      <c r="BJ48" s="26"/>
      <c r="BK48" s="26"/>
    </row>
    <row r="49" spans="1:63" ht="15" customHeight="1" x14ac:dyDescent="0.25">
      <c r="B49" s="1359" t="s">
        <v>1260</v>
      </c>
      <c r="C49" s="1356" t="s">
        <v>992</v>
      </c>
      <c r="D49" s="3143">
        <v>100.85</v>
      </c>
      <c r="E49" s="1828" t="s">
        <v>52</v>
      </c>
      <c r="F49" s="3088"/>
      <c r="G49" s="18"/>
      <c r="H49" s="3088"/>
      <c r="I49" s="18">
        <v>572.75200000000007</v>
      </c>
      <c r="J49" s="3095"/>
      <c r="K49" s="635">
        <f t="shared" si="0"/>
        <v>572.75200000000007</v>
      </c>
      <c r="L49" s="3088"/>
      <c r="M49" s="18"/>
      <c r="N49" s="3108"/>
      <c r="O49" s="98">
        <f t="shared" si="1"/>
        <v>572.75200000000007</v>
      </c>
      <c r="P49" s="3088"/>
      <c r="Q49" s="18"/>
      <c r="R49" s="3118"/>
      <c r="S49" s="53">
        <f t="shared" si="2"/>
        <v>572.75200000000007</v>
      </c>
      <c r="T49" s="3088"/>
      <c r="U49" s="2697">
        <v>0</v>
      </c>
      <c r="V49" s="3118"/>
      <c r="W49" s="53">
        <f t="shared" si="3"/>
        <v>572.75200000000007</v>
      </c>
      <c r="X49" s="1052"/>
      <c r="Y49" s="3391"/>
      <c r="Z49" s="1111"/>
      <c r="AA49" s="3578">
        <f t="shared" si="4"/>
        <v>0</v>
      </c>
      <c r="AB49" s="1112"/>
      <c r="AC49" s="839">
        <f t="shared" si="5"/>
        <v>572.75200000000007</v>
      </c>
      <c r="AD49" s="3088"/>
      <c r="AE49" s="2697">
        <v>1182.1030000000001</v>
      </c>
      <c r="AF49" s="3118"/>
      <c r="AG49" s="53">
        <f t="shared" si="15"/>
        <v>1754.855</v>
      </c>
      <c r="AH49" s="3088"/>
      <c r="AI49" s="2697">
        <v>1061.742</v>
      </c>
      <c r="AJ49" s="3118"/>
      <c r="AK49" s="53">
        <f t="shared" si="7"/>
        <v>2816.5969999999998</v>
      </c>
      <c r="AL49" s="3088"/>
      <c r="AM49" s="2697"/>
      <c r="AN49" s="1111"/>
      <c r="AO49" s="4312">
        <f t="shared" si="8"/>
        <v>2243.8450000000003</v>
      </c>
      <c r="AP49" s="3118"/>
      <c r="AQ49" s="53">
        <f t="shared" si="9"/>
        <v>2816.5969999999998</v>
      </c>
      <c r="AR49" s="3088"/>
      <c r="AS49" s="2697"/>
      <c r="AT49" s="3118"/>
      <c r="AU49" s="53">
        <f t="shared" si="10"/>
        <v>2816.5969999999998</v>
      </c>
      <c r="AV49" s="3088"/>
      <c r="AW49" s="2697">
        <v>1448.8710000000001</v>
      </c>
      <c r="AX49" s="3118"/>
      <c r="AY49" s="53">
        <f t="shared" si="11"/>
        <v>4265.4679999999998</v>
      </c>
      <c r="AZ49" s="3088"/>
      <c r="BA49" s="2697">
        <v>1013.978</v>
      </c>
      <c r="BB49" s="1111"/>
      <c r="BC49" s="5104">
        <f t="shared" si="12"/>
        <v>2462.8490000000002</v>
      </c>
      <c r="BD49" s="1112"/>
      <c r="BE49" s="839">
        <f t="shared" si="13"/>
        <v>4706.6940000000004</v>
      </c>
      <c r="BF49" s="3118"/>
      <c r="BG49" s="53">
        <f t="shared" si="14"/>
        <v>5279.4459999999999</v>
      </c>
      <c r="BH49" s="26"/>
      <c r="BI49" s="26"/>
      <c r="BJ49" s="26"/>
      <c r="BK49" s="26"/>
    </row>
    <row r="50" spans="1:63" ht="15" customHeight="1" x14ac:dyDescent="0.25">
      <c r="B50" s="1359" t="s">
        <v>1260</v>
      </c>
      <c r="C50" s="1356" t="s">
        <v>992</v>
      </c>
      <c r="D50" s="3143">
        <v>117.03</v>
      </c>
      <c r="E50" s="1828" t="s">
        <v>52</v>
      </c>
      <c r="F50" s="3088"/>
      <c r="G50" s="18"/>
      <c r="H50" s="3088"/>
      <c r="I50" s="18">
        <v>2207.2659999999992</v>
      </c>
      <c r="J50" s="3095"/>
      <c r="K50" s="635">
        <f t="shared" si="0"/>
        <v>2207.2659999999992</v>
      </c>
      <c r="L50" s="3088"/>
      <c r="M50" s="18"/>
      <c r="N50" s="3108"/>
      <c r="O50" s="98">
        <f t="shared" si="1"/>
        <v>2207.2659999999992</v>
      </c>
      <c r="P50" s="3088"/>
      <c r="Q50" s="18"/>
      <c r="R50" s="3118"/>
      <c r="S50" s="53">
        <f t="shared" si="2"/>
        <v>2207.2659999999992</v>
      </c>
      <c r="T50" s="3088"/>
      <c r="U50" s="2697">
        <v>0</v>
      </c>
      <c r="V50" s="3118"/>
      <c r="W50" s="53">
        <f t="shared" si="3"/>
        <v>2207.2659999999992</v>
      </c>
      <c r="X50" s="1052"/>
      <c r="Y50" s="3391"/>
      <c r="Z50" s="1111"/>
      <c r="AA50" s="3578">
        <f t="shared" si="4"/>
        <v>0</v>
      </c>
      <c r="AB50" s="1112"/>
      <c r="AC50" s="839">
        <f t="shared" si="5"/>
        <v>2207.2659999999992</v>
      </c>
      <c r="AD50" s="3088"/>
      <c r="AE50" s="2697">
        <v>1398.422</v>
      </c>
      <c r="AF50" s="3118"/>
      <c r="AG50" s="53">
        <f t="shared" si="15"/>
        <v>3605.6879999999992</v>
      </c>
      <c r="AH50" s="3088"/>
      <c r="AI50" s="2697">
        <v>760.92100000000005</v>
      </c>
      <c r="AJ50" s="3118"/>
      <c r="AK50" s="53">
        <f t="shared" si="7"/>
        <v>4366.6089999999995</v>
      </c>
      <c r="AL50" s="3088"/>
      <c r="AM50" s="2697"/>
      <c r="AN50" s="1111"/>
      <c r="AO50" s="4312">
        <f t="shared" si="8"/>
        <v>2159.3429999999998</v>
      </c>
      <c r="AP50" s="3118"/>
      <c r="AQ50" s="53">
        <f t="shared" si="9"/>
        <v>4366.6089999999995</v>
      </c>
      <c r="AR50" s="3088"/>
      <c r="AS50" s="2697"/>
      <c r="AT50" s="3118"/>
      <c r="AU50" s="53">
        <f t="shared" si="10"/>
        <v>4366.6089999999995</v>
      </c>
      <c r="AV50" s="3088"/>
      <c r="AW50" s="2697">
        <v>1350.674</v>
      </c>
      <c r="AX50" s="3118"/>
      <c r="AY50" s="53">
        <f t="shared" si="11"/>
        <v>5717.2829999999994</v>
      </c>
      <c r="AZ50" s="3088"/>
      <c r="BA50" s="2697">
        <v>1061.3649999999998</v>
      </c>
      <c r="BB50" s="1111"/>
      <c r="BC50" s="5104">
        <f t="shared" si="12"/>
        <v>2412.0389999999998</v>
      </c>
      <c r="BD50" s="1112"/>
      <c r="BE50" s="839">
        <f t="shared" si="13"/>
        <v>4571.3819999999996</v>
      </c>
      <c r="BF50" s="3118"/>
      <c r="BG50" s="53">
        <f t="shared" si="14"/>
        <v>6778.6479999999992</v>
      </c>
      <c r="BH50" s="26"/>
      <c r="BI50" s="26"/>
      <c r="BJ50" s="26"/>
      <c r="BK50" s="26"/>
    </row>
    <row r="51" spans="1:63" s="4092" customFormat="1" ht="15" customHeight="1" x14ac:dyDescent="0.25">
      <c r="B51" s="1359" t="s">
        <v>1260</v>
      </c>
      <c r="C51" s="1356" t="s">
        <v>992</v>
      </c>
      <c r="D51" s="3143">
        <v>237.92</v>
      </c>
      <c r="E51" s="1828" t="s">
        <v>52</v>
      </c>
      <c r="F51" s="3088"/>
      <c r="G51" s="18"/>
      <c r="H51" s="3088"/>
      <c r="I51" s="18"/>
      <c r="J51" s="3095"/>
      <c r="K51" s="635"/>
      <c r="L51" s="3088"/>
      <c r="M51" s="18"/>
      <c r="N51" s="3108"/>
      <c r="O51" s="98">
        <f t="shared" si="1"/>
        <v>0</v>
      </c>
      <c r="P51" s="3088"/>
      <c r="Q51" s="18"/>
      <c r="R51" s="3118"/>
      <c r="S51" s="53"/>
      <c r="T51" s="3088"/>
      <c r="U51" s="2697"/>
      <c r="V51" s="3118"/>
      <c r="W51" s="53">
        <f t="shared" si="3"/>
        <v>0</v>
      </c>
      <c r="X51" s="1052"/>
      <c r="Y51" s="3616"/>
      <c r="Z51" s="1111"/>
      <c r="AA51" s="4087">
        <f t="shared" si="4"/>
        <v>0</v>
      </c>
      <c r="AB51" s="1112"/>
      <c r="AC51" s="839">
        <f t="shared" si="5"/>
        <v>0</v>
      </c>
      <c r="AD51" s="3088"/>
      <c r="AE51" s="2697">
        <v>310.92500000000001</v>
      </c>
      <c r="AF51" s="3118"/>
      <c r="AG51" s="53">
        <f t="shared" si="15"/>
        <v>310.92500000000001</v>
      </c>
      <c r="AH51" s="3088"/>
      <c r="AI51" s="2697">
        <v>202.84700000000001</v>
      </c>
      <c r="AJ51" s="3118"/>
      <c r="AK51" s="53">
        <f t="shared" si="7"/>
        <v>513.77200000000005</v>
      </c>
      <c r="AL51" s="3088"/>
      <c r="AM51" s="2697"/>
      <c r="AN51" s="1111"/>
      <c r="AO51" s="4312">
        <f t="shared" si="8"/>
        <v>513.77200000000005</v>
      </c>
      <c r="AP51" s="3118"/>
      <c r="AQ51" s="53">
        <f t="shared" si="9"/>
        <v>513.77200000000005</v>
      </c>
      <c r="AR51" s="3088"/>
      <c r="AS51" s="2697"/>
      <c r="AT51" s="3118"/>
      <c r="AU51" s="53">
        <f t="shared" si="10"/>
        <v>513.77200000000005</v>
      </c>
      <c r="AV51" s="3088"/>
      <c r="AW51" s="2697"/>
      <c r="AX51" s="3118"/>
      <c r="AY51" s="53">
        <f t="shared" si="11"/>
        <v>513.77200000000005</v>
      </c>
      <c r="AZ51" s="3088"/>
      <c r="BA51" s="2697"/>
      <c r="BB51" s="1111"/>
      <c r="BC51" s="5104">
        <f t="shared" si="12"/>
        <v>0</v>
      </c>
      <c r="BD51" s="1112"/>
      <c r="BE51" s="839">
        <f t="shared" si="13"/>
        <v>513.77200000000005</v>
      </c>
      <c r="BF51" s="3118"/>
      <c r="BG51" s="53">
        <f t="shared" si="14"/>
        <v>513.77200000000005</v>
      </c>
      <c r="BH51" s="26"/>
      <c r="BI51" s="26"/>
      <c r="BJ51" s="26"/>
      <c r="BK51" s="26"/>
    </row>
    <row r="52" spans="1:63" ht="15" customHeight="1" x14ac:dyDescent="0.25">
      <c r="B52" s="1359" t="s">
        <v>1388</v>
      </c>
      <c r="C52" s="1356" t="s">
        <v>1061</v>
      </c>
      <c r="D52" s="3143">
        <v>27.3</v>
      </c>
      <c r="E52" s="1828" t="s">
        <v>52</v>
      </c>
      <c r="F52" s="3088"/>
      <c r="G52" s="18">
        <v>1210.6010000000001</v>
      </c>
      <c r="H52" s="3088"/>
      <c r="I52" s="18"/>
      <c r="J52" s="3095"/>
      <c r="K52" s="635">
        <f t="shared" si="0"/>
        <v>1210.6010000000001</v>
      </c>
      <c r="L52" s="3088"/>
      <c r="M52" s="18"/>
      <c r="N52" s="3108"/>
      <c r="O52" s="98">
        <f t="shared" si="1"/>
        <v>1210.6010000000001</v>
      </c>
      <c r="P52" s="3088"/>
      <c r="Q52" s="18"/>
      <c r="R52" s="3118"/>
      <c r="S52" s="53">
        <f t="shared" si="2"/>
        <v>1210.6010000000001</v>
      </c>
      <c r="T52" s="3088"/>
      <c r="U52" s="2697">
        <v>0</v>
      </c>
      <c r="V52" s="3118"/>
      <c r="W52" s="53">
        <f t="shared" si="3"/>
        <v>1210.6010000000001</v>
      </c>
      <c r="X52" s="1052"/>
      <c r="Y52" s="3616">
        <v>303.346</v>
      </c>
      <c r="Z52" s="1111"/>
      <c r="AA52" s="3578">
        <f t="shared" si="4"/>
        <v>303.346</v>
      </c>
      <c r="AB52" s="1112"/>
      <c r="AC52" s="839">
        <f t="shared" si="5"/>
        <v>1513.9470000000001</v>
      </c>
      <c r="AD52" s="3088"/>
      <c r="AE52" s="2697">
        <v>1134.248</v>
      </c>
      <c r="AF52" s="3118"/>
      <c r="AG52" s="53">
        <f t="shared" si="15"/>
        <v>2648.1950000000002</v>
      </c>
      <c r="AH52" s="3088"/>
      <c r="AI52" s="2697"/>
      <c r="AJ52" s="3118"/>
      <c r="AK52" s="53">
        <f t="shared" si="7"/>
        <v>2648.1950000000002</v>
      </c>
      <c r="AL52" s="3088"/>
      <c r="AM52" s="2697">
        <v>239.126</v>
      </c>
      <c r="AN52" s="1111"/>
      <c r="AO52" s="4312">
        <f t="shared" si="8"/>
        <v>1373.374</v>
      </c>
      <c r="AP52" s="3118"/>
      <c r="AQ52" s="53">
        <f t="shared" si="9"/>
        <v>2887.3210000000004</v>
      </c>
      <c r="AR52" s="3088"/>
      <c r="AS52" s="2697"/>
      <c r="AT52" s="3118"/>
      <c r="AU52" s="53">
        <f t="shared" si="10"/>
        <v>2887.3210000000004</v>
      </c>
      <c r="AV52" s="3088"/>
      <c r="AW52" s="2697"/>
      <c r="AX52" s="3118"/>
      <c r="AY52" s="53">
        <f t="shared" si="11"/>
        <v>2887.3210000000004</v>
      </c>
      <c r="AZ52" s="3088"/>
      <c r="BA52" s="2697"/>
      <c r="BB52" s="1111"/>
      <c r="BC52" s="5104">
        <f t="shared" si="12"/>
        <v>0</v>
      </c>
      <c r="BD52" s="1112"/>
      <c r="BE52" s="839">
        <f t="shared" si="13"/>
        <v>1373.374</v>
      </c>
      <c r="BF52" s="3118"/>
      <c r="BG52" s="53">
        <f t="shared" si="14"/>
        <v>2887.3210000000004</v>
      </c>
      <c r="BH52" s="26"/>
      <c r="BI52" s="26"/>
      <c r="BJ52" s="26"/>
      <c r="BK52" s="26"/>
    </row>
    <row r="53" spans="1:63" ht="15" customHeight="1" x14ac:dyDescent="0.25">
      <c r="B53" s="1359" t="s">
        <v>1121</v>
      </c>
      <c r="C53" s="1356" t="s">
        <v>1061</v>
      </c>
      <c r="D53" s="3142">
        <v>34.200000000000003</v>
      </c>
      <c r="E53" s="1828" t="s">
        <v>52</v>
      </c>
      <c r="F53" s="3088"/>
      <c r="G53" s="18">
        <v>2443.8580000000002</v>
      </c>
      <c r="H53" s="3088"/>
      <c r="I53" s="18">
        <v>5215.6389999999974</v>
      </c>
      <c r="J53" s="3095"/>
      <c r="K53" s="635">
        <f t="shared" si="0"/>
        <v>7659.4969999999976</v>
      </c>
      <c r="L53" s="3088"/>
      <c r="M53" s="18"/>
      <c r="N53" s="3108"/>
      <c r="O53" s="98">
        <f t="shared" si="1"/>
        <v>7659.4969999999976</v>
      </c>
      <c r="P53" s="3088"/>
      <c r="Q53" s="18">
        <v>4761.9199999999992</v>
      </c>
      <c r="R53" s="3118"/>
      <c r="S53" s="53">
        <f t="shared" si="2"/>
        <v>12421.416999999998</v>
      </c>
      <c r="T53" s="3088"/>
      <c r="U53" s="2697">
        <v>2576.8729999999996</v>
      </c>
      <c r="V53" s="3118"/>
      <c r="W53" s="53">
        <f t="shared" si="3"/>
        <v>14998.289999999997</v>
      </c>
      <c r="X53" s="1052"/>
      <c r="Y53" s="1411">
        <v>6673.5009999999993</v>
      </c>
      <c r="Z53" s="1111"/>
      <c r="AA53" s="3578">
        <f t="shared" si="4"/>
        <v>14012.293999999998</v>
      </c>
      <c r="AB53" s="1112"/>
      <c r="AC53" s="839">
        <f t="shared" si="5"/>
        <v>21671.790999999997</v>
      </c>
      <c r="AD53" s="3088"/>
      <c r="AE53" s="2697">
        <v>2547.277</v>
      </c>
      <c r="AF53" s="3118"/>
      <c r="AG53" s="53">
        <f t="shared" si="15"/>
        <v>24219.067999999999</v>
      </c>
      <c r="AH53" s="3088"/>
      <c r="AI53" s="2697">
        <v>5492.3719999999994</v>
      </c>
      <c r="AJ53" s="3118"/>
      <c r="AK53" s="53">
        <f t="shared" si="7"/>
        <v>29711.439999999999</v>
      </c>
      <c r="AL53" s="3088"/>
      <c r="AM53" s="2697">
        <v>7602.6280000000006</v>
      </c>
      <c r="AN53" s="1111"/>
      <c r="AO53" s="4312">
        <f t="shared" si="8"/>
        <v>15642.277</v>
      </c>
      <c r="AP53" s="3118"/>
      <c r="AQ53" s="53">
        <f t="shared" si="9"/>
        <v>37314.067999999999</v>
      </c>
      <c r="AR53" s="3088"/>
      <c r="AS53" s="2697">
        <v>6603.5690000000004</v>
      </c>
      <c r="AT53" s="3118"/>
      <c r="AU53" s="53">
        <f t="shared" si="10"/>
        <v>43917.637000000002</v>
      </c>
      <c r="AV53" s="3088"/>
      <c r="AW53" s="2697">
        <v>6531.3899999999976</v>
      </c>
      <c r="AX53" s="3118"/>
      <c r="AY53" s="53">
        <f t="shared" si="11"/>
        <v>50449.027000000002</v>
      </c>
      <c r="AZ53" s="3088"/>
      <c r="BA53" s="2697">
        <v>4008.3719999999998</v>
      </c>
      <c r="BB53" s="1111"/>
      <c r="BC53" s="5104">
        <f t="shared" si="12"/>
        <v>17143.330999999998</v>
      </c>
      <c r="BD53" s="1112"/>
      <c r="BE53" s="839">
        <f t="shared" si="13"/>
        <v>32785.608</v>
      </c>
      <c r="BF53" s="3118"/>
      <c r="BG53" s="53">
        <f t="shared" si="14"/>
        <v>54457.399000000005</v>
      </c>
      <c r="BH53" s="26"/>
      <c r="BI53" s="26"/>
      <c r="BJ53" s="26"/>
      <c r="BK53" s="26"/>
    </row>
    <row r="54" spans="1:63" ht="15" customHeight="1" x14ac:dyDescent="0.25">
      <c r="A54" s="3399"/>
      <c r="B54" s="1359" t="s">
        <v>1121</v>
      </c>
      <c r="C54" s="1356" t="s">
        <v>1809</v>
      </c>
      <c r="D54" s="3142">
        <v>34.200000000000003</v>
      </c>
      <c r="E54" s="1828" t="s">
        <v>52</v>
      </c>
      <c r="F54" s="3088"/>
      <c r="G54" s="18"/>
      <c r="H54" s="3088"/>
      <c r="I54" s="18"/>
      <c r="J54" s="3095"/>
      <c r="K54" s="635"/>
      <c r="L54" s="3088"/>
      <c r="M54" s="18"/>
      <c r="N54" s="3108"/>
      <c r="O54" s="98">
        <f t="shared" si="1"/>
        <v>0</v>
      </c>
      <c r="P54" s="3088"/>
      <c r="Q54" s="18"/>
      <c r="R54" s="3118"/>
      <c r="S54" s="53"/>
      <c r="T54" s="3088"/>
      <c r="U54" s="2697"/>
      <c r="V54" s="3118"/>
      <c r="W54" s="53">
        <f t="shared" si="3"/>
        <v>0</v>
      </c>
      <c r="X54" s="1052"/>
      <c r="Y54" s="3391">
        <v>622.11599999999999</v>
      </c>
      <c r="Z54" s="1111"/>
      <c r="AA54" s="3578">
        <f t="shared" si="4"/>
        <v>622.11599999999999</v>
      </c>
      <c r="AB54" s="1112"/>
      <c r="AC54" s="839">
        <f t="shared" si="5"/>
        <v>622.11599999999999</v>
      </c>
      <c r="AD54" s="3088"/>
      <c r="AE54" s="2697"/>
      <c r="AF54" s="3118"/>
      <c r="AG54" s="53">
        <f t="shared" si="15"/>
        <v>622.11599999999999</v>
      </c>
      <c r="AH54" s="3088"/>
      <c r="AI54" s="2697"/>
      <c r="AJ54" s="3118"/>
      <c r="AK54" s="53">
        <f t="shared" si="7"/>
        <v>622.11599999999999</v>
      </c>
      <c r="AL54" s="3088"/>
      <c r="AM54" s="2697">
        <v>451.67500000000001</v>
      </c>
      <c r="AN54" s="1111"/>
      <c r="AO54" s="4312">
        <f t="shared" si="8"/>
        <v>451.67500000000001</v>
      </c>
      <c r="AP54" s="3118"/>
      <c r="AQ54" s="53">
        <f t="shared" si="9"/>
        <v>1073.7909999999999</v>
      </c>
      <c r="AR54" s="3088"/>
      <c r="AS54" s="2697"/>
      <c r="AT54" s="3118"/>
      <c r="AU54" s="53">
        <f t="shared" si="10"/>
        <v>1073.7909999999999</v>
      </c>
      <c r="AV54" s="3088"/>
      <c r="AW54" s="2697">
        <v>640.81500000000005</v>
      </c>
      <c r="AX54" s="3118"/>
      <c r="AY54" s="53">
        <f t="shared" si="11"/>
        <v>1714.606</v>
      </c>
      <c r="AZ54" s="3088"/>
      <c r="BA54" s="2697">
        <v>660.68200000000002</v>
      </c>
      <c r="BB54" s="1111"/>
      <c r="BC54" s="5104">
        <f t="shared" si="12"/>
        <v>1301.4970000000001</v>
      </c>
      <c r="BD54" s="1112"/>
      <c r="BE54" s="839">
        <f t="shared" si="13"/>
        <v>1753.172</v>
      </c>
      <c r="BF54" s="3118"/>
      <c r="BG54" s="53">
        <f t="shared" si="14"/>
        <v>2375.288</v>
      </c>
      <c r="BH54" s="26"/>
      <c r="BI54" s="26"/>
      <c r="BJ54" s="26"/>
      <c r="BK54" s="26"/>
    </row>
    <row r="55" spans="1:63" ht="15" customHeight="1" x14ac:dyDescent="0.25">
      <c r="B55" s="1359" t="s">
        <v>1121</v>
      </c>
      <c r="C55" s="1356" t="s">
        <v>992</v>
      </c>
      <c r="D55" s="3142">
        <v>34.200000000000003</v>
      </c>
      <c r="E55" s="1828" t="s">
        <v>52</v>
      </c>
      <c r="F55" s="3088"/>
      <c r="G55" s="18"/>
      <c r="H55" s="3088"/>
      <c r="I55" s="18">
        <v>204.29900000000001</v>
      </c>
      <c r="J55" s="3095"/>
      <c r="K55" s="635">
        <f t="shared" si="0"/>
        <v>204.29900000000001</v>
      </c>
      <c r="L55" s="3088"/>
      <c r="M55" s="18"/>
      <c r="N55" s="3108"/>
      <c r="O55" s="98">
        <f t="shared" si="1"/>
        <v>204.29900000000001</v>
      </c>
      <c r="P55" s="3088"/>
      <c r="Q55" s="18"/>
      <c r="R55" s="3118"/>
      <c r="S55" s="53">
        <f t="shared" si="2"/>
        <v>204.29900000000001</v>
      </c>
      <c r="T55" s="3088"/>
      <c r="U55" s="2697">
        <v>0</v>
      </c>
      <c r="V55" s="3118"/>
      <c r="W55" s="53">
        <f t="shared" si="3"/>
        <v>204.29900000000001</v>
      </c>
      <c r="X55" s="1052"/>
      <c r="Y55" s="1411"/>
      <c r="Z55" s="1111"/>
      <c r="AA55" s="3578">
        <f t="shared" si="4"/>
        <v>0</v>
      </c>
      <c r="AB55" s="1112"/>
      <c r="AC55" s="839">
        <f t="shared" si="5"/>
        <v>204.29900000000001</v>
      </c>
      <c r="AD55" s="3088"/>
      <c r="AE55" s="2697"/>
      <c r="AF55" s="3118"/>
      <c r="AG55" s="53">
        <f t="shared" si="15"/>
        <v>204.29900000000001</v>
      </c>
      <c r="AH55" s="3088"/>
      <c r="AI55" s="2697"/>
      <c r="AJ55" s="3118"/>
      <c r="AK55" s="53">
        <f t="shared" si="7"/>
        <v>204.29900000000001</v>
      </c>
      <c r="AL55" s="3088"/>
      <c r="AM55" s="2697"/>
      <c r="AN55" s="1111"/>
      <c r="AO55" s="4312">
        <f t="shared" si="8"/>
        <v>0</v>
      </c>
      <c r="AP55" s="3118"/>
      <c r="AQ55" s="53">
        <f t="shared" si="9"/>
        <v>204.29900000000001</v>
      </c>
      <c r="AR55" s="3088"/>
      <c r="AS55" s="2697">
        <v>202.50200000000001</v>
      </c>
      <c r="AT55" s="3118"/>
      <c r="AU55" s="53">
        <f t="shared" si="10"/>
        <v>406.80100000000004</v>
      </c>
      <c r="AV55" s="3088"/>
      <c r="AW55" s="2697">
        <v>227.56400000000002</v>
      </c>
      <c r="AX55" s="3118"/>
      <c r="AY55" s="53">
        <f t="shared" si="11"/>
        <v>634.36500000000001</v>
      </c>
      <c r="AZ55" s="3088"/>
      <c r="BA55" s="2697"/>
      <c r="BB55" s="1111"/>
      <c r="BC55" s="5104">
        <f t="shared" si="12"/>
        <v>430.06600000000003</v>
      </c>
      <c r="BD55" s="1112"/>
      <c r="BE55" s="839">
        <f t="shared" si="13"/>
        <v>430.06600000000003</v>
      </c>
      <c r="BF55" s="3118"/>
      <c r="BG55" s="53">
        <f t="shared" si="14"/>
        <v>634.36500000000001</v>
      </c>
      <c r="BH55" s="26"/>
      <c r="BI55" s="26"/>
      <c r="BJ55" s="26"/>
      <c r="BK55" s="26"/>
    </row>
    <row r="56" spans="1:63" ht="15" customHeight="1" x14ac:dyDescent="0.25">
      <c r="B56" s="1359" t="s">
        <v>985</v>
      </c>
      <c r="C56" s="1356" t="s">
        <v>1061</v>
      </c>
      <c r="D56" s="3142">
        <v>36.299999999999997</v>
      </c>
      <c r="E56" s="1828" t="s">
        <v>52</v>
      </c>
      <c r="F56" s="3088"/>
      <c r="G56" s="18">
        <v>2766.2460000000005</v>
      </c>
      <c r="H56" s="3088"/>
      <c r="I56" s="18"/>
      <c r="J56" s="3095"/>
      <c r="K56" s="635">
        <f t="shared" si="0"/>
        <v>2766.2460000000005</v>
      </c>
      <c r="L56" s="3088"/>
      <c r="M56" s="18"/>
      <c r="N56" s="3108"/>
      <c r="O56" s="98">
        <f t="shared" si="1"/>
        <v>2766.2460000000005</v>
      </c>
      <c r="P56" s="3088"/>
      <c r="Q56" s="18"/>
      <c r="R56" s="3118"/>
      <c r="S56" s="53">
        <f t="shared" si="2"/>
        <v>2766.2460000000005</v>
      </c>
      <c r="T56" s="3088"/>
      <c r="U56" s="2697">
        <v>0</v>
      </c>
      <c r="V56" s="3118"/>
      <c r="W56" s="53">
        <f t="shared" si="3"/>
        <v>2766.2460000000005</v>
      </c>
      <c r="X56" s="1052"/>
      <c r="Y56" s="1411"/>
      <c r="Z56" s="1111"/>
      <c r="AA56" s="3578">
        <f t="shared" si="4"/>
        <v>0</v>
      </c>
      <c r="AB56" s="1112"/>
      <c r="AC56" s="839">
        <f t="shared" si="5"/>
        <v>2766.2460000000005</v>
      </c>
      <c r="AD56" s="3088"/>
      <c r="AE56" s="2697"/>
      <c r="AF56" s="3118"/>
      <c r="AG56" s="53">
        <f t="shared" si="15"/>
        <v>2766.2460000000005</v>
      </c>
      <c r="AH56" s="3088"/>
      <c r="AI56" s="2697"/>
      <c r="AJ56" s="3118"/>
      <c r="AK56" s="53">
        <f t="shared" si="7"/>
        <v>2766.2460000000005</v>
      </c>
      <c r="AL56" s="3088"/>
      <c r="AM56" s="2697"/>
      <c r="AN56" s="1111"/>
      <c r="AO56" s="4312">
        <f t="shared" si="8"/>
        <v>0</v>
      </c>
      <c r="AP56" s="3118"/>
      <c r="AQ56" s="53">
        <f t="shared" si="9"/>
        <v>2766.2460000000005</v>
      </c>
      <c r="AR56" s="3088"/>
      <c r="AS56" s="2697"/>
      <c r="AT56" s="3118"/>
      <c r="AU56" s="53">
        <f t="shared" si="10"/>
        <v>2766.2460000000005</v>
      </c>
      <c r="AV56" s="3088"/>
      <c r="AW56" s="2697"/>
      <c r="AX56" s="3118"/>
      <c r="AY56" s="53">
        <f t="shared" si="11"/>
        <v>2766.2460000000005</v>
      </c>
      <c r="AZ56" s="3088"/>
      <c r="BA56" s="2697"/>
      <c r="BB56" s="1111"/>
      <c r="BC56" s="5104">
        <f t="shared" si="12"/>
        <v>0</v>
      </c>
      <c r="BD56" s="1112"/>
      <c r="BE56" s="839">
        <f t="shared" si="13"/>
        <v>0</v>
      </c>
      <c r="BF56" s="3118"/>
      <c r="BG56" s="53">
        <f t="shared" si="14"/>
        <v>2766.2460000000005</v>
      </c>
      <c r="BH56" s="26"/>
      <c r="BI56" s="26"/>
      <c r="BJ56" s="26"/>
      <c r="BK56" s="26"/>
    </row>
    <row r="57" spans="1:63" s="5117" customFormat="1" ht="15" customHeight="1" x14ac:dyDescent="0.25">
      <c r="B57" s="1359" t="s">
        <v>1484</v>
      </c>
      <c r="C57" s="1356" t="s">
        <v>992</v>
      </c>
      <c r="D57" s="3142">
        <v>50.01</v>
      </c>
      <c r="E57" s="1828" t="s">
        <v>52</v>
      </c>
      <c r="F57" s="3088"/>
      <c r="G57" s="18"/>
      <c r="H57" s="3088"/>
      <c r="I57" s="18"/>
      <c r="J57" s="3095"/>
      <c r="K57" s="635"/>
      <c r="L57" s="3088"/>
      <c r="M57" s="18"/>
      <c r="N57" s="3108"/>
      <c r="O57" s="98"/>
      <c r="P57" s="3088"/>
      <c r="Q57" s="18"/>
      <c r="R57" s="3118"/>
      <c r="S57" s="53"/>
      <c r="T57" s="3088"/>
      <c r="U57" s="2697"/>
      <c r="V57" s="3118"/>
      <c r="W57" s="53"/>
      <c r="X57" s="1052"/>
      <c r="Y57" s="4710"/>
      <c r="Z57" s="4705"/>
      <c r="AA57" s="4706"/>
      <c r="AB57" s="4711"/>
      <c r="AC57" s="4712"/>
      <c r="AD57" s="3088"/>
      <c r="AE57" s="2697"/>
      <c r="AF57" s="3118"/>
      <c r="AG57" s="53"/>
      <c r="AH57" s="3088"/>
      <c r="AI57" s="2697"/>
      <c r="AJ57" s="3118"/>
      <c r="AK57" s="53"/>
      <c r="AL57" s="3088"/>
      <c r="AM57" s="2697"/>
      <c r="AN57" s="4705"/>
      <c r="AO57" s="4706"/>
      <c r="AP57" s="3118"/>
      <c r="AQ57" s="53"/>
      <c r="AR57" s="3088"/>
      <c r="AS57" s="2697"/>
      <c r="AT57" s="3118"/>
      <c r="AU57" s="53"/>
      <c r="AV57" s="3088"/>
      <c r="AW57" s="2697"/>
      <c r="AX57" s="3118"/>
      <c r="AY57" s="53">
        <f t="shared" si="11"/>
        <v>0</v>
      </c>
      <c r="AZ57" s="3088"/>
      <c r="BA57" s="2697">
        <v>189.529</v>
      </c>
      <c r="BB57" s="4705"/>
      <c r="BC57" s="5104">
        <f t="shared" si="12"/>
        <v>189.529</v>
      </c>
      <c r="BD57" s="4711"/>
      <c r="BE57" s="839">
        <f t="shared" si="13"/>
        <v>189.529</v>
      </c>
      <c r="BF57" s="3118"/>
      <c r="BG57" s="53">
        <f t="shared" si="14"/>
        <v>189.529</v>
      </c>
      <c r="BH57" s="26"/>
      <c r="BI57" s="26"/>
      <c r="BJ57" s="26"/>
      <c r="BK57" s="26"/>
    </row>
    <row r="58" spans="1:63" ht="15" customHeight="1" x14ac:dyDescent="0.25">
      <c r="B58" s="1359" t="s">
        <v>1484</v>
      </c>
      <c r="C58" s="1356" t="s">
        <v>1061</v>
      </c>
      <c r="D58" s="3142">
        <v>50.01</v>
      </c>
      <c r="E58" s="1828" t="s">
        <v>52</v>
      </c>
      <c r="F58" s="3088"/>
      <c r="G58" s="18">
        <v>1115.3139999999999</v>
      </c>
      <c r="H58" s="3088"/>
      <c r="I58" s="18">
        <v>1356.1910000000003</v>
      </c>
      <c r="J58" s="3095"/>
      <c r="K58" s="635">
        <f t="shared" si="0"/>
        <v>2471.5050000000001</v>
      </c>
      <c r="L58" s="3088"/>
      <c r="M58" s="18">
        <f>2547.641-23.4</f>
        <v>2524.241</v>
      </c>
      <c r="N58" s="3108"/>
      <c r="O58" s="98">
        <f t="shared" si="1"/>
        <v>4995.7460000000001</v>
      </c>
      <c r="P58" s="3088"/>
      <c r="Q58" s="18">
        <v>1930.5420000000001</v>
      </c>
      <c r="R58" s="3118"/>
      <c r="S58" s="53">
        <f t="shared" si="2"/>
        <v>6926.2880000000005</v>
      </c>
      <c r="T58" s="3088"/>
      <c r="U58" s="2697">
        <v>5276.8899999999994</v>
      </c>
      <c r="V58" s="3118"/>
      <c r="W58" s="53">
        <f t="shared" si="3"/>
        <v>12203.178</v>
      </c>
      <c r="X58" s="1052"/>
      <c r="Y58" s="1411">
        <v>3204.4609999999993</v>
      </c>
      <c r="Z58" s="1111"/>
      <c r="AA58" s="3578">
        <f t="shared" si="4"/>
        <v>10411.893</v>
      </c>
      <c r="AB58" s="1112"/>
      <c r="AC58" s="839">
        <f t="shared" si="5"/>
        <v>15407.638999999999</v>
      </c>
      <c r="AD58" s="3088"/>
      <c r="AE58" s="2697">
        <v>3557.2369999999987</v>
      </c>
      <c r="AF58" s="3118"/>
      <c r="AG58" s="53">
        <f t="shared" si="15"/>
        <v>18964.875999999997</v>
      </c>
      <c r="AH58" s="3088"/>
      <c r="AI58" s="2697"/>
      <c r="AJ58" s="3118"/>
      <c r="AK58" s="53">
        <f t="shared" si="7"/>
        <v>18964.875999999997</v>
      </c>
      <c r="AL58" s="3088"/>
      <c r="AM58" s="2697">
        <v>2504.8559999999998</v>
      </c>
      <c r="AN58" s="1111"/>
      <c r="AO58" s="4312">
        <f t="shared" si="8"/>
        <v>6062.0929999999989</v>
      </c>
      <c r="AP58" s="3118"/>
      <c r="AQ58" s="53">
        <f t="shared" si="9"/>
        <v>21469.731999999996</v>
      </c>
      <c r="AR58" s="3088"/>
      <c r="AS58" s="2697">
        <v>2322.5149999999994</v>
      </c>
      <c r="AT58" s="3118"/>
      <c r="AU58" s="53">
        <f t="shared" si="10"/>
        <v>23792.246999999996</v>
      </c>
      <c r="AV58" s="3088"/>
      <c r="AW58" s="2697"/>
      <c r="AX58" s="3118"/>
      <c r="AY58" s="53">
        <f t="shared" si="11"/>
        <v>23792.246999999996</v>
      </c>
      <c r="AZ58" s="3088"/>
      <c r="BA58" s="2697">
        <v>1803.0889999999999</v>
      </c>
      <c r="BB58" s="1111"/>
      <c r="BC58" s="5104">
        <f t="shared" si="12"/>
        <v>4125.6039999999994</v>
      </c>
      <c r="BD58" s="1112"/>
      <c r="BE58" s="839">
        <f t="shared" si="13"/>
        <v>10187.696999999998</v>
      </c>
      <c r="BF58" s="3118"/>
      <c r="BG58" s="53">
        <f t="shared" si="14"/>
        <v>25595.335999999996</v>
      </c>
      <c r="BH58" s="26"/>
      <c r="BI58" s="26"/>
      <c r="BJ58" s="26"/>
      <c r="BK58" s="26"/>
    </row>
    <row r="59" spans="1:63" ht="15" customHeight="1" x14ac:dyDescent="0.25">
      <c r="A59" s="647"/>
      <c r="B59" s="2229" t="s">
        <v>945</v>
      </c>
      <c r="C59" s="2230"/>
      <c r="D59" s="3144"/>
      <c r="E59" s="3152" t="s">
        <v>52</v>
      </c>
      <c r="F59" s="3089"/>
      <c r="G59" s="18"/>
      <c r="H59" s="3089"/>
      <c r="I59" s="18"/>
      <c r="J59" s="3096"/>
      <c r="K59" s="635">
        <f t="shared" si="0"/>
        <v>0</v>
      </c>
      <c r="L59" s="3089"/>
      <c r="M59" s="18"/>
      <c r="N59" s="3109"/>
      <c r="O59" s="98">
        <f t="shared" si="1"/>
        <v>0</v>
      </c>
      <c r="P59" s="3089"/>
      <c r="Q59" s="18">
        <v>10.516999999999999</v>
      </c>
      <c r="R59" s="3119"/>
      <c r="S59" s="53">
        <f t="shared" si="2"/>
        <v>10.516999999999999</v>
      </c>
      <c r="T59" s="3089"/>
      <c r="U59" s="2697">
        <v>0</v>
      </c>
      <c r="V59" s="3119"/>
      <c r="W59" s="53">
        <f t="shared" si="3"/>
        <v>10.516999999999999</v>
      </c>
      <c r="X59" s="3086"/>
      <c r="Y59" s="1411">
        <v>15.209</v>
      </c>
      <c r="Z59" s="1113"/>
      <c r="AA59" s="3578">
        <f t="shared" si="4"/>
        <v>25.725999999999999</v>
      </c>
      <c r="AB59" s="1114"/>
      <c r="AC59" s="839">
        <f t="shared" si="5"/>
        <v>25.725999999999999</v>
      </c>
      <c r="AD59" s="3089"/>
      <c r="AE59" s="2697">
        <v>14.96</v>
      </c>
      <c r="AF59" s="3119"/>
      <c r="AG59" s="53">
        <f t="shared" si="15"/>
        <v>40.686</v>
      </c>
      <c r="AH59" s="3089"/>
      <c r="AI59" s="2697">
        <v>64.459999999999994</v>
      </c>
      <c r="AJ59" s="3119"/>
      <c r="AK59" s="53">
        <f t="shared" si="7"/>
        <v>105.14599999999999</v>
      </c>
      <c r="AL59" s="3089"/>
      <c r="AM59" s="2697">
        <v>3.63</v>
      </c>
      <c r="AN59" s="1113"/>
      <c r="AO59" s="4312">
        <f t="shared" si="8"/>
        <v>83.049999999999983</v>
      </c>
      <c r="AP59" s="3119"/>
      <c r="AQ59" s="53">
        <f t="shared" si="9"/>
        <v>108.77599999999998</v>
      </c>
      <c r="AR59" s="3089"/>
      <c r="AS59" s="2697">
        <v>38.012999999999998</v>
      </c>
      <c r="AT59" s="3119"/>
      <c r="AU59" s="53">
        <f t="shared" si="10"/>
        <v>146.78899999999999</v>
      </c>
      <c r="AV59" s="3089"/>
      <c r="AW59" s="2697">
        <v>42.58</v>
      </c>
      <c r="AX59" s="3119"/>
      <c r="AY59" s="53">
        <f t="shared" si="11"/>
        <v>189.36899999999997</v>
      </c>
      <c r="AZ59" s="3089"/>
      <c r="BA59" s="2697">
        <v>60.37</v>
      </c>
      <c r="BB59" s="1113"/>
      <c r="BC59" s="5104">
        <f t="shared" si="12"/>
        <v>140.96299999999999</v>
      </c>
      <c r="BD59" s="1114"/>
      <c r="BE59" s="839">
        <f t="shared" si="13"/>
        <v>224.01299999999998</v>
      </c>
      <c r="BF59" s="3119"/>
      <c r="BG59" s="53">
        <f t="shared" si="14"/>
        <v>249.73899999999998</v>
      </c>
      <c r="BH59" s="26"/>
      <c r="BI59" s="26"/>
      <c r="BJ59" s="26"/>
      <c r="BK59" s="26"/>
    </row>
    <row r="60" spans="1:63" ht="15" customHeight="1" x14ac:dyDescent="0.25">
      <c r="A60" s="647"/>
      <c r="B60" s="2229" t="s">
        <v>946</v>
      </c>
      <c r="C60" s="2230"/>
      <c r="D60" s="3144"/>
      <c r="E60" s="3152" t="s">
        <v>52</v>
      </c>
      <c r="F60" s="3089"/>
      <c r="G60" s="18"/>
      <c r="H60" s="3089"/>
      <c r="I60" s="18">
        <v>8.26</v>
      </c>
      <c r="J60" s="3096"/>
      <c r="K60" s="635">
        <f t="shared" si="0"/>
        <v>8.26</v>
      </c>
      <c r="L60" s="3089"/>
      <c r="M60" s="18"/>
      <c r="N60" s="3109"/>
      <c r="O60" s="98">
        <f t="shared" si="1"/>
        <v>8.26</v>
      </c>
      <c r="P60" s="3089"/>
      <c r="Q60" s="18"/>
      <c r="R60" s="3119"/>
      <c r="S60" s="53">
        <f t="shared" si="2"/>
        <v>8.26</v>
      </c>
      <c r="T60" s="3089"/>
      <c r="U60" s="2697">
        <f>3.182+0.689</f>
        <v>3.871</v>
      </c>
      <c r="V60" s="3119"/>
      <c r="W60" s="53">
        <f t="shared" si="3"/>
        <v>12.131</v>
      </c>
      <c r="X60" s="3086"/>
      <c r="Y60" s="1411">
        <v>22.33</v>
      </c>
      <c r="Z60" s="1113"/>
      <c r="AA60" s="3578">
        <f t="shared" si="4"/>
        <v>26.200999999999997</v>
      </c>
      <c r="AB60" s="1114"/>
      <c r="AC60" s="839">
        <f t="shared" si="5"/>
        <v>34.460999999999999</v>
      </c>
      <c r="AD60" s="3089"/>
      <c r="AE60" s="2697">
        <v>14.69</v>
      </c>
      <c r="AF60" s="3119"/>
      <c r="AG60" s="53">
        <f t="shared" si="15"/>
        <v>49.150999999999996</v>
      </c>
      <c r="AH60" s="3089"/>
      <c r="AI60" s="2697">
        <v>156.21</v>
      </c>
      <c r="AJ60" s="3119"/>
      <c r="AK60" s="53">
        <f t="shared" si="7"/>
        <v>205.36099999999999</v>
      </c>
      <c r="AL60" s="3089"/>
      <c r="AM60" s="2697">
        <v>3.08</v>
      </c>
      <c r="AN60" s="1113"/>
      <c r="AO60" s="4312">
        <f t="shared" si="8"/>
        <v>173.98000000000002</v>
      </c>
      <c r="AP60" s="3119"/>
      <c r="AQ60" s="53">
        <f t="shared" si="9"/>
        <v>208.441</v>
      </c>
      <c r="AR60" s="3089"/>
      <c r="AS60" s="2697">
        <v>6.3610000000000007</v>
      </c>
      <c r="AT60" s="3119"/>
      <c r="AU60" s="53">
        <f t="shared" si="10"/>
        <v>214.80199999999999</v>
      </c>
      <c r="AV60" s="3089"/>
      <c r="AW60" s="2697">
        <v>88.39</v>
      </c>
      <c r="AX60" s="3119"/>
      <c r="AY60" s="53">
        <f t="shared" si="11"/>
        <v>303.19200000000001</v>
      </c>
      <c r="AZ60" s="3089"/>
      <c r="BA60" s="2697">
        <v>38.53</v>
      </c>
      <c r="BB60" s="1113"/>
      <c r="BC60" s="5104">
        <f t="shared" si="12"/>
        <v>133.28100000000001</v>
      </c>
      <c r="BD60" s="1114"/>
      <c r="BE60" s="839">
        <f t="shared" si="13"/>
        <v>307.26100000000002</v>
      </c>
      <c r="BF60" s="3119"/>
      <c r="BG60" s="53">
        <f t="shared" si="14"/>
        <v>341.72199999999998</v>
      </c>
      <c r="BH60" s="26"/>
      <c r="BI60" s="26"/>
      <c r="BJ60" s="26"/>
      <c r="BK60" s="26"/>
    </row>
    <row r="61" spans="1:63" ht="15" customHeight="1" x14ac:dyDescent="0.25">
      <c r="A61" s="647"/>
      <c r="B61" s="2229" t="s">
        <v>1062</v>
      </c>
      <c r="C61" s="2230"/>
      <c r="D61" s="3144"/>
      <c r="E61" s="3152" t="s">
        <v>52</v>
      </c>
      <c r="F61" s="3089"/>
      <c r="G61" s="18"/>
      <c r="H61" s="3089"/>
      <c r="I61" s="18"/>
      <c r="J61" s="3096"/>
      <c r="K61" s="635">
        <f t="shared" si="0"/>
        <v>0</v>
      </c>
      <c r="L61" s="3089"/>
      <c r="M61" s="18">
        <v>1.9079999999999999</v>
      </c>
      <c r="N61" s="3109"/>
      <c r="O61" s="98">
        <f t="shared" si="1"/>
        <v>1.9079999999999999</v>
      </c>
      <c r="P61" s="3089"/>
      <c r="Q61" s="18"/>
      <c r="R61" s="3119"/>
      <c r="S61" s="53">
        <f t="shared" si="2"/>
        <v>1.9079999999999999</v>
      </c>
      <c r="T61" s="3089"/>
      <c r="U61" s="2697">
        <v>0</v>
      </c>
      <c r="V61" s="3119"/>
      <c r="W61" s="53">
        <f t="shared" si="3"/>
        <v>1.9079999999999999</v>
      </c>
      <c r="X61" s="3086"/>
      <c r="Y61" s="1411">
        <v>3.5950000000000002</v>
      </c>
      <c r="Z61" s="1113"/>
      <c r="AA61" s="3578">
        <f t="shared" si="4"/>
        <v>3.5950000000000002</v>
      </c>
      <c r="AB61" s="1114"/>
      <c r="AC61" s="839">
        <f t="shared" si="5"/>
        <v>5.5030000000000001</v>
      </c>
      <c r="AD61" s="3089"/>
      <c r="AE61" s="2697"/>
      <c r="AF61" s="3119"/>
      <c r="AG61" s="53">
        <f t="shared" si="15"/>
        <v>5.5030000000000001</v>
      </c>
      <c r="AH61" s="3089"/>
      <c r="AI61" s="2697"/>
      <c r="AJ61" s="3119"/>
      <c r="AK61" s="53">
        <f t="shared" si="7"/>
        <v>5.5030000000000001</v>
      </c>
      <c r="AL61" s="3089"/>
      <c r="AM61" s="2697"/>
      <c r="AN61" s="1113"/>
      <c r="AO61" s="4312">
        <f t="shared" si="8"/>
        <v>0</v>
      </c>
      <c r="AP61" s="3119"/>
      <c r="AQ61" s="53">
        <f t="shared" si="9"/>
        <v>5.5030000000000001</v>
      </c>
      <c r="AR61" s="3089"/>
      <c r="AS61" s="2697"/>
      <c r="AT61" s="3119"/>
      <c r="AU61" s="53">
        <f t="shared" si="10"/>
        <v>5.5030000000000001</v>
      </c>
      <c r="AV61" s="3089"/>
      <c r="AW61" s="2697"/>
      <c r="AX61" s="3119"/>
      <c r="AY61" s="53">
        <f t="shared" si="11"/>
        <v>5.5030000000000001</v>
      </c>
      <c r="AZ61" s="3089"/>
      <c r="BA61" s="2697">
        <v>1.86</v>
      </c>
      <c r="BB61" s="1113"/>
      <c r="BC61" s="5104">
        <f t="shared" si="12"/>
        <v>1.86</v>
      </c>
      <c r="BD61" s="1114"/>
      <c r="BE61" s="839">
        <f t="shared" si="13"/>
        <v>1.86</v>
      </c>
      <c r="BF61" s="3119"/>
      <c r="BG61" s="53">
        <f t="shared" si="14"/>
        <v>7.3630000000000004</v>
      </c>
      <c r="BH61" s="26"/>
      <c r="BI61" s="26"/>
      <c r="BJ61" s="26"/>
      <c r="BK61" s="26"/>
    </row>
    <row r="62" spans="1:63" ht="15" customHeight="1" x14ac:dyDescent="0.25">
      <c r="A62" s="647"/>
      <c r="B62" s="2229" t="s">
        <v>1341</v>
      </c>
      <c r="C62" s="2230"/>
      <c r="D62" s="3144"/>
      <c r="E62" s="3152" t="s">
        <v>52</v>
      </c>
      <c r="F62" s="3089"/>
      <c r="G62" s="18"/>
      <c r="H62" s="3089"/>
      <c r="I62" s="18"/>
      <c r="J62" s="3096"/>
      <c r="K62" s="635">
        <f t="shared" si="0"/>
        <v>0</v>
      </c>
      <c r="L62" s="3089"/>
      <c r="M62" s="18"/>
      <c r="N62" s="3109"/>
      <c r="O62" s="98">
        <f t="shared" si="1"/>
        <v>0</v>
      </c>
      <c r="P62" s="3089"/>
      <c r="Q62" s="18"/>
      <c r="R62" s="3119"/>
      <c r="S62" s="53">
        <f t="shared" si="2"/>
        <v>0</v>
      </c>
      <c r="T62" s="3089"/>
      <c r="U62" s="2697">
        <v>4.38</v>
      </c>
      <c r="V62" s="3119"/>
      <c r="W62" s="53">
        <f t="shared" si="3"/>
        <v>4.38</v>
      </c>
      <c r="X62" s="3086"/>
      <c r="Y62" s="1411">
        <v>3.26</v>
      </c>
      <c r="Z62" s="1113"/>
      <c r="AA62" s="3578">
        <f t="shared" si="4"/>
        <v>7.64</v>
      </c>
      <c r="AB62" s="1114"/>
      <c r="AC62" s="839">
        <f t="shared" si="5"/>
        <v>7.64</v>
      </c>
      <c r="AD62" s="3089"/>
      <c r="AE62" s="2697">
        <v>3.2650000000000001</v>
      </c>
      <c r="AF62" s="3119"/>
      <c r="AG62" s="53">
        <f t="shared" si="15"/>
        <v>10.904999999999999</v>
      </c>
      <c r="AH62" s="3089"/>
      <c r="AI62" s="2697">
        <v>17.141759999999998</v>
      </c>
      <c r="AJ62" s="3119"/>
      <c r="AK62" s="53">
        <f t="shared" si="7"/>
        <v>28.046759999999999</v>
      </c>
      <c r="AL62" s="3089"/>
      <c r="AM62" s="2697"/>
      <c r="AN62" s="1113"/>
      <c r="AO62" s="4312">
        <f t="shared" si="8"/>
        <v>20.406759999999998</v>
      </c>
      <c r="AP62" s="3119"/>
      <c r="AQ62" s="53">
        <f t="shared" si="9"/>
        <v>28.046759999999999</v>
      </c>
      <c r="AR62" s="3089"/>
      <c r="AS62" s="2697">
        <v>17.02</v>
      </c>
      <c r="AT62" s="3119"/>
      <c r="AU62" s="53">
        <f t="shared" si="10"/>
        <v>45.066760000000002</v>
      </c>
      <c r="AV62" s="3089"/>
      <c r="AW62" s="2697"/>
      <c r="AX62" s="3119"/>
      <c r="AY62" s="53">
        <f t="shared" si="11"/>
        <v>45.066760000000002</v>
      </c>
      <c r="AZ62" s="3089"/>
      <c r="BA62" s="2697">
        <v>49.76</v>
      </c>
      <c r="BB62" s="1113"/>
      <c r="BC62" s="5104">
        <f t="shared" si="12"/>
        <v>66.78</v>
      </c>
      <c r="BD62" s="1114"/>
      <c r="BE62" s="839">
        <f t="shared" si="13"/>
        <v>87.186759999999992</v>
      </c>
      <c r="BF62" s="3119"/>
      <c r="BG62" s="53">
        <f t="shared" si="14"/>
        <v>94.826760000000007</v>
      </c>
      <c r="BH62" s="26"/>
      <c r="BI62" s="26"/>
      <c r="BJ62" s="26"/>
      <c r="BK62" s="26"/>
    </row>
    <row r="63" spans="1:63" ht="15" customHeight="1" x14ac:dyDescent="0.25">
      <c r="A63" s="647"/>
      <c r="B63" s="2229" t="s">
        <v>1389</v>
      </c>
      <c r="C63" s="2230"/>
      <c r="D63" s="3144"/>
      <c r="E63" s="3152" t="s">
        <v>52</v>
      </c>
      <c r="F63" s="3089"/>
      <c r="G63" s="18"/>
      <c r="H63" s="3089"/>
      <c r="I63" s="18"/>
      <c r="J63" s="3096"/>
      <c r="K63" s="635">
        <f t="shared" si="0"/>
        <v>0</v>
      </c>
      <c r="L63" s="3089"/>
      <c r="M63" s="18"/>
      <c r="N63" s="3109"/>
      <c r="O63" s="98">
        <f t="shared" si="1"/>
        <v>0</v>
      </c>
      <c r="P63" s="3089"/>
      <c r="Q63" s="18"/>
      <c r="R63" s="3119"/>
      <c r="S63" s="53">
        <f t="shared" si="2"/>
        <v>0</v>
      </c>
      <c r="T63" s="3089"/>
      <c r="U63" s="2697">
        <v>13.461</v>
      </c>
      <c r="V63" s="3119"/>
      <c r="W63" s="53">
        <f t="shared" si="3"/>
        <v>13.461</v>
      </c>
      <c r="X63" s="3086"/>
      <c r="Y63" s="1411">
        <v>8.8140000000000001</v>
      </c>
      <c r="Z63" s="1113"/>
      <c r="AA63" s="3578">
        <f t="shared" si="4"/>
        <v>22.274999999999999</v>
      </c>
      <c r="AB63" s="1114"/>
      <c r="AC63" s="839">
        <f t="shared" si="5"/>
        <v>22.274999999999999</v>
      </c>
      <c r="AD63" s="3089"/>
      <c r="AE63" s="2697">
        <v>1.4690000000000001</v>
      </c>
      <c r="AF63" s="3119"/>
      <c r="AG63" s="53">
        <f t="shared" si="15"/>
        <v>23.744</v>
      </c>
      <c r="AH63" s="3089"/>
      <c r="AI63" s="2697">
        <v>1.47</v>
      </c>
      <c r="AJ63" s="3119"/>
      <c r="AK63" s="53">
        <f t="shared" si="7"/>
        <v>25.213999999999999</v>
      </c>
      <c r="AL63" s="3089"/>
      <c r="AM63" s="2697">
        <v>19.100000000000001</v>
      </c>
      <c r="AN63" s="1113"/>
      <c r="AO63" s="4312">
        <f t="shared" si="8"/>
        <v>22.039000000000001</v>
      </c>
      <c r="AP63" s="3119"/>
      <c r="AQ63" s="53">
        <f t="shared" si="9"/>
        <v>44.314</v>
      </c>
      <c r="AR63" s="3089"/>
      <c r="AS63" s="2697"/>
      <c r="AT63" s="3119"/>
      <c r="AU63" s="53">
        <f t="shared" si="10"/>
        <v>44.314</v>
      </c>
      <c r="AV63" s="3089"/>
      <c r="AW63" s="2697">
        <v>24.69</v>
      </c>
      <c r="AX63" s="3119"/>
      <c r="AY63" s="53">
        <f t="shared" si="11"/>
        <v>69.004000000000005</v>
      </c>
      <c r="AZ63" s="3089"/>
      <c r="BA63" s="2697">
        <v>2.9380000000000002</v>
      </c>
      <c r="BB63" s="1113"/>
      <c r="BC63" s="5104">
        <f t="shared" si="12"/>
        <v>27.628</v>
      </c>
      <c r="BD63" s="1114"/>
      <c r="BE63" s="839">
        <f t="shared" si="13"/>
        <v>49.667000000000002</v>
      </c>
      <c r="BF63" s="3119"/>
      <c r="BG63" s="53">
        <f t="shared" si="14"/>
        <v>71.942000000000007</v>
      </c>
      <c r="BH63" s="26"/>
      <c r="BI63" s="26"/>
      <c r="BJ63" s="26"/>
      <c r="BK63" s="26"/>
    </row>
    <row r="64" spans="1:63" s="4230" customFormat="1" ht="15" customHeight="1" x14ac:dyDescent="0.25">
      <c r="A64" s="647"/>
      <c r="B64" s="2229" t="s">
        <v>1877</v>
      </c>
      <c r="C64" s="2230"/>
      <c r="D64" s="3144"/>
      <c r="E64" s="3152" t="s">
        <v>52</v>
      </c>
      <c r="F64" s="3089"/>
      <c r="G64" s="18"/>
      <c r="H64" s="3089"/>
      <c r="I64" s="18"/>
      <c r="J64" s="3096"/>
      <c r="K64" s="635"/>
      <c r="L64" s="3089"/>
      <c r="M64" s="18"/>
      <c r="N64" s="3109"/>
      <c r="O64" s="98">
        <f t="shared" si="1"/>
        <v>0</v>
      </c>
      <c r="P64" s="3089"/>
      <c r="Q64" s="18"/>
      <c r="R64" s="3119"/>
      <c r="S64" s="53"/>
      <c r="T64" s="3089"/>
      <c r="U64" s="2697"/>
      <c r="V64" s="3119"/>
      <c r="W64" s="53"/>
      <c r="X64" s="3086"/>
      <c r="Y64" s="3616"/>
      <c r="Z64" s="1113"/>
      <c r="AA64" s="4229">
        <f t="shared" si="4"/>
        <v>0</v>
      </c>
      <c r="AB64" s="1114"/>
      <c r="AC64" s="839">
        <f t="shared" si="5"/>
        <v>0</v>
      </c>
      <c r="AD64" s="3089"/>
      <c r="AE64" s="2697"/>
      <c r="AF64" s="3119"/>
      <c r="AG64" s="53">
        <f t="shared" si="15"/>
        <v>0</v>
      </c>
      <c r="AH64" s="3089"/>
      <c r="AI64" s="2697">
        <v>2.0939999999999999</v>
      </c>
      <c r="AJ64" s="3119"/>
      <c r="AK64" s="53">
        <f t="shared" si="7"/>
        <v>2.0939999999999999</v>
      </c>
      <c r="AL64" s="3089"/>
      <c r="AM64" s="2697">
        <v>1.7430000000000001</v>
      </c>
      <c r="AN64" s="1113"/>
      <c r="AO64" s="4312">
        <f t="shared" si="8"/>
        <v>3.8369999999999997</v>
      </c>
      <c r="AP64" s="3119"/>
      <c r="AQ64" s="53">
        <f t="shared" si="9"/>
        <v>3.8369999999999997</v>
      </c>
      <c r="AR64" s="3089"/>
      <c r="AS64" s="2697"/>
      <c r="AT64" s="3119"/>
      <c r="AU64" s="53">
        <f t="shared" si="10"/>
        <v>3.8369999999999997</v>
      </c>
      <c r="AV64" s="3089"/>
      <c r="AW64" s="2697"/>
      <c r="AX64" s="3119"/>
      <c r="AY64" s="53">
        <f t="shared" si="11"/>
        <v>3.8369999999999997</v>
      </c>
      <c r="AZ64" s="3089"/>
      <c r="BA64" s="2697"/>
      <c r="BB64" s="1113"/>
      <c r="BC64" s="5104">
        <f t="shared" si="12"/>
        <v>0</v>
      </c>
      <c r="BD64" s="1114"/>
      <c r="BE64" s="839">
        <f t="shared" si="13"/>
        <v>3.8369999999999997</v>
      </c>
      <c r="BF64" s="3119"/>
      <c r="BG64" s="53">
        <f t="shared" si="14"/>
        <v>3.8369999999999997</v>
      </c>
      <c r="BH64" s="26"/>
      <c r="BI64" s="26"/>
      <c r="BJ64" s="26"/>
      <c r="BK64" s="26"/>
    </row>
    <row r="65" spans="1:63" ht="15" customHeight="1" x14ac:dyDescent="0.25">
      <c r="A65" s="647"/>
      <c r="B65" s="2229" t="s">
        <v>1627</v>
      </c>
      <c r="C65" s="2230"/>
      <c r="D65" s="3144"/>
      <c r="E65" s="3152" t="s">
        <v>52</v>
      </c>
      <c r="F65" s="3089"/>
      <c r="G65" s="18"/>
      <c r="H65" s="3089"/>
      <c r="I65" s="18"/>
      <c r="J65" s="3096"/>
      <c r="K65" s="635">
        <f t="shared" si="0"/>
        <v>0</v>
      </c>
      <c r="L65" s="3089"/>
      <c r="M65" s="130">
        <f>0.6+23.4</f>
        <v>24</v>
      </c>
      <c r="N65" s="3109"/>
      <c r="O65" s="98">
        <f t="shared" si="1"/>
        <v>24</v>
      </c>
      <c r="P65" s="3089"/>
      <c r="Q65" s="18"/>
      <c r="R65" s="3119"/>
      <c r="S65" s="53">
        <f t="shared" si="2"/>
        <v>24</v>
      </c>
      <c r="T65" s="3089"/>
      <c r="U65" s="2697">
        <v>14.428000000000001</v>
      </c>
      <c r="V65" s="3119"/>
      <c r="W65" s="53">
        <f t="shared" si="3"/>
        <v>38.427999999999997</v>
      </c>
      <c r="X65" s="3086"/>
      <c r="Y65" s="1411"/>
      <c r="Z65" s="1113"/>
      <c r="AA65" s="3578">
        <f t="shared" si="4"/>
        <v>14.428000000000001</v>
      </c>
      <c r="AB65" s="1114"/>
      <c r="AC65" s="839">
        <f t="shared" si="5"/>
        <v>38.427999999999997</v>
      </c>
      <c r="AD65" s="3089"/>
      <c r="AE65" s="2697">
        <v>1.202</v>
      </c>
      <c r="AF65" s="3119"/>
      <c r="AG65" s="53">
        <f t="shared" si="15"/>
        <v>39.629999999999995</v>
      </c>
      <c r="AH65" s="3089"/>
      <c r="AI65" s="2697"/>
      <c r="AJ65" s="3119"/>
      <c r="AK65" s="53">
        <f t="shared" si="7"/>
        <v>39.629999999999995</v>
      </c>
      <c r="AL65" s="3089"/>
      <c r="AM65" s="2697"/>
      <c r="AN65" s="1113"/>
      <c r="AO65" s="4312">
        <f t="shared" si="8"/>
        <v>1.202</v>
      </c>
      <c r="AP65" s="3119"/>
      <c r="AQ65" s="53">
        <f t="shared" si="9"/>
        <v>39.629999999999995</v>
      </c>
      <c r="AR65" s="3089"/>
      <c r="AS65" s="2697"/>
      <c r="AT65" s="3119"/>
      <c r="AU65" s="53">
        <f t="shared" si="10"/>
        <v>39.629999999999995</v>
      </c>
      <c r="AV65" s="3089"/>
      <c r="AW65" s="2697"/>
      <c r="AX65" s="3119"/>
      <c r="AY65" s="53">
        <f t="shared" si="11"/>
        <v>39.629999999999995</v>
      </c>
      <c r="AZ65" s="3089"/>
      <c r="BA65" s="2697"/>
      <c r="BB65" s="1113"/>
      <c r="BC65" s="5104">
        <f t="shared" si="12"/>
        <v>0</v>
      </c>
      <c r="BD65" s="1114"/>
      <c r="BE65" s="839">
        <f t="shared" si="13"/>
        <v>1.202</v>
      </c>
      <c r="BF65" s="3119"/>
      <c r="BG65" s="53">
        <f t="shared" si="14"/>
        <v>39.629999999999995</v>
      </c>
      <c r="BH65" s="26"/>
      <c r="BI65" s="26"/>
      <c r="BJ65" s="26"/>
      <c r="BK65" s="26"/>
    </row>
    <row r="66" spans="1:63" ht="15" customHeight="1" x14ac:dyDescent="0.25">
      <c r="A66" s="647"/>
      <c r="B66" s="2229" t="s">
        <v>986</v>
      </c>
      <c r="C66" s="2230"/>
      <c r="D66" s="3144"/>
      <c r="E66" s="3152" t="s">
        <v>52</v>
      </c>
      <c r="F66" s="3089"/>
      <c r="G66" s="18"/>
      <c r="H66" s="3089"/>
      <c r="I66" s="18"/>
      <c r="J66" s="3096"/>
      <c r="K66" s="635">
        <f t="shared" si="0"/>
        <v>0</v>
      </c>
      <c r="L66" s="3089"/>
      <c r="M66" s="18"/>
      <c r="N66" s="3109"/>
      <c r="O66" s="98">
        <f t="shared" si="1"/>
        <v>0</v>
      </c>
      <c r="P66" s="3089"/>
      <c r="Q66" s="18"/>
      <c r="R66" s="3119"/>
      <c r="S66" s="53">
        <f t="shared" si="2"/>
        <v>0</v>
      </c>
      <c r="T66" s="3089"/>
      <c r="U66" s="2697">
        <v>0</v>
      </c>
      <c r="V66" s="3119"/>
      <c r="W66" s="53">
        <f t="shared" si="3"/>
        <v>0</v>
      </c>
      <c r="X66" s="3086"/>
      <c r="Y66" s="1415"/>
      <c r="Z66" s="1113"/>
      <c r="AA66" s="3578">
        <f t="shared" si="4"/>
        <v>0</v>
      </c>
      <c r="AB66" s="1114"/>
      <c r="AC66" s="839">
        <f t="shared" si="5"/>
        <v>0</v>
      </c>
      <c r="AD66" s="3089"/>
      <c r="AE66" s="2697"/>
      <c r="AF66" s="3119"/>
      <c r="AG66" s="53">
        <f t="shared" si="15"/>
        <v>0</v>
      </c>
      <c r="AH66" s="3089"/>
      <c r="AI66" s="2697"/>
      <c r="AJ66" s="3119"/>
      <c r="AK66" s="53">
        <f t="shared" si="7"/>
        <v>0</v>
      </c>
      <c r="AL66" s="3089"/>
      <c r="AM66" s="2697"/>
      <c r="AN66" s="1113"/>
      <c r="AO66" s="4312">
        <f t="shared" si="8"/>
        <v>0</v>
      </c>
      <c r="AP66" s="3119"/>
      <c r="AQ66" s="53">
        <f t="shared" si="9"/>
        <v>0</v>
      </c>
      <c r="AR66" s="3089"/>
      <c r="AS66" s="2697"/>
      <c r="AT66" s="3119"/>
      <c r="AU66" s="53">
        <f t="shared" si="10"/>
        <v>0</v>
      </c>
      <c r="AV66" s="3089"/>
      <c r="AW66" s="2697"/>
      <c r="AX66" s="3119"/>
      <c r="AY66" s="53">
        <f t="shared" si="11"/>
        <v>0</v>
      </c>
      <c r="AZ66" s="3089"/>
      <c r="BA66" s="2697"/>
      <c r="BB66" s="1113"/>
      <c r="BC66" s="5104">
        <f t="shared" si="12"/>
        <v>0</v>
      </c>
      <c r="BD66" s="1114"/>
      <c r="BE66" s="839">
        <f t="shared" si="13"/>
        <v>0</v>
      </c>
      <c r="BF66" s="3119"/>
      <c r="BG66" s="53">
        <f t="shared" si="14"/>
        <v>0</v>
      </c>
      <c r="BH66" s="26"/>
      <c r="BI66" s="26"/>
      <c r="BJ66" s="26"/>
      <c r="BK66" s="26"/>
    </row>
    <row r="67" spans="1:63" ht="15" customHeight="1" x14ac:dyDescent="0.25">
      <c r="A67" s="647"/>
      <c r="B67" s="2229" t="s">
        <v>1368</v>
      </c>
      <c r="C67" s="2230"/>
      <c r="D67" s="3144"/>
      <c r="E67" s="3152" t="s">
        <v>52</v>
      </c>
      <c r="F67" s="3089"/>
      <c r="G67" s="18"/>
      <c r="H67" s="3089"/>
      <c r="I67" s="18"/>
      <c r="J67" s="3096"/>
      <c r="K67" s="635">
        <f t="shared" si="0"/>
        <v>0</v>
      </c>
      <c r="L67" s="3089"/>
      <c r="M67" s="18"/>
      <c r="N67" s="3109"/>
      <c r="O67" s="98">
        <f t="shared" si="1"/>
        <v>0</v>
      </c>
      <c r="P67" s="3089"/>
      <c r="Q67" s="18"/>
      <c r="R67" s="3119"/>
      <c r="S67" s="53">
        <f t="shared" si="2"/>
        <v>0</v>
      </c>
      <c r="T67" s="3089"/>
      <c r="U67" s="2697">
        <v>0</v>
      </c>
      <c r="V67" s="3119"/>
      <c r="W67" s="53">
        <f t="shared" si="3"/>
        <v>0</v>
      </c>
      <c r="X67" s="3086"/>
      <c r="Y67" s="227">
        <v>2.056</v>
      </c>
      <c r="Z67" s="1113"/>
      <c r="AA67" s="3578">
        <f t="shared" si="4"/>
        <v>2.056</v>
      </c>
      <c r="AB67" s="1114"/>
      <c r="AC67" s="839">
        <f t="shared" si="5"/>
        <v>2.056</v>
      </c>
      <c r="AD67" s="3089"/>
      <c r="AE67" s="2697"/>
      <c r="AF67" s="3119"/>
      <c r="AG67" s="53">
        <f t="shared" si="15"/>
        <v>2.056</v>
      </c>
      <c r="AH67" s="3089"/>
      <c r="AI67" s="2697"/>
      <c r="AJ67" s="3119"/>
      <c r="AK67" s="53">
        <f t="shared" si="7"/>
        <v>2.056</v>
      </c>
      <c r="AL67" s="3089"/>
      <c r="AM67" s="2697">
        <v>0.41</v>
      </c>
      <c r="AN67" s="1113"/>
      <c r="AO67" s="4312">
        <f t="shared" si="8"/>
        <v>0.41</v>
      </c>
      <c r="AP67" s="3119"/>
      <c r="AQ67" s="53">
        <f t="shared" si="9"/>
        <v>2.4660000000000002</v>
      </c>
      <c r="AR67" s="3089"/>
      <c r="AS67" s="2697"/>
      <c r="AT67" s="3119"/>
      <c r="AU67" s="53">
        <f t="shared" si="10"/>
        <v>2.4660000000000002</v>
      </c>
      <c r="AV67" s="3089"/>
      <c r="AW67" s="2697"/>
      <c r="AX67" s="3119"/>
      <c r="AY67" s="53">
        <f t="shared" si="11"/>
        <v>2.4660000000000002</v>
      </c>
      <c r="AZ67" s="3089"/>
      <c r="BA67" s="2697"/>
      <c r="BB67" s="1113"/>
      <c r="BC67" s="5104">
        <f t="shared" si="12"/>
        <v>0</v>
      </c>
      <c r="BD67" s="1114"/>
      <c r="BE67" s="839">
        <f t="shared" si="13"/>
        <v>0.41</v>
      </c>
      <c r="BF67" s="3119"/>
      <c r="BG67" s="53">
        <f t="shared" si="14"/>
        <v>2.4660000000000002</v>
      </c>
      <c r="BH67" s="26"/>
      <c r="BI67" s="26"/>
      <c r="BJ67" s="26"/>
      <c r="BK67" s="26"/>
    </row>
    <row r="68" spans="1:63" ht="15" customHeight="1" x14ac:dyDescent="0.25">
      <c r="A68" s="647"/>
      <c r="B68" s="2229" t="s">
        <v>1261</v>
      </c>
      <c r="C68" s="2230"/>
      <c r="D68" s="3144"/>
      <c r="E68" s="3152" t="s">
        <v>52</v>
      </c>
      <c r="F68" s="3089"/>
      <c r="G68" s="18"/>
      <c r="H68" s="3089"/>
      <c r="I68" s="18"/>
      <c r="J68" s="3096"/>
      <c r="K68" s="635">
        <f t="shared" si="0"/>
        <v>0</v>
      </c>
      <c r="L68" s="3089"/>
      <c r="M68" s="18"/>
      <c r="N68" s="3109"/>
      <c r="O68" s="98">
        <f t="shared" si="1"/>
        <v>0</v>
      </c>
      <c r="P68" s="3089"/>
      <c r="Q68" s="18"/>
      <c r="R68" s="3119"/>
      <c r="S68" s="53">
        <f t="shared" si="2"/>
        <v>0</v>
      </c>
      <c r="T68" s="3089"/>
      <c r="U68" s="2697">
        <v>0</v>
      </c>
      <c r="V68" s="3119"/>
      <c r="W68" s="53">
        <f t="shared" si="3"/>
        <v>0</v>
      </c>
      <c r="X68" s="3086"/>
      <c r="Y68" s="1411"/>
      <c r="Z68" s="1113"/>
      <c r="AA68" s="3578">
        <f t="shared" si="4"/>
        <v>0</v>
      </c>
      <c r="AB68" s="1114"/>
      <c r="AC68" s="839">
        <f t="shared" si="5"/>
        <v>0</v>
      </c>
      <c r="AD68" s="3089"/>
      <c r="AE68" s="2697"/>
      <c r="AF68" s="3119"/>
      <c r="AG68" s="53">
        <f t="shared" si="15"/>
        <v>0</v>
      </c>
      <c r="AH68" s="3089"/>
      <c r="AI68" s="2697">
        <v>19.363</v>
      </c>
      <c r="AJ68" s="3119"/>
      <c r="AK68" s="53">
        <f t="shared" si="7"/>
        <v>19.363</v>
      </c>
      <c r="AL68" s="3089"/>
      <c r="AM68" s="2697"/>
      <c r="AN68" s="1113"/>
      <c r="AO68" s="4312">
        <f t="shared" si="8"/>
        <v>19.363</v>
      </c>
      <c r="AP68" s="3119"/>
      <c r="AQ68" s="53">
        <f t="shared" si="9"/>
        <v>19.363</v>
      </c>
      <c r="AR68" s="3089"/>
      <c r="AS68" s="2697"/>
      <c r="AT68" s="3119"/>
      <c r="AU68" s="53">
        <f t="shared" si="10"/>
        <v>19.363</v>
      </c>
      <c r="AV68" s="3089"/>
      <c r="AW68" s="2697"/>
      <c r="AX68" s="3119"/>
      <c r="AY68" s="53">
        <f t="shared" si="11"/>
        <v>19.363</v>
      </c>
      <c r="AZ68" s="3089"/>
      <c r="BA68" s="2697"/>
      <c r="BB68" s="1113"/>
      <c r="BC68" s="5104">
        <f t="shared" si="12"/>
        <v>0</v>
      </c>
      <c r="BD68" s="1114"/>
      <c r="BE68" s="839">
        <f t="shared" si="13"/>
        <v>19.363</v>
      </c>
      <c r="BF68" s="3119"/>
      <c r="BG68" s="53">
        <f t="shared" si="14"/>
        <v>19.363</v>
      </c>
      <c r="BH68" s="26"/>
      <c r="BI68" s="26"/>
      <c r="BJ68" s="26"/>
      <c r="BK68" s="26"/>
    </row>
    <row r="69" spans="1:63" ht="15" customHeight="1" x14ac:dyDescent="0.25">
      <c r="A69" s="647"/>
      <c r="B69" s="2229" t="s">
        <v>1417</v>
      </c>
      <c r="C69" s="2230"/>
      <c r="D69" s="3144"/>
      <c r="E69" s="3152" t="s">
        <v>52</v>
      </c>
      <c r="F69" s="3089"/>
      <c r="G69" s="18"/>
      <c r="H69" s="3089"/>
      <c r="I69" s="18"/>
      <c r="J69" s="3096"/>
      <c r="K69" s="635">
        <f t="shared" si="0"/>
        <v>0</v>
      </c>
      <c r="L69" s="3089"/>
      <c r="M69" s="18"/>
      <c r="N69" s="3109"/>
      <c r="O69" s="98">
        <f t="shared" si="1"/>
        <v>0</v>
      </c>
      <c r="P69" s="3089"/>
      <c r="Q69" s="18"/>
      <c r="R69" s="3119"/>
      <c r="S69" s="53">
        <f t="shared" si="2"/>
        <v>0</v>
      </c>
      <c r="T69" s="3089"/>
      <c r="U69" s="2697">
        <v>0</v>
      </c>
      <c r="V69" s="3119"/>
      <c r="W69" s="53">
        <f t="shared" si="3"/>
        <v>0</v>
      </c>
      <c r="X69" s="3086"/>
      <c r="Y69" s="1411"/>
      <c r="Z69" s="1113"/>
      <c r="AA69" s="3578">
        <f t="shared" si="4"/>
        <v>0</v>
      </c>
      <c r="AB69" s="1114"/>
      <c r="AC69" s="839">
        <f t="shared" si="5"/>
        <v>0</v>
      </c>
      <c r="AD69" s="3089"/>
      <c r="AE69" s="2697"/>
      <c r="AF69" s="3119"/>
      <c r="AG69" s="53">
        <f t="shared" si="15"/>
        <v>0</v>
      </c>
      <c r="AH69" s="3089"/>
      <c r="AI69" s="2697">
        <v>42.930999999999997</v>
      </c>
      <c r="AJ69" s="3119"/>
      <c r="AK69" s="53">
        <f t="shared" si="7"/>
        <v>42.930999999999997</v>
      </c>
      <c r="AL69" s="3089"/>
      <c r="AM69" s="2697"/>
      <c r="AN69" s="1113"/>
      <c r="AO69" s="4312">
        <f t="shared" si="8"/>
        <v>42.930999999999997</v>
      </c>
      <c r="AP69" s="3119"/>
      <c r="AQ69" s="53">
        <f t="shared" si="9"/>
        <v>42.930999999999997</v>
      </c>
      <c r="AR69" s="3089"/>
      <c r="AS69" s="2697">
        <v>6.9880000000000004</v>
      </c>
      <c r="AT69" s="3119"/>
      <c r="AU69" s="53">
        <f t="shared" si="10"/>
        <v>49.918999999999997</v>
      </c>
      <c r="AV69" s="3089"/>
      <c r="AW69" s="2697">
        <v>7.2390000000000008</v>
      </c>
      <c r="AX69" s="3119"/>
      <c r="AY69" s="53">
        <f t="shared" si="11"/>
        <v>57.158000000000001</v>
      </c>
      <c r="AZ69" s="3089"/>
      <c r="BA69" s="2697"/>
      <c r="BB69" s="1113"/>
      <c r="BC69" s="5104">
        <f t="shared" si="12"/>
        <v>14.227</v>
      </c>
      <c r="BD69" s="1114"/>
      <c r="BE69" s="839">
        <f t="shared" si="13"/>
        <v>57.158000000000001</v>
      </c>
      <c r="BF69" s="3119"/>
      <c r="BG69" s="53">
        <f t="shared" si="14"/>
        <v>57.158000000000001</v>
      </c>
      <c r="BH69" s="26"/>
      <c r="BI69" s="26"/>
      <c r="BJ69" s="26"/>
      <c r="BK69" s="26"/>
    </row>
    <row r="70" spans="1:63" ht="15" customHeight="1" x14ac:dyDescent="0.25">
      <c r="A70" s="647"/>
      <c r="B70" s="2229" t="s">
        <v>1203</v>
      </c>
      <c r="C70" s="2230"/>
      <c r="D70" s="3144"/>
      <c r="E70" s="3152" t="s">
        <v>52</v>
      </c>
      <c r="F70" s="3089"/>
      <c r="G70" s="18"/>
      <c r="H70" s="3089"/>
      <c r="I70" s="18">
        <v>62.997999999999998</v>
      </c>
      <c r="J70" s="3096"/>
      <c r="K70" s="635">
        <f t="shared" si="0"/>
        <v>62.997999999999998</v>
      </c>
      <c r="L70" s="3089"/>
      <c r="M70" s="18"/>
      <c r="N70" s="3109"/>
      <c r="O70" s="98">
        <f t="shared" si="1"/>
        <v>62.997999999999998</v>
      </c>
      <c r="P70" s="3089"/>
      <c r="Q70" s="18">
        <v>34.777000000000001</v>
      </c>
      <c r="R70" s="3119"/>
      <c r="S70" s="53">
        <f t="shared" si="2"/>
        <v>97.775000000000006</v>
      </c>
      <c r="T70" s="3089"/>
      <c r="U70" s="2697">
        <v>1.1760000000000002</v>
      </c>
      <c r="V70" s="3119"/>
      <c r="W70" s="53">
        <f t="shared" si="3"/>
        <v>98.951000000000008</v>
      </c>
      <c r="X70" s="3086"/>
      <c r="Y70" s="1411"/>
      <c r="Z70" s="1113"/>
      <c r="AA70" s="3578">
        <f t="shared" si="4"/>
        <v>35.953000000000003</v>
      </c>
      <c r="AB70" s="1114"/>
      <c r="AC70" s="839">
        <f t="shared" si="5"/>
        <v>98.950999999999993</v>
      </c>
      <c r="AD70" s="3089"/>
      <c r="AE70" s="2697">
        <v>115.65199999999999</v>
      </c>
      <c r="AF70" s="3119"/>
      <c r="AG70" s="53">
        <f t="shared" si="15"/>
        <v>214.60299999999998</v>
      </c>
      <c r="AH70" s="3089"/>
      <c r="AI70" s="2697"/>
      <c r="AJ70" s="3119"/>
      <c r="AK70" s="53">
        <f t="shared" si="7"/>
        <v>214.60299999999998</v>
      </c>
      <c r="AL70" s="3089"/>
      <c r="AM70" s="2697">
        <v>1.5680000000000001</v>
      </c>
      <c r="AN70" s="1113"/>
      <c r="AO70" s="4312">
        <f t="shared" si="8"/>
        <v>117.21999999999998</v>
      </c>
      <c r="AP70" s="3119"/>
      <c r="AQ70" s="53">
        <f t="shared" si="9"/>
        <v>216.17099999999999</v>
      </c>
      <c r="AR70" s="3089"/>
      <c r="AS70" s="2697">
        <v>6.766</v>
      </c>
      <c r="AT70" s="3119"/>
      <c r="AU70" s="53">
        <f t="shared" si="10"/>
        <v>222.93699999999998</v>
      </c>
      <c r="AV70" s="3089"/>
      <c r="AW70" s="2697">
        <v>6.4030000000000005</v>
      </c>
      <c r="AX70" s="3119"/>
      <c r="AY70" s="53">
        <f t="shared" si="11"/>
        <v>229.33999999999997</v>
      </c>
      <c r="AZ70" s="3089"/>
      <c r="BA70" s="2697">
        <v>27.85</v>
      </c>
      <c r="BB70" s="1113"/>
      <c r="BC70" s="5104">
        <f t="shared" si="12"/>
        <v>41.019000000000005</v>
      </c>
      <c r="BD70" s="1114"/>
      <c r="BE70" s="839">
        <f t="shared" si="13"/>
        <v>158.23899999999998</v>
      </c>
      <c r="BF70" s="3119"/>
      <c r="BG70" s="53">
        <f t="shared" si="14"/>
        <v>257.19</v>
      </c>
      <c r="BH70" s="26"/>
      <c r="BI70" s="26"/>
      <c r="BJ70" s="26"/>
      <c r="BK70" s="26"/>
    </row>
    <row r="71" spans="1:63" ht="15" customHeight="1" thickBot="1" x14ac:dyDescent="0.3">
      <c r="A71" s="647"/>
      <c r="B71" s="2231" t="s">
        <v>1062</v>
      </c>
      <c r="C71" s="2230"/>
      <c r="D71" s="3144"/>
      <c r="E71" s="3152" t="s">
        <v>52</v>
      </c>
      <c r="F71" s="3089"/>
      <c r="G71" s="18"/>
      <c r="H71" s="3089"/>
      <c r="I71" s="18"/>
      <c r="J71" s="3096"/>
      <c r="K71" s="635">
        <f t="shared" si="0"/>
        <v>0</v>
      </c>
      <c r="L71" s="3089"/>
      <c r="M71" s="18"/>
      <c r="N71" s="3109"/>
      <c r="O71" s="98">
        <f t="shared" si="1"/>
        <v>0</v>
      </c>
      <c r="P71" s="3089"/>
      <c r="Q71" s="18"/>
      <c r="R71" s="3119"/>
      <c r="S71" s="53">
        <f t="shared" si="2"/>
        <v>0</v>
      </c>
      <c r="T71" s="3089"/>
      <c r="U71" s="2697">
        <v>0</v>
      </c>
      <c r="V71" s="3119"/>
      <c r="W71" s="53">
        <f t="shared" si="3"/>
        <v>0</v>
      </c>
      <c r="X71" s="3086"/>
      <c r="Y71" s="1411"/>
      <c r="Z71" s="1113"/>
      <c r="AA71" s="3578">
        <f t="shared" si="4"/>
        <v>0</v>
      </c>
      <c r="AB71" s="1114"/>
      <c r="AC71" s="839">
        <f t="shared" si="5"/>
        <v>0</v>
      </c>
      <c r="AD71" s="3089"/>
      <c r="AE71" s="2697"/>
      <c r="AF71" s="3119"/>
      <c r="AG71" s="53">
        <f t="shared" si="15"/>
        <v>0</v>
      </c>
      <c r="AH71" s="3089"/>
      <c r="AI71" s="2697"/>
      <c r="AJ71" s="3119"/>
      <c r="AK71" s="53">
        <f t="shared" si="7"/>
        <v>0</v>
      </c>
      <c r="AL71" s="3089"/>
      <c r="AM71" s="2697"/>
      <c r="AN71" s="1113"/>
      <c r="AO71" s="4312">
        <f t="shared" si="8"/>
        <v>0</v>
      </c>
      <c r="AP71" s="3119"/>
      <c r="AQ71" s="53">
        <f t="shared" si="9"/>
        <v>0</v>
      </c>
      <c r="AR71" s="3089"/>
      <c r="AS71" s="2697"/>
      <c r="AT71" s="3119"/>
      <c r="AU71" s="53">
        <f t="shared" si="10"/>
        <v>0</v>
      </c>
      <c r="AV71" s="3089"/>
      <c r="AW71" s="2697"/>
      <c r="AX71" s="3119"/>
      <c r="AY71" s="53">
        <f t="shared" si="11"/>
        <v>0</v>
      </c>
      <c r="AZ71" s="3089"/>
      <c r="BA71" s="2697"/>
      <c r="BB71" s="1113"/>
      <c r="BC71" s="5104">
        <f t="shared" si="12"/>
        <v>0</v>
      </c>
      <c r="BD71" s="1114"/>
      <c r="BE71" s="839">
        <f t="shared" si="13"/>
        <v>0</v>
      </c>
      <c r="BF71" s="3119"/>
      <c r="BG71" s="53">
        <f t="shared" si="14"/>
        <v>0</v>
      </c>
      <c r="BH71" s="26"/>
      <c r="BI71" s="26"/>
      <c r="BJ71" s="26"/>
      <c r="BK71" s="26"/>
    </row>
    <row r="72" spans="1:63" ht="16.5" thickBot="1" x14ac:dyDescent="0.3">
      <c r="A72" s="183"/>
      <c r="B72" s="1303" t="s">
        <v>306</v>
      </c>
      <c r="C72" s="1302"/>
      <c r="D72" s="3145"/>
      <c r="E72" s="3153" t="s">
        <v>52</v>
      </c>
      <c r="F72" s="2072">
        <f>+F73</f>
        <v>44500</v>
      </c>
      <c r="G72" s="326">
        <f>+SUM(G6:G71)</f>
        <v>34411.017</v>
      </c>
      <c r="H72" s="2072">
        <f>+H73</f>
        <v>37500</v>
      </c>
      <c r="I72" s="326">
        <f>+SUM(I6:I71)</f>
        <v>29106.967999999997</v>
      </c>
      <c r="J72" s="3097">
        <f>+J73</f>
        <v>82000</v>
      </c>
      <c r="K72" s="3101">
        <f>+SUM(K6:K71)</f>
        <v>58820.30599999999</v>
      </c>
      <c r="L72" s="2072">
        <f>+L73</f>
        <v>36000</v>
      </c>
      <c r="M72" s="326">
        <f>+SUM(M6:M71)</f>
        <v>29040.513000000003</v>
      </c>
      <c r="N72" s="3064">
        <f>+N73</f>
        <v>118000</v>
      </c>
      <c r="O72" s="3065">
        <f>+SUM(O6:O71)</f>
        <v>92558.497999999992</v>
      </c>
      <c r="P72" s="2072">
        <f>+P73</f>
        <v>46000</v>
      </c>
      <c r="Q72" s="326">
        <f>+SUM(Q6:Q71)</f>
        <v>33245.998</v>
      </c>
      <c r="R72" s="3070">
        <f>+R73</f>
        <v>164000</v>
      </c>
      <c r="S72" s="218">
        <f>+SUM(S6:S71)</f>
        <v>116462.91799999998</v>
      </c>
      <c r="T72" s="2072">
        <f>+T73</f>
        <v>46000</v>
      </c>
      <c r="U72" s="2698">
        <f>+SUM(U6:U71)</f>
        <v>44323.03</v>
      </c>
      <c r="V72" s="3070">
        <f>+V73</f>
        <v>210000</v>
      </c>
      <c r="W72" s="218">
        <f>+SUM(W6:W71)</f>
        <v>160785.94800000003</v>
      </c>
      <c r="X72" s="3010">
        <f>+X73</f>
        <v>44500</v>
      </c>
      <c r="Y72" s="1416">
        <f>+SUM(Y6:Y71)</f>
        <v>37605.091000000008</v>
      </c>
      <c r="Z72" s="969">
        <f>+Z73</f>
        <v>136500</v>
      </c>
      <c r="AA72" s="969">
        <f>+SUM(AA6:AA71)</f>
        <v>115174.11899999996</v>
      </c>
      <c r="AB72" s="2192">
        <f>+AB73</f>
        <v>254500</v>
      </c>
      <c r="AC72" s="2192">
        <f>+SUM(AC6:AC71)</f>
        <v>207732.61700000009</v>
      </c>
      <c r="AD72" s="2072">
        <f>+AD73</f>
        <v>46000</v>
      </c>
      <c r="AE72" s="2698">
        <f>+SUM(AE6:AE71)</f>
        <v>38809.288</v>
      </c>
      <c r="AF72" s="3070">
        <f>+AF73</f>
        <v>300500</v>
      </c>
      <c r="AG72" s="218">
        <f>+SUM(AG6:AG71)</f>
        <v>246541.905</v>
      </c>
      <c r="AH72" s="2072">
        <f>+AH73</f>
        <v>44500</v>
      </c>
      <c r="AI72" s="2698">
        <f>+SUM(AI6:AI71)</f>
        <v>41915.876799999984</v>
      </c>
      <c r="AJ72" s="3070">
        <f>+AJ73</f>
        <v>345000</v>
      </c>
      <c r="AK72" s="218">
        <f>+SUM(AK6:AK71)</f>
        <v>288457.78179999994</v>
      </c>
      <c r="AL72" s="2072">
        <f>+AL73</f>
        <v>46000</v>
      </c>
      <c r="AM72" s="2698">
        <f>+SUM(AM6:AM71)</f>
        <v>41054.718000000001</v>
      </c>
      <c r="AN72" s="969">
        <f>+AN73</f>
        <v>136500</v>
      </c>
      <c r="AO72" s="969">
        <f>+SUM(AO6:AO71)</f>
        <v>121779.88279999998</v>
      </c>
      <c r="AP72" s="3070">
        <f>+AP73</f>
        <v>391000</v>
      </c>
      <c r="AQ72" s="218">
        <f>+SUM(AQ6:AQ71)</f>
        <v>329512.49979999999</v>
      </c>
      <c r="AR72" s="2072">
        <f>+AR73</f>
        <v>46000</v>
      </c>
      <c r="AS72" s="2698">
        <f>+SUM(AS6:AS71)</f>
        <v>41279.925999999999</v>
      </c>
      <c r="AT72" s="3070">
        <f>+AT73</f>
        <v>437000</v>
      </c>
      <c r="AU72" s="218">
        <f>+SUM(AU6:AU71)</f>
        <v>370792.42580000003</v>
      </c>
      <c r="AV72" s="2072">
        <f>+AV73</f>
        <v>42000</v>
      </c>
      <c r="AW72" s="2698">
        <f>+SUM(AW6:AW71)</f>
        <v>42760.702000000005</v>
      </c>
      <c r="AX72" s="3070">
        <f>+AX73</f>
        <v>479000</v>
      </c>
      <c r="AY72" s="218">
        <f>+SUM(AY6:AY71)</f>
        <v>413553.12780000002</v>
      </c>
      <c r="AZ72" s="2072">
        <f>+AZ73</f>
        <v>46000</v>
      </c>
      <c r="BA72" s="2698">
        <f>+SUM(BA6:BA71)</f>
        <v>46734.061000000009</v>
      </c>
      <c r="BB72" s="969">
        <f>+BB73</f>
        <v>134000</v>
      </c>
      <c r="BC72" s="969">
        <f>+SUM(BC6:BC71)</f>
        <v>130774.68900000004</v>
      </c>
      <c r="BD72" s="2192">
        <f>+BD73</f>
        <v>270500</v>
      </c>
      <c r="BE72" s="2192">
        <f>+SUM(BE6:BE71)</f>
        <v>252554.57180000001</v>
      </c>
      <c r="BF72" s="3070">
        <f>+BF73</f>
        <v>525000</v>
      </c>
      <c r="BG72" s="218">
        <f>+SUM(BG6:BG71)</f>
        <v>460287.18879999995</v>
      </c>
      <c r="BH72" s="26"/>
      <c r="BI72" s="26"/>
      <c r="BJ72" s="26"/>
      <c r="BK72" s="26"/>
    </row>
    <row r="73" spans="1:63" ht="16.5" thickBot="1" x14ac:dyDescent="0.3">
      <c r="A73" s="183"/>
      <c r="B73" s="1115" t="s">
        <v>854</v>
      </c>
      <c r="C73" s="1303"/>
      <c r="D73" s="3146"/>
      <c r="E73" s="3154" t="s">
        <v>52</v>
      </c>
      <c r="F73" s="2072">
        <f>+'Maj Production Summ'!E30</f>
        <v>44500</v>
      </c>
      <c r="G73" s="326">
        <f>+SUM(G6:G58)</f>
        <v>34411.017</v>
      </c>
      <c r="H73" s="2072">
        <f>+'Maj Production Summ'!G30</f>
        <v>37500</v>
      </c>
      <c r="I73" s="326">
        <f>+SUM(I6:I58)</f>
        <v>29035.71</v>
      </c>
      <c r="J73" s="3097">
        <f>+'Maj Production Summ'!I30</f>
        <v>82000</v>
      </c>
      <c r="K73" s="3101">
        <f>+SUM(K6:K58)</f>
        <v>58749.047999999988</v>
      </c>
      <c r="L73" s="2072">
        <f>+'Maj Production Summ'!K30</f>
        <v>36000</v>
      </c>
      <c r="M73" s="326">
        <f>+SUM(M6:M58)</f>
        <v>29014.605000000003</v>
      </c>
      <c r="N73" s="3064">
        <f>+'Maj Production Summ'!M30</f>
        <v>118000</v>
      </c>
      <c r="O73" s="3065">
        <f>+SUM(O6:O58)</f>
        <v>92461.331999999995</v>
      </c>
      <c r="P73" s="2072">
        <f>+'Maj Production Summ'!O30</f>
        <v>46000</v>
      </c>
      <c r="Q73" s="326">
        <f>+SUM(Q6:Q58)</f>
        <v>33200.703999999998</v>
      </c>
      <c r="R73" s="3070">
        <f>+'Maj Production Summ'!Q30</f>
        <v>164000</v>
      </c>
      <c r="S73" s="218">
        <f>+SUM(S6:S58)</f>
        <v>116320.45799999998</v>
      </c>
      <c r="T73" s="2072">
        <f>+'Maj Production Summ'!S30</f>
        <v>46000</v>
      </c>
      <c r="U73" s="2698">
        <f>+SUM(U6:U58)</f>
        <v>44285.714</v>
      </c>
      <c r="V73" s="3070">
        <f>+'Maj Production Summ'!U30</f>
        <v>210000</v>
      </c>
      <c r="W73" s="218">
        <f>+SUM(W6:W58)</f>
        <v>160606.17200000002</v>
      </c>
      <c r="X73" s="3010">
        <f>+'Maj Production Summ'!W30</f>
        <v>44500</v>
      </c>
      <c r="Y73" s="1416">
        <f>+SUM(Y6:Y58)</f>
        <v>37549.827000000005</v>
      </c>
      <c r="Z73" s="969">
        <f>+'Maj Production Summ'!Y30</f>
        <v>136500</v>
      </c>
      <c r="AA73" s="969">
        <f>+SUM(AA6:AA58)</f>
        <v>115036.24499999998</v>
      </c>
      <c r="AB73" s="2192">
        <f>+'Maj Production Summ'!AA30</f>
        <v>254500</v>
      </c>
      <c r="AC73" s="2192">
        <f>+SUM(AC6:AC58)</f>
        <v>207497.57700000005</v>
      </c>
      <c r="AD73" s="2072">
        <f>+'Maj Production Summ'!AC30</f>
        <v>46000</v>
      </c>
      <c r="AE73" s="2698">
        <f>+SUM(AE6:AE58)</f>
        <v>38658.050000000003</v>
      </c>
      <c r="AF73" s="3070">
        <f>+'Maj Production Summ'!AE30</f>
        <v>300500</v>
      </c>
      <c r="AG73" s="218">
        <f>+SUM(AG6:AG58)</f>
        <v>246155.62699999998</v>
      </c>
      <c r="AH73" s="2072">
        <f>+'Maj Production Summ'!AG30</f>
        <v>44500</v>
      </c>
      <c r="AI73" s="2698">
        <f>+SUM(AI6:AI58)</f>
        <v>41612.207039999994</v>
      </c>
      <c r="AJ73" s="3070">
        <f>+'Maj Production Summ'!AI30</f>
        <v>345000</v>
      </c>
      <c r="AK73" s="218">
        <f>+SUM(AK6:AK58)</f>
        <v>287767.83403999999</v>
      </c>
      <c r="AL73" s="2072">
        <f>+'Maj Production Summ'!AK30</f>
        <v>46000</v>
      </c>
      <c r="AM73" s="2698">
        <f>+SUM(AM6:AM58)</f>
        <v>41025.186999999998</v>
      </c>
      <c r="AN73" s="969">
        <f>+'Maj Production Summ'!AM30</f>
        <v>136500</v>
      </c>
      <c r="AO73" s="969">
        <f>+SUM(AO6:AO58)</f>
        <v>121295.44403999997</v>
      </c>
      <c r="AP73" s="3070">
        <f>+'Maj Production Summ'!AO30</f>
        <v>391000</v>
      </c>
      <c r="AQ73" s="218">
        <f>+SUM(AQ6:AQ58)</f>
        <v>328793.02103999996</v>
      </c>
      <c r="AR73" s="2072">
        <f>+'Maj Production Summ'!AQ30</f>
        <v>46000</v>
      </c>
      <c r="AS73" s="2698">
        <f>+SUM(AS6:AS58)</f>
        <v>41204.778000000006</v>
      </c>
      <c r="AT73" s="3070">
        <f>+'Maj Production Summ'!AS30</f>
        <v>437000</v>
      </c>
      <c r="AU73" s="218">
        <f>+SUM(AU6:AU58)</f>
        <v>369997.79903999995</v>
      </c>
      <c r="AV73" s="2072">
        <f>+'Maj Production Summ'!AU30</f>
        <v>42000</v>
      </c>
      <c r="AW73" s="2698">
        <f>+SUM(AW6:AW58)</f>
        <v>42591.4</v>
      </c>
      <c r="AX73" s="3070">
        <f>+'Maj Production Summ'!AW30</f>
        <v>479000</v>
      </c>
      <c r="AY73" s="218">
        <f>+SUM(AY6:AY58)</f>
        <v>412589.19903999992</v>
      </c>
      <c r="AZ73" s="2072">
        <f>+'Maj Production Summ'!AY30</f>
        <v>46000</v>
      </c>
      <c r="BA73" s="2698">
        <f>+SUM(BA6:BA58)</f>
        <v>46552.753000000004</v>
      </c>
      <c r="BB73" s="969">
        <f>+'Maj Production Summ'!BA30</f>
        <v>134000</v>
      </c>
      <c r="BC73" s="969">
        <f>+SUM(BC6:BC58)</f>
        <v>130348.93100000004</v>
      </c>
      <c r="BD73" s="2192">
        <f>+'Maj Production Summ'!BC30</f>
        <v>270500</v>
      </c>
      <c r="BE73" s="2192">
        <f>+SUM(BE6:BE58)</f>
        <v>251644.37504000001</v>
      </c>
      <c r="BF73" s="3070">
        <f>+'Maj Production Summ'!BE30</f>
        <v>525000</v>
      </c>
      <c r="BG73" s="218">
        <f>+SUM(BG6:BG58)</f>
        <v>459141.95203999989</v>
      </c>
      <c r="BH73" s="26"/>
      <c r="BI73" s="26"/>
      <c r="BJ73" s="26"/>
      <c r="BK73" s="26"/>
    </row>
    <row r="74" spans="1:63" ht="16.5" thickBot="1" x14ac:dyDescent="0.3">
      <c r="A74" s="183"/>
      <c r="B74" s="1115" t="s">
        <v>853</v>
      </c>
      <c r="C74" s="1115"/>
      <c r="D74" s="3147"/>
      <c r="E74" s="3154" t="s">
        <v>52</v>
      </c>
      <c r="F74" s="2072"/>
      <c r="G74" s="1672">
        <f>+SUM(G59:G71)</f>
        <v>0</v>
      </c>
      <c r="H74" s="2072"/>
      <c r="I74" s="1672">
        <f>+SUM(I59:I71)</f>
        <v>71.257999999999996</v>
      </c>
      <c r="J74" s="3097"/>
      <c r="K74" s="2438">
        <f>+SUM(K59:K71)</f>
        <v>71.257999999999996</v>
      </c>
      <c r="L74" s="2072"/>
      <c r="M74" s="1672">
        <f>+SUM(M59:M71)</f>
        <v>25.908000000000001</v>
      </c>
      <c r="N74" s="3064"/>
      <c r="O74" s="2121">
        <f>+SUM(O59:O71)</f>
        <v>97.165999999999997</v>
      </c>
      <c r="P74" s="2072"/>
      <c r="Q74" s="1672">
        <f>+SUM(Q59:Q71)</f>
        <v>45.293999999999997</v>
      </c>
      <c r="R74" s="3070"/>
      <c r="S74" s="2856">
        <f>+SUM(S59:S71)</f>
        <v>142.46</v>
      </c>
      <c r="T74" s="2072"/>
      <c r="U74" s="2737">
        <f>+SUM(U59:U71)</f>
        <v>37.316000000000003</v>
      </c>
      <c r="V74" s="3070"/>
      <c r="W74" s="2856">
        <f>+SUM(W59:W71)</f>
        <v>179.77600000000001</v>
      </c>
      <c r="X74" s="3010"/>
      <c r="Y74" s="982">
        <f>+SUM(Y59:Y71)</f>
        <v>55.263999999999996</v>
      </c>
      <c r="Z74" s="969"/>
      <c r="AA74" s="984">
        <f>+SUM(AA59:AA71)</f>
        <v>137.87399999999997</v>
      </c>
      <c r="AB74" s="2192"/>
      <c r="AC74" s="2193">
        <f>+SUM(AC59:AC71)</f>
        <v>235.04</v>
      </c>
      <c r="AD74" s="2072"/>
      <c r="AE74" s="2737">
        <f>+SUM(AE59:AE71)</f>
        <v>151.238</v>
      </c>
      <c r="AF74" s="3070"/>
      <c r="AG74" s="2856">
        <f>+SUM(AG59:AG71)</f>
        <v>386.27799999999996</v>
      </c>
      <c r="AH74" s="2072"/>
      <c r="AI74" s="2737">
        <f>+SUM(AI59:AI71)</f>
        <v>303.66976</v>
      </c>
      <c r="AJ74" s="3070"/>
      <c r="AK74" s="2856">
        <f>+SUM(AK59:AK71)</f>
        <v>689.9477599999999</v>
      </c>
      <c r="AL74" s="2072"/>
      <c r="AM74" s="2737">
        <f>+SUM(AM59:AM71)</f>
        <v>29.531000000000002</v>
      </c>
      <c r="AN74" s="969"/>
      <c r="AO74" s="984">
        <f>+SUM(AO59:AO71)</f>
        <v>484.43875999999995</v>
      </c>
      <c r="AP74" s="3070"/>
      <c r="AQ74" s="2856">
        <f>+SUM(AQ59:AQ71)</f>
        <v>719.47875999999997</v>
      </c>
      <c r="AR74" s="2072"/>
      <c r="AS74" s="2737">
        <f>+SUM(AS59:AS71)</f>
        <v>75.147999999999996</v>
      </c>
      <c r="AT74" s="3070"/>
      <c r="AU74" s="2856">
        <f>+SUM(AU59:AU71)</f>
        <v>794.62675999999999</v>
      </c>
      <c r="AV74" s="2072"/>
      <c r="AW74" s="2737">
        <f>+SUM(AW59:AW71)</f>
        <v>169.30199999999999</v>
      </c>
      <c r="AX74" s="3070"/>
      <c r="AY74" s="2856">
        <f>+SUM(AY59:AY71)</f>
        <v>963.92876000000001</v>
      </c>
      <c r="AZ74" s="2072"/>
      <c r="BA74" s="2737">
        <f>+SUM(BA59:BA71)</f>
        <v>181.30799999999999</v>
      </c>
      <c r="BB74" s="969"/>
      <c r="BC74" s="984">
        <f>+SUM(BC59:BC71)</f>
        <v>425.75799999999998</v>
      </c>
      <c r="BD74" s="2192"/>
      <c r="BE74" s="2193">
        <f>+SUM(BE59:BE71)</f>
        <v>910.19676000000004</v>
      </c>
      <c r="BF74" s="3070"/>
      <c r="BG74" s="2856">
        <f>+SUM(BG59:BG71)</f>
        <v>1145.23676</v>
      </c>
      <c r="BH74" s="26"/>
      <c r="BI74" s="26"/>
      <c r="BJ74" s="26"/>
      <c r="BK74" s="26"/>
    </row>
    <row r="75" spans="1:63" ht="16.5" thickBot="1" x14ac:dyDescent="0.3">
      <c r="A75" s="183"/>
      <c r="B75" s="1304" t="s">
        <v>323</v>
      </c>
      <c r="C75" s="863"/>
      <c r="D75" s="863"/>
      <c r="E75" s="3155" t="s">
        <v>51</v>
      </c>
      <c r="F75" s="1671">
        <f t="shared" ref="F75:AK75" si="16">+F73*100/F5</f>
        <v>94.5</v>
      </c>
      <c r="G75" s="1672">
        <f t="shared" si="16"/>
        <v>93.240057194215652</v>
      </c>
      <c r="H75" s="1671">
        <f t="shared" si="16"/>
        <v>94.5</v>
      </c>
      <c r="I75" s="1672">
        <f t="shared" si="16"/>
        <v>93.172235359216458</v>
      </c>
      <c r="J75" s="3098">
        <f t="shared" si="16"/>
        <v>94.500000000000014</v>
      </c>
      <c r="K75" s="2438">
        <f t="shared" si="16"/>
        <v>86.307689710791664</v>
      </c>
      <c r="L75" s="1671">
        <f t="shared" si="16"/>
        <v>94.499999999999986</v>
      </c>
      <c r="M75" s="1672">
        <f t="shared" si="16"/>
        <v>93.333161558090254</v>
      </c>
      <c r="N75" s="2120">
        <f t="shared" si="16"/>
        <v>94.5</v>
      </c>
      <c r="O75" s="2121">
        <f t="shared" si="16"/>
        <v>93.247931453128047</v>
      </c>
      <c r="P75" s="1671">
        <f t="shared" si="16"/>
        <v>94.5</v>
      </c>
      <c r="Q75" s="1672">
        <f t="shared" si="16"/>
        <v>93.234016125098975</v>
      </c>
      <c r="R75" s="1801">
        <f t="shared" si="16"/>
        <v>94.499999999999986</v>
      </c>
      <c r="S75" s="2856">
        <f t="shared" si="16"/>
        <v>86.31257886834635</v>
      </c>
      <c r="T75" s="1671">
        <f t="shared" si="16"/>
        <v>94.5</v>
      </c>
      <c r="U75" s="2737">
        <f t="shared" si="16"/>
        <v>93.989717136792336</v>
      </c>
      <c r="V75" s="1801">
        <f t="shared" si="16"/>
        <v>94.499999999999986</v>
      </c>
      <c r="W75" s="2856">
        <f t="shared" si="16"/>
        <v>88.301363942490099</v>
      </c>
      <c r="X75" s="2243">
        <f t="shared" si="16"/>
        <v>94.5</v>
      </c>
      <c r="Y75" s="982">
        <f t="shared" si="16"/>
        <v>94.27443723927226</v>
      </c>
      <c r="Z75" s="984">
        <f t="shared" si="16"/>
        <v>94.5</v>
      </c>
      <c r="AA75" s="3942">
        <f t="shared" si="16"/>
        <v>93.862674685616255</v>
      </c>
      <c r="AB75" s="2193">
        <f t="shared" si="16"/>
        <v>94.5</v>
      </c>
      <c r="AC75" s="3943">
        <f t="shared" si="16"/>
        <v>93.587745622722622</v>
      </c>
      <c r="AD75" s="1671">
        <f t="shared" si="16"/>
        <v>94.5</v>
      </c>
      <c r="AE75" s="2737">
        <f t="shared" si="16"/>
        <v>94.011322588621695</v>
      </c>
      <c r="AF75" s="1801">
        <f t="shared" si="16"/>
        <v>94.5</v>
      </c>
      <c r="AG75" s="2856">
        <f t="shared" si="16"/>
        <v>93.654014367677405</v>
      </c>
      <c r="AH75" s="1671">
        <f t="shared" si="16"/>
        <v>94.5</v>
      </c>
      <c r="AI75" s="2737">
        <f t="shared" si="16"/>
        <v>94.749412344581103</v>
      </c>
      <c r="AJ75" s="1801">
        <f t="shared" si="16"/>
        <v>94.5</v>
      </c>
      <c r="AK75" s="2856">
        <f t="shared" si="16"/>
        <v>93.810843577174012</v>
      </c>
      <c r="AL75" s="1671">
        <f t="shared" ref="AL75:BG75" si="17">+AL73*100/AL5</f>
        <v>94.5</v>
      </c>
      <c r="AM75" s="2737">
        <f t="shared" si="17"/>
        <v>95.116565080010588</v>
      </c>
      <c r="AN75" s="984">
        <f t="shared" si="17"/>
        <v>94.499999999999986</v>
      </c>
      <c r="AO75" s="3942">
        <f t="shared" si="17"/>
        <v>94.636165546201539</v>
      </c>
      <c r="AP75" s="1801">
        <f t="shared" si="17"/>
        <v>94.5</v>
      </c>
      <c r="AQ75" s="2856">
        <f t="shared" si="17"/>
        <v>93.971804310573006</v>
      </c>
      <c r="AR75" s="1671">
        <f t="shared" si="17"/>
        <v>94.5</v>
      </c>
      <c r="AS75" s="2737">
        <f t="shared" si="17"/>
        <v>95.22292406320868</v>
      </c>
      <c r="AT75" s="1801">
        <f t="shared" si="17"/>
        <v>94.5</v>
      </c>
      <c r="AU75" s="2856">
        <f t="shared" si="17"/>
        <v>94.109506009676764</v>
      </c>
      <c r="AV75" s="1671">
        <f t="shared" si="17"/>
        <v>94.5</v>
      </c>
      <c r="AW75" s="2737">
        <f t="shared" si="17"/>
        <v>94.47748348827885</v>
      </c>
      <c r="AX75" s="1801">
        <f t="shared" si="17"/>
        <v>94.5</v>
      </c>
      <c r="AY75" s="2856">
        <f t="shared" si="17"/>
        <v>94.147359430017033</v>
      </c>
      <c r="AZ75" s="1671">
        <f t="shared" si="17"/>
        <v>94.5</v>
      </c>
      <c r="BA75" s="2737">
        <f t="shared" si="17"/>
        <v>94.357689149629067</v>
      </c>
      <c r="BB75" s="984">
        <f t="shared" si="17"/>
        <v>94.499999999999986</v>
      </c>
      <c r="BC75" s="3942">
        <f t="shared" si="17"/>
        <v>94.668830174026652</v>
      </c>
      <c r="BD75" s="2193">
        <f t="shared" si="17"/>
        <v>94.499999999999972</v>
      </c>
      <c r="BE75" s="3943">
        <f t="shared" si="17"/>
        <v>94.653082638272409</v>
      </c>
      <c r="BF75" s="1801">
        <f t="shared" si="17"/>
        <v>94.500000000000014</v>
      </c>
      <c r="BG75" s="1148">
        <f t="shared" si="17"/>
        <v>94.168642194921944</v>
      </c>
      <c r="BH75" s="26"/>
      <c r="BI75" s="26"/>
      <c r="BJ75" s="26"/>
      <c r="BK75" s="26"/>
    </row>
    <row r="76" spans="1:63" x14ac:dyDescent="0.25">
      <c r="A76" s="183"/>
      <c r="B76" s="1096" t="s">
        <v>847</v>
      </c>
      <c r="C76" s="1097"/>
      <c r="D76" s="1097"/>
      <c r="E76" s="3156" t="s">
        <v>52</v>
      </c>
      <c r="F76" s="1698">
        <f>+F73</f>
        <v>44500</v>
      </c>
      <c r="G76" s="1420">
        <f>+G73</f>
        <v>34411.017</v>
      </c>
      <c r="H76" s="1698">
        <f>+H73</f>
        <v>37500</v>
      </c>
      <c r="I76" s="1420">
        <f>+I73</f>
        <v>29035.71</v>
      </c>
      <c r="J76" s="991">
        <f t="shared" ref="J76:AC76" si="18">+J73</f>
        <v>82000</v>
      </c>
      <c r="K76" s="3102">
        <f t="shared" si="18"/>
        <v>58749.047999999988</v>
      </c>
      <c r="L76" s="1698">
        <f>+L73</f>
        <v>36000</v>
      </c>
      <c r="M76" s="1420">
        <f>+M73</f>
        <v>29014.605000000003</v>
      </c>
      <c r="N76" s="3110">
        <f t="shared" si="18"/>
        <v>118000</v>
      </c>
      <c r="O76" s="3111">
        <f t="shared" si="18"/>
        <v>92461.331999999995</v>
      </c>
      <c r="P76" s="1698">
        <f>+P73</f>
        <v>46000</v>
      </c>
      <c r="Q76" s="1420">
        <f>+Q73</f>
        <v>33200.703999999998</v>
      </c>
      <c r="R76" s="3120">
        <f t="shared" si="18"/>
        <v>164000</v>
      </c>
      <c r="S76" s="3121">
        <f t="shared" si="18"/>
        <v>116320.45799999998</v>
      </c>
      <c r="T76" s="1698">
        <f t="shared" si="18"/>
        <v>46000</v>
      </c>
      <c r="U76" s="3129">
        <f t="shared" si="18"/>
        <v>44285.714</v>
      </c>
      <c r="V76" s="3120">
        <f t="shared" ref="V76" si="19">+V73</f>
        <v>210000</v>
      </c>
      <c r="W76" s="3121">
        <f t="shared" ref="W76" si="20">+W73</f>
        <v>160606.17200000002</v>
      </c>
      <c r="X76" s="3011">
        <f t="shared" si="18"/>
        <v>44500</v>
      </c>
      <c r="Y76" s="549">
        <f t="shared" si="18"/>
        <v>37549.827000000005</v>
      </c>
      <c r="Z76" s="454">
        <f t="shared" si="18"/>
        <v>136500</v>
      </c>
      <c r="AA76" s="454">
        <f t="shared" si="18"/>
        <v>115036.24499999998</v>
      </c>
      <c r="AB76" s="2194">
        <f t="shared" si="18"/>
        <v>254500</v>
      </c>
      <c r="AC76" s="2194">
        <f t="shared" si="18"/>
        <v>207497.57700000005</v>
      </c>
      <c r="AD76" s="1698">
        <f t="shared" ref="AD76:AG76" si="21">+AD73</f>
        <v>46000</v>
      </c>
      <c r="AE76" s="3129">
        <f t="shared" si="21"/>
        <v>38658.050000000003</v>
      </c>
      <c r="AF76" s="3120">
        <f t="shared" si="21"/>
        <v>300500</v>
      </c>
      <c r="AG76" s="3121">
        <f t="shared" si="21"/>
        <v>246155.62699999998</v>
      </c>
      <c r="AH76" s="1698">
        <f t="shared" ref="AH76:AK76" si="22">+AH73</f>
        <v>44500</v>
      </c>
      <c r="AI76" s="3129">
        <f t="shared" si="22"/>
        <v>41612.207039999994</v>
      </c>
      <c r="AJ76" s="3120">
        <f t="shared" si="22"/>
        <v>345000</v>
      </c>
      <c r="AK76" s="3121">
        <f t="shared" si="22"/>
        <v>287767.83403999999</v>
      </c>
      <c r="AL76" s="1698">
        <f t="shared" ref="AL76:AW76" si="23">+AL73</f>
        <v>46000</v>
      </c>
      <c r="AM76" s="3129">
        <f t="shared" si="23"/>
        <v>41025.186999999998</v>
      </c>
      <c r="AN76" s="454">
        <f t="shared" si="23"/>
        <v>136500</v>
      </c>
      <c r="AO76" s="454">
        <f t="shared" si="23"/>
        <v>121295.44403999997</v>
      </c>
      <c r="AP76" s="3120">
        <f t="shared" si="23"/>
        <v>391000</v>
      </c>
      <c r="AQ76" s="3121">
        <f t="shared" si="23"/>
        <v>328793.02103999996</v>
      </c>
      <c r="AR76" s="1698">
        <f t="shared" ref="AR76:AS76" si="24">+AR73</f>
        <v>46000</v>
      </c>
      <c r="AS76" s="3129">
        <f t="shared" si="24"/>
        <v>41204.778000000006</v>
      </c>
      <c r="AT76" s="3120">
        <f t="shared" si="23"/>
        <v>437000</v>
      </c>
      <c r="AU76" s="3121">
        <f t="shared" si="23"/>
        <v>369997.79903999995</v>
      </c>
      <c r="AV76" s="1698">
        <f t="shared" si="23"/>
        <v>42000</v>
      </c>
      <c r="AW76" s="3129">
        <f t="shared" si="23"/>
        <v>42591.4</v>
      </c>
      <c r="AX76" s="3120">
        <f t="shared" ref="AX76:BE76" si="25">+AX73</f>
        <v>479000</v>
      </c>
      <c r="AY76" s="3121">
        <f t="shared" si="25"/>
        <v>412589.19903999992</v>
      </c>
      <c r="AZ76" s="1698">
        <f t="shared" si="25"/>
        <v>46000</v>
      </c>
      <c r="BA76" s="3129">
        <f t="shared" si="25"/>
        <v>46552.753000000004</v>
      </c>
      <c r="BB76" s="454">
        <f t="shared" si="25"/>
        <v>134000</v>
      </c>
      <c r="BC76" s="454">
        <f t="shared" si="25"/>
        <v>130348.93100000004</v>
      </c>
      <c r="BD76" s="2194">
        <f t="shared" si="25"/>
        <v>270500</v>
      </c>
      <c r="BE76" s="2194">
        <f t="shared" si="25"/>
        <v>251644.37504000001</v>
      </c>
      <c r="BF76" s="3120">
        <f t="shared" ref="BF76:BG76" si="26">+BF73</f>
        <v>525000</v>
      </c>
      <c r="BG76" s="3121">
        <f t="shared" si="26"/>
        <v>459141.95203999989</v>
      </c>
      <c r="BH76" s="26"/>
      <c r="BI76" s="26"/>
      <c r="BJ76" s="26"/>
      <c r="BK76" s="26"/>
    </row>
    <row r="77" spans="1:63" ht="15.75" thickBot="1" x14ac:dyDescent="0.3">
      <c r="A77" s="183"/>
      <c r="B77" s="1305" t="s">
        <v>880</v>
      </c>
      <c r="C77" s="1306"/>
      <c r="D77" s="1306"/>
      <c r="E77" s="3157" t="s">
        <v>51</v>
      </c>
      <c r="F77" s="3090"/>
      <c r="G77" s="3091">
        <f>+G76/G73</f>
        <v>1</v>
      </c>
      <c r="H77" s="3090"/>
      <c r="I77" s="3091">
        <f>+I76/I73</f>
        <v>1</v>
      </c>
      <c r="J77" s="3099"/>
      <c r="K77" s="3103">
        <f>+K76/K73</f>
        <v>1</v>
      </c>
      <c r="L77" s="3090"/>
      <c r="M77" s="3091">
        <f>+M76/M73</f>
        <v>1</v>
      </c>
      <c r="N77" s="3112"/>
      <c r="O77" s="3113">
        <f>+O76/O73</f>
        <v>1</v>
      </c>
      <c r="P77" s="3090"/>
      <c r="Q77" s="3091">
        <f>+Q76/Q73</f>
        <v>1</v>
      </c>
      <c r="R77" s="3122"/>
      <c r="S77" s="3123">
        <f>+S76/S73</f>
        <v>1</v>
      </c>
      <c r="T77" s="3090"/>
      <c r="U77" s="3130">
        <f>+U76/U73</f>
        <v>1</v>
      </c>
      <c r="V77" s="3122"/>
      <c r="W77" s="3123">
        <f>+W76/W73</f>
        <v>1</v>
      </c>
      <c r="X77" s="2370"/>
      <c r="Y77" s="751">
        <f>+Y76/Y73</f>
        <v>1</v>
      </c>
      <c r="Z77" s="1980"/>
      <c r="AA77" s="1980">
        <f>+AA76/AA73</f>
        <v>1</v>
      </c>
      <c r="AB77" s="2195"/>
      <c r="AC77" s="2195">
        <f>+AC76/AC73</f>
        <v>1</v>
      </c>
      <c r="AD77" s="3090"/>
      <c r="AE77" s="3130">
        <f>+AE76/AE73</f>
        <v>1</v>
      </c>
      <c r="AF77" s="3122"/>
      <c r="AG77" s="3123">
        <f>+AG76/AG73</f>
        <v>1</v>
      </c>
      <c r="AH77" s="3090"/>
      <c r="AI77" s="3130">
        <f>+AI76/AI73</f>
        <v>1</v>
      </c>
      <c r="AJ77" s="3122"/>
      <c r="AK77" s="3123">
        <f>+AK76/AK73</f>
        <v>1</v>
      </c>
      <c r="AL77" s="3090"/>
      <c r="AM77" s="3130">
        <f>+AM76/AM73</f>
        <v>1</v>
      </c>
      <c r="AN77" s="1980"/>
      <c r="AO77" s="1980">
        <f>+AO76/AO73</f>
        <v>1</v>
      </c>
      <c r="AP77" s="3122"/>
      <c r="AQ77" s="3123">
        <f>+AQ76/AQ73</f>
        <v>1</v>
      </c>
      <c r="AR77" s="3090"/>
      <c r="AS77" s="3130">
        <f>+AS76/AS73</f>
        <v>1</v>
      </c>
      <c r="AT77" s="3122"/>
      <c r="AU77" s="3123">
        <f>+AU76/AU73</f>
        <v>1</v>
      </c>
      <c r="AV77" s="3090"/>
      <c r="AW77" s="3130">
        <f>+AW76/AW73</f>
        <v>1</v>
      </c>
      <c r="AX77" s="3122"/>
      <c r="AY77" s="3123">
        <f>+AY76/AY73</f>
        <v>1</v>
      </c>
      <c r="AZ77" s="3090"/>
      <c r="BA77" s="3130">
        <f>+BA76/BA73</f>
        <v>1</v>
      </c>
      <c r="BB77" s="1980"/>
      <c r="BC77" s="1980">
        <f>+BC76/BC73</f>
        <v>1</v>
      </c>
      <c r="BD77" s="2195"/>
      <c r="BE77" s="2195">
        <f>+BE76/BE73</f>
        <v>1</v>
      </c>
      <c r="BF77" s="3122"/>
      <c r="BG77" s="3123">
        <f>+BG76/BG73</f>
        <v>1</v>
      </c>
      <c r="BH77" s="26"/>
      <c r="BI77" s="26"/>
      <c r="BJ77" s="26"/>
      <c r="BK77" s="26"/>
    </row>
    <row r="78" spans="1:63" s="4618" customFormat="1" ht="15.75" thickBot="1" x14ac:dyDescent="0.3">
      <c r="A78" s="183"/>
      <c r="B78" s="2808" t="s">
        <v>1648</v>
      </c>
      <c r="C78" s="2807"/>
      <c r="D78" s="2807"/>
      <c r="E78" s="981" t="s">
        <v>51</v>
      </c>
      <c r="F78" s="2371"/>
      <c r="G78" s="2365"/>
      <c r="H78" s="2365"/>
      <c r="I78" s="2365"/>
      <c r="J78" s="2366"/>
      <c r="K78" s="2366"/>
      <c r="L78" s="2365"/>
      <c r="M78" s="2365"/>
      <c r="N78" s="2367"/>
      <c r="O78" s="3170"/>
      <c r="P78" s="2365"/>
      <c r="Q78" s="2365"/>
      <c r="R78" s="2365"/>
      <c r="S78" s="2365"/>
      <c r="T78" s="2365"/>
      <c r="U78" s="3171"/>
      <c r="V78" s="2365"/>
      <c r="W78" s="3171"/>
      <c r="X78" s="2365"/>
      <c r="Y78" s="2648"/>
      <c r="Z78" s="2367"/>
      <c r="AA78" s="2367"/>
      <c r="AB78" s="2368"/>
      <c r="AC78" s="2369"/>
      <c r="AD78" s="2365"/>
      <c r="AE78" s="3171"/>
      <c r="AF78" s="2365"/>
      <c r="AG78" s="3171">
        <f>(AC78*AC22+AE78*AE22)/AG22</f>
        <v>0</v>
      </c>
      <c r="AH78" s="2365"/>
      <c r="AI78" s="3171"/>
      <c r="AJ78" s="2365"/>
      <c r="AK78" s="3171">
        <f>(AG78*AG22+AI78*AI22)/AK22</f>
        <v>0</v>
      </c>
      <c r="AL78" s="2365"/>
      <c r="AM78" s="3171">
        <v>0.1246</v>
      </c>
      <c r="AN78" s="2367"/>
      <c r="AO78" s="2367"/>
      <c r="AP78" s="2365"/>
      <c r="AQ78" s="3171">
        <f>(AM78*AM22+AK78*AK22)/AQ22</f>
        <v>0</v>
      </c>
      <c r="AR78" s="2365"/>
      <c r="AS78" s="3171">
        <v>0.1072</v>
      </c>
      <c r="AT78" s="2365"/>
      <c r="AU78" s="3171">
        <f>(AQ78*AQ22+AS78*AS22)/AU22</f>
        <v>0</v>
      </c>
      <c r="AV78" s="2365"/>
      <c r="AW78" s="3171">
        <v>0.10150000000000001</v>
      </c>
      <c r="AX78" s="2365"/>
      <c r="AY78" s="3171"/>
      <c r="AZ78" s="2365"/>
      <c r="BA78" s="3171">
        <v>0.1343</v>
      </c>
      <c r="BB78" s="2367"/>
      <c r="BC78" s="2367"/>
      <c r="BD78" s="2368"/>
      <c r="BE78" s="2369"/>
      <c r="BF78" s="2365"/>
      <c r="BG78" s="3171"/>
      <c r="BH78" s="26"/>
      <c r="BI78" s="26"/>
      <c r="BJ78" s="26"/>
      <c r="BK78" s="26"/>
    </row>
    <row r="79" spans="1:63" ht="19.5" thickBot="1" x14ac:dyDescent="0.3">
      <c r="A79" s="183"/>
      <c r="B79" s="2888" t="s">
        <v>55</v>
      </c>
      <c r="C79" s="224"/>
      <c r="D79" s="224"/>
      <c r="E79" s="3158"/>
      <c r="F79" s="2888"/>
      <c r="G79" s="3132"/>
      <c r="H79" s="2888"/>
      <c r="I79" s="3132"/>
      <c r="J79" s="224"/>
      <c r="K79" s="224"/>
      <c r="L79" s="2888"/>
      <c r="M79" s="3132"/>
      <c r="N79" s="2888"/>
      <c r="O79" s="3132"/>
      <c r="P79" s="2888"/>
      <c r="Q79" s="3132"/>
      <c r="R79" s="2888"/>
      <c r="S79" s="3132"/>
      <c r="T79" s="2888"/>
      <c r="U79" s="3133"/>
      <c r="V79" s="2888"/>
      <c r="W79" s="3132"/>
      <c r="X79" s="301"/>
      <c r="Y79" s="301"/>
      <c r="Z79" s="301"/>
      <c r="AA79" s="301"/>
      <c r="AB79" s="301"/>
      <c r="AC79" s="301"/>
      <c r="AD79" s="2888"/>
      <c r="AE79" s="3133"/>
      <c r="AF79" s="2888"/>
      <c r="AG79" s="3132"/>
      <c r="AH79" s="2888"/>
      <c r="AI79" s="3133"/>
      <c r="AJ79" s="2888"/>
      <c r="AK79" s="3132"/>
      <c r="AL79" s="2888"/>
      <c r="AM79" s="3133"/>
      <c r="AN79" s="301"/>
      <c r="AO79" s="301"/>
      <c r="AP79" s="2888"/>
      <c r="AQ79" s="3132"/>
      <c r="AR79" s="2888"/>
      <c r="AS79" s="3133"/>
      <c r="AT79" s="2888"/>
      <c r="AU79" s="3132"/>
      <c r="AV79" s="2888"/>
      <c r="AW79" s="3133"/>
      <c r="AX79" s="2888"/>
      <c r="AY79" s="3132"/>
      <c r="AZ79" s="2888"/>
      <c r="BA79" s="3133"/>
      <c r="BB79" s="301"/>
      <c r="BC79" s="301"/>
      <c r="BD79" s="301"/>
      <c r="BE79" s="301"/>
      <c r="BF79" s="2888"/>
      <c r="BG79" s="3132"/>
      <c r="BH79" s="26"/>
      <c r="BI79" s="26"/>
      <c r="BJ79" s="26"/>
      <c r="BK79" s="26"/>
    </row>
    <row r="80" spans="1:63" x14ac:dyDescent="0.25">
      <c r="B80" s="1065" t="s">
        <v>95</v>
      </c>
      <c r="C80" s="3134"/>
      <c r="D80" s="3148"/>
      <c r="E80" s="1684" t="s">
        <v>226</v>
      </c>
      <c r="F80" s="3135">
        <f>+F2*24</f>
        <v>720</v>
      </c>
      <c r="G80" s="3136">
        <f>+G2*24</f>
        <v>720</v>
      </c>
      <c r="H80" s="3135">
        <f>+H2*24</f>
        <v>744</v>
      </c>
      <c r="I80" s="3136">
        <f>+I2*24</f>
        <v>744</v>
      </c>
      <c r="J80" s="994">
        <f>+F80+H80</f>
        <v>1464</v>
      </c>
      <c r="K80" s="1068">
        <f>+G80+I80</f>
        <v>1464</v>
      </c>
      <c r="L80" s="3135">
        <f>+L2*24</f>
        <v>720</v>
      </c>
      <c r="M80" s="3136">
        <f>+M2*24</f>
        <v>720</v>
      </c>
      <c r="N80" s="859">
        <f>+F80+H80+L80</f>
        <v>2184</v>
      </c>
      <c r="O80" s="102">
        <f>+G80+I80+M80</f>
        <v>2184</v>
      </c>
      <c r="P80" s="3135">
        <f>+P2*24</f>
        <v>744</v>
      </c>
      <c r="Q80" s="3136">
        <f>+Q2*24</f>
        <v>744</v>
      </c>
      <c r="R80" s="3137">
        <f>+N80+P80</f>
        <v>2928</v>
      </c>
      <c r="S80" s="3138">
        <f>+O80+Q80</f>
        <v>2928</v>
      </c>
      <c r="T80" s="3135">
        <f>+T2*24</f>
        <v>744</v>
      </c>
      <c r="U80" s="3139">
        <f>+U2*24</f>
        <v>744</v>
      </c>
      <c r="V80" s="3138">
        <f>+R80+T80</f>
        <v>3672</v>
      </c>
      <c r="W80" s="3159">
        <f>+S80+U80</f>
        <v>3672</v>
      </c>
      <c r="X80" s="240">
        <f>+X2*24</f>
        <v>720</v>
      </c>
      <c r="Y80" s="1163">
        <f>+Y2*24</f>
        <v>720</v>
      </c>
      <c r="Z80" s="1399">
        <f>+P80+T80+X80</f>
        <v>2208</v>
      </c>
      <c r="AA80" s="1399">
        <f>+Q80+U80+Y80</f>
        <v>2208</v>
      </c>
      <c r="AB80" s="840">
        <f>+N80+Z80</f>
        <v>4392</v>
      </c>
      <c r="AC80" s="840">
        <f>+AA80+O80</f>
        <v>4392</v>
      </c>
      <c r="AD80" s="3135">
        <f>+AD2*24</f>
        <v>744</v>
      </c>
      <c r="AE80" s="3139">
        <f>+AE2*24</f>
        <v>744</v>
      </c>
      <c r="AF80" s="3138">
        <f>+AB80+AD80</f>
        <v>5136</v>
      </c>
      <c r="AG80" s="3159">
        <f>+AC80+AE80</f>
        <v>5136</v>
      </c>
      <c r="AH80" s="3135">
        <f>+AH2*24</f>
        <v>720</v>
      </c>
      <c r="AI80" s="3139">
        <f>+AI2*24</f>
        <v>720</v>
      </c>
      <c r="AJ80" s="3138">
        <f>+AF80+AH80</f>
        <v>5856</v>
      </c>
      <c r="AK80" s="3159">
        <f>+AG80+AI80</f>
        <v>5856</v>
      </c>
      <c r="AL80" s="3135">
        <f>+AL2*24</f>
        <v>744</v>
      </c>
      <c r="AM80" s="3139">
        <f>+AM2*24</f>
        <v>744</v>
      </c>
      <c r="AN80" s="4324">
        <f>+AD80+AH80+AL80</f>
        <v>2208</v>
      </c>
      <c r="AO80" s="4324">
        <f>+AE80+AI80+AM80</f>
        <v>2208</v>
      </c>
      <c r="AP80" s="53">
        <f t="shared" ref="AP80" si="27">AJ80+AL80</f>
        <v>6600</v>
      </c>
      <c r="AQ80" s="53">
        <f t="shared" ref="AQ80" si="28">AK80+AM80</f>
        <v>6600</v>
      </c>
      <c r="AR80" s="3135">
        <f>+AR2*24</f>
        <v>744</v>
      </c>
      <c r="AS80" s="3139">
        <f>+AS2*24</f>
        <v>744</v>
      </c>
      <c r="AT80" s="3138">
        <f>+AP80+AR80</f>
        <v>7344</v>
      </c>
      <c r="AU80" s="3159">
        <f>+AQ80+AS80</f>
        <v>7344</v>
      </c>
      <c r="AV80" s="3135">
        <f>+AV2*24</f>
        <v>696</v>
      </c>
      <c r="AW80" s="3139">
        <f>+AW2*24</f>
        <v>696</v>
      </c>
      <c r="AX80" s="3138">
        <f>+AT80+AV80</f>
        <v>8040</v>
      </c>
      <c r="AY80" s="3159">
        <f>+AU80+AW80</f>
        <v>8040</v>
      </c>
      <c r="AZ80" s="3135">
        <f>+AZ2*24</f>
        <v>744</v>
      </c>
      <c r="BA80" s="3139">
        <f>+BA2*24</f>
        <v>744</v>
      </c>
      <c r="BB80" s="5119">
        <f>+AR80+AV80+AZ80</f>
        <v>2184</v>
      </c>
      <c r="BC80" s="5119">
        <f>+AS80+AW80+BA80</f>
        <v>2184</v>
      </c>
      <c r="BD80" s="839">
        <f t="shared" ref="BD80" si="29">+AN80+BB80</f>
        <v>4392</v>
      </c>
      <c r="BE80" s="839">
        <f t="shared" ref="BE80" si="30">+AO80+BC80</f>
        <v>4392</v>
      </c>
      <c r="BF80" s="3138">
        <f>+AX80+AZ80</f>
        <v>8784</v>
      </c>
      <c r="BG80" s="3159">
        <f>+AY80+BA80</f>
        <v>8784</v>
      </c>
      <c r="BH80" s="26"/>
      <c r="BI80" s="26"/>
      <c r="BJ80" s="26"/>
      <c r="BK80" s="26"/>
    </row>
    <row r="81" spans="1:63" x14ac:dyDescent="0.25">
      <c r="B81" s="9" t="s">
        <v>310</v>
      </c>
      <c r="C81" s="941"/>
      <c r="D81" s="3149"/>
      <c r="E81" s="1828" t="s">
        <v>51</v>
      </c>
      <c r="F81" s="932">
        <f>+F82/F80*100</f>
        <v>90</v>
      </c>
      <c r="G81" s="162">
        <f>+G82/G80*100</f>
        <v>79.861111111111171</v>
      </c>
      <c r="H81" s="932">
        <f>+H82/H80*100</f>
        <v>74.193548387096769</v>
      </c>
      <c r="I81" s="162">
        <f>+I82/I80*100</f>
        <v>69.05241935483869</v>
      </c>
      <c r="J81" s="466">
        <f t="shared" ref="J81:AC81" si="31">+J82/J80*100</f>
        <v>81.967213114754102</v>
      </c>
      <c r="K81" s="1070">
        <f t="shared" si="31"/>
        <v>74.368169398907142</v>
      </c>
      <c r="L81" s="932">
        <f>+L82/L80*100</f>
        <v>73.333333333333329</v>
      </c>
      <c r="M81" s="162">
        <f>+M82/M80*100</f>
        <v>63.912037037037031</v>
      </c>
      <c r="N81" s="106">
        <f t="shared" si="31"/>
        <v>79.120879120879124</v>
      </c>
      <c r="O81" s="2126">
        <f t="shared" si="31"/>
        <v>70.921092796092807</v>
      </c>
      <c r="P81" s="932">
        <f>+P82/P80*100</f>
        <v>90.322580645161281</v>
      </c>
      <c r="Q81" s="162">
        <f>+Q82/Q80*100</f>
        <v>70.826612903225822</v>
      </c>
      <c r="R81" s="70">
        <f t="shared" si="31"/>
        <v>81.967213114754102</v>
      </c>
      <c r="S81" s="2895">
        <f t="shared" si="31"/>
        <v>70.897085610200378</v>
      </c>
      <c r="T81" s="932">
        <f>+T82/T80*100</f>
        <v>90.322580645161281</v>
      </c>
      <c r="U81" s="2735">
        <f>+U82/U80*100</f>
        <v>85.259856630824387</v>
      </c>
      <c r="V81" s="2895">
        <f t="shared" ref="V81:W81" si="32">+V82/V80*100</f>
        <v>83.66013071895425</v>
      </c>
      <c r="W81" s="134">
        <f t="shared" si="32"/>
        <v>73.80718954248367</v>
      </c>
      <c r="X81" s="69">
        <f>+X82/X80*100</f>
        <v>90</v>
      </c>
      <c r="Y81" s="541">
        <f>+Y82/Y80*100</f>
        <v>77.1875</v>
      </c>
      <c r="Z81" s="106">
        <f t="shared" si="31"/>
        <v>90.217391304347828</v>
      </c>
      <c r="AA81" s="106">
        <f t="shared" si="31"/>
        <v>77.764190821256037</v>
      </c>
      <c r="AB81" s="841">
        <f t="shared" si="31"/>
        <v>84.699453551912569</v>
      </c>
      <c r="AC81" s="841">
        <f t="shared" si="31"/>
        <v>74.361338797814213</v>
      </c>
      <c r="AD81" s="932">
        <f>+AD82/AD80*100</f>
        <v>90.322580645161281</v>
      </c>
      <c r="AE81" s="2735">
        <f>+AE82/AE80*100</f>
        <v>78.202956989247312</v>
      </c>
      <c r="AF81" s="2895">
        <f t="shared" ref="AF81:AG81" si="33">+AF82/AF80*100</f>
        <v>85.514018691588788</v>
      </c>
      <c r="AG81" s="134">
        <f t="shared" si="33"/>
        <v>74.917834890965736</v>
      </c>
      <c r="AH81" s="932">
        <f>+AH82/AH80*100</f>
        <v>90</v>
      </c>
      <c r="AI81" s="2735">
        <f>+AI82/AI80*100</f>
        <v>84.027777777777786</v>
      </c>
      <c r="AJ81" s="2895">
        <f t="shared" ref="AJ81:AK81" si="34">+AJ82/AJ80*100</f>
        <v>86.065573770491795</v>
      </c>
      <c r="AK81" s="134">
        <f t="shared" si="34"/>
        <v>76.03790983606558</v>
      </c>
      <c r="AL81" s="932">
        <f>+AL82/AL80*100</f>
        <v>90.322580645161281</v>
      </c>
      <c r="AM81" s="2735">
        <f>+AM82/AM80*100</f>
        <v>79.782706093189958</v>
      </c>
      <c r="AN81" s="106">
        <f t="shared" ref="AN81:AQ81" si="35">+AN82/AN80*100</f>
        <v>90.217391304347828</v>
      </c>
      <c r="AO81" s="106">
        <f t="shared" si="35"/>
        <v>80.634661835748787</v>
      </c>
      <c r="AP81" s="2895">
        <f t="shared" si="35"/>
        <v>86.545454545454547</v>
      </c>
      <c r="AQ81" s="134">
        <f t="shared" si="35"/>
        <v>76.460050505050518</v>
      </c>
      <c r="AR81" s="932">
        <f>+AR82/AR80*100</f>
        <v>90.322580645161281</v>
      </c>
      <c r="AS81" s="2735">
        <f>+AS82/AS80*100</f>
        <v>81.653225806451601</v>
      </c>
      <c r="AT81" s="2895">
        <f t="shared" ref="AT81:AU81" si="36">+AT82/AT80*100</f>
        <v>86.928104575163403</v>
      </c>
      <c r="AU81" s="134">
        <f t="shared" si="36"/>
        <v>76.986156499636891</v>
      </c>
      <c r="AV81" s="932">
        <f>+AV82/AV80*100</f>
        <v>89.65517241379311</v>
      </c>
      <c r="AW81" s="2735">
        <f>+AW82/AW80*100</f>
        <v>84.841954022988489</v>
      </c>
      <c r="AX81" s="2895">
        <f t="shared" ref="AX81:AY81" si="37">+AX82/AX80*100</f>
        <v>87.164179104477611</v>
      </c>
      <c r="AY81" s="134">
        <f t="shared" si="37"/>
        <v>77.666210613598679</v>
      </c>
      <c r="AZ81" s="932">
        <f>+AZ82/AZ80*100</f>
        <v>90.322580645161281</v>
      </c>
      <c r="BA81" s="2735">
        <f>+BA82/BA80*100</f>
        <v>81.686827956989248</v>
      </c>
      <c r="BB81" s="106">
        <f t="shared" ref="BB81:BE81" si="38">+BB82/BB80*100</f>
        <v>90.109890109890117</v>
      </c>
      <c r="BC81" s="106">
        <f t="shared" si="38"/>
        <v>82.680860805860803</v>
      </c>
      <c r="BD81" s="841">
        <f t="shared" si="38"/>
        <v>90.163934426229503</v>
      </c>
      <c r="BE81" s="841">
        <f t="shared" si="38"/>
        <v>81.65217061323618</v>
      </c>
      <c r="BF81" s="2895">
        <f t="shared" ref="BF81:BG81" si="39">+BF82/BF80*100</f>
        <v>87.431693989071036</v>
      </c>
      <c r="BG81" s="134">
        <f t="shared" si="39"/>
        <v>78.006754705525211</v>
      </c>
      <c r="BH81" s="26"/>
      <c r="BI81" s="26"/>
      <c r="BJ81" s="26"/>
      <c r="BK81" s="26"/>
    </row>
    <row r="82" spans="1:63" x14ac:dyDescent="0.25">
      <c r="B82" s="9" t="s">
        <v>309</v>
      </c>
      <c r="C82" s="941"/>
      <c r="D82" s="3149"/>
      <c r="E82" s="1828" t="s">
        <v>226</v>
      </c>
      <c r="F82" s="3092">
        <v>648</v>
      </c>
      <c r="G82" s="217">
        <v>575.00000000000045</v>
      </c>
      <c r="H82" s="3092">
        <v>552</v>
      </c>
      <c r="I82" s="217">
        <v>513.74999999999989</v>
      </c>
      <c r="J82" s="952">
        <f>+F82+H82</f>
        <v>1200</v>
      </c>
      <c r="K82" s="3104">
        <f>+G82+I82</f>
        <v>1088.7500000000005</v>
      </c>
      <c r="L82" s="3092">
        <v>528</v>
      </c>
      <c r="M82" s="217">
        <v>460.16666666666663</v>
      </c>
      <c r="N82" s="2950">
        <f>+F82+H82+L82</f>
        <v>1728</v>
      </c>
      <c r="O82" s="98">
        <f>+G82+I82+M82</f>
        <v>1548.916666666667</v>
      </c>
      <c r="P82" s="3092">
        <v>672</v>
      </c>
      <c r="Q82" s="217">
        <v>526.95000000000005</v>
      </c>
      <c r="R82" s="1010">
        <f>+N82+P82</f>
        <v>2400</v>
      </c>
      <c r="S82" s="3124">
        <f>+O82+Q82</f>
        <v>2075.8666666666668</v>
      </c>
      <c r="T82" s="3092">
        <v>672</v>
      </c>
      <c r="U82" s="2697">
        <v>634.33333333333337</v>
      </c>
      <c r="V82" s="3162">
        <f>+R82+T82</f>
        <v>3072</v>
      </c>
      <c r="W82" s="2281">
        <f>+S82+U82</f>
        <v>2710.2000000000003</v>
      </c>
      <c r="X82" s="879">
        <v>648</v>
      </c>
      <c r="Y82" s="1411">
        <v>555.75</v>
      </c>
      <c r="Z82" s="106">
        <f>+P82+T82+X82</f>
        <v>1992</v>
      </c>
      <c r="AA82" s="284">
        <f>+Q82+U82+Y82</f>
        <v>1717.0333333333333</v>
      </c>
      <c r="AB82" s="840">
        <f>+N82+Z82</f>
        <v>3720</v>
      </c>
      <c r="AC82" s="840">
        <f>+AA82+O82</f>
        <v>3265.9500000000003</v>
      </c>
      <c r="AD82" s="3092">
        <v>672</v>
      </c>
      <c r="AE82" s="2697">
        <v>581.83000000000004</v>
      </c>
      <c r="AF82" s="3162">
        <f>+AB82+AD82</f>
        <v>4392</v>
      </c>
      <c r="AG82" s="2281">
        <f>+AC82+AE82</f>
        <v>3847.78</v>
      </c>
      <c r="AH82" s="3092">
        <v>648</v>
      </c>
      <c r="AI82" s="2697">
        <v>605</v>
      </c>
      <c r="AJ82" s="3162">
        <f>+AF82+AH82</f>
        <v>5040</v>
      </c>
      <c r="AK82" s="2281">
        <f>+AG82+AI82</f>
        <v>4452.7800000000007</v>
      </c>
      <c r="AL82" s="3092">
        <v>672</v>
      </c>
      <c r="AM82" s="2697">
        <v>593.58333333333326</v>
      </c>
      <c r="AN82" s="106">
        <f>+AD82+AH82+AL82</f>
        <v>1992</v>
      </c>
      <c r="AO82" s="284">
        <f>+AE82+AI82+AM82</f>
        <v>1780.4133333333332</v>
      </c>
      <c r="AP82" s="53">
        <f t="shared" ref="AP82:AQ82" si="40">AJ82+AL82</f>
        <v>5712</v>
      </c>
      <c r="AQ82" s="53">
        <f t="shared" si="40"/>
        <v>5046.3633333333337</v>
      </c>
      <c r="AR82" s="3092">
        <v>672</v>
      </c>
      <c r="AS82" s="2697">
        <v>607.49999999999989</v>
      </c>
      <c r="AT82" s="3162">
        <f>+AP82+AR82</f>
        <v>6384</v>
      </c>
      <c r="AU82" s="2281">
        <f>+AQ82+AS82</f>
        <v>5653.8633333333337</v>
      </c>
      <c r="AV82" s="3092">
        <v>624</v>
      </c>
      <c r="AW82" s="2697">
        <v>590.49999999999989</v>
      </c>
      <c r="AX82" s="3162">
        <f>+AT82+AV82</f>
        <v>7008</v>
      </c>
      <c r="AY82" s="2281">
        <f>+AU82+AW82</f>
        <v>6244.3633333333337</v>
      </c>
      <c r="AZ82" s="3092">
        <v>672</v>
      </c>
      <c r="BA82" s="2697">
        <v>607.75</v>
      </c>
      <c r="BB82" s="106">
        <f>+AR82+AV82+AZ82</f>
        <v>1968</v>
      </c>
      <c r="BC82" s="284">
        <f>+AS82+AW82+BA82</f>
        <v>1805.7499999999998</v>
      </c>
      <c r="BD82" s="839">
        <f t="shared" ref="BD82:BE84" si="41">+AN82+BB82</f>
        <v>3960</v>
      </c>
      <c r="BE82" s="839">
        <f t="shared" si="41"/>
        <v>3586.163333333333</v>
      </c>
      <c r="BF82" s="3162">
        <f>+AX82+AZ82</f>
        <v>7680</v>
      </c>
      <c r="BG82" s="2281">
        <f>+AY82+BA82</f>
        <v>6852.1133333333337</v>
      </c>
      <c r="BH82" s="26"/>
      <c r="BI82" s="26"/>
      <c r="BJ82" s="26"/>
      <c r="BK82" s="26"/>
    </row>
    <row r="83" spans="1:63" x14ac:dyDescent="0.25">
      <c r="B83" s="9" t="s">
        <v>311</v>
      </c>
      <c r="C83" s="941"/>
      <c r="D83" s="3149"/>
      <c r="E83" s="1828" t="s">
        <v>51</v>
      </c>
      <c r="F83" s="939">
        <f>+F84/F82*100</f>
        <v>75</v>
      </c>
      <c r="G83" s="1669">
        <f>+G84/G82*100</f>
        <v>79.231884057970959</v>
      </c>
      <c r="H83" s="939">
        <f>+H84/H82*100</f>
        <v>75</v>
      </c>
      <c r="I83" s="1669">
        <f>+I84/I82*100</f>
        <v>75.944849959448504</v>
      </c>
      <c r="J83" s="466">
        <f t="shared" ref="J83:AC83" si="42">+J84/J82*100</f>
        <v>75</v>
      </c>
      <c r="K83" s="1070">
        <f t="shared" si="42"/>
        <v>77.680826636050483</v>
      </c>
      <c r="L83" s="939">
        <f>+L84/L82*100</f>
        <v>75</v>
      </c>
      <c r="M83" s="1669">
        <f>+M84/M82*100</f>
        <v>80.061571894241226</v>
      </c>
      <c r="N83" s="106">
        <f t="shared" si="42"/>
        <v>75</v>
      </c>
      <c r="O83" s="2126">
        <f t="shared" si="42"/>
        <v>78.388120729542138</v>
      </c>
      <c r="P83" s="939">
        <f>+P84/P82*100</f>
        <v>75</v>
      </c>
      <c r="Q83" s="1669">
        <f>+Q84/Q82*100</f>
        <v>79.251668406237144</v>
      </c>
      <c r="R83" s="70">
        <f t="shared" si="42"/>
        <v>75</v>
      </c>
      <c r="S83" s="2895">
        <f t="shared" si="42"/>
        <v>78.607328665938709</v>
      </c>
      <c r="T83" s="939">
        <f>+T84/T82*100</f>
        <v>75</v>
      </c>
      <c r="U83" s="2735">
        <f>+U84/U82*100</f>
        <v>83.815028901734095</v>
      </c>
      <c r="V83" s="2895">
        <f t="shared" ref="V83:W83" si="43">+V84/V82*100</f>
        <v>75</v>
      </c>
      <c r="W83" s="134">
        <f t="shared" si="43"/>
        <v>79.826212087668793</v>
      </c>
      <c r="X83" s="541">
        <f>+X84/X82*100</f>
        <v>75</v>
      </c>
      <c r="Y83" s="541">
        <f>+Y84/Y82*100</f>
        <v>82.786024891288051</v>
      </c>
      <c r="Z83" s="106">
        <f t="shared" si="42"/>
        <v>75</v>
      </c>
      <c r="AA83" s="106">
        <f t="shared" si="42"/>
        <v>82.081497155947275</v>
      </c>
      <c r="AB83" s="841">
        <f t="shared" si="42"/>
        <v>75</v>
      </c>
      <c r="AC83" s="841">
        <f t="shared" si="42"/>
        <v>80.329868287430401</v>
      </c>
      <c r="AD83" s="939">
        <f>+AD84/AD82*100</f>
        <v>75</v>
      </c>
      <c r="AE83" s="2735">
        <f>+AE84/AE82*100</f>
        <v>80.120768380225599</v>
      </c>
      <c r="AF83" s="2895">
        <f t="shared" ref="AF83:AG83" si="44">+AF84/AF82*100</f>
        <v>75</v>
      </c>
      <c r="AG83" s="134">
        <f t="shared" si="44"/>
        <v>80.298249899942292</v>
      </c>
      <c r="AH83" s="939">
        <f>+AH84/AH82*100</f>
        <v>75</v>
      </c>
      <c r="AI83" s="2735">
        <f>+AI84/AI82*100</f>
        <v>81.597796143250704</v>
      </c>
      <c r="AJ83" s="2895">
        <f t="shared" ref="AJ83:AK83" si="45">+AJ84/AJ82*100</f>
        <v>75</v>
      </c>
      <c r="AK83" s="134">
        <f t="shared" si="45"/>
        <v>80.474819476072611</v>
      </c>
      <c r="AL83" s="939">
        <f>+AL84/AL82*100</f>
        <v>75</v>
      </c>
      <c r="AM83" s="2735">
        <f>+AM84/AM82*100</f>
        <v>82.984697458935869</v>
      </c>
      <c r="AN83" s="106">
        <f t="shared" ref="AN83:AQ83" si="46">+AN84/AN82*100</f>
        <v>75</v>
      </c>
      <c r="AO83" s="106">
        <f t="shared" si="46"/>
        <v>81.577498857943112</v>
      </c>
      <c r="AP83" s="2895">
        <f t="shared" si="46"/>
        <v>75</v>
      </c>
      <c r="AQ83" s="134">
        <f t="shared" si="46"/>
        <v>80.770046284155782</v>
      </c>
      <c r="AR83" s="939">
        <f>+AR84/AR82*100</f>
        <v>75</v>
      </c>
      <c r="AS83" s="2735">
        <f>+AS84/AS82*100</f>
        <v>77.654320987654344</v>
      </c>
      <c r="AT83" s="2895">
        <f t="shared" ref="AT83:AU83" si="47">+AT84/AT82*100</f>
        <v>75</v>
      </c>
      <c r="AU83" s="134">
        <f t="shared" si="47"/>
        <v>80.435265797605069</v>
      </c>
      <c r="AV83" s="939">
        <f>+AV84/AV82*100</f>
        <v>75</v>
      </c>
      <c r="AW83" s="2735">
        <f>+AW84/AW82*100</f>
        <v>83.163985323172469</v>
      </c>
      <c r="AX83" s="2895">
        <f t="shared" ref="AX83:AY83" si="48">+AX84/AX82*100</f>
        <v>75</v>
      </c>
      <c r="AY83" s="134">
        <f t="shared" si="48"/>
        <v>80.693307937985665</v>
      </c>
      <c r="AZ83" s="939">
        <f>+AZ84/AZ82*100</f>
        <v>75</v>
      </c>
      <c r="BA83" s="2735">
        <f>+BA84/BA82*100</f>
        <v>85.204991087344013</v>
      </c>
      <c r="BB83" s="106">
        <f t="shared" ref="BB83:BE83" si="49">+BB84/BB82*100</f>
        <v>75</v>
      </c>
      <c r="BC83" s="106">
        <f t="shared" si="49"/>
        <v>81.997323365176058</v>
      </c>
      <c r="BD83" s="841">
        <f t="shared" si="49"/>
        <v>75</v>
      </c>
      <c r="BE83" s="841">
        <f t="shared" si="49"/>
        <v>81.788894166374646</v>
      </c>
      <c r="BF83" s="2895">
        <f t="shared" ref="BF83:BG83" si="50">+BF84/BF82*100</f>
        <v>75</v>
      </c>
      <c r="BG83" s="134">
        <f t="shared" si="50"/>
        <v>81.093472865305785</v>
      </c>
      <c r="BH83" s="26"/>
      <c r="BI83" s="26"/>
      <c r="BJ83" s="26"/>
      <c r="BK83" s="26"/>
    </row>
    <row r="84" spans="1:63" x14ac:dyDescent="0.25">
      <c r="B84" s="9" t="s">
        <v>312</v>
      </c>
      <c r="C84" s="941"/>
      <c r="D84" s="3149"/>
      <c r="E84" s="1828" t="s">
        <v>226</v>
      </c>
      <c r="F84" s="2949">
        <v>486</v>
      </c>
      <c r="G84" s="217">
        <v>455.58333333333337</v>
      </c>
      <c r="H84" s="2949">
        <v>414</v>
      </c>
      <c r="I84" s="217">
        <v>390.16666666666657</v>
      </c>
      <c r="J84" s="524">
        <f>+F84+H84</f>
        <v>900</v>
      </c>
      <c r="K84" s="806">
        <f>+G84+I84</f>
        <v>845.75</v>
      </c>
      <c r="L84" s="2949">
        <v>396</v>
      </c>
      <c r="M84" s="217">
        <v>368.41666666666669</v>
      </c>
      <c r="N84" s="2950">
        <f>+F84+H84+L84</f>
        <v>1296</v>
      </c>
      <c r="O84" s="98">
        <f>+G84+I84+M84</f>
        <v>1214.1666666666667</v>
      </c>
      <c r="P84" s="2949">
        <v>504</v>
      </c>
      <c r="Q84" s="217">
        <v>417.61666666666667</v>
      </c>
      <c r="R84" s="3058">
        <f>+N84+P84</f>
        <v>1800</v>
      </c>
      <c r="S84" s="3124">
        <f>+O84+Q84</f>
        <v>1631.7833333333333</v>
      </c>
      <c r="T84" s="2949">
        <v>504</v>
      </c>
      <c r="U84" s="2697">
        <v>531.66666666666663</v>
      </c>
      <c r="V84" s="445">
        <f>+R84+T84</f>
        <v>2304</v>
      </c>
      <c r="W84" s="2281">
        <f>+S84+U84</f>
        <v>2163.4499999999998</v>
      </c>
      <c r="X84" s="420">
        <v>486</v>
      </c>
      <c r="Y84" s="1411">
        <v>460.08333333333331</v>
      </c>
      <c r="Z84" s="106">
        <f>+P84+T84+X84</f>
        <v>1494</v>
      </c>
      <c r="AA84" s="284">
        <f>+Q84+U84+Y84</f>
        <v>1409.3666666666666</v>
      </c>
      <c r="AB84" s="840">
        <f>+N84+Z84</f>
        <v>2790</v>
      </c>
      <c r="AC84" s="840">
        <f>+AA84+O84</f>
        <v>2623.5333333333333</v>
      </c>
      <c r="AD84" s="4088">
        <v>504</v>
      </c>
      <c r="AE84" s="2697">
        <v>466.16666666666663</v>
      </c>
      <c r="AF84" s="445">
        <f>+AB84+AD84</f>
        <v>3294</v>
      </c>
      <c r="AG84" s="2281">
        <f>+AC84+AE84</f>
        <v>3089.7</v>
      </c>
      <c r="AH84" s="4179">
        <v>486</v>
      </c>
      <c r="AI84" s="2697">
        <v>493.66666666666674</v>
      </c>
      <c r="AJ84" s="445">
        <f>+AF84+AH84</f>
        <v>3780</v>
      </c>
      <c r="AK84" s="2281">
        <f>+AG84+AI84</f>
        <v>3583.3666666666668</v>
      </c>
      <c r="AL84" s="4311">
        <v>504</v>
      </c>
      <c r="AM84" s="2697">
        <v>492.58333333333343</v>
      </c>
      <c r="AN84" s="106">
        <f>+AD84+AH84+AL84</f>
        <v>1494</v>
      </c>
      <c r="AO84" s="284">
        <f>+AE84+AI84+AM84</f>
        <v>1452.4166666666667</v>
      </c>
      <c r="AP84" s="53">
        <f t="shared" ref="AP84:AQ84" si="51">AJ84+AL84</f>
        <v>4284</v>
      </c>
      <c r="AQ84" s="53">
        <f t="shared" si="51"/>
        <v>4075.9500000000003</v>
      </c>
      <c r="AR84" s="4435">
        <v>504</v>
      </c>
      <c r="AS84" s="2697">
        <v>471.75000000000006</v>
      </c>
      <c r="AT84" s="445">
        <f>+AP84+AR84</f>
        <v>4788</v>
      </c>
      <c r="AU84" s="2281">
        <f>+AQ84+AS84</f>
        <v>4547.7000000000007</v>
      </c>
      <c r="AV84" s="4672">
        <v>468</v>
      </c>
      <c r="AW84" s="2697">
        <v>491.08333333333331</v>
      </c>
      <c r="AX84" s="445">
        <f>+AT84+AV84</f>
        <v>5256</v>
      </c>
      <c r="AY84" s="2281">
        <f>+AU84+AW84</f>
        <v>5038.7833333333338</v>
      </c>
      <c r="AZ84" s="5100">
        <v>504</v>
      </c>
      <c r="BA84" s="2697">
        <v>517.83333333333326</v>
      </c>
      <c r="BB84" s="106">
        <f>+AR84+AV84+AZ84</f>
        <v>1476</v>
      </c>
      <c r="BC84" s="284">
        <f>+AS84+AW84+BA84</f>
        <v>1480.6666666666665</v>
      </c>
      <c r="BD84" s="839">
        <f t="shared" si="41"/>
        <v>2970</v>
      </c>
      <c r="BE84" s="839">
        <f t="shared" si="41"/>
        <v>2933.083333333333</v>
      </c>
      <c r="BF84" s="445">
        <f>+AX84+AZ84</f>
        <v>5760</v>
      </c>
      <c r="BG84" s="2281">
        <f>+AY84+BA84</f>
        <v>5556.6166666666668</v>
      </c>
      <c r="BH84" s="26"/>
      <c r="BI84" s="26"/>
      <c r="BJ84" s="26"/>
      <c r="BK84" s="26"/>
    </row>
    <row r="85" spans="1:63" x14ac:dyDescent="0.25">
      <c r="B85" s="9" t="s">
        <v>519</v>
      </c>
      <c r="C85" s="941"/>
      <c r="D85" s="3149"/>
      <c r="E85" s="1828" t="s">
        <v>518</v>
      </c>
      <c r="F85" s="939">
        <f>+F84/(F82/24)</f>
        <v>18</v>
      </c>
      <c r="G85" s="1669">
        <f>+G84/(G82/24)</f>
        <v>19.015652173913029</v>
      </c>
      <c r="H85" s="939">
        <f>+H84/(H82/24)</f>
        <v>18</v>
      </c>
      <c r="I85" s="1669">
        <f>+I84/(I82/24)</f>
        <v>18.226763990267639</v>
      </c>
      <c r="J85" s="466">
        <f t="shared" ref="J85:AC85" si="52">+J84/(J82/24)</f>
        <v>18</v>
      </c>
      <c r="K85" s="3105">
        <f t="shared" si="52"/>
        <v>18.643398392652117</v>
      </c>
      <c r="L85" s="939">
        <f>+L84/(L82/24)</f>
        <v>18</v>
      </c>
      <c r="M85" s="1669">
        <f>+M84/(M82/24)</f>
        <v>19.214777254617893</v>
      </c>
      <c r="N85" s="106">
        <f t="shared" si="52"/>
        <v>18</v>
      </c>
      <c r="O85" s="143">
        <f t="shared" si="52"/>
        <v>18.813148975090115</v>
      </c>
      <c r="P85" s="939">
        <f>+P84/(P82/24)</f>
        <v>18</v>
      </c>
      <c r="Q85" s="1669">
        <f>+Q84/(Q82/24)</f>
        <v>19.020400417496916</v>
      </c>
      <c r="R85" s="70">
        <f t="shared" si="52"/>
        <v>18</v>
      </c>
      <c r="S85" s="134">
        <f t="shared" si="52"/>
        <v>18.865758879825293</v>
      </c>
      <c r="T85" s="939">
        <f>+T84/(T82/24)</f>
        <v>18</v>
      </c>
      <c r="U85" s="2735">
        <f>+U84/(U82/24)</f>
        <v>20.115606936416182</v>
      </c>
      <c r="V85" s="2895">
        <f t="shared" ref="V85:W85" si="53">+V84/(V82/24)</f>
        <v>18</v>
      </c>
      <c r="W85" s="134">
        <f t="shared" si="53"/>
        <v>19.158290901040509</v>
      </c>
      <c r="X85" s="541">
        <f>+X84/(X82/24)</f>
        <v>18</v>
      </c>
      <c r="Y85" s="541">
        <f>+Y84/(Y82/24)</f>
        <v>19.868645973909132</v>
      </c>
      <c r="Z85" s="106">
        <f t="shared" si="52"/>
        <v>18</v>
      </c>
      <c r="AA85" s="143">
        <f t="shared" si="52"/>
        <v>19.699559317427344</v>
      </c>
      <c r="AB85" s="841">
        <f t="shared" si="52"/>
        <v>18</v>
      </c>
      <c r="AC85" s="842">
        <f t="shared" si="52"/>
        <v>19.279168388983294</v>
      </c>
      <c r="AD85" s="939">
        <f>+AD84/(AD82/24)</f>
        <v>18</v>
      </c>
      <c r="AE85" s="2735">
        <f>+AE84/(AE82/24)</f>
        <v>19.228984411254142</v>
      </c>
      <c r="AF85" s="2895">
        <f t="shared" ref="AF85:AG85" si="54">+AF84/(AF82/24)</f>
        <v>18</v>
      </c>
      <c r="AG85" s="134">
        <f t="shared" si="54"/>
        <v>19.27157997598615</v>
      </c>
      <c r="AH85" s="939">
        <f>+AH84/(AH82/24)</f>
        <v>18</v>
      </c>
      <c r="AI85" s="2735">
        <f>+AI84/(AI82/24)</f>
        <v>19.583471074380171</v>
      </c>
      <c r="AJ85" s="2895">
        <f t="shared" ref="AJ85:AK85" si="55">+AJ84/(AJ82/24)</f>
        <v>18</v>
      </c>
      <c r="AK85" s="134">
        <f t="shared" si="55"/>
        <v>19.31395667425743</v>
      </c>
      <c r="AL85" s="939">
        <f>+AL84/(AL82/24)</f>
        <v>18</v>
      </c>
      <c r="AM85" s="2735">
        <f>+AM84/(AM82/24)</f>
        <v>19.916327390144609</v>
      </c>
      <c r="AN85" s="106">
        <f t="shared" ref="AN85:AQ85" si="56">+AN84/(AN82/24)</f>
        <v>18</v>
      </c>
      <c r="AO85" s="143">
        <f t="shared" si="56"/>
        <v>19.578599725906344</v>
      </c>
      <c r="AP85" s="2895">
        <f t="shared" si="56"/>
        <v>18</v>
      </c>
      <c r="AQ85" s="134">
        <f t="shared" si="56"/>
        <v>19.384811108197386</v>
      </c>
      <c r="AR85" s="939">
        <f>+AR84/(AR82/24)</f>
        <v>18</v>
      </c>
      <c r="AS85" s="2735">
        <f>+AS84/(AS82/24)</f>
        <v>18.637037037037043</v>
      </c>
      <c r="AT85" s="2895">
        <f t="shared" ref="AT85:AU85" si="57">+AT84/(AT82/24)</f>
        <v>18</v>
      </c>
      <c r="AU85" s="134">
        <f t="shared" si="57"/>
        <v>19.304463791425217</v>
      </c>
      <c r="AV85" s="939">
        <f>+AV84/(AV82/24)</f>
        <v>18</v>
      </c>
      <c r="AW85" s="2735">
        <f>+AW84/(AW82/24)</f>
        <v>19.959356477561393</v>
      </c>
      <c r="AX85" s="2895">
        <f t="shared" ref="AX85:AY85" si="58">+AX84/(AX82/24)</f>
        <v>18</v>
      </c>
      <c r="AY85" s="134">
        <f t="shared" si="58"/>
        <v>19.36639390511656</v>
      </c>
      <c r="AZ85" s="939">
        <f>+AZ84/(AZ82/24)</f>
        <v>18</v>
      </c>
      <c r="BA85" s="2735">
        <f>+BA84/(BA82/24)</f>
        <v>20.449197860962563</v>
      </c>
      <c r="BB85" s="106">
        <f t="shared" ref="BB85:BE85" si="59">+BB84/(BB82/24)</f>
        <v>18</v>
      </c>
      <c r="BC85" s="143">
        <f t="shared" si="59"/>
        <v>19.679357607642253</v>
      </c>
      <c r="BD85" s="841">
        <f t="shared" si="59"/>
        <v>18</v>
      </c>
      <c r="BE85" s="842">
        <f t="shared" si="59"/>
        <v>19.629334599929916</v>
      </c>
      <c r="BF85" s="2895">
        <f t="shared" ref="BF85:BG85" si="60">+BF84/(BF82/24)</f>
        <v>18</v>
      </c>
      <c r="BG85" s="134">
        <f t="shared" si="60"/>
        <v>19.462433487673387</v>
      </c>
      <c r="BH85" s="26"/>
      <c r="BI85" s="26"/>
      <c r="BJ85" s="26"/>
      <c r="BK85" s="26"/>
    </row>
    <row r="86" spans="1:63" x14ac:dyDescent="0.25">
      <c r="A86" s="2061">
        <v>0.28399999999999997</v>
      </c>
      <c r="B86" s="9" t="s">
        <v>313</v>
      </c>
      <c r="C86" s="941"/>
      <c r="D86" s="3149"/>
      <c r="E86" s="1828" t="s">
        <v>1143</v>
      </c>
      <c r="F86" s="1225">
        <f>+$A$86</f>
        <v>0.28399999999999997</v>
      </c>
      <c r="G86" s="269">
        <v>0.48299999999999998</v>
      </c>
      <c r="H86" s="1225">
        <f>+$A$86</f>
        <v>0.28399999999999997</v>
      </c>
      <c r="I86" s="269">
        <v>0.45600000000000002</v>
      </c>
      <c r="J86" s="1226">
        <f>+((F86*F5)+(H86*0))/J5</f>
        <v>0.15412195121951219</v>
      </c>
      <c r="K86" s="1073">
        <f>+((G86*G5)+(I86*I5))/K5</f>
        <v>0.47063886477825123</v>
      </c>
      <c r="L86" s="1225">
        <f>+$A$86</f>
        <v>0.28399999999999997</v>
      </c>
      <c r="M86" s="475">
        <v>0.62339999999999995</v>
      </c>
      <c r="N86" s="456">
        <f>+((F86*F5)+(H86*H5)+(L86*L5))/N5</f>
        <v>0.28399999999999992</v>
      </c>
      <c r="O86" s="3114">
        <f>+((G86*G5)+(I86*I5)+(M86*M5))/O5</f>
        <v>0.51853192887929622</v>
      </c>
      <c r="P86" s="1225">
        <f>+$A$86</f>
        <v>0.28399999999999997</v>
      </c>
      <c r="Q86" s="269">
        <v>0.57699999999999996</v>
      </c>
      <c r="R86" s="455">
        <f>+((N86*N5)+(P86*P5))/R5</f>
        <v>0.28399999999999997</v>
      </c>
      <c r="S86" s="3125">
        <f>+((O86*O5)+(Q86*Q5))/S5</f>
        <v>0.53398125911080319</v>
      </c>
      <c r="T86" s="1225">
        <f>+$A$86</f>
        <v>0.28399999999999997</v>
      </c>
      <c r="U86" s="3131">
        <v>0.44700000000000001</v>
      </c>
      <c r="V86" s="3125">
        <f>+((R86*R5)+(T86*T5))/V5</f>
        <v>0.28399999999999997</v>
      </c>
      <c r="W86" s="229">
        <f>+((S86*S5)+(U86*U5))/W5</f>
        <v>0.5114485100836309</v>
      </c>
      <c r="X86" s="951">
        <f>+$A$86</f>
        <v>0.28399999999999997</v>
      </c>
      <c r="Y86" s="242">
        <v>0.47199999999999998</v>
      </c>
      <c r="Z86" s="456">
        <f>+((P86*P5)+(T86*T5)+(X86*X5))/Z5</f>
        <v>0.28399999999999997</v>
      </c>
      <c r="AA86" s="456">
        <f>+((Q86*Q5)+(U86*U5)+(Y86*Y5))/AA5</f>
        <v>0.49289718299160001</v>
      </c>
      <c r="AB86" s="843">
        <f>+((N86*N5)+(Z86*Z5))/AB5</f>
        <v>0.28399999999999997</v>
      </c>
      <c r="AC86" s="843">
        <f>+((O86*O5)+(AA86*AA5))/AC5</f>
        <v>0.50436170393621527</v>
      </c>
      <c r="AD86" s="1225">
        <f>+$A$86</f>
        <v>0.28399999999999997</v>
      </c>
      <c r="AE86" s="3131">
        <v>0.53500000000000003</v>
      </c>
      <c r="AF86" s="3125">
        <f>+((AB86*AB5)+(AD86*AD5))/AF5</f>
        <v>0.28399999999999997</v>
      </c>
      <c r="AG86" s="229">
        <f>+((AC86*AC5)+(AE86*AE5))/AG5</f>
        <v>0.50915507466021337</v>
      </c>
      <c r="AH86" s="1225">
        <f>+$A$86</f>
        <v>0.28399999999999997</v>
      </c>
      <c r="AI86" s="3131">
        <v>0.53500000000000003</v>
      </c>
      <c r="AJ86" s="3125">
        <f>+((AF86*AF5)+(AH86*AH5))/AJ5</f>
        <v>0.28399999999999997</v>
      </c>
      <c r="AK86" s="229">
        <f>+((AG86*AG5)+(AI86*AI5))/AK5</f>
        <v>0.51285531812970975</v>
      </c>
      <c r="AL86" s="1225">
        <f>+$A$86</f>
        <v>0.28399999999999997</v>
      </c>
      <c r="AM86" s="3131">
        <v>0.52600000000000002</v>
      </c>
      <c r="AN86" s="456">
        <f>+((AD86*AD5)+(AH86*AH5)+(AL86*AL5))/AN5</f>
        <v>0.28399999999999997</v>
      </c>
      <c r="AO86" s="456">
        <f>+((AE86*AE5)+(AI86*AI5)+(AM86*AM5))/AO5</f>
        <v>0.53197134665830426</v>
      </c>
      <c r="AP86" s="3125">
        <f>+((AL86*AL5)+(AJ86*AJ5))/AP5</f>
        <v>0.28399999999999997</v>
      </c>
      <c r="AQ86" s="229">
        <f>+((AM86*AM5)+(AK86*AK5))/AQ5</f>
        <v>0.51447570779897855</v>
      </c>
      <c r="AR86" s="1225">
        <f>+$A$86</f>
        <v>0.28399999999999997</v>
      </c>
      <c r="AS86" s="3131">
        <v>0.58199999999999996</v>
      </c>
      <c r="AT86" s="3125">
        <f>+((AP86*AP5)+(AR86*AR5))/AT5</f>
        <v>0.28399999999999997</v>
      </c>
      <c r="AU86" s="229">
        <f>+((AQ86*AQ5)+(AS86*AS5))/AU5</f>
        <v>0.52190761809155528</v>
      </c>
      <c r="AV86" s="1225">
        <f>+$A$86</f>
        <v>0.28399999999999997</v>
      </c>
      <c r="AW86" s="3131">
        <v>0.497</v>
      </c>
      <c r="AX86" s="3125">
        <f>+((AT86*AT5)+(AV86*AV5))/AX5</f>
        <v>0.28399999999999997</v>
      </c>
      <c r="AY86" s="229">
        <f>+((AU86*AU5)+(AW86*AW5))/AY5</f>
        <v>0.51934540004256824</v>
      </c>
      <c r="AZ86" s="1225">
        <f>+$A$86</f>
        <v>0.28399999999999997</v>
      </c>
      <c r="BA86" s="2708">
        <v>0.44550000000000001</v>
      </c>
      <c r="BB86" s="456">
        <f>+((AR86*AR5)+(AV86*AV5)+(AZ86*AZ5))/BB5</f>
        <v>0.28399999999999997</v>
      </c>
      <c r="BC86" s="456">
        <f>+((AS86*AS5)+(AW86*AW5)+(BA86*BA5))/BC5</f>
        <v>0.50525978078658873</v>
      </c>
      <c r="BD86" s="843">
        <f>+((AN86*AN5)+(BB86*BB5))/BD5</f>
        <v>0.28399999999999997</v>
      </c>
      <c r="BE86" s="843">
        <f>+((AO86*AO5)+(BC86*BC5))/BE5</f>
        <v>0.51813736019353851</v>
      </c>
      <c r="BF86" s="3125">
        <f>+((AX86*AX5)+(AZ86*AZ5))/BF5</f>
        <v>0.28399999999999997</v>
      </c>
      <c r="BG86" s="229">
        <f>+((AY86*AY5)+(BA86*BA5))/BG5-0.001</f>
        <v>0.51087315935630673</v>
      </c>
      <c r="BH86" s="26"/>
      <c r="BI86" s="26"/>
      <c r="BJ86" s="26"/>
      <c r="BK86" s="26"/>
    </row>
    <row r="87" spans="1:63" x14ac:dyDescent="0.25">
      <c r="B87" s="9" t="s">
        <v>314</v>
      </c>
      <c r="C87" s="941"/>
      <c r="D87" s="3149"/>
      <c r="E87" s="1828" t="s">
        <v>218</v>
      </c>
      <c r="F87" s="2949">
        <f>+'POWER DISTRIBUTION'!I28</f>
        <v>4807286.2545477962</v>
      </c>
      <c r="G87" s="591">
        <f>+'POWER DISTRIBUTION'!J28</f>
        <v>3367143.3333333307</v>
      </c>
      <c r="H87" s="2949">
        <f>+'POWER DISTRIBUTION'!K28</f>
        <v>4423083.9223717386</v>
      </c>
      <c r="I87" s="591">
        <f>+'POWER DISTRIBUTION'!L28</f>
        <v>3180186.6666666679</v>
      </c>
      <c r="J87" s="524">
        <f>+F87+H87</f>
        <v>9230370.1769195348</v>
      </c>
      <c r="K87" s="635">
        <f>+G87+I87</f>
        <v>6547329.9999999981</v>
      </c>
      <c r="L87" s="2949">
        <f>+'POWER DISTRIBUTION'!O28</f>
        <v>4249040.5654768692</v>
      </c>
      <c r="M87" s="591">
        <f>+'POWER DISTRIBUTION'!P28</f>
        <v>3015063.333333334</v>
      </c>
      <c r="N87" s="2950">
        <f>+F87+H87+L87</f>
        <v>13479410.742396403</v>
      </c>
      <c r="O87" s="98">
        <f>+G87+I87+M87</f>
        <v>9562393.3333333321</v>
      </c>
      <c r="P87" s="2949">
        <f>+'POWER DISTRIBUTION'!S28</f>
        <v>4969329.6114426646</v>
      </c>
      <c r="Q87" s="591">
        <f>+'POWER DISTRIBUTION'!T28</f>
        <v>3526096.6666666633</v>
      </c>
      <c r="R87" s="3058">
        <f>+N87+P87</f>
        <v>18448740.35383907</v>
      </c>
      <c r="S87" s="53">
        <f>+O87+Q87</f>
        <v>13088489.999999996</v>
      </c>
      <c r="T87" s="2949">
        <f>+'POWER DISTRIBUTION'!W28</f>
        <v>4969329.6114426646</v>
      </c>
      <c r="U87" s="2729">
        <f>+'POWER DISTRIBUTION'!X28</f>
        <v>3963613.3333333349</v>
      </c>
      <c r="V87" s="445">
        <f>+R87+T87</f>
        <v>23418069.965281732</v>
      </c>
      <c r="W87" s="118">
        <f>+S87+U87</f>
        <v>17052103.333333332</v>
      </c>
      <c r="X87" s="420">
        <f>+'POWER DISTRIBUTION'!AA28</f>
        <v>4807286.2545477962</v>
      </c>
      <c r="Y87" s="420">
        <f>+'POWER DISTRIBUTION'!AB28</f>
        <v>3566580.9999999972</v>
      </c>
      <c r="Z87" s="101">
        <f>+P87+T87+X87</f>
        <v>14745945.477433126</v>
      </c>
      <c r="AA87" s="98">
        <f>+Q87+U87+Y87</f>
        <v>11056290.999999996</v>
      </c>
      <c r="AB87" s="840">
        <f>+N87+Z87</f>
        <v>28225356.21982953</v>
      </c>
      <c r="AC87" s="840">
        <f>+AA87+O87</f>
        <v>20618684.333333328</v>
      </c>
      <c r="AD87" s="4088">
        <f>+'POWER DISTRIBUTION'!AG28</f>
        <v>4969329.6114426646</v>
      </c>
      <c r="AE87" s="2729">
        <f>+'POWER DISTRIBUTION'!AH28</f>
        <v>3620622.0000000056</v>
      </c>
      <c r="AF87" s="445">
        <f>+AB87+AD87</f>
        <v>33194685.831272192</v>
      </c>
      <c r="AG87" s="118">
        <f>+AC87+AE87</f>
        <v>24239306.333333336</v>
      </c>
      <c r="AH87" s="4179">
        <f>+'POWER DISTRIBUTION'!AK28</f>
        <v>4807286.2545477962</v>
      </c>
      <c r="AI87" s="2729">
        <f>+'POWER DISTRIBUTION'!AL28</f>
        <v>3634779.6666666651</v>
      </c>
      <c r="AJ87" s="445">
        <f>+AF87+AH87</f>
        <v>38001972.085819989</v>
      </c>
      <c r="AK87" s="118">
        <f>+AG87+AI87</f>
        <v>27874086</v>
      </c>
      <c r="AL87" s="4311">
        <f>+'POWER DISTRIBUTION'!AO28</f>
        <v>4969329.6114426646</v>
      </c>
      <c r="AM87" s="2729">
        <f>+'POWER DISTRIBUTION'!AP28</f>
        <v>3655641</v>
      </c>
      <c r="AN87" s="4313">
        <f>+AD87+AH87+AL87</f>
        <v>14745945.477433125</v>
      </c>
      <c r="AO87" s="98">
        <f>+AE87+AI87+AM87</f>
        <v>10911042.666666672</v>
      </c>
      <c r="AP87" s="53">
        <f t="shared" ref="AP87:AQ87" si="61">AJ87+AL87</f>
        <v>42971301.697262652</v>
      </c>
      <c r="AQ87" s="53">
        <f t="shared" si="61"/>
        <v>31529727</v>
      </c>
      <c r="AR87" s="4435">
        <f>+'POWER DISTRIBUTION'!AU28</f>
        <v>4969329.6114426646</v>
      </c>
      <c r="AS87" s="2729">
        <f>+'POWER DISTRIBUTION'!AV28</f>
        <v>3613682.3333333377</v>
      </c>
      <c r="AT87" s="445">
        <f>+AP87+AR87</f>
        <v>47940631.308705315</v>
      </c>
      <c r="AU87" s="118">
        <f>+AQ87+AS87</f>
        <v>35143409.333333336</v>
      </c>
      <c r="AV87" s="4672">
        <f>+'POWER DISTRIBUTION'!AY28</f>
        <v>4537213.9930563467</v>
      </c>
      <c r="AW87" s="2729">
        <f>+'POWER DISTRIBUTION'!AZ28</f>
        <v>3304544.9999999991</v>
      </c>
      <c r="AX87" s="445">
        <f>+AT87+AV87</f>
        <v>52477845.301761664</v>
      </c>
      <c r="AY87" s="118">
        <f>+AU87+AW87</f>
        <v>38447954.333333336</v>
      </c>
      <c r="AZ87" s="5100">
        <f>+'POWER DISTRIBUTION'!BC28</f>
        <v>4969329.6114426646</v>
      </c>
      <c r="BA87" s="2729">
        <f>+'POWER DISTRIBUTION'!BD28</f>
        <v>3926232.9999999977</v>
      </c>
      <c r="BB87" s="5102">
        <f>+AR87+AV87+AZ87</f>
        <v>14475873.215941677</v>
      </c>
      <c r="BC87" s="98">
        <f>+AS87+AW87+BA87</f>
        <v>10844460.333333334</v>
      </c>
      <c r="BD87" s="839">
        <f t="shared" ref="BD87" si="62">+AN87+BB87</f>
        <v>29221818.693374801</v>
      </c>
      <c r="BE87" s="839">
        <f t="shared" ref="BE87" si="63">+AO87+BC87</f>
        <v>21755503.000000007</v>
      </c>
      <c r="BF87" s="445">
        <f>+AX87+AZ87</f>
        <v>57447174.913204327</v>
      </c>
      <c r="BG87" s="118">
        <f>+AY87+BA87</f>
        <v>42374187.333333336</v>
      </c>
      <c r="BH87" s="26"/>
      <c r="BI87" s="26"/>
      <c r="BJ87" s="26"/>
      <c r="BK87" s="26"/>
    </row>
    <row r="88" spans="1:63" x14ac:dyDescent="0.25">
      <c r="B88" s="9" t="s">
        <v>315</v>
      </c>
      <c r="C88" s="941"/>
      <c r="D88" s="3149"/>
      <c r="E88" s="1828" t="s">
        <v>307</v>
      </c>
      <c r="F88" s="939">
        <f t="shared" ref="F88:AK88" si="64">+F87/F5</f>
        <v>102.0873148437678</v>
      </c>
      <c r="G88" s="1669">
        <f t="shared" si="64"/>
        <v>91.236082031845115</v>
      </c>
      <c r="H88" s="939">
        <f t="shared" si="64"/>
        <v>111.46171484376781</v>
      </c>
      <c r="I88" s="1669">
        <f t="shared" si="64"/>
        <v>102.04851219168013</v>
      </c>
      <c r="J88" s="466">
        <f t="shared" si="64"/>
        <v>106.37438801449953</v>
      </c>
      <c r="K88" s="3105">
        <f t="shared" si="64"/>
        <v>96.18622689412048</v>
      </c>
      <c r="L88" s="939">
        <f t="shared" si="64"/>
        <v>111.5373148437678</v>
      </c>
      <c r="M88" s="1669">
        <f t="shared" si="64"/>
        <v>96.987497571610618</v>
      </c>
      <c r="N88" s="106">
        <f t="shared" si="64"/>
        <v>107.94951823359831</v>
      </c>
      <c r="O88" s="143">
        <f t="shared" si="64"/>
        <v>96.437438092987364</v>
      </c>
      <c r="P88" s="939">
        <f t="shared" si="64"/>
        <v>102.08731484376777</v>
      </c>
      <c r="Q88" s="1669">
        <f t="shared" si="64"/>
        <v>99.019633282070586</v>
      </c>
      <c r="R88" s="70">
        <f t="shared" si="64"/>
        <v>106.30524167303609</v>
      </c>
      <c r="S88" s="134">
        <f t="shared" si="64"/>
        <v>97.119745298162627</v>
      </c>
      <c r="T88" s="939">
        <f t="shared" si="64"/>
        <v>102.08731484376777</v>
      </c>
      <c r="U88" s="2735">
        <f t="shared" si="64"/>
        <v>84.121686745215115</v>
      </c>
      <c r="V88" s="2895">
        <f t="shared" si="64"/>
        <v>105.38131484376778</v>
      </c>
      <c r="W88" s="134">
        <f t="shared" si="64"/>
        <v>93.752560295230424</v>
      </c>
      <c r="X88" s="541">
        <f t="shared" si="64"/>
        <v>102.0873148437678</v>
      </c>
      <c r="Y88" s="541">
        <f t="shared" si="64"/>
        <v>89.544331760378171</v>
      </c>
      <c r="Z88" s="106">
        <f t="shared" si="64"/>
        <v>102.0873148437678</v>
      </c>
      <c r="AA88" s="143">
        <f t="shared" si="64"/>
        <v>90.212701689150819</v>
      </c>
      <c r="AB88" s="841">
        <f t="shared" si="64"/>
        <v>104.80535020722556</v>
      </c>
      <c r="AC88" s="842">
        <f t="shared" si="64"/>
        <v>92.996564700281553</v>
      </c>
      <c r="AD88" s="939">
        <f t="shared" si="64"/>
        <v>102.08731484376777</v>
      </c>
      <c r="AE88" s="2735">
        <f t="shared" si="64"/>
        <v>88.048792635288422</v>
      </c>
      <c r="AF88" s="2895">
        <f t="shared" si="64"/>
        <v>104.38927823811056</v>
      </c>
      <c r="AG88" s="134">
        <f t="shared" si="64"/>
        <v>92.222484258080129</v>
      </c>
      <c r="AH88" s="939">
        <f t="shared" si="64"/>
        <v>102.0873148437678</v>
      </c>
      <c r="AI88" s="2735">
        <f t="shared" si="64"/>
        <v>82.762550202552049</v>
      </c>
      <c r="AJ88" s="2895">
        <f t="shared" si="64"/>
        <v>104.09235832202866</v>
      </c>
      <c r="AK88" s="134">
        <f t="shared" si="64"/>
        <v>90.868096162520516</v>
      </c>
      <c r="AL88" s="939">
        <f t="shared" ref="AL88:BG88" si="65">+AL87/AL5</f>
        <v>102.08731484376777</v>
      </c>
      <c r="AM88" s="2735">
        <f t="shared" si="65"/>
        <v>84.755741658326869</v>
      </c>
      <c r="AN88" s="106">
        <f t="shared" si="65"/>
        <v>102.08731484376777</v>
      </c>
      <c r="AO88" s="143">
        <f t="shared" si="65"/>
        <v>85.129268313146099</v>
      </c>
      <c r="AP88" s="2895">
        <f t="shared" si="65"/>
        <v>103.85647085399798</v>
      </c>
      <c r="AQ88" s="134">
        <f t="shared" si="65"/>
        <v>90.114605420695113</v>
      </c>
      <c r="AR88" s="939">
        <f t="shared" si="65"/>
        <v>102.08731484376777</v>
      </c>
      <c r="AS88" s="2735">
        <f t="shared" si="65"/>
        <v>83.511042922148278</v>
      </c>
      <c r="AT88" s="2895">
        <f t="shared" si="65"/>
        <v>103.6702439055527</v>
      </c>
      <c r="AU88" s="134">
        <f t="shared" si="65"/>
        <v>89.387799074402409</v>
      </c>
      <c r="AV88" s="939">
        <f t="shared" si="65"/>
        <v>102.0873148437678</v>
      </c>
      <c r="AW88" s="2735">
        <f t="shared" si="65"/>
        <v>73.302379276984169</v>
      </c>
      <c r="AX88" s="2895">
        <f t="shared" si="65"/>
        <v>103.53144845545883</v>
      </c>
      <c r="AY88" s="134">
        <f t="shared" si="65"/>
        <v>87.733110425372118</v>
      </c>
      <c r="AZ88" s="939">
        <f t="shared" si="65"/>
        <v>102.08731484376777</v>
      </c>
      <c r="BA88" s="2735">
        <f t="shared" si="65"/>
        <v>79.580744224302975</v>
      </c>
      <c r="BB88" s="106">
        <f t="shared" si="65"/>
        <v>102.08731484376779</v>
      </c>
      <c r="BC88" s="143">
        <f t="shared" si="65"/>
        <v>78.760321680375085</v>
      </c>
      <c r="BD88" s="841">
        <f t="shared" si="65"/>
        <v>102.08731484376777</v>
      </c>
      <c r="BE88" s="842">
        <f t="shared" si="65"/>
        <v>81.830774996216817</v>
      </c>
      <c r="BF88" s="2895">
        <f t="shared" si="65"/>
        <v>103.4049148437678</v>
      </c>
      <c r="BG88" s="134">
        <f t="shared" si="65"/>
        <v>86.908191847074534</v>
      </c>
      <c r="BH88" s="26"/>
      <c r="BI88" s="26"/>
      <c r="BJ88" s="26"/>
      <c r="BK88" s="26"/>
    </row>
    <row r="89" spans="1:63" ht="15" customHeight="1" x14ac:dyDescent="0.25">
      <c r="B89" s="9" t="s">
        <v>316</v>
      </c>
      <c r="C89" s="941"/>
      <c r="D89" s="3149"/>
      <c r="E89" s="1828" t="s">
        <v>308</v>
      </c>
      <c r="F89" s="487">
        <f>+EMD!D38/(EMD!D2*24)</f>
        <v>1.2600477490016702</v>
      </c>
      <c r="G89" s="2951">
        <f>+EMD!E38/(EMD!E2*24)</f>
        <v>3.2120138888888889</v>
      </c>
      <c r="H89" s="487">
        <f>+EMD!F38/(EMD!F2*24)</f>
        <v>1.2407865609073203</v>
      </c>
      <c r="I89" s="2951">
        <f>+EMD!G38/(EMD!G2*24)</f>
        <v>2.7682795698924729</v>
      </c>
      <c r="J89" s="883">
        <f t="shared" ref="J89:K91" si="66">+((F89*F$2)+(H89*H$2))/J$2</f>
        <v>1.250259276363558</v>
      </c>
      <c r="K89" s="961">
        <f t="shared" si="66"/>
        <v>2.9865095628415297</v>
      </c>
      <c r="L89" s="487">
        <f>+EMD!J38/(EMD!J2*24)</f>
        <v>1.3891949811815429</v>
      </c>
      <c r="M89" s="2951">
        <f>+EMD!K38/(EMD!K2*24)</f>
        <v>2.8033527159938876</v>
      </c>
      <c r="N89" s="459">
        <f t="shared" ref="N89:O91" si="67">+((F89*F$2)+(H89*H$2)+(L89*L$2))/N$2</f>
        <v>1.2960622559738826</v>
      </c>
      <c r="O89" s="3115">
        <f t="shared" si="67"/>
        <v>2.9261281847598895</v>
      </c>
      <c r="P89" s="487">
        <f>+EMD!N38/(EMD!N2*24)</f>
        <v>1.2629385895648331</v>
      </c>
      <c r="Q89" s="2951">
        <f>+EMD!O38/(EMD!O2*24)</f>
        <v>3.4808155498557234</v>
      </c>
      <c r="R89" s="112">
        <f t="shared" ref="R89:S91" si="68">+((N89*N$2)+(P89*P$2))/R$2</f>
        <v>1.2876455866404357</v>
      </c>
      <c r="S89" s="3126">
        <f t="shared" si="68"/>
        <v>3.0670733349071915</v>
      </c>
      <c r="T89" s="487">
        <f>+EMD!R38/(EMD!R2*24)</f>
        <v>1.2629385895648331</v>
      </c>
      <c r="U89" s="2703">
        <f>+EMD!S38/(EMD!S2*24)</f>
        <v>3.8588817933457529</v>
      </c>
      <c r="V89" s="3126">
        <f t="shared" ref="V89:V91" si="69">+((R89*R$2)+(T89*T$2))/V$2</f>
        <v>1.2826395937689083</v>
      </c>
      <c r="W89" s="3160">
        <f t="shared" ref="W89:W91" si="70">+((S89*S$2)+(U89*U$2))/W$2</f>
        <v>3.2275051140679456</v>
      </c>
      <c r="X89" s="542">
        <f>+EMD!V38/(EMD!V2*24)</f>
        <v>1.2561231494966785</v>
      </c>
      <c r="Y89" s="1415">
        <f>+EMD!W38/(EMD!W2*24)</f>
        <v>3.778083333333333</v>
      </c>
      <c r="Z89" s="459">
        <f t="shared" ref="Z89:AA91" si="71">+((P89*P$2)+(T89*T$2)+(X89*X$2))/Z$2</f>
        <v>1.2607161634556523</v>
      </c>
      <c r="AA89" s="459">
        <f t="shared" si="71"/>
        <v>3.7051425830352795</v>
      </c>
      <c r="AB89" s="844">
        <f t="shared" ref="AB89:AC91" si="72">+((N89*N$2)+(Z89*Z$2))/AB$2</f>
        <v>1.2782926356914937</v>
      </c>
      <c r="AC89" s="844">
        <f t="shared" si="72"/>
        <v>3.3177638385376813</v>
      </c>
      <c r="AD89" s="487">
        <f>+EMD!AB38/(EMD!AB2*24)</f>
        <v>1.2591241644429956</v>
      </c>
      <c r="AE89" s="2703">
        <f>+EMD!AC38/(EMD!AC2*24)</f>
        <v>4.1173980404561945</v>
      </c>
      <c r="AF89" s="3126">
        <f t="shared" ref="AF89:AF91" si="73">+((AB89*AB$2)+(AD89*AD$2))/AF$2</f>
        <v>1.2755158945293281</v>
      </c>
      <c r="AG89" s="3160">
        <f t="shared" ref="AG89:AG91" si="74">+((AC89*AC$2)+(AE89*AE$2))/AG$2</f>
        <v>3.4335986995632601</v>
      </c>
      <c r="AH89" s="487">
        <f>+EMD!AF38/(EMD!AF2*24)</f>
        <v>1.2561231494966785</v>
      </c>
      <c r="AI89" s="2703">
        <f>+EMD!AG38/(EMD!AG2*24)</f>
        <v>4.4500927082125763</v>
      </c>
      <c r="AJ89" s="3126">
        <f t="shared" ref="AJ89:AJ91" si="75">+((AF89*AF$2)+(AH89*AH$2))/AJ$2</f>
        <v>1.2731315406318711</v>
      </c>
      <c r="AK89" s="3160">
        <f t="shared" ref="AK89:AK91" si="76">+((AG89*AG$2)+(AI89*AI$2))/AK$2</f>
        <v>3.5585774711185039</v>
      </c>
      <c r="AL89" s="487">
        <f>+EMD!AJ38/(EMD!AJ2*24)</f>
        <v>1.2591241644429956</v>
      </c>
      <c r="AM89" s="2703">
        <f>+EMD!AK38/(EMD!AK2*24)</f>
        <v>4.3647908531402608</v>
      </c>
      <c r="AN89" s="459">
        <f t="shared" ref="AN89:AN91" si="77">+((AD89*AD$2)+(AH89*AH$2)+(AL89*AL$2))/AN$2</f>
        <v>1.2581455726126749</v>
      </c>
      <c r="AO89" s="459">
        <f t="shared" ref="AO89:AO91" si="78">+((AE89*AE$2)+(AI89*AI$2)+(AM89*AM$2))/AO$2</f>
        <v>4.309246053781167</v>
      </c>
      <c r="AP89" s="3126">
        <f t="shared" ref="AP89:AQ91" si="79">+((AL89*AL$2)+(AJ89*AJ$2))/AP$2</f>
        <v>1.2715525273160342</v>
      </c>
      <c r="AQ89" s="3160">
        <f t="shared" si="79"/>
        <v>3.6494597069100472</v>
      </c>
      <c r="AR89" s="487">
        <f>+EMD!AP38/(EMD!AP2*24)</f>
        <v>1.2591241644429956</v>
      </c>
      <c r="AS89" s="2703">
        <f>+EMD!AQ38/(EMD!AQ2*24)</f>
        <v>4.393416731780091</v>
      </c>
      <c r="AT89" s="3126">
        <f t="shared" ref="AT89:AT91" si="80">+((AP89*AP$2)+(AR89*AR$2))/AT$2</f>
        <v>1.2702934448027525</v>
      </c>
      <c r="AU89" s="3160">
        <f t="shared" ref="AU89:AU91" si="81">+((AQ89*AQ$2)+(AS89*AS$2))/AU$2</f>
        <v>3.7248279022400186</v>
      </c>
      <c r="AV89" s="487">
        <f>+EMD!AT38/(EMD!AT2*24)</f>
        <v>1.2398115557208724</v>
      </c>
      <c r="AW89" s="2703">
        <f>+EMD!AU38/(EMD!AU2*24)</f>
        <v>4.104102985672232</v>
      </c>
      <c r="AX89" s="3126">
        <f t="shared" ref="AX89:AX91" si="82">+((AT89*AT$2)+(AV89*AV$2))/AX$2</f>
        <v>1.2676547141061121</v>
      </c>
      <c r="AY89" s="3160">
        <f t="shared" ref="AY89:AY91" si="83">+((AU89*AU$2)+(AW89*AW$2))/AY$2</f>
        <v>3.7576606706565387</v>
      </c>
      <c r="AZ89" s="487">
        <f>+EMD!AX38/(EMD!AX2*24)</f>
        <v>1.2591241644429956</v>
      </c>
      <c r="BA89" s="2703">
        <f>+EMD!AY38/(EMD!AY2*24)</f>
        <v>4.0809799467987444</v>
      </c>
      <c r="BB89" s="459">
        <f t="shared" ref="BB89:BB91" si="84">+((AR89*AR$2)+(AV89*AV$2)+(AZ89*AZ$2))/BB$2</f>
        <v>1.252969596828253</v>
      </c>
      <c r="BC89" s="459">
        <f t="shared" ref="BC89:BC91" si="85">+((AS89*AS$2)+(AW89*AW$2)+(BA89*BA$2))/BC$2</f>
        <v>4.1947833364883369</v>
      </c>
      <c r="BD89" s="844">
        <f t="shared" ref="BD89:BE91" si="86">+((AN89*AN$2)+(BB89*BB$2))/BD$2</f>
        <v>1.255571726730804</v>
      </c>
      <c r="BE89" s="844">
        <f t="shared" si="86"/>
        <v>4.2523274347994864</v>
      </c>
      <c r="BF89" s="3126">
        <f t="shared" ref="BF89:BF91" si="87">+((AX89*AX$2)+(AZ89*AZ$2))/BF$2</f>
        <v>1.2669321812111487</v>
      </c>
      <c r="BG89" s="3160">
        <f t="shared" ref="BG89:BG91" si="88">+((AY89*AY$2)+(BA89*BA$2))/BG$2</f>
        <v>3.7850456366685838</v>
      </c>
      <c r="BH89" s="26"/>
      <c r="BI89" s="26"/>
      <c r="BJ89" s="26"/>
      <c r="BK89" s="26"/>
    </row>
    <row r="90" spans="1:63" x14ac:dyDescent="0.25">
      <c r="B90" s="9" t="s">
        <v>317</v>
      </c>
      <c r="C90" s="941"/>
      <c r="D90" s="3149"/>
      <c r="E90" s="1828" t="s">
        <v>308</v>
      </c>
      <c r="F90" s="487">
        <f>+EMD!D68/(EMD!D2*24)</f>
        <v>5.2415659187015562</v>
      </c>
      <c r="G90" s="2951">
        <f>+EMD!E68/(EMD!E2*24)</f>
        <v>5.4545430572066493</v>
      </c>
      <c r="H90" s="487">
        <f>+EMD!F68/(EMD!F2*24)</f>
        <v>4.1615257816530953</v>
      </c>
      <c r="I90" s="2951">
        <f>+EMD!G68/(EMD!G2*24)</f>
        <v>3.5247722400676404</v>
      </c>
      <c r="J90" s="466">
        <f t="shared" si="66"/>
        <v>4.6926930621687326</v>
      </c>
      <c r="K90" s="1070">
        <f t="shared" si="66"/>
        <v>4.4738398550540381</v>
      </c>
      <c r="L90" s="487">
        <f>+EMD!J68/(EMD!J2*24)</f>
        <v>4.0442850444062479</v>
      </c>
      <c r="M90" s="2951">
        <f>+EMD!K68/(EMD!K2*24)</f>
        <v>6.9874598343882592</v>
      </c>
      <c r="N90" s="459">
        <f t="shared" si="67"/>
        <v>4.4789321771920889</v>
      </c>
      <c r="O90" s="3115">
        <f t="shared" si="67"/>
        <v>5.3025057823070778</v>
      </c>
      <c r="P90" s="487">
        <f>+EMD!N68/(EMD!N2*24)</f>
        <v>5.2421751543944053</v>
      </c>
      <c r="Q90" s="2951">
        <f>+EMD!O68/(EMD!O2*24)</f>
        <v>5.6722714018523153</v>
      </c>
      <c r="R90" s="70">
        <f t="shared" si="68"/>
        <v>4.6728709664812023</v>
      </c>
      <c r="S90" s="2895">
        <f t="shared" si="68"/>
        <v>5.3964626200603751</v>
      </c>
      <c r="T90" s="487">
        <f>+EMD!R68/(EMD!R2*24)</f>
        <v>5.2421751543944053</v>
      </c>
      <c r="U90" s="2703">
        <f>+EMD!S68/(EMD!S2*24)</f>
        <v>5.3646234650595499</v>
      </c>
      <c r="V90" s="2895">
        <f t="shared" si="69"/>
        <v>4.7882201810257072</v>
      </c>
      <c r="W90" s="134">
        <f t="shared" si="70"/>
        <v>5.3900115494392935</v>
      </c>
      <c r="X90" s="542">
        <f>+EMD!V68/(EMD!V2*24)</f>
        <v>5.2436467281301153</v>
      </c>
      <c r="Y90" s="1415">
        <f>+EMD!W68/(EMD!W2*24)</f>
        <v>5.0274027777777777</v>
      </c>
      <c r="Z90" s="106">
        <f t="shared" si="71"/>
        <v>5.2426550153951803</v>
      </c>
      <c r="AA90" s="106">
        <f t="shared" si="71"/>
        <v>5.3583241761695772</v>
      </c>
      <c r="AB90" s="844">
        <f t="shared" si="72"/>
        <v>4.862880270714955</v>
      </c>
      <c r="AC90" s="844">
        <f t="shared" si="72"/>
        <v>5.3305674885111758</v>
      </c>
      <c r="AD90" s="487">
        <f>+EMD!AB68/(EMD!AB2*24)</f>
        <v>5.2441975497363913</v>
      </c>
      <c r="AE90" s="2703">
        <f>+EMD!AC68/(EMD!AC2*24)</f>
        <v>5.3365829176830184</v>
      </c>
      <c r="AF90" s="2895">
        <f t="shared" si="73"/>
        <v>4.9181178204797424</v>
      </c>
      <c r="AG90" s="134">
        <f t="shared" si="74"/>
        <v>5.3314388824566299</v>
      </c>
      <c r="AH90" s="487">
        <f>+EMD!AF68/(EMD!AF2*24)</f>
        <v>5.2436467281301153</v>
      </c>
      <c r="AI90" s="2703">
        <f>+EMD!AG68/(EMD!AG2*24)</f>
        <v>6.5021578741545429</v>
      </c>
      <c r="AJ90" s="2895">
        <f t="shared" si="75"/>
        <v>4.9581418665023298</v>
      </c>
      <c r="AK90" s="134">
        <f t="shared" si="76"/>
        <v>5.4753797420916195</v>
      </c>
      <c r="AL90" s="487">
        <f>+EMD!AJ68/(EMD!AJ2*24)</f>
        <v>5.2441975497363913</v>
      </c>
      <c r="AM90" s="2703">
        <f>+EMD!AK68/(EMD!AK2*24)</f>
        <v>6.1988475626345405</v>
      </c>
      <c r="AN90" s="106">
        <f t="shared" si="77"/>
        <v>5.2440179339952149</v>
      </c>
      <c r="AO90" s="106">
        <f t="shared" si="78"/>
        <v>6.0072074034182679</v>
      </c>
      <c r="AP90" s="2895">
        <f t="shared" si="79"/>
        <v>4.9903881435214421</v>
      </c>
      <c r="AQ90" s="134">
        <f t="shared" si="79"/>
        <v>5.5569342964073671</v>
      </c>
      <c r="AR90" s="487">
        <f>+EMD!AP68/(EMD!AP2*24)</f>
        <v>5.2441975497363913</v>
      </c>
      <c r="AS90" s="2703">
        <f>+EMD!AQ68/(EMD!AQ2*24)</f>
        <v>6.862515665597412</v>
      </c>
      <c r="AT90" s="2895">
        <f t="shared" si="80"/>
        <v>5.0161008611445252</v>
      </c>
      <c r="AU90" s="134">
        <f t="shared" si="81"/>
        <v>5.6891990756390376</v>
      </c>
      <c r="AV90" s="487">
        <f>+EMD!AT68/(EMD!AT2*24)</f>
        <v>5.112625193200822</v>
      </c>
      <c r="AW90" s="2703">
        <f>+EMD!AU68/(EMD!AU2*24)</f>
        <v>6.5982623248432493</v>
      </c>
      <c r="AX90" s="2895">
        <f t="shared" si="82"/>
        <v>5.0244566988449204</v>
      </c>
      <c r="AY90" s="134">
        <f t="shared" si="83"/>
        <v>5.7678941031820896</v>
      </c>
      <c r="AZ90" s="487">
        <f>+EMD!AX68/(EMD!AX2*24)</f>
        <v>5.2441975497363913</v>
      </c>
      <c r="BA90" s="2703">
        <f>+EMD!AY68/(EMD!AY2*24)</f>
        <v>5.8145956908484671</v>
      </c>
      <c r="BB90" s="106">
        <f t="shared" si="84"/>
        <v>5.202267897653627</v>
      </c>
      <c r="BC90" s="106">
        <f t="shared" si="85"/>
        <v>6.4213193348382021</v>
      </c>
      <c r="BD90" s="844">
        <f t="shared" si="86"/>
        <v>5.2232569869619665</v>
      </c>
      <c r="BE90" s="844">
        <f t="shared" si="86"/>
        <v>6.2131319157637002</v>
      </c>
      <c r="BF90" s="2895">
        <f t="shared" si="87"/>
        <v>5.0430686288384603</v>
      </c>
      <c r="BG90" s="134">
        <f t="shared" si="88"/>
        <v>5.7718497021374384</v>
      </c>
      <c r="BH90" s="26"/>
      <c r="BI90" s="26"/>
      <c r="BJ90" s="26"/>
      <c r="BK90" s="26"/>
    </row>
    <row r="91" spans="1:63" x14ac:dyDescent="0.25">
      <c r="B91" s="9" t="s">
        <v>318</v>
      </c>
      <c r="C91" s="941"/>
      <c r="D91" s="3149"/>
      <c r="E91" s="1828" t="s">
        <v>308</v>
      </c>
      <c r="F91" s="487">
        <f>EMD!D103/(EMD!D2*24)</f>
        <v>1.0797610338528791</v>
      </c>
      <c r="G91" s="2951">
        <f>+EMD!E103/(EMD!E2*24)</f>
        <v>1.3628619000479583</v>
      </c>
      <c r="H91" s="487">
        <f>EMD!F103/(EMD!F2*24)</f>
        <v>0.78039627596123662</v>
      </c>
      <c r="I91" s="2951">
        <f>+EMD!G103/(EMD!G2*24)</f>
        <v>1.2353956004477937</v>
      </c>
      <c r="J91" s="466">
        <f t="shared" si="66"/>
        <v>0.92762484541614276</v>
      </c>
      <c r="K91" s="1070">
        <f t="shared" si="66"/>
        <v>1.2980839445134484</v>
      </c>
      <c r="L91" s="487">
        <f>EMD!J103/(EMD!J2*24)</f>
        <v>0.69976692398568829</v>
      </c>
      <c r="M91" s="2951">
        <f>+EMD!K103/(EMD!K2*24)</f>
        <v>1.3561540836284827</v>
      </c>
      <c r="N91" s="459">
        <f t="shared" si="67"/>
        <v>0.85250684934016874</v>
      </c>
      <c r="O91" s="3115">
        <f t="shared" si="67"/>
        <v>1.3172279464195038</v>
      </c>
      <c r="P91" s="487">
        <f>EMD!N103/(EMD!N2*24)</f>
        <v>1.0790088280939889</v>
      </c>
      <c r="Q91" s="2951">
        <f>+EMD!O103/(EMD!O2*24)</f>
        <v>2.009666682047746</v>
      </c>
      <c r="R91" s="70">
        <f t="shared" si="68"/>
        <v>0.91006063082679522</v>
      </c>
      <c r="S91" s="2895">
        <f t="shared" si="68"/>
        <v>1.493175493997172</v>
      </c>
      <c r="T91" s="487">
        <f>EMD!R103/(EMD!R2*24)</f>
        <v>1.0790088280939889</v>
      </c>
      <c r="U91" s="2703">
        <f>+EMD!S103/(EMD!S2*24)</f>
        <v>1.4815114547123787</v>
      </c>
      <c r="V91" s="2895">
        <f t="shared" si="69"/>
        <v>0.94429196491361223</v>
      </c>
      <c r="W91" s="134">
        <f t="shared" si="70"/>
        <v>1.4908121919198609</v>
      </c>
      <c r="X91" s="487">
        <f>EMD!V103/(EMD!V2*24)</f>
        <v>1.0816048239293119</v>
      </c>
      <c r="Y91" s="1415">
        <f>+EMD!W99/(EMD!W2*24)</f>
        <v>0.97356666666666658</v>
      </c>
      <c r="Z91" s="106">
        <f t="shared" si="71"/>
        <v>1.0798553484750726</v>
      </c>
      <c r="AA91" s="106">
        <f t="shared" si="71"/>
        <v>1.4938426330387378</v>
      </c>
      <c r="AB91" s="844">
        <f t="shared" si="72"/>
        <v>0.96680226967028426</v>
      </c>
      <c r="AC91" s="844">
        <f t="shared" si="72"/>
        <v>1.4060178435176978</v>
      </c>
      <c r="AD91" s="487">
        <f>EMD!AB103/(EMD!AB2*24)</f>
        <v>1.0808008578738422</v>
      </c>
      <c r="AE91" s="2703">
        <f>+EMD!AC103/(EMD!AC2*24)</f>
        <v>1.6801740072176696</v>
      </c>
      <c r="AF91" s="2895">
        <f t="shared" si="73"/>
        <v>0.98331608384930436</v>
      </c>
      <c r="AG91" s="134">
        <f t="shared" si="74"/>
        <v>1.445732054147133</v>
      </c>
      <c r="AH91" s="487">
        <f>EMD!AF103/(EMD!AF2*24)</f>
        <v>1.0816048239293119</v>
      </c>
      <c r="AI91" s="2703">
        <f>+EMD!AG103/(EMD!AG2*24)</f>
        <v>1.6299969534388377</v>
      </c>
      <c r="AJ91" s="2895">
        <f t="shared" si="75"/>
        <v>0.9954007650066824</v>
      </c>
      <c r="AK91" s="134">
        <f t="shared" si="76"/>
        <v>1.4683875745518506</v>
      </c>
      <c r="AL91" s="487">
        <f>EMD!AJ103/(EMD!AJ2*24)</f>
        <v>1.0808008578738422</v>
      </c>
      <c r="AM91" s="2703">
        <f>+EMD!AK103/(EMD!AK2*24)</f>
        <v>1.4327010151129635</v>
      </c>
      <c r="AN91" s="106">
        <f t="shared" si="77"/>
        <v>1.0810630207180172</v>
      </c>
      <c r="AO91" s="106">
        <f t="shared" si="78"/>
        <v>1.5804242858197257</v>
      </c>
      <c r="AP91" s="2895">
        <f t="shared" si="79"/>
        <v>1.0050276845662531</v>
      </c>
      <c r="AQ91" s="134">
        <f t="shared" si="79"/>
        <v>1.464364726033285</v>
      </c>
      <c r="AR91" s="487">
        <f>EMD!AP103/(EMD!AP2*24)</f>
        <v>1.0808008578738422</v>
      </c>
      <c r="AS91" s="2703">
        <f>+EMD!AQ103/(EMD!AQ2*24)</f>
        <v>1.2946164080761111</v>
      </c>
      <c r="AT91" s="2895">
        <f t="shared" si="80"/>
        <v>1.0127040517967607</v>
      </c>
      <c r="AU91" s="134">
        <f t="shared" si="81"/>
        <v>1.4471680010114798</v>
      </c>
      <c r="AV91" s="487">
        <f>EMD!AT103/(EMD!AT2*24)</f>
        <v>1.0497578453911258</v>
      </c>
      <c r="AW91" s="2703">
        <f>+EMD!AU103/(EMD!AU2*24)</f>
        <v>1.3376139441171924</v>
      </c>
      <c r="AX91" s="2895">
        <f t="shared" si="82"/>
        <v>1.0159116936303028</v>
      </c>
      <c r="AY91" s="134">
        <f t="shared" si="83"/>
        <v>1.4376842169818251</v>
      </c>
      <c r="AZ91" s="487">
        <f>EMD!AX103/(EMD!AX2*24)</f>
        <v>1.0808008578738422</v>
      </c>
      <c r="BA91" s="2703">
        <f>+EMD!AY103/(EMD!AY2*24)</f>
        <v>1.1893933860169359</v>
      </c>
      <c r="BB91" s="106">
        <f t="shared" si="84"/>
        <v>1.0709080297200095</v>
      </c>
      <c r="BC91" s="106">
        <f t="shared" si="85"/>
        <v>1.2724737142448685</v>
      </c>
      <c r="BD91" s="844">
        <f t="shared" si="86"/>
        <v>1.076013271096057</v>
      </c>
      <c r="BE91" s="844">
        <f t="shared" si="86"/>
        <v>1.4272903950366</v>
      </c>
      <c r="BF91" s="2895">
        <f t="shared" si="87"/>
        <v>1.0214077703831708</v>
      </c>
      <c r="BG91" s="134">
        <f t="shared" si="88"/>
        <v>1.4166541192771487</v>
      </c>
      <c r="BH91" s="26"/>
      <c r="BI91" s="26"/>
      <c r="BJ91" s="26"/>
      <c r="BK91" s="26"/>
    </row>
    <row r="92" spans="1:63" ht="15.75" thickBot="1" x14ac:dyDescent="0.3">
      <c r="B92" s="12" t="s">
        <v>319</v>
      </c>
      <c r="C92" s="1099"/>
      <c r="D92" s="3150"/>
      <c r="E92" s="1854" t="s">
        <v>559</v>
      </c>
      <c r="F92" s="3093">
        <f>+F73/F84</f>
        <v>91.563786008230451</v>
      </c>
      <c r="G92" s="3094">
        <f t="shared" ref="G92:AC92" si="89">+G73/G84</f>
        <v>75.531773184561914</v>
      </c>
      <c r="H92" s="3093">
        <f>+H73/H84</f>
        <v>90.579710144927532</v>
      </c>
      <c r="I92" s="3094">
        <f t="shared" ref="I92" si="90">+I73/I84</f>
        <v>74.418735583084171</v>
      </c>
      <c r="J92" s="1177">
        <f t="shared" si="89"/>
        <v>91.111111111111114</v>
      </c>
      <c r="K92" s="3140">
        <f t="shared" si="89"/>
        <v>69.463846290274887</v>
      </c>
      <c r="L92" s="3093">
        <f>+L73/L84</f>
        <v>90.909090909090907</v>
      </c>
      <c r="M92" s="3094">
        <f t="shared" ref="M92" si="91">+M73/M84</f>
        <v>78.754865415064472</v>
      </c>
      <c r="N92" s="2860">
        <f t="shared" si="89"/>
        <v>91.049382716049379</v>
      </c>
      <c r="O92" s="3116">
        <f t="shared" si="89"/>
        <v>76.152092244337666</v>
      </c>
      <c r="P92" s="3093">
        <f>+P73/P84</f>
        <v>91.269841269841265</v>
      </c>
      <c r="Q92" s="3094">
        <f t="shared" ref="Q92" si="92">+Q73/Q84</f>
        <v>79.500428622740145</v>
      </c>
      <c r="R92" s="3127">
        <f t="shared" si="89"/>
        <v>91.111111111111114</v>
      </c>
      <c r="S92" s="3128">
        <f t="shared" si="89"/>
        <v>71.284254241269764</v>
      </c>
      <c r="T92" s="3093">
        <f>+T73/T84</f>
        <v>91.269841269841265</v>
      </c>
      <c r="U92" s="2722">
        <f t="shared" ref="U92:W92" si="93">+U73/U84</f>
        <v>83.296013793103455</v>
      </c>
      <c r="V92" s="3128">
        <f t="shared" si="93"/>
        <v>91.145833333333329</v>
      </c>
      <c r="W92" s="3161">
        <f t="shared" si="93"/>
        <v>74.236137650511935</v>
      </c>
      <c r="X92" s="542">
        <f t="shared" ref="X92:Y92" si="94">+X73/X84</f>
        <v>91.563786008230451</v>
      </c>
      <c r="Y92" s="1415">
        <f t="shared" si="94"/>
        <v>81.615273320050733</v>
      </c>
      <c r="Z92" s="106">
        <f t="shared" si="89"/>
        <v>91.365461847389554</v>
      </c>
      <c r="AA92" s="106">
        <f t="shared" si="89"/>
        <v>81.622652018637211</v>
      </c>
      <c r="AB92" s="844">
        <f t="shared" si="89"/>
        <v>91.218637992831546</v>
      </c>
      <c r="AC92" s="844">
        <f t="shared" si="89"/>
        <v>79.090886463547903</v>
      </c>
      <c r="AD92" s="3093">
        <f>+AD73/AD84</f>
        <v>91.269841269841265</v>
      </c>
      <c r="AE92" s="2722">
        <f t="shared" ref="AE92:AG92" si="95">+AE73/AE84</f>
        <v>82.927529495888464</v>
      </c>
      <c r="AF92" s="3128">
        <f t="shared" si="95"/>
        <v>91.226472374013355</v>
      </c>
      <c r="AG92" s="3161">
        <f t="shared" si="95"/>
        <v>79.669750137553805</v>
      </c>
      <c r="AH92" s="3093">
        <f>+AH73/AH84</f>
        <v>91.563786008230451</v>
      </c>
      <c r="AI92" s="2722">
        <f t="shared" ref="AI92:AK92" si="96">+AI73/AI84</f>
        <v>84.292114193112738</v>
      </c>
      <c r="AJ92" s="3128">
        <f t="shared" si="96"/>
        <v>91.269841269841265</v>
      </c>
      <c r="AK92" s="3161">
        <f t="shared" si="96"/>
        <v>80.306555485065246</v>
      </c>
      <c r="AL92" s="3093">
        <f>+AL73/AL84</f>
        <v>91.269841269841265</v>
      </c>
      <c r="AM92" s="2722">
        <f t="shared" ref="AM92:AQ92" si="97">+AM73/AM84</f>
        <v>83.285779732701727</v>
      </c>
      <c r="AN92" s="106">
        <f t="shared" si="97"/>
        <v>91.365461847389554</v>
      </c>
      <c r="AO92" s="106">
        <f t="shared" si="97"/>
        <v>83.512842301910581</v>
      </c>
      <c r="AP92" s="3128">
        <f t="shared" si="97"/>
        <v>91.269841269841265</v>
      </c>
      <c r="AQ92" s="3161">
        <f t="shared" si="97"/>
        <v>80.666598226180383</v>
      </c>
      <c r="AR92" s="3093">
        <f>+AR73/AR84</f>
        <v>91.269841269841265</v>
      </c>
      <c r="AS92" s="2722">
        <f t="shared" ref="AS92" si="98">+AS73/AS84</f>
        <v>87.344521462639108</v>
      </c>
      <c r="AT92" s="3128">
        <f t="shared" ref="AT92:AU92" si="99">+AT73/AT84</f>
        <v>91.269841269841265</v>
      </c>
      <c r="AU92" s="3161">
        <f t="shared" si="99"/>
        <v>81.359324282604376</v>
      </c>
      <c r="AV92" s="3093">
        <f>+AV73/AV84</f>
        <v>89.743589743589737</v>
      </c>
      <c r="AW92" s="2722">
        <f t="shared" ref="AW92:AY92" si="100">+AW73/AW84</f>
        <v>86.729475649075184</v>
      </c>
      <c r="AX92" s="3128">
        <f t="shared" si="100"/>
        <v>91.133942161339419</v>
      </c>
      <c r="AY92" s="3161">
        <f t="shared" si="100"/>
        <v>81.882702975255242</v>
      </c>
      <c r="AZ92" s="3093">
        <f>+AZ73/AZ84</f>
        <v>91.269841269841265</v>
      </c>
      <c r="BA92" s="2722">
        <f t="shared" ref="BA92:BG92" si="101">+BA73/BA84</f>
        <v>89.899104602510477</v>
      </c>
      <c r="BB92" s="106">
        <f t="shared" si="101"/>
        <v>90.785907859078591</v>
      </c>
      <c r="BC92" s="106">
        <f t="shared" si="101"/>
        <v>88.033947095902789</v>
      </c>
      <c r="BD92" s="844">
        <f t="shared" si="101"/>
        <v>91.07744107744108</v>
      </c>
      <c r="BE92" s="844">
        <f t="shared" si="101"/>
        <v>85.795167215387693</v>
      </c>
      <c r="BF92" s="3128">
        <f t="shared" si="101"/>
        <v>91.145833333333329</v>
      </c>
      <c r="BG92" s="3161">
        <f t="shared" si="101"/>
        <v>82.629769081305454</v>
      </c>
      <c r="BH92" s="26"/>
      <c r="BI92" s="26"/>
      <c r="BJ92" s="26"/>
      <c r="BK92" s="26"/>
    </row>
    <row r="93" spans="1:63" ht="15.75" thickBot="1" x14ac:dyDescent="0.3">
      <c r="A93" s="183"/>
      <c r="B93" s="188"/>
      <c r="C93" s="188"/>
      <c r="D93" s="188"/>
      <c r="E93" s="188"/>
      <c r="F93" s="188"/>
      <c r="G93" s="188"/>
      <c r="H93" s="188"/>
      <c r="I93" s="188"/>
      <c r="J93" s="188"/>
      <c r="K93" s="188"/>
      <c r="L93" s="188"/>
      <c r="M93" s="188"/>
      <c r="N93" s="188"/>
      <c r="O93" s="188"/>
      <c r="P93" s="188"/>
      <c r="Q93" s="188"/>
      <c r="R93" s="188"/>
      <c r="S93" s="188"/>
      <c r="T93" s="188"/>
      <c r="U93" s="2652"/>
      <c r="V93" s="188"/>
      <c r="W93" s="188"/>
      <c r="X93" s="188"/>
      <c r="Y93" s="188"/>
      <c r="Z93" s="188"/>
      <c r="AA93" s="188"/>
      <c r="AB93" s="188"/>
      <c r="AC93" s="188"/>
      <c r="AD93" s="188"/>
      <c r="AE93" s="2652"/>
      <c r="AF93" s="188"/>
      <c r="AG93" s="188"/>
      <c r="AH93" s="188"/>
      <c r="AI93" s="2652"/>
      <c r="AJ93" s="188"/>
      <c r="AK93" s="188"/>
      <c r="AL93" s="188"/>
      <c r="AM93" s="2652"/>
      <c r="AN93" s="188"/>
      <c r="AO93" s="188"/>
      <c r="AP93" s="188"/>
      <c r="AQ93" s="188"/>
      <c r="AR93" s="188"/>
      <c r="AS93" s="2652"/>
      <c r="AT93" s="188"/>
      <c r="AU93" s="188"/>
      <c r="AV93" s="188"/>
      <c r="AW93" s="2652"/>
      <c r="AX93" s="188"/>
      <c r="AY93" s="188"/>
      <c r="AZ93" s="188"/>
      <c r="BA93" s="2652"/>
      <c r="BB93" s="188"/>
      <c r="BC93" s="188"/>
      <c r="BD93" s="188"/>
      <c r="BE93" s="188"/>
      <c r="BF93" s="188"/>
      <c r="BG93" s="188"/>
      <c r="BH93" s="26"/>
      <c r="BI93" s="26"/>
      <c r="BJ93" s="26"/>
      <c r="BK93" s="26"/>
    </row>
    <row r="94" spans="1:63" x14ac:dyDescent="0.25">
      <c r="B94" s="1314" t="s">
        <v>835</v>
      </c>
      <c r="C94" s="3165"/>
      <c r="D94" s="3165"/>
      <c r="E94" s="1067" t="s">
        <v>52</v>
      </c>
      <c r="F94" s="1315"/>
      <c r="G94" s="2143">
        <v>298.52299999999997</v>
      </c>
      <c r="H94" s="1315"/>
      <c r="I94" s="2143">
        <v>257.23100000000329</v>
      </c>
      <c r="J94" s="1317"/>
      <c r="K94" s="57">
        <f>+G94+I94</f>
        <v>555.75400000000332</v>
      </c>
      <c r="L94" s="1315"/>
      <c r="M94" s="2143">
        <v>253.270000000007</v>
      </c>
      <c r="N94" s="1319"/>
      <c r="O94" s="745">
        <f>+G94+I94+M94</f>
        <v>809.02400000001035</v>
      </c>
      <c r="P94" s="1315"/>
      <c r="Q94" s="2143">
        <v>315.48899999999958</v>
      </c>
      <c r="R94" s="1317"/>
      <c r="S94" s="57">
        <f>+O94+Q94</f>
        <v>1124.5130000000099</v>
      </c>
      <c r="T94" s="1315"/>
      <c r="U94" s="2666">
        <v>216.24700000000013</v>
      </c>
      <c r="V94" s="1317"/>
      <c r="W94" s="57">
        <f>+S94+U94</f>
        <v>1340.76000000001</v>
      </c>
      <c r="X94" s="1889"/>
      <c r="Y94" s="473">
        <v>206.79399999999981</v>
      </c>
      <c r="Z94" s="1078"/>
      <c r="AA94" s="98">
        <f>+Q94+U94+Y94</f>
        <v>738.52999999999952</v>
      </c>
      <c r="AB94" s="1112"/>
      <c r="AC94" s="839">
        <f>+AA94+O94</f>
        <v>1547.5540000000099</v>
      </c>
      <c r="AD94" s="1315"/>
      <c r="AE94" s="2666">
        <v>361.22099999999989</v>
      </c>
      <c r="AF94" s="1317"/>
      <c r="AG94" s="57">
        <f>+AC94+AE94</f>
        <v>1908.7750000000096</v>
      </c>
      <c r="AH94" s="1315"/>
      <c r="AI94" s="2666">
        <v>239.47600000000034</v>
      </c>
      <c r="AJ94" s="1317"/>
      <c r="AK94" s="57">
        <f>+AG94+AI94</f>
        <v>2148.2510000000102</v>
      </c>
      <c r="AL94" s="1315"/>
      <c r="AM94" s="2666">
        <v>270.57100000000003</v>
      </c>
      <c r="AN94" s="1078"/>
      <c r="AO94" s="98">
        <f>+AE94+AI94+AM94</f>
        <v>871.26800000000026</v>
      </c>
      <c r="AP94" s="1317"/>
      <c r="AQ94" s="53">
        <f t="shared" ref="AQ94:AQ95" si="102">AK94+AM94</f>
        <v>2418.8220000000101</v>
      </c>
      <c r="AR94" s="1315"/>
      <c r="AS94" s="2666">
        <v>257.68500000000051</v>
      </c>
      <c r="AT94" s="1317"/>
      <c r="AU94" s="57">
        <f>+AQ94+AS94</f>
        <v>2676.5070000000105</v>
      </c>
      <c r="AV94" s="1315"/>
      <c r="AW94" s="2666">
        <v>134.74899999999968</v>
      </c>
      <c r="AX94" s="1317"/>
      <c r="AY94" s="57">
        <f>+AU94+AW94</f>
        <v>2811.2560000000103</v>
      </c>
      <c r="AZ94" s="1315"/>
      <c r="BA94" s="2666">
        <v>150.63999999999973</v>
      </c>
      <c r="BB94" s="1078"/>
      <c r="BC94" s="98">
        <f>+AS94+AW94+BA94</f>
        <v>543.07399999999996</v>
      </c>
      <c r="BD94" s="1112"/>
      <c r="BE94" s="839">
        <f t="shared" ref="BE94:BE95" si="103">+AO94+BC94</f>
        <v>1414.3420000000001</v>
      </c>
      <c r="BF94" s="1317"/>
      <c r="BG94" s="57">
        <f>+AY94+BA94</f>
        <v>2961.8960000000102</v>
      </c>
      <c r="BH94" s="26"/>
      <c r="BI94" s="26"/>
      <c r="BJ94" s="26"/>
      <c r="BK94" s="26"/>
    </row>
    <row r="95" spans="1:63" x14ac:dyDescent="0.25">
      <c r="B95" s="1322" t="s">
        <v>833</v>
      </c>
      <c r="C95" s="1101"/>
      <c r="D95" s="1101"/>
      <c r="E95" s="13" t="s">
        <v>52</v>
      </c>
      <c r="F95" s="336"/>
      <c r="G95" s="473">
        <v>732.09699999999998</v>
      </c>
      <c r="H95" s="336"/>
      <c r="I95" s="473">
        <v>616.74399999999991</v>
      </c>
      <c r="J95" s="1077"/>
      <c r="K95" s="53">
        <f>+G95+I95</f>
        <v>1348.8409999999999</v>
      </c>
      <c r="L95" s="336"/>
      <c r="M95" s="473">
        <v>616.15400000000011</v>
      </c>
      <c r="N95" s="1078"/>
      <c r="O95" s="2946">
        <f>+G95+I95+M95</f>
        <v>1964.9949999999999</v>
      </c>
      <c r="P95" s="336"/>
      <c r="Q95" s="473">
        <v>705.68399999999986</v>
      </c>
      <c r="R95" s="1077"/>
      <c r="S95" s="53">
        <f>+O95+Q95</f>
        <v>2670.6789999999996</v>
      </c>
      <c r="T95" s="336"/>
      <c r="U95" s="2667">
        <v>936.35500000000013</v>
      </c>
      <c r="V95" s="1077"/>
      <c r="W95" s="53">
        <f>+S95+U95</f>
        <v>3607.0339999999997</v>
      </c>
      <c r="X95" s="1889"/>
      <c r="Y95" s="473">
        <v>759.42700000000013</v>
      </c>
      <c r="Z95" s="1078"/>
      <c r="AA95" s="98">
        <f>+Q95+U95+Y95</f>
        <v>2401.4660000000003</v>
      </c>
      <c r="AB95" s="1112"/>
      <c r="AC95" s="839">
        <f>+AA95+O95</f>
        <v>4366.4610000000002</v>
      </c>
      <c r="AD95" s="336"/>
      <c r="AE95" s="2667">
        <v>732.09300000000007</v>
      </c>
      <c r="AF95" s="1077"/>
      <c r="AG95" s="53">
        <f>+AC95+AE95</f>
        <v>5098.5540000000001</v>
      </c>
      <c r="AH95" s="336"/>
      <c r="AI95" s="2667">
        <v>593.17600000000004</v>
      </c>
      <c r="AJ95" s="1077"/>
      <c r="AK95" s="53">
        <f>+AG95+AI95</f>
        <v>5691.7300000000005</v>
      </c>
      <c r="AL95" s="336"/>
      <c r="AM95" s="2667">
        <v>443.73800000000011</v>
      </c>
      <c r="AN95" s="1078"/>
      <c r="AO95" s="98">
        <f>+AE95+AI95+AM95</f>
        <v>1769.0070000000003</v>
      </c>
      <c r="AP95" s="1077"/>
      <c r="AQ95" s="53">
        <f t="shared" si="102"/>
        <v>6135.4680000000008</v>
      </c>
      <c r="AR95" s="336"/>
      <c r="AS95" s="2667">
        <v>448.12300000000005</v>
      </c>
      <c r="AT95" s="1077"/>
      <c r="AU95" s="53">
        <f>+AQ95+AS95</f>
        <v>6583.5910000000003</v>
      </c>
      <c r="AV95" s="336"/>
      <c r="AW95" s="2667">
        <v>660.32899999999995</v>
      </c>
      <c r="AX95" s="1077"/>
      <c r="AY95" s="53">
        <f>+AU95+AW95</f>
        <v>7243.92</v>
      </c>
      <c r="AZ95" s="336"/>
      <c r="BA95" s="2667">
        <v>953.44399999999996</v>
      </c>
      <c r="BB95" s="1078"/>
      <c r="BC95" s="98">
        <f>+AS95+AW95+BA95</f>
        <v>2061.8959999999997</v>
      </c>
      <c r="BD95" s="1112"/>
      <c r="BE95" s="839">
        <f t="shared" si="103"/>
        <v>3830.9030000000002</v>
      </c>
      <c r="BF95" s="1077"/>
      <c r="BG95" s="53">
        <f>+AY95+BA95</f>
        <v>8197.3639999999996</v>
      </c>
      <c r="BH95" s="26"/>
      <c r="BI95" s="26"/>
      <c r="BJ95" s="26"/>
      <c r="BK95" s="26"/>
    </row>
    <row r="96" spans="1:63" x14ac:dyDescent="0.25">
      <c r="B96" s="1323" t="s">
        <v>856</v>
      </c>
      <c r="C96" s="774"/>
      <c r="D96" s="774"/>
      <c r="E96" s="242" t="s">
        <v>52</v>
      </c>
      <c r="F96" s="336"/>
      <c r="G96" s="473">
        <f>SUM(G94:G95)</f>
        <v>1030.6199999999999</v>
      </c>
      <c r="H96" s="336"/>
      <c r="I96" s="473">
        <f>SUM(I94:I95)</f>
        <v>873.97500000000321</v>
      </c>
      <c r="J96" s="1077"/>
      <c r="K96" s="443">
        <f>SUM(K94:K95)</f>
        <v>1904.5950000000032</v>
      </c>
      <c r="L96" s="336"/>
      <c r="M96" s="473">
        <f>SUM(M94:M95)</f>
        <v>869.42400000000714</v>
      </c>
      <c r="N96" s="1078"/>
      <c r="O96" s="533">
        <f>SUM(O94:O95)</f>
        <v>2774.0190000000102</v>
      </c>
      <c r="P96" s="336"/>
      <c r="Q96" s="473">
        <f>SUM(Q94:Q95)</f>
        <v>1021.1729999999994</v>
      </c>
      <c r="R96" s="1077"/>
      <c r="S96" s="443">
        <f>SUM(S94:S95)</f>
        <v>3795.1920000000096</v>
      </c>
      <c r="T96" s="336"/>
      <c r="U96" s="2667">
        <f>SUM(U94:U95)</f>
        <v>1152.6020000000003</v>
      </c>
      <c r="V96" s="1077"/>
      <c r="W96" s="1342">
        <f>SUM(W94:W95)</f>
        <v>4947.7940000000099</v>
      </c>
      <c r="X96" s="1889"/>
      <c r="Y96" s="473">
        <f>SUM(Y94:Y95)</f>
        <v>966.221</v>
      </c>
      <c r="Z96" s="1078"/>
      <c r="AA96" s="533">
        <f>SUM(AA94:AA95)</f>
        <v>3139.9960000000001</v>
      </c>
      <c r="AB96" s="1117"/>
      <c r="AC96" s="845">
        <f>SUM(AC94:AC95)</f>
        <v>5914.0150000000103</v>
      </c>
      <c r="AD96" s="336"/>
      <c r="AE96" s="2667">
        <f>SUM(AE94:AE95)</f>
        <v>1093.3139999999999</v>
      </c>
      <c r="AF96" s="1077"/>
      <c r="AG96" s="1342">
        <f>SUM(AG94:AG95)</f>
        <v>7007.3290000000097</v>
      </c>
      <c r="AH96" s="336"/>
      <c r="AI96" s="2667">
        <f>SUM(AI94:AI95)</f>
        <v>832.65200000000038</v>
      </c>
      <c r="AJ96" s="1077"/>
      <c r="AK96" s="1342">
        <f>SUM(AK94:AK95)</f>
        <v>7839.9810000000107</v>
      </c>
      <c r="AL96" s="336"/>
      <c r="AM96" s="2667">
        <f>SUM(AM94:AM95)</f>
        <v>714.3090000000002</v>
      </c>
      <c r="AN96" s="1078"/>
      <c r="AO96" s="533">
        <f>SUM(AO94:AO95)</f>
        <v>2640.2750000000005</v>
      </c>
      <c r="AP96" s="1077"/>
      <c r="AQ96" s="1342">
        <f>SUM(AQ94:AQ95)</f>
        <v>8554.2900000000118</v>
      </c>
      <c r="AR96" s="336"/>
      <c r="AS96" s="2667">
        <f>SUM(AS94:AS95)</f>
        <v>705.80800000000056</v>
      </c>
      <c r="AT96" s="1077"/>
      <c r="AU96" s="1342">
        <f>SUM(AU94:AU95)</f>
        <v>9260.0980000000109</v>
      </c>
      <c r="AV96" s="336"/>
      <c r="AW96" s="2667">
        <f>SUM(AW94:AW95)</f>
        <v>795.07799999999963</v>
      </c>
      <c r="AX96" s="1077"/>
      <c r="AY96" s="1342">
        <f>SUM(AY94:AY95)</f>
        <v>10055.17600000001</v>
      </c>
      <c r="AZ96" s="336"/>
      <c r="BA96" s="2667">
        <f>SUM(BA94:BA95)</f>
        <v>1104.0839999999996</v>
      </c>
      <c r="BB96" s="1078"/>
      <c r="BC96" s="533">
        <f>SUM(BC94:BC95)</f>
        <v>2604.9699999999998</v>
      </c>
      <c r="BD96" s="1117"/>
      <c r="BE96" s="845">
        <f>SUM(BE94:BE95)</f>
        <v>5245.2450000000008</v>
      </c>
      <c r="BF96" s="1077"/>
      <c r="BG96" s="1342">
        <f>SUM(BG94:BG95)</f>
        <v>11159.260000000009</v>
      </c>
      <c r="BH96" s="26"/>
      <c r="BI96" s="26"/>
      <c r="BJ96" s="26"/>
      <c r="BK96" s="26"/>
    </row>
    <row r="97" spans="2:63" x14ac:dyDescent="0.25">
      <c r="B97" s="1323" t="s">
        <v>852</v>
      </c>
      <c r="C97" s="774"/>
      <c r="D97" s="774"/>
      <c r="E97" s="242" t="s">
        <v>51</v>
      </c>
      <c r="F97" s="336"/>
      <c r="G97" s="525">
        <f>+G96/G5</f>
        <v>2.7925669196438609E-2</v>
      </c>
      <c r="H97" s="336"/>
      <c r="I97" s="525">
        <f>+I96/I5</f>
        <v>2.8044846982585067E-2</v>
      </c>
      <c r="J97" s="1077"/>
      <c r="K97" s="526">
        <f>+K96/K5</f>
        <v>2.7980231149401017E-2</v>
      </c>
      <c r="L97" s="336"/>
      <c r="M97" s="525">
        <f>+M96/M5</f>
        <v>2.7967325646680943E-2</v>
      </c>
      <c r="N97" s="1078"/>
      <c r="O97" s="527">
        <f>+O96/O5</f>
        <v>2.7976185067469694E-2</v>
      </c>
      <c r="P97" s="336"/>
      <c r="Q97" s="525">
        <f>+Q96/Q5</f>
        <v>2.8676518410126375E-2</v>
      </c>
      <c r="R97" s="1077"/>
      <c r="S97" s="526">
        <f>+S96/S5</f>
        <v>2.8161237881346543E-2</v>
      </c>
      <c r="T97" s="336"/>
      <c r="U97" s="2668">
        <f>+U96/U5</f>
        <v>2.4462230856501746E-2</v>
      </c>
      <c r="V97" s="1077"/>
      <c r="W97" s="1324">
        <f>+W96/W5</f>
        <v>2.720299931602066E-2</v>
      </c>
      <c r="X97" s="1889"/>
      <c r="Y97" s="529">
        <f>+Y96/Y5</f>
        <v>2.4258418294115406E-2</v>
      </c>
      <c r="Z97" s="1078"/>
      <c r="AA97" s="527">
        <f>+AA96/AA5</f>
        <v>2.5620483619066006E-2</v>
      </c>
      <c r="AB97" s="1117"/>
      <c r="AC97" s="846">
        <f>+AC96/AC5</f>
        <v>2.6674014194824396E-2</v>
      </c>
      <c r="AD97" s="336"/>
      <c r="AE97" s="2668">
        <f>+AE96/AE5</f>
        <v>2.6587966838641966E-2</v>
      </c>
      <c r="AF97" s="1077"/>
      <c r="AG97" s="1324">
        <f>+AG96/AG5</f>
        <v>2.6660552059817162E-2</v>
      </c>
      <c r="AH97" s="336"/>
      <c r="AI97" s="2668">
        <f>+AI96/AI5</f>
        <v>1.895916926773519E-2</v>
      </c>
      <c r="AJ97" s="1077"/>
      <c r="AK97" s="1324">
        <f>+AK96/AK5</f>
        <v>2.5557937484311941E-2</v>
      </c>
      <c r="AL97" s="336"/>
      <c r="AM97" s="2668">
        <f>+AM96/AM5</f>
        <v>1.656119653659039E-2</v>
      </c>
      <c r="AN97" s="1078"/>
      <c r="AO97" s="527">
        <f>+AO96/AO5</f>
        <v>2.0599743375777444E-2</v>
      </c>
      <c r="AP97" s="1077"/>
      <c r="AQ97" s="1324">
        <f>+AQ96/AQ5</f>
        <v>2.4448878609199472E-2</v>
      </c>
      <c r="AR97" s="336"/>
      <c r="AS97" s="2668">
        <f>+AS96/AS5</f>
        <v>1.6310997134168576E-2</v>
      </c>
      <c r="AT97" s="1077"/>
      <c r="AU97" s="1324">
        <f>+AU96/AU5</f>
        <v>2.3553200874229633E-2</v>
      </c>
      <c r="AV97" s="336"/>
      <c r="AW97" s="2668">
        <f>+AW96/AW5</f>
        <v>1.7636651675430659E-2</v>
      </c>
      <c r="AX97" s="1077"/>
      <c r="AY97" s="1324">
        <f>+AY96/AY5</f>
        <v>2.2944572257508466E-2</v>
      </c>
      <c r="AZ97" s="336"/>
      <c r="BA97" s="2668">
        <f>+BA96/BA5</f>
        <v>2.2378658221798183E-2</v>
      </c>
      <c r="BB97" s="1078"/>
      <c r="BC97" s="527">
        <f>+BC96/BC5</f>
        <v>1.891917798224476E-2</v>
      </c>
      <c r="BD97" s="1117"/>
      <c r="BE97" s="846">
        <f>+BE96/BE5</f>
        <v>1.9729374374613688E-2</v>
      </c>
      <c r="BF97" s="1077"/>
      <c r="BG97" s="1324">
        <f>+BG96/BG5</f>
        <v>2.2887308759983589E-2</v>
      </c>
      <c r="BH97" s="26"/>
      <c r="BI97" s="26"/>
      <c r="BJ97" s="26"/>
      <c r="BK97" s="26"/>
    </row>
    <row r="98" spans="2:63" x14ac:dyDescent="0.25">
      <c r="B98" s="1323" t="s">
        <v>855</v>
      </c>
      <c r="C98" s="774"/>
      <c r="D98" s="774"/>
      <c r="E98" s="242" t="s">
        <v>52</v>
      </c>
      <c r="F98" s="336"/>
      <c r="G98" s="442">
        <f>+G74</f>
        <v>0</v>
      </c>
      <c r="H98" s="336"/>
      <c r="I98" s="442">
        <f>+I74</f>
        <v>71.257999999999996</v>
      </c>
      <c r="J98" s="1077"/>
      <c r="K98" s="443">
        <f>+K74</f>
        <v>71.257999999999996</v>
      </c>
      <c r="L98" s="336"/>
      <c r="M98" s="442">
        <f>+M74</f>
        <v>25.908000000000001</v>
      </c>
      <c r="N98" s="1078"/>
      <c r="O98" s="533">
        <f>+O74</f>
        <v>97.165999999999997</v>
      </c>
      <c r="P98" s="336"/>
      <c r="Q98" s="442">
        <f>+Q74</f>
        <v>45.293999999999997</v>
      </c>
      <c r="R98" s="1077"/>
      <c r="S98" s="443">
        <f>+S74</f>
        <v>142.46</v>
      </c>
      <c r="T98" s="336"/>
      <c r="U98" s="2678">
        <f>+U74</f>
        <v>37.316000000000003</v>
      </c>
      <c r="V98" s="1077"/>
      <c r="W98" s="1342">
        <f>+W74</f>
        <v>179.77600000000001</v>
      </c>
      <c r="X98" s="1889"/>
      <c r="Y98" s="2145">
        <f>+Y74</f>
        <v>55.263999999999996</v>
      </c>
      <c r="Z98" s="1078"/>
      <c r="AA98" s="533">
        <f>+AA74</f>
        <v>137.87399999999997</v>
      </c>
      <c r="AB98" s="1117"/>
      <c r="AC98" s="845">
        <f>+AC74</f>
        <v>235.04</v>
      </c>
      <c r="AD98" s="336"/>
      <c r="AE98" s="2678">
        <f>+AE74</f>
        <v>151.238</v>
      </c>
      <c r="AF98" s="1077"/>
      <c r="AG98" s="1342">
        <f>+AG74</f>
        <v>386.27799999999996</v>
      </c>
      <c r="AH98" s="336"/>
      <c r="AI98" s="2678">
        <f>+AI74</f>
        <v>303.66976</v>
      </c>
      <c r="AJ98" s="1077"/>
      <c r="AK98" s="1342">
        <f>+AK74</f>
        <v>689.9477599999999</v>
      </c>
      <c r="AL98" s="336"/>
      <c r="AM98" s="2678">
        <f>+AM74</f>
        <v>29.531000000000002</v>
      </c>
      <c r="AN98" s="1078"/>
      <c r="AO98" s="533">
        <f>+AO74</f>
        <v>484.43875999999995</v>
      </c>
      <c r="AP98" s="1077"/>
      <c r="AQ98" s="1342">
        <f>+AQ74</f>
        <v>719.47875999999997</v>
      </c>
      <c r="AR98" s="336"/>
      <c r="AS98" s="2678">
        <f>+AS74</f>
        <v>75.147999999999996</v>
      </c>
      <c r="AT98" s="1077"/>
      <c r="AU98" s="1342">
        <f>+AU74</f>
        <v>794.62675999999999</v>
      </c>
      <c r="AV98" s="336"/>
      <c r="AW98" s="2678">
        <f>+AW74</f>
        <v>169.30199999999999</v>
      </c>
      <c r="AX98" s="1077"/>
      <c r="AY98" s="1342">
        <f>+AY74</f>
        <v>963.92876000000001</v>
      </c>
      <c r="AZ98" s="336"/>
      <c r="BA98" s="2667">
        <f>+BA74</f>
        <v>181.30799999999999</v>
      </c>
      <c r="BB98" s="1078"/>
      <c r="BC98" s="533">
        <f>+BC74</f>
        <v>425.75799999999998</v>
      </c>
      <c r="BD98" s="1117"/>
      <c r="BE98" s="845">
        <f>+BE74</f>
        <v>910.19676000000004</v>
      </c>
      <c r="BF98" s="1077"/>
      <c r="BG98" s="1342">
        <f>+BG74</f>
        <v>1145.23676</v>
      </c>
      <c r="BH98" s="26"/>
      <c r="BI98" s="26"/>
      <c r="BJ98" s="26"/>
      <c r="BK98" s="26"/>
    </row>
    <row r="99" spans="2:63" x14ac:dyDescent="0.25">
      <c r="B99" s="1322" t="s">
        <v>1822</v>
      </c>
      <c r="C99" s="1101"/>
      <c r="D99" s="1101"/>
      <c r="E99" s="13" t="s">
        <v>52</v>
      </c>
      <c r="F99" s="336"/>
      <c r="G99" s="442">
        <v>915.13200000000006</v>
      </c>
      <c r="H99" s="336"/>
      <c r="I99" s="442">
        <v>775.47800000000018</v>
      </c>
      <c r="J99" s="1077"/>
      <c r="K99" s="53">
        <f>+G99+I99</f>
        <v>1690.6100000000001</v>
      </c>
      <c r="L99" s="336"/>
      <c r="M99" s="442">
        <v>765.346</v>
      </c>
      <c r="N99" s="1078"/>
      <c r="O99" s="2946">
        <f>+G99+I99+M99</f>
        <v>2455.9560000000001</v>
      </c>
      <c r="P99" s="336"/>
      <c r="Q99" s="442">
        <v>869.16</v>
      </c>
      <c r="R99" s="1077"/>
      <c r="S99" s="53">
        <f>+O99+Q99</f>
        <v>3325.116</v>
      </c>
      <c r="T99" s="336"/>
      <c r="U99" s="2667">
        <v>1017.1450000000001</v>
      </c>
      <c r="V99" s="1077"/>
      <c r="W99" s="53">
        <f>+S99+U99</f>
        <v>4342.2610000000004</v>
      </c>
      <c r="X99" s="1889"/>
      <c r="Y99" s="473">
        <v>762.577</v>
      </c>
      <c r="Z99" s="1078"/>
      <c r="AA99" s="98">
        <f>+Q99+U99+Y99</f>
        <v>2648.8820000000001</v>
      </c>
      <c r="AB99" s="1112"/>
      <c r="AC99" s="839">
        <f>+AA99+O99</f>
        <v>5104.8379999999997</v>
      </c>
      <c r="AD99" s="336"/>
      <c r="AE99" s="2667">
        <v>749.9849999999999</v>
      </c>
      <c r="AF99" s="1077"/>
      <c r="AG99" s="53">
        <f>+AC99+AE99</f>
        <v>5854.8229999999994</v>
      </c>
      <c r="AH99" s="336"/>
      <c r="AI99" s="2667">
        <v>729.69799999999987</v>
      </c>
      <c r="AJ99" s="1077"/>
      <c r="AK99" s="53">
        <f>+AG99+AI99</f>
        <v>6584.5209999999988</v>
      </c>
      <c r="AL99" s="336"/>
      <c r="AM99" s="2667">
        <v>904.94399999999973</v>
      </c>
      <c r="AN99" s="1078"/>
      <c r="AO99" s="98">
        <f>+AE99+AI99+AM99</f>
        <v>2384.6269999999995</v>
      </c>
      <c r="AP99" s="1077"/>
      <c r="AQ99" s="53">
        <f t="shared" ref="AQ99:AQ100" si="104">AK99+AM99</f>
        <v>7489.4649999999983</v>
      </c>
      <c r="AR99" s="336"/>
      <c r="AS99" s="2667">
        <v>845.45299999999997</v>
      </c>
      <c r="AT99" s="1077"/>
      <c r="AU99" s="53">
        <f>+AQ99+AS99</f>
        <v>8334.9179999999978</v>
      </c>
      <c r="AV99" s="336"/>
      <c r="AW99" s="2667">
        <v>1067.6379999999999</v>
      </c>
      <c r="AX99" s="1077"/>
      <c r="AY99" s="53">
        <f>+AU99+AW99</f>
        <v>9402.5559999999969</v>
      </c>
      <c r="AZ99" s="336"/>
      <c r="BA99" s="2667">
        <v>997.58100000000013</v>
      </c>
      <c r="BB99" s="1078"/>
      <c r="BC99" s="98">
        <f>+AS99+AW99+BA99</f>
        <v>2910.672</v>
      </c>
      <c r="BD99" s="1112"/>
      <c r="BE99" s="839">
        <f t="shared" ref="BE99:BE100" si="105">+AO99+BC99</f>
        <v>5295.2989999999991</v>
      </c>
      <c r="BF99" s="1077"/>
      <c r="BG99" s="53">
        <f>+AY99+BA99</f>
        <v>10400.136999999997</v>
      </c>
      <c r="BH99" s="26"/>
      <c r="BI99" s="26"/>
      <c r="BJ99" s="26"/>
      <c r="BK99" s="26"/>
    </row>
    <row r="100" spans="2:63" ht="15.75" thickBot="1" x14ac:dyDescent="0.3">
      <c r="B100" s="1325" t="s">
        <v>1140</v>
      </c>
      <c r="C100" s="1865"/>
      <c r="D100" s="1865"/>
      <c r="E100" s="878" t="s">
        <v>52</v>
      </c>
      <c r="F100" s="1138"/>
      <c r="G100" s="1327">
        <v>549.06099999999992</v>
      </c>
      <c r="H100" s="1138"/>
      <c r="I100" s="1327">
        <v>407.05799999999994</v>
      </c>
      <c r="J100" s="3166"/>
      <c r="K100" s="58">
        <f>+G100+I100</f>
        <v>956.11899999999991</v>
      </c>
      <c r="L100" s="1138"/>
      <c r="M100" s="1327">
        <v>411.85099999999994</v>
      </c>
      <c r="N100" s="3167"/>
      <c r="O100" s="583">
        <f>+G100+I100+M100</f>
        <v>1367.9699999999998</v>
      </c>
      <c r="P100" s="1138"/>
      <c r="Q100" s="1327">
        <v>473.745</v>
      </c>
      <c r="R100" s="3166"/>
      <c r="S100" s="58">
        <f>+O100+Q100</f>
        <v>1841.7149999999997</v>
      </c>
      <c r="T100" s="1138"/>
      <c r="U100" s="2670">
        <v>624.83899999999994</v>
      </c>
      <c r="V100" s="3166"/>
      <c r="W100" s="58">
        <f>+S100+U100</f>
        <v>2466.5539999999996</v>
      </c>
      <c r="X100" s="1889"/>
      <c r="Y100" s="473">
        <v>496.44900000000001</v>
      </c>
      <c r="Z100" s="1078"/>
      <c r="AA100" s="98">
        <f>+Q100+U100+Y100</f>
        <v>1595.0329999999999</v>
      </c>
      <c r="AB100" s="1112"/>
      <c r="AC100" s="839">
        <f>+AA100+O100</f>
        <v>2963.0029999999997</v>
      </c>
      <c r="AD100" s="1138"/>
      <c r="AE100" s="2670">
        <v>468.04599999999999</v>
      </c>
      <c r="AF100" s="3166"/>
      <c r="AG100" s="58">
        <f>+AC100+AE100</f>
        <v>3431.0489999999995</v>
      </c>
      <c r="AH100" s="1138"/>
      <c r="AI100" s="2670">
        <v>439.9609999999999</v>
      </c>
      <c r="AJ100" s="3166"/>
      <c r="AK100" s="58">
        <f>+AG100+AI100</f>
        <v>3871.0099999999993</v>
      </c>
      <c r="AL100" s="1138"/>
      <c r="AM100" s="2670">
        <v>457.51300000000003</v>
      </c>
      <c r="AN100" s="1078"/>
      <c r="AO100" s="98">
        <f>+AE100+AI100+AM100</f>
        <v>1365.52</v>
      </c>
      <c r="AP100" s="3166"/>
      <c r="AQ100" s="53">
        <f t="shared" si="104"/>
        <v>4328.5229999999992</v>
      </c>
      <c r="AR100" s="1138"/>
      <c r="AS100" s="2670">
        <v>440.72300000000013</v>
      </c>
      <c r="AT100" s="3166"/>
      <c r="AU100" s="58">
        <f>+AQ100+AS100</f>
        <v>4769.2459999999992</v>
      </c>
      <c r="AV100" s="1138"/>
      <c r="AW100" s="2670">
        <v>457.59300000000002</v>
      </c>
      <c r="AX100" s="3166"/>
      <c r="AY100" s="58">
        <f>+AU100+AW100</f>
        <v>5226.838999999999</v>
      </c>
      <c r="AZ100" s="1138"/>
      <c r="BA100" s="2670">
        <v>500.74900000000002</v>
      </c>
      <c r="BB100" s="1078"/>
      <c r="BC100" s="98">
        <f>+AS100+AW100+BA100</f>
        <v>1399.0650000000001</v>
      </c>
      <c r="BD100" s="1112"/>
      <c r="BE100" s="839">
        <f t="shared" si="105"/>
        <v>2764.585</v>
      </c>
      <c r="BF100" s="3166"/>
      <c r="BG100" s="58">
        <f>+AY100+BA100</f>
        <v>5727.5879999999988</v>
      </c>
      <c r="BH100" s="26"/>
      <c r="BI100" s="26"/>
      <c r="BJ100" s="26"/>
      <c r="BK100" s="26"/>
    </row>
    <row r="101" spans="2:63" ht="19.5" thickBot="1" x14ac:dyDescent="0.35">
      <c r="B101" s="1086" t="s">
        <v>857</v>
      </c>
      <c r="C101" s="1086"/>
      <c r="D101" s="1086"/>
      <c r="E101" s="188"/>
      <c r="F101" s="188"/>
      <c r="G101" s="188"/>
      <c r="H101" s="188"/>
      <c r="I101" s="188"/>
      <c r="J101" s="188"/>
      <c r="K101" s="188"/>
      <c r="L101" s="188"/>
      <c r="M101" s="188"/>
      <c r="N101" s="188"/>
      <c r="O101" s="188"/>
      <c r="P101" s="188"/>
      <c r="Q101" s="188"/>
      <c r="R101" s="188"/>
      <c r="S101" s="188"/>
      <c r="T101" s="188"/>
      <c r="U101" s="2652"/>
      <c r="V101" s="188"/>
      <c r="W101" s="188"/>
      <c r="X101" s="188"/>
      <c r="Y101" s="188"/>
      <c r="Z101" s="188"/>
      <c r="AA101" s="188"/>
      <c r="AB101" s="188"/>
      <c r="AC101" s="188"/>
      <c r="AD101" s="188"/>
      <c r="AE101" s="2652"/>
      <c r="AF101" s="188"/>
      <c r="AG101" s="188"/>
      <c r="AH101" s="188"/>
      <c r="AI101" s="2652"/>
      <c r="AJ101" s="188"/>
      <c r="AK101" s="188"/>
      <c r="AL101" s="188"/>
      <c r="AM101" s="2652"/>
      <c r="AN101" s="188"/>
      <c r="AO101" s="188"/>
      <c r="AP101" s="188"/>
      <c r="AQ101" s="188"/>
      <c r="AR101" s="188"/>
      <c r="AS101" s="2652"/>
      <c r="AT101" s="188"/>
      <c r="AU101" s="188"/>
      <c r="AV101" s="188"/>
      <c r="AW101" s="2652"/>
      <c r="AX101" s="188"/>
      <c r="AY101" s="188"/>
      <c r="AZ101" s="188"/>
      <c r="BA101" s="2652"/>
      <c r="BB101" s="188"/>
      <c r="BC101" s="188"/>
      <c r="BD101" s="188"/>
      <c r="BE101" s="188"/>
      <c r="BF101" s="188"/>
      <c r="BG101" s="188"/>
      <c r="BH101" s="26"/>
      <c r="BI101" s="26"/>
      <c r="BJ101" s="26"/>
      <c r="BK101" s="26"/>
    </row>
    <row r="102" spans="2:63" x14ac:dyDescent="0.25">
      <c r="B102" s="1314" t="s">
        <v>858</v>
      </c>
      <c r="C102" s="1315"/>
      <c r="D102" s="1315"/>
      <c r="E102" s="988" t="s">
        <v>52</v>
      </c>
      <c r="F102" s="1333"/>
      <c r="G102" s="1316">
        <f>+G5</f>
        <v>36905.83</v>
      </c>
      <c r="H102" s="1333"/>
      <c r="I102" s="1316">
        <f>+I5</f>
        <v>31163.479000000003</v>
      </c>
      <c r="J102" s="1334"/>
      <c r="K102" s="1318">
        <f>+K5</f>
        <v>68069.309000000008</v>
      </c>
      <c r="L102" s="1333"/>
      <c r="M102" s="1316">
        <f>+M5</f>
        <v>31087.134000000002</v>
      </c>
      <c r="N102" s="1335"/>
      <c r="O102" s="1336">
        <f>+O5</f>
        <v>99156.443000000014</v>
      </c>
      <c r="P102" s="1333"/>
      <c r="Q102" s="1316">
        <f>+Q5</f>
        <v>35610.076000000001</v>
      </c>
      <c r="R102" s="1334"/>
      <c r="S102" s="1318">
        <f>+S5</f>
        <v>134766.51900000003</v>
      </c>
      <c r="T102" s="1333"/>
      <c r="U102" s="2666">
        <f>+U5</f>
        <v>47117.615999999995</v>
      </c>
      <c r="V102" s="1334"/>
      <c r="W102" s="1340">
        <f>+W5</f>
        <v>181884.13500000001</v>
      </c>
      <c r="X102" s="3163"/>
      <c r="Y102" s="473">
        <f>+Y5</f>
        <v>39830.337999999996</v>
      </c>
      <c r="Z102" s="1083"/>
      <c r="AA102" s="533">
        <f>+AA5</f>
        <v>122558.03</v>
      </c>
      <c r="AB102" s="1118"/>
      <c r="AC102" s="845">
        <f>+AC5</f>
        <v>221714.473</v>
      </c>
      <c r="AD102" s="1333"/>
      <c r="AE102" s="2666">
        <f>+AE5</f>
        <v>41120.632000000005</v>
      </c>
      <c r="AF102" s="1334"/>
      <c r="AG102" s="1340">
        <f>+AG5</f>
        <v>262835.10499999998</v>
      </c>
      <c r="AH102" s="1333"/>
      <c r="AI102" s="2666">
        <f>+AI5</f>
        <v>43918.169000000002</v>
      </c>
      <c r="AJ102" s="1334"/>
      <c r="AK102" s="1340">
        <f>+AK5</f>
        <v>306753.27399999998</v>
      </c>
      <c r="AL102" s="1333"/>
      <c r="AM102" s="2666">
        <f>+AM5</f>
        <v>43131.484999999993</v>
      </c>
      <c r="AN102" s="1083"/>
      <c r="AO102" s="533">
        <f>+AO5</f>
        <v>128170.28599999999</v>
      </c>
      <c r="AP102" s="1334"/>
      <c r="AQ102" s="1340">
        <f>+AQ5</f>
        <v>349884.75899999996</v>
      </c>
      <c r="AR102" s="1333"/>
      <c r="AS102" s="2666">
        <f>+AS5</f>
        <v>43271.91</v>
      </c>
      <c r="AT102" s="1334"/>
      <c r="AU102" s="1340">
        <f>+AU5</f>
        <v>393156.66899999999</v>
      </c>
      <c r="AV102" s="1333"/>
      <c r="AW102" s="2666">
        <f>+AW5</f>
        <v>45081.006000000001</v>
      </c>
      <c r="AX102" s="1334"/>
      <c r="AY102" s="1340">
        <f>+AY5</f>
        <v>438237.67499999999</v>
      </c>
      <c r="AZ102" s="1333"/>
      <c r="BA102" s="2666">
        <f>+BA5</f>
        <v>49336.470000000008</v>
      </c>
      <c r="BB102" s="1083"/>
      <c r="BC102" s="533">
        <f>+BC5</f>
        <v>137689.386</v>
      </c>
      <c r="BD102" s="1118"/>
      <c r="BE102" s="845">
        <f>+BE5</f>
        <v>265859.67200000002</v>
      </c>
      <c r="BF102" s="1334"/>
      <c r="BG102" s="1340">
        <f>+BG5</f>
        <v>487574.14500000002</v>
      </c>
      <c r="BH102" s="26"/>
      <c r="BI102" s="26"/>
      <c r="BJ102" s="26"/>
      <c r="BK102" s="26"/>
    </row>
    <row r="103" spans="2:63" ht="30" x14ac:dyDescent="0.25">
      <c r="B103" s="3164" t="s">
        <v>863</v>
      </c>
      <c r="C103" s="1105"/>
      <c r="D103" s="1105"/>
      <c r="E103" s="193" t="s">
        <v>52</v>
      </c>
      <c r="F103" s="1081"/>
      <c r="G103" s="442">
        <f>+G96</f>
        <v>1030.6199999999999</v>
      </c>
      <c r="H103" s="1081"/>
      <c r="I103" s="442">
        <f>+I96</f>
        <v>873.97500000000321</v>
      </c>
      <c r="J103" s="1082"/>
      <c r="K103" s="443">
        <f>+K96</f>
        <v>1904.5950000000032</v>
      </c>
      <c r="L103" s="1081"/>
      <c r="M103" s="442">
        <f>+M96</f>
        <v>869.42400000000714</v>
      </c>
      <c r="N103" s="1083"/>
      <c r="O103" s="533">
        <f>+O96</f>
        <v>2774.0190000000102</v>
      </c>
      <c r="P103" s="1081"/>
      <c r="Q103" s="442">
        <f>+Q96</f>
        <v>1021.1729999999994</v>
      </c>
      <c r="R103" s="1082"/>
      <c r="S103" s="443">
        <f>+S96</f>
        <v>3795.1920000000096</v>
      </c>
      <c r="T103" s="1081"/>
      <c r="U103" s="2667">
        <f>+U96</f>
        <v>1152.6020000000003</v>
      </c>
      <c r="V103" s="1082"/>
      <c r="W103" s="1342">
        <f>+W96</f>
        <v>4947.7940000000099</v>
      </c>
      <c r="X103" s="3163"/>
      <c r="Y103" s="473">
        <f>+Y96</f>
        <v>966.221</v>
      </c>
      <c r="Z103" s="1083"/>
      <c r="AA103" s="533">
        <f>+AA96</f>
        <v>3139.9960000000001</v>
      </c>
      <c r="AB103" s="1118"/>
      <c r="AC103" s="845">
        <f>+AC96</f>
        <v>5914.0150000000103</v>
      </c>
      <c r="AD103" s="1081"/>
      <c r="AE103" s="2667">
        <f>+AE96</f>
        <v>1093.3139999999999</v>
      </c>
      <c r="AF103" s="1082"/>
      <c r="AG103" s="1342">
        <f>+AG96</f>
        <v>7007.3290000000097</v>
      </c>
      <c r="AH103" s="1081"/>
      <c r="AI103" s="2667">
        <f>+AI96</f>
        <v>832.65200000000038</v>
      </c>
      <c r="AJ103" s="1082"/>
      <c r="AK103" s="1342">
        <f>+AK96</f>
        <v>7839.9810000000107</v>
      </c>
      <c r="AL103" s="1081"/>
      <c r="AM103" s="2667">
        <f>+AM96</f>
        <v>714.3090000000002</v>
      </c>
      <c r="AN103" s="1083"/>
      <c r="AO103" s="533">
        <f>+AO96</f>
        <v>2640.2750000000005</v>
      </c>
      <c r="AP103" s="1082"/>
      <c r="AQ103" s="1342">
        <f>+AQ96</f>
        <v>8554.2900000000118</v>
      </c>
      <c r="AR103" s="1081"/>
      <c r="AS103" s="2667">
        <f>+AS96</f>
        <v>705.80800000000056</v>
      </c>
      <c r="AT103" s="1082"/>
      <c r="AU103" s="1342">
        <f>+AU96</f>
        <v>9260.0980000000109</v>
      </c>
      <c r="AV103" s="1081"/>
      <c r="AW103" s="2667">
        <f>+AW96</f>
        <v>795.07799999999963</v>
      </c>
      <c r="AX103" s="1082"/>
      <c r="AY103" s="1342">
        <f>+AY96</f>
        <v>10055.17600000001</v>
      </c>
      <c r="AZ103" s="1081"/>
      <c r="BA103" s="2667">
        <f>+BA96</f>
        <v>1104.0839999999996</v>
      </c>
      <c r="BB103" s="1083"/>
      <c r="BC103" s="533">
        <f>+BC96</f>
        <v>2604.9699999999998</v>
      </c>
      <c r="BD103" s="1118"/>
      <c r="BE103" s="845">
        <f>+BE96</f>
        <v>5245.2450000000008</v>
      </c>
      <c r="BF103" s="1082"/>
      <c r="BG103" s="1342">
        <f>+BG96</f>
        <v>11159.260000000009</v>
      </c>
      <c r="BH103" s="26"/>
      <c r="BI103" s="26"/>
      <c r="BJ103" s="26"/>
      <c r="BK103" s="26"/>
    </row>
    <row r="104" spans="2:63" x14ac:dyDescent="0.25">
      <c r="B104" s="1322" t="s">
        <v>834</v>
      </c>
      <c r="C104" s="336"/>
      <c r="D104" s="336"/>
      <c r="E104" s="193" t="s">
        <v>52</v>
      </c>
      <c r="F104" s="1081"/>
      <c r="G104" s="442">
        <f>+G99</f>
        <v>915.13200000000006</v>
      </c>
      <c r="H104" s="1081"/>
      <c r="I104" s="442">
        <f>+I99</f>
        <v>775.47800000000018</v>
      </c>
      <c r="J104" s="1082"/>
      <c r="K104" s="443">
        <f>+K99</f>
        <v>1690.6100000000001</v>
      </c>
      <c r="L104" s="1081"/>
      <c r="M104" s="442">
        <f>+M99</f>
        <v>765.346</v>
      </c>
      <c r="N104" s="1083"/>
      <c r="O104" s="533">
        <f>+O99</f>
        <v>2455.9560000000001</v>
      </c>
      <c r="P104" s="1081"/>
      <c r="Q104" s="442">
        <f>+Q99</f>
        <v>869.16</v>
      </c>
      <c r="R104" s="1082"/>
      <c r="S104" s="443">
        <f>+S99</f>
        <v>3325.116</v>
      </c>
      <c r="T104" s="1081"/>
      <c r="U104" s="2667">
        <f>+U99</f>
        <v>1017.1450000000001</v>
      </c>
      <c r="V104" s="1082"/>
      <c r="W104" s="1342">
        <f>+W99</f>
        <v>4342.2610000000004</v>
      </c>
      <c r="X104" s="3163"/>
      <c r="Y104" s="473">
        <f>+Y99</f>
        <v>762.577</v>
      </c>
      <c r="Z104" s="1083"/>
      <c r="AA104" s="533">
        <f>+AA99</f>
        <v>2648.8820000000001</v>
      </c>
      <c r="AB104" s="1118"/>
      <c r="AC104" s="845">
        <f>+AC99</f>
        <v>5104.8379999999997</v>
      </c>
      <c r="AD104" s="1081"/>
      <c r="AE104" s="2667">
        <f>+AE99</f>
        <v>749.9849999999999</v>
      </c>
      <c r="AF104" s="1082"/>
      <c r="AG104" s="1342">
        <f>+AG99</f>
        <v>5854.8229999999994</v>
      </c>
      <c r="AH104" s="1081"/>
      <c r="AI104" s="2667">
        <f>+AI99</f>
        <v>729.69799999999987</v>
      </c>
      <c r="AJ104" s="1082"/>
      <c r="AK104" s="1342">
        <f>+AK99</f>
        <v>6584.5209999999988</v>
      </c>
      <c r="AL104" s="1081"/>
      <c r="AM104" s="2667">
        <f>+AM99</f>
        <v>904.94399999999973</v>
      </c>
      <c r="AN104" s="1083"/>
      <c r="AO104" s="533">
        <f>+AO99</f>
        <v>2384.6269999999995</v>
      </c>
      <c r="AP104" s="1082"/>
      <c r="AQ104" s="1342">
        <f>+AQ99</f>
        <v>7489.4649999999983</v>
      </c>
      <c r="AR104" s="1081"/>
      <c r="AS104" s="2667">
        <f>+AS99</f>
        <v>845.45299999999997</v>
      </c>
      <c r="AT104" s="1082"/>
      <c r="AU104" s="1342">
        <f>+AU99</f>
        <v>8334.9179999999978</v>
      </c>
      <c r="AV104" s="1081"/>
      <c r="AW104" s="2667">
        <f>+AW99</f>
        <v>1067.6379999999999</v>
      </c>
      <c r="AX104" s="1082"/>
      <c r="AY104" s="1342">
        <f>+AY99</f>
        <v>9402.5559999999969</v>
      </c>
      <c r="AZ104" s="1081"/>
      <c r="BA104" s="2667">
        <f>+BA99</f>
        <v>997.58100000000013</v>
      </c>
      <c r="BB104" s="1083"/>
      <c r="BC104" s="533">
        <f>+BC99</f>
        <v>2910.672</v>
      </c>
      <c r="BD104" s="1118"/>
      <c r="BE104" s="845">
        <f>+BE99</f>
        <v>5295.2989999999991</v>
      </c>
      <c r="BF104" s="1082"/>
      <c r="BG104" s="1342">
        <f>+BG99</f>
        <v>10400.136999999997</v>
      </c>
      <c r="BH104" s="26"/>
      <c r="BI104" s="26"/>
      <c r="BJ104" s="26"/>
      <c r="BK104" s="26"/>
    </row>
    <row r="105" spans="2:63" x14ac:dyDescent="0.25">
      <c r="B105" s="1322" t="s">
        <v>1140</v>
      </c>
      <c r="C105" s="1101"/>
      <c r="D105" s="1101"/>
      <c r="E105" s="13" t="s">
        <v>52</v>
      </c>
      <c r="F105" s="336"/>
      <c r="G105" s="442">
        <f>+G100</f>
        <v>549.06099999999992</v>
      </c>
      <c r="H105" s="336"/>
      <c r="I105" s="442">
        <f>+I100</f>
        <v>407.05799999999994</v>
      </c>
      <c r="J105" s="1077"/>
      <c r="K105" s="53">
        <f>+G105+I105</f>
        <v>956.11899999999991</v>
      </c>
      <c r="L105" s="336"/>
      <c r="M105" s="442">
        <f>+M100</f>
        <v>411.85099999999994</v>
      </c>
      <c r="N105" s="1078"/>
      <c r="O105" s="2946">
        <f>+G105+I105+M105</f>
        <v>1367.9699999999998</v>
      </c>
      <c r="P105" s="336"/>
      <c r="Q105" s="442">
        <f>+Q100</f>
        <v>473.745</v>
      </c>
      <c r="R105" s="1077"/>
      <c r="S105" s="53">
        <f>+O105+Q105</f>
        <v>1841.7149999999997</v>
      </c>
      <c r="T105" s="336"/>
      <c r="U105" s="2667">
        <f>+U100</f>
        <v>624.83899999999994</v>
      </c>
      <c r="V105" s="1077"/>
      <c r="W105" s="53">
        <f>+S105+U105</f>
        <v>2466.5539999999996</v>
      </c>
      <c r="X105" s="1889"/>
      <c r="Y105" s="473">
        <f>+Y100</f>
        <v>496.44900000000001</v>
      </c>
      <c r="Z105" s="1078"/>
      <c r="AA105" s="98">
        <f>+Q105+U105+Y105</f>
        <v>1595.0329999999999</v>
      </c>
      <c r="AB105" s="1112"/>
      <c r="AC105" s="839">
        <f>+AA105+O105</f>
        <v>2963.0029999999997</v>
      </c>
      <c r="AD105" s="336"/>
      <c r="AE105" s="2667">
        <f>+AE100</f>
        <v>468.04599999999999</v>
      </c>
      <c r="AF105" s="1077"/>
      <c r="AG105" s="53">
        <f>+AC105+AE105</f>
        <v>3431.0489999999995</v>
      </c>
      <c r="AH105" s="336"/>
      <c r="AI105" s="2667">
        <f>+AI100</f>
        <v>439.9609999999999</v>
      </c>
      <c r="AJ105" s="1077"/>
      <c r="AK105" s="53">
        <f>+AG105+AI105</f>
        <v>3871.0099999999993</v>
      </c>
      <c r="AL105" s="336"/>
      <c r="AM105" s="2667">
        <f>+AM100</f>
        <v>457.51300000000003</v>
      </c>
      <c r="AN105" s="1078"/>
      <c r="AO105" s="98">
        <f>+AE105+AI105+AM105</f>
        <v>1365.52</v>
      </c>
      <c r="AP105" s="1077"/>
      <c r="AQ105" s="53">
        <f t="shared" ref="AQ105" si="106">AK105+AM105</f>
        <v>4328.5229999999992</v>
      </c>
      <c r="AR105" s="336"/>
      <c r="AS105" s="2667">
        <f>+AS100</f>
        <v>440.72300000000013</v>
      </c>
      <c r="AT105" s="1077"/>
      <c r="AU105" s="53">
        <f>+AQ105+AS105</f>
        <v>4769.2459999999992</v>
      </c>
      <c r="AV105" s="336"/>
      <c r="AW105" s="2667">
        <f>+AW100</f>
        <v>457.59300000000002</v>
      </c>
      <c r="AX105" s="1077"/>
      <c r="AY105" s="53">
        <f>+AU105+AW105</f>
        <v>5226.838999999999</v>
      </c>
      <c r="AZ105" s="336"/>
      <c r="BA105" s="2667">
        <f>+BA100</f>
        <v>500.74900000000002</v>
      </c>
      <c r="BB105" s="1078"/>
      <c r="BC105" s="98">
        <f>+AS105+AW105+BA105</f>
        <v>1399.0650000000001</v>
      </c>
      <c r="BD105" s="1112"/>
      <c r="BE105" s="839">
        <f>+BC105+AO105</f>
        <v>2764.585</v>
      </c>
      <c r="BF105" s="1077"/>
      <c r="BG105" s="53">
        <f>+AY105+BA105</f>
        <v>5727.5879999999988</v>
      </c>
      <c r="BH105" s="26"/>
      <c r="BI105" s="26"/>
      <c r="BJ105" s="26"/>
      <c r="BK105" s="26"/>
    </row>
    <row r="106" spans="2:63" x14ac:dyDescent="0.25">
      <c r="B106" s="1322" t="s">
        <v>861</v>
      </c>
      <c r="C106" s="336"/>
      <c r="D106" s="336"/>
      <c r="E106" s="193" t="s">
        <v>52</v>
      </c>
      <c r="F106" s="1081"/>
      <c r="G106" s="442">
        <f>+G72</f>
        <v>34411.017</v>
      </c>
      <c r="H106" s="1081"/>
      <c r="I106" s="442">
        <f>+I72</f>
        <v>29106.967999999997</v>
      </c>
      <c r="J106" s="1082"/>
      <c r="K106" s="443">
        <f>+K72</f>
        <v>58820.30599999999</v>
      </c>
      <c r="L106" s="1081"/>
      <c r="M106" s="442">
        <f>+M72</f>
        <v>29040.513000000003</v>
      </c>
      <c r="N106" s="1083"/>
      <c r="O106" s="533">
        <f>+O72</f>
        <v>92558.497999999992</v>
      </c>
      <c r="P106" s="1081"/>
      <c r="Q106" s="442">
        <f>+Q72</f>
        <v>33245.998</v>
      </c>
      <c r="R106" s="1082"/>
      <c r="S106" s="443">
        <f>+S72</f>
        <v>116462.91799999998</v>
      </c>
      <c r="T106" s="1081"/>
      <c r="U106" s="2667">
        <f>+U72</f>
        <v>44323.03</v>
      </c>
      <c r="V106" s="1082"/>
      <c r="W106" s="1342">
        <f>+W72</f>
        <v>160785.94800000003</v>
      </c>
      <c r="X106" s="3163"/>
      <c r="Y106" s="473">
        <f>+Y72</f>
        <v>37605.091000000008</v>
      </c>
      <c r="Z106" s="1083"/>
      <c r="AA106" s="533">
        <f>+AA72</f>
        <v>115174.11899999996</v>
      </c>
      <c r="AB106" s="1118"/>
      <c r="AC106" s="845">
        <f>+AC72</f>
        <v>207732.61700000009</v>
      </c>
      <c r="AD106" s="1081"/>
      <c r="AE106" s="2667">
        <f>+AE72</f>
        <v>38809.288</v>
      </c>
      <c r="AF106" s="1082"/>
      <c r="AG106" s="1342">
        <f>+AG72</f>
        <v>246541.905</v>
      </c>
      <c r="AH106" s="1081"/>
      <c r="AI106" s="2667">
        <f>+AI72</f>
        <v>41915.876799999984</v>
      </c>
      <c r="AJ106" s="1082"/>
      <c r="AK106" s="1342">
        <f>+AK72</f>
        <v>288457.78179999994</v>
      </c>
      <c r="AL106" s="1081"/>
      <c r="AM106" s="2667">
        <f>+AM72</f>
        <v>41054.718000000001</v>
      </c>
      <c r="AN106" s="1083"/>
      <c r="AO106" s="533">
        <f>+AO72</f>
        <v>121779.88279999998</v>
      </c>
      <c r="AP106" s="1082"/>
      <c r="AQ106" s="1342">
        <f>+AQ72</f>
        <v>329512.49979999999</v>
      </c>
      <c r="AR106" s="1081"/>
      <c r="AS106" s="2667">
        <f>+AS72</f>
        <v>41279.925999999999</v>
      </c>
      <c r="AT106" s="1082"/>
      <c r="AU106" s="1342">
        <f>+AU72</f>
        <v>370792.42580000003</v>
      </c>
      <c r="AV106" s="1081"/>
      <c r="AW106" s="2667">
        <f>+AW72</f>
        <v>42760.702000000005</v>
      </c>
      <c r="AX106" s="1082"/>
      <c r="AY106" s="1342">
        <f>+AY72</f>
        <v>413553.12780000002</v>
      </c>
      <c r="AZ106" s="1081"/>
      <c r="BA106" s="2667">
        <f>+BA72</f>
        <v>46734.061000000009</v>
      </c>
      <c r="BB106" s="1083"/>
      <c r="BC106" s="533">
        <f>+BC72</f>
        <v>130774.68900000004</v>
      </c>
      <c r="BD106" s="1118"/>
      <c r="BE106" s="845">
        <f>+BE72</f>
        <v>252554.57180000001</v>
      </c>
      <c r="BF106" s="1082"/>
      <c r="BG106" s="1342">
        <f>+BG72</f>
        <v>460287.18879999995</v>
      </c>
      <c r="BH106" s="26"/>
      <c r="BI106" s="26"/>
      <c r="BJ106" s="26"/>
      <c r="BK106" s="26"/>
    </row>
    <row r="107" spans="2:63" x14ac:dyDescent="0.25">
      <c r="B107" s="1322" t="s">
        <v>859</v>
      </c>
      <c r="C107" s="336"/>
      <c r="D107" s="336"/>
      <c r="E107" s="193" t="s">
        <v>52</v>
      </c>
      <c r="F107" s="1081"/>
      <c r="G107" s="442">
        <f>+G74</f>
        <v>0</v>
      </c>
      <c r="H107" s="1081"/>
      <c r="I107" s="442">
        <f>+I74</f>
        <v>71.257999999999996</v>
      </c>
      <c r="J107" s="1082"/>
      <c r="K107" s="443">
        <f>+K74</f>
        <v>71.257999999999996</v>
      </c>
      <c r="L107" s="1081"/>
      <c r="M107" s="442">
        <f>+M74</f>
        <v>25.908000000000001</v>
      </c>
      <c r="N107" s="1083"/>
      <c r="O107" s="533">
        <f>+O74</f>
        <v>97.165999999999997</v>
      </c>
      <c r="P107" s="1081"/>
      <c r="Q107" s="442">
        <f>+Q74</f>
        <v>45.293999999999997</v>
      </c>
      <c r="R107" s="1082"/>
      <c r="S107" s="443">
        <f>+S74</f>
        <v>142.46</v>
      </c>
      <c r="T107" s="1081"/>
      <c r="U107" s="2667">
        <f>+U74</f>
        <v>37.316000000000003</v>
      </c>
      <c r="V107" s="1082"/>
      <c r="W107" s="1342">
        <f>+W74</f>
        <v>179.77600000000001</v>
      </c>
      <c r="X107" s="3163"/>
      <c r="Y107" s="473">
        <f>+Y74</f>
        <v>55.263999999999996</v>
      </c>
      <c r="Z107" s="1083"/>
      <c r="AA107" s="533">
        <f>+AA74</f>
        <v>137.87399999999997</v>
      </c>
      <c r="AB107" s="1118"/>
      <c r="AC107" s="845">
        <f>+AC74</f>
        <v>235.04</v>
      </c>
      <c r="AD107" s="1081"/>
      <c r="AE107" s="2667">
        <f>+AE74</f>
        <v>151.238</v>
      </c>
      <c r="AF107" s="1082"/>
      <c r="AG107" s="1342">
        <f>+AG74</f>
        <v>386.27799999999996</v>
      </c>
      <c r="AH107" s="1081"/>
      <c r="AI107" s="2667">
        <f>+AI74</f>
        <v>303.66976</v>
      </c>
      <c r="AJ107" s="1082"/>
      <c r="AK107" s="1342">
        <f>+AK74</f>
        <v>689.9477599999999</v>
      </c>
      <c r="AL107" s="1081"/>
      <c r="AM107" s="2667">
        <f>+AM74</f>
        <v>29.531000000000002</v>
      </c>
      <c r="AN107" s="1083"/>
      <c r="AO107" s="533">
        <f>+AO74</f>
        <v>484.43875999999995</v>
      </c>
      <c r="AP107" s="1082"/>
      <c r="AQ107" s="1342">
        <f>+AQ74</f>
        <v>719.47875999999997</v>
      </c>
      <c r="AR107" s="1081"/>
      <c r="AS107" s="2667">
        <f>+AS74</f>
        <v>75.147999999999996</v>
      </c>
      <c r="AT107" s="1082"/>
      <c r="AU107" s="1342">
        <f>+AU74</f>
        <v>794.62675999999999</v>
      </c>
      <c r="AV107" s="1081"/>
      <c r="AW107" s="2667">
        <f>+AW74</f>
        <v>169.30199999999999</v>
      </c>
      <c r="AX107" s="1082"/>
      <c r="AY107" s="1342">
        <f>+AY74</f>
        <v>963.92876000000001</v>
      </c>
      <c r="AZ107" s="1081"/>
      <c r="BA107" s="2667">
        <f>+BA74</f>
        <v>181.30799999999999</v>
      </c>
      <c r="BB107" s="1083"/>
      <c r="BC107" s="533">
        <f>+BC74</f>
        <v>425.75799999999998</v>
      </c>
      <c r="BD107" s="1118"/>
      <c r="BE107" s="845">
        <f>+BE74</f>
        <v>910.19676000000004</v>
      </c>
      <c r="BF107" s="1082"/>
      <c r="BG107" s="1342">
        <f>+BG74</f>
        <v>1145.23676</v>
      </c>
      <c r="BH107" s="26"/>
      <c r="BI107" s="26"/>
      <c r="BJ107" s="26"/>
      <c r="BK107" s="26"/>
    </row>
    <row r="108" spans="2:63" ht="15.75" thickBot="1" x14ac:dyDescent="0.3">
      <c r="B108" s="1325" t="s">
        <v>1767</v>
      </c>
      <c r="C108" s="1138"/>
      <c r="D108" s="1138"/>
      <c r="E108" s="1100" t="s">
        <v>52</v>
      </c>
      <c r="F108" s="1326"/>
      <c r="G108" s="1327">
        <f>+G106-G107</f>
        <v>34411.017</v>
      </c>
      <c r="H108" s="1326"/>
      <c r="I108" s="1327">
        <f>+I106-I107</f>
        <v>29035.709999999995</v>
      </c>
      <c r="J108" s="1328"/>
      <c r="K108" s="1329">
        <f>+K106-K107</f>
        <v>58749.047999999988</v>
      </c>
      <c r="L108" s="1326"/>
      <c r="M108" s="1327">
        <f>+M106-M107</f>
        <v>29014.605000000003</v>
      </c>
      <c r="N108" s="1330"/>
      <c r="O108" s="1343">
        <f>+O106-O107</f>
        <v>92461.331999999995</v>
      </c>
      <c r="P108" s="1326"/>
      <c r="Q108" s="1327">
        <f>+Q106-Q107</f>
        <v>33200.703999999998</v>
      </c>
      <c r="R108" s="1328"/>
      <c r="S108" s="1329">
        <f>+S106-S107</f>
        <v>116320.45799999997</v>
      </c>
      <c r="T108" s="1326"/>
      <c r="U108" s="2670">
        <f>+U106-U107</f>
        <v>44285.714</v>
      </c>
      <c r="V108" s="1328"/>
      <c r="W108" s="1345">
        <f>+W106-W107</f>
        <v>160606.17200000002</v>
      </c>
      <c r="X108" s="3163"/>
      <c r="Y108" s="473">
        <f>+Y106-Y107</f>
        <v>37549.827000000005</v>
      </c>
      <c r="Z108" s="1083"/>
      <c r="AA108" s="533">
        <f>+AA106-AA107</f>
        <v>115036.24499999997</v>
      </c>
      <c r="AB108" s="1118"/>
      <c r="AC108" s="845">
        <f>+AC106-AC107</f>
        <v>207497.57700000008</v>
      </c>
      <c r="AD108" s="1326"/>
      <c r="AE108" s="2670">
        <f>+AE106-AE107</f>
        <v>38658.050000000003</v>
      </c>
      <c r="AF108" s="1328"/>
      <c r="AG108" s="1345">
        <f>+AG106-AG107</f>
        <v>246155.62700000001</v>
      </c>
      <c r="AH108" s="1326"/>
      <c r="AI108" s="2670">
        <f>+AI106-AI107</f>
        <v>41612.207039999987</v>
      </c>
      <c r="AJ108" s="1328"/>
      <c r="AK108" s="1345">
        <f>+AK106-AK107</f>
        <v>287767.83403999993</v>
      </c>
      <c r="AL108" s="1326"/>
      <c r="AM108" s="2670">
        <f>+AM106-AM107</f>
        <v>41025.186999999998</v>
      </c>
      <c r="AN108" s="1083"/>
      <c r="AO108" s="533">
        <f>+AO106-AO107</f>
        <v>121295.44403999997</v>
      </c>
      <c r="AP108" s="1328"/>
      <c r="AQ108" s="1345">
        <f>+AQ106-AQ107</f>
        <v>328793.02103999996</v>
      </c>
      <c r="AR108" s="1326"/>
      <c r="AS108" s="2670">
        <f>+AS106-AS107</f>
        <v>41204.777999999998</v>
      </c>
      <c r="AT108" s="1328"/>
      <c r="AU108" s="1345">
        <f>+AU106-AU107</f>
        <v>369997.79904000001</v>
      </c>
      <c r="AV108" s="1326"/>
      <c r="AW108" s="2670">
        <f>+AW106-AW107</f>
        <v>42591.4</v>
      </c>
      <c r="AX108" s="1328"/>
      <c r="AY108" s="1345">
        <f>+AY106-AY107</f>
        <v>412589.19904000004</v>
      </c>
      <c r="AZ108" s="1326"/>
      <c r="BA108" s="2670">
        <f>+BA106-BA107</f>
        <v>46552.753000000012</v>
      </c>
      <c r="BB108" s="1083"/>
      <c r="BC108" s="533">
        <f>+BC106-BC107</f>
        <v>130348.93100000004</v>
      </c>
      <c r="BD108" s="1118"/>
      <c r="BE108" s="845">
        <f>+BE106-BE107</f>
        <v>251644.37504000001</v>
      </c>
      <c r="BF108" s="1328"/>
      <c r="BG108" s="1345">
        <f>+BG106-BG107</f>
        <v>459141.95203999995</v>
      </c>
      <c r="BH108" s="26"/>
      <c r="BI108" s="26"/>
      <c r="BJ108" s="26"/>
      <c r="BK108" s="26"/>
    </row>
    <row r="109" spans="2:63" ht="15.75" thickBot="1" x14ac:dyDescent="0.3">
      <c r="B109" s="188"/>
      <c r="C109" s="188"/>
      <c r="D109" s="188"/>
      <c r="E109" s="188"/>
      <c r="F109" s="188"/>
      <c r="G109" s="188"/>
      <c r="H109" s="188"/>
      <c r="I109" s="188"/>
      <c r="J109" s="188"/>
      <c r="K109" s="188"/>
      <c r="L109" s="188"/>
      <c r="M109" s="188"/>
      <c r="N109" s="188"/>
      <c r="O109" s="188"/>
      <c r="P109" s="188"/>
      <c r="Q109" s="188"/>
      <c r="R109" s="188"/>
      <c r="S109" s="188"/>
      <c r="T109" s="188"/>
      <c r="U109" s="2652"/>
      <c r="V109" s="188"/>
      <c r="W109" s="188"/>
      <c r="X109" s="188"/>
      <c r="Y109" s="188"/>
      <c r="Z109" s="188"/>
      <c r="AA109" s="188"/>
      <c r="AB109" s="188"/>
      <c r="AC109" s="188"/>
      <c r="AD109" s="188"/>
      <c r="AE109" s="2652"/>
      <c r="AF109" s="188"/>
      <c r="AG109" s="188"/>
      <c r="AH109" s="188"/>
      <c r="AI109" s="2652"/>
      <c r="AJ109" s="188"/>
      <c r="AK109" s="188"/>
      <c r="AL109" s="188"/>
      <c r="AM109" s="2652"/>
      <c r="AN109" s="188"/>
      <c r="AO109" s="188"/>
      <c r="AP109" s="188"/>
      <c r="AQ109" s="188"/>
      <c r="AR109" s="188"/>
      <c r="AS109" s="2652"/>
      <c r="AT109" s="188"/>
      <c r="AU109" s="188"/>
      <c r="AV109" s="188"/>
      <c r="AW109" s="2652"/>
      <c r="AX109" s="188"/>
      <c r="AY109" s="188"/>
      <c r="AZ109" s="188"/>
      <c r="BA109" s="2652"/>
      <c r="BB109" s="188"/>
      <c r="BC109" s="188"/>
      <c r="BD109" s="188"/>
      <c r="BE109" s="188"/>
      <c r="BF109" s="188"/>
      <c r="BG109" s="188"/>
      <c r="BH109" s="26"/>
      <c r="BI109" s="26"/>
      <c r="BJ109" s="26"/>
      <c r="BK109" s="26"/>
    </row>
    <row r="110" spans="2:63" ht="15.75" thickBot="1" x14ac:dyDescent="0.3">
      <c r="B110" s="958" t="s">
        <v>1141</v>
      </c>
      <c r="C110" s="1346"/>
      <c r="D110" s="1346"/>
      <c r="E110" s="955" t="s">
        <v>52</v>
      </c>
      <c r="F110" s="3168"/>
      <c r="G110" s="1347">
        <f>+G102-G103-G104-G106-G105</f>
        <v>1.5916157281026244E-12</v>
      </c>
      <c r="H110" s="3168"/>
      <c r="I110" s="1347">
        <f>+I102-I103-I104-I106-I105</f>
        <v>4.6043169277254492E-12</v>
      </c>
      <c r="J110" s="1350"/>
      <c r="K110" s="1348">
        <f>+K102-K103-K104-K106-K105</f>
        <v>4697.6790000000174</v>
      </c>
      <c r="L110" s="3168"/>
      <c r="M110" s="1347">
        <f>+M102-M103-M104-M106-M105</f>
        <v>-8.4696694102603942E-12</v>
      </c>
      <c r="N110" s="3169"/>
      <c r="O110" s="1351">
        <f>+O102-O103-O104-O106-O105</f>
        <v>0</v>
      </c>
      <c r="P110" s="3168"/>
      <c r="Q110" s="1347">
        <f>+Q102-Q103-Q104-Q106-Q105</f>
        <v>-4.6611603465862572E-12</v>
      </c>
      <c r="R110" s="1350"/>
      <c r="S110" s="1348">
        <f>+S102-S103-S104-S106-S105</f>
        <v>9341.5780000000486</v>
      </c>
      <c r="T110" s="3168"/>
      <c r="U110" s="2671">
        <f>+U102-U103-U104-U106-U105</f>
        <v>0</v>
      </c>
      <c r="V110" s="1350"/>
      <c r="W110" s="1354">
        <f>+W102-W103-W104-W106-W105</f>
        <v>9341.577999999954</v>
      </c>
      <c r="X110" s="3163"/>
      <c r="Y110" s="473">
        <f>+Y102-Y103-Y104-Y106-Y105</f>
        <v>-6.7643668444361538E-12</v>
      </c>
      <c r="Z110" s="1083"/>
      <c r="AA110" s="533">
        <f>+AA102-AA103-AA104-AA106-AA105</f>
        <v>3.9563019527122378E-11</v>
      </c>
      <c r="AB110" s="1118"/>
      <c r="AC110" s="845">
        <f>+AC102-AC103-AC104-AC106-AC105</f>
        <v>-9.0039975475519896E-11</v>
      </c>
      <c r="AD110" s="3168"/>
      <c r="AE110" s="2671">
        <f>+AE102-AE103-AE104-AE106-AE105</f>
        <v>-9.9999999446254151E-4</v>
      </c>
      <c r="AF110" s="1350"/>
      <c r="AG110" s="1354">
        <f>+AG102-AG103-AG104-AG106-AG105</f>
        <v>-1.0000000188483682E-3</v>
      </c>
      <c r="AH110" s="3168"/>
      <c r="AI110" s="2671">
        <f>+AI102-AI103-AI104-AI106-AI105</f>
        <v>-1.8799999980387838E-2</v>
      </c>
      <c r="AJ110" s="1350"/>
      <c r="AK110" s="1354">
        <f>+AK102-AK103-AK104-AK106-AK105</f>
        <v>-1.979999999912252E-2</v>
      </c>
      <c r="AL110" s="3168"/>
      <c r="AM110" s="2671">
        <f>+AM102-AM103-AM104-AM106-AM105</f>
        <v>9.9999998826660885E-4</v>
      </c>
      <c r="AN110" s="1083"/>
      <c r="AO110" s="533">
        <f>+AO102-AO103-AO104-AO106-AO105</f>
        <v>-1.8799999972088699E-2</v>
      </c>
      <c r="AP110" s="1350"/>
      <c r="AQ110" s="1354">
        <f>+AQ102-AQ103-AQ104-AQ106-AQ105</f>
        <v>-1.8800000090777758E-2</v>
      </c>
      <c r="AR110" s="3168"/>
      <c r="AS110" s="2671">
        <f>+AS102-AS103-AS104-AS106-AS105</f>
        <v>5.2864379540551454E-12</v>
      </c>
      <c r="AT110" s="1350"/>
      <c r="AU110" s="1354">
        <f>+AU102-AU103-AU104-AU106-AU105</f>
        <v>-1.8800000034389086E-2</v>
      </c>
      <c r="AV110" s="3168"/>
      <c r="AW110" s="2671">
        <f>+AW102-AW103-AW104-AW106-AW105</f>
        <v>-5.0000000039176484E-3</v>
      </c>
      <c r="AX110" s="1350"/>
      <c r="AY110" s="1354">
        <f>+AY102-AY103-AY104-AY106-AY105</f>
        <v>-2.3800000045412162E-2</v>
      </c>
      <c r="AZ110" s="3168"/>
      <c r="BA110" s="2671">
        <f>+BA102-BA103-BA104-BA106-BA105</f>
        <v>-5.0000000012460077E-3</v>
      </c>
      <c r="BB110" s="1083"/>
      <c r="BC110" s="533">
        <f>+BC102-BC103-BC104-BC106-BC105</f>
        <v>-1.0000000036143319E-2</v>
      </c>
      <c r="BD110" s="1118"/>
      <c r="BE110" s="5163">
        <f>+BE102-BE103-BE104-BE106-BE105</f>
        <v>-2.8799999979128188E-2</v>
      </c>
      <c r="BF110" s="1350"/>
      <c r="BG110" s="1354">
        <f>+BG102-BG103-BG104-BG106-BG105</f>
        <v>-2.8799999922739516E-2</v>
      </c>
      <c r="BH110" s="26"/>
      <c r="BI110" s="26"/>
      <c r="BJ110" s="26"/>
      <c r="BK110" s="26"/>
    </row>
    <row r="111" spans="2:63" x14ac:dyDescent="0.25">
      <c r="AD111" s="4092"/>
      <c r="AE111" s="4092"/>
      <c r="AF111" s="4092"/>
      <c r="AG111" s="4092"/>
      <c r="AH111" s="4184"/>
      <c r="AI111" s="4184"/>
      <c r="AJ111" s="4184"/>
      <c r="AK111" s="4184"/>
      <c r="AL111" s="4321"/>
      <c r="AM111" s="4321"/>
      <c r="AN111" s="4321"/>
      <c r="AO111" s="4321"/>
      <c r="AP111" s="4321"/>
      <c r="AQ111" s="4321"/>
      <c r="AR111" s="4438"/>
      <c r="AS111" s="4438"/>
      <c r="AT111" s="4438"/>
      <c r="AU111" s="4438"/>
      <c r="AV111" s="4675"/>
      <c r="AW111" s="4675"/>
      <c r="AX111" s="4675"/>
      <c r="AY111" s="4675"/>
      <c r="AZ111" s="5117"/>
      <c r="BA111" s="5117"/>
      <c r="BF111" s="5117"/>
      <c r="BG111" s="5117"/>
      <c r="BH111" s="26"/>
      <c r="BI111" s="26"/>
    </row>
    <row r="112" spans="2:63" x14ac:dyDescent="0.25">
      <c r="F112" s="26">
        <f>F73-'Maj Production Summ'!E30</f>
        <v>0</v>
      </c>
      <c r="G112" s="26">
        <f>G73-'Maj Production Summ'!F30</f>
        <v>0</v>
      </c>
      <c r="H112" s="26">
        <f>H73-'Maj Production Summ'!G30</f>
        <v>0</v>
      </c>
      <c r="I112" s="26">
        <f>I73-'Maj Production Summ'!H30</f>
        <v>0</v>
      </c>
      <c r="J112" s="26">
        <f>J73-'Maj Production Summ'!I30</f>
        <v>0</v>
      </c>
      <c r="K112" s="26">
        <f>K73-'Maj Production Summ'!J30</f>
        <v>-4697.679000000011</v>
      </c>
      <c r="L112" s="26">
        <f>L73-'Maj Production Summ'!K30</f>
        <v>0</v>
      </c>
      <c r="M112" s="26">
        <f>M73-'Maj Production Summ'!L30</f>
        <v>0</v>
      </c>
      <c r="N112" s="26">
        <f>N73-'Maj Production Summ'!M30</f>
        <v>0</v>
      </c>
      <c r="O112" s="26">
        <f>O73-'Maj Production Summ'!N30</f>
        <v>0</v>
      </c>
      <c r="P112" s="26">
        <f>P73-'Maj Production Summ'!O30</f>
        <v>0</v>
      </c>
      <c r="Q112" s="26">
        <f>Q73-'Maj Production Summ'!P30</f>
        <v>0</v>
      </c>
      <c r="R112" s="26">
        <f>R73-'Maj Production Summ'!Q30</f>
        <v>0</v>
      </c>
      <c r="S112" s="26">
        <f>S73-'Maj Production Summ'!R30</f>
        <v>-9341.5780000000086</v>
      </c>
      <c r="T112" s="26">
        <f>T73-'Maj Production Summ'!S30</f>
        <v>0</v>
      </c>
      <c r="U112" s="26">
        <f>U73-'Maj Production Summ'!T30</f>
        <v>0</v>
      </c>
      <c r="V112" s="26">
        <f>V73-'Maj Production Summ'!U30</f>
        <v>0</v>
      </c>
      <c r="W112" s="26">
        <f>W73-'Maj Production Summ'!V30</f>
        <v>-9341.5779999999795</v>
      </c>
      <c r="X112" s="26">
        <f>X73-'Maj Production Summ'!W30</f>
        <v>0</v>
      </c>
      <c r="Y112" s="26">
        <f>Y73-'Maj Production Summ'!X30</f>
        <v>0</v>
      </c>
      <c r="Z112" s="26">
        <f>Z73-'Maj Production Summ'!Y30</f>
        <v>0</v>
      </c>
      <c r="AA112" s="26">
        <f>AA73-'Maj Production Summ'!Z30</f>
        <v>0</v>
      </c>
      <c r="AB112" s="26">
        <f>AB73-'Maj Production Summ'!AA30</f>
        <v>0</v>
      </c>
      <c r="AC112" s="26">
        <f>AC73-'Maj Production Summ'!AB30</f>
        <v>0</v>
      </c>
      <c r="AD112" s="26">
        <f>AD73-'Maj Production Summ'!AC30</f>
        <v>0</v>
      </c>
      <c r="AE112" s="26">
        <f>AE73-'Maj Production Summ'!AD30</f>
        <v>0</v>
      </c>
      <c r="AF112" s="26">
        <f>AF73-'Maj Production Summ'!AE30</f>
        <v>0</v>
      </c>
      <c r="AG112" s="26">
        <f>AG73-'Maj Production Summ'!AF30</f>
        <v>0</v>
      </c>
      <c r="AH112" s="26">
        <f>AH73-'Maj Production Summ'!AG30</f>
        <v>0</v>
      </c>
      <c r="AI112" s="26">
        <f>AI73-'Maj Production Summ'!AH30</f>
        <v>0</v>
      </c>
      <c r="AJ112" s="26">
        <f>AJ73-'Maj Production Summ'!AI30</f>
        <v>0</v>
      </c>
      <c r="AK112" s="26">
        <f>AK73-'Maj Production Summ'!AJ30</f>
        <v>0</v>
      </c>
      <c r="AL112" s="26">
        <f>AL73-'Maj Production Summ'!AK30</f>
        <v>0</v>
      </c>
      <c r="AM112" s="26">
        <f>AM73-'Maj Production Summ'!AL30</f>
        <v>0</v>
      </c>
      <c r="AN112" s="26">
        <f>AN73-'Maj Production Summ'!AM30</f>
        <v>0</v>
      </c>
      <c r="AO112" s="26">
        <f>AO73-'Maj Production Summ'!AN30</f>
        <v>0</v>
      </c>
      <c r="AP112" s="26">
        <f>AP73-'Maj Production Summ'!AO30</f>
        <v>0</v>
      </c>
      <c r="AQ112" s="26">
        <f>AQ73-'Maj Production Summ'!AP30</f>
        <v>0</v>
      </c>
      <c r="AR112" s="26">
        <f>AR73-'Maj Production Summ'!AQ30</f>
        <v>0</v>
      </c>
      <c r="AS112" s="26">
        <f>AS73-'Maj Production Summ'!AR30</f>
        <v>0</v>
      </c>
      <c r="AT112" s="26">
        <f>AT73-'Maj Production Summ'!AS30</f>
        <v>0</v>
      </c>
      <c r="AU112" s="26">
        <f>AU73-'Maj Production Summ'!AT30</f>
        <v>0</v>
      </c>
      <c r="AV112" s="26">
        <f>AV73-'Maj Production Summ'!AU30</f>
        <v>0</v>
      </c>
      <c r="AW112" s="26">
        <f>AW73-'Maj Production Summ'!AV30</f>
        <v>0</v>
      </c>
      <c r="AX112" s="26">
        <f>AX73-'Maj Production Summ'!AW30</f>
        <v>0</v>
      </c>
      <c r="AY112" s="26">
        <f>AY73-'Maj Production Summ'!AX30</f>
        <v>0</v>
      </c>
      <c r="AZ112" s="26">
        <f>AZ73-'Maj Production Summ'!AY30</f>
        <v>0</v>
      </c>
      <c r="BA112" s="26">
        <f>BA73-'Maj Production Summ'!AZ30</f>
        <v>0</v>
      </c>
      <c r="BB112" s="26">
        <f>BB73-'Maj Production Summ'!BA30</f>
        <v>0</v>
      </c>
      <c r="BC112" s="26">
        <f>BC73-'Maj Production Summ'!BB30</f>
        <v>0</v>
      </c>
      <c r="BD112" s="26">
        <f>BD73-'Maj Production Summ'!BC30</f>
        <v>0</v>
      </c>
      <c r="BE112" s="26">
        <f>BE73-'Maj Production Summ'!BD30</f>
        <v>0</v>
      </c>
      <c r="BF112" s="26">
        <f>BF73-'Maj Production Summ'!BE30</f>
        <v>0</v>
      </c>
      <c r="BG112" s="26">
        <f>BG73-'Maj Production Summ'!BF30</f>
        <v>0</v>
      </c>
      <c r="BH112" s="26"/>
      <c r="BI112" s="26"/>
    </row>
    <row r="113" spans="2:47" x14ac:dyDescent="0.25">
      <c r="AH113" s="4184"/>
      <c r="AI113" s="4184"/>
      <c r="AJ113" s="4184"/>
      <c r="AK113" s="4184"/>
      <c r="AR113" s="26"/>
      <c r="AS113" s="26"/>
      <c r="AT113" s="26"/>
      <c r="AU113" s="26"/>
    </row>
    <row r="114" spans="2:47" x14ac:dyDescent="0.25">
      <c r="B114" t="s">
        <v>2006</v>
      </c>
      <c r="C114" t="s">
        <v>2007</v>
      </c>
    </row>
  </sheetData>
  <autoFilter ref="C5:C92"/>
  <mergeCells count="31">
    <mergeCell ref="B3:B4"/>
    <mergeCell ref="E3:E4"/>
    <mergeCell ref="F3:G3"/>
    <mergeCell ref="H3:I3"/>
    <mergeCell ref="J3:K3"/>
    <mergeCell ref="AH3:AI3"/>
    <mergeCell ref="AJ3:AK3"/>
    <mergeCell ref="R3:S3"/>
    <mergeCell ref="T3:U3"/>
    <mergeCell ref="V3:W3"/>
    <mergeCell ref="AD3:AE3"/>
    <mergeCell ref="AF3:AG3"/>
    <mergeCell ref="X3:Y3"/>
    <mergeCell ref="Z3:AA3"/>
    <mergeCell ref="AB3:AC3"/>
    <mergeCell ref="L3:M3"/>
    <mergeCell ref="C3:C4"/>
    <mergeCell ref="D3:D4"/>
    <mergeCell ref="N3:O3"/>
    <mergeCell ref="P3:Q3"/>
    <mergeCell ref="AR3:AS3"/>
    <mergeCell ref="AT3:AU3"/>
    <mergeCell ref="AL3:AM3"/>
    <mergeCell ref="AN3:AO3"/>
    <mergeCell ref="AP3:AQ3"/>
    <mergeCell ref="AZ3:BA3"/>
    <mergeCell ref="BF3:BG3"/>
    <mergeCell ref="BB3:BC3"/>
    <mergeCell ref="BD3:BE3"/>
    <mergeCell ref="AV3:AW3"/>
    <mergeCell ref="AX3:AY3"/>
  </mergeCells>
  <printOptions horizontalCentered="1" verticalCentered="1"/>
  <pageMargins left="0" right="0" top="0" bottom="0" header="0" footer="0"/>
  <pageSetup scale="76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>
    <tabColor rgb="FFF97575"/>
    <pageSetUpPr fitToPage="1"/>
  </sheetPr>
  <dimension ref="A1:DA84"/>
  <sheetViews>
    <sheetView topLeftCell="E7" zoomScaleNormal="100" workbookViewId="0">
      <pane xSplit="1" topLeftCell="BA1" activePane="topRight" state="frozen"/>
      <selection activeCell="G62" sqref="G62"/>
      <selection pane="topRight" activeCell="DA38" sqref="DA38"/>
    </sheetView>
  </sheetViews>
  <sheetFormatPr defaultColWidth="9.140625" defaultRowHeight="15" x14ac:dyDescent="0.25"/>
  <cols>
    <col min="5" max="5" width="55.140625" bestFit="1" customWidth="1"/>
    <col min="6" max="6" width="15.5703125" hidden="1" customWidth="1"/>
    <col min="7" max="7" width="11.85546875" hidden="1" customWidth="1"/>
    <col min="8" max="8" width="10.42578125" hidden="1" customWidth="1"/>
    <col min="9" max="10" width="9.7109375" hidden="1" customWidth="1"/>
    <col min="11" max="12" width="8.42578125" hidden="1" customWidth="1"/>
    <col min="13" max="14" width="7.85546875" hidden="1" customWidth="1"/>
    <col min="15" max="15" width="8.42578125" hidden="1" customWidth="1"/>
    <col min="16" max="16" width="9.85546875" hidden="1" customWidth="1"/>
    <col min="17" max="17" width="8.42578125" hidden="1" customWidth="1"/>
    <col min="18" max="23" width="9.85546875" hidden="1" customWidth="1"/>
    <col min="24" max="24" width="12" hidden="1" customWidth="1"/>
    <col min="25" max="25" width="8.5703125" hidden="1" customWidth="1"/>
    <col min="26" max="26" width="9.140625" hidden="1" customWidth="1"/>
    <col min="27" max="29" width="8.28515625" hidden="1" customWidth="1"/>
    <col min="30" max="30" width="8.7109375" hidden="1" customWidth="1"/>
    <col min="31" max="34" width="8.28515625" hidden="1" customWidth="1"/>
    <col min="35" max="35" width="13.42578125" hidden="1" customWidth="1"/>
    <col min="36" max="38" width="8.28515625" hidden="1" customWidth="1"/>
    <col min="39" max="39" width="8.140625" hidden="1" customWidth="1"/>
    <col min="40" max="40" width="9.42578125" hidden="1" customWidth="1"/>
    <col min="41" max="42" width="8.28515625" hidden="1" customWidth="1"/>
    <col min="43" max="43" width="9" hidden="1" customWidth="1"/>
    <col min="44" max="44" width="13.28515625" hidden="1" customWidth="1"/>
    <col min="45" max="45" width="13.28515625" style="183" hidden="1" customWidth="1"/>
    <col min="46" max="46" width="5.42578125" hidden="1" customWidth="1"/>
    <col min="47" max="47" width="16" customWidth="1"/>
    <col min="48" max="48" width="16" style="5259" hidden="1" customWidth="1"/>
    <col min="49" max="49" width="18.140625" customWidth="1"/>
    <col min="50" max="52" width="18.140625" style="5259" hidden="1" customWidth="1"/>
    <col min="53" max="53" width="10.140625" customWidth="1"/>
    <col min="54" max="56" width="10.140625" style="5259" hidden="1" customWidth="1"/>
    <col min="57" max="57" width="10.140625" customWidth="1"/>
    <col min="58" max="60" width="10.140625" style="5259" hidden="1" customWidth="1"/>
    <col min="61" max="61" width="10.140625" customWidth="1"/>
    <col min="62" max="64" width="10.140625" style="5259" hidden="1" customWidth="1"/>
    <col min="65" max="65" width="10.140625" customWidth="1"/>
    <col min="66" max="70" width="10.140625" style="5259" hidden="1" customWidth="1"/>
    <col min="71" max="71" width="10.140625" customWidth="1"/>
    <col min="72" max="74" width="10.140625" style="5259" hidden="1" customWidth="1"/>
    <col min="75" max="75" width="10.140625" customWidth="1"/>
    <col min="76" max="78" width="10.140625" style="5259" hidden="1" customWidth="1"/>
    <col min="79" max="79" width="10.140625" customWidth="1"/>
    <col min="80" max="84" width="10.140625" style="5259" hidden="1" customWidth="1"/>
    <col min="85" max="85" width="10.140625" customWidth="1"/>
    <col min="86" max="88" width="10.140625" style="5259" hidden="1" customWidth="1"/>
    <col min="89" max="89" width="10.140625" customWidth="1"/>
    <col min="90" max="92" width="10.140625" style="5259" hidden="1" customWidth="1"/>
    <col min="93" max="93" width="10.140625" customWidth="1"/>
    <col min="94" max="98" width="10.140625" style="5259" hidden="1" customWidth="1"/>
    <col min="99" max="100" width="10.7109375" customWidth="1"/>
    <col min="103" max="103" width="10.140625" bestFit="1" customWidth="1"/>
    <col min="105" max="105" width="12" bestFit="1" customWidth="1"/>
  </cols>
  <sheetData>
    <row r="1" spans="1:105" x14ac:dyDescent="0.25">
      <c r="A1" s="319"/>
      <c r="B1" s="319"/>
      <c r="C1" s="319"/>
      <c r="D1" s="319"/>
      <c r="E1" s="2167"/>
      <c r="F1" s="319"/>
      <c r="G1" s="319"/>
      <c r="H1" s="319"/>
      <c r="I1" s="319"/>
      <c r="J1" s="319"/>
      <c r="K1" s="319"/>
      <c r="L1" s="319"/>
      <c r="M1" s="319"/>
      <c r="N1" s="319"/>
      <c r="O1" s="319"/>
      <c r="P1" s="319"/>
      <c r="Q1" s="319"/>
      <c r="R1" s="319"/>
      <c r="S1" s="322"/>
      <c r="T1" s="322"/>
      <c r="U1" s="322"/>
      <c r="V1" s="322"/>
      <c r="W1" s="322"/>
      <c r="X1" s="319"/>
      <c r="Y1" s="319"/>
      <c r="Z1" s="319"/>
      <c r="AA1" s="319"/>
      <c r="AB1" s="319"/>
      <c r="AC1" s="319"/>
      <c r="AD1" s="319"/>
      <c r="AE1" s="319"/>
      <c r="AF1" s="319"/>
      <c r="AG1" s="319"/>
      <c r="AH1" s="319"/>
      <c r="AI1" s="319"/>
      <c r="AJ1" s="319"/>
      <c r="AK1" s="319"/>
      <c r="AL1" s="322"/>
      <c r="AM1" s="322"/>
      <c r="AN1" s="322"/>
      <c r="AO1" s="322"/>
      <c r="AP1" s="322"/>
      <c r="AQ1" s="322"/>
      <c r="AR1" s="319"/>
      <c r="AS1" s="319"/>
      <c r="AT1" s="319"/>
      <c r="AU1" s="319"/>
      <c r="AV1" s="319"/>
      <c r="AW1" s="319"/>
      <c r="AX1" s="319"/>
      <c r="AY1" s="319"/>
      <c r="AZ1" s="319"/>
      <c r="BA1" s="319"/>
      <c r="BB1" s="319"/>
      <c r="BC1" s="319"/>
      <c r="BD1" s="319"/>
      <c r="BE1" s="319"/>
      <c r="BF1" s="319"/>
      <c r="BG1" s="319"/>
      <c r="BH1" s="319"/>
      <c r="BI1" s="319"/>
      <c r="BJ1" s="319"/>
      <c r="BK1" s="319"/>
      <c r="BL1" s="319"/>
      <c r="BM1" s="319"/>
      <c r="BN1" s="319"/>
      <c r="BO1" s="319"/>
      <c r="BP1" s="319"/>
      <c r="BQ1" s="319"/>
      <c r="BR1" s="319"/>
      <c r="BS1" s="319"/>
      <c r="BT1" s="319"/>
      <c r="BU1" s="319"/>
      <c r="BV1" s="319"/>
      <c r="BW1" s="319"/>
      <c r="BX1" s="319"/>
      <c r="BY1" s="319"/>
      <c r="BZ1" s="319"/>
      <c r="CA1" s="319"/>
      <c r="CB1" s="319"/>
      <c r="CC1" s="319"/>
      <c r="CD1" s="319"/>
      <c r="CE1" s="319"/>
      <c r="CF1" s="319"/>
      <c r="CG1" s="319"/>
      <c r="CH1" s="319"/>
      <c r="CI1" s="319"/>
      <c r="CJ1" s="319"/>
      <c r="CK1" s="319"/>
      <c r="CL1" s="319"/>
      <c r="CM1" s="319"/>
      <c r="CN1" s="319"/>
      <c r="CO1" s="319"/>
      <c r="CP1" s="319"/>
      <c r="CQ1" s="319"/>
      <c r="CR1" s="319"/>
      <c r="CS1" s="319"/>
      <c r="CT1" s="319"/>
      <c r="CU1" s="319"/>
      <c r="CV1" s="319"/>
    </row>
    <row r="2" spans="1:105" ht="22.5" x14ac:dyDescent="0.25">
      <c r="A2" s="319"/>
      <c r="B2" s="319"/>
      <c r="C2" s="319"/>
      <c r="D2" s="319"/>
      <c r="E2" s="6428" t="s">
        <v>1489</v>
      </c>
      <c r="F2" s="6428"/>
      <c r="G2" s="6428"/>
      <c r="H2" s="6428"/>
      <c r="I2" s="6428"/>
      <c r="J2" s="6428"/>
      <c r="K2" s="6428"/>
      <c r="L2" s="6428"/>
      <c r="M2" s="6428"/>
      <c r="N2" s="6428"/>
      <c r="O2" s="6428"/>
      <c r="P2" s="6428"/>
      <c r="Q2" s="6428"/>
      <c r="R2" s="6428"/>
      <c r="S2" s="6428"/>
      <c r="T2" s="6428"/>
      <c r="U2" s="6428"/>
      <c r="V2" s="6428"/>
      <c r="W2" s="6428"/>
      <c r="X2" s="6428"/>
      <c r="Y2" s="6428"/>
      <c r="Z2" s="6428"/>
      <c r="AA2" s="6428"/>
      <c r="AB2" s="6428"/>
      <c r="AC2" s="6428"/>
      <c r="AD2" s="6428"/>
      <c r="AE2" s="6428"/>
      <c r="AF2" s="6428"/>
      <c r="AG2" s="6428"/>
      <c r="AH2" s="6428"/>
      <c r="AI2" s="6428"/>
      <c r="AJ2" s="6428"/>
      <c r="AK2" s="6428"/>
      <c r="AL2" s="6428"/>
      <c r="AM2" s="6428"/>
      <c r="AN2" s="6428"/>
      <c r="AO2" s="6428"/>
      <c r="AP2" s="6428"/>
      <c r="AQ2" s="6428"/>
      <c r="AR2" s="6428"/>
      <c r="AS2" s="6428"/>
      <c r="AT2" s="6428"/>
      <c r="AU2" s="6428"/>
      <c r="AV2" s="6428"/>
      <c r="AW2" s="6428"/>
      <c r="AX2" s="6428"/>
      <c r="AY2" s="6428"/>
      <c r="AZ2" s="6428"/>
      <c r="BA2" s="6428"/>
      <c r="BB2" s="6428"/>
      <c r="BC2" s="6428"/>
      <c r="BD2" s="6428"/>
      <c r="BE2" s="6428"/>
      <c r="BF2" s="6428"/>
      <c r="BG2" s="6428"/>
      <c r="BH2" s="6428"/>
      <c r="BI2" s="6428"/>
      <c r="BJ2" s="6428"/>
      <c r="BK2" s="6428"/>
      <c r="BL2" s="6428"/>
      <c r="BM2" s="6428"/>
      <c r="BN2" s="6428"/>
      <c r="BO2" s="6428"/>
      <c r="BP2" s="6428"/>
      <c r="BQ2" s="6428"/>
      <c r="BR2" s="6428"/>
      <c r="BS2" s="6428"/>
      <c r="BT2" s="6428"/>
      <c r="BU2" s="6428"/>
      <c r="BV2" s="6428"/>
      <c r="BW2" s="6428"/>
      <c r="BX2" s="6428"/>
      <c r="BY2" s="6428"/>
      <c r="BZ2" s="6428"/>
      <c r="CA2" s="6428"/>
      <c r="CB2" s="6428"/>
      <c r="CC2" s="6428"/>
      <c r="CD2" s="6428"/>
      <c r="CE2" s="6428"/>
      <c r="CF2" s="6428"/>
      <c r="CG2" s="6428"/>
      <c r="CH2" s="6428"/>
      <c r="CI2" s="6428"/>
      <c r="CJ2" s="6428"/>
      <c r="CK2" s="6428"/>
      <c r="CL2" s="6428"/>
      <c r="CM2" s="6428"/>
      <c r="CN2" s="6428"/>
      <c r="CO2" s="6428"/>
      <c r="CP2" s="6428"/>
      <c r="CQ2" s="6428"/>
      <c r="CR2" s="6428"/>
      <c r="CS2" s="6428"/>
      <c r="CT2" s="6428"/>
      <c r="CU2" s="6428"/>
      <c r="CV2" s="2759"/>
    </row>
    <row r="3" spans="1:105" ht="15.75" thickBot="1" x14ac:dyDescent="0.3">
      <c r="A3" s="319"/>
      <c r="B3" s="319"/>
      <c r="C3" s="319"/>
      <c r="D3" s="319"/>
      <c r="E3" s="2167"/>
      <c r="F3" s="319"/>
      <c r="G3" s="319"/>
      <c r="H3" s="319"/>
      <c r="I3" s="319"/>
      <c r="J3" s="319"/>
      <c r="K3" s="319"/>
      <c r="L3" s="319"/>
      <c r="M3" s="319"/>
      <c r="N3" s="319"/>
      <c r="O3" s="319"/>
      <c r="P3" s="319"/>
      <c r="Q3" s="319"/>
      <c r="R3" s="319"/>
      <c r="S3" s="319"/>
      <c r="T3" s="319"/>
      <c r="U3" s="319"/>
      <c r="V3" s="319"/>
      <c r="W3" s="319"/>
      <c r="X3" s="319"/>
      <c r="Y3" s="319"/>
      <c r="Z3" s="319"/>
      <c r="AA3" s="319"/>
      <c r="AB3" s="319"/>
      <c r="AC3" s="319"/>
      <c r="AD3" s="319"/>
      <c r="AE3" s="319"/>
      <c r="AF3" s="319"/>
      <c r="AG3" s="319"/>
      <c r="AH3" s="319"/>
      <c r="AI3" s="319"/>
      <c r="AJ3" s="319"/>
      <c r="AK3" s="319"/>
      <c r="AL3" s="319"/>
      <c r="AM3" s="319"/>
      <c r="AN3" s="319"/>
      <c r="AO3" s="319"/>
      <c r="AP3" s="319"/>
      <c r="AQ3" s="319"/>
      <c r="AR3" s="319"/>
      <c r="AS3" s="319"/>
      <c r="AT3" s="319"/>
      <c r="AU3" s="319"/>
      <c r="AV3" s="319"/>
      <c r="AW3" s="319"/>
      <c r="AX3" s="319"/>
      <c r="AY3" s="319"/>
      <c r="AZ3" s="319"/>
      <c r="BA3" s="319"/>
      <c r="BB3" s="319"/>
      <c r="BC3" s="319"/>
      <c r="BD3" s="319"/>
      <c r="BE3" s="319"/>
      <c r="BF3" s="319"/>
      <c r="BG3" s="319"/>
      <c r="BH3" s="319"/>
      <c r="BI3" s="319"/>
      <c r="BJ3" s="319"/>
      <c r="BK3" s="319"/>
      <c r="BL3" s="319"/>
      <c r="BM3" s="322"/>
      <c r="BN3" s="322"/>
      <c r="BO3" s="322"/>
      <c r="BP3" s="322"/>
      <c r="BQ3" s="322"/>
      <c r="BR3" s="322"/>
      <c r="BS3" s="319"/>
      <c r="BT3" s="319"/>
      <c r="BU3" s="319"/>
      <c r="BV3" s="319"/>
      <c r="BW3" s="319"/>
      <c r="BX3" s="319"/>
      <c r="BY3" s="319"/>
      <c r="BZ3" s="319"/>
      <c r="CA3" s="319"/>
      <c r="CB3" s="319"/>
      <c r="CC3" s="319"/>
      <c r="CD3" s="319"/>
      <c r="CE3" s="319"/>
      <c r="CF3" s="319"/>
      <c r="CG3" s="319"/>
      <c r="CH3" s="319"/>
      <c r="CI3" s="319"/>
      <c r="CJ3" s="319"/>
      <c r="CK3" s="319"/>
      <c r="CL3" s="319"/>
      <c r="CM3" s="319"/>
      <c r="CN3" s="319"/>
      <c r="CO3" s="319"/>
      <c r="CP3" s="319"/>
      <c r="CQ3" s="319"/>
      <c r="CR3" s="319"/>
      <c r="CS3" s="319"/>
      <c r="CT3" s="319"/>
      <c r="CU3" s="319"/>
      <c r="CV3" s="768"/>
    </row>
    <row r="4" spans="1:105" ht="16.5" thickBot="1" x14ac:dyDescent="0.3">
      <c r="A4" s="276"/>
      <c r="B4" s="276"/>
      <c r="C4" s="276"/>
      <c r="D4" s="276"/>
      <c r="E4" s="1525"/>
      <c r="F4" s="6429" t="s">
        <v>660</v>
      </c>
      <c r="G4" s="6430"/>
      <c r="H4" s="6430"/>
      <c r="I4" s="6430"/>
      <c r="J4" s="6430"/>
      <c r="K4" s="6430"/>
      <c r="L4" s="6430"/>
      <c r="M4" s="6430"/>
      <c r="N4" s="6430"/>
      <c r="O4" s="6430"/>
      <c r="P4" s="6430"/>
      <c r="Q4" s="6430"/>
      <c r="R4" s="6430"/>
      <c r="S4" s="6430"/>
      <c r="T4" s="6430"/>
      <c r="U4" s="6430"/>
      <c r="V4" s="6430"/>
      <c r="W4" s="6430"/>
      <c r="X4" s="6431"/>
      <c r="Y4" s="6432" t="s">
        <v>661</v>
      </c>
      <c r="Z4" s="6433"/>
      <c r="AA4" s="6433"/>
      <c r="AB4" s="6434"/>
      <c r="AC4" s="6434"/>
      <c r="AD4" s="6434"/>
      <c r="AE4" s="6434"/>
      <c r="AF4" s="6434"/>
      <c r="AG4" s="6434"/>
      <c r="AH4" s="6434"/>
      <c r="AI4" s="6434"/>
      <c r="AJ4" s="6434"/>
      <c r="AK4" s="6434"/>
      <c r="AL4" s="6434"/>
      <c r="AM4" s="6434"/>
      <c r="AN4" s="6434"/>
      <c r="AO4" s="6434"/>
      <c r="AP4" s="6434"/>
      <c r="AQ4" s="6434"/>
      <c r="AR4" s="646" t="s">
        <v>130</v>
      </c>
      <c r="AS4" s="5641"/>
      <c r="AT4" s="6011" t="s">
        <v>1470</v>
      </c>
      <c r="AU4" s="6012"/>
      <c r="AV4" s="6011" t="s">
        <v>1526</v>
      </c>
      <c r="AW4" s="6012"/>
      <c r="AX4" s="6013" t="s">
        <v>15</v>
      </c>
      <c r="AY4" s="6014"/>
      <c r="AZ4" s="6038" t="s">
        <v>1620</v>
      </c>
      <c r="BA4" s="6039"/>
      <c r="BB4" s="6036" t="s">
        <v>658</v>
      </c>
      <c r="BC4" s="6037"/>
      <c r="BD4" s="6011" t="s">
        <v>1688</v>
      </c>
      <c r="BE4" s="6012"/>
      <c r="BF4" s="6013" t="s">
        <v>18</v>
      </c>
      <c r="BG4" s="6014"/>
      <c r="BH4" s="6011" t="s">
        <v>1731</v>
      </c>
      <c r="BI4" s="6012"/>
      <c r="BJ4" s="6013" t="s">
        <v>19</v>
      </c>
      <c r="BK4" s="6014"/>
      <c r="BL4" s="6022" t="s">
        <v>1766</v>
      </c>
      <c r="BM4" s="6023"/>
      <c r="BN4" s="6035" t="s">
        <v>870</v>
      </c>
      <c r="BO4" s="6035"/>
      <c r="BP4" s="6021" t="s">
        <v>679</v>
      </c>
      <c r="BQ4" s="6021"/>
      <c r="BR4" s="6011" t="s">
        <v>1831</v>
      </c>
      <c r="BS4" s="6012"/>
      <c r="BT4" s="6013" t="s">
        <v>26</v>
      </c>
      <c r="BU4" s="6014"/>
      <c r="BV4" s="6011" t="s">
        <v>1863</v>
      </c>
      <c r="BW4" s="6012"/>
      <c r="BX4" s="6013" t="s">
        <v>29</v>
      </c>
      <c r="BY4" s="6014"/>
      <c r="BZ4" s="6022" t="s">
        <v>1888</v>
      </c>
      <c r="CA4" s="6023"/>
      <c r="CB4" s="6035" t="s">
        <v>1889</v>
      </c>
      <c r="CC4" s="6035"/>
      <c r="CD4" s="6013" t="s">
        <v>1890</v>
      </c>
      <c r="CE4" s="6014"/>
      <c r="CF4" s="6011" t="s">
        <v>1918</v>
      </c>
      <c r="CG4" s="6012"/>
      <c r="CH4" s="6013" t="s">
        <v>30</v>
      </c>
      <c r="CI4" s="6014"/>
      <c r="CJ4" s="6011" t="s">
        <v>1940</v>
      </c>
      <c r="CK4" s="6012"/>
      <c r="CL4" s="6013" t="s">
        <v>32</v>
      </c>
      <c r="CM4" s="6014"/>
      <c r="CN4" s="6011" t="s">
        <v>1965</v>
      </c>
      <c r="CO4" s="6012"/>
      <c r="CP4" s="6035" t="s">
        <v>1964</v>
      </c>
      <c r="CQ4" s="6035"/>
      <c r="CR4" s="6021" t="s">
        <v>693</v>
      </c>
      <c r="CS4" s="6021"/>
      <c r="CT4" s="6013" t="s">
        <v>1513</v>
      </c>
      <c r="CU4" s="6014"/>
      <c r="CV4" s="768"/>
    </row>
    <row r="5" spans="1:105" ht="16.5" thickBot="1" x14ac:dyDescent="0.3">
      <c r="A5" s="276"/>
      <c r="B5" s="276"/>
      <c r="C5" s="276"/>
      <c r="D5" s="276" t="s">
        <v>1527</v>
      </c>
      <c r="E5" s="1526"/>
      <c r="F5" s="1533" t="s">
        <v>1488</v>
      </c>
      <c r="G5" s="1534" t="s">
        <v>1527</v>
      </c>
      <c r="H5" s="1534" t="s">
        <v>1628</v>
      </c>
      <c r="I5" s="1535" t="s">
        <v>658</v>
      </c>
      <c r="J5" s="1536" t="s">
        <v>1690</v>
      </c>
      <c r="K5" s="1536" t="s">
        <v>1733</v>
      </c>
      <c r="L5" s="1536" t="s">
        <v>1800</v>
      </c>
      <c r="M5" s="1535" t="s">
        <v>682</v>
      </c>
      <c r="N5" s="642" t="s">
        <v>520</v>
      </c>
      <c r="O5" s="1536" t="s">
        <v>1832</v>
      </c>
      <c r="P5" s="1536" t="s">
        <v>1865</v>
      </c>
      <c r="Q5" s="1536" t="s">
        <v>1893</v>
      </c>
      <c r="R5" s="1535" t="s">
        <v>684</v>
      </c>
      <c r="S5" s="1537" t="s">
        <v>1923</v>
      </c>
      <c r="T5" s="1537" t="s">
        <v>1942</v>
      </c>
      <c r="U5" s="1537" t="s">
        <v>1971</v>
      </c>
      <c r="V5" s="1535" t="s">
        <v>685</v>
      </c>
      <c r="W5" s="1535" t="s">
        <v>558</v>
      </c>
      <c r="X5" s="1538" t="s">
        <v>1513</v>
      </c>
      <c r="Y5" s="1528" t="s">
        <v>1488</v>
      </c>
      <c r="Z5" s="639" t="s">
        <v>1527</v>
      </c>
      <c r="AA5" s="639" t="s">
        <v>1628</v>
      </c>
      <c r="AB5" s="639" t="s">
        <v>658</v>
      </c>
      <c r="AC5" s="639" t="s">
        <v>1690</v>
      </c>
      <c r="AD5" s="639" t="s">
        <v>1733</v>
      </c>
      <c r="AE5" s="641" t="s">
        <v>1800</v>
      </c>
      <c r="AF5" s="640" t="s">
        <v>682</v>
      </c>
      <c r="AG5" s="642" t="s">
        <v>520</v>
      </c>
      <c r="AH5" s="641" t="s">
        <v>1832</v>
      </c>
      <c r="AI5" s="641" t="s">
        <v>1865</v>
      </c>
      <c r="AJ5" s="641" t="s">
        <v>1893</v>
      </c>
      <c r="AK5" s="640" t="s">
        <v>684</v>
      </c>
      <c r="AL5" s="641" t="s">
        <v>1923</v>
      </c>
      <c r="AM5" s="641" t="s">
        <v>1942</v>
      </c>
      <c r="AN5" s="643" t="s">
        <v>1971</v>
      </c>
      <c r="AO5" s="640" t="s">
        <v>685</v>
      </c>
      <c r="AP5" s="642" t="s">
        <v>558</v>
      </c>
      <c r="AQ5" s="644" t="s">
        <v>1513</v>
      </c>
      <c r="AR5" s="645" t="s">
        <v>1513</v>
      </c>
      <c r="AS5" s="5642"/>
      <c r="AT5" s="3049" t="s">
        <v>177</v>
      </c>
      <c r="AU5" s="3050" t="s">
        <v>178</v>
      </c>
      <c r="AV5" s="3049" t="s">
        <v>177</v>
      </c>
      <c r="AW5" s="3050" t="s">
        <v>178</v>
      </c>
      <c r="AX5" s="3056" t="s">
        <v>177</v>
      </c>
      <c r="AY5" s="3015" t="s">
        <v>178</v>
      </c>
      <c r="AZ5" s="3060" t="s">
        <v>177</v>
      </c>
      <c r="BA5" s="3061" t="s">
        <v>178</v>
      </c>
      <c r="BB5" s="3062" t="s">
        <v>177</v>
      </c>
      <c r="BC5" s="3063" t="s">
        <v>178</v>
      </c>
      <c r="BD5" s="3060" t="s">
        <v>177</v>
      </c>
      <c r="BE5" s="3050" t="s">
        <v>178</v>
      </c>
      <c r="BF5" s="3056" t="s">
        <v>177</v>
      </c>
      <c r="BG5" s="3015" t="s">
        <v>178</v>
      </c>
      <c r="BH5" s="3049" t="s">
        <v>177</v>
      </c>
      <c r="BI5" s="3050" t="s">
        <v>178</v>
      </c>
      <c r="BJ5" s="3056" t="s">
        <v>177</v>
      </c>
      <c r="BK5" s="3015" t="s">
        <v>178</v>
      </c>
      <c r="BL5" s="2458" t="s">
        <v>177</v>
      </c>
      <c r="BM5" s="5261" t="s">
        <v>178</v>
      </c>
      <c r="BN5" s="5263" t="s">
        <v>177</v>
      </c>
      <c r="BO5" s="5263" t="s">
        <v>178</v>
      </c>
      <c r="BP5" s="5264" t="s">
        <v>177</v>
      </c>
      <c r="BQ5" s="5264" t="s">
        <v>178</v>
      </c>
      <c r="BR5" s="3049" t="s">
        <v>177</v>
      </c>
      <c r="BS5" s="3050" t="s">
        <v>178</v>
      </c>
      <c r="BT5" s="3056" t="s">
        <v>177</v>
      </c>
      <c r="BU5" s="3015" t="s">
        <v>178</v>
      </c>
      <c r="BV5" s="3049" t="s">
        <v>177</v>
      </c>
      <c r="BW5" s="3050" t="s">
        <v>178</v>
      </c>
      <c r="BX5" s="3056" t="s">
        <v>177</v>
      </c>
      <c r="BY5" s="3015" t="s">
        <v>178</v>
      </c>
      <c r="BZ5" s="2458" t="s">
        <v>177</v>
      </c>
      <c r="CA5" s="5261" t="s">
        <v>178</v>
      </c>
      <c r="CB5" s="5263" t="s">
        <v>177</v>
      </c>
      <c r="CC5" s="5263" t="s">
        <v>178</v>
      </c>
      <c r="CD5" s="3056" t="s">
        <v>177</v>
      </c>
      <c r="CE5" s="3015" t="s">
        <v>178</v>
      </c>
      <c r="CF5" s="3049" t="s">
        <v>177</v>
      </c>
      <c r="CG5" s="3050" t="s">
        <v>178</v>
      </c>
      <c r="CH5" s="3056" t="s">
        <v>177</v>
      </c>
      <c r="CI5" s="3015" t="s">
        <v>178</v>
      </c>
      <c r="CJ5" s="3049" t="s">
        <v>177</v>
      </c>
      <c r="CK5" s="3050" t="s">
        <v>178</v>
      </c>
      <c r="CL5" s="3056" t="s">
        <v>177</v>
      </c>
      <c r="CM5" s="3015" t="s">
        <v>178</v>
      </c>
      <c r="CN5" s="3049" t="s">
        <v>177</v>
      </c>
      <c r="CO5" s="3050" t="s">
        <v>178</v>
      </c>
      <c r="CP5" s="5263" t="s">
        <v>177</v>
      </c>
      <c r="CQ5" s="5263" t="s">
        <v>178</v>
      </c>
      <c r="CR5" s="5264" t="s">
        <v>177</v>
      </c>
      <c r="CS5" s="5264" t="s">
        <v>178</v>
      </c>
      <c r="CT5" s="3056" t="s">
        <v>177</v>
      </c>
      <c r="CU5" s="3015" t="s">
        <v>178</v>
      </c>
      <c r="CV5" s="768"/>
    </row>
    <row r="6" spans="1:105" ht="15.75" x14ac:dyDescent="0.25">
      <c r="A6" s="276"/>
      <c r="B6" s="276"/>
      <c r="C6" s="276"/>
      <c r="D6" s="276"/>
      <c r="E6" s="305" t="s">
        <v>1264</v>
      </c>
      <c r="F6" s="1530">
        <v>5753.3300000000008</v>
      </c>
      <c r="G6" s="321">
        <v>7402.9009999999989</v>
      </c>
      <c r="H6" s="321">
        <v>3517.8110000000006</v>
      </c>
      <c r="I6" s="316">
        <f>SUM(F6:H6)</f>
        <v>16674.042000000001</v>
      </c>
      <c r="J6" s="321">
        <v>4868.7290000000012</v>
      </c>
      <c r="K6" s="321">
        <v>5449.8919999999998</v>
      </c>
      <c r="L6" s="321">
        <v>4386.5499999999993</v>
      </c>
      <c r="M6" s="316">
        <f>SUM(J6:L6)</f>
        <v>14705.171</v>
      </c>
      <c r="N6" s="317">
        <f>+I6+M6</f>
        <v>31379.213000000003</v>
      </c>
      <c r="O6" s="313">
        <v>7058.6459999999988</v>
      </c>
      <c r="P6" s="313">
        <v>5391</v>
      </c>
      <c r="Q6" s="321">
        <v>7925</v>
      </c>
      <c r="R6" s="316">
        <f>SUM(O6:Q6)</f>
        <v>20374.646000000001</v>
      </c>
      <c r="S6" s="321">
        <v>5691</v>
      </c>
      <c r="T6" s="321">
        <v>7902.131999999996</v>
      </c>
      <c r="U6" s="314">
        <v>5583</v>
      </c>
      <c r="V6" s="316">
        <f>SUM(S6:U6)</f>
        <v>19176.131999999998</v>
      </c>
      <c r="W6" s="317">
        <f>+R6+V6</f>
        <v>39550.777999999998</v>
      </c>
      <c r="X6" s="1531">
        <f>+F6+G6+H6+J6+K6+L6+O6+P6+Q6+S6+T6+U6</f>
        <v>70929.990999999995</v>
      </c>
      <c r="Y6" s="1529"/>
      <c r="Z6" s="321"/>
      <c r="AA6" s="321"/>
      <c r="AB6" s="316">
        <f>+Y6+Z6+AA6</f>
        <v>0</v>
      </c>
      <c r="AC6" s="321"/>
      <c r="AD6" s="321"/>
      <c r="AE6" s="321"/>
      <c r="AF6" s="629">
        <f>SUM(AC6:AE6)</f>
        <v>0</v>
      </c>
      <c r="AG6" s="317">
        <f>+AB6+AF6</f>
        <v>0</v>
      </c>
      <c r="AH6" s="313"/>
      <c r="AI6" s="313">
        <v>95</v>
      </c>
      <c r="AJ6" s="313">
        <v>78</v>
      </c>
      <c r="AK6" s="316">
        <f>SUM(AH6:AJ6)</f>
        <v>173</v>
      </c>
      <c r="AL6" s="321">
        <v>120</v>
      </c>
      <c r="AM6" s="321"/>
      <c r="AN6" s="314"/>
      <c r="AO6" s="316">
        <f>+AL6+AM6+AN6</f>
        <v>120</v>
      </c>
      <c r="AP6" s="317">
        <f>+AK6+AO6</f>
        <v>293</v>
      </c>
      <c r="AQ6" s="318">
        <f>SUM(Y6:AA6,AC6:AE6,AH6:AJ6,AL6:AN6)</f>
        <v>293</v>
      </c>
      <c r="AR6" s="315">
        <f>+X6+AQ6</f>
        <v>71222.990999999995</v>
      </c>
      <c r="AS6" s="5643"/>
      <c r="AT6" s="276"/>
      <c r="AU6" s="741">
        <f>+F6+Y6</f>
        <v>5753.3300000000008</v>
      </c>
      <c r="AV6" s="5638"/>
      <c r="AW6" s="741">
        <f>+G6+Z6</f>
        <v>7402.9009999999989</v>
      </c>
      <c r="AX6" s="5638"/>
      <c r="AY6" s="5638"/>
      <c r="AZ6" s="5638"/>
      <c r="BA6" s="741">
        <f>+H6+AA6</f>
        <v>3517.8110000000006</v>
      </c>
      <c r="BB6" s="5638"/>
      <c r="BC6" s="5638"/>
      <c r="BD6" s="5638"/>
      <c r="BE6" s="741">
        <f>+J6+AC6</f>
        <v>4868.7290000000012</v>
      </c>
      <c r="BF6" s="5638"/>
      <c r="BG6" s="5638"/>
      <c r="BH6" s="5638"/>
      <c r="BI6" s="741">
        <f>+K6+AD6</f>
        <v>5449.8919999999998</v>
      </c>
      <c r="BJ6" s="5638"/>
      <c r="BK6" s="5638"/>
      <c r="BL6" s="5638"/>
      <c r="BM6" s="741">
        <f>+L6+AE6</f>
        <v>4386.5499999999993</v>
      </c>
      <c r="BN6" s="5638"/>
      <c r="BO6" s="5638"/>
      <c r="BP6" s="5638"/>
      <c r="BQ6" s="5638"/>
      <c r="BR6" s="5638"/>
      <c r="BS6" s="741">
        <f>+O6+AH6</f>
        <v>7058.6459999999988</v>
      </c>
      <c r="BT6" s="5638"/>
      <c r="BU6" s="5638"/>
      <c r="BV6" s="5638"/>
      <c r="BW6" s="741">
        <f>+P6+AI6</f>
        <v>5486</v>
      </c>
      <c r="BX6" s="5638"/>
      <c r="BY6" s="5638"/>
      <c r="BZ6" s="5638"/>
      <c r="CA6" s="741">
        <f>+Q6+AJ6</f>
        <v>8003</v>
      </c>
      <c r="CB6" s="5638"/>
      <c r="CC6" s="5638"/>
      <c r="CD6" s="5638"/>
      <c r="CE6" s="5638"/>
      <c r="CF6" s="5638"/>
      <c r="CG6" s="741">
        <f>+S6+AL6</f>
        <v>5811</v>
      </c>
      <c r="CH6" s="5638"/>
      <c r="CI6" s="5638"/>
      <c r="CJ6" s="5638"/>
      <c r="CK6" s="741">
        <f>+T6+AM6</f>
        <v>7902.131999999996</v>
      </c>
      <c r="CL6" s="5638"/>
      <c r="CM6" s="5638"/>
      <c r="CN6" s="5638"/>
      <c r="CO6" s="741">
        <f>+U6+AN6</f>
        <v>5583</v>
      </c>
      <c r="CP6" s="5638"/>
      <c r="CQ6" s="5638"/>
      <c r="CR6" s="5638"/>
      <c r="CS6" s="5638"/>
      <c r="CT6" s="5638"/>
      <c r="CU6" s="1375">
        <f>SUM(AU6:CO6)</f>
        <v>71222.990999999995</v>
      </c>
      <c r="CV6" s="768"/>
      <c r="DA6" t="s">
        <v>1975</v>
      </c>
    </row>
    <row r="7" spans="1:105" ht="15.75" x14ac:dyDescent="0.25">
      <c r="A7" s="276"/>
      <c r="B7" s="276"/>
      <c r="C7" s="276"/>
      <c r="D7" s="276"/>
      <c r="E7" s="1307" t="s">
        <v>1532</v>
      </c>
      <c r="F7" s="1532">
        <v>5558.0140000000001</v>
      </c>
      <c r="G7" s="281">
        <v>3052.8740000000007</v>
      </c>
      <c r="H7" s="281">
        <v>6634.375</v>
      </c>
      <c r="I7" s="316">
        <f t="shared" ref="I7:I75" si="0">SUM(F7:H7)</f>
        <v>15245.263000000001</v>
      </c>
      <c r="J7" s="281">
        <v>3450.0789999999997</v>
      </c>
      <c r="K7" s="281">
        <v>4758.6139999999996</v>
      </c>
      <c r="L7" s="281">
        <v>6105.2320000000009</v>
      </c>
      <c r="M7" s="316">
        <f t="shared" ref="M7:M75" si="1">SUM(J7:L7)</f>
        <v>14313.924999999999</v>
      </c>
      <c r="N7" s="317">
        <f t="shared" ref="N7:N75" si="2">+I7+M7</f>
        <v>29559.188000000002</v>
      </c>
      <c r="O7" s="278">
        <v>3640.308</v>
      </c>
      <c r="P7" s="278">
        <v>6947</v>
      </c>
      <c r="Q7" s="281">
        <v>7777</v>
      </c>
      <c r="R7" s="316">
        <f t="shared" ref="R7:R74" si="3">SUM(O7:Q7)</f>
        <v>18364.308000000001</v>
      </c>
      <c r="S7" s="281">
        <v>7987</v>
      </c>
      <c r="T7" s="281">
        <v>3545.1780000000003</v>
      </c>
      <c r="U7" s="314">
        <v>10058</v>
      </c>
      <c r="V7" s="316">
        <f t="shared" ref="V7:V75" si="4">SUM(S7:U7)</f>
        <v>21590.178</v>
      </c>
      <c r="W7" s="317">
        <f t="shared" ref="W7:W75" si="5">+R7+V7</f>
        <v>39954.486000000004</v>
      </c>
      <c r="X7" s="1531">
        <f t="shared" ref="X7:X74" si="6">+F7+G7+H7+J7+K7+L7+O7+P7+Q7+S7+T7+U7</f>
        <v>69513.673999999999</v>
      </c>
      <c r="Y7" s="279"/>
      <c r="Z7" s="281"/>
      <c r="AA7" s="281">
        <v>146.48699999999999</v>
      </c>
      <c r="AB7" s="316">
        <f t="shared" ref="AB7:AB75" si="7">+Y7+Z7+AA7</f>
        <v>146.48699999999999</v>
      </c>
      <c r="AC7" s="281"/>
      <c r="AD7" s="281"/>
      <c r="AE7" s="281"/>
      <c r="AF7" s="629">
        <f t="shared" ref="AF7:AF75" si="8">SUM(AC7:AE7)</f>
        <v>0</v>
      </c>
      <c r="AG7" s="317">
        <f t="shared" ref="AG7:AG75" si="9">+AB7+AF7</f>
        <v>146.48699999999999</v>
      </c>
      <c r="AH7" s="278"/>
      <c r="AI7" s="278"/>
      <c r="AJ7" s="278"/>
      <c r="AK7" s="316">
        <f t="shared" ref="AK7:AK75" si="10">SUM(AH7:AJ7)</f>
        <v>0</v>
      </c>
      <c r="AL7" s="281">
        <v>1161</v>
      </c>
      <c r="AM7" s="281"/>
      <c r="AN7" s="314"/>
      <c r="AO7" s="316">
        <f t="shared" ref="AO7:AO70" si="11">+AL7+AM7+AN7</f>
        <v>1161</v>
      </c>
      <c r="AP7" s="317">
        <f t="shared" ref="AP7:AP70" si="12">+AK7+AO7</f>
        <v>1161</v>
      </c>
      <c r="AQ7" s="318">
        <f t="shared" ref="AQ7:AQ75" si="13">SUM(Y7:AA7,AC7:AE7,AH7:AJ7,AL7:AN7)</f>
        <v>1307.4870000000001</v>
      </c>
      <c r="AR7" s="315">
        <f t="shared" ref="AR7:AR75" si="14">+X7+AQ7</f>
        <v>70821.160999999993</v>
      </c>
      <c r="AS7" s="5643"/>
      <c r="AT7" s="276"/>
      <c r="AU7" s="741">
        <f t="shared" ref="AU7:AU72" si="15">+F7+Y7</f>
        <v>5558.0140000000001</v>
      </c>
      <c r="AV7" s="5638"/>
      <c r="AW7" s="741">
        <f t="shared" ref="AW7:AW72" si="16">+G7+Z7</f>
        <v>3052.8740000000007</v>
      </c>
      <c r="AX7" s="5638"/>
      <c r="AY7" s="5638"/>
      <c r="AZ7" s="5638"/>
      <c r="BA7" s="741">
        <f t="shared" ref="BA7:BA72" si="17">+H7+AA7</f>
        <v>6780.8620000000001</v>
      </c>
      <c r="BB7" s="5638"/>
      <c r="BC7" s="5638"/>
      <c r="BD7" s="5638"/>
      <c r="BE7" s="741">
        <f t="shared" ref="BE7:BE72" si="18">+J7+AC7</f>
        <v>3450.0789999999997</v>
      </c>
      <c r="BF7" s="5638"/>
      <c r="BG7" s="5638"/>
      <c r="BH7" s="5638"/>
      <c r="BI7" s="741">
        <f t="shared" ref="BI7:BI72" si="19">+K7+AD7</f>
        <v>4758.6139999999996</v>
      </c>
      <c r="BJ7" s="5638"/>
      <c r="BK7" s="5638"/>
      <c r="BL7" s="5638"/>
      <c r="BM7" s="741">
        <f t="shared" ref="BM7:BM72" si="20">+L7+AE7</f>
        <v>6105.2320000000009</v>
      </c>
      <c r="BN7" s="5638"/>
      <c r="BO7" s="5638"/>
      <c r="BP7" s="5638"/>
      <c r="BQ7" s="5638"/>
      <c r="BR7" s="5638"/>
      <c r="BS7" s="741">
        <f t="shared" ref="BS7:BS75" si="21">+O7+AH7</f>
        <v>3640.308</v>
      </c>
      <c r="BT7" s="5638"/>
      <c r="BU7" s="5638"/>
      <c r="BV7" s="5638"/>
      <c r="BW7" s="741">
        <f t="shared" ref="BW7:BW67" si="22">+P7+AI7</f>
        <v>6947</v>
      </c>
      <c r="BX7" s="5638"/>
      <c r="BY7" s="5638"/>
      <c r="BZ7" s="5638"/>
      <c r="CA7" s="741">
        <f t="shared" ref="CA7:CA72" si="23">+Q7+AJ7</f>
        <v>7777</v>
      </c>
      <c r="CB7" s="5638"/>
      <c r="CC7" s="5638"/>
      <c r="CD7" s="5638"/>
      <c r="CE7" s="5638"/>
      <c r="CF7" s="5638"/>
      <c r="CG7" s="741">
        <f t="shared" ref="CG7:CG72" si="24">+S7+AL7</f>
        <v>9148</v>
      </c>
      <c r="CH7" s="5638"/>
      <c r="CI7" s="5638"/>
      <c r="CJ7" s="5638"/>
      <c r="CK7" s="741">
        <f t="shared" ref="CK7:CK72" si="25">+T7+AM7</f>
        <v>3545.1780000000003</v>
      </c>
      <c r="CL7" s="5638"/>
      <c r="CM7" s="5638"/>
      <c r="CN7" s="5638"/>
      <c r="CO7" s="741">
        <f t="shared" ref="CO7:CO72" si="26">+U7+AN7</f>
        <v>10058</v>
      </c>
      <c r="CP7" s="5638"/>
      <c r="CQ7" s="5638"/>
      <c r="CR7" s="5638"/>
      <c r="CS7" s="5638"/>
      <c r="CT7" s="5638"/>
      <c r="CU7" s="1375">
        <f t="shared" ref="CU7:CU75" si="27">SUM(AU7:CO7)</f>
        <v>70821.160999999993</v>
      </c>
      <c r="CV7" s="768"/>
    </row>
    <row r="8" spans="1:105" ht="15.75" x14ac:dyDescent="0.25">
      <c r="A8" s="276"/>
      <c r="B8" s="276"/>
      <c r="C8" s="276"/>
      <c r="D8" s="276"/>
      <c r="E8" s="1307" t="s">
        <v>1533</v>
      </c>
      <c r="F8" s="1532">
        <v>4443.4390000000003</v>
      </c>
      <c r="G8" s="281">
        <v>7288.2589999999982</v>
      </c>
      <c r="H8" s="281">
        <v>1320.5059999999999</v>
      </c>
      <c r="I8" s="316">
        <f t="shared" si="0"/>
        <v>13052.203999999998</v>
      </c>
      <c r="J8" s="281">
        <v>4462.0449999999992</v>
      </c>
      <c r="K8" s="281">
        <v>5506.9699999999984</v>
      </c>
      <c r="L8" s="281">
        <v>4458.4260000000004</v>
      </c>
      <c r="M8" s="316">
        <f t="shared" si="1"/>
        <v>14427.440999999999</v>
      </c>
      <c r="N8" s="317">
        <f t="shared" si="2"/>
        <v>27479.644999999997</v>
      </c>
      <c r="O8" s="278">
        <v>3595.9140000000007</v>
      </c>
      <c r="P8" s="278">
        <v>2321</v>
      </c>
      <c r="Q8" s="281">
        <v>5198</v>
      </c>
      <c r="R8" s="316">
        <f t="shared" si="3"/>
        <v>11114.914000000001</v>
      </c>
      <c r="S8" s="281">
        <v>7566</v>
      </c>
      <c r="T8" s="281">
        <v>4384.4360000000006</v>
      </c>
      <c r="U8" s="314">
        <v>2070</v>
      </c>
      <c r="V8" s="316">
        <f t="shared" si="4"/>
        <v>14020.436000000002</v>
      </c>
      <c r="W8" s="317">
        <f t="shared" si="5"/>
        <v>25135.350000000002</v>
      </c>
      <c r="X8" s="1531">
        <f t="shared" si="6"/>
        <v>52614.994999999995</v>
      </c>
      <c r="Y8" s="279"/>
      <c r="Z8" s="281"/>
      <c r="AA8" s="281"/>
      <c r="AB8" s="316">
        <f t="shared" si="7"/>
        <v>0</v>
      </c>
      <c r="AC8" s="281"/>
      <c r="AD8" s="281"/>
      <c r="AE8" s="281"/>
      <c r="AF8" s="629">
        <f t="shared" si="8"/>
        <v>0</v>
      </c>
      <c r="AG8" s="317">
        <f t="shared" si="9"/>
        <v>0</v>
      </c>
      <c r="AH8" s="278"/>
      <c r="AI8" s="278">
        <v>283</v>
      </c>
      <c r="AJ8" s="278">
        <v>133</v>
      </c>
      <c r="AK8" s="316">
        <f t="shared" si="10"/>
        <v>416</v>
      </c>
      <c r="AL8" s="281">
        <v>25</v>
      </c>
      <c r="AM8" s="281"/>
      <c r="AN8" s="314"/>
      <c r="AO8" s="316">
        <f t="shared" si="11"/>
        <v>25</v>
      </c>
      <c r="AP8" s="317">
        <f t="shared" si="12"/>
        <v>441</v>
      </c>
      <c r="AQ8" s="318">
        <f t="shared" si="13"/>
        <v>441</v>
      </c>
      <c r="AR8" s="315">
        <f t="shared" si="14"/>
        <v>53055.994999999995</v>
      </c>
      <c r="AS8" s="5643"/>
      <c r="AT8" s="276"/>
      <c r="AU8" s="741">
        <f t="shared" si="15"/>
        <v>4443.4390000000003</v>
      </c>
      <c r="AV8" s="5638"/>
      <c r="AW8" s="741">
        <f t="shared" si="16"/>
        <v>7288.2589999999982</v>
      </c>
      <c r="AX8" s="5638"/>
      <c r="AY8" s="5638"/>
      <c r="AZ8" s="5638"/>
      <c r="BA8" s="741">
        <f t="shared" si="17"/>
        <v>1320.5059999999999</v>
      </c>
      <c r="BB8" s="5638"/>
      <c r="BC8" s="5638"/>
      <c r="BD8" s="5638"/>
      <c r="BE8" s="741">
        <f t="shared" si="18"/>
        <v>4462.0449999999992</v>
      </c>
      <c r="BF8" s="5638"/>
      <c r="BG8" s="5638"/>
      <c r="BH8" s="5638"/>
      <c r="BI8" s="741">
        <f t="shared" si="19"/>
        <v>5506.9699999999984</v>
      </c>
      <c r="BJ8" s="5638"/>
      <c r="BK8" s="5638"/>
      <c r="BL8" s="5638"/>
      <c r="BM8" s="741">
        <f t="shared" si="20"/>
        <v>4458.4260000000004</v>
      </c>
      <c r="BN8" s="5638"/>
      <c r="BO8" s="5638"/>
      <c r="BP8" s="5638"/>
      <c r="BQ8" s="5638"/>
      <c r="BR8" s="5638"/>
      <c r="BS8" s="741">
        <f t="shared" si="21"/>
        <v>3595.9140000000007</v>
      </c>
      <c r="BT8" s="5638"/>
      <c r="BU8" s="5638"/>
      <c r="BV8" s="5638"/>
      <c r="BW8" s="741">
        <f t="shared" si="22"/>
        <v>2604</v>
      </c>
      <c r="BX8" s="5638"/>
      <c r="BY8" s="5638"/>
      <c r="BZ8" s="5638"/>
      <c r="CA8" s="741">
        <f t="shared" si="23"/>
        <v>5331</v>
      </c>
      <c r="CB8" s="5638"/>
      <c r="CC8" s="5638"/>
      <c r="CD8" s="5638"/>
      <c r="CE8" s="5638"/>
      <c r="CF8" s="5638"/>
      <c r="CG8" s="741">
        <f t="shared" si="24"/>
        <v>7591</v>
      </c>
      <c r="CH8" s="5638"/>
      <c r="CI8" s="5638"/>
      <c r="CJ8" s="5638"/>
      <c r="CK8" s="741">
        <f t="shared" si="25"/>
        <v>4384.4360000000006</v>
      </c>
      <c r="CL8" s="5638"/>
      <c r="CM8" s="5638"/>
      <c r="CN8" s="5638"/>
      <c r="CO8" s="741">
        <f t="shared" si="26"/>
        <v>2070</v>
      </c>
      <c r="CP8" s="5638"/>
      <c r="CQ8" s="5638"/>
      <c r="CR8" s="5638"/>
      <c r="CS8" s="5638"/>
      <c r="CT8" s="5638"/>
      <c r="CU8" s="1375">
        <f t="shared" si="27"/>
        <v>53055.994999999995</v>
      </c>
      <c r="CV8" s="768"/>
    </row>
    <row r="9" spans="1:105" ht="15.75" x14ac:dyDescent="0.25">
      <c r="A9" s="276"/>
      <c r="B9" s="276"/>
      <c r="C9" s="276"/>
      <c r="D9" s="276"/>
      <c r="E9" s="1307" t="s">
        <v>1631</v>
      </c>
      <c r="F9" s="1532"/>
      <c r="G9" s="281"/>
      <c r="H9" s="281">
        <v>89.165999999999997</v>
      </c>
      <c r="I9" s="316">
        <f t="shared" si="0"/>
        <v>89.165999999999997</v>
      </c>
      <c r="J9" s="281"/>
      <c r="K9" s="281"/>
      <c r="L9" s="281"/>
      <c r="M9" s="316">
        <f t="shared" si="1"/>
        <v>0</v>
      </c>
      <c r="N9" s="317">
        <f t="shared" si="2"/>
        <v>89.165999999999997</v>
      </c>
      <c r="O9" s="278"/>
      <c r="P9" s="278"/>
      <c r="Q9" s="281"/>
      <c r="R9" s="316">
        <f t="shared" si="3"/>
        <v>0</v>
      </c>
      <c r="S9" s="281"/>
      <c r="T9" s="281"/>
      <c r="U9" s="314"/>
      <c r="V9" s="316">
        <f t="shared" si="4"/>
        <v>0</v>
      </c>
      <c r="W9" s="317">
        <f t="shared" si="5"/>
        <v>0</v>
      </c>
      <c r="X9" s="1531">
        <f t="shared" si="6"/>
        <v>89.165999999999997</v>
      </c>
      <c r="Y9" s="279"/>
      <c r="Z9" s="281"/>
      <c r="AA9" s="281"/>
      <c r="AB9" s="316">
        <f t="shared" si="7"/>
        <v>0</v>
      </c>
      <c r="AC9" s="281"/>
      <c r="AD9" s="281"/>
      <c r="AE9" s="281"/>
      <c r="AF9" s="629">
        <f t="shared" si="8"/>
        <v>0</v>
      </c>
      <c r="AG9" s="317">
        <f t="shared" si="9"/>
        <v>0</v>
      </c>
      <c r="AH9" s="278"/>
      <c r="AI9" s="278"/>
      <c r="AJ9" s="278"/>
      <c r="AK9" s="316">
        <f t="shared" si="10"/>
        <v>0</v>
      </c>
      <c r="AL9" s="281"/>
      <c r="AM9" s="281"/>
      <c r="AN9" s="314"/>
      <c r="AO9" s="316">
        <f t="shared" si="11"/>
        <v>0</v>
      </c>
      <c r="AP9" s="317">
        <f t="shared" si="12"/>
        <v>0</v>
      </c>
      <c r="AQ9" s="318">
        <f t="shared" si="13"/>
        <v>0</v>
      </c>
      <c r="AR9" s="315">
        <f t="shared" si="14"/>
        <v>89.165999999999997</v>
      </c>
      <c r="AS9" s="5643"/>
      <c r="AT9" s="276"/>
      <c r="AU9" s="741">
        <f t="shared" si="15"/>
        <v>0</v>
      </c>
      <c r="AV9" s="5638"/>
      <c r="AW9" s="741">
        <f t="shared" si="16"/>
        <v>0</v>
      </c>
      <c r="AX9" s="5638"/>
      <c r="AY9" s="5638"/>
      <c r="AZ9" s="5638"/>
      <c r="BA9" s="741">
        <f t="shared" si="17"/>
        <v>89.165999999999997</v>
      </c>
      <c r="BB9" s="5638"/>
      <c r="BC9" s="5638"/>
      <c r="BD9" s="5638"/>
      <c r="BE9" s="741">
        <f t="shared" si="18"/>
        <v>0</v>
      </c>
      <c r="BF9" s="5638"/>
      <c r="BG9" s="5638"/>
      <c r="BH9" s="5638"/>
      <c r="BI9" s="741">
        <f t="shared" si="19"/>
        <v>0</v>
      </c>
      <c r="BJ9" s="5638"/>
      <c r="BK9" s="5638"/>
      <c r="BL9" s="5638"/>
      <c r="BM9" s="741">
        <f t="shared" si="20"/>
        <v>0</v>
      </c>
      <c r="BN9" s="5638"/>
      <c r="BO9" s="5638"/>
      <c r="BP9" s="5638"/>
      <c r="BQ9" s="5638"/>
      <c r="BR9" s="5638"/>
      <c r="BS9" s="741">
        <f t="shared" si="21"/>
        <v>0</v>
      </c>
      <c r="BT9" s="5638"/>
      <c r="BU9" s="5638"/>
      <c r="BV9" s="5638"/>
      <c r="BW9" s="741">
        <f t="shared" si="22"/>
        <v>0</v>
      </c>
      <c r="BX9" s="5638"/>
      <c r="BY9" s="5638"/>
      <c r="BZ9" s="5638"/>
      <c r="CA9" s="741">
        <f t="shared" si="23"/>
        <v>0</v>
      </c>
      <c r="CB9" s="5638"/>
      <c r="CC9" s="5638"/>
      <c r="CD9" s="5638"/>
      <c r="CE9" s="5638"/>
      <c r="CF9" s="5638"/>
      <c r="CG9" s="741">
        <f t="shared" si="24"/>
        <v>0</v>
      </c>
      <c r="CH9" s="5638"/>
      <c r="CI9" s="5638"/>
      <c r="CJ9" s="5638"/>
      <c r="CK9" s="741">
        <f t="shared" si="25"/>
        <v>0</v>
      </c>
      <c r="CL9" s="5638"/>
      <c r="CM9" s="5638"/>
      <c r="CN9" s="5638"/>
      <c r="CO9" s="741">
        <f t="shared" si="26"/>
        <v>0</v>
      </c>
      <c r="CP9" s="5638"/>
      <c r="CQ9" s="5638"/>
      <c r="CR9" s="5638"/>
      <c r="CS9" s="5638"/>
      <c r="CT9" s="5638"/>
      <c r="CU9" s="1375">
        <f t="shared" si="27"/>
        <v>89.165999999999997</v>
      </c>
      <c r="CV9" s="768"/>
    </row>
    <row r="10" spans="1:105" ht="15.75" x14ac:dyDescent="0.25">
      <c r="A10" s="276"/>
      <c r="B10" s="276"/>
      <c r="C10" s="276"/>
      <c r="D10" s="276"/>
      <c r="E10" s="1307" t="s">
        <v>1895</v>
      </c>
      <c r="F10" s="1532"/>
      <c r="G10" s="281"/>
      <c r="H10" s="281"/>
      <c r="I10" s="316">
        <f t="shared" si="0"/>
        <v>0</v>
      </c>
      <c r="J10" s="281"/>
      <c r="K10" s="281"/>
      <c r="L10" s="281"/>
      <c r="M10" s="316">
        <f t="shared" si="1"/>
        <v>0</v>
      </c>
      <c r="N10" s="317">
        <f t="shared" si="2"/>
        <v>0</v>
      </c>
      <c r="O10" s="278"/>
      <c r="P10" s="278"/>
      <c r="Q10" s="281">
        <v>95</v>
      </c>
      <c r="R10" s="316">
        <f t="shared" si="3"/>
        <v>95</v>
      </c>
      <c r="S10" s="281"/>
      <c r="T10" s="281"/>
      <c r="U10" s="314"/>
      <c r="V10" s="316">
        <f t="shared" si="4"/>
        <v>0</v>
      </c>
      <c r="W10" s="317">
        <f t="shared" si="5"/>
        <v>95</v>
      </c>
      <c r="X10" s="1531">
        <f t="shared" si="6"/>
        <v>95</v>
      </c>
      <c r="Y10" s="279"/>
      <c r="Z10" s="281"/>
      <c r="AA10" s="281"/>
      <c r="AB10" s="316">
        <f t="shared" si="7"/>
        <v>0</v>
      </c>
      <c r="AC10" s="281"/>
      <c r="AD10" s="281"/>
      <c r="AE10" s="281"/>
      <c r="AF10" s="629">
        <f t="shared" si="8"/>
        <v>0</v>
      </c>
      <c r="AG10" s="317">
        <f t="shared" si="9"/>
        <v>0</v>
      </c>
      <c r="AH10" s="278"/>
      <c r="AI10" s="278"/>
      <c r="AJ10" s="278"/>
      <c r="AK10" s="316">
        <f t="shared" si="10"/>
        <v>0</v>
      </c>
      <c r="AL10" s="281"/>
      <c r="AM10" s="281"/>
      <c r="AN10" s="314"/>
      <c r="AO10" s="316">
        <f t="shared" si="11"/>
        <v>0</v>
      </c>
      <c r="AP10" s="317">
        <f t="shared" si="12"/>
        <v>0</v>
      </c>
      <c r="AQ10" s="318">
        <f t="shared" si="13"/>
        <v>0</v>
      </c>
      <c r="AR10" s="315">
        <f t="shared" si="14"/>
        <v>95</v>
      </c>
      <c r="AS10" s="5643"/>
      <c r="AT10" s="276"/>
      <c r="AU10" s="741">
        <f t="shared" si="15"/>
        <v>0</v>
      </c>
      <c r="AV10" s="5638"/>
      <c r="AW10" s="741">
        <f t="shared" si="16"/>
        <v>0</v>
      </c>
      <c r="AX10" s="5638"/>
      <c r="AY10" s="5638"/>
      <c r="AZ10" s="5638"/>
      <c r="BA10" s="741">
        <f t="shared" si="17"/>
        <v>0</v>
      </c>
      <c r="BB10" s="5638"/>
      <c r="BC10" s="5638"/>
      <c r="BD10" s="5638"/>
      <c r="BE10" s="741">
        <f t="shared" si="18"/>
        <v>0</v>
      </c>
      <c r="BF10" s="5638"/>
      <c r="BG10" s="5638"/>
      <c r="BH10" s="5638"/>
      <c r="BI10" s="741">
        <f t="shared" si="19"/>
        <v>0</v>
      </c>
      <c r="BJ10" s="5638"/>
      <c r="BK10" s="5638"/>
      <c r="BL10" s="5638"/>
      <c r="BM10" s="741">
        <f t="shared" si="20"/>
        <v>0</v>
      </c>
      <c r="BN10" s="5638"/>
      <c r="BO10" s="5638"/>
      <c r="BP10" s="5638"/>
      <c r="BQ10" s="5638"/>
      <c r="BR10" s="5638"/>
      <c r="BS10" s="741">
        <f t="shared" si="21"/>
        <v>0</v>
      </c>
      <c r="BT10" s="5638"/>
      <c r="BU10" s="5638"/>
      <c r="BV10" s="5638"/>
      <c r="BW10" s="741">
        <f t="shared" si="22"/>
        <v>0</v>
      </c>
      <c r="BX10" s="5638"/>
      <c r="BY10" s="5638"/>
      <c r="BZ10" s="5638"/>
      <c r="CA10" s="741">
        <f t="shared" si="23"/>
        <v>95</v>
      </c>
      <c r="CB10" s="5638"/>
      <c r="CC10" s="5638"/>
      <c r="CD10" s="5638"/>
      <c r="CE10" s="5638"/>
      <c r="CF10" s="5638"/>
      <c r="CG10" s="741">
        <f t="shared" si="24"/>
        <v>0</v>
      </c>
      <c r="CH10" s="5638"/>
      <c r="CI10" s="5638"/>
      <c r="CJ10" s="5638"/>
      <c r="CK10" s="741">
        <f t="shared" si="25"/>
        <v>0</v>
      </c>
      <c r="CL10" s="5638"/>
      <c r="CM10" s="5638"/>
      <c r="CN10" s="5638"/>
      <c r="CO10" s="741">
        <f t="shared" si="26"/>
        <v>0</v>
      </c>
      <c r="CP10" s="5638"/>
      <c r="CQ10" s="5638"/>
      <c r="CR10" s="5638"/>
      <c r="CS10" s="5638"/>
      <c r="CT10" s="5638"/>
      <c r="CU10" s="1375">
        <f t="shared" si="27"/>
        <v>95</v>
      </c>
      <c r="CV10" s="768"/>
    </row>
    <row r="11" spans="1:105" ht="15.75" x14ac:dyDescent="0.25">
      <c r="A11" s="276"/>
      <c r="B11" s="276"/>
      <c r="C11" s="276"/>
      <c r="D11" s="276"/>
      <c r="E11" s="1307" t="s">
        <v>1534</v>
      </c>
      <c r="F11" s="1532">
        <v>367.279</v>
      </c>
      <c r="G11" s="281">
        <v>420.35399999999998</v>
      </c>
      <c r="H11" s="281">
        <v>709.08199999999988</v>
      </c>
      <c r="I11" s="316">
        <f t="shared" si="0"/>
        <v>1496.7149999999999</v>
      </c>
      <c r="J11" s="281"/>
      <c r="K11" s="281">
        <v>555.98199999999997</v>
      </c>
      <c r="L11" s="281">
        <v>661.68200000000002</v>
      </c>
      <c r="M11" s="316">
        <f t="shared" si="1"/>
        <v>1217.664</v>
      </c>
      <c r="N11" s="317">
        <f t="shared" si="2"/>
        <v>2714.3789999999999</v>
      </c>
      <c r="O11" s="278">
        <v>112.042</v>
      </c>
      <c r="P11" s="278">
        <v>702</v>
      </c>
      <c r="Q11" s="281"/>
      <c r="R11" s="316">
        <f t="shared" si="3"/>
        <v>814.04200000000003</v>
      </c>
      <c r="S11" s="281">
        <v>715</v>
      </c>
      <c r="T11" s="281"/>
      <c r="U11" s="314">
        <v>564</v>
      </c>
      <c r="V11" s="316">
        <f t="shared" si="4"/>
        <v>1279</v>
      </c>
      <c r="W11" s="317">
        <f t="shared" si="5"/>
        <v>2093.0419999999999</v>
      </c>
      <c r="X11" s="1531">
        <f t="shared" si="6"/>
        <v>4807.4210000000003</v>
      </c>
      <c r="Y11" s="279"/>
      <c r="Z11" s="281"/>
      <c r="AA11" s="281"/>
      <c r="AB11" s="316">
        <f t="shared" si="7"/>
        <v>0</v>
      </c>
      <c r="AC11" s="281"/>
      <c r="AD11" s="281"/>
      <c r="AE11" s="281"/>
      <c r="AF11" s="629">
        <f t="shared" si="8"/>
        <v>0</v>
      </c>
      <c r="AG11" s="317">
        <f t="shared" si="9"/>
        <v>0</v>
      </c>
      <c r="AH11" s="278"/>
      <c r="AI11" s="278"/>
      <c r="AJ11" s="278"/>
      <c r="AK11" s="316">
        <f t="shared" si="10"/>
        <v>0</v>
      </c>
      <c r="AL11" s="281"/>
      <c r="AM11" s="281"/>
      <c r="AN11" s="314"/>
      <c r="AO11" s="316">
        <f t="shared" si="11"/>
        <v>0</v>
      </c>
      <c r="AP11" s="317">
        <f t="shared" si="12"/>
        <v>0</v>
      </c>
      <c r="AQ11" s="318">
        <f t="shared" si="13"/>
        <v>0</v>
      </c>
      <c r="AR11" s="315">
        <f t="shared" si="14"/>
        <v>4807.4210000000003</v>
      </c>
      <c r="AS11" s="5643"/>
      <c r="AT11" s="276"/>
      <c r="AU11" s="741">
        <f t="shared" si="15"/>
        <v>367.279</v>
      </c>
      <c r="AV11" s="5638"/>
      <c r="AW11" s="741">
        <f t="shared" si="16"/>
        <v>420.35399999999998</v>
      </c>
      <c r="AX11" s="5638"/>
      <c r="AY11" s="5638"/>
      <c r="AZ11" s="5638"/>
      <c r="BA11" s="741">
        <f t="shared" si="17"/>
        <v>709.08199999999988</v>
      </c>
      <c r="BB11" s="5638"/>
      <c r="BC11" s="5638"/>
      <c r="BD11" s="5638"/>
      <c r="BE11" s="741">
        <f t="shared" si="18"/>
        <v>0</v>
      </c>
      <c r="BF11" s="5638"/>
      <c r="BG11" s="5638"/>
      <c r="BH11" s="5638"/>
      <c r="BI11" s="741">
        <f t="shared" si="19"/>
        <v>555.98199999999997</v>
      </c>
      <c r="BJ11" s="5638"/>
      <c r="BK11" s="5638"/>
      <c r="BL11" s="5638"/>
      <c r="BM11" s="741">
        <f t="shared" si="20"/>
        <v>661.68200000000002</v>
      </c>
      <c r="BN11" s="5638"/>
      <c r="BO11" s="5638"/>
      <c r="BP11" s="5638"/>
      <c r="BQ11" s="5638"/>
      <c r="BR11" s="5638"/>
      <c r="BS11" s="741">
        <f t="shared" si="21"/>
        <v>112.042</v>
      </c>
      <c r="BT11" s="5638"/>
      <c r="BU11" s="5638"/>
      <c r="BV11" s="5638"/>
      <c r="BW11" s="741">
        <f t="shared" si="22"/>
        <v>702</v>
      </c>
      <c r="BX11" s="5638"/>
      <c r="BY11" s="5638"/>
      <c r="BZ11" s="5638"/>
      <c r="CA11" s="741">
        <f t="shared" si="23"/>
        <v>0</v>
      </c>
      <c r="CB11" s="5638"/>
      <c r="CC11" s="5638"/>
      <c r="CD11" s="5638"/>
      <c r="CE11" s="5638"/>
      <c r="CF11" s="5638"/>
      <c r="CG11" s="741">
        <f t="shared" si="24"/>
        <v>715</v>
      </c>
      <c r="CH11" s="5638"/>
      <c r="CI11" s="5638"/>
      <c r="CJ11" s="5638"/>
      <c r="CK11" s="741">
        <f t="shared" si="25"/>
        <v>0</v>
      </c>
      <c r="CL11" s="5638"/>
      <c r="CM11" s="5638"/>
      <c r="CN11" s="5638"/>
      <c r="CO11" s="741">
        <f t="shared" si="26"/>
        <v>564</v>
      </c>
      <c r="CP11" s="5638"/>
      <c r="CQ11" s="5638"/>
      <c r="CR11" s="5638"/>
      <c r="CS11" s="5638"/>
      <c r="CT11" s="5638"/>
      <c r="CU11" s="1375">
        <f t="shared" si="27"/>
        <v>4807.4210000000003</v>
      </c>
      <c r="CV11" s="768"/>
    </row>
    <row r="12" spans="1:105" ht="15.75" x14ac:dyDescent="0.25">
      <c r="A12" s="276"/>
      <c r="B12" s="276"/>
      <c r="C12" s="276"/>
      <c r="D12" s="276"/>
      <c r="E12" s="1307" t="s">
        <v>1535</v>
      </c>
      <c r="F12" s="1532"/>
      <c r="G12" s="281">
        <v>2891.5260000000003</v>
      </c>
      <c r="H12" s="281">
        <v>2857.5580000000004</v>
      </c>
      <c r="I12" s="316">
        <f t="shared" si="0"/>
        <v>5749.0840000000007</v>
      </c>
      <c r="J12" s="281">
        <v>5052.4599999999991</v>
      </c>
      <c r="K12" s="281">
        <v>1002.0359999999999</v>
      </c>
      <c r="L12" s="281">
        <v>5160.2740000000003</v>
      </c>
      <c r="M12" s="316">
        <f t="shared" si="1"/>
        <v>11214.77</v>
      </c>
      <c r="N12" s="317">
        <f t="shared" si="2"/>
        <v>16963.853999999999</v>
      </c>
      <c r="O12" s="278">
        <v>6481.5239999999985</v>
      </c>
      <c r="P12" s="278">
        <v>2530</v>
      </c>
      <c r="Q12" s="281">
        <v>2716</v>
      </c>
      <c r="R12" s="316">
        <f t="shared" si="3"/>
        <v>11727.523999999998</v>
      </c>
      <c r="S12" s="281"/>
      <c r="T12" s="281"/>
      <c r="U12" s="314">
        <v>1454</v>
      </c>
      <c r="V12" s="316">
        <f t="shared" si="4"/>
        <v>1454</v>
      </c>
      <c r="W12" s="317">
        <f t="shared" si="5"/>
        <v>13181.523999999998</v>
      </c>
      <c r="X12" s="1531">
        <f t="shared" si="6"/>
        <v>30145.377999999997</v>
      </c>
      <c r="Y12" s="279"/>
      <c r="Z12" s="281"/>
      <c r="AA12" s="281"/>
      <c r="AB12" s="316">
        <f t="shared" si="7"/>
        <v>0</v>
      </c>
      <c r="AC12" s="281"/>
      <c r="AD12" s="281"/>
      <c r="AE12" s="281"/>
      <c r="AF12" s="629">
        <f t="shared" si="8"/>
        <v>0</v>
      </c>
      <c r="AG12" s="317">
        <f t="shared" si="9"/>
        <v>0</v>
      </c>
      <c r="AH12" s="278"/>
      <c r="AI12" s="278"/>
      <c r="AJ12" s="278">
        <v>211</v>
      </c>
      <c r="AK12" s="316">
        <f t="shared" si="10"/>
        <v>211</v>
      </c>
      <c r="AL12" s="281"/>
      <c r="AM12" s="281"/>
      <c r="AN12" s="314"/>
      <c r="AO12" s="316">
        <f t="shared" si="11"/>
        <v>0</v>
      </c>
      <c r="AP12" s="317">
        <f t="shared" si="12"/>
        <v>211</v>
      </c>
      <c r="AQ12" s="318">
        <f t="shared" si="13"/>
        <v>211</v>
      </c>
      <c r="AR12" s="315">
        <f t="shared" si="14"/>
        <v>30356.377999999997</v>
      </c>
      <c r="AS12" s="5643"/>
      <c r="AT12" s="276"/>
      <c r="AU12" s="741">
        <f t="shared" si="15"/>
        <v>0</v>
      </c>
      <c r="AV12" s="5638"/>
      <c r="AW12" s="741">
        <f t="shared" si="16"/>
        <v>2891.5260000000003</v>
      </c>
      <c r="AX12" s="5638"/>
      <c r="AY12" s="5638"/>
      <c r="AZ12" s="5638"/>
      <c r="BA12" s="741">
        <f t="shared" si="17"/>
        <v>2857.5580000000004</v>
      </c>
      <c r="BB12" s="5638"/>
      <c r="BC12" s="5638"/>
      <c r="BD12" s="5638"/>
      <c r="BE12" s="741">
        <f t="shared" si="18"/>
        <v>5052.4599999999991</v>
      </c>
      <c r="BF12" s="5638"/>
      <c r="BG12" s="5638"/>
      <c r="BH12" s="5638"/>
      <c r="BI12" s="741">
        <f t="shared" si="19"/>
        <v>1002.0359999999999</v>
      </c>
      <c r="BJ12" s="5638"/>
      <c r="BK12" s="5638"/>
      <c r="BL12" s="5638"/>
      <c r="BM12" s="741">
        <f t="shared" si="20"/>
        <v>5160.2740000000003</v>
      </c>
      <c r="BN12" s="5638"/>
      <c r="BO12" s="5638"/>
      <c r="BP12" s="5638"/>
      <c r="BQ12" s="5638"/>
      <c r="BR12" s="5638"/>
      <c r="BS12" s="741">
        <f t="shared" si="21"/>
        <v>6481.5239999999985</v>
      </c>
      <c r="BT12" s="5638"/>
      <c r="BU12" s="5638"/>
      <c r="BV12" s="5638"/>
      <c r="BW12" s="741">
        <f t="shared" si="22"/>
        <v>2530</v>
      </c>
      <c r="BX12" s="5638"/>
      <c r="BY12" s="5638"/>
      <c r="BZ12" s="5638"/>
      <c r="CA12" s="741">
        <f t="shared" si="23"/>
        <v>2927</v>
      </c>
      <c r="CB12" s="5638"/>
      <c r="CC12" s="5638"/>
      <c r="CD12" s="5638"/>
      <c r="CE12" s="5638"/>
      <c r="CF12" s="5638"/>
      <c r="CG12" s="741">
        <f t="shared" si="24"/>
        <v>0</v>
      </c>
      <c r="CH12" s="5638"/>
      <c r="CI12" s="5638"/>
      <c r="CJ12" s="5638"/>
      <c r="CK12" s="741">
        <f t="shared" si="25"/>
        <v>0</v>
      </c>
      <c r="CL12" s="5638"/>
      <c r="CM12" s="5638"/>
      <c r="CN12" s="5638"/>
      <c r="CO12" s="741">
        <f t="shared" si="26"/>
        <v>1454</v>
      </c>
      <c r="CP12" s="5638"/>
      <c r="CQ12" s="5638"/>
      <c r="CR12" s="5638"/>
      <c r="CS12" s="5638"/>
      <c r="CT12" s="5638"/>
      <c r="CU12" s="1375">
        <f t="shared" si="27"/>
        <v>30356.377999999997</v>
      </c>
      <c r="CV12" s="768"/>
    </row>
    <row r="13" spans="1:105" ht="15.75" x14ac:dyDescent="0.25">
      <c r="A13" s="276"/>
      <c r="B13" s="276"/>
      <c r="C13" s="276"/>
      <c r="D13" s="276"/>
      <c r="E13" s="1307" t="s">
        <v>1265</v>
      </c>
      <c r="F13" s="1532">
        <v>2246.134</v>
      </c>
      <c r="G13" s="281">
        <v>1167.6500000000001</v>
      </c>
      <c r="H13" s="281">
        <v>2660.1189999999997</v>
      </c>
      <c r="I13" s="316">
        <f t="shared" si="0"/>
        <v>6073.9030000000002</v>
      </c>
      <c r="J13" s="281">
        <v>2944.6010000000006</v>
      </c>
      <c r="K13" s="281">
        <v>8599.7519999999986</v>
      </c>
      <c r="L13" s="281">
        <v>3042.0459999999998</v>
      </c>
      <c r="M13" s="316">
        <f t="shared" si="1"/>
        <v>14586.398999999999</v>
      </c>
      <c r="N13" s="317">
        <f t="shared" si="2"/>
        <v>20660.302</v>
      </c>
      <c r="O13" s="278">
        <v>3094.8960000000002</v>
      </c>
      <c r="P13" s="278">
        <v>302</v>
      </c>
      <c r="Q13" s="281">
        <v>1471</v>
      </c>
      <c r="R13" s="316">
        <f t="shared" si="3"/>
        <v>4867.8960000000006</v>
      </c>
      <c r="S13" s="281">
        <v>3966</v>
      </c>
      <c r="T13" s="281">
        <v>2534.6860000000001</v>
      </c>
      <c r="U13" s="314">
        <v>1152</v>
      </c>
      <c r="V13" s="316">
        <f t="shared" si="4"/>
        <v>7652.6859999999997</v>
      </c>
      <c r="W13" s="317">
        <f t="shared" si="5"/>
        <v>12520.582</v>
      </c>
      <c r="X13" s="1531">
        <f t="shared" si="6"/>
        <v>33180.884000000005</v>
      </c>
      <c r="Y13" s="279"/>
      <c r="Z13" s="281"/>
      <c r="AA13" s="281"/>
      <c r="AB13" s="316">
        <f t="shared" si="7"/>
        <v>0</v>
      </c>
      <c r="AC13" s="281">
        <v>832.21600000000001</v>
      </c>
      <c r="AD13" s="281">
        <v>145.86600000000001</v>
      </c>
      <c r="AE13" s="281">
        <v>642.65599999999995</v>
      </c>
      <c r="AF13" s="629">
        <f t="shared" si="8"/>
        <v>1620.7379999999998</v>
      </c>
      <c r="AG13" s="317">
        <f t="shared" si="9"/>
        <v>1620.7379999999998</v>
      </c>
      <c r="AH13" s="278"/>
      <c r="AI13" s="278"/>
      <c r="AJ13" s="278"/>
      <c r="AK13" s="316">
        <f t="shared" si="10"/>
        <v>0</v>
      </c>
      <c r="AL13" s="281">
        <v>691</v>
      </c>
      <c r="AM13" s="281"/>
      <c r="AN13" s="314"/>
      <c r="AO13" s="316">
        <f t="shared" si="11"/>
        <v>691</v>
      </c>
      <c r="AP13" s="317">
        <f t="shared" si="12"/>
        <v>691</v>
      </c>
      <c r="AQ13" s="318">
        <f t="shared" si="13"/>
        <v>2311.7379999999998</v>
      </c>
      <c r="AR13" s="315">
        <f t="shared" si="14"/>
        <v>35492.622000000003</v>
      </c>
      <c r="AS13" s="5643"/>
      <c r="AT13" s="276"/>
      <c r="AU13" s="741">
        <f t="shared" si="15"/>
        <v>2246.134</v>
      </c>
      <c r="AV13" s="5638"/>
      <c r="AW13" s="741">
        <f t="shared" si="16"/>
        <v>1167.6500000000001</v>
      </c>
      <c r="AX13" s="5638"/>
      <c r="AY13" s="5638"/>
      <c r="AZ13" s="5638"/>
      <c r="BA13" s="741">
        <f t="shared" si="17"/>
        <v>2660.1189999999997</v>
      </c>
      <c r="BB13" s="5638"/>
      <c r="BC13" s="5638"/>
      <c r="BD13" s="5638"/>
      <c r="BE13" s="741">
        <f t="shared" si="18"/>
        <v>3776.8170000000005</v>
      </c>
      <c r="BF13" s="5638"/>
      <c r="BG13" s="5638"/>
      <c r="BH13" s="5638"/>
      <c r="BI13" s="741">
        <f t="shared" si="19"/>
        <v>8745.6179999999986</v>
      </c>
      <c r="BJ13" s="5638"/>
      <c r="BK13" s="5638"/>
      <c r="BL13" s="5638"/>
      <c r="BM13" s="741">
        <f t="shared" si="20"/>
        <v>3684.7019999999998</v>
      </c>
      <c r="BN13" s="5638"/>
      <c r="BO13" s="5638"/>
      <c r="BP13" s="5638"/>
      <c r="BQ13" s="5638"/>
      <c r="BR13" s="5638"/>
      <c r="BS13" s="741">
        <f t="shared" si="21"/>
        <v>3094.8960000000002</v>
      </c>
      <c r="BT13" s="5638"/>
      <c r="BU13" s="5638"/>
      <c r="BV13" s="5638"/>
      <c r="BW13" s="741">
        <f t="shared" si="22"/>
        <v>302</v>
      </c>
      <c r="BX13" s="5638"/>
      <c r="BY13" s="5638"/>
      <c r="BZ13" s="5638"/>
      <c r="CA13" s="741">
        <f t="shared" si="23"/>
        <v>1471</v>
      </c>
      <c r="CB13" s="5638"/>
      <c r="CC13" s="5638"/>
      <c r="CD13" s="5638"/>
      <c r="CE13" s="5638"/>
      <c r="CF13" s="5638"/>
      <c r="CG13" s="741">
        <f t="shared" si="24"/>
        <v>4657</v>
      </c>
      <c r="CH13" s="5638"/>
      <c r="CI13" s="5638"/>
      <c r="CJ13" s="5638"/>
      <c r="CK13" s="741">
        <f t="shared" si="25"/>
        <v>2534.6860000000001</v>
      </c>
      <c r="CL13" s="5638"/>
      <c r="CM13" s="5638"/>
      <c r="CN13" s="5638"/>
      <c r="CO13" s="741">
        <f t="shared" si="26"/>
        <v>1152</v>
      </c>
      <c r="CP13" s="5638"/>
      <c r="CQ13" s="5638"/>
      <c r="CR13" s="5638"/>
      <c r="CS13" s="5638"/>
      <c r="CT13" s="5638"/>
      <c r="CU13" s="1375">
        <f t="shared" si="27"/>
        <v>35492.622000000003</v>
      </c>
      <c r="CV13" s="768"/>
    </row>
    <row r="14" spans="1:105" ht="15.75" x14ac:dyDescent="0.25">
      <c r="A14" s="276"/>
      <c r="B14" s="276"/>
      <c r="C14" s="276"/>
      <c r="D14" s="276"/>
      <c r="E14" s="312" t="s">
        <v>1266</v>
      </c>
      <c r="F14" s="1532"/>
      <c r="G14" s="281"/>
      <c r="H14" s="281"/>
      <c r="I14" s="316">
        <f t="shared" si="0"/>
        <v>0</v>
      </c>
      <c r="J14" s="281"/>
      <c r="K14" s="281"/>
      <c r="L14" s="281"/>
      <c r="M14" s="316">
        <f t="shared" si="1"/>
        <v>0</v>
      </c>
      <c r="N14" s="317">
        <f t="shared" si="2"/>
        <v>0</v>
      </c>
      <c r="O14" s="278"/>
      <c r="P14" s="278"/>
      <c r="Q14" s="281"/>
      <c r="R14" s="316">
        <f t="shared" si="3"/>
        <v>0</v>
      </c>
      <c r="S14" s="281"/>
      <c r="T14" s="281"/>
      <c r="U14" s="314"/>
      <c r="V14" s="316">
        <f t="shared" si="4"/>
        <v>0</v>
      </c>
      <c r="W14" s="317">
        <f t="shared" si="5"/>
        <v>0</v>
      </c>
      <c r="X14" s="1531">
        <f t="shared" si="6"/>
        <v>0</v>
      </c>
      <c r="Y14" s="279"/>
      <c r="Z14" s="281"/>
      <c r="AA14" s="281"/>
      <c r="AB14" s="316">
        <f t="shared" si="7"/>
        <v>0</v>
      </c>
      <c r="AC14" s="281"/>
      <c r="AD14" s="281"/>
      <c r="AE14" s="281"/>
      <c r="AF14" s="629">
        <f t="shared" si="8"/>
        <v>0</v>
      </c>
      <c r="AG14" s="317">
        <f t="shared" si="9"/>
        <v>0</v>
      </c>
      <c r="AH14" s="278"/>
      <c r="AI14" s="278"/>
      <c r="AJ14" s="278"/>
      <c r="AK14" s="316">
        <f t="shared" si="10"/>
        <v>0</v>
      </c>
      <c r="AL14" s="281"/>
      <c r="AM14" s="281"/>
      <c r="AN14" s="314"/>
      <c r="AO14" s="316">
        <f t="shared" si="11"/>
        <v>0</v>
      </c>
      <c r="AP14" s="317">
        <f t="shared" si="12"/>
        <v>0</v>
      </c>
      <c r="AQ14" s="318">
        <f t="shared" si="13"/>
        <v>0</v>
      </c>
      <c r="AR14" s="315">
        <f t="shared" si="14"/>
        <v>0</v>
      </c>
      <c r="AS14" s="5643"/>
      <c r="AT14" s="276"/>
      <c r="AU14" s="741">
        <f t="shared" si="15"/>
        <v>0</v>
      </c>
      <c r="AV14" s="5638"/>
      <c r="AW14" s="741">
        <f t="shared" si="16"/>
        <v>0</v>
      </c>
      <c r="AX14" s="5638"/>
      <c r="AY14" s="5638"/>
      <c r="AZ14" s="5638"/>
      <c r="BA14" s="741">
        <f t="shared" si="17"/>
        <v>0</v>
      </c>
      <c r="BB14" s="5638"/>
      <c r="BC14" s="5638"/>
      <c r="BD14" s="5638"/>
      <c r="BE14" s="741">
        <f t="shared" si="18"/>
        <v>0</v>
      </c>
      <c r="BF14" s="5638"/>
      <c r="BG14" s="5638"/>
      <c r="BH14" s="5638"/>
      <c r="BI14" s="741">
        <f t="shared" si="19"/>
        <v>0</v>
      </c>
      <c r="BJ14" s="5638"/>
      <c r="BK14" s="5638"/>
      <c r="BL14" s="5638"/>
      <c r="BM14" s="741">
        <f t="shared" si="20"/>
        <v>0</v>
      </c>
      <c r="BN14" s="5638"/>
      <c r="BO14" s="5638"/>
      <c r="BP14" s="5638"/>
      <c r="BQ14" s="5638"/>
      <c r="BR14" s="5638"/>
      <c r="BS14" s="741">
        <f t="shared" si="21"/>
        <v>0</v>
      </c>
      <c r="BT14" s="5638"/>
      <c r="BU14" s="5638"/>
      <c r="BV14" s="5638"/>
      <c r="BW14" s="741">
        <f t="shared" si="22"/>
        <v>0</v>
      </c>
      <c r="BX14" s="5638"/>
      <c r="BY14" s="5638"/>
      <c r="BZ14" s="5638"/>
      <c r="CA14" s="741">
        <f t="shared" si="23"/>
        <v>0</v>
      </c>
      <c r="CB14" s="5638"/>
      <c r="CC14" s="5638"/>
      <c r="CD14" s="5638"/>
      <c r="CE14" s="5638"/>
      <c r="CF14" s="5638"/>
      <c r="CG14" s="741">
        <f t="shared" si="24"/>
        <v>0</v>
      </c>
      <c r="CH14" s="5638"/>
      <c r="CI14" s="5638"/>
      <c r="CJ14" s="5638"/>
      <c r="CK14" s="741">
        <f t="shared" si="25"/>
        <v>0</v>
      </c>
      <c r="CL14" s="5638"/>
      <c r="CM14" s="5638"/>
      <c r="CN14" s="5638"/>
      <c r="CO14" s="741">
        <f t="shared" si="26"/>
        <v>0</v>
      </c>
      <c r="CP14" s="5638"/>
      <c r="CQ14" s="5638"/>
      <c r="CR14" s="5638"/>
      <c r="CS14" s="5638"/>
      <c r="CT14" s="5638"/>
      <c r="CU14" s="1375">
        <f t="shared" si="27"/>
        <v>0</v>
      </c>
      <c r="CV14" s="768"/>
    </row>
    <row r="15" spans="1:105" ht="15.75" x14ac:dyDescent="0.25">
      <c r="A15" s="276"/>
      <c r="B15" s="276"/>
      <c r="C15" s="276"/>
      <c r="D15" s="276"/>
      <c r="E15" s="312" t="s">
        <v>1320</v>
      </c>
      <c r="F15" s="1532">
        <v>532.87300000000005</v>
      </c>
      <c r="G15" s="281">
        <v>1927.6839999999997</v>
      </c>
      <c r="H15" s="281">
        <v>3651.5600000000013</v>
      </c>
      <c r="I15" s="316">
        <f t="shared" si="0"/>
        <v>6112.1170000000011</v>
      </c>
      <c r="J15" s="281">
        <v>4077.0480000000011</v>
      </c>
      <c r="K15" s="281">
        <v>6033.3559999999979</v>
      </c>
      <c r="L15" s="281">
        <v>2185.8759999999997</v>
      </c>
      <c r="M15" s="316">
        <f t="shared" si="1"/>
        <v>12296.279999999999</v>
      </c>
      <c r="N15" s="317">
        <f t="shared" si="2"/>
        <v>18408.397000000001</v>
      </c>
      <c r="O15" s="278">
        <v>1691.2</v>
      </c>
      <c r="P15" s="278">
        <v>3046</v>
      </c>
      <c r="Q15" s="281">
        <v>1311</v>
      </c>
      <c r="R15" s="316">
        <f t="shared" si="3"/>
        <v>6048.2</v>
      </c>
      <c r="S15" s="281">
        <v>2873</v>
      </c>
      <c r="T15" s="281">
        <v>1310.68</v>
      </c>
      <c r="U15" s="314">
        <v>127</v>
      </c>
      <c r="V15" s="316">
        <f t="shared" si="4"/>
        <v>4310.68</v>
      </c>
      <c r="W15" s="317">
        <f t="shared" si="5"/>
        <v>10358.880000000001</v>
      </c>
      <c r="X15" s="1531">
        <f t="shared" si="6"/>
        <v>28767.277000000002</v>
      </c>
      <c r="Y15" s="279">
        <v>150.733</v>
      </c>
      <c r="Z15" s="281">
        <v>19.106999999999999</v>
      </c>
      <c r="AA15" s="281"/>
      <c r="AB15" s="316">
        <f t="shared" si="7"/>
        <v>169.84</v>
      </c>
      <c r="AC15" s="281"/>
      <c r="AD15" s="281"/>
      <c r="AE15" s="281">
        <v>359.38</v>
      </c>
      <c r="AF15" s="629">
        <f t="shared" si="8"/>
        <v>359.38</v>
      </c>
      <c r="AG15" s="317">
        <f t="shared" si="9"/>
        <v>529.22</v>
      </c>
      <c r="AH15" s="278">
        <v>310.75800000000004</v>
      </c>
      <c r="AI15" s="278">
        <v>159</v>
      </c>
      <c r="AJ15" s="278"/>
      <c r="AK15" s="316">
        <f t="shared" si="10"/>
        <v>469.75800000000004</v>
      </c>
      <c r="AL15" s="281">
        <v>746</v>
      </c>
      <c r="AM15" s="281">
        <v>790.63600000000008</v>
      </c>
      <c r="AN15" s="314"/>
      <c r="AO15" s="316">
        <f t="shared" si="11"/>
        <v>1536.636</v>
      </c>
      <c r="AP15" s="317">
        <f t="shared" si="12"/>
        <v>2006.394</v>
      </c>
      <c r="AQ15" s="318">
        <f t="shared" si="13"/>
        <v>2535.614</v>
      </c>
      <c r="AR15" s="315">
        <f t="shared" si="14"/>
        <v>31302.891000000003</v>
      </c>
      <c r="AS15" s="5643"/>
      <c r="AT15" s="276"/>
      <c r="AU15" s="741">
        <f t="shared" si="15"/>
        <v>683.60599999999999</v>
      </c>
      <c r="AV15" s="5638"/>
      <c r="AW15" s="741">
        <f t="shared" si="16"/>
        <v>1946.7909999999997</v>
      </c>
      <c r="AX15" s="5638"/>
      <c r="AY15" s="5638"/>
      <c r="AZ15" s="5638"/>
      <c r="BA15" s="741">
        <f t="shared" si="17"/>
        <v>3651.5600000000013</v>
      </c>
      <c r="BB15" s="5638"/>
      <c r="BC15" s="5638"/>
      <c r="BD15" s="5638"/>
      <c r="BE15" s="741">
        <f t="shared" si="18"/>
        <v>4077.0480000000011</v>
      </c>
      <c r="BF15" s="5638"/>
      <c r="BG15" s="5638"/>
      <c r="BH15" s="5638"/>
      <c r="BI15" s="741">
        <f t="shared" si="19"/>
        <v>6033.3559999999979</v>
      </c>
      <c r="BJ15" s="5638"/>
      <c r="BK15" s="5638"/>
      <c r="BL15" s="5638"/>
      <c r="BM15" s="741">
        <f t="shared" si="20"/>
        <v>2545.2559999999999</v>
      </c>
      <c r="BN15" s="5638"/>
      <c r="BO15" s="5638"/>
      <c r="BP15" s="5638"/>
      <c r="BQ15" s="5638"/>
      <c r="BR15" s="5638"/>
      <c r="BS15" s="741">
        <f t="shared" si="21"/>
        <v>2001.9580000000001</v>
      </c>
      <c r="BT15" s="5638"/>
      <c r="BU15" s="5638"/>
      <c r="BV15" s="5638"/>
      <c r="BW15" s="741">
        <f t="shared" si="22"/>
        <v>3205</v>
      </c>
      <c r="BX15" s="5638"/>
      <c r="BY15" s="5638"/>
      <c r="BZ15" s="5638"/>
      <c r="CA15" s="741">
        <f t="shared" si="23"/>
        <v>1311</v>
      </c>
      <c r="CB15" s="5638"/>
      <c r="CC15" s="5638"/>
      <c r="CD15" s="5638"/>
      <c r="CE15" s="5638"/>
      <c r="CF15" s="5638"/>
      <c r="CG15" s="741">
        <f t="shared" si="24"/>
        <v>3619</v>
      </c>
      <c r="CH15" s="5638"/>
      <c r="CI15" s="5638"/>
      <c r="CJ15" s="5638"/>
      <c r="CK15" s="741">
        <f t="shared" si="25"/>
        <v>2101.3160000000003</v>
      </c>
      <c r="CL15" s="5638"/>
      <c r="CM15" s="5638"/>
      <c r="CN15" s="5638"/>
      <c r="CO15" s="741">
        <f t="shared" si="26"/>
        <v>127</v>
      </c>
      <c r="CP15" s="5638"/>
      <c r="CQ15" s="5638"/>
      <c r="CR15" s="5638"/>
      <c r="CS15" s="5638"/>
      <c r="CT15" s="5638"/>
      <c r="CU15" s="1375">
        <f t="shared" si="27"/>
        <v>31302.891</v>
      </c>
      <c r="CV15" s="768"/>
    </row>
    <row r="16" spans="1:105" ht="15.75" x14ac:dyDescent="0.25">
      <c r="A16" s="276"/>
      <c r="B16" s="276"/>
      <c r="C16" s="276"/>
      <c r="D16" s="276"/>
      <c r="E16" s="312" t="s">
        <v>1267</v>
      </c>
      <c r="F16" s="1532">
        <v>4390.3640000000005</v>
      </c>
      <c r="G16" s="281"/>
      <c r="H16" s="281"/>
      <c r="I16" s="316">
        <f t="shared" si="0"/>
        <v>4390.3640000000005</v>
      </c>
      <c r="J16" s="281"/>
      <c r="K16" s="281"/>
      <c r="L16" s="281"/>
      <c r="M16" s="316">
        <f t="shared" si="1"/>
        <v>0</v>
      </c>
      <c r="N16" s="317">
        <f t="shared" si="2"/>
        <v>4390.3640000000005</v>
      </c>
      <c r="O16" s="278"/>
      <c r="P16" s="278"/>
      <c r="Q16" s="281"/>
      <c r="R16" s="316">
        <f t="shared" si="3"/>
        <v>0</v>
      </c>
      <c r="S16" s="281"/>
      <c r="T16" s="281"/>
      <c r="U16" s="314"/>
      <c r="V16" s="316">
        <f t="shared" si="4"/>
        <v>0</v>
      </c>
      <c r="W16" s="317">
        <f t="shared" si="5"/>
        <v>0</v>
      </c>
      <c r="X16" s="1531">
        <f t="shared" si="6"/>
        <v>4390.3640000000005</v>
      </c>
      <c r="Y16" s="279"/>
      <c r="Z16" s="281"/>
      <c r="AA16" s="281"/>
      <c r="AB16" s="316">
        <f t="shared" si="7"/>
        <v>0</v>
      </c>
      <c r="AC16" s="281"/>
      <c r="AD16" s="281"/>
      <c r="AE16" s="281"/>
      <c r="AF16" s="629">
        <f t="shared" si="8"/>
        <v>0</v>
      </c>
      <c r="AG16" s="317">
        <f t="shared" si="9"/>
        <v>0</v>
      </c>
      <c r="AH16" s="278"/>
      <c r="AI16" s="278"/>
      <c r="AJ16" s="278"/>
      <c r="AK16" s="316">
        <f t="shared" si="10"/>
        <v>0</v>
      </c>
      <c r="AL16" s="281"/>
      <c r="AM16" s="281"/>
      <c r="AN16" s="314"/>
      <c r="AO16" s="316">
        <f t="shared" si="11"/>
        <v>0</v>
      </c>
      <c r="AP16" s="317">
        <f t="shared" si="12"/>
        <v>0</v>
      </c>
      <c r="AQ16" s="318">
        <f t="shared" si="13"/>
        <v>0</v>
      </c>
      <c r="AR16" s="315">
        <f t="shared" si="14"/>
        <v>4390.3640000000005</v>
      </c>
      <c r="AS16" s="5643"/>
      <c r="AT16" s="276"/>
      <c r="AU16" s="741">
        <f t="shared" si="15"/>
        <v>4390.3640000000005</v>
      </c>
      <c r="AV16" s="5638"/>
      <c r="AW16" s="741">
        <f t="shared" si="16"/>
        <v>0</v>
      </c>
      <c r="AX16" s="5638"/>
      <c r="AY16" s="5638"/>
      <c r="AZ16" s="5638"/>
      <c r="BA16" s="741">
        <f t="shared" si="17"/>
        <v>0</v>
      </c>
      <c r="BB16" s="5638"/>
      <c r="BC16" s="5638"/>
      <c r="BD16" s="5638"/>
      <c r="BE16" s="741">
        <f t="shared" si="18"/>
        <v>0</v>
      </c>
      <c r="BF16" s="5638"/>
      <c r="BG16" s="5638"/>
      <c r="BH16" s="5638"/>
      <c r="BI16" s="741">
        <f t="shared" si="19"/>
        <v>0</v>
      </c>
      <c r="BJ16" s="5638"/>
      <c r="BK16" s="5638"/>
      <c r="BL16" s="5638"/>
      <c r="BM16" s="741">
        <f t="shared" si="20"/>
        <v>0</v>
      </c>
      <c r="BN16" s="5638"/>
      <c r="BO16" s="5638"/>
      <c r="BP16" s="5638"/>
      <c r="BQ16" s="5638"/>
      <c r="BR16" s="5638"/>
      <c r="BS16" s="741">
        <f t="shared" si="21"/>
        <v>0</v>
      </c>
      <c r="BT16" s="5638"/>
      <c r="BU16" s="5638"/>
      <c r="BV16" s="5638"/>
      <c r="BW16" s="741">
        <f t="shared" si="22"/>
        <v>0</v>
      </c>
      <c r="BX16" s="5638"/>
      <c r="BY16" s="5638"/>
      <c r="BZ16" s="5638"/>
      <c r="CA16" s="741">
        <f t="shared" si="23"/>
        <v>0</v>
      </c>
      <c r="CB16" s="5638"/>
      <c r="CC16" s="5638"/>
      <c r="CD16" s="5638"/>
      <c r="CE16" s="5638"/>
      <c r="CF16" s="5638"/>
      <c r="CG16" s="741">
        <f t="shared" si="24"/>
        <v>0</v>
      </c>
      <c r="CH16" s="5638"/>
      <c r="CI16" s="5638"/>
      <c r="CJ16" s="5638"/>
      <c r="CK16" s="741">
        <f t="shared" si="25"/>
        <v>0</v>
      </c>
      <c r="CL16" s="5638"/>
      <c r="CM16" s="5638"/>
      <c r="CN16" s="5638"/>
      <c r="CO16" s="741">
        <f t="shared" si="26"/>
        <v>0</v>
      </c>
      <c r="CP16" s="5638"/>
      <c r="CQ16" s="5638"/>
      <c r="CR16" s="5638"/>
      <c r="CS16" s="5638"/>
      <c r="CT16" s="5638"/>
      <c r="CU16" s="1375">
        <f t="shared" si="27"/>
        <v>4390.3640000000005</v>
      </c>
      <c r="CV16" s="768"/>
    </row>
    <row r="17" spans="1:100" ht="15.75" x14ac:dyDescent="0.25">
      <c r="A17" s="276"/>
      <c r="B17" s="276"/>
      <c r="C17" s="276"/>
      <c r="D17" s="276"/>
      <c r="E17" s="312" t="s">
        <v>1487</v>
      </c>
      <c r="F17" s="1532">
        <v>118.88800000000001</v>
      </c>
      <c r="G17" s="281"/>
      <c r="H17" s="281"/>
      <c r="I17" s="316">
        <f t="shared" si="0"/>
        <v>118.88800000000001</v>
      </c>
      <c r="J17" s="281"/>
      <c r="K17" s="281"/>
      <c r="L17" s="281"/>
      <c r="M17" s="316">
        <f t="shared" si="1"/>
        <v>0</v>
      </c>
      <c r="N17" s="317">
        <f t="shared" si="2"/>
        <v>118.88800000000001</v>
      </c>
      <c r="O17" s="278"/>
      <c r="P17" s="278"/>
      <c r="Q17" s="281"/>
      <c r="R17" s="316">
        <f t="shared" si="3"/>
        <v>0</v>
      </c>
      <c r="S17" s="281"/>
      <c r="T17" s="281"/>
      <c r="U17" s="314"/>
      <c r="V17" s="316">
        <f t="shared" si="4"/>
        <v>0</v>
      </c>
      <c r="W17" s="317">
        <f t="shared" si="5"/>
        <v>0</v>
      </c>
      <c r="X17" s="1531">
        <f t="shared" si="6"/>
        <v>118.88800000000001</v>
      </c>
      <c r="Y17" s="279"/>
      <c r="Z17" s="281"/>
      <c r="AA17" s="281"/>
      <c r="AB17" s="316">
        <f t="shared" si="7"/>
        <v>0</v>
      </c>
      <c r="AC17" s="281"/>
      <c r="AD17" s="281"/>
      <c r="AE17" s="281"/>
      <c r="AF17" s="629">
        <f t="shared" si="8"/>
        <v>0</v>
      </c>
      <c r="AG17" s="317">
        <f t="shared" si="9"/>
        <v>0</v>
      </c>
      <c r="AH17" s="278"/>
      <c r="AI17" s="278"/>
      <c r="AJ17" s="278"/>
      <c r="AK17" s="316">
        <f t="shared" si="10"/>
        <v>0</v>
      </c>
      <c r="AL17" s="281"/>
      <c r="AM17" s="281"/>
      <c r="AN17" s="314"/>
      <c r="AO17" s="316"/>
      <c r="AP17" s="317"/>
      <c r="AQ17" s="318">
        <f t="shared" si="13"/>
        <v>0</v>
      </c>
      <c r="AR17" s="315">
        <f t="shared" si="14"/>
        <v>118.88800000000001</v>
      </c>
      <c r="AS17" s="5643"/>
      <c r="AT17" s="276"/>
      <c r="AU17" s="741">
        <f t="shared" si="15"/>
        <v>118.88800000000001</v>
      </c>
      <c r="AV17" s="5638"/>
      <c r="AW17" s="741">
        <f t="shared" si="16"/>
        <v>0</v>
      </c>
      <c r="AX17" s="5638"/>
      <c r="AY17" s="5638"/>
      <c r="AZ17" s="5638"/>
      <c r="BA17" s="741">
        <f t="shared" si="17"/>
        <v>0</v>
      </c>
      <c r="BB17" s="5638"/>
      <c r="BC17" s="5638"/>
      <c r="BD17" s="5638"/>
      <c r="BE17" s="741">
        <f t="shared" si="18"/>
        <v>0</v>
      </c>
      <c r="BF17" s="5638"/>
      <c r="BG17" s="5638"/>
      <c r="BH17" s="5638"/>
      <c r="BI17" s="741">
        <f t="shared" si="19"/>
        <v>0</v>
      </c>
      <c r="BJ17" s="5638"/>
      <c r="BK17" s="5638"/>
      <c r="BL17" s="5638"/>
      <c r="BM17" s="741">
        <f t="shared" si="20"/>
        <v>0</v>
      </c>
      <c r="BN17" s="5638"/>
      <c r="BO17" s="5638"/>
      <c r="BP17" s="5638"/>
      <c r="BQ17" s="5638"/>
      <c r="BR17" s="5638"/>
      <c r="BS17" s="741">
        <f t="shared" si="21"/>
        <v>0</v>
      </c>
      <c r="BT17" s="5638"/>
      <c r="BU17" s="5638"/>
      <c r="BV17" s="5638"/>
      <c r="BW17" s="741">
        <f t="shared" si="22"/>
        <v>0</v>
      </c>
      <c r="BX17" s="5638"/>
      <c r="BY17" s="5638"/>
      <c r="BZ17" s="5638"/>
      <c r="CA17" s="741">
        <f t="shared" si="23"/>
        <v>0</v>
      </c>
      <c r="CB17" s="5638"/>
      <c r="CC17" s="5638"/>
      <c r="CD17" s="5638"/>
      <c r="CE17" s="5638"/>
      <c r="CF17" s="5638"/>
      <c r="CG17" s="741">
        <f t="shared" si="24"/>
        <v>0</v>
      </c>
      <c r="CH17" s="5638"/>
      <c r="CI17" s="5638"/>
      <c r="CJ17" s="5638"/>
      <c r="CK17" s="741">
        <f t="shared" si="25"/>
        <v>0</v>
      </c>
      <c r="CL17" s="5638"/>
      <c r="CM17" s="5638"/>
      <c r="CN17" s="5638"/>
      <c r="CO17" s="741">
        <f t="shared" si="26"/>
        <v>0</v>
      </c>
      <c r="CP17" s="5638"/>
      <c r="CQ17" s="5638"/>
      <c r="CR17" s="5638"/>
      <c r="CS17" s="5638"/>
      <c r="CT17" s="5638"/>
      <c r="CU17" s="1375">
        <f t="shared" si="27"/>
        <v>118.88800000000001</v>
      </c>
      <c r="CV17" s="768"/>
    </row>
    <row r="18" spans="1:100" ht="15.75" x14ac:dyDescent="0.25">
      <c r="A18" s="276"/>
      <c r="B18" s="276"/>
      <c r="C18" s="276"/>
      <c r="D18" s="276"/>
      <c r="E18" s="312" t="s">
        <v>1268</v>
      </c>
      <c r="F18" s="1532"/>
      <c r="G18" s="281"/>
      <c r="H18" s="281">
        <v>1010.5480000000001</v>
      </c>
      <c r="I18" s="316">
        <f t="shared" si="0"/>
        <v>1010.5480000000001</v>
      </c>
      <c r="J18" s="281">
        <v>982.94899999999996</v>
      </c>
      <c r="K18" s="281"/>
      <c r="L18" s="281">
        <v>1714.4540000000002</v>
      </c>
      <c r="M18" s="316">
        <f t="shared" si="1"/>
        <v>2697.4030000000002</v>
      </c>
      <c r="N18" s="317">
        <f t="shared" si="2"/>
        <v>3707.9510000000005</v>
      </c>
      <c r="O18" s="278"/>
      <c r="P18" s="278"/>
      <c r="Q18" s="281"/>
      <c r="R18" s="316">
        <f t="shared" si="3"/>
        <v>0</v>
      </c>
      <c r="S18" s="281"/>
      <c r="T18" s="281">
        <v>1224.0060000000001</v>
      </c>
      <c r="U18" s="314">
        <v>1123</v>
      </c>
      <c r="V18" s="316">
        <f t="shared" si="4"/>
        <v>2347.0060000000003</v>
      </c>
      <c r="W18" s="317">
        <f t="shared" si="5"/>
        <v>2347.0060000000003</v>
      </c>
      <c r="X18" s="1531">
        <f t="shared" si="6"/>
        <v>6054.9570000000003</v>
      </c>
      <c r="Y18" s="279"/>
      <c r="Z18" s="281"/>
      <c r="AA18" s="281"/>
      <c r="AB18" s="316">
        <f t="shared" si="7"/>
        <v>0</v>
      </c>
      <c r="AC18" s="281"/>
      <c r="AD18" s="281"/>
      <c r="AE18" s="281"/>
      <c r="AF18" s="629">
        <f t="shared" si="8"/>
        <v>0</v>
      </c>
      <c r="AG18" s="317">
        <f t="shared" si="9"/>
        <v>0</v>
      </c>
      <c r="AH18" s="278"/>
      <c r="AI18" s="278"/>
      <c r="AJ18" s="278"/>
      <c r="AK18" s="316">
        <f t="shared" si="10"/>
        <v>0</v>
      </c>
      <c r="AL18" s="281"/>
      <c r="AM18" s="281"/>
      <c r="AN18" s="314"/>
      <c r="AO18" s="316">
        <f t="shared" si="11"/>
        <v>0</v>
      </c>
      <c r="AP18" s="317">
        <f t="shared" si="12"/>
        <v>0</v>
      </c>
      <c r="AQ18" s="318">
        <f t="shared" si="13"/>
        <v>0</v>
      </c>
      <c r="AR18" s="315">
        <f t="shared" si="14"/>
        <v>6054.9570000000003</v>
      </c>
      <c r="AS18" s="5643"/>
      <c r="AT18" s="276"/>
      <c r="AU18" s="741">
        <f t="shared" si="15"/>
        <v>0</v>
      </c>
      <c r="AV18" s="5638"/>
      <c r="AW18" s="741">
        <f t="shared" si="16"/>
        <v>0</v>
      </c>
      <c r="AX18" s="5638"/>
      <c r="AY18" s="5638"/>
      <c r="AZ18" s="5638"/>
      <c r="BA18" s="741">
        <f t="shared" si="17"/>
        <v>1010.5480000000001</v>
      </c>
      <c r="BB18" s="5638"/>
      <c r="BC18" s="5638"/>
      <c r="BD18" s="5638"/>
      <c r="BE18" s="741">
        <f t="shared" si="18"/>
        <v>982.94899999999996</v>
      </c>
      <c r="BF18" s="5638"/>
      <c r="BG18" s="5638"/>
      <c r="BH18" s="5638"/>
      <c r="BI18" s="741">
        <f t="shared" si="19"/>
        <v>0</v>
      </c>
      <c r="BJ18" s="5638"/>
      <c r="BK18" s="5638"/>
      <c r="BL18" s="5638"/>
      <c r="BM18" s="741">
        <f t="shared" si="20"/>
        <v>1714.4540000000002</v>
      </c>
      <c r="BN18" s="5638"/>
      <c r="BO18" s="5638"/>
      <c r="BP18" s="5638"/>
      <c r="BQ18" s="5638"/>
      <c r="BR18" s="5638"/>
      <c r="BS18" s="741">
        <f t="shared" si="21"/>
        <v>0</v>
      </c>
      <c r="BT18" s="5638"/>
      <c r="BU18" s="5638"/>
      <c r="BV18" s="5638"/>
      <c r="BW18" s="741">
        <f t="shared" si="22"/>
        <v>0</v>
      </c>
      <c r="BX18" s="5638"/>
      <c r="BY18" s="5638"/>
      <c r="BZ18" s="5638"/>
      <c r="CA18" s="741">
        <f t="shared" si="23"/>
        <v>0</v>
      </c>
      <c r="CB18" s="5638"/>
      <c r="CC18" s="5638"/>
      <c r="CD18" s="5638"/>
      <c r="CE18" s="5638"/>
      <c r="CF18" s="5638"/>
      <c r="CG18" s="741">
        <f t="shared" si="24"/>
        <v>0</v>
      </c>
      <c r="CH18" s="5638"/>
      <c r="CI18" s="5638"/>
      <c r="CJ18" s="5638"/>
      <c r="CK18" s="741">
        <f t="shared" si="25"/>
        <v>1224.0060000000001</v>
      </c>
      <c r="CL18" s="5638"/>
      <c r="CM18" s="5638"/>
      <c r="CN18" s="5638"/>
      <c r="CO18" s="741">
        <f t="shared" si="26"/>
        <v>1123</v>
      </c>
      <c r="CP18" s="5638"/>
      <c r="CQ18" s="5638"/>
      <c r="CR18" s="5638"/>
      <c r="CS18" s="5638"/>
      <c r="CT18" s="5638"/>
      <c r="CU18" s="1375">
        <f t="shared" si="27"/>
        <v>6054.9570000000003</v>
      </c>
      <c r="CV18" s="768"/>
    </row>
    <row r="19" spans="1:100" ht="15.75" x14ac:dyDescent="0.25">
      <c r="A19" s="276"/>
      <c r="B19" s="276"/>
      <c r="C19" s="276"/>
      <c r="D19" s="276"/>
      <c r="E19" s="312" t="s">
        <v>1317</v>
      </c>
      <c r="F19" s="1532">
        <v>2210.0430000000001</v>
      </c>
      <c r="G19" s="281">
        <v>420.35399999999998</v>
      </c>
      <c r="H19" s="281"/>
      <c r="I19" s="316">
        <f t="shared" si="0"/>
        <v>2630.3969999999999</v>
      </c>
      <c r="J19" s="281">
        <v>3913.0140000000006</v>
      </c>
      <c r="K19" s="281"/>
      <c r="L19" s="281">
        <v>868.85399999999993</v>
      </c>
      <c r="M19" s="316">
        <f t="shared" si="1"/>
        <v>4781.8680000000004</v>
      </c>
      <c r="N19" s="317">
        <f t="shared" si="2"/>
        <v>7412.2650000000003</v>
      </c>
      <c r="O19" s="278">
        <v>3061.0720000000001</v>
      </c>
      <c r="P19" s="278">
        <v>1323</v>
      </c>
      <c r="Q19" s="281">
        <v>3761</v>
      </c>
      <c r="R19" s="316">
        <f t="shared" si="3"/>
        <v>8145.0720000000001</v>
      </c>
      <c r="S19" s="281">
        <v>493</v>
      </c>
      <c r="T19" s="281">
        <v>1904.7140000000004</v>
      </c>
      <c r="U19" s="314"/>
      <c r="V19" s="316">
        <f t="shared" si="4"/>
        <v>2397.7140000000004</v>
      </c>
      <c r="W19" s="317">
        <f t="shared" si="5"/>
        <v>10542.786</v>
      </c>
      <c r="X19" s="1531">
        <f t="shared" si="6"/>
        <v>17955.050999999999</v>
      </c>
      <c r="Y19" s="279"/>
      <c r="Z19" s="281"/>
      <c r="AA19" s="281"/>
      <c r="AB19" s="316">
        <f t="shared" si="7"/>
        <v>0</v>
      </c>
      <c r="AC19" s="281"/>
      <c r="AD19" s="281"/>
      <c r="AE19" s="281"/>
      <c r="AF19" s="629">
        <f t="shared" si="8"/>
        <v>0</v>
      </c>
      <c r="AG19" s="317">
        <f t="shared" si="9"/>
        <v>0</v>
      </c>
      <c r="AH19" s="278"/>
      <c r="AI19" s="278"/>
      <c r="AJ19" s="278"/>
      <c r="AK19" s="316">
        <f t="shared" si="10"/>
        <v>0</v>
      </c>
      <c r="AL19" s="281"/>
      <c r="AM19" s="281"/>
      <c r="AN19" s="314"/>
      <c r="AO19" s="316">
        <f t="shared" si="11"/>
        <v>0</v>
      </c>
      <c r="AP19" s="317">
        <f t="shared" si="12"/>
        <v>0</v>
      </c>
      <c r="AQ19" s="318">
        <f t="shared" si="13"/>
        <v>0</v>
      </c>
      <c r="AR19" s="315">
        <f t="shared" si="14"/>
        <v>17955.050999999999</v>
      </c>
      <c r="AS19" s="5643"/>
      <c r="AT19" s="276"/>
      <c r="AU19" s="741">
        <f t="shared" si="15"/>
        <v>2210.0430000000001</v>
      </c>
      <c r="AV19" s="5638"/>
      <c r="AW19" s="741">
        <f t="shared" si="16"/>
        <v>420.35399999999998</v>
      </c>
      <c r="AX19" s="5638"/>
      <c r="AY19" s="5638"/>
      <c r="AZ19" s="5638"/>
      <c r="BA19" s="741">
        <f t="shared" si="17"/>
        <v>0</v>
      </c>
      <c r="BB19" s="5638"/>
      <c r="BC19" s="5638"/>
      <c r="BD19" s="5638"/>
      <c r="BE19" s="741">
        <f t="shared" si="18"/>
        <v>3913.0140000000006</v>
      </c>
      <c r="BF19" s="5638"/>
      <c r="BG19" s="5638"/>
      <c r="BH19" s="5638"/>
      <c r="BI19" s="741">
        <f t="shared" si="19"/>
        <v>0</v>
      </c>
      <c r="BJ19" s="5638"/>
      <c r="BK19" s="5638"/>
      <c r="BL19" s="5638"/>
      <c r="BM19" s="741">
        <f t="shared" si="20"/>
        <v>868.85399999999993</v>
      </c>
      <c r="BN19" s="5638"/>
      <c r="BO19" s="5638"/>
      <c r="BP19" s="5638"/>
      <c r="BQ19" s="5638"/>
      <c r="BR19" s="5638"/>
      <c r="BS19" s="741">
        <f t="shared" si="21"/>
        <v>3061.0720000000001</v>
      </c>
      <c r="BT19" s="5638"/>
      <c r="BU19" s="5638"/>
      <c r="BV19" s="5638"/>
      <c r="BW19" s="741">
        <f t="shared" si="22"/>
        <v>1323</v>
      </c>
      <c r="BX19" s="5638"/>
      <c r="BY19" s="5638"/>
      <c r="BZ19" s="5638"/>
      <c r="CA19" s="741">
        <f t="shared" si="23"/>
        <v>3761</v>
      </c>
      <c r="CB19" s="5638"/>
      <c r="CC19" s="5638"/>
      <c r="CD19" s="5638"/>
      <c r="CE19" s="5638"/>
      <c r="CF19" s="5638"/>
      <c r="CG19" s="741">
        <f t="shared" si="24"/>
        <v>493</v>
      </c>
      <c r="CH19" s="5638"/>
      <c r="CI19" s="5638"/>
      <c r="CJ19" s="5638"/>
      <c r="CK19" s="741">
        <f t="shared" si="25"/>
        <v>1904.7140000000004</v>
      </c>
      <c r="CL19" s="5638"/>
      <c r="CM19" s="5638"/>
      <c r="CN19" s="5638"/>
      <c r="CO19" s="741">
        <f t="shared" si="26"/>
        <v>0</v>
      </c>
      <c r="CP19" s="5638"/>
      <c r="CQ19" s="5638"/>
      <c r="CR19" s="5638"/>
      <c r="CS19" s="5638"/>
      <c r="CT19" s="5638"/>
      <c r="CU19" s="1375">
        <f t="shared" si="27"/>
        <v>17955.050999999999</v>
      </c>
      <c r="CV19" s="768"/>
    </row>
    <row r="20" spans="1:100" ht="15.75" x14ac:dyDescent="0.25">
      <c r="A20" s="276"/>
      <c r="B20" s="276"/>
      <c r="C20" s="276"/>
      <c r="D20" s="276"/>
      <c r="E20" s="312" t="s">
        <v>1318</v>
      </c>
      <c r="F20" s="1532">
        <v>2320.4390000000003</v>
      </c>
      <c r="G20" s="281"/>
      <c r="H20" s="281">
        <v>1636.8330000000001</v>
      </c>
      <c r="I20" s="316">
        <f t="shared" si="0"/>
        <v>3957.2720000000004</v>
      </c>
      <c r="J20" s="281">
        <v>5010.1799999999994</v>
      </c>
      <c r="K20" s="281"/>
      <c r="L20" s="281">
        <v>2875.04</v>
      </c>
      <c r="M20" s="316">
        <f t="shared" si="1"/>
        <v>7885.2199999999993</v>
      </c>
      <c r="N20" s="317">
        <f t="shared" si="2"/>
        <v>11842.492</v>
      </c>
      <c r="O20" s="278">
        <v>1329.7059999999999</v>
      </c>
      <c r="P20" s="278">
        <v>2649</v>
      </c>
      <c r="Q20" s="281">
        <v>3981</v>
      </c>
      <c r="R20" s="316">
        <f t="shared" si="3"/>
        <v>7959.7060000000001</v>
      </c>
      <c r="S20" s="281">
        <v>2397</v>
      </c>
      <c r="T20" s="281">
        <v>1560.1320000000001</v>
      </c>
      <c r="U20" s="314">
        <v>2046</v>
      </c>
      <c r="V20" s="316">
        <f t="shared" si="4"/>
        <v>6003.1319999999996</v>
      </c>
      <c r="W20" s="317">
        <f t="shared" si="5"/>
        <v>13962.838</v>
      </c>
      <c r="X20" s="1531">
        <f t="shared" si="6"/>
        <v>25805.329999999998</v>
      </c>
      <c r="Y20" s="279"/>
      <c r="Z20" s="281"/>
      <c r="AA20" s="281"/>
      <c r="AB20" s="316">
        <f t="shared" si="7"/>
        <v>0</v>
      </c>
      <c r="AC20" s="281"/>
      <c r="AD20" s="281"/>
      <c r="AE20" s="281"/>
      <c r="AF20" s="629">
        <f t="shared" si="8"/>
        <v>0</v>
      </c>
      <c r="AG20" s="317">
        <f t="shared" si="9"/>
        <v>0</v>
      </c>
      <c r="AH20" s="278"/>
      <c r="AI20" s="278"/>
      <c r="AJ20" s="278"/>
      <c r="AK20" s="316">
        <f t="shared" si="10"/>
        <v>0</v>
      </c>
      <c r="AL20" s="281"/>
      <c r="AM20" s="281"/>
      <c r="AN20" s="314"/>
      <c r="AO20" s="316">
        <f t="shared" si="11"/>
        <v>0</v>
      </c>
      <c r="AP20" s="317">
        <f t="shared" si="12"/>
        <v>0</v>
      </c>
      <c r="AQ20" s="318">
        <f t="shared" si="13"/>
        <v>0</v>
      </c>
      <c r="AR20" s="315">
        <f t="shared" si="14"/>
        <v>25805.329999999998</v>
      </c>
      <c r="AS20" s="5643"/>
      <c r="AT20" s="276"/>
      <c r="AU20" s="741">
        <f t="shared" si="15"/>
        <v>2320.4390000000003</v>
      </c>
      <c r="AV20" s="5638"/>
      <c r="AW20" s="741">
        <f t="shared" si="16"/>
        <v>0</v>
      </c>
      <c r="AX20" s="5638"/>
      <c r="AY20" s="5638"/>
      <c r="AZ20" s="5638"/>
      <c r="BA20" s="741">
        <f t="shared" si="17"/>
        <v>1636.8330000000001</v>
      </c>
      <c r="BB20" s="5638"/>
      <c r="BC20" s="5638"/>
      <c r="BD20" s="5638"/>
      <c r="BE20" s="741">
        <f t="shared" si="18"/>
        <v>5010.1799999999994</v>
      </c>
      <c r="BF20" s="5638"/>
      <c r="BG20" s="5638"/>
      <c r="BH20" s="5638"/>
      <c r="BI20" s="741">
        <f t="shared" si="19"/>
        <v>0</v>
      </c>
      <c r="BJ20" s="5638"/>
      <c r="BK20" s="5638"/>
      <c r="BL20" s="5638"/>
      <c r="BM20" s="741">
        <f t="shared" si="20"/>
        <v>2875.04</v>
      </c>
      <c r="BN20" s="5638"/>
      <c r="BO20" s="5638"/>
      <c r="BP20" s="5638"/>
      <c r="BQ20" s="5638"/>
      <c r="BR20" s="5638"/>
      <c r="BS20" s="741">
        <f t="shared" si="21"/>
        <v>1329.7059999999999</v>
      </c>
      <c r="BT20" s="5638"/>
      <c r="BU20" s="5638"/>
      <c r="BV20" s="5638"/>
      <c r="BW20" s="741">
        <f t="shared" si="22"/>
        <v>2649</v>
      </c>
      <c r="BX20" s="5638"/>
      <c r="BY20" s="5638"/>
      <c r="BZ20" s="5638"/>
      <c r="CA20" s="741">
        <f t="shared" si="23"/>
        <v>3981</v>
      </c>
      <c r="CB20" s="5638"/>
      <c r="CC20" s="5638"/>
      <c r="CD20" s="5638"/>
      <c r="CE20" s="5638"/>
      <c r="CF20" s="5638"/>
      <c r="CG20" s="741">
        <f t="shared" si="24"/>
        <v>2397</v>
      </c>
      <c r="CH20" s="5638"/>
      <c r="CI20" s="5638"/>
      <c r="CJ20" s="5638"/>
      <c r="CK20" s="741">
        <f t="shared" si="25"/>
        <v>1560.1320000000001</v>
      </c>
      <c r="CL20" s="5638"/>
      <c r="CM20" s="5638"/>
      <c r="CN20" s="5638"/>
      <c r="CO20" s="741">
        <f t="shared" si="26"/>
        <v>2046</v>
      </c>
      <c r="CP20" s="5638"/>
      <c r="CQ20" s="5638"/>
      <c r="CR20" s="5638"/>
      <c r="CS20" s="5638"/>
      <c r="CT20" s="5638"/>
      <c r="CU20" s="1375">
        <f t="shared" si="27"/>
        <v>25805.329999999998</v>
      </c>
      <c r="CV20" s="768"/>
    </row>
    <row r="21" spans="1:100" ht="15.75" x14ac:dyDescent="0.25">
      <c r="A21" s="276"/>
      <c r="B21" s="276"/>
      <c r="C21" s="276"/>
      <c r="D21" s="276"/>
      <c r="E21" s="312" t="s">
        <v>1365</v>
      </c>
      <c r="F21" s="1532">
        <v>104.027</v>
      </c>
      <c r="G21" s="281"/>
      <c r="H21" s="281"/>
      <c r="I21" s="316">
        <f t="shared" si="0"/>
        <v>104.027</v>
      </c>
      <c r="J21" s="281"/>
      <c r="K21" s="281"/>
      <c r="L21" s="281"/>
      <c r="M21" s="316">
        <f t="shared" si="1"/>
        <v>0</v>
      </c>
      <c r="N21" s="317">
        <f t="shared" si="2"/>
        <v>104.027</v>
      </c>
      <c r="O21" s="278"/>
      <c r="P21" s="278"/>
      <c r="Q21" s="281"/>
      <c r="R21" s="316">
        <f t="shared" si="3"/>
        <v>0</v>
      </c>
      <c r="S21" s="281"/>
      <c r="T21" s="281"/>
      <c r="U21" s="314"/>
      <c r="V21" s="316">
        <f t="shared" si="4"/>
        <v>0</v>
      </c>
      <c r="W21" s="317">
        <f t="shared" si="5"/>
        <v>0</v>
      </c>
      <c r="X21" s="1531">
        <f t="shared" si="6"/>
        <v>104.027</v>
      </c>
      <c r="Y21" s="279"/>
      <c r="Z21" s="281"/>
      <c r="AA21" s="281"/>
      <c r="AB21" s="316">
        <f t="shared" si="7"/>
        <v>0</v>
      </c>
      <c r="AC21" s="281"/>
      <c r="AD21" s="281"/>
      <c r="AE21" s="281"/>
      <c r="AF21" s="629">
        <f t="shared" si="8"/>
        <v>0</v>
      </c>
      <c r="AG21" s="317">
        <f t="shared" si="9"/>
        <v>0</v>
      </c>
      <c r="AH21" s="278"/>
      <c r="AI21" s="278"/>
      <c r="AJ21" s="278"/>
      <c r="AK21" s="316">
        <f t="shared" si="10"/>
        <v>0</v>
      </c>
      <c r="AL21" s="281"/>
      <c r="AM21" s="281"/>
      <c r="AN21" s="314"/>
      <c r="AO21" s="316">
        <f t="shared" si="11"/>
        <v>0</v>
      </c>
      <c r="AP21" s="317">
        <f t="shared" si="12"/>
        <v>0</v>
      </c>
      <c r="AQ21" s="318">
        <f t="shared" si="13"/>
        <v>0</v>
      </c>
      <c r="AR21" s="315">
        <f t="shared" si="14"/>
        <v>104.027</v>
      </c>
      <c r="AS21" s="5643"/>
      <c r="AT21" s="276"/>
      <c r="AU21" s="741">
        <f t="shared" si="15"/>
        <v>104.027</v>
      </c>
      <c r="AV21" s="5638"/>
      <c r="AW21" s="741">
        <f t="shared" si="16"/>
        <v>0</v>
      </c>
      <c r="AX21" s="5638"/>
      <c r="AY21" s="5638"/>
      <c r="AZ21" s="5638"/>
      <c r="BA21" s="741">
        <f t="shared" si="17"/>
        <v>0</v>
      </c>
      <c r="BB21" s="5638"/>
      <c r="BC21" s="5638"/>
      <c r="BD21" s="5638"/>
      <c r="BE21" s="741">
        <f t="shared" si="18"/>
        <v>0</v>
      </c>
      <c r="BF21" s="5638"/>
      <c r="BG21" s="5638"/>
      <c r="BH21" s="5638"/>
      <c r="BI21" s="741">
        <f t="shared" si="19"/>
        <v>0</v>
      </c>
      <c r="BJ21" s="5638"/>
      <c r="BK21" s="5638"/>
      <c r="BL21" s="5638"/>
      <c r="BM21" s="741">
        <f t="shared" si="20"/>
        <v>0</v>
      </c>
      <c r="BN21" s="5638"/>
      <c r="BO21" s="5638"/>
      <c r="BP21" s="5638"/>
      <c r="BQ21" s="5638"/>
      <c r="BR21" s="5638"/>
      <c r="BS21" s="741">
        <f t="shared" si="21"/>
        <v>0</v>
      </c>
      <c r="BT21" s="5638"/>
      <c r="BU21" s="5638"/>
      <c r="BV21" s="5638"/>
      <c r="BW21" s="741">
        <f t="shared" si="22"/>
        <v>0</v>
      </c>
      <c r="BX21" s="5638"/>
      <c r="BY21" s="5638"/>
      <c r="BZ21" s="5638"/>
      <c r="CA21" s="741">
        <f t="shared" si="23"/>
        <v>0</v>
      </c>
      <c r="CB21" s="5638"/>
      <c r="CC21" s="5638"/>
      <c r="CD21" s="5638"/>
      <c r="CE21" s="5638"/>
      <c r="CF21" s="5638"/>
      <c r="CG21" s="741">
        <f t="shared" si="24"/>
        <v>0</v>
      </c>
      <c r="CH21" s="5638"/>
      <c r="CI21" s="5638"/>
      <c r="CJ21" s="5638"/>
      <c r="CK21" s="741">
        <f t="shared" si="25"/>
        <v>0</v>
      </c>
      <c r="CL21" s="5638"/>
      <c r="CM21" s="5638"/>
      <c r="CN21" s="5638"/>
      <c r="CO21" s="741">
        <f t="shared" si="26"/>
        <v>0</v>
      </c>
      <c r="CP21" s="5638"/>
      <c r="CQ21" s="5638"/>
      <c r="CR21" s="5638"/>
      <c r="CS21" s="5638"/>
      <c r="CT21" s="5638"/>
      <c r="CU21" s="1375">
        <f t="shared" si="27"/>
        <v>104.027</v>
      </c>
      <c r="CV21" s="768"/>
    </row>
    <row r="22" spans="1:100" ht="15.75" x14ac:dyDescent="0.25">
      <c r="A22" s="276"/>
      <c r="B22" s="276"/>
      <c r="C22" s="276"/>
      <c r="D22" s="276"/>
      <c r="E22" s="312" t="s">
        <v>1746</v>
      </c>
      <c r="F22" s="1532"/>
      <c r="G22" s="281"/>
      <c r="H22" s="281"/>
      <c r="I22" s="316">
        <f t="shared" si="0"/>
        <v>0</v>
      </c>
      <c r="J22" s="281"/>
      <c r="K22" s="281">
        <v>849.8280000000002</v>
      </c>
      <c r="L22" s="281">
        <v>769.49599999999998</v>
      </c>
      <c r="M22" s="316">
        <f t="shared" si="1"/>
        <v>1619.3240000000001</v>
      </c>
      <c r="N22" s="317">
        <f t="shared" si="2"/>
        <v>1619.3240000000001</v>
      </c>
      <c r="O22" s="278">
        <v>2272.5499999999997</v>
      </c>
      <c r="P22" s="278">
        <v>1201</v>
      </c>
      <c r="Q22" s="281">
        <v>865</v>
      </c>
      <c r="R22" s="316">
        <f t="shared" si="3"/>
        <v>4338.5499999999993</v>
      </c>
      <c r="S22" s="281">
        <v>243</v>
      </c>
      <c r="T22" s="281">
        <v>1325.4780000000001</v>
      </c>
      <c r="U22" s="314">
        <v>839</v>
      </c>
      <c r="V22" s="316">
        <f t="shared" si="4"/>
        <v>2407.4780000000001</v>
      </c>
      <c r="W22" s="317">
        <f t="shared" si="5"/>
        <v>6746.0279999999993</v>
      </c>
      <c r="X22" s="1531">
        <f t="shared" si="6"/>
        <v>8365.351999999999</v>
      </c>
      <c r="Y22" s="279"/>
      <c r="Z22" s="281"/>
      <c r="AA22" s="281"/>
      <c r="AB22" s="316">
        <f t="shared" si="7"/>
        <v>0</v>
      </c>
      <c r="AC22" s="281"/>
      <c r="AD22" s="281"/>
      <c r="AE22" s="281"/>
      <c r="AF22" s="629">
        <f t="shared" si="8"/>
        <v>0</v>
      </c>
      <c r="AG22" s="317">
        <f t="shared" si="9"/>
        <v>0</v>
      </c>
      <c r="AH22" s="278"/>
      <c r="AI22" s="278"/>
      <c r="AJ22" s="278"/>
      <c r="AK22" s="316">
        <f t="shared" si="10"/>
        <v>0</v>
      </c>
      <c r="AL22" s="281"/>
      <c r="AM22" s="281"/>
      <c r="AN22" s="314"/>
      <c r="AO22" s="316"/>
      <c r="AP22" s="317"/>
      <c r="AQ22" s="318">
        <f t="shared" si="13"/>
        <v>0</v>
      </c>
      <c r="AR22" s="315">
        <f t="shared" si="14"/>
        <v>8365.351999999999</v>
      </c>
      <c r="AS22" s="5643"/>
      <c r="AT22" s="276"/>
      <c r="AU22" s="741">
        <f t="shared" si="15"/>
        <v>0</v>
      </c>
      <c r="AV22" s="5638"/>
      <c r="AW22" s="741">
        <f t="shared" si="16"/>
        <v>0</v>
      </c>
      <c r="AX22" s="5638"/>
      <c r="AY22" s="5638"/>
      <c r="AZ22" s="5638"/>
      <c r="BA22" s="741">
        <f t="shared" si="17"/>
        <v>0</v>
      </c>
      <c r="BB22" s="5638"/>
      <c r="BC22" s="5638"/>
      <c r="BD22" s="5638"/>
      <c r="BE22" s="741">
        <f t="shared" si="18"/>
        <v>0</v>
      </c>
      <c r="BF22" s="5638"/>
      <c r="BG22" s="5638"/>
      <c r="BH22" s="5638"/>
      <c r="BI22" s="741">
        <f t="shared" si="19"/>
        <v>849.8280000000002</v>
      </c>
      <c r="BJ22" s="5638"/>
      <c r="BK22" s="5638"/>
      <c r="BL22" s="5638"/>
      <c r="BM22" s="741">
        <f t="shared" si="20"/>
        <v>769.49599999999998</v>
      </c>
      <c r="BN22" s="5638"/>
      <c r="BO22" s="5638"/>
      <c r="BP22" s="5638"/>
      <c r="BQ22" s="5638"/>
      <c r="BR22" s="5638"/>
      <c r="BS22" s="741">
        <f t="shared" si="21"/>
        <v>2272.5499999999997</v>
      </c>
      <c r="BT22" s="5638"/>
      <c r="BU22" s="5638"/>
      <c r="BV22" s="5638"/>
      <c r="BW22" s="741">
        <f t="shared" si="22"/>
        <v>1201</v>
      </c>
      <c r="BX22" s="5638"/>
      <c r="BY22" s="5638"/>
      <c r="BZ22" s="5638"/>
      <c r="CA22" s="741">
        <f t="shared" si="23"/>
        <v>865</v>
      </c>
      <c r="CB22" s="5638"/>
      <c r="CC22" s="5638"/>
      <c r="CD22" s="5638"/>
      <c r="CE22" s="5638"/>
      <c r="CF22" s="5638"/>
      <c r="CG22" s="741">
        <f t="shared" si="24"/>
        <v>243</v>
      </c>
      <c r="CH22" s="5638"/>
      <c r="CI22" s="5638"/>
      <c r="CJ22" s="5638"/>
      <c r="CK22" s="741">
        <f t="shared" si="25"/>
        <v>1325.4780000000001</v>
      </c>
      <c r="CL22" s="5638"/>
      <c r="CM22" s="5638"/>
      <c r="CN22" s="5638"/>
      <c r="CO22" s="741">
        <f t="shared" si="26"/>
        <v>839</v>
      </c>
      <c r="CP22" s="5638"/>
      <c r="CQ22" s="5638"/>
      <c r="CR22" s="5638"/>
      <c r="CS22" s="5638"/>
      <c r="CT22" s="5638"/>
      <c r="CU22" s="1375">
        <f t="shared" si="27"/>
        <v>8365.351999999999</v>
      </c>
      <c r="CV22" s="768"/>
    </row>
    <row r="23" spans="1:100" ht="15.75" x14ac:dyDescent="0.25">
      <c r="A23" s="276"/>
      <c r="B23" s="276"/>
      <c r="C23" s="276"/>
      <c r="D23" s="276"/>
      <c r="E23" s="312" t="s">
        <v>1451</v>
      </c>
      <c r="F23" s="1532"/>
      <c r="G23" s="281"/>
      <c r="H23" s="281"/>
      <c r="I23" s="316">
        <f t="shared" si="0"/>
        <v>0</v>
      </c>
      <c r="J23" s="281"/>
      <c r="K23" s="281"/>
      <c r="L23" s="281"/>
      <c r="M23" s="316">
        <f t="shared" si="1"/>
        <v>0</v>
      </c>
      <c r="N23" s="317">
        <f t="shared" si="2"/>
        <v>0</v>
      </c>
      <c r="O23" s="278"/>
      <c r="P23" s="278"/>
      <c r="Q23" s="281">
        <v>171</v>
      </c>
      <c r="R23" s="316">
        <f t="shared" si="3"/>
        <v>171</v>
      </c>
      <c r="S23" s="281"/>
      <c r="T23" s="281">
        <v>207.172</v>
      </c>
      <c r="U23" s="314">
        <v>228</v>
      </c>
      <c r="V23" s="316">
        <f t="shared" si="4"/>
        <v>435.17200000000003</v>
      </c>
      <c r="W23" s="317">
        <f t="shared" si="5"/>
        <v>606.17200000000003</v>
      </c>
      <c r="X23" s="1531">
        <f t="shared" si="6"/>
        <v>606.17200000000003</v>
      </c>
      <c r="Y23" s="279"/>
      <c r="Z23" s="281"/>
      <c r="AA23" s="281"/>
      <c r="AB23" s="316">
        <f t="shared" si="7"/>
        <v>0</v>
      </c>
      <c r="AC23" s="281"/>
      <c r="AD23" s="281"/>
      <c r="AE23" s="281"/>
      <c r="AF23" s="629">
        <f t="shared" si="8"/>
        <v>0</v>
      </c>
      <c r="AG23" s="317">
        <f t="shared" si="9"/>
        <v>0</v>
      </c>
      <c r="AH23" s="278"/>
      <c r="AI23" s="278"/>
      <c r="AJ23" s="278"/>
      <c r="AK23" s="316">
        <f t="shared" si="10"/>
        <v>0</v>
      </c>
      <c r="AL23" s="281"/>
      <c r="AM23" s="281"/>
      <c r="AN23" s="314"/>
      <c r="AO23" s="316">
        <f t="shared" si="11"/>
        <v>0</v>
      </c>
      <c r="AP23" s="317">
        <f t="shared" si="12"/>
        <v>0</v>
      </c>
      <c r="AQ23" s="318">
        <f t="shared" si="13"/>
        <v>0</v>
      </c>
      <c r="AR23" s="315">
        <f t="shared" si="14"/>
        <v>606.17200000000003</v>
      </c>
      <c r="AS23" s="5643"/>
      <c r="AT23" s="276"/>
      <c r="AU23" s="741">
        <f t="shared" si="15"/>
        <v>0</v>
      </c>
      <c r="AV23" s="5638"/>
      <c r="AW23" s="741">
        <f t="shared" si="16"/>
        <v>0</v>
      </c>
      <c r="AX23" s="5638"/>
      <c r="AY23" s="5638"/>
      <c r="AZ23" s="5638"/>
      <c r="BA23" s="741">
        <f t="shared" si="17"/>
        <v>0</v>
      </c>
      <c r="BB23" s="5638"/>
      <c r="BC23" s="5638"/>
      <c r="BD23" s="5638"/>
      <c r="BE23" s="741">
        <f t="shared" si="18"/>
        <v>0</v>
      </c>
      <c r="BF23" s="5638"/>
      <c r="BG23" s="5638"/>
      <c r="BH23" s="5638"/>
      <c r="BI23" s="741">
        <f t="shared" si="19"/>
        <v>0</v>
      </c>
      <c r="BJ23" s="5638"/>
      <c r="BK23" s="5638"/>
      <c r="BL23" s="5638"/>
      <c r="BM23" s="741">
        <f t="shared" si="20"/>
        <v>0</v>
      </c>
      <c r="BN23" s="5638"/>
      <c r="BO23" s="5638"/>
      <c r="BP23" s="5638"/>
      <c r="BQ23" s="5638"/>
      <c r="BR23" s="5638"/>
      <c r="BS23" s="741">
        <f t="shared" si="21"/>
        <v>0</v>
      </c>
      <c r="BT23" s="5638"/>
      <c r="BU23" s="5638"/>
      <c r="BV23" s="5638"/>
      <c r="BW23" s="741">
        <f t="shared" si="22"/>
        <v>0</v>
      </c>
      <c r="BX23" s="5638"/>
      <c r="BY23" s="5638"/>
      <c r="BZ23" s="5638"/>
      <c r="CA23" s="741">
        <f t="shared" si="23"/>
        <v>171</v>
      </c>
      <c r="CB23" s="5638"/>
      <c r="CC23" s="5638"/>
      <c r="CD23" s="5638"/>
      <c r="CE23" s="5638"/>
      <c r="CF23" s="5638"/>
      <c r="CG23" s="741">
        <f t="shared" si="24"/>
        <v>0</v>
      </c>
      <c r="CH23" s="5638"/>
      <c r="CI23" s="5638"/>
      <c r="CJ23" s="5638"/>
      <c r="CK23" s="741">
        <f t="shared" si="25"/>
        <v>207.172</v>
      </c>
      <c r="CL23" s="5638"/>
      <c r="CM23" s="5638"/>
      <c r="CN23" s="5638"/>
      <c r="CO23" s="741">
        <f t="shared" si="26"/>
        <v>228</v>
      </c>
      <c r="CP23" s="5638"/>
      <c r="CQ23" s="5638"/>
      <c r="CR23" s="5638"/>
      <c r="CS23" s="5638"/>
      <c r="CT23" s="5638"/>
      <c r="CU23" s="1375">
        <f t="shared" si="27"/>
        <v>606.17200000000003</v>
      </c>
      <c r="CV23" s="768"/>
    </row>
    <row r="24" spans="1:100" ht="15.75" x14ac:dyDescent="0.25">
      <c r="A24" s="276"/>
      <c r="B24" s="276"/>
      <c r="C24" s="276"/>
      <c r="D24" s="276"/>
      <c r="E24" s="312" t="s">
        <v>1536</v>
      </c>
      <c r="F24" s="1532">
        <v>2012.6040000000003</v>
      </c>
      <c r="G24" s="281">
        <v>1305.6450000000002</v>
      </c>
      <c r="H24" s="281">
        <v>2515.7550000000001</v>
      </c>
      <c r="I24" s="316">
        <f t="shared" si="0"/>
        <v>5834.0040000000008</v>
      </c>
      <c r="J24" s="281"/>
      <c r="K24" s="281">
        <v>1678.5159999999998</v>
      </c>
      <c r="L24" s="281">
        <v>600.37599999999998</v>
      </c>
      <c r="M24" s="316">
        <f t="shared" si="1"/>
        <v>2278.8919999999998</v>
      </c>
      <c r="N24" s="317">
        <f t="shared" si="2"/>
        <v>8112.8960000000006</v>
      </c>
      <c r="O24" s="278">
        <v>1031.6319999999998</v>
      </c>
      <c r="P24" s="278">
        <v>888</v>
      </c>
      <c r="Q24" s="281">
        <v>1230</v>
      </c>
      <c r="R24" s="316">
        <f t="shared" si="3"/>
        <v>3149.6319999999996</v>
      </c>
      <c r="S24" s="281">
        <v>2594</v>
      </c>
      <c r="T24" s="281">
        <v>145.86600000000001</v>
      </c>
      <c r="U24" s="314">
        <v>1055</v>
      </c>
      <c r="V24" s="316">
        <f t="shared" si="4"/>
        <v>3794.866</v>
      </c>
      <c r="W24" s="317">
        <f t="shared" si="5"/>
        <v>6944.4979999999996</v>
      </c>
      <c r="X24" s="1531">
        <f t="shared" si="6"/>
        <v>15057.394</v>
      </c>
      <c r="Y24" s="279"/>
      <c r="Z24" s="281"/>
      <c r="AA24" s="281"/>
      <c r="AB24" s="316">
        <f t="shared" si="7"/>
        <v>0</v>
      </c>
      <c r="AC24" s="281"/>
      <c r="AD24" s="281"/>
      <c r="AE24" s="281"/>
      <c r="AF24" s="629">
        <f t="shared" si="8"/>
        <v>0</v>
      </c>
      <c r="AG24" s="317">
        <f t="shared" si="9"/>
        <v>0</v>
      </c>
      <c r="AH24" s="278"/>
      <c r="AI24" s="278"/>
      <c r="AJ24" s="278"/>
      <c r="AK24" s="316">
        <f t="shared" si="10"/>
        <v>0</v>
      </c>
      <c r="AL24" s="281"/>
      <c r="AM24" s="281"/>
      <c r="AN24" s="314"/>
      <c r="AO24" s="316">
        <f t="shared" si="11"/>
        <v>0</v>
      </c>
      <c r="AP24" s="317">
        <f t="shared" si="12"/>
        <v>0</v>
      </c>
      <c r="AQ24" s="318">
        <f t="shared" si="13"/>
        <v>0</v>
      </c>
      <c r="AR24" s="315">
        <f t="shared" si="14"/>
        <v>15057.394</v>
      </c>
      <c r="AS24" s="5643"/>
      <c r="AT24" s="276"/>
      <c r="AU24" s="741">
        <f t="shared" si="15"/>
        <v>2012.6040000000003</v>
      </c>
      <c r="AV24" s="5638"/>
      <c r="AW24" s="741">
        <f t="shared" si="16"/>
        <v>1305.6450000000002</v>
      </c>
      <c r="AX24" s="5638"/>
      <c r="AY24" s="5638"/>
      <c r="AZ24" s="5638"/>
      <c r="BA24" s="741">
        <f t="shared" si="17"/>
        <v>2515.7550000000001</v>
      </c>
      <c r="BB24" s="5638"/>
      <c r="BC24" s="5638"/>
      <c r="BD24" s="5638"/>
      <c r="BE24" s="741">
        <f t="shared" si="18"/>
        <v>0</v>
      </c>
      <c r="BF24" s="5638"/>
      <c r="BG24" s="5638"/>
      <c r="BH24" s="5638"/>
      <c r="BI24" s="741">
        <f t="shared" si="19"/>
        <v>1678.5159999999998</v>
      </c>
      <c r="BJ24" s="5638"/>
      <c r="BK24" s="5638"/>
      <c r="BL24" s="5638"/>
      <c r="BM24" s="741">
        <f t="shared" si="20"/>
        <v>600.37599999999998</v>
      </c>
      <c r="BN24" s="5638"/>
      <c r="BO24" s="5638"/>
      <c r="BP24" s="5638"/>
      <c r="BQ24" s="5638"/>
      <c r="BR24" s="5638"/>
      <c r="BS24" s="741">
        <f t="shared" si="21"/>
        <v>1031.6319999999998</v>
      </c>
      <c r="BT24" s="5638"/>
      <c r="BU24" s="5638"/>
      <c r="BV24" s="5638"/>
      <c r="BW24" s="741">
        <f t="shared" si="22"/>
        <v>888</v>
      </c>
      <c r="BX24" s="5638"/>
      <c r="BY24" s="5638"/>
      <c r="BZ24" s="5638"/>
      <c r="CA24" s="741">
        <f t="shared" si="23"/>
        <v>1230</v>
      </c>
      <c r="CB24" s="5638"/>
      <c r="CC24" s="5638"/>
      <c r="CD24" s="5638"/>
      <c r="CE24" s="5638"/>
      <c r="CF24" s="5638"/>
      <c r="CG24" s="741">
        <f t="shared" si="24"/>
        <v>2594</v>
      </c>
      <c r="CH24" s="5638"/>
      <c r="CI24" s="5638"/>
      <c r="CJ24" s="5638"/>
      <c r="CK24" s="741">
        <f t="shared" si="25"/>
        <v>145.86600000000001</v>
      </c>
      <c r="CL24" s="5638"/>
      <c r="CM24" s="5638"/>
      <c r="CN24" s="5638"/>
      <c r="CO24" s="741">
        <f t="shared" si="26"/>
        <v>1055</v>
      </c>
      <c r="CP24" s="5638"/>
      <c r="CQ24" s="5638"/>
      <c r="CR24" s="5638"/>
      <c r="CS24" s="5638"/>
      <c r="CT24" s="5638"/>
      <c r="CU24" s="1375">
        <f t="shared" si="27"/>
        <v>15057.394</v>
      </c>
      <c r="CV24" s="768"/>
    </row>
    <row r="25" spans="1:100" ht="15.75" x14ac:dyDescent="0.25">
      <c r="A25" s="276"/>
      <c r="B25" s="276"/>
      <c r="C25" s="276"/>
      <c r="D25" s="276"/>
      <c r="E25" s="312" t="s">
        <v>1537</v>
      </c>
      <c r="F25" s="1532">
        <v>607.17800000000011</v>
      </c>
      <c r="G25" s="281"/>
      <c r="H25" s="281"/>
      <c r="I25" s="316">
        <f t="shared" si="0"/>
        <v>607.17800000000011</v>
      </c>
      <c r="J25" s="281">
        <v>150.09399999999999</v>
      </c>
      <c r="K25" s="281"/>
      <c r="L25" s="281"/>
      <c r="M25" s="316">
        <f t="shared" si="1"/>
        <v>150.09399999999999</v>
      </c>
      <c r="N25" s="317">
        <f t="shared" si="2"/>
        <v>757.27200000000016</v>
      </c>
      <c r="O25" s="278"/>
      <c r="P25" s="278">
        <v>131</v>
      </c>
      <c r="Q25" s="281"/>
      <c r="R25" s="316">
        <f t="shared" si="3"/>
        <v>131</v>
      </c>
      <c r="S25" s="281"/>
      <c r="T25" s="281"/>
      <c r="U25" s="314"/>
      <c r="V25" s="316">
        <f t="shared" si="4"/>
        <v>0</v>
      </c>
      <c r="W25" s="317">
        <f t="shared" si="5"/>
        <v>131</v>
      </c>
      <c r="X25" s="1531">
        <f t="shared" si="6"/>
        <v>888.27200000000016</v>
      </c>
      <c r="Y25" s="279"/>
      <c r="Z25" s="281"/>
      <c r="AA25" s="281"/>
      <c r="AB25" s="316">
        <f t="shared" si="7"/>
        <v>0</v>
      </c>
      <c r="AC25" s="281"/>
      <c r="AD25" s="281"/>
      <c r="AE25" s="281"/>
      <c r="AF25" s="629">
        <f t="shared" si="8"/>
        <v>0</v>
      </c>
      <c r="AG25" s="317">
        <f t="shared" si="9"/>
        <v>0</v>
      </c>
      <c r="AH25" s="278"/>
      <c r="AI25" s="278"/>
      <c r="AJ25" s="278"/>
      <c r="AK25" s="316">
        <f t="shared" si="10"/>
        <v>0</v>
      </c>
      <c r="AL25" s="281"/>
      <c r="AM25" s="281"/>
      <c r="AN25" s="314"/>
      <c r="AO25" s="316">
        <f t="shared" si="11"/>
        <v>0</v>
      </c>
      <c r="AP25" s="317">
        <f t="shared" si="12"/>
        <v>0</v>
      </c>
      <c r="AQ25" s="318">
        <f t="shared" si="13"/>
        <v>0</v>
      </c>
      <c r="AR25" s="315">
        <f t="shared" si="14"/>
        <v>888.27200000000016</v>
      </c>
      <c r="AS25" s="5643"/>
      <c r="AT25" s="276"/>
      <c r="AU25" s="741">
        <f t="shared" si="15"/>
        <v>607.17800000000011</v>
      </c>
      <c r="AV25" s="5638"/>
      <c r="AW25" s="741">
        <f t="shared" si="16"/>
        <v>0</v>
      </c>
      <c r="AX25" s="5638"/>
      <c r="AY25" s="5638"/>
      <c r="AZ25" s="5638"/>
      <c r="BA25" s="741">
        <f t="shared" si="17"/>
        <v>0</v>
      </c>
      <c r="BB25" s="5638"/>
      <c r="BC25" s="5638"/>
      <c r="BD25" s="5638"/>
      <c r="BE25" s="741">
        <f t="shared" si="18"/>
        <v>150.09399999999999</v>
      </c>
      <c r="BF25" s="5638"/>
      <c r="BG25" s="5638"/>
      <c r="BH25" s="5638"/>
      <c r="BI25" s="741">
        <f t="shared" si="19"/>
        <v>0</v>
      </c>
      <c r="BJ25" s="5638"/>
      <c r="BK25" s="5638"/>
      <c r="BL25" s="5638"/>
      <c r="BM25" s="741">
        <f t="shared" si="20"/>
        <v>0</v>
      </c>
      <c r="BN25" s="5638"/>
      <c r="BO25" s="5638"/>
      <c r="BP25" s="5638"/>
      <c r="BQ25" s="5638"/>
      <c r="BR25" s="5638"/>
      <c r="BS25" s="741">
        <f t="shared" si="21"/>
        <v>0</v>
      </c>
      <c r="BT25" s="5638"/>
      <c r="BU25" s="5638"/>
      <c r="BV25" s="5638"/>
      <c r="BW25" s="741">
        <f t="shared" si="22"/>
        <v>131</v>
      </c>
      <c r="BX25" s="5638"/>
      <c r="BY25" s="5638"/>
      <c r="BZ25" s="5638"/>
      <c r="CA25" s="741">
        <f t="shared" si="23"/>
        <v>0</v>
      </c>
      <c r="CB25" s="5638"/>
      <c r="CC25" s="5638"/>
      <c r="CD25" s="5638"/>
      <c r="CE25" s="5638"/>
      <c r="CF25" s="5638"/>
      <c r="CG25" s="741">
        <f t="shared" si="24"/>
        <v>0</v>
      </c>
      <c r="CH25" s="5638"/>
      <c r="CI25" s="5638"/>
      <c r="CJ25" s="5638"/>
      <c r="CK25" s="741">
        <f t="shared" si="25"/>
        <v>0</v>
      </c>
      <c r="CL25" s="5638"/>
      <c r="CM25" s="5638"/>
      <c r="CN25" s="5638"/>
      <c r="CO25" s="741">
        <f t="shared" si="26"/>
        <v>0</v>
      </c>
      <c r="CP25" s="5638"/>
      <c r="CQ25" s="5638"/>
      <c r="CR25" s="5638"/>
      <c r="CS25" s="5638"/>
      <c r="CT25" s="5638"/>
      <c r="CU25" s="1375">
        <f t="shared" si="27"/>
        <v>888.27200000000016</v>
      </c>
      <c r="CV25" s="768"/>
    </row>
    <row r="26" spans="1:100" ht="15.75" x14ac:dyDescent="0.25">
      <c r="A26" s="276"/>
      <c r="B26" s="276"/>
      <c r="C26" s="276"/>
      <c r="D26" s="276"/>
      <c r="E26" s="312" t="s">
        <v>1530</v>
      </c>
      <c r="F26" s="1532">
        <v>1740.86</v>
      </c>
      <c r="G26" s="281">
        <v>1672.924</v>
      </c>
      <c r="H26" s="281">
        <v>3299.1419999999998</v>
      </c>
      <c r="I26" s="316">
        <f t="shared" si="0"/>
        <v>6712.9259999999995</v>
      </c>
      <c r="J26" s="281">
        <v>3369.7160000000008</v>
      </c>
      <c r="K26" s="281">
        <v>3111.808</v>
      </c>
      <c r="L26" s="281">
        <v>1035.8600000000001</v>
      </c>
      <c r="M26" s="316">
        <f t="shared" si="1"/>
        <v>7517.3840000000018</v>
      </c>
      <c r="N26" s="317">
        <f t="shared" si="2"/>
        <v>14230.310000000001</v>
      </c>
      <c r="O26" s="278"/>
      <c r="P26" s="278">
        <v>1541</v>
      </c>
      <c r="Q26" s="281">
        <v>230</v>
      </c>
      <c r="R26" s="316">
        <f t="shared" si="3"/>
        <v>1771</v>
      </c>
      <c r="S26" s="281">
        <v>1605</v>
      </c>
      <c r="T26" s="281"/>
      <c r="U26" s="314">
        <v>738</v>
      </c>
      <c r="V26" s="316">
        <f t="shared" si="4"/>
        <v>2343</v>
      </c>
      <c r="W26" s="317">
        <f t="shared" si="5"/>
        <v>4114</v>
      </c>
      <c r="X26" s="1531">
        <f t="shared" si="6"/>
        <v>18344.310000000001</v>
      </c>
      <c r="Y26" s="279"/>
      <c r="Z26" s="281"/>
      <c r="AA26" s="281"/>
      <c r="AB26" s="316">
        <f t="shared" si="7"/>
        <v>0</v>
      </c>
      <c r="AC26" s="281"/>
      <c r="AD26" s="281"/>
      <c r="AE26" s="281"/>
      <c r="AF26" s="629">
        <f t="shared" si="8"/>
        <v>0</v>
      </c>
      <c r="AG26" s="317">
        <f t="shared" si="9"/>
        <v>0</v>
      </c>
      <c r="AH26" s="278"/>
      <c r="AI26" s="278"/>
      <c r="AJ26" s="278"/>
      <c r="AK26" s="316">
        <f t="shared" si="10"/>
        <v>0</v>
      </c>
      <c r="AL26" s="281"/>
      <c r="AM26" s="281"/>
      <c r="AN26" s="314"/>
      <c r="AO26" s="316">
        <f t="shared" si="11"/>
        <v>0</v>
      </c>
      <c r="AP26" s="317">
        <f t="shared" si="12"/>
        <v>0</v>
      </c>
      <c r="AQ26" s="318">
        <f t="shared" si="13"/>
        <v>0</v>
      </c>
      <c r="AR26" s="315">
        <f t="shared" si="14"/>
        <v>18344.310000000001</v>
      </c>
      <c r="AS26" s="5643"/>
      <c r="AT26" s="276"/>
      <c r="AU26" s="741">
        <f t="shared" si="15"/>
        <v>1740.86</v>
      </c>
      <c r="AV26" s="5638"/>
      <c r="AW26" s="741">
        <f t="shared" si="16"/>
        <v>1672.924</v>
      </c>
      <c r="AX26" s="5638"/>
      <c r="AY26" s="5638"/>
      <c r="AZ26" s="5638"/>
      <c r="BA26" s="741">
        <f t="shared" si="17"/>
        <v>3299.1419999999998</v>
      </c>
      <c r="BB26" s="5638"/>
      <c r="BC26" s="5638"/>
      <c r="BD26" s="5638"/>
      <c r="BE26" s="741">
        <f t="shared" si="18"/>
        <v>3369.7160000000008</v>
      </c>
      <c r="BF26" s="5638"/>
      <c r="BG26" s="5638"/>
      <c r="BH26" s="5638"/>
      <c r="BI26" s="741">
        <f t="shared" si="19"/>
        <v>3111.808</v>
      </c>
      <c r="BJ26" s="5638"/>
      <c r="BK26" s="5638"/>
      <c r="BL26" s="5638"/>
      <c r="BM26" s="741">
        <f t="shared" si="20"/>
        <v>1035.8600000000001</v>
      </c>
      <c r="BN26" s="5638"/>
      <c r="BO26" s="5638"/>
      <c r="BP26" s="5638"/>
      <c r="BQ26" s="5638"/>
      <c r="BR26" s="5638"/>
      <c r="BS26" s="741">
        <f t="shared" si="21"/>
        <v>0</v>
      </c>
      <c r="BT26" s="5638"/>
      <c r="BU26" s="5638"/>
      <c r="BV26" s="5638"/>
      <c r="BW26" s="741">
        <f t="shared" si="22"/>
        <v>1541</v>
      </c>
      <c r="BX26" s="5638"/>
      <c r="BY26" s="5638"/>
      <c r="BZ26" s="5638"/>
      <c r="CA26" s="741">
        <f t="shared" si="23"/>
        <v>230</v>
      </c>
      <c r="CB26" s="5638"/>
      <c r="CC26" s="5638"/>
      <c r="CD26" s="5638"/>
      <c r="CE26" s="5638"/>
      <c r="CF26" s="5638"/>
      <c r="CG26" s="741">
        <f t="shared" si="24"/>
        <v>1605</v>
      </c>
      <c r="CH26" s="5638"/>
      <c r="CI26" s="5638"/>
      <c r="CJ26" s="5638"/>
      <c r="CK26" s="741">
        <f t="shared" si="25"/>
        <v>0</v>
      </c>
      <c r="CL26" s="5638"/>
      <c r="CM26" s="5638"/>
      <c r="CN26" s="5638"/>
      <c r="CO26" s="741">
        <f t="shared" si="26"/>
        <v>738</v>
      </c>
      <c r="CP26" s="5638"/>
      <c r="CQ26" s="5638"/>
      <c r="CR26" s="5638"/>
      <c r="CS26" s="5638"/>
      <c r="CT26" s="5638"/>
      <c r="CU26" s="1375">
        <f t="shared" si="27"/>
        <v>18344.310000000001</v>
      </c>
      <c r="CV26" s="768"/>
    </row>
    <row r="27" spans="1:100" s="4219" customFormat="1" ht="15.75" x14ac:dyDescent="0.25">
      <c r="A27" s="276"/>
      <c r="B27" s="276"/>
      <c r="C27" s="276"/>
      <c r="D27" s="276"/>
      <c r="E27" s="312" t="s">
        <v>1870</v>
      </c>
      <c r="F27" s="1532"/>
      <c r="G27" s="281"/>
      <c r="H27" s="281"/>
      <c r="I27" s="316"/>
      <c r="J27" s="281"/>
      <c r="K27" s="281"/>
      <c r="L27" s="281"/>
      <c r="M27" s="316"/>
      <c r="N27" s="317"/>
      <c r="O27" s="278"/>
      <c r="P27" s="278">
        <v>729</v>
      </c>
      <c r="Q27" s="281"/>
      <c r="R27" s="316">
        <f t="shared" si="3"/>
        <v>729</v>
      </c>
      <c r="S27" s="281"/>
      <c r="T27" s="281">
        <v>528.5</v>
      </c>
      <c r="U27" s="314">
        <v>573</v>
      </c>
      <c r="V27" s="316"/>
      <c r="W27" s="317"/>
      <c r="X27" s="1531">
        <f t="shared" si="6"/>
        <v>1830.5</v>
      </c>
      <c r="Y27" s="279"/>
      <c r="Z27" s="281"/>
      <c r="AA27" s="281"/>
      <c r="AB27" s="316">
        <f t="shared" si="7"/>
        <v>0</v>
      </c>
      <c r="AC27" s="281"/>
      <c r="AD27" s="281"/>
      <c r="AE27" s="281"/>
      <c r="AF27" s="629">
        <f t="shared" si="8"/>
        <v>0</v>
      </c>
      <c r="AG27" s="317">
        <f t="shared" si="9"/>
        <v>0</v>
      </c>
      <c r="AH27" s="278"/>
      <c r="AI27" s="278"/>
      <c r="AJ27" s="278"/>
      <c r="AK27" s="316">
        <f t="shared" si="10"/>
        <v>0</v>
      </c>
      <c r="AL27" s="281"/>
      <c r="AM27" s="281"/>
      <c r="AN27" s="314"/>
      <c r="AO27" s="316"/>
      <c r="AP27" s="317"/>
      <c r="AQ27" s="318">
        <f t="shared" si="13"/>
        <v>0</v>
      </c>
      <c r="AR27" s="315">
        <f t="shared" si="14"/>
        <v>1830.5</v>
      </c>
      <c r="AS27" s="5643"/>
      <c r="AT27" s="276"/>
      <c r="AU27" s="741">
        <f t="shared" si="15"/>
        <v>0</v>
      </c>
      <c r="AV27" s="5638"/>
      <c r="AW27" s="741">
        <f t="shared" si="16"/>
        <v>0</v>
      </c>
      <c r="AX27" s="5638"/>
      <c r="AY27" s="5638"/>
      <c r="AZ27" s="5638"/>
      <c r="BA27" s="741">
        <f t="shared" si="17"/>
        <v>0</v>
      </c>
      <c r="BB27" s="5638"/>
      <c r="BC27" s="5638"/>
      <c r="BD27" s="5638"/>
      <c r="BE27" s="741">
        <f t="shared" si="18"/>
        <v>0</v>
      </c>
      <c r="BF27" s="5638"/>
      <c r="BG27" s="5638"/>
      <c r="BH27" s="5638"/>
      <c r="BI27" s="741">
        <f t="shared" si="19"/>
        <v>0</v>
      </c>
      <c r="BJ27" s="5638"/>
      <c r="BK27" s="5638"/>
      <c r="BL27" s="5638"/>
      <c r="BM27" s="741">
        <f t="shared" si="20"/>
        <v>0</v>
      </c>
      <c r="BN27" s="5638"/>
      <c r="BO27" s="5638"/>
      <c r="BP27" s="5638"/>
      <c r="BQ27" s="5638"/>
      <c r="BR27" s="5638"/>
      <c r="BS27" s="741">
        <f t="shared" si="21"/>
        <v>0</v>
      </c>
      <c r="BT27" s="5638"/>
      <c r="BU27" s="5638"/>
      <c r="BV27" s="5638"/>
      <c r="BW27" s="741">
        <f t="shared" si="22"/>
        <v>729</v>
      </c>
      <c r="BX27" s="5638"/>
      <c r="BY27" s="5638"/>
      <c r="BZ27" s="5638"/>
      <c r="CA27" s="741">
        <f t="shared" si="23"/>
        <v>0</v>
      </c>
      <c r="CB27" s="5638"/>
      <c r="CC27" s="5638"/>
      <c r="CD27" s="5638"/>
      <c r="CE27" s="5638"/>
      <c r="CF27" s="5638"/>
      <c r="CG27" s="741">
        <f t="shared" si="24"/>
        <v>0</v>
      </c>
      <c r="CH27" s="5638"/>
      <c r="CI27" s="5638"/>
      <c r="CJ27" s="5638"/>
      <c r="CK27" s="741">
        <f t="shared" si="25"/>
        <v>528.5</v>
      </c>
      <c r="CL27" s="5638"/>
      <c r="CM27" s="5638"/>
      <c r="CN27" s="5638"/>
      <c r="CO27" s="741">
        <f t="shared" si="26"/>
        <v>573</v>
      </c>
      <c r="CP27" s="5638"/>
      <c r="CQ27" s="5638"/>
      <c r="CR27" s="5638"/>
      <c r="CS27" s="5638"/>
      <c r="CT27" s="5638"/>
      <c r="CU27" s="1375">
        <f t="shared" si="27"/>
        <v>1830.5</v>
      </c>
      <c r="CV27" s="768"/>
    </row>
    <row r="28" spans="1:100" ht="15.75" x14ac:dyDescent="0.25">
      <c r="A28" s="276"/>
      <c r="B28" s="276"/>
      <c r="C28" s="276"/>
      <c r="D28" s="276"/>
      <c r="E28" s="312" t="s">
        <v>877</v>
      </c>
      <c r="F28" s="1532">
        <v>5572.875</v>
      </c>
      <c r="G28" s="281">
        <v>4275.7219999999998</v>
      </c>
      <c r="H28" s="281">
        <v>5165.259</v>
      </c>
      <c r="I28" s="316">
        <f t="shared" si="0"/>
        <v>15013.856</v>
      </c>
      <c r="J28" s="281">
        <v>4726.5600000000004</v>
      </c>
      <c r="K28" s="281">
        <v>8582.84</v>
      </c>
      <c r="L28" s="281">
        <v>11607.973999999997</v>
      </c>
      <c r="M28" s="316">
        <f t="shared" si="1"/>
        <v>24917.373999999996</v>
      </c>
      <c r="N28" s="317">
        <f t="shared" si="2"/>
        <v>39931.229999999996</v>
      </c>
      <c r="O28" s="278">
        <v>13165.992</v>
      </c>
      <c r="P28" s="278"/>
      <c r="Q28" s="281"/>
      <c r="R28" s="316">
        <f t="shared" si="3"/>
        <v>13165.992</v>
      </c>
      <c r="S28" s="281">
        <v>5112</v>
      </c>
      <c r="T28" s="281">
        <v>6965.63</v>
      </c>
      <c r="U28" s="314">
        <v>13859</v>
      </c>
      <c r="V28" s="316">
        <f t="shared" si="4"/>
        <v>25936.63</v>
      </c>
      <c r="W28" s="317">
        <f t="shared" si="5"/>
        <v>39102.622000000003</v>
      </c>
      <c r="X28" s="1531">
        <f t="shared" si="6"/>
        <v>79033.851999999984</v>
      </c>
      <c r="Y28" s="279"/>
      <c r="Z28" s="281"/>
      <c r="AA28" s="281"/>
      <c r="AB28" s="316">
        <f t="shared" si="7"/>
        <v>0</v>
      </c>
      <c r="AC28" s="281"/>
      <c r="AD28" s="281"/>
      <c r="AE28" s="281"/>
      <c r="AF28" s="629">
        <f t="shared" si="8"/>
        <v>0</v>
      </c>
      <c r="AG28" s="317">
        <f t="shared" si="9"/>
        <v>0</v>
      </c>
      <c r="AH28" s="278"/>
      <c r="AI28" s="278"/>
      <c r="AJ28" s="278"/>
      <c r="AK28" s="316">
        <f t="shared" si="10"/>
        <v>0</v>
      </c>
      <c r="AL28" s="281"/>
      <c r="AM28" s="281"/>
      <c r="AN28" s="314"/>
      <c r="AO28" s="316">
        <f t="shared" si="11"/>
        <v>0</v>
      </c>
      <c r="AP28" s="317">
        <f t="shared" si="12"/>
        <v>0</v>
      </c>
      <c r="AQ28" s="318">
        <f t="shared" si="13"/>
        <v>0</v>
      </c>
      <c r="AR28" s="315">
        <f t="shared" si="14"/>
        <v>79033.851999999984</v>
      </c>
      <c r="AS28" s="5643"/>
      <c r="AT28" s="276"/>
      <c r="AU28" s="741">
        <f t="shared" si="15"/>
        <v>5572.875</v>
      </c>
      <c r="AV28" s="5638"/>
      <c r="AW28" s="741">
        <f t="shared" si="16"/>
        <v>4275.7219999999998</v>
      </c>
      <c r="AX28" s="5638"/>
      <c r="AY28" s="5638"/>
      <c r="AZ28" s="5638"/>
      <c r="BA28" s="741">
        <f t="shared" si="17"/>
        <v>5165.259</v>
      </c>
      <c r="BB28" s="5638"/>
      <c r="BC28" s="5638"/>
      <c r="BD28" s="5638"/>
      <c r="BE28" s="741">
        <f t="shared" si="18"/>
        <v>4726.5600000000004</v>
      </c>
      <c r="BF28" s="5638"/>
      <c r="BG28" s="5638"/>
      <c r="BH28" s="5638"/>
      <c r="BI28" s="741">
        <f t="shared" si="19"/>
        <v>8582.84</v>
      </c>
      <c r="BJ28" s="5638"/>
      <c r="BK28" s="5638"/>
      <c r="BL28" s="5638"/>
      <c r="BM28" s="741">
        <f t="shared" si="20"/>
        <v>11607.973999999997</v>
      </c>
      <c r="BN28" s="5638"/>
      <c r="BO28" s="5638"/>
      <c r="BP28" s="5638"/>
      <c r="BQ28" s="5638"/>
      <c r="BR28" s="5638"/>
      <c r="BS28" s="741">
        <f t="shared" si="21"/>
        <v>13165.992</v>
      </c>
      <c r="BT28" s="5638"/>
      <c r="BU28" s="5638"/>
      <c r="BV28" s="5638"/>
      <c r="BW28" s="741">
        <f t="shared" si="22"/>
        <v>0</v>
      </c>
      <c r="BX28" s="5638"/>
      <c r="BY28" s="5638"/>
      <c r="BZ28" s="5638"/>
      <c r="CA28" s="741">
        <f t="shared" si="23"/>
        <v>0</v>
      </c>
      <c r="CB28" s="5638"/>
      <c r="CC28" s="5638"/>
      <c r="CD28" s="5638"/>
      <c r="CE28" s="5638"/>
      <c r="CF28" s="5638"/>
      <c r="CG28" s="741">
        <f t="shared" si="24"/>
        <v>5112</v>
      </c>
      <c r="CH28" s="5638"/>
      <c r="CI28" s="5638"/>
      <c r="CJ28" s="5638"/>
      <c r="CK28" s="741">
        <f t="shared" si="25"/>
        <v>6965.63</v>
      </c>
      <c r="CL28" s="5638"/>
      <c r="CM28" s="5638"/>
      <c r="CN28" s="5638"/>
      <c r="CO28" s="741">
        <f t="shared" si="26"/>
        <v>13859</v>
      </c>
      <c r="CP28" s="5638"/>
      <c r="CQ28" s="5638"/>
      <c r="CR28" s="5638"/>
      <c r="CS28" s="5638"/>
      <c r="CT28" s="5638"/>
      <c r="CU28" s="1375">
        <f t="shared" si="27"/>
        <v>79033.851999999984</v>
      </c>
      <c r="CV28" s="768"/>
    </row>
    <row r="29" spans="1:100" s="4700" customFormat="1" ht="15.75" x14ac:dyDescent="0.25">
      <c r="A29" s="276"/>
      <c r="B29" s="276"/>
      <c r="C29" s="276"/>
      <c r="D29" s="276"/>
      <c r="E29" s="312" t="s">
        <v>1944</v>
      </c>
      <c r="F29" s="1532"/>
      <c r="G29" s="4723"/>
      <c r="H29" s="4723"/>
      <c r="I29" s="316">
        <f t="shared" si="0"/>
        <v>0</v>
      </c>
      <c r="J29" s="4723"/>
      <c r="K29" s="4723"/>
      <c r="L29" s="4723"/>
      <c r="M29" s="316">
        <f t="shared" ref="M29:M30" si="28">SUM(J29:L29)</f>
        <v>0</v>
      </c>
      <c r="N29" s="317">
        <f t="shared" ref="N29:N30" si="29">+I29+M29</f>
        <v>0</v>
      </c>
      <c r="O29" s="4724"/>
      <c r="P29" s="4724"/>
      <c r="Q29" s="4723"/>
      <c r="R29" s="316">
        <f t="shared" si="3"/>
        <v>0</v>
      </c>
      <c r="S29" s="4723"/>
      <c r="T29" s="4723">
        <v>1103.5080000000003</v>
      </c>
      <c r="U29" s="314">
        <v>884</v>
      </c>
      <c r="V29" s="316"/>
      <c r="W29" s="317"/>
      <c r="X29" s="1531">
        <f t="shared" si="6"/>
        <v>1987.5080000000003</v>
      </c>
      <c r="Y29" s="279"/>
      <c r="Z29" s="4723"/>
      <c r="AA29" s="4723"/>
      <c r="AB29" s="316">
        <f t="shared" si="7"/>
        <v>0</v>
      </c>
      <c r="AC29" s="4723"/>
      <c r="AD29" s="4723"/>
      <c r="AE29" s="4723"/>
      <c r="AF29" s="629">
        <f t="shared" ref="AF29:AF31" si="30">SUM(AC29:AE29)</f>
        <v>0</v>
      </c>
      <c r="AG29" s="317">
        <f t="shared" ref="AG29:AG31" si="31">+AB29+AF29</f>
        <v>0</v>
      </c>
      <c r="AH29" s="4724"/>
      <c r="AI29" s="4724"/>
      <c r="AJ29" s="4724"/>
      <c r="AK29" s="316">
        <f t="shared" si="10"/>
        <v>0</v>
      </c>
      <c r="AL29" s="4723"/>
      <c r="AM29" s="4723"/>
      <c r="AN29" s="314"/>
      <c r="AO29" s="316"/>
      <c r="AP29" s="317"/>
      <c r="AQ29" s="318">
        <f t="shared" si="13"/>
        <v>0</v>
      </c>
      <c r="AR29" s="315">
        <f t="shared" si="14"/>
        <v>1987.5080000000003</v>
      </c>
      <c r="AS29" s="5643"/>
      <c r="AT29" s="276"/>
      <c r="AU29" s="741">
        <f t="shared" ref="AU29:AU30" si="32">+F29+Y29</f>
        <v>0</v>
      </c>
      <c r="AV29" s="5638"/>
      <c r="AW29" s="741">
        <f t="shared" ref="AW29:AW30" si="33">+G29+Z29</f>
        <v>0</v>
      </c>
      <c r="AX29" s="5638"/>
      <c r="AY29" s="5638"/>
      <c r="AZ29" s="5638"/>
      <c r="BA29" s="741">
        <f t="shared" ref="BA29:BA30" si="34">+H29+AA29</f>
        <v>0</v>
      </c>
      <c r="BB29" s="5638"/>
      <c r="BC29" s="5638"/>
      <c r="BD29" s="5638"/>
      <c r="BE29" s="741">
        <f t="shared" ref="BE29:BE30" si="35">+J29+AC29</f>
        <v>0</v>
      </c>
      <c r="BF29" s="5638"/>
      <c r="BG29" s="5638"/>
      <c r="BH29" s="5638"/>
      <c r="BI29" s="741">
        <f t="shared" ref="BI29:BI30" si="36">+K29+AD29</f>
        <v>0</v>
      </c>
      <c r="BJ29" s="5638"/>
      <c r="BK29" s="5638"/>
      <c r="BL29" s="5638"/>
      <c r="BM29" s="741">
        <f t="shared" ref="BM29:BM30" si="37">+L29+AE29</f>
        <v>0</v>
      </c>
      <c r="BN29" s="5638"/>
      <c r="BO29" s="5638"/>
      <c r="BP29" s="5638"/>
      <c r="BQ29" s="5638"/>
      <c r="BR29" s="5638"/>
      <c r="BS29" s="741">
        <f t="shared" ref="BS29:BS30" si="38">+O29+AH29</f>
        <v>0</v>
      </c>
      <c r="BT29" s="5638"/>
      <c r="BU29" s="5638"/>
      <c r="BV29" s="5638"/>
      <c r="BW29" s="741">
        <f t="shared" ref="BW29:BW30" si="39">+P29+AI29</f>
        <v>0</v>
      </c>
      <c r="BX29" s="5638"/>
      <c r="BY29" s="5638"/>
      <c r="BZ29" s="5638"/>
      <c r="CA29" s="741">
        <f t="shared" ref="CA29:CA30" si="40">+Q29+AJ29</f>
        <v>0</v>
      </c>
      <c r="CB29" s="5638"/>
      <c r="CC29" s="5638"/>
      <c r="CD29" s="5638"/>
      <c r="CE29" s="5638"/>
      <c r="CF29" s="5638"/>
      <c r="CG29" s="741">
        <f t="shared" ref="CG29:CG30" si="41">+S29+AL29</f>
        <v>0</v>
      </c>
      <c r="CH29" s="5638"/>
      <c r="CI29" s="5638"/>
      <c r="CJ29" s="5638"/>
      <c r="CK29" s="741">
        <f t="shared" ref="CK29:CK30" si="42">+T29+AM29</f>
        <v>1103.5080000000003</v>
      </c>
      <c r="CL29" s="5638"/>
      <c r="CM29" s="5638"/>
      <c r="CN29" s="5638"/>
      <c r="CO29" s="741">
        <f t="shared" si="26"/>
        <v>884</v>
      </c>
      <c r="CP29" s="5638"/>
      <c r="CQ29" s="5638"/>
      <c r="CR29" s="5638"/>
      <c r="CS29" s="5638"/>
      <c r="CT29" s="5638"/>
      <c r="CU29" s="1375">
        <f t="shared" si="27"/>
        <v>1987.5080000000003</v>
      </c>
      <c r="CV29" s="768"/>
    </row>
    <row r="30" spans="1:100" s="4700" customFormat="1" ht="15.75" x14ac:dyDescent="0.25">
      <c r="A30" s="276"/>
      <c r="B30" s="276"/>
      <c r="C30" s="276"/>
      <c r="D30" s="276"/>
      <c r="E30" s="312" t="s">
        <v>1945</v>
      </c>
      <c r="F30" s="1532"/>
      <c r="G30" s="4723"/>
      <c r="H30" s="4723"/>
      <c r="I30" s="316">
        <f t="shared" si="0"/>
        <v>0</v>
      </c>
      <c r="J30" s="4723"/>
      <c r="K30" s="4723"/>
      <c r="L30" s="4723"/>
      <c r="M30" s="316">
        <f t="shared" si="28"/>
        <v>0</v>
      </c>
      <c r="N30" s="317">
        <f t="shared" si="29"/>
        <v>0</v>
      </c>
      <c r="O30" s="4724"/>
      <c r="P30" s="4724"/>
      <c r="Q30" s="4723"/>
      <c r="R30" s="316">
        <f t="shared" si="3"/>
        <v>0</v>
      </c>
      <c r="S30" s="4723"/>
      <c r="T30" s="4723">
        <v>613.06000000000006</v>
      </c>
      <c r="U30" s="314"/>
      <c r="V30" s="316"/>
      <c r="W30" s="317"/>
      <c r="X30" s="1531">
        <f t="shared" si="6"/>
        <v>613.06000000000006</v>
      </c>
      <c r="Y30" s="279"/>
      <c r="Z30" s="4723"/>
      <c r="AA30" s="4723"/>
      <c r="AB30" s="316">
        <f t="shared" si="7"/>
        <v>0</v>
      </c>
      <c r="AC30" s="4723"/>
      <c r="AD30" s="4723"/>
      <c r="AE30" s="4723"/>
      <c r="AF30" s="629">
        <f t="shared" si="30"/>
        <v>0</v>
      </c>
      <c r="AG30" s="317">
        <f t="shared" si="31"/>
        <v>0</v>
      </c>
      <c r="AH30" s="4724"/>
      <c r="AI30" s="4724"/>
      <c r="AJ30" s="4724"/>
      <c r="AK30" s="316">
        <f t="shared" si="10"/>
        <v>0</v>
      </c>
      <c r="AL30" s="4723"/>
      <c r="AM30" s="4723"/>
      <c r="AN30" s="314"/>
      <c r="AO30" s="316"/>
      <c r="AP30" s="317"/>
      <c r="AQ30" s="318">
        <f t="shared" si="13"/>
        <v>0</v>
      </c>
      <c r="AR30" s="315">
        <f t="shared" si="14"/>
        <v>613.06000000000006</v>
      </c>
      <c r="AS30" s="5643"/>
      <c r="AT30" s="276"/>
      <c r="AU30" s="741">
        <f t="shared" si="32"/>
        <v>0</v>
      </c>
      <c r="AV30" s="5638"/>
      <c r="AW30" s="741">
        <f t="shared" si="33"/>
        <v>0</v>
      </c>
      <c r="AX30" s="5638"/>
      <c r="AY30" s="5638"/>
      <c r="AZ30" s="5638"/>
      <c r="BA30" s="741">
        <f t="shared" si="34"/>
        <v>0</v>
      </c>
      <c r="BB30" s="5638"/>
      <c r="BC30" s="5638"/>
      <c r="BD30" s="5638"/>
      <c r="BE30" s="741">
        <f t="shared" si="35"/>
        <v>0</v>
      </c>
      <c r="BF30" s="5638"/>
      <c r="BG30" s="5638"/>
      <c r="BH30" s="5638"/>
      <c r="BI30" s="741">
        <f t="shared" si="36"/>
        <v>0</v>
      </c>
      <c r="BJ30" s="5638"/>
      <c r="BK30" s="5638"/>
      <c r="BL30" s="5638"/>
      <c r="BM30" s="741">
        <f t="shared" si="37"/>
        <v>0</v>
      </c>
      <c r="BN30" s="5638"/>
      <c r="BO30" s="5638"/>
      <c r="BP30" s="5638"/>
      <c r="BQ30" s="5638"/>
      <c r="BR30" s="5638"/>
      <c r="BS30" s="741">
        <f t="shared" si="38"/>
        <v>0</v>
      </c>
      <c r="BT30" s="5638"/>
      <c r="BU30" s="5638"/>
      <c r="BV30" s="5638"/>
      <c r="BW30" s="741">
        <f t="shared" si="39"/>
        <v>0</v>
      </c>
      <c r="BX30" s="5638"/>
      <c r="BY30" s="5638"/>
      <c r="BZ30" s="5638"/>
      <c r="CA30" s="741">
        <f t="shared" si="40"/>
        <v>0</v>
      </c>
      <c r="CB30" s="5638"/>
      <c r="CC30" s="5638"/>
      <c r="CD30" s="5638"/>
      <c r="CE30" s="5638"/>
      <c r="CF30" s="5638"/>
      <c r="CG30" s="741">
        <f t="shared" si="41"/>
        <v>0</v>
      </c>
      <c r="CH30" s="5638"/>
      <c r="CI30" s="5638"/>
      <c r="CJ30" s="5638"/>
      <c r="CK30" s="741">
        <f t="shared" si="42"/>
        <v>613.06000000000006</v>
      </c>
      <c r="CL30" s="5638"/>
      <c r="CM30" s="5638"/>
      <c r="CN30" s="5638"/>
      <c r="CO30" s="741">
        <f t="shared" si="26"/>
        <v>0</v>
      </c>
      <c r="CP30" s="5638"/>
      <c r="CQ30" s="5638"/>
      <c r="CR30" s="5638"/>
      <c r="CS30" s="5638"/>
      <c r="CT30" s="5638"/>
      <c r="CU30" s="1375">
        <f t="shared" si="27"/>
        <v>613.06000000000006</v>
      </c>
      <c r="CV30" s="768"/>
    </row>
    <row r="31" spans="1:100" ht="15.75" x14ac:dyDescent="0.25">
      <c r="A31" s="276"/>
      <c r="B31" s="276"/>
      <c r="C31" s="276"/>
      <c r="D31" s="276"/>
      <c r="E31" s="312" t="s">
        <v>1538</v>
      </c>
      <c r="F31" s="1532">
        <v>137.995</v>
      </c>
      <c r="G31" s="281">
        <v>365.15600000000001</v>
      </c>
      <c r="H31" s="281"/>
      <c r="I31" s="316">
        <f t="shared" si="0"/>
        <v>503.15100000000001</v>
      </c>
      <c r="J31" s="281">
        <v>271.74400000000003</v>
      </c>
      <c r="K31" s="281"/>
      <c r="L31" s="281"/>
      <c r="M31" s="316">
        <f t="shared" si="1"/>
        <v>271.74400000000003</v>
      </c>
      <c r="N31" s="317">
        <f t="shared" si="2"/>
        <v>774.89499999999998</v>
      </c>
      <c r="O31" s="278"/>
      <c r="P31" s="278"/>
      <c r="Q31" s="281"/>
      <c r="R31" s="316">
        <f t="shared" si="3"/>
        <v>0</v>
      </c>
      <c r="S31" s="281"/>
      <c r="T31" s="281">
        <v>112.042</v>
      </c>
      <c r="U31" s="314">
        <v>146</v>
      </c>
      <c r="V31" s="316">
        <f t="shared" si="4"/>
        <v>258.04200000000003</v>
      </c>
      <c r="W31" s="317">
        <f t="shared" si="5"/>
        <v>258.04200000000003</v>
      </c>
      <c r="X31" s="1531">
        <f t="shared" si="6"/>
        <v>1032.9369999999999</v>
      </c>
      <c r="Y31" s="279"/>
      <c r="Z31" s="281"/>
      <c r="AA31" s="281"/>
      <c r="AB31" s="316">
        <f t="shared" si="7"/>
        <v>0</v>
      </c>
      <c r="AC31" s="281"/>
      <c r="AD31" s="281"/>
      <c r="AE31" s="281"/>
      <c r="AF31" s="629">
        <f t="shared" si="30"/>
        <v>0</v>
      </c>
      <c r="AG31" s="317">
        <f t="shared" si="31"/>
        <v>0</v>
      </c>
      <c r="AH31" s="278"/>
      <c r="AI31" s="278"/>
      <c r="AJ31" s="278"/>
      <c r="AK31" s="316">
        <f t="shared" si="10"/>
        <v>0</v>
      </c>
      <c r="AL31" s="281"/>
      <c r="AM31" s="281"/>
      <c r="AN31" s="314"/>
      <c r="AO31" s="316">
        <f t="shared" si="11"/>
        <v>0</v>
      </c>
      <c r="AP31" s="317">
        <f t="shared" si="12"/>
        <v>0</v>
      </c>
      <c r="AQ31" s="318">
        <f t="shared" si="13"/>
        <v>0</v>
      </c>
      <c r="AR31" s="315">
        <f t="shared" si="14"/>
        <v>1032.9369999999999</v>
      </c>
      <c r="AS31" s="5643"/>
      <c r="AT31" s="276"/>
      <c r="AU31" s="741">
        <f t="shared" si="15"/>
        <v>137.995</v>
      </c>
      <c r="AV31" s="5638"/>
      <c r="AW31" s="741">
        <f t="shared" si="16"/>
        <v>365.15600000000001</v>
      </c>
      <c r="AX31" s="5638"/>
      <c r="AY31" s="5638"/>
      <c r="AZ31" s="5638"/>
      <c r="BA31" s="741">
        <f t="shared" si="17"/>
        <v>0</v>
      </c>
      <c r="BB31" s="5638"/>
      <c r="BC31" s="5638"/>
      <c r="BD31" s="5638"/>
      <c r="BE31" s="741">
        <f t="shared" si="18"/>
        <v>271.74400000000003</v>
      </c>
      <c r="BF31" s="5638"/>
      <c r="BG31" s="5638"/>
      <c r="BH31" s="5638"/>
      <c r="BI31" s="741">
        <f t="shared" si="19"/>
        <v>0</v>
      </c>
      <c r="BJ31" s="5638"/>
      <c r="BK31" s="5638"/>
      <c r="BL31" s="5638"/>
      <c r="BM31" s="741">
        <f t="shared" si="20"/>
        <v>0</v>
      </c>
      <c r="BN31" s="5638"/>
      <c r="BO31" s="5638"/>
      <c r="BP31" s="5638"/>
      <c r="BQ31" s="5638"/>
      <c r="BR31" s="5638"/>
      <c r="BS31" s="741">
        <f t="shared" si="21"/>
        <v>0</v>
      </c>
      <c r="BT31" s="5638"/>
      <c r="BU31" s="5638"/>
      <c r="BV31" s="5638"/>
      <c r="BW31" s="741">
        <f t="shared" si="22"/>
        <v>0</v>
      </c>
      <c r="BX31" s="5638"/>
      <c r="BY31" s="5638"/>
      <c r="BZ31" s="5638"/>
      <c r="CA31" s="741">
        <f t="shared" si="23"/>
        <v>0</v>
      </c>
      <c r="CB31" s="5638"/>
      <c r="CC31" s="5638"/>
      <c r="CD31" s="5638"/>
      <c r="CE31" s="5638"/>
      <c r="CF31" s="5638"/>
      <c r="CG31" s="741">
        <f t="shared" si="24"/>
        <v>0</v>
      </c>
      <c r="CH31" s="5638"/>
      <c r="CI31" s="5638"/>
      <c r="CJ31" s="5638"/>
      <c r="CK31" s="741">
        <f t="shared" si="25"/>
        <v>112.042</v>
      </c>
      <c r="CL31" s="5638"/>
      <c r="CM31" s="5638"/>
      <c r="CN31" s="5638"/>
      <c r="CO31" s="741">
        <f t="shared" si="26"/>
        <v>146</v>
      </c>
      <c r="CP31" s="5638"/>
      <c r="CQ31" s="5638"/>
      <c r="CR31" s="5638"/>
      <c r="CS31" s="5638"/>
      <c r="CT31" s="5638"/>
      <c r="CU31" s="1375">
        <f t="shared" si="27"/>
        <v>1032.9369999999999</v>
      </c>
      <c r="CV31" s="768"/>
    </row>
    <row r="32" spans="1:100" ht="15.75" x14ac:dyDescent="0.25">
      <c r="A32" s="276"/>
      <c r="B32" s="276"/>
      <c r="C32" s="276"/>
      <c r="D32" s="276"/>
      <c r="E32" s="312" t="s">
        <v>1269</v>
      </c>
      <c r="F32" s="1532"/>
      <c r="G32" s="281"/>
      <c r="H32" s="281"/>
      <c r="I32" s="316">
        <f t="shared" si="0"/>
        <v>0</v>
      </c>
      <c r="J32" s="281"/>
      <c r="K32" s="281"/>
      <c r="L32" s="281"/>
      <c r="M32" s="316">
        <f t="shared" si="1"/>
        <v>0</v>
      </c>
      <c r="N32" s="317">
        <f t="shared" si="2"/>
        <v>0</v>
      </c>
      <c r="O32" s="278"/>
      <c r="P32" s="278"/>
      <c r="Q32" s="281"/>
      <c r="R32" s="316">
        <f t="shared" si="3"/>
        <v>0</v>
      </c>
      <c r="S32" s="281"/>
      <c r="T32" s="281"/>
      <c r="U32" s="314"/>
      <c r="V32" s="316">
        <f t="shared" si="4"/>
        <v>0</v>
      </c>
      <c r="W32" s="317">
        <f t="shared" si="5"/>
        <v>0</v>
      </c>
      <c r="X32" s="1531">
        <f t="shared" si="6"/>
        <v>0</v>
      </c>
      <c r="Y32" s="279"/>
      <c r="Z32" s="281"/>
      <c r="AA32" s="281"/>
      <c r="AB32" s="316">
        <f t="shared" si="7"/>
        <v>0</v>
      </c>
      <c r="AC32" s="281"/>
      <c r="AD32" s="281"/>
      <c r="AE32" s="281"/>
      <c r="AF32" s="629">
        <f t="shared" si="8"/>
        <v>0</v>
      </c>
      <c r="AG32" s="317">
        <f t="shared" si="9"/>
        <v>0</v>
      </c>
      <c r="AH32" s="278"/>
      <c r="AI32" s="278"/>
      <c r="AJ32" s="278"/>
      <c r="AK32" s="316">
        <f t="shared" si="10"/>
        <v>0</v>
      </c>
      <c r="AL32" s="281"/>
      <c r="AM32" s="281"/>
      <c r="AN32" s="314"/>
      <c r="AO32" s="316">
        <f t="shared" si="11"/>
        <v>0</v>
      </c>
      <c r="AP32" s="317">
        <f t="shared" si="12"/>
        <v>0</v>
      </c>
      <c r="AQ32" s="318">
        <f t="shared" si="13"/>
        <v>0</v>
      </c>
      <c r="AR32" s="315">
        <f t="shared" si="14"/>
        <v>0</v>
      </c>
      <c r="AS32" s="5643"/>
      <c r="AT32" s="276"/>
      <c r="AU32" s="741">
        <f t="shared" si="15"/>
        <v>0</v>
      </c>
      <c r="AV32" s="5638"/>
      <c r="AW32" s="741">
        <f t="shared" si="16"/>
        <v>0</v>
      </c>
      <c r="AX32" s="5638"/>
      <c r="AY32" s="5638"/>
      <c r="AZ32" s="5638"/>
      <c r="BA32" s="741">
        <f t="shared" si="17"/>
        <v>0</v>
      </c>
      <c r="BB32" s="5638"/>
      <c r="BC32" s="5638"/>
      <c r="BD32" s="5638"/>
      <c r="BE32" s="741">
        <f t="shared" si="18"/>
        <v>0</v>
      </c>
      <c r="BF32" s="5638"/>
      <c r="BG32" s="5638"/>
      <c r="BH32" s="5638"/>
      <c r="BI32" s="741">
        <f t="shared" si="19"/>
        <v>0</v>
      </c>
      <c r="BJ32" s="5638"/>
      <c r="BK32" s="5638"/>
      <c r="BL32" s="5638"/>
      <c r="BM32" s="741">
        <f t="shared" si="20"/>
        <v>0</v>
      </c>
      <c r="BN32" s="5638"/>
      <c r="BO32" s="5638"/>
      <c r="BP32" s="5638"/>
      <c r="BQ32" s="5638"/>
      <c r="BR32" s="5638"/>
      <c r="BS32" s="741">
        <f t="shared" si="21"/>
        <v>0</v>
      </c>
      <c r="BT32" s="5638"/>
      <c r="BU32" s="5638"/>
      <c r="BV32" s="5638"/>
      <c r="BW32" s="741">
        <f t="shared" si="22"/>
        <v>0</v>
      </c>
      <c r="BX32" s="5638"/>
      <c r="BY32" s="5638"/>
      <c r="BZ32" s="5638"/>
      <c r="CA32" s="741">
        <f t="shared" si="23"/>
        <v>0</v>
      </c>
      <c r="CB32" s="5638"/>
      <c r="CC32" s="5638"/>
      <c r="CD32" s="5638"/>
      <c r="CE32" s="5638"/>
      <c r="CF32" s="5638"/>
      <c r="CG32" s="741">
        <f t="shared" si="24"/>
        <v>0</v>
      </c>
      <c r="CH32" s="5638"/>
      <c r="CI32" s="5638"/>
      <c r="CJ32" s="5638"/>
      <c r="CK32" s="741">
        <f t="shared" si="25"/>
        <v>0</v>
      </c>
      <c r="CL32" s="5638"/>
      <c r="CM32" s="5638"/>
      <c r="CN32" s="5638"/>
      <c r="CO32" s="741">
        <f t="shared" si="26"/>
        <v>0</v>
      </c>
      <c r="CP32" s="5638"/>
      <c r="CQ32" s="5638"/>
      <c r="CR32" s="5638"/>
      <c r="CS32" s="5638"/>
      <c r="CT32" s="5638"/>
      <c r="CU32" s="1375">
        <f t="shared" si="27"/>
        <v>0</v>
      </c>
      <c r="CV32" s="768"/>
    </row>
    <row r="33" spans="1:100" ht="15.75" x14ac:dyDescent="0.25">
      <c r="A33" s="276"/>
      <c r="B33" s="276"/>
      <c r="C33" s="276"/>
      <c r="D33" s="276"/>
      <c r="E33" s="312" t="s">
        <v>1366</v>
      </c>
      <c r="F33" s="1532"/>
      <c r="G33" s="281"/>
      <c r="H33" s="281">
        <v>881.04499999999996</v>
      </c>
      <c r="I33" s="316">
        <f t="shared" si="0"/>
        <v>881.04499999999996</v>
      </c>
      <c r="J33" s="281"/>
      <c r="K33" s="281"/>
      <c r="L33" s="281"/>
      <c r="M33" s="316">
        <f t="shared" si="1"/>
        <v>0</v>
      </c>
      <c r="N33" s="317">
        <f t="shared" si="2"/>
        <v>881.04499999999996</v>
      </c>
      <c r="O33" s="278">
        <v>336.12599999999998</v>
      </c>
      <c r="P33" s="278">
        <v>6202</v>
      </c>
      <c r="Q33" s="281">
        <v>6896</v>
      </c>
      <c r="R33" s="316">
        <f t="shared" si="3"/>
        <v>13434.126</v>
      </c>
      <c r="S33" s="281">
        <v>865</v>
      </c>
      <c r="T33" s="281">
        <v>192.374</v>
      </c>
      <c r="U33" s="314"/>
      <c r="V33" s="316">
        <f t="shared" si="4"/>
        <v>1057.374</v>
      </c>
      <c r="W33" s="317">
        <f t="shared" si="5"/>
        <v>14491.5</v>
      </c>
      <c r="X33" s="1531">
        <f t="shared" si="6"/>
        <v>15372.545</v>
      </c>
      <c r="Y33" s="279"/>
      <c r="Z33" s="281"/>
      <c r="AA33" s="281"/>
      <c r="AB33" s="316">
        <f t="shared" si="7"/>
        <v>0</v>
      </c>
      <c r="AC33" s="281"/>
      <c r="AD33" s="281"/>
      <c r="AE33" s="281"/>
      <c r="AF33" s="629">
        <f t="shared" si="8"/>
        <v>0</v>
      </c>
      <c r="AG33" s="317">
        <f t="shared" si="9"/>
        <v>0</v>
      </c>
      <c r="AH33" s="278"/>
      <c r="AI33" s="278"/>
      <c r="AJ33" s="278"/>
      <c r="AK33" s="316">
        <f t="shared" si="10"/>
        <v>0</v>
      </c>
      <c r="AL33" s="281"/>
      <c r="AM33" s="281"/>
      <c r="AN33" s="314"/>
      <c r="AO33" s="316">
        <f t="shared" si="11"/>
        <v>0</v>
      </c>
      <c r="AP33" s="317">
        <f t="shared" si="12"/>
        <v>0</v>
      </c>
      <c r="AQ33" s="318">
        <f t="shared" si="13"/>
        <v>0</v>
      </c>
      <c r="AR33" s="315">
        <f t="shared" si="14"/>
        <v>15372.545</v>
      </c>
      <c r="AS33" s="5643"/>
      <c r="AT33" s="276"/>
      <c r="AU33" s="741">
        <f t="shared" si="15"/>
        <v>0</v>
      </c>
      <c r="AV33" s="5638"/>
      <c r="AW33" s="741">
        <f t="shared" si="16"/>
        <v>0</v>
      </c>
      <c r="AX33" s="5638"/>
      <c r="AY33" s="5638"/>
      <c r="AZ33" s="5638"/>
      <c r="BA33" s="741">
        <f t="shared" si="17"/>
        <v>881.04499999999996</v>
      </c>
      <c r="BB33" s="5638"/>
      <c r="BC33" s="5638"/>
      <c r="BD33" s="5638"/>
      <c r="BE33" s="741">
        <f t="shared" si="18"/>
        <v>0</v>
      </c>
      <c r="BF33" s="5638"/>
      <c r="BG33" s="5638"/>
      <c r="BH33" s="5638"/>
      <c r="BI33" s="741">
        <f t="shared" si="19"/>
        <v>0</v>
      </c>
      <c r="BJ33" s="5638"/>
      <c r="BK33" s="5638"/>
      <c r="BL33" s="5638"/>
      <c r="BM33" s="741">
        <f t="shared" si="20"/>
        <v>0</v>
      </c>
      <c r="BN33" s="5638"/>
      <c r="BO33" s="5638"/>
      <c r="BP33" s="5638"/>
      <c r="BQ33" s="5638"/>
      <c r="BR33" s="5638"/>
      <c r="BS33" s="741">
        <f t="shared" si="21"/>
        <v>336.12599999999998</v>
      </c>
      <c r="BT33" s="5638"/>
      <c r="BU33" s="5638"/>
      <c r="BV33" s="5638"/>
      <c r="BW33" s="741">
        <f t="shared" si="22"/>
        <v>6202</v>
      </c>
      <c r="BX33" s="5638"/>
      <c r="BY33" s="5638"/>
      <c r="BZ33" s="5638"/>
      <c r="CA33" s="741">
        <f t="shared" si="23"/>
        <v>6896</v>
      </c>
      <c r="CB33" s="5638"/>
      <c r="CC33" s="5638"/>
      <c r="CD33" s="5638"/>
      <c r="CE33" s="5638"/>
      <c r="CF33" s="5638"/>
      <c r="CG33" s="741">
        <f t="shared" si="24"/>
        <v>865</v>
      </c>
      <c r="CH33" s="5638"/>
      <c r="CI33" s="5638"/>
      <c r="CJ33" s="5638"/>
      <c r="CK33" s="741">
        <f t="shared" si="25"/>
        <v>192.374</v>
      </c>
      <c r="CL33" s="5638"/>
      <c r="CM33" s="5638"/>
      <c r="CN33" s="5638"/>
      <c r="CO33" s="741">
        <f t="shared" si="26"/>
        <v>0</v>
      </c>
      <c r="CP33" s="5638"/>
      <c r="CQ33" s="5638"/>
      <c r="CR33" s="5638"/>
      <c r="CS33" s="5638"/>
      <c r="CT33" s="5638"/>
      <c r="CU33" s="1375">
        <f t="shared" si="27"/>
        <v>15372.545</v>
      </c>
      <c r="CV33" s="768"/>
    </row>
    <row r="34" spans="1:100" ht="15.75" x14ac:dyDescent="0.25">
      <c r="A34" s="276"/>
      <c r="B34" s="276"/>
      <c r="C34" s="276"/>
      <c r="D34" s="276"/>
      <c r="E34" s="312" t="s">
        <v>1351</v>
      </c>
      <c r="F34" s="1532"/>
      <c r="G34" s="281"/>
      <c r="H34" s="281"/>
      <c r="I34" s="316">
        <f t="shared" si="0"/>
        <v>0</v>
      </c>
      <c r="J34" s="281"/>
      <c r="K34" s="281"/>
      <c r="L34" s="281"/>
      <c r="M34" s="316">
        <f t="shared" si="1"/>
        <v>0</v>
      </c>
      <c r="N34" s="317">
        <f t="shared" si="2"/>
        <v>0</v>
      </c>
      <c r="O34" s="278"/>
      <c r="P34" s="278"/>
      <c r="Q34" s="281"/>
      <c r="R34" s="316">
        <f t="shared" si="3"/>
        <v>0</v>
      </c>
      <c r="S34" s="281"/>
      <c r="T34" s="281"/>
      <c r="U34" s="314"/>
      <c r="V34" s="316">
        <f t="shared" si="4"/>
        <v>0</v>
      </c>
      <c r="W34" s="317">
        <f t="shared" si="5"/>
        <v>0</v>
      </c>
      <c r="X34" s="1531">
        <f t="shared" si="6"/>
        <v>0</v>
      </c>
      <c r="Y34" s="279"/>
      <c r="Z34" s="281"/>
      <c r="AA34" s="281"/>
      <c r="AB34" s="316">
        <f t="shared" si="7"/>
        <v>0</v>
      </c>
      <c r="AC34" s="281"/>
      <c r="AD34" s="281"/>
      <c r="AE34" s="281"/>
      <c r="AF34" s="629">
        <f t="shared" si="8"/>
        <v>0</v>
      </c>
      <c r="AG34" s="317">
        <f t="shared" si="9"/>
        <v>0</v>
      </c>
      <c r="AH34" s="278"/>
      <c r="AI34" s="278"/>
      <c r="AJ34" s="278"/>
      <c r="AK34" s="316">
        <f t="shared" si="10"/>
        <v>0</v>
      </c>
      <c r="AL34" s="281"/>
      <c r="AM34" s="281"/>
      <c r="AN34" s="314"/>
      <c r="AO34" s="316">
        <f t="shared" si="11"/>
        <v>0</v>
      </c>
      <c r="AP34" s="317">
        <f t="shared" si="12"/>
        <v>0</v>
      </c>
      <c r="AQ34" s="318">
        <f t="shared" si="13"/>
        <v>0</v>
      </c>
      <c r="AR34" s="315">
        <f t="shared" si="14"/>
        <v>0</v>
      </c>
      <c r="AS34" s="5643"/>
      <c r="AT34" s="276"/>
      <c r="AU34" s="741">
        <f t="shared" si="15"/>
        <v>0</v>
      </c>
      <c r="AV34" s="5638"/>
      <c r="AW34" s="741">
        <f t="shared" si="16"/>
        <v>0</v>
      </c>
      <c r="AX34" s="5638"/>
      <c r="AY34" s="5638"/>
      <c r="AZ34" s="5638"/>
      <c r="BA34" s="741">
        <f t="shared" si="17"/>
        <v>0</v>
      </c>
      <c r="BB34" s="5638"/>
      <c r="BC34" s="5638"/>
      <c r="BD34" s="5638"/>
      <c r="BE34" s="741">
        <f t="shared" si="18"/>
        <v>0</v>
      </c>
      <c r="BF34" s="5638"/>
      <c r="BG34" s="5638"/>
      <c r="BH34" s="5638"/>
      <c r="BI34" s="741">
        <f t="shared" si="19"/>
        <v>0</v>
      </c>
      <c r="BJ34" s="5638"/>
      <c r="BK34" s="5638"/>
      <c r="BL34" s="5638"/>
      <c r="BM34" s="741">
        <f t="shared" si="20"/>
        <v>0</v>
      </c>
      <c r="BN34" s="5638"/>
      <c r="BO34" s="5638"/>
      <c r="BP34" s="5638"/>
      <c r="BQ34" s="5638"/>
      <c r="BR34" s="5638"/>
      <c r="BS34" s="741">
        <f t="shared" si="21"/>
        <v>0</v>
      </c>
      <c r="BT34" s="5638"/>
      <c r="BU34" s="5638"/>
      <c r="BV34" s="5638"/>
      <c r="BW34" s="741">
        <f t="shared" si="22"/>
        <v>0</v>
      </c>
      <c r="BX34" s="5638"/>
      <c r="BY34" s="5638"/>
      <c r="BZ34" s="5638"/>
      <c r="CA34" s="741">
        <f t="shared" si="23"/>
        <v>0</v>
      </c>
      <c r="CB34" s="5638"/>
      <c r="CC34" s="5638"/>
      <c r="CD34" s="5638"/>
      <c r="CE34" s="5638"/>
      <c r="CF34" s="5638"/>
      <c r="CG34" s="741">
        <f t="shared" si="24"/>
        <v>0</v>
      </c>
      <c r="CH34" s="5638"/>
      <c r="CI34" s="5638"/>
      <c r="CJ34" s="5638"/>
      <c r="CK34" s="741">
        <f t="shared" si="25"/>
        <v>0</v>
      </c>
      <c r="CL34" s="5638"/>
      <c r="CM34" s="5638"/>
      <c r="CN34" s="5638"/>
      <c r="CO34" s="741">
        <f t="shared" si="26"/>
        <v>0</v>
      </c>
      <c r="CP34" s="5638"/>
      <c r="CQ34" s="5638"/>
      <c r="CR34" s="5638"/>
      <c r="CS34" s="5638"/>
      <c r="CT34" s="5638"/>
      <c r="CU34" s="1375">
        <f t="shared" si="27"/>
        <v>0</v>
      </c>
      <c r="CV34" s="768"/>
    </row>
    <row r="35" spans="1:100" ht="15.75" x14ac:dyDescent="0.25">
      <c r="A35" s="276"/>
      <c r="B35" s="276"/>
      <c r="C35" s="276"/>
      <c r="D35" s="276"/>
      <c r="E35" s="312" t="s">
        <v>1539</v>
      </c>
      <c r="F35" s="1532">
        <v>1129.4360000000001</v>
      </c>
      <c r="G35" s="281">
        <v>254.96</v>
      </c>
      <c r="H35" s="281"/>
      <c r="I35" s="316">
        <f t="shared" si="0"/>
        <v>1384.3960000000002</v>
      </c>
      <c r="J35" s="281">
        <v>157.102</v>
      </c>
      <c r="K35" s="281">
        <v>350.92400000000004</v>
      </c>
      <c r="L35" s="281">
        <v>454.51</v>
      </c>
      <c r="M35" s="316">
        <f t="shared" si="1"/>
        <v>962.53600000000006</v>
      </c>
      <c r="N35" s="317">
        <f t="shared" si="2"/>
        <v>2346.9320000000002</v>
      </c>
      <c r="O35" s="278">
        <v>845.59999999999991</v>
      </c>
      <c r="P35" s="278">
        <v>507</v>
      </c>
      <c r="Q35" s="281">
        <v>875</v>
      </c>
      <c r="R35" s="316">
        <f t="shared" si="3"/>
        <v>2227.6</v>
      </c>
      <c r="S35" s="281">
        <v>480</v>
      </c>
      <c r="T35" s="281">
        <v>435.48399999999998</v>
      </c>
      <c r="U35" s="314">
        <v>797</v>
      </c>
      <c r="V35" s="316">
        <f t="shared" si="4"/>
        <v>1712.4839999999999</v>
      </c>
      <c r="W35" s="317">
        <f t="shared" si="5"/>
        <v>3940.0839999999998</v>
      </c>
      <c r="X35" s="1531">
        <f t="shared" si="6"/>
        <v>6287.0160000000005</v>
      </c>
      <c r="Y35" s="279"/>
      <c r="Z35" s="281"/>
      <c r="AA35" s="281"/>
      <c r="AB35" s="316">
        <f t="shared" si="7"/>
        <v>0</v>
      </c>
      <c r="AC35" s="281"/>
      <c r="AD35" s="281"/>
      <c r="AE35" s="281"/>
      <c r="AF35" s="629">
        <f t="shared" si="8"/>
        <v>0</v>
      </c>
      <c r="AG35" s="317">
        <f t="shared" si="9"/>
        <v>0</v>
      </c>
      <c r="AH35" s="278"/>
      <c r="AI35" s="278"/>
      <c r="AJ35" s="278"/>
      <c r="AK35" s="316">
        <f t="shared" si="10"/>
        <v>0</v>
      </c>
      <c r="AL35" s="281"/>
      <c r="AM35" s="281"/>
      <c r="AN35" s="314"/>
      <c r="AO35" s="316">
        <f t="shared" si="11"/>
        <v>0</v>
      </c>
      <c r="AP35" s="317">
        <f t="shared" si="12"/>
        <v>0</v>
      </c>
      <c r="AQ35" s="318">
        <f t="shared" si="13"/>
        <v>0</v>
      </c>
      <c r="AR35" s="315">
        <f t="shared" si="14"/>
        <v>6287.0160000000005</v>
      </c>
      <c r="AS35" s="5643"/>
      <c r="AT35" s="276"/>
      <c r="AU35" s="741">
        <f t="shared" si="15"/>
        <v>1129.4360000000001</v>
      </c>
      <c r="AV35" s="5638"/>
      <c r="AW35" s="741">
        <f t="shared" si="16"/>
        <v>254.96</v>
      </c>
      <c r="AX35" s="5638"/>
      <c r="AY35" s="5638"/>
      <c r="AZ35" s="5638"/>
      <c r="BA35" s="741">
        <f t="shared" si="17"/>
        <v>0</v>
      </c>
      <c r="BB35" s="5638"/>
      <c r="BC35" s="5638"/>
      <c r="BD35" s="5638"/>
      <c r="BE35" s="741">
        <f t="shared" si="18"/>
        <v>157.102</v>
      </c>
      <c r="BF35" s="5638"/>
      <c r="BG35" s="5638"/>
      <c r="BH35" s="5638"/>
      <c r="BI35" s="741">
        <f t="shared" si="19"/>
        <v>350.92400000000004</v>
      </c>
      <c r="BJ35" s="5638"/>
      <c r="BK35" s="5638"/>
      <c r="BL35" s="5638"/>
      <c r="BM35" s="741">
        <f t="shared" si="20"/>
        <v>454.51</v>
      </c>
      <c r="BN35" s="5638"/>
      <c r="BO35" s="5638"/>
      <c r="BP35" s="5638"/>
      <c r="BQ35" s="5638"/>
      <c r="BR35" s="5638"/>
      <c r="BS35" s="741">
        <f t="shared" si="21"/>
        <v>845.59999999999991</v>
      </c>
      <c r="BT35" s="5638"/>
      <c r="BU35" s="5638"/>
      <c r="BV35" s="5638"/>
      <c r="BW35" s="741">
        <f t="shared" si="22"/>
        <v>507</v>
      </c>
      <c r="BX35" s="5638"/>
      <c r="BY35" s="5638"/>
      <c r="BZ35" s="5638"/>
      <c r="CA35" s="741">
        <f t="shared" si="23"/>
        <v>875</v>
      </c>
      <c r="CB35" s="5638"/>
      <c r="CC35" s="5638"/>
      <c r="CD35" s="5638"/>
      <c r="CE35" s="5638"/>
      <c r="CF35" s="5638"/>
      <c r="CG35" s="741">
        <f t="shared" si="24"/>
        <v>480</v>
      </c>
      <c r="CH35" s="5638"/>
      <c r="CI35" s="5638"/>
      <c r="CJ35" s="5638"/>
      <c r="CK35" s="741">
        <f t="shared" si="25"/>
        <v>435.48399999999998</v>
      </c>
      <c r="CL35" s="5638"/>
      <c r="CM35" s="5638"/>
      <c r="CN35" s="5638"/>
      <c r="CO35" s="741">
        <f t="shared" si="26"/>
        <v>797</v>
      </c>
      <c r="CP35" s="5638"/>
      <c r="CQ35" s="5638"/>
      <c r="CR35" s="5638"/>
      <c r="CS35" s="5638"/>
      <c r="CT35" s="5638"/>
      <c r="CU35" s="1375">
        <f t="shared" si="27"/>
        <v>6287.0160000000005</v>
      </c>
      <c r="CV35" s="768"/>
    </row>
    <row r="36" spans="1:100" ht="15.75" x14ac:dyDescent="0.25">
      <c r="A36" s="276"/>
      <c r="B36" s="276"/>
      <c r="C36" s="276"/>
      <c r="D36" s="276"/>
      <c r="E36" s="312" t="s">
        <v>1540</v>
      </c>
      <c r="F36" s="1532"/>
      <c r="G36" s="281"/>
      <c r="H36" s="281">
        <v>99.781000000000006</v>
      </c>
      <c r="I36" s="316">
        <f t="shared" si="0"/>
        <v>99.781000000000006</v>
      </c>
      <c r="J36" s="281"/>
      <c r="K36" s="281"/>
      <c r="L36" s="281"/>
      <c r="M36" s="316">
        <f t="shared" si="1"/>
        <v>0</v>
      </c>
      <c r="N36" s="317">
        <f t="shared" si="2"/>
        <v>99.781000000000006</v>
      </c>
      <c r="O36" s="278"/>
      <c r="P36" s="278"/>
      <c r="Q36" s="281"/>
      <c r="R36" s="316">
        <f t="shared" si="3"/>
        <v>0</v>
      </c>
      <c r="S36" s="281"/>
      <c r="T36" s="281"/>
      <c r="U36" s="314"/>
      <c r="V36" s="316">
        <f t="shared" si="4"/>
        <v>0</v>
      </c>
      <c r="W36" s="317">
        <f t="shared" si="5"/>
        <v>0</v>
      </c>
      <c r="X36" s="1531">
        <f t="shared" si="6"/>
        <v>99.781000000000006</v>
      </c>
      <c r="Y36" s="279"/>
      <c r="Z36" s="281"/>
      <c r="AA36" s="281"/>
      <c r="AB36" s="316">
        <f t="shared" si="7"/>
        <v>0</v>
      </c>
      <c r="AC36" s="281"/>
      <c r="AD36" s="281"/>
      <c r="AE36" s="281"/>
      <c r="AF36" s="629">
        <f t="shared" si="8"/>
        <v>0</v>
      </c>
      <c r="AG36" s="317">
        <f t="shared" si="9"/>
        <v>0</v>
      </c>
      <c r="AH36" s="278"/>
      <c r="AI36" s="278"/>
      <c r="AJ36" s="278"/>
      <c r="AK36" s="316">
        <f t="shared" si="10"/>
        <v>0</v>
      </c>
      <c r="AL36" s="281"/>
      <c r="AM36" s="281"/>
      <c r="AN36" s="314"/>
      <c r="AO36" s="316">
        <f t="shared" si="11"/>
        <v>0</v>
      </c>
      <c r="AP36" s="317">
        <f t="shared" si="12"/>
        <v>0</v>
      </c>
      <c r="AQ36" s="318">
        <f t="shared" si="13"/>
        <v>0</v>
      </c>
      <c r="AR36" s="315">
        <f t="shared" si="14"/>
        <v>99.781000000000006</v>
      </c>
      <c r="AS36" s="5643"/>
      <c r="AT36" s="276"/>
      <c r="AU36" s="741">
        <f t="shared" si="15"/>
        <v>0</v>
      </c>
      <c r="AV36" s="5638"/>
      <c r="AW36" s="741">
        <f t="shared" si="16"/>
        <v>0</v>
      </c>
      <c r="AX36" s="5638"/>
      <c r="AY36" s="5638"/>
      <c r="AZ36" s="5638"/>
      <c r="BA36" s="741">
        <f t="shared" si="17"/>
        <v>99.781000000000006</v>
      </c>
      <c r="BB36" s="5638"/>
      <c r="BC36" s="5638"/>
      <c r="BD36" s="5638"/>
      <c r="BE36" s="741">
        <f t="shared" si="18"/>
        <v>0</v>
      </c>
      <c r="BF36" s="5638"/>
      <c r="BG36" s="5638"/>
      <c r="BH36" s="5638"/>
      <c r="BI36" s="741">
        <f t="shared" si="19"/>
        <v>0</v>
      </c>
      <c r="BJ36" s="5638"/>
      <c r="BK36" s="5638"/>
      <c r="BL36" s="5638"/>
      <c r="BM36" s="741">
        <f t="shared" si="20"/>
        <v>0</v>
      </c>
      <c r="BN36" s="5638"/>
      <c r="BO36" s="5638"/>
      <c r="BP36" s="5638"/>
      <c r="BQ36" s="5638"/>
      <c r="BR36" s="5638"/>
      <c r="BS36" s="741">
        <f t="shared" si="21"/>
        <v>0</v>
      </c>
      <c r="BT36" s="5638"/>
      <c r="BU36" s="5638"/>
      <c r="BV36" s="5638"/>
      <c r="BW36" s="741">
        <f t="shared" si="22"/>
        <v>0</v>
      </c>
      <c r="BX36" s="5638"/>
      <c r="BY36" s="5638"/>
      <c r="BZ36" s="5638"/>
      <c r="CA36" s="741">
        <f t="shared" si="23"/>
        <v>0</v>
      </c>
      <c r="CB36" s="5638"/>
      <c r="CC36" s="5638"/>
      <c r="CD36" s="5638"/>
      <c r="CE36" s="5638"/>
      <c r="CF36" s="5638"/>
      <c r="CG36" s="741">
        <f t="shared" si="24"/>
        <v>0</v>
      </c>
      <c r="CH36" s="5638"/>
      <c r="CI36" s="5638"/>
      <c r="CJ36" s="5638"/>
      <c r="CK36" s="741">
        <f t="shared" si="25"/>
        <v>0</v>
      </c>
      <c r="CL36" s="5638"/>
      <c r="CM36" s="5638"/>
      <c r="CN36" s="5638"/>
      <c r="CO36" s="741">
        <f t="shared" si="26"/>
        <v>0</v>
      </c>
      <c r="CP36" s="5638"/>
      <c r="CQ36" s="5638"/>
      <c r="CR36" s="5638"/>
      <c r="CS36" s="5638"/>
      <c r="CT36" s="5638"/>
      <c r="CU36" s="1375">
        <f t="shared" si="27"/>
        <v>99.781000000000006</v>
      </c>
      <c r="CV36" s="768"/>
    </row>
    <row r="37" spans="1:100" ht="15.75" x14ac:dyDescent="0.25">
      <c r="A37" s="276"/>
      <c r="B37" s="276"/>
      <c r="C37" s="276"/>
      <c r="D37" s="276"/>
      <c r="E37" s="312" t="s">
        <v>1541</v>
      </c>
      <c r="F37" s="1532"/>
      <c r="G37" s="281"/>
      <c r="H37" s="281"/>
      <c r="I37" s="316">
        <f t="shared" si="0"/>
        <v>0</v>
      </c>
      <c r="J37" s="281"/>
      <c r="K37" s="281"/>
      <c r="L37" s="281"/>
      <c r="M37" s="316">
        <f t="shared" si="1"/>
        <v>0</v>
      </c>
      <c r="N37" s="317">
        <f t="shared" si="2"/>
        <v>0</v>
      </c>
      <c r="O37" s="278"/>
      <c r="P37" s="278"/>
      <c r="Q37" s="281"/>
      <c r="R37" s="316">
        <f t="shared" si="3"/>
        <v>0</v>
      </c>
      <c r="S37" s="281"/>
      <c r="T37" s="281"/>
      <c r="U37" s="314"/>
      <c r="V37" s="316">
        <f t="shared" si="4"/>
        <v>0</v>
      </c>
      <c r="W37" s="317">
        <f t="shared" si="5"/>
        <v>0</v>
      </c>
      <c r="X37" s="1531">
        <f t="shared" si="6"/>
        <v>0</v>
      </c>
      <c r="Y37" s="279"/>
      <c r="Z37" s="281"/>
      <c r="AA37" s="281"/>
      <c r="AB37" s="316">
        <f t="shared" si="7"/>
        <v>0</v>
      </c>
      <c r="AC37" s="281"/>
      <c r="AD37" s="281"/>
      <c r="AE37" s="281"/>
      <c r="AF37" s="629">
        <f t="shared" si="8"/>
        <v>0</v>
      </c>
      <c r="AG37" s="317">
        <f t="shared" si="9"/>
        <v>0</v>
      </c>
      <c r="AH37" s="278"/>
      <c r="AI37" s="278"/>
      <c r="AJ37" s="278"/>
      <c r="AK37" s="316">
        <f t="shared" si="10"/>
        <v>0</v>
      </c>
      <c r="AL37" s="281"/>
      <c r="AM37" s="281"/>
      <c r="AN37" s="314"/>
      <c r="AO37" s="316">
        <f t="shared" si="11"/>
        <v>0</v>
      </c>
      <c r="AP37" s="317">
        <f t="shared" si="12"/>
        <v>0</v>
      </c>
      <c r="AQ37" s="318">
        <f t="shared" si="13"/>
        <v>0</v>
      </c>
      <c r="AR37" s="315">
        <f t="shared" si="14"/>
        <v>0</v>
      </c>
      <c r="AS37" s="5643"/>
      <c r="AT37" s="276"/>
      <c r="AU37" s="741">
        <f t="shared" si="15"/>
        <v>0</v>
      </c>
      <c r="AV37" s="5638"/>
      <c r="AW37" s="741">
        <f t="shared" si="16"/>
        <v>0</v>
      </c>
      <c r="AX37" s="5638"/>
      <c r="AY37" s="5638"/>
      <c r="AZ37" s="5638"/>
      <c r="BA37" s="741">
        <f t="shared" si="17"/>
        <v>0</v>
      </c>
      <c r="BB37" s="5638"/>
      <c r="BC37" s="5638"/>
      <c r="BD37" s="5638"/>
      <c r="BE37" s="741">
        <f t="shared" si="18"/>
        <v>0</v>
      </c>
      <c r="BF37" s="5638"/>
      <c r="BG37" s="5638"/>
      <c r="BH37" s="5638"/>
      <c r="BI37" s="741">
        <f t="shared" si="19"/>
        <v>0</v>
      </c>
      <c r="BJ37" s="5638"/>
      <c r="BK37" s="5638"/>
      <c r="BL37" s="5638"/>
      <c r="BM37" s="741">
        <f t="shared" si="20"/>
        <v>0</v>
      </c>
      <c r="BN37" s="5638"/>
      <c r="BO37" s="5638"/>
      <c r="BP37" s="5638"/>
      <c r="BQ37" s="5638"/>
      <c r="BR37" s="5638"/>
      <c r="BS37" s="741">
        <f t="shared" si="21"/>
        <v>0</v>
      </c>
      <c r="BT37" s="5638"/>
      <c r="BU37" s="5638"/>
      <c r="BV37" s="5638"/>
      <c r="BW37" s="741">
        <f t="shared" si="22"/>
        <v>0</v>
      </c>
      <c r="BX37" s="5638"/>
      <c r="BY37" s="5638"/>
      <c r="BZ37" s="5638"/>
      <c r="CA37" s="741">
        <f t="shared" si="23"/>
        <v>0</v>
      </c>
      <c r="CB37" s="5638"/>
      <c r="CC37" s="5638"/>
      <c r="CD37" s="5638"/>
      <c r="CE37" s="5638"/>
      <c r="CF37" s="5638"/>
      <c r="CG37" s="741">
        <f t="shared" si="24"/>
        <v>0</v>
      </c>
      <c r="CH37" s="5638"/>
      <c r="CI37" s="5638"/>
      <c r="CJ37" s="5638"/>
      <c r="CK37" s="741">
        <f t="shared" si="25"/>
        <v>0</v>
      </c>
      <c r="CL37" s="5638"/>
      <c r="CM37" s="5638"/>
      <c r="CN37" s="5638"/>
      <c r="CO37" s="741">
        <f t="shared" si="26"/>
        <v>0</v>
      </c>
      <c r="CP37" s="5638"/>
      <c r="CQ37" s="5638"/>
      <c r="CR37" s="5638"/>
      <c r="CS37" s="5638"/>
      <c r="CT37" s="5638"/>
      <c r="CU37" s="1375">
        <f t="shared" si="27"/>
        <v>0</v>
      </c>
      <c r="CV37" s="768"/>
    </row>
    <row r="38" spans="1:100" ht="15.75" x14ac:dyDescent="0.25">
      <c r="A38" s="276"/>
      <c r="B38" s="276"/>
      <c r="C38" s="276"/>
      <c r="D38" s="276"/>
      <c r="E38" s="312" t="s">
        <v>1542</v>
      </c>
      <c r="F38" s="1532">
        <v>1426.6559999999999</v>
      </c>
      <c r="G38" s="281"/>
      <c r="H38" s="281"/>
      <c r="I38" s="316">
        <f t="shared" si="0"/>
        <v>1426.6559999999999</v>
      </c>
      <c r="J38" s="281">
        <v>105.7</v>
      </c>
      <c r="K38" s="281"/>
      <c r="L38" s="281">
        <v>103.586</v>
      </c>
      <c r="M38" s="316">
        <f t="shared" si="1"/>
        <v>209.286</v>
      </c>
      <c r="N38" s="317">
        <f t="shared" si="2"/>
        <v>1635.942</v>
      </c>
      <c r="O38" s="278">
        <v>215.62799999999999</v>
      </c>
      <c r="P38" s="278">
        <v>632</v>
      </c>
      <c r="Q38" s="281">
        <v>696</v>
      </c>
      <c r="R38" s="316">
        <f t="shared" si="3"/>
        <v>1543.6279999999999</v>
      </c>
      <c r="S38" s="281">
        <v>1723</v>
      </c>
      <c r="T38" s="281">
        <v>450.28199999999998</v>
      </c>
      <c r="U38" s="314">
        <v>708</v>
      </c>
      <c r="V38" s="316">
        <f t="shared" si="4"/>
        <v>2881.2820000000002</v>
      </c>
      <c r="W38" s="317">
        <f t="shared" si="5"/>
        <v>4424.91</v>
      </c>
      <c r="X38" s="1531">
        <f t="shared" si="6"/>
        <v>6060.8519999999999</v>
      </c>
      <c r="Y38" s="279"/>
      <c r="Z38" s="281"/>
      <c r="AA38" s="281"/>
      <c r="AB38" s="316">
        <f t="shared" si="7"/>
        <v>0</v>
      </c>
      <c r="AC38" s="281"/>
      <c r="AD38" s="281"/>
      <c r="AE38" s="281"/>
      <c r="AF38" s="629">
        <f t="shared" si="8"/>
        <v>0</v>
      </c>
      <c r="AG38" s="317">
        <f t="shared" si="9"/>
        <v>0</v>
      </c>
      <c r="AH38" s="278"/>
      <c r="AI38" s="278"/>
      <c r="AJ38" s="278"/>
      <c r="AK38" s="316">
        <f t="shared" si="10"/>
        <v>0</v>
      </c>
      <c r="AL38" s="281"/>
      <c r="AM38" s="281"/>
      <c r="AN38" s="314"/>
      <c r="AO38" s="316">
        <f t="shared" si="11"/>
        <v>0</v>
      </c>
      <c r="AP38" s="317">
        <f t="shared" si="12"/>
        <v>0</v>
      </c>
      <c r="AQ38" s="318">
        <f t="shared" si="13"/>
        <v>0</v>
      </c>
      <c r="AR38" s="315">
        <f t="shared" si="14"/>
        <v>6060.8519999999999</v>
      </c>
      <c r="AS38" s="5643"/>
      <c r="AT38" s="276"/>
      <c r="AU38" s="741">
        <f t="shared" si="15"/>
        <v>1426.6559999999999</v>
      </c>
      <c r="AV38" s="5638"/>
      <c r="AW38" s="741">
        <f t="shared" si="16"/>
        <v>0</v>
      </c>
      <c r="AX38" s="5638"/>
      <c r="AY38" s="5638"/>
      <c r="AZ38" s="5638"/>
      <c r="BA38" s="741">
        <f t="shared" si="17"/>
        <v>0</v>
      </c>
      <c r="BB38" s="5638"/>
      <c r="BC38" s="5638"/>
      <c r="BD38" s="5638"/>
      <c r="BE38" s="741">
        <f t="shared" si="18"/>
        <v>105.7</v>
      </c>
      <c r="BF38" s="5638"/>
      <c r="BG38" s="5638"/>
      <c r="BH38" s="5638"/>
      <c r="BI38" s="741">
        <f t="shared" si="19"/>
        <v>0</v>
      </c>
      <c r="BJ38" s="5638"/>
      <c r="BK38" s="5638"/>
      <c r="BL38" s="5638"/>
      <c r="BM38" s="741">
        <f t="shared" si="20"/>
        <v>103.586</v>
      </c>
      <c r="BN38" s="5638"/>
      <c r="BO38" s="5638"/>
      <c r="BP38" s="5638"/>
      <c r="BQ38" s="5638"/>
      <c r="BR38" s="5638"/>
      <c r="BS38" s="741">
        <f t="shared" si="21"/>
        <v>215.62799999999999</v>
      </c>
      <c r="BT38" s="5638"/>
      <c r="BU38" s="5638"/>
      <c r="BV38" s="5638"/>
      <c r="BW38" s="741">
        <f t="shared" si="22"/>
        <v>632</v>
      </c>
      <c r="BX38" s="5638"/>
      <c r="BY38" s="5638"/>
      <c r="BZ38" s="5638"/>
      <c r="CA38" s="741">
        <f t="shared" si="23"/>
        <v>696</v>
      </c>
      <c r="CB38" s="5638"/>
      <c r="CC38" s="5638"/>
      <c r="CD38" s="5638"/>
      <c r="CE38" s="5638"/>
      <c r="CF38" s="5638"/>
      <c r="CG38" s="741">
        <f t="shared" si="24"/>
        <v>1723</v>
      </c>
      <c r="CH38" s="5638"/>
      <c r="CI38" s="5638"/>
      <c r="CJ38" s="5638"/>
      <c r="CK38" s="741">
        <f t="shared" si="25"/>
        <v>450.28199999999998</v>
      </c>
      <c r="CL38" s="5638"/>
      <c r="CM38" s="5638"/>
      <c r="CN38" s="5638"/>
      <c r="CO38" s="741">
        <f t="shared" si="26"/>
        <v>708</v>
      </c>
      <c r="CP38" s="5638"/>
      <c r="CQ38" s="5638"/>
      <c r="CR38" s="5638"/>
      <c r="CS38" s="5638"/>
      <c r="CT38" s="5638"/>
      <c r="CU38" s="1375">
        <f t="shared" si="27"/>
        <v>6060.8519999999999</v>
      </c>
      <c r="CV38" s="768"/>
    </row>
    <row r="39" spans="1:100" ht="15.75" x14ac:dyDescent="0.25">
      <c r="A39" s="276"/>
      <c r="B39" s="276"/>
      <c r="C39" s="276"/>
      <c r="D39" s="276"/>
      <c r="E39" s="312" t="s">
        <v>1543</v>
      </c>
      <c r="F39" s="1532">
        <v>137.995</v>
      </c>
      <c r="G39" s="281"/>
      <c r="H39" s="281"/>
      <c r="I39" s="316">
        <f t="shared" si="0"/>
        <v>137.995</v>
      </c>
      <c r="J39" s="281"/>
      <c r="K39" s="281"/>
      <c r="L39" s="281"/>
      <c r="M39" s="316">
        <f t="shared" si="1"/>
        <v>0</v>
      </c>
      <c r="N39" s="317">
        <f t="shared" si="2"/>
        <v>137.995</v>
      </c>
      <c r="O39" s="278"/>
      <c r="P39" s="278"/>
      <c r="Q39" s="281"/>
      <c r="R39" s="316">
        <f t="shared" si="3"/>
        <v>0</v>
      </c>
      <c r="S39" s="281"/>
      <c r="T39" s="281"/>
      <c r="U39" s="314"/>
      <c r="V39" s="316">
        <f t="shared" si="4"/>
        <v>0</v>
      </c>
      <c r="W39" s="317">
        <f t="shared" si="5"/>
        <v>0</v>
      </c>
      <c r="X39" s="1531">
        <f t="shared" si="6"/>
        <v>137.995</v>
      </c>
      <c r="Y39" s="279"/>
      <c r="Z39" s="281"/>
      <c r="AA39" s="281"/>
      <c r="AB39" s="316">
        <f t="shared" si="7"/>
        <v>0</v>
      </c>
      <c r="AC39" s="281"/>
      <c r="AD39" s="281"/>
      <c r="AE39" s="281"/>
      <c r="AF39" s="629">
        <f t="shared" si="8"/>
        <v>0</v>
      </c>
      <c r="AG39" s="317">
        <f t="shared" si="9"/>
        <v>0</v>
      </c>
      <c r="AH39" s="278"/>
      <c r="AI39" s="278"/>
      <c r="AJ39" s="278"/>
      <c r="AK39" s="316">
        <f t="shared" si="10"/>
        <v>0</v>
      </c>
      <c r="AL39" s="281"/>
      <c r="AM39" s="281"/>
      <c r="AN39" s="314"/>
      <c r="AO39" s="316">
        <f t="shared" si="11"/>
        <v>0</v>
      </c>
      <c r="AP39" s="317">
        <f t="shared" si="12"/>
        <v>0</v>
      </c>
      <c r="AQ39" s="318">
        <f t="shared" si="13"/>
        <v>0</v>
      </c>
      <c r="AR39" s="315">
        <f t="shared" si="14"/>
        <v>137.995</v>
      </c>
      <c r="AS39" s="5643"/>
      <c r="AT39" s="276"/>
      <c r="AU39" s="741">
        <f t="shared" si="15"/>
        <v>137.995</v>
      </c>
      <c r="AV39" s="5638"/>
      <c r="AW39" s="741">
        <f t="shared" si="16"/>
        <v>0</v>
      </c>
      <c r="AX39" s="5638"/>
      <c r="AY39" s="5638"/>
      <c r="AZ39" s="5638"/>
      <c r="BA39" s="741">
        <f t="shared" si="17"/>
        <v>0</v>
      </c>
      <c r="BB39" s="5638"/>
      <c r="BC39" s="5638"/>
      <c r="BD39" s="5638"/>
      <c r="BE39" s="741">
        <f t="shared" si="18"/>
        <v>0</v>
      </c>
      <c r="BF39" s="5638"/>
      <c r="BG39" s="5638"/>
      <c r="BH39" s="5638"/>
      <c r="BI39" s="741">
        <f t="shared" si="19"/>
        <v>0</v>
      </c>
      <c r="BJ39" s="5638"/>
      <c r="BK39" s="5638"/>
      <c r="BL39" s="5638"/>
      <c r="BM39" s="741">
        <f t="shared" si="20"/>
        <v>0</v>
      </c>
      <c r="BN39" s="5638"/>
      <c r="BO39" s="5638"/>
      <c r="BP39" s="5638"/>
      <c r="BQ39" s="5638"/>
      <c r="BR39" s="5638"/>
      <c r="BS39" s="741">
        <f t="shared" si="21"/>
        <v>0</v>
      </c>
      <c r="BT39" s="5638"/>
      <c r="BU39" s="5638"/>
      <c r="BV39" s="5638"/>
      <c r="BW39" s="741">
        <f t="shared" si="22"/>
        <v>0</v>
      </c>
      <c r="BX39" s="5638"/>
      <c r="BY39" s="5638"/>
      <c r="BZ39" s="5638"/>
      <c r="CA39" s="741">
        <f t="shared" si="23"/>
        <v>0</v>
      </c>
      <c r="CB39" s="5638"/>
      <c r="CC39" s="5638"/>
      <c r="CD39" s="5638"/>
      <c r="CE39" s="5638"/>
      <c r="CF39" s="5638"/>
      <c r="CG39" s="741">
        <f t="shared" si="24"/>
        <v>0</v>
      </c>
      <c r="CH39" s="5638"/>
      <c r="CI39" s="5638"/>
      <c r="CJ39" s="5638"/>
      <c r="CK39" s="741">
        <f t="shared" si="25"/>
        <v>0</v>
      </c>
      <c r="CL39" s="5638"/>
      <c r="CM39" s="5638"/>
      <c r="CN39" s="5638"/>
      <c r="CO39" s="741">
        <f t="shared" si="26"/>
        <v>0</v>
      </c>
      <c r="CP39" s="5638"/>
      <c r="CQ39" s="5638"/>
      <c r="CR39" s="5638"/>
      <c r="CS39" s="5638"/>
      <c r="CT39" s="5638"/>
      <c r="CU39" s="1375">
        <f t="shared" si="27"/>
        <v>137.995</v>
      </c>
      <c r="CV39" s="768"/>
    </row>
    <row r="40" spans="1:100" s="4111" customFormat="1" ht="15.75" x14ac:dyDescent="0.25">
      <c r="A40" s="276"/>
      <c r="B40" s="276"/>
      <c r="C40" s="276"/>
      <c r="D40" s="276"/>
      <c r="E40" s="312" t="s">
        <v>1852</v>
      </c>
      <c r="F40" s="1532"/>
      <c r="G40" s="281"/>
      <c r="H40" s="281"/>
      <c r="I40" s="316">
        <f t="shared" si="0"/>
        <v>0</v>
      </c>
      <c r="J40" s="281"/>
      <c r="K40" s="281"/>
      <c r="L40" s="281"/>
      <c r="M40" s="316">
        <f t="shared" si="1"/>
        <v>0</v>
      </c>
      <c r="N40" s="317">
        <f t="shared" si="2"/>
        <v>0</v>
      </c>
      <c r="O40" s="278">
        <v>126.84</v>
      </c>
      <c r="P40" s="278"/>
      <c r="Q40" s="281"/>
      <c r="R40" s="316">
        <f t="shared" si="3"/>
        <v>126.84</v>
      </c>
      <c r="S40" s="281"/>
      <c r="T40" s="281"/>
      <c r="U40" s="314"/>
      <c r="V40" s="316">
        <f t="shared" si="4"/>
        <v>0</v>
      </c>
      <c r="W40" s="317">
        <f t="shared" si="5"/>
        <v>126.84</v>
      </c>
      <c r="X40" s="1531">
        <f t="shared" si="6"/>
        <v>126.84</v>
      </c>
      <c r="Y40" s="279"/>
      <c r="Z40" s="281"/>
      <c r="AA40" s="281"/>
      <c r="AB40" s="316">
        <f t="shared" si="7"/>
        <v>0</v>
      </c>
      <c r="AC40" s="281"/>
      <c r="AD40" s="281"/>
      <c r="AE40" s="281"/>
      <c r="AF40" s="629">
        <f t="shared" si="8"/>
        <v>0</v>
      </c>
      <c r="AG40" s="317">
        <f t="shared" si="9"/>
        <v>0</v>
      </c>
      <c r="AH40" s="278"/>
      <c r="AI40" s="278"/>
      <c r="AJ40" s="278"/>
      <c r="AK40" s="316">
        <f t="shared" si="10"/>
        <v>0</v>
      </c>
      <c r="AL40" s="281"/>
      <c r="AM40" s="281"/>
      <c r="AN40" s="314"/>
      <c r="AO40" s="316"/>
      <c r="AP40" s="317"/>
      <c r="AQ40" s="318">
        <f t="shared" si="13"/>
        <v>0</v>
      </c>
      <c r="AR40" s="315">
        <f t="shared" si="14"/>
        <v>126.84</v>
      </c>
      <c r="AS40" s="5643"/>
      <c r="AT40" s="276"/>
      <c r="AU40" s="741"/>
      <c r="AV40" s="5638"/>
      <c r="AW40" s="741"/>
      <c r="AX40" s="5638"/>
      <c r="AY40" s="5638"/>
      <c r="AZ40" s="5638"/>
      <c r="BA40" s="741"/>
      <c r="BB40" s="5638"/>
      <c r="BC40" s="5638"/>
      <c r="BD40" s="5638"/>
      <c r="BE40" s="741"/>
      <c r="BF40" s="5638"/>
      <c r="BG40" s="5638"/>
      <c r="BH40" s="5638"/>
      <c r="BI40" s="741"/>
      <c r="BJ40" s="5638"/>
      <c r="BK40" s="5638"/>
      <c r="BL40" s="5638"/>
      <c r="BM40" s="741"/>
      <c r="BN40" s="5638"/>
      <c r="BO40" s="5638"/>
      <c r="BP40" s="5638"/>
      <c r="BQ40" s="5638"/>
      <c r="BR40" s="5638"/>
      <c r="BS40" s="741">
        <f t="shared" si="21"/>
        <v>126.84</v>
      </c>
      <c r="BT40" s="5638"/>
      <c r="BU40" s="5638"/>
      <c r="BV40" s="5638"/>
      <c r="BW40" s="741">
        <f t="shared" si="22"/>
        <v>0</v>
      </c>
      <c r="BX40" s="5638"/>
      <c r="BY40" s="5638"/>
      <c r="BZ40" s="5638"/>
      <c r="CA40" s="741">
        <f t="shared" si="23"/>
        <v>0</v>
      </c>
      <c r="CB40" s="5638"/>
      <c r="CC40" s="5638"/>
      <c r="CD40" s="5638"/>
      <c r="CE40" s="5638"/>
      <c r="CF40" s="5638"/>
      <c r="CG40" s="741">
        <f t="shared" si="24"/>
        <v>0</v>
      </c>
      <c r="CH40" s="5638"/>
      <c r="CI40" s="5638"/>
      <c r="CJ40" s="5638"/>
      <c r="CK40" s="741">
        <f t="shared" si="25"/>
        <v>0</v>
      </c>
      <c r="CL40" s="5638"/>
      <c r="CM40" s="5638"/>
      <c r="CN40" s="5638"/>
      <c r="CO40" s="741">
        <f t="shared" si="26"/>
        <v>0</v>
      </c>
      <c r="CP40" s="5638"/>
      <c r="CQ40" s="5638"/>
      <c r="CR40" s="5638"/>
      <c r="CS40" s="5638"/>
      <c r="CT40" s="5638"/>
      <c r="CU40" s="1375">
        <f t="shared" si="27"/>
        <v>126.84</v>
      </c>
      <c r="CV40" s="768"/>
    </row>
    <row r="41" spans="1:100" ht="15.75" x14ac:dyDescent="0.25">
      <c r="A41" s="276"/>
      <c r="B41" s="276"/>
      <c r="C41" s="276"/>
      <c r="D41" s="276"/>
      <c r="E41" s="312" t="s">
        <v>1544</v>
      </c>
      <c r="F41" s="1532"/>
      <c r="G41" s="281"/>
      <c r="H41" s="281"/>
      <c r="I41" s="316">
        <f t="shared" si="0"/>
        <v>0</v>
      </c>
      <c r="J41" s="281">
        <v>410.11599999999999</v>
      </c>
      <c r="K41" s="281"/>
      <c r="L41" s="281"/>
      <c r="M41" s="316">
        <f t="shared" si="1"/>
        <v>410.11599999999999</v>
      </c>
      <c r="N41" s="317">
        <f t="shared" si="2"/>
        <v>410.11599999999999</v>
      </c>
      <c r="O41" s="278">
        <v>1018.9480000000001</v>
      </c>
      <c r="P41" s="278">
        <v>112</v>
      </c>
      <c r="Q41" s="281">
        <v>550</v>
      </c>
      <c r="R41" s="316">
        <f t="shared" si="3"/>
        <v>1680.9480000000001</v>
      </c>
      <c r="S41" s="281">
        <v>683</v>
      </c>
      <c r="T41" s="281">
        <v>272.70600000000002</v>
      </c>
      <c r="U41" s="314">
        <v>575</v>
      </c>
      <c r="V41" s="316">
        <f t="shared" si="4"/>
        <v>1530.7060000000001</v>
      </c>
      <c r="W41" s="317">
        <f t="shared" si="5"/>
        <v>3211.6540000000005</v>
      </c>
      <c r="X41" s="1531">
        <f t="shared" si="6"/>
        <v>3621.7700000000004</v>
      </c>
      <c r="Y41" s="279"/>
      <c r="Z41" s="281"/>
      <c r="AA41" s="281"/>
      <c r="AB41" s="316">
        <f t="shared" si="7"/>
        <v>0</v>
      </c>
      <c r="AC41" s="281"/>
      <c r="AD41" s="281"/>
      <c r="AE41" s="281"/>
      <c r="AF41" s="629">
        <f t="shared" si="8"/>
        <v>0</v>
      </c>
      <c r="AG41" s="317">
        <f t="shared" si="9"/>
        <v>0</v>
      </c>
      <c r="AH41" s="278"/>
      <c r="AI41" s="278"/>
      <c r="AJ41" s="278"/>
      <c r="AK41" s="316">
        <f t="shared" si="10"/>
        <v>0</v>
      </c>
      <c r="AL41" s="281"/>
      <c r="AM41" s="281"/>
      <c r="AN41" s="314"/>
      <c r="AO41" s="316">
        <f t="shared" si="11"/>
        <v>0</v>
      </c>
      <c r="AP41" s="317">
        <f t="shared" si="12"/>
        <v>0</v>
      </c>
      <c r="AQ41" s="318">
        <f t="shared" si="13"/>
        <v>0</v>
      </c>
      <c r="AR41" s="315">
        <f t="shared" si="14"/>
        <v>3621.7700000000004</v>
      </c>
      <c r="AS41" s="5643"/>
      <c r="AT41" s="276"/>
      <c r="AU41" s="741">
        <f t="shared" si="15"/>
        <v>0</v>
      </c>
      <c r="AV41" s="5638"/>
      <c r="AW41" s="741">
        <f t="shared" si="16"/>
        <v>0</v>
      </c>
      <c r="AX41" s="5638"/>
      <c r="AY41" s="5638"/>
      <c r="AZ41" s="5638"/>
      <c r="BA41" s="741">
        <f t="shared" si="17"/>
        <v>0</v>
      </c>
      <c r="BB41" s="5638"/>
      <c r="BC41" s="5638"/>
      <c r="BD41" s="5638"/>
      <c r="BE41" s="741">
        <f t="shared" si="18"/>
        <v>410.11599999999999</v>
      </c>
      <c r="BF41" s="5638"/>
      <c r="BG41" s="5638"/>
      <c r="BH41" s="5638"/>
      <c r="BI41" s="741">
        <f t="shared" si="19"/>
        <v>0</v>
      </c>
      <c r="BJ41" s="5638"/>
      <c r="BK41" s="5638"/>
      <c r="BL41" s="5638"/>
      <c r="BM41" s="741">
        <f t="shared" si="20"/>
        <v>0</v>
      </c>
      <c r="BN41" s="5638"/>
      <c r="BO41" s="5638"/>
      <c r="BP41" s="5638"/>
      <c r="BQ41" s="5638"/>
      <c r="BR41" s="5638"/>
      <c r="BS41" s="741">
        <f t="shared" si="21"/>
        <v>1018.9480000000001</v>
      </c>
      <c r="BT41" s="5638"/>
      <c r="BU41" s="5638"/>
      <c r="BV41" s="5638"/>
      <c r="BW41" s="741">
        <f t="shared" si="22"/>
        <v>112</v>
      </c>
      <c r="BX41" s="5638"/>
      <c r="BY41" s="5638"/>
      <c r="BZ41" s="5638"/>
      <c r="CA41" s="741">
        <f t="shared" si="23"/>
        <v>550</v>
      </c>
      <c r="CB41" s="5638"/>
      <c r="CC41" s="5638"/>
      <c r="CD41" s="5638"/>
      <c r="CE41" s="5638"/>
      <c r="CF41" s="5638"/>
      <c r="CG41" s="741">
        <f t="shared" si="24"/>
        <v>683</v>
      </c>
      <c r="CH41" s="5638"/>
      <c r="CI41" s="5638"/>
      <c r="CJ41" s="5638"/>
      <c r="CK41" s="741">
        <f t="shared" si="25"/>
        <v>272.70600000000002</v>
      </c>
      <c r="CL41" s="5638"/>
      <c r="CM41" s="5638"/>
      <c r="CN41" s="5638"/>
      <c r="CO41" s="741">
        <f t="shared" si="26"/>
        <v>575</v>
      </c>
      <c r="CP41" s="5638"/>
      <c r="CQ41" s="5638"/>
      <c r="CR41" s="5638"/>
      <c r="CS41" s="5638"/>
      <c r="CT41" s="5638"/>
      <c r="CU41" s="1375">
        <f t="shared" si="27"/>
        <v>3621.7700000000004</v>
      </c>
      <c r="CV41" s="768"/>
    </row>
    <row r="42" spans="1:100" ht="15.75" x14ac:dyDescent="0.25">
      <c r="A42" s="276"/>
      <c r="B42" s="276"/>
      <c r="C42" s="276"/>
      <c r="D42" s="276"/>
      <c r="E42" s="312" t="s">
        <v>1630</v>
      </c>
      <c r="F42" s="1532"/>
      <c r="G42" s="281"/>
      <c r="H42" s="281">
        <v>324.81900000000002</v>
      </c>
      <c r="I42" s="316">
        <f t="shared" si="0"/>
        <v>324.81900000000002</v>
      </c>
      <c r="J42" s="281">
        <v>922.452</v>
      </c>
      <c r="K42" s="281">
        <v>1779.9879999999996</v>
      </c>
      <c r="L42" s="281"/>
      <c r="M42" s="316">
        <f t="shared" si="1"/>
        <v>2702.4399999999996</v>
      </c>
      <c r="N42" s="317">
        <f t="shared" si="2"/>
        <v>3027.2589999999996</v>
      </c>
      <c r="O42" s="278">
        <v>317.09999999999997</v>
      </c>
      <c r="P42" s="278">
        <v>2222</v>
      </c>
      <c r="Q42" s="281"/>
      <c r="R42" s="316">
        <f t="shared" si="3"/>
        <v>2539.1</v>
      </c>
      <c r="S42" s="281">
        <v>252</v>
      </c>
      <c r="T42" s="281">
        <v>97.244</v>
      </c>
      <c r="U42" s="314"/>
      <c r="V42" s="316">
        <f t="shared" si="4"/>
        <v>349.24400000000003</v>
      </c>
      <c r="W42" s="317">
        <f t="shared" si="5"/>
        <v>2888.3440000000001</v>
      </c>
      <c r="X42" s="1531">
        <f t="shared" si="6"/>
        <v>5915.6029999999992</v>
      </c>
      <c r="Y42" s="279"/>
      <c r="Z42" s="281"/>
      <c r="AA42" s="281"/>
      <c r="AB42" s="316">
        <f t="shared" si="7"/>
        <v>0</v>
      </c>
      <c r="AC42" s="281"/>
      <c r="AD42" s="281"/>
      <c r="AE42" s="281"/>
      <c r="AF42" s="629">
        <f t="shared" si="8"/>
        <v>0</v>
      </c>
      <c r="AG42" s="317">
        <f t="shared" si="9"/>
        <v>0</v>
      </c>
      <c r="AH42" s="278"/>
      <c r="AI42" s="278"/>
      <c r="AJ42" s="278"/>
      <c r="AK42" s="316">
        <f t="shared" si="10"/>
        <v>0</v>
      </c>
      <c r="AL42" s="281"/>
      <c r="AM42" s="281"/>
      <c r="AN42" s="314"/>
      <c r="AO42" s="316">
        <f t="shared" si="11"/>
        <v>0</v>
      </c>
      <c r="AP42" s="317">
        <f t="shared" si="12"/>
        <v>0</v>
      </c>
      <c r="AQ42" s="318">
        <f t="shared" si="13"/>
        <v>0</v>
      </c>
      <c r="AR42" s="315">
        <f t="shared" si="14"/>
        <v>5915.6029999999992</v>
      </c>
      <c r="AS42" s="5643"/>
      <c r="AT42" s="276"/>
      <c r="AU42" s="741">
        <f t="shared" si="15"/>
        <v>0</v>
      </c>
      <c r="AV42" s="5638"/>
      <c r="AW42" s="741">
        <f t="shared" si="16"/>
        <v>0</v>
      </c>
      <c r="AX42" s="5638"/>
      <c r="AY42" s="5638"/>
      <c r="AZ42" s="5638"/>
      <c r="BA42" s="741">
        <f t="shared" si="17"/>
        <v>324.81900000000002</v>
      </c>
      <c r="BB42" s="5638"/>
      <c r="BC42" s="5638"/>
      <c r="BD42" s="5638"/>
      <c r="BE42" s="741">
        <f t="shared" si="18"/>
        <v>922.452</v>
      </c>
      <c r="BF42" s="5638"/>
      <c r="BG42" s="5638"/>
      <c r="BH42" s="5638"/>
      <c r="BI42" s="741">
        <f t="shared" si="19"/>
        <v>1779.9879999999996</v>
      </c>
      <c r="BJ42" s="5638"/>
      <c r="BK42" s="5638"/>
      <c r="BL42" s="5638"/>
      <c r="BM42" s="741">
        <f t="shared" si="20"/>
        <v>0</v>
      </c>
      <c r="BN42" s="5638"/>
      <c r="BO42" s="5638"/>
      <c r="BP42" s="5638"/>
      <c r="BQ42" s="5638"/>
      <c r="BR42" s="5638"/>
      <c r="BS42" s="741">
        <f t="shared" si="21"/>
        <v>317.09999999999997</v>
      </c>
      <c r="BT42" s="5638"/>
      <c r="BU42" s="5638"/>
      <c r="BV42" s="5638"/>
      <c r="BW42" s="741">
        <f t="shared" si="22"/>
        <v>2222</v>
      </c>
      <c r="BX42" s="5638"/>
      <c r="BY42" s="5638"/>
      <c r="BZ42" s="5638"/>
      <c r="CA42" s="741">
        <f t="shared" si="23"/>
        <v>0</v>
      </c>
      <c r="CB42" s="5638"/>
      <c r="CC42" s="5638"/>
      <c r="CD42" s="5638"/>
      <c r="CE42" s="5638"/>
      <c r="CF42" s="5638"/>
      <c r="CG42" s="741">
        <f t="shared" si="24"/>
        <v>252</v>
      </c>
      <c r="CH42" s="5638"/>
      <c r="CI42" s="5638"/>
      <c r="CJ42" s="5638"/>
      <c r="CK42" s="741">
        <f t="shared" si="25"/>
        <v>97.244</v>
      </c>
      <c r="CL42" s="5638"/>
      <c r="CM42" s="5638"/>
      <c r="CN42" s="5638"/>
      <c r="CO42" s="741">
        <f t="shared" si="26"/>
        <v>0</v>
      </c>
      <c r="CP42" s="5638"/>
      <c r="CQ42" s="5638"/>
      <c r="CR42" s="5638"/>
      <c r="CS42" s="5638"/>
      <c r="CT42" s="5638"/>
      <c r="CU42" s="1375">
        <f t="shared" si="27"/>
        <v>5915.6029999999992</v>
      </c>
      <c r="CV42" s="768"/>
    </row>
    <row r="43" spans="1:100" ht="15.75" x14ac:dyDescent="0.25">
      <c r="A43" s="276"/>
      <c r="B43" s="276"/>
      <c r="C43" s="276"/>
      <c r="D43" s="276"/>
      <c r="E43" s="312" t="s">
        <v>1545</v>
      </c>
      <c r="F43" s="1532"/>
      <c r="G43" s="281"/>
      <c r="H43" s="281"/>
      <c r="I43" s="316">
        <f t="shared" si="0"/>
        <v>0</v>
      </c>
      <c r="J43" s="281"/>
      <c r="K43" s="281"/>
      <c r="L43" s="281"/>
      <c r="M43" s="316">
        <f t="shared" si="1"/>
        <v>0</v>
      </c>
      <c r="N43" s="317">
        <f t="shared" si="2"/>
        <v>0</v>
      </c>
      <c r="O43" s="278"/>
      <c r="P43" s="278"/>
      <c r="Q43" s="281"/>
      <c r="R43" s="316">
        <f t="shared" si="3"/>
        <v>0</v>
      </c>
      <c r="S43" s="281"/>
      <c r="T43" s="281"/>
      <c r="U43" s="314"/>
      <c r="V43" s="316">
        <f t="shared" si="4"/>
        <v>0</v>
      </c>
      <c r="W43" s="317">
        <f t="shared" si="5"/>
        <v>0</v>
      </c>
      <c r="X43" s="1531">
        <f t="shared" si="6"/>
        <v>0</v>
      </c>
      <c r="Y43" s="279"/>
      <c r="Z43" s="281"/>
      <c r="AA43" s="281"/>
      <c r="AB43" s="316">
        <f t="shared" si="7"/>
        <v>0</v>
      </c>
      <c r="AC43" s="281"/>
      <c r="AD43" s="281"/>
      <c r="AE43" s="281"/>
      <c r="AF43" s="629">
        <f t="shared" si="8"/>
        <v>0</v>
      </c>
      <c r="AG43" s="317">
        <f t="shared" si="9"/>
        <v>0</v>
      </c>
      <c r="AH43" s="278"/>
      <c r="AI43" s="278"/>
      <c r="AJ43" s="278"/>
      <c r="AK43" s="316">
        <f t="shared" si="10"/>
        <v>0</v>
      </c>
      <c r="AL43" s="281"/>
      <c r="AM43" s="281"/>
      <c r="AN43" s="314"/>
      <c r="AO43" s="316">
        <f t="shared" si="11"/>
        <v>0</v>
      </c>
      <c r="AP43" s="317">
        <f t="shared" si="12"/>
        <v>0</v>
      </c>
      <c r="AQ43" s="318">
        <f t="shared" si="13"/>
        <v>0</v>
      </c>
      <c r="AR43" s="315">
        <f t="shared" si="14"/>
        <v>0</v>
      </c>
      <c r="AS43" s="5643"/>
      <c r="AT43" s="276"/>
      <c r="AU43" s="741">
        <f t="shared" si="15"/>
        <v>0</v>
      </c>
      <c r="AV43" s="5638"/>
      <c r="AW43" s="741">
        <f t="shared" si="16"/>
        <v>0</v>
      </c>
      <c r="AX43" s="5638"/>
      <c r="AY43" s="5638"/>
      <c r="AZ43" s="5638"/>
      <c r="BA43" s="741">
        <f t="shared" si="17"/>
        <v>0</v>
      </c>
      <c r="BB43" s="5638"/>
      <c r="BC43" s="5638"/>
      <c r="BD43" s="5638"/>
      <c r="BE43" s="741">
        <f t="shared" si="18"/>
        <v>0</v>
      </c>
      <c r="BF43" s="5638"/>
      <c r="BG43" s="5638"/>
      <c r="BH43" s="5638"/>
      <c r="BI43" s="741">
        <f t="shared" si="19"/>
        <v>0</v>
      </c>
      <c r="BJ43" s="5638"/>
      <c r="BK43" s="5638"/>
      <c r="BL43" s="5638"/>
      <c r="BM43" s="741">
        <f t="shared" si="20"/>
        <v>0</v>
      </c>
      <c r="BN43" s="5638"/>
      <c r="BO43" s="5638"/>
      <c r="BP43" s="5638"/>
      <c r="BQ43" s="5638"/>
      <c r="BR43" s="5638"/>
      <c r="BS43" s="741">
        <f t="shared" si="21"/>
        <v>0</v>
      </c>
      <c r="BT43" s="5638"/>
      <c r="BU43" s="5638"/>
      <c r="BV43" s="5638"/>
      <c r="BW43" s="741">
        <f t="shared" si="22"/>
        <v>0</v>
      </c>
      <c r="BX43" s="5638"/>
      <c r="BY43" s="5638"/>
      <c r="BZ43" s="5638"/>
      <c r="CA43" s="741">
        <f t="shared" si="23"/>
        <v>0</v>
      </c>
      <c r="CB43" s="5638"/>
      <c r="CC43" s="5638"/>
      <c r="CD43" s="5638"/>
      <c r="CE43" s="5638"/>
      <c r="CF43" s="5638"/>
      <c r="CG43" s="741">
        <f t="shared" si="24"/>
        <v>0</v>
      </c>
      <c r="CH43" s="5638"/>
      <c r="CI43" s="5638"/>
      <c r="CJ43" s="5638"/>
      <c r="CK43" s="741">
        <f t="shared" si="25"/>
        <v>0</v>
      </c>
      <c r="CL43" s="5638"/>
      <c r="CM43" s="5638"/>
      <c r="CN43" s="5638"/>
      <c r="CO43" s="741">
        <f t="shared" si="26"/>
        <v>0</v>
      </c>
      <c r="CP43" s="5638"/>
      <c r="CQ43" s="5638"/>
      <c r="CR43" s="5638"/>
      <c r="CS43" s="5638"/>
      <c r="CT43" s="5638"/>
      <c r="CU43" s="1375">
        <f t="shared" si="27"/>
        <v>0</v>
      </c>
      <c r="CV43" s="768"/>
    </row>
    <row r="44" spans="1:100" ht="15.75" x14ac:dyDescent="0.25">
      <c r="A44" s="276"/>
      <c r="B44" s="276"/>
      <c r="C44" s="276"/>
      <c r="D44" s="276"/>
      <c r="E44" s="312" t="s">
        <v>1546</v>
      </c>
      <c r="F44" s="1532">
        <v>592.31700000000001</v>
      </c>
      <c r="G44" s="281"/>
      <c r="H44" s="281"/>
      <c r="I44" s="316">
        <f t="shared" si="0"/>
        <v>592.31700000000001</v>
      </c>
      <c r="J44" s="281"/>
      <c r="K44" s="281">
        <v>1306.4520000000002</v>
      </c>
      <c r="L44" s="281"/>
      <c r="M44" s="316">
        <f t="shared" si="1"/>
        <v>1306.4520000000002</v>
      </c>
      <c r="N44" s="317">
        <f t="shared" si="2"/>
        <v>1898.7690000000002</v>
      </c>
      <c r="O44" s="278"/>
      <c r="P44" s="278">
        <v>873</v>
      </c>
      <c r="Q44" s="281"/>
      <c r="R44" s="316">
        <f t="shared" si="3"/>
        <v>873</v>
      </c>
      <c r="S44" s="281"/>
      <c r="T44" s="281">
        <v>433.37</v>
      </c>
      <c r="U44" s="314"/>
      <c r="V44" s="316">
        <f t="shared" si="4"/>
        <v>433.37</v>
      </c>
      <c r="W44" s="317">
        <f t="shared" si="5"/>
        <v>1306.3699999999999</v>
      </c>
      <c r="X44" s="1531">
        <f t="shared" si="6"/>
        <v>3205.1390000000001</v>
      </c>
      <c r="Y44" s="279"/>
      <c r="Z44" s="281"/>
      <c r="AA44" s="281"/>
      <c r="AB44" s="316">
        <f t="shared" si="7"/>
        <v>0</v>
      </c>
      <c r="AC44" s="281"/>
      <c r="AD44" s="281"/>
      <c r="AE44" s="281"/>
      <c r="AF44" s="629">
        <f t="shared" si="8"/>
        <v>0</v>
      </c>
      <c r="AG44" s="317">
        <f t="shared" si="9"/>
        <v>0</v>
      </c>
      <c r="AH44" s="278"/>
      <c r="AI44" s="278"/>
      <c r="AJ44" s="278"/>
      <c r="AK44" s="316">
        <f t="shared" si="10"/>
        <v>0</v>
      </c>
      <c r="AL44" s="281"/>
      <c r="AM44" s="281"/>
      <c r="AN44" s="314"/>
      <c r="AO44" s="316">
        <f t="shared" si="11"/>
        <v>0</v>
      </c>
      <c r="AP44" s="317">
        <f t="shared" si="12"/>
        <v>0</v>
      </c>
      <c r="AQ44" s="318">
        <f t="shared" si="13"/>
        <v>0</v>
      </c>
      <c r="AR44" s="315">
        <f t="shared" si="14"/>
        <v>3205.1390000000001</v>
      </c>
      <c r="AS44" s="5643"/>
      <c r="AT44" s="276"/>
      <c r="AU44" s="741">
        <f t="shared" si="15"/>
        <v>592.31700000000001</v>
      </c>
      <c r="AV44" s="5638"/>
      <c r="AW44" s="741">
        <f t="shared" si="16"/>
        <v>0</v>
      </c>
      <c r="AX44" s="5638"/>
      <c r="AY44" s="5638"/>
      <c r="AZ44" s="5638"/>
      <c r="BA44" s="741">
        <f t="shared" si="17"/>
        <v>0</v>
      </c>
      <c r="BB44" s="5638"/>
      <c r="BC44" s="5638"/>
      <c r="BD44" s="5638"/>
      <c r="BE44" s="741">
        <f t="shared" si="18"/>
        <v>0</v>
      </c>
      <c r="BF44" s="5638"/>
      <c r="BG44" s="5638"/>
      <c r="BH44" s="5638"/>
      <c r="BI44" s="741">
        <f t="shared" si="19"/>
        <v>1306.4520000000002</v>
      </c>
      <c r="BJ44" s="5638"/>
      <c r="BK44" s="5638"/>
      <c r="BL44" s="5638"/>
      <c r="BM44" s="741">
        <f t="shared" si="20"/>
        <v>0</v>
      </c>
      <c r="BN44" s="5638"/>
      <c r="BO44" s="5638"/>
      <c r="BP44" s="5638"/>
      <c r="BQ44" s="5638"/>
      <c r="BR44" s="5638"/>
      <c r="BS44" s="741">
        <f t="shared" si="21"/>
        <v>0</v>
      </c>
      <c r="BT44" s="5638"/>
      <c r="BU44" s="5638"/>
      <c r="BV44" s="5638"/>
      <c r="BW44" s="741">
        <f t="shared" si="22"/>
        <v>873</v>
      </c>
      <c r="BX44" s="5638"/>
      <c r="BY44" s="5638"/>
      <c r="BZ44" s="5638"/>
      <c r="CA44" s="741">
        <f t="shared" si="23"/>
        <v>0</v>
      </c>
      <c r="CB44" s="5638"/>
      <c r="CC44" s="5638"/>
      <c r="CD44" s="5638"/>
      <c r="CE44" s="5638"/>
      <c r="CF44" s="5638"/>
      <c r="CG44" s="741">
        <f t="shared" si="24"/>
        <v>0</v>
      </c>
      <c r="CH44" s="5638"/>
      <c r="CI44" s="5638"/>
      <c r="CJ44" s="5638"/>
      <c r="CK44" s="741">
        <f t="shared" si="25"/>
        <v>433.37</v>
      </c>
      <c r="CL44" s="5638"/>
      <c r="CM44" s="5638"/>
      <c r="CN44" s="5638"/>
      <c r="CO44" s="741">
        <f t="shared" si="26"/>
        <v>0</v>
      </c>
      <c r="CP44" s="5638"/>
      <c r="CQ44" s="5638"/>
      <c r="CR44" s="5638"/>
      <c r="CS44" s="5638"/>
      <c r="CT44" s="5638"/>
      <c r="CU44" s="1375">
        <f t="shared" si="27"/>
        <v>3205.1390000000001</v>
      </c>
      <c r="CV44" s="768"/>
    </row>
    <row r="45" spans="1:100" ht="15.75" x14ac:dyDescent="0.25">
      <c r="A45" s="276"/>
      <c r="B45" s="276"/>
      <c r="C45" s="276"/>
      <c r="D45" s="276"/>
      <c r="E45" s="312" t="s">
        <v>1547</v>
      </c>
      <c r="F45" s="1532">
        <v>420.35399999999998</v>
      </c>
      <c r="G45" s="281"/>
      <c r="H45" s="281"/>
      <c r="I45" s="316">
        <f t="shared" si="0"/>
        <v>420.35399999999998</v>
      </c>
      <c r="J45" s="281"/>
      <c r="K45" s="281"/>
      <c r="L45" s="281"/>
      <c r="M45" s="316">
        <f t="shared" si="1"/>
        <v>0</v>
      </c>
      <c r="N45" s="317">
        <f t="shared" si="2"/>
        <v>420.35399999999998</v>
      </c>
      <c r="O45" s="278"/>
      <c r="P45" s="278"/>
      <c r="Q45" s="281"/>
      <c r="R45" s="316">
        <f t="shared" si="3"/>
        <v>0</v>
      </c>
      <c r="S45" s="281"/>
      <c r="T45" s="281">
        <v>363.608</v>
      </c>
      <c r="U45" s="314"/>
      <c r="V45" s="316">
        <f t="shared" si="4"/>
        <v>363.608</v>
      </c>
      <c r="W45" s="317">
        <f t="shared" si="5"/>
        <v>363.608</v>
      </c>
      <c r="X45" s="1531">
        <f t="shared" si="6"/>
        <v>783.96199999999999</v>
      </c>
      <c r="Y45" s="279"/>
      <c r="Z45" s="281"/>
      <c r="AA45" s="281"/>
      <c r="AB45" s="316">
        <f t="shared" si="7"/>
        <v>0</v>
      </c>
      <c r="AC45" s="281"/>
      <c r="AD45" s="281"/>
      <c r="AE45" s="281"/>
      <c r="AF45" s="629">
        <f t="shared" si="8"/>
        <v>0</v>
      </c>
      <c r="AG45" s="317">
        <f t="shared" si="9"/>
        <v>0</v>
      </c>
      <c r="AH45" s="278"/>
      <c r="AI45" s="278"/>
      <c r="AJ45" s="278"/>
      <c r="AK45" s="316">
        <f t="shared" si="10"/>
        <v>0</v>
      </c>
      <c r="AL45" s="281"/>
      <c r="AM45" s="281"/>
      <c r="AN45" s="314"/>
      <c r="AO45" s="316">
        <f t="shared" si="11"/>
        <v>0</v>
      </c>
      <c r="AP45" s="317">
        <f t="shared" si="12"/>
        <v>0</v>
      </c>
      <c r="AQ45" s="318">
        <f t="shared" si="13"/>
        <v>0</v>
      </c>
      <c r="AR45" s="315">
        <f t="shared" si="14"/>
        <v>783.96199999999999</v>
      </c>
      <c r="AS45" s="5643"/>
      <c r="AT45" s="276"/>
      <c r="AU45" s="741">
        <f t="shared" si="15"/>
        <v>420.35399999999998</v>
      </c>
      <c r="AV45" s="5638"/>
      <c r="AW45" s="741">
        <f t="shared" si="16"/>
        <v>0</v>
      </c>
      <c r="AX45" s="5638"/>
      <c r="AY45" s="5638"/>
      <c r="AZ45" s="5638"/>
      <c r="BA45" s="741">
        <f t="shared" si="17"/>
        <v>0</v>
      </c>
      <c r="BB45" s="5638"/>
      <c r="BC45" s="5638"/>
      <c r="BD45" s="5638"/>
      <c r="BE45" s="741">
        <f t="shared" si="18"/>
        <v>0</v>
      </c>
      <c r="BF45" s="5638"/>
      <c r="BG45" s="5638"/>
      <c r="BH45" s="5638"/>
      <c r="BI45" s="741">
        <f t="shared" si="19"/>
        <v>0</v>
      </c>
      <c r="BJ45" s="5638"/>
      <c r="BK45" s="5638"/>
      <c r="BL45" s="5638"/>
      <c r="BM45" s="741">
        <f t="shared" si="20"/>
        <v>0</v>
      </c>
      <c r="BN45" s="5638"/>
      <c r="BO45" s="5638"/>
      <c r="BP45" s="5638"/>
      <c r="BQ45" s="5638"/>
      <c r="BR45" s="5638"/>
      <c r="BS45" s="741">
        <f t="shared" si="21"/>
        <v>0</v>
      </c>
      <c r="BT45" s="5638"/>
      <c r="BU45" s="5638"/>
      <c r="BV45" s="5638"/>
      <c r="BW45" s="741">
        <f t="shared" si="22"/>
        <v>0</v>
      </c>
      <c r="BX45" s="5638"/>
      <c r="BY45" s="5638"/>
      <c r="BZ45" s="5638"/>
      <c r="CA45" s="741">
        <f t="shared" si="23"/>
        <v>0</v>
      </c>
      <c r="CB45" s="5638"/>
      <c r="CC45" s="5638"/>
      <c r="CD45" s="5638"/>
      <c r="CE45" s="5638"/>
      <c r="CF45" s="5638"/>
      <c r="CG45" s="741">
        <f t="shared" si="24"/>
        <v>0</v>
      </c>
      <c r="CH45" s="5638"/>
      <c r="CI45" s="5638"/>
      <c r="CJ45" s="5638"/>
      <c r="CK45" s="741">
        <f t="shared" si="25"/>
        <v>363.608</v>
      </c>
      <c r="CL45" s="5638"/>
      <c r="CM45" s="5638"/>
      <c r="CN45" s="5638"/>
      <c r="CO45" s="741">
        <f t="shared" si="26"/>
        <v>0</v>
      </c>
      <c r="CP45" s="5638"/>
      <c r="CQ45" s="5638"/>
      <c r="CR45" s="5638"/>
      <c r="CS45" s="5638"/>
      <c r="CT45" s="5638"/>
      <c r="CU45" s="1375">
        <f t="shared" si="27"/>
        <v>783.96199999999999</v>
      </c>
      <c r="CV45" s="768"/>
    </row>
    <row r="46" spans="1:100" s="5121" customFormat="1" ht="15.75" x14ac:dyDescent="0.25">
      <c r="A46" s="276"/>
      <c r="B46" s="276"/>
      <c r="C46" s="276"/>
      <c r="D46" s="276"/>
      <c r="E46" s="312" t="s">
        <v>1972</v>
      </c>
      <c r="F46" s="1532"/>
      <c r="G46" s="4723"/>
      <c r="H46" s="4723"/>
      <c r="I46" s="316"/>
      <c r="J46" s="4723"/>
      <c r="K46" s="4723"/>
      <c r="L46" s="4723"/>
      <c r="M46" s="316">
        <f t="shared" ref="M46:M47" si="43">SUM(J46:L46)</f>
        <v>0</v>
      </c>
      <c r="N46" s="317">
        <f t="shared" ref="N46:N47" si="44">+I46+M46</f>
        <v>0</v>
      </c>
      <c r="O46" s="4724"/>
      <c r="P46" s="4724"/>
      <c r="Q46" s="4723"/>
      <c r="R46" s="316">
        <f t="shared" si="3"/>
        <v>0</v>
      </c>
      <c r="S46" s="4723"/>
      <c r="T46" s="4723"/>
      <c r="U46" s="314">
        <v>541</v>
      </c>
      <c r="V46" s="316">
        <f t="shared" ref="V46:V47" si="45">SUM(S46:U46)</f>
        <v>541</v>
      </c>
      <c r="W46" s="317">
        <f t="shared" ref="W46:W47" si="46">+R46+V46</f>
        <v>541</v>
      </c>
      <c r="X46" s="1531">
        <f t="shared" ref="X46:X47" si="47">+F46+G46+H46+J46+K46+L46+O46+P46+Q46+S46+T46+U46</f>
        <v>541</v>
      </c>
      <c r="Y46" s="279"/>
      <c r="Z46" s="4723"/>
      <c r="AA46" s="4723"/>
      <c r="AB46" s="316"/>
      <c r="AC46" s="4723"/>
      <c r="AD46" s="4723"/>
      <c r="AE46" s="4723"/>
      <c r="AF46" s="629"/>
      <c r="AG46" s="317"/>
      <c r="AH46" s="4724"/>
      <c r="AI46" s="4724"/>
      <c r="AJ46" s="4724"/>
      <c r="AK46" s="316"/>
      <c r="AL46" s="4723"/>
      <c r="AM46" s="4723"/>
      <c r="AN46" s="314"/>
      <c r="AO46" s="316">
        <f t="shared" ref="AO46:AO48" si="48">+AL46+AM46+AN46</f>
        <v>0</v>
      </c>
      <c r="AP46" s="317">
        <f t="shared" ref="AP46:AP48" si="49">+AK46+AO46</f>
        <v>0</v>
      </c>
      <c r="AQ46" s="318">
        <f t="shared" ref="AQ46:AQ48" si="50">SUM(Y46:AA46,AC46:AE46,AH46:AJ46,AL46:AN46)</f>
        <v>0</v>
      </c>
      <c r="AR46" s="315">
        <f t="shared" ref="AR46:AR48" si="51">+X46+AQ46</f>
        <v>541</v>
      </c>
      <c r="AS46" s="5643"/>
      <c r="AT46" s="276"/>
      <c r="AU46" s="741">
        <f t="shared" ref="AU46:AU47" si="52">+F46+Y46</f>
        <v>0</v>
      </c>
      <c r="AV46" s="5638"/>
      <c r="AW46" s="741">
        <f t="shared" ref="AW46:AW47" si="53">+G46+Z46</f>
        <v>0</v>
      </c>
      <c r="AX46" s="5638"/>
      <c r="AY46" s="5638"/>
      <c r="AZ46" s="5638"/>
      <c r="BA46" s="741">
        <f t="shared" ref="BA46:BA47" si="54">+H46+AA46</f>
        <v>0</v>
      </c>
      <c r="BB46" s="5638"/>
      <c r="BC46" s="5638"/>
      <c r="BD46" s="5638"/>
      <c r="BE46" s="741">
        <f t="shared" ref="BE46:BE47" si="55">+J46+AC46</f>
        <v>0</v>
      </c>
      <c r="BF46" s="5638"/>
      <c r="BG46" s="5638"/>
      <c r="BH46" s="5638"/>
      <c r="BI46" s="741">
        <f t="shared" ref="BI46:BI47" si="56">+K46+AD46</f>
        <v>0</v>
      </c>
      <c r="BJ46" s="5638"/>
      <c r="BK46" s="5638"/>
      <c r="BL46" s="5638"/>
      <c r="BM46" s="741">
        <f t="shared" ref="BM46:BM47" si="57">+L46+AE46</f>
        <v>0</v>
      </c>
      <c r="BN46" s="5638"/>
      <c r="BO46" s="5638"/>
      <c r="BP46" s="5638"/>
      <c r="BQ46" s="5638"/>
      <c r="BR46" s="5638"/>
      <c r="BS46" s="741">
        <f t="shared" ref="BS46:BS47" si="58">+O46+AH46</f>
        <v>0</v>
      </c>
      <c r="BT46" s="5638"/>
      <c r="BU46" s="5638"/>
      <c r="BV46" s="5638"/>
      <c r="BW46" s="741">
        <f t="shared" ref="BW46:BW47" si="59">+P46+AI46</f>
        <v>0</v>
      </c>
      <c r="BX46" s="5638"/>
      <c r="BY46" s="5638"/>
      <c r="BZ46" s="5638"/>
      <c r="CA46" s="741">
        <f t="shared" ref="CA46:CA47" si="60">+Q46+AJ46</f>
        <v>0</v>
      </c>
      <c r="CB46" s="5638"/>
      <c r="CC46" s="5638"/>
      <c r="CD46" s="5638"/>
      <c r="CE46" s="5638"/>
      <c r="CF46" s="5638"/>
      <c r="CG46" s="741">
        <f t="shared" ref="CG46:CG47" si="61">+S46+AL46</f>
        <v>0</v>
      </c>
      <c r="CH46" s="5638"/>
      <c r="CI46" s="5638"/>
      <c r="CJ46" s="5638"/>
      <c r="CK46" s="741">
        <f t="shared" ref="CK46:CK47" si="62">+T46+AM46</f>
        <v>0</v>
      </c>
      <c r="CL46" s="5638"/>
      <c r="CM46" s="5638"/>
      <c r="CN46" s="5638"/>
      <c r="CO46" s="741">
        <f t="shared" ref="CO46:CO47" si="63">+U46+AN46</f>
        <v>541</v>
      </c>
      <c r="CP46" s="5638"/>
      <c r="CQ46" s="5638"/>
      <c r="CR46" s="5638"/>
      <c r="CS46" s="5638"/>
      <c r="CT46" s="5638"/>
      <c r="CU46" s="1375">
        <f t="shared" si="27"/>
        <v>541</v>
      </c>
      <c r="CV46" s="768"/>
    </row>
    <row r="47" spans="1:100" s="5121" customFormat="1" ht="15.75" x14ac:dyDescent="0.25">
      <c r="A47" s="276"/>
      <c r="B47" s="276"/>
      <c r="C47" s="276"/>
      <c r="D47" s="276"/>
      <c r="E47" s="312" t="s">
        <v>1973</v>
      </c>
      <c r="F47" s="1532"/>
      <c r="G47" s="4723"/>
      <c r="H47" s="4723"/>
      <c r="I47" s="316"/>
      <c r="J47" s="4723"/>
      <c r="K47" s="4723"/>
      <c r="L47" s="4723"/>
      <c r="M47" s="316">
        <f t="shared" si="43"/>
        <v>0</v>
      </c>
      <c r="N47" s="317">
        <f t="shared" si="44"/>
        <v>0</v>
      </c>
      <c r="O47" s="4724"/>
      <c r="P47" s="4724"/>
      <c r="Q47" s="4723"/>
      <c r="R47" s="316">
        <f t="shared" si="3"/>
        <v>0</v>
      </c>
      <c r="S47" s="4723"/>
      <c r="T47" s="4723"/>
      <c r="U47" s="314">
        <v>264</v>
      </c>
      <c r="V47" s="316">
        <f t="shared" si="45"/>
        <v>264</v>
      </c>
      <c r="W47" s="317">
        <f t="shared" si="46"/>
        <v>264</v>
      </c>
      <c r="X47" s="1531">
        <f t="shared" si="47"/>
        <v>264</v>
      </c>
      <c r="Y47" s="279"/>
      <c r="Z47" s="4723"/>
      <c r="AA47" s="4723"/>
      <c r="AB47" s="316"/>
      <c r="AC47" s="4723"/>
      <c r="AD47" s="4723"/>
      <c r="AE47" s="4723"/>
      <c r="AF47" s="629"/>
      <c r="AG47" s="317"/>
      <c r="AH47" s="4724"/>
      <c r="AI47" s="4724"/>
      <c r="AJ47" s="4724"/>
      <c r="AK47" s="316"/>
      <c r="AL47" s="4723"/>
      <c r="AM47" s="4723"/>
      <c r="AN47" s="314"/>
      <c r="AO47" s="316">
        <f t="shared" si="48"/>
        <v>0</v>
      </c>
      <c r="AP47" s="317">
        <f t="shared" si="49"/>
        <v>0</v>
      </c>
      <c r="AQ47" s="318">
        <f t="shared" si="50"/>
        <v>0</v>
      </c>
      <c r="AR47" s="315">
        <f t="shared" si="51"/>
        <v>264</v>
      </c>
      <c r="AS47" s="5643"/>
      <c r="AT47" s="276"/>
      <c r="AU47" s="741">
        <f t="shared" si="52"/>
        <v>0</v>
      </c>
      <c r="AV47" s="5638"/>
      <c r="AW47" s="741">
        <f t="shared" si="53"/>
        <v>0</v>
      </c>
      <c r="AX47" s="5638"/>
      <c r="AY47" s="5638"/>
      <c r="AZ47" s="5638"/>
      <c r="BA47" s="741">
        <f t="shared" si="54"/>
        <v>0</v>
      </c>
      <c r="BB47" s="5638"/>
      <c r="BC47" s="5638"/>
      <c r="BD47" s="5638"/>
      <c r="BE47" s="741">
        <f t="shared" si="55"/>
        <v>0</v>
      </c>
      <c r="BF47" s="5638"/>
      <c r="BG47" s="5638"/>
      <c r="BH47" s="5638"/>
      <c r="BI47" s="741">
        <f t="shared" si="56"/>
        <v>0</v>
      </c>
      <c r="BJ47" s="5638"/>
      <c r="BK47" s="5638"/>
      <c r="BL47" s="5638"/>
      <c r="BM47" s="741">
        <f t="shared" si="57"/>
        <v>0</v>
      </c>
      <c r="BN47" s="5638"/>
      <c r="BO47" s="5638"/>
      <c r="BP47" s="5638"/>
      <c r="BQ47" s="5638"/>
      <c r="BR47" s="5638"/>
      <c r="BS47" s="741">
        <f t="shared" si="58"/>
        <v>0</v>
      </c>
      <c r="BT47" s="5638"/>
      <c r="BU47" s="5638"/>
      <c r="BV47" s="5638"/>
      <c r="BW47" s="741">
        <f t="shared" si="59"/>
        <v>0</v>
      </c>
      <c r="BX47" s="5638"/>
      <c r="BY47" s="5638"/>
      <c r="BZ47" s="5638"/>
      <c r="CA47" s="741">
        <f t="shared" si="60"/>
        <v>0</v>
      </c>
      <c r="CB47" s="5638"/>
      <c r="CC47" s="5638"/>
      <c r="CD47" s="5638"/>
      <c r="CE47" s="5638"/>
      <c r="CF47" s="5638"/>
      <c r="CG47" s="741">
        <f t="shared" si="61"/>
        <v>0</v>
      </c>
      <c r="CH47" s="5638"/>
      <c r="CI47" s="5638"/>
      <c r="CJ47" s="5638"/>
      <c r="CK47" s="741">
        <f t="shared" si="62"/>
        <v>0</v>
      </c>
      <c r="CL47" s="5638"/>
      <c r="CM47" s="5638"/>
      <c r="CN47" s="5638"/>
      <c r="CO47" s="741">
        <f t="shared" si="63"/>
        <v>264</v>
      </c>
      <c r="CP47" s="5638"/>
      <c r="CQ47" s="5638"/>
      <c r="CR47" s="5638"/>
      <c r="CS47" s="5638"/>
      <c r="CT47" s="5638"/>
      <c r="CU47" s="1375">
        <f t="shared" si="27"/>
        <v>264</v>
      </c>
      <c r="CV47" s="768"/>
    </row>
    <row r="48" spans="1:100" ht="15.75" x14ac:dyDescent="0.25">
      <c r="A48" s="276"/>
      <c r="B48" s="276"/>
      <c r="C48" s="276"/>
      <c r="D48" s="276"/>
      <c r="E48" s="312" t="s">
        <v>1548</v>
      </c>
      <c r="F48" s="1532"/>
      <c r="G48" s="281"/>
      <c r="H48" s="281"/>
      <c r="I48" s="316">
        <f t="shared" si="0"/>
        <v>0</v>
      </c>
      <c r="J48" s="281"/>
      <c r="K48" s="281"/>
      <c r="L48" s="281"/>
      <c r="M48" s="316">
        <f t="shared" si="1"/>
        <v>0</v>
      </c>
      <c r="N48" s="317">
        <f t="shared" si="2"/>
        <v>0</v>
      </c>
      <c r="O48" s="278"/>
      <c r="P48" s="278"/>
      <c r="Q48" s="281"/>
      <c r="R48" s="316">
        <f t="shared" si="3"/>
        <v>0</v>
      </c>
      <c r="S48" s="281"/>
      <c r="T48" s="281"/>
      <c r="U48" s="314"/>
      <c r="V48" s="316">
        <f t="shared" si="4"/>
        <v>0</v>
      </c>
      <c r="W48" s="317">
        <f t="shared" si="5"/>
        <v>0</v>
      </c>
      <c r="X48" s="1531">
        <f t="shared" si="6"/>
        <v>0</v>
      </c>
      <c r="Y48" s="279"/>
      <c r="Z48" s="281"/>
      <c r="AA48" s="281"/>
      <c r="AB48" s="316">
        <f t="shared" si="7"/>
        <v>0</v>
      </c>
      <c r="AC48" s="281"/>
      <c r="AD48" s="281"/>
      <c r="AE48" s="281"/>
      <c r="AF48" s="629">
        <f t="shared" si="8"/>
        <v>0</v>
      </c>
      <c r="AG48" s="317">
        <f t="shared" si="9"/>
        <v>0</v>
      </c>
      <c r="AH48" s="278"/>
      <c r="AI48" s="278"/>
      <c r="AJ48" s="278"/>
      <c r="AK48" s="316">
        <f t="shared" si="10"/>
        <v>0</v>
      </c>
      <c r="AL48" s="281"/>
      <c r="AM48" s="281"/>
      <c r="AN48" s="314"/>
      <c r="AO48" s="316">
        <f t="shared" si="48"/>
        <v>0</v>
      </c>
      <c r="AP48" s="317">
        <f t="shared" si="49"/>
        <v>0</v>
      </c>
      <c r="AQ48" s="318">
        <f t="shared" si="50"/>
        <v>0</v>
      </c>
      <c r="AR48" s="315">
        <f t="shared" si="51"/>
        <v>0</v>
      </c>
      <c r="AS48" s="5643"/>
      <c r="AT48" s="276"/>
      <c r="AU48" s="741">
        <f t="shared" si="15"/>
        <v>0</v>
      </c>
      <c r="AV48" s="5638"/>
      <c r="AW48" s="741">
        <f t="shared" si="16"/>
        <v>0</v>
      </c>
      <c r="AX48" s="5638"/>
      <c r="AY48" s="5638"/>
      <c r="AZ48" s="5638"/>
      <c r="BA48" s="741">
        <f t="shared" si="17"/>
        <v>0</v>
      </c>
      <c r="BB48" s="5638"/>
      <c r="BC48" s="5638"/>
      <c r="BD48" s="5638"/>
      <c r="BE48" s="741">
        <f t="shared" si="18"/>
        <v>0</v>
      </c>
      <c r="BF48" s="5638"/>
      <c r="BG48" s="5638"/>
      <c r="BH48" s="5638"/>
      <c r="BI48" s="741">
        <f t="shared" si="19"/>
        <v>0</v>
      </c>
      <c r="BJ48" s="5638"/>
      <c r="BK48" s="5638"/>
      <c r="BL48" s="5638"/>
      <c r="BM48" s="741">
        <f t="shared" si="20"/>
        <v>0</v>
      </c>
      <c r="BN48" s="5638"/>
      <c r="BO48" s="5638"/>
      <c r="BP48" s="5638"/>
      <c r="BQ48" s="5638"/>
      <c r="BR48" s="5638"/>
      <c r="BS48" s="741">
        <f t="shared" si="21"/>
        <v>0</v>
      </c>
      <c r="BT48" s="5638"/>
      <c r="BU48" s="5638"/>
      <c r="BV48" s="5638"/>
      <c r="BW48" s="741">
        <f t="shared" si="22"/>
        <v>0</v>
      </c>
      <c r="BX48" s="5638"/>
      <c r="BY48" s="5638"/>
      <c r="BZ48" s="5638"/>
      <c r="CA48" s="741">
        <f t="shared" si="23"/>
        <v>0</v>
      </c>
      <c r="CB48" s="5638"/>
      <c r="CC48" s="5638"/>
      <c r="CD48" s="5638"/>
      <c r="CE48" s="5638"/>
      <c r="CF48" s="5638"/>
      <c r="CG48" s="741">
        <f t="shared" si="24"/>
        <v>0</v>
      </c>
      <c r="CH48" s="5638"/>
      <c r="CI48" s="5638"/>
      <c r="CJ48" s="5638"/>
      <c r="CK48" s="741">
        <f t="shared" si="25"/>
        <v>0</v>
      </c>
      <c r="CL48" s="5638"/>
      <c r="CM48" s="5638"/>
      <c r="CN48" s="5638"/>
      <c r="CO48" s="741">
        <f t="shared" si="26"/>
        <v>0</v>
      </c>
      <c r="CP48" s="5638"/>
      <c r="CQ48" s="5638"/>
      <c r="CR48" s="5638"/>
      <c r="CS48" s="5638"/>
      <c r="CT48" s="5638"/>
      <c r="CU48" s="1375">
        <f t="shared" si="27"/>
        <v>0</v>
      </c>
      <c r="CV48" s="768"/>
    </row>
    <row r="49" spans="1:100" s="4219" customFormat="1" ht="15.75" x14ac:dyDescent="0.25">
      <c r="A49" s="276"/>
      <c r="B49" s="276"/>
      <c r="C49" s="276"/>
      <c r="D49" s="276"/>
      <c r="E49" s="312" t="s">
        <v>1869</v>
      </c>
      <c r="F49" s="1532"/>
      <c r="G49" s="281"/>
      <c r="H49" s="281"/>
      <c r="I49" s="316"/>
      <c r="J49" s="281"/>
      <c r="K49" s="281"/>
      <c r="L49" s="281"/>
      <c r="M49" s="316">
        <f t="shared" si="1"/>
        <v>0</v>
      </c>
      <c r="N49" s="317">
        <f t="shared" si="2"/>
        <v>0</v>
      </c>
      <c r="O49" s="278"/>
      <c r="P49" s="278">
        <v>1492</v>
      </c>
      <c r="Q49" s="281"/>
      <c r="R49" s="316">
        <f t="shared" si="3"/>
        <v>1492</v>
      </c>
      <c r="S49" s="281"/>
      <c r="T49" s="281"/>
      <c r="U49" s="314"/>
      <c r="V49" s="316"/>
      <c r="W49" s="317"/>
      <c r="X49" s="1531">
        <f t="shared" si="6"/>
        <v>1492</v>
      </c>
      <c r="Y49" s="279"/>
      <c r="Z49" s="281"/>
      <c r="AA49" s="281"/>
      <c r="AB49" s="316">
        <f t="shared" si="7"/>
        <v>0</v>
      </c>
      <c r="AC49" s="281"/>
      <c r="AD49" s="281"/>
      <c r="AE49" s="281"/>
      <c r="AF49" s="629">
        <f t="shared" si="8"/>
        <v>0</v>
      </c>
      <c r="AG49" s="317">
        <f t="shared" si="9"/>
        <v>0</v>
      </c>
      <c r="AH49" s="278"/>
      <c r="AI49" s="278"/>
      <c r="AJ49" s="278"/>
      <c r="AK49" s="316">
        <f t="shared" si="10"/>
        <v>0</v>
      </c>
      <c r="AL49" s="281"/>
      <c r="AM49" s="281"/>
      <c r="AN49" s="314"/>
      <c r="AO49" s="316"/>
      <c r="AP49" s="317"/>
      <c r="AQ49" s="318">
        <f t="shared" si="13"/>
        <v>0</v>
      </c>
      <c r="AR49" s="315">
        <f t="shared" si="14"/>
        <v>1492</v>
      </c>
      <c r="AS49" s="5643"/>
      <c r="AT49" s="276"/>
      <c r="AU49" s="741">
        <f t="shared" si="15"/>
        <v>0</v>
      </c>
      <c r="AV49" s="5638"/>
      <c r="AW49" s="741">
        <f t="shared" si="16"/>
        <v>0</v>
      </c>
      <c r="AX49" s="5638"/>
      <c r="AY49" s="5638"/>
      <c r="AZ49" s="5638"/>
      <c r="BA49" s="741">
        <f t="shared" si="17"/>
        <v>0</v>
      </c>
      <c r="BB49" s="5638"/>
      <c r="BC49" s="5638"/>
      <c r="BD49" s="5638"/>
      <c r="BE49" s="741">
        <f t="shared" si="18"/>
        <v>0</v>
      </c>
      <c r="BF49" s="5638"/>
      <c r="BG49" s="5638"/>
      <c r="BH49" s="5638"/>
      <c r="BI49" s="741">
        <f t="shared" si="19"/>
        <v>0</v>
      </c>
      <c r="BJ49" s="5638"/>
      <c r="BK49" s="5638"/>
      <c r="BL49" s="5638"/>
      <c r="BM49" s="741">
        <f t="shared" si="20"/>
        <v>0</v>
      </c>
      <c r="BN49" s="5638"/>
      <c r="BO49" s="5638"/>
      <c r="BP49" s="5638"/>
      <c r="BQ49" s="5638"/>
      <c r="BR49" s="5638"/>
      <c r="BS49" s="741">
        <f t="shared" si="21"/>
        <v>0</v>
      </c>
      <c r="BT49" s="5638"/>
      <c r="BU49" s="5638"/>
      <c r="BV49" s="5638"/>
      <c r="BW49" s="741">
        <f t="shared" si="22"/>
        <v>1492</v>
      </c>
      <c r="BX49" s="5638"/>
      <c r="BY49" s="5638"/>
      <c r="BZ49" s="5638"/>
      <c r="CA49" s="741">
        <f t="shared" si="23"/>
        <v>0</v>
      </c>
      <c r="CB49" s="5638"/>
      <c r="CC49" s="5638"/>
      <c r="CD49" s="5638"/>
      <c r="CE49" s="5638"/>
      <c r="CF49" s="5638"/>
      <c r="CG49" s="741">
        <f t="shared" si="24"/>
        <v>0</v>
      </c>
      <c r="CH49" s="5638"/>
      <c r="CI49" s="5638"/>
      <c r="CJ49" s="5638"/>
      <c r="CK49" s="741">
        <f t="shared" si="25"/>
        <v>0</v>
      </c>
      <c r="CL49" s="5638"/>
      <c r="CM49" s="5638"/>
      <c r="CN49" s="5638"/>
      <c r="CO49" s="741">
        <f t="shared" si="26"/>
        <v>0</v>
      </c>
      <c r="CP49" s="5638"/>
      <c r="CQ49" s="5638"/>
      <c r="CR49" s="5638"/>
      <c r="CS49" s="5638"/>
      <c r="CT49" s="5638"/>
      <c r="CU49" s="1375">
        <f t="shared" si="27"/>
        <v>1492</v>
      </c>
      <c r="CV49" s="768"/>
    </row>
    <row r="50" spans="1:100" ht="15.75" x14ac:dyDescent="0.25">
      <c r="A50" s="276"/>
      <c r="B50" s="276"/>
      <c r="C50" s="276"/>
      <c r="D50" s="276"/>
      <c r="E50" s="312" t="s">
        <v>1549</v>
      </c>
      <c r="F50" s="1532">
        <v>1197.3719999999998</v>
      </c>
      <c r="G50" s="281">
        <v>269.62099999999998</v>
      </c>
      <c r="H50" s="281"/>
      <c r="I50" s="316">
        <f t="shared" si="0"/>
        <v>1466.9929999999999</v>
      </c>
      <c r="J50" s="281">
        <v>3587.458000000001</v>
      </c>
      <c r="K50" s="281"/>
      <c r="L50" s="281">
        <v>1067.5700000000002</v>
      </c>
      <c r="M50" s="316">
        <f t="shared" si="1"/>
        <v>4655.0280000000012</v>
      </c>
      <c r="N50" s="317">
        <f t="shared" si="2"/>
        <v>6122.0210000000006</v>
      </c>
      <c r="O50" s="278">
        <v>606.71800000000007</v>
      </c>
      <c r="P50" s="278"/>
      <c r="Q50" s="281">
        <v>3558</v>
      </c>
      <c r="R50" s="316">
        <f t="shared" si="3"/>
        <v>4164.7179999999998</v>
      </c>
      <c r="S50" s="281">
        <v>2097</v>
      </c>
      <c r="T50" s="281">
        <v>2598.1059999999998</v>
      </c>
      <c r="U50" s="314">
        <v>1277</v>
      </c>
      <c r="V50" s="316">
        <f t="shared" si="4"/>
        <v>5972.1059999999998</v>
      </c>
      <c r="W50" s="317">
        <f t="shared" si="5"/>
        <v>10136.824000000001</v>
      </c>
      <c r="X50" s="1531">
        <f t="shared" si="6"/>
        <v>16258.845000000001</v>
      </c>
      <c r="Y50" s="279">
        <v>492.536</v>
      </c>
      <c r="Z50" s="281"/>
      <c r="AA50" s="281">
        <v>1195.249</v>
      </c>
      <c r="AB50" s="316">
        <f t="shared" si="7"/>
        <v>1687.7850000000001</v>
      </c>
      <c r="AC50" s="281">
        <v>101.47199999999999</v>
      </c>
      <c r="AD50" s="281">
        <v>1333.9340000000002</v>
      </c>
      <c r="AE50" s="281"/>
      <c r="AF50" s="629">
        <f t="shared" si="8"/>
        <v>1435.4060000000002</v>
      </c>
      <c r="AG50" s="317">
        <f t="shared" si="9"/>
        <v>3123.1910000000003</v>
      </c>
      <c r="AH50" s="278">
        <v>1494.598</v>
      </c>
      <c r="AI50" s="278"/>
      <c r="AJ50" s="278">
        <v>1139</v>
      </c>
      <c r="AK50" s="316">
        <f t="shared" si="10"/>
        <v>2633.598</v>
      </c>
      <c r="AL50" s="281">
        <v>1135</v>
      </c>
      <c r="AM50" s="281">
        <v>1889.9159999999997</v>
      </c>
      <c r="AN50" s="314">
        <v>1010</v>
      </c>
      <c r="AO50" s="316">
        <f t="shared" si="11"/>
        <v>4034.9159999999997</v>
      </c>
      <c r="AP50" s="317">
        <f t="shared" si="12"/>
        <v>6668.5139999999992</v>
      </c>
      <c r="AQ50" s="318">
        <f t="shared" si="13"/>
        <v>9791.7049999999999</v>
      </c>
      <c r="AR50" s="315">
        <f t="shared" si="14"/>
        <v>26050.550000000003</v>
      </c>
      <c r="AS50" s="5643"/>
      <c r="AT50" s="276"/>
      <c r="AU50" s="741">
        <f t="shared" si="15"/>
        <v>1689.9079999999999</v>
      </c>
      <c r="AV50" s="5638"/>
      <c r="AW50" s="741">
        <f t="shared" si="16"/>
        <v>269.62099999999998</v>
      </c>
      <c r="AX50" s="5638"/>
      <c r="AY50" s="5638"/>
      <c r="AZ50" s="5638"/>
      <c r="BA50" s="741">
        <f t="shared" si="17"/>
        <v>1195.249</v>
      </c>
      <c r="BB50" s="5638"/>
      <c r="BC50" s="5638"/>
      <c r="BD50" s="5638"/>
      <c r="BE50" s="741">
        <f t="shared" si="18"/>
        <v>3688.9300000000012</v>
      </c>
      <c r="BF50" s="5638"/>
      <c r="BG50" s="5638"/>
      <c r="BH50" s="5638"/>
      <c r="BI50" s="741">
        <f t="shared" si="19"/>
        <v>1333.9340000000002</v>
      </c>
      <c r="BJ50" s="5638"/>
      <c r="BK50" s="5638"/>
      <c r="BL50" s="5638"/>
      <c r="BM50" s="741">
        <f t="shared" si="20"/>
        <v>1067.5700000000002</v>
      </c>
      <c r="BN50" s="5638"/>
      <c r="BO50" s="5638"/>
      <c r="BP50" s="5638"/>
      <c r="BQ50" s="5638"/>
      <c r="BR50" s="5638"/>
      <c r="BS50" s="741">
        <f t="shared" si="21"/>
        <v>2101.3159999999998</v>
      </c>
      <c r="BT50" s="5638"/>
      <c r="BU50" s="5638"/>
      <c r="BV50" s="5638"/>
      <c r="BW50" s="741">
        <f t="shared" si="22"/>
        <v>0</v>
      </c>
      <c r="BX50" s="5638"/>
      <c r="BY50" s="5638"/>
      <c r="BZ50" s="5638"/>
      <c r="CA50" s="741">
        <f t="shared" si="23"/>
        <v>4697</v>
      </c>
      <c r="CB50" s="5638"/>
      <c r="CC50" s="5638"/>
      <c r="CD50" s="5638"/>
      <c r="CE50" s="5638"/>
      <c r="CF50" s="5638"/>
      <c r="CG50" s="741">
        <f t="shared" si="24"/>
        <v>3232</v>
      </c>
      <c r="CH50" s="5638"/>
      <c r="CI50" s="5638"/>
      <c r="CJ50" s="5638"/>
      <c r="CK50" s="741">
        <f t="shared" si="25"/>
        <v>4488.021999999999</v>
      </c>
      <c r="CL50" s="5638"/>
      <c r="CM50" s="5638"/>
      <c r="CN50" s="5638"/>
      <c r="CO50" s="741">
        <f t="shared" si="26"/>
        <v>2287</v>
      </c>
      <c r="CP50" s="5638"/>
      <c r="CQ50" s="5638"/>
      <c r="CR50" s="5638"/>
      <c r="CS50" s="5638"/>
      <c r="CT50" s="5638"/>
      <c r="CU50" s="1375">
        <f t="shared" si="27"/>
        <v>26050.550000000003</v>
      </c>
      <c r="CV50" s="768"/>
    </row>
    <row r="51" spans="1:100" ht="15.75" x14ac:dyDescent="0.25">
      <c r="A51" s="276"/>
      <c r="B51" s="276"/>
      <c r="C51" s="276"/>
      <c r="D51" s="276"/>
      <c r="E51" s="312" t="s">
        <v>1710</v>
      </c>
      <c r="F51" s="1532"/>
      <c r="G51" s="281"/>
      <c r="H51" s="281"/>
      <c r="I51" s="316">
        <f t="shared" si="0"/>
        <v>0</v>
      </c>
      <c r="J51" s="281">
        <v>312.87199999999996</v>
      </c>
      <c r="K51" s="281"/>
      <c r="L51" s="281">
        <v>131.06800000000001</v>
      </c>
      <c r="M51" s="316">
        <f t="shared" si="1"/>
        <v>443.93999999999994</v>
      </c>
      <c r="N51" s="317">
        <f t="shared" si="2"/>
        <v>443.93999999999994</v>
      </c>
      <c r="O51" s="278">
        <v>989.35199999999998</v>
      </c>
      <c r="P51" s="278">
        <v>710</v>
      </c>
      <c r="Q51" s="281"/>
      <c r="R51" s="316">
        <f t="shared" si="3"/>
        <v>1699.3519999999999</v>
      </c>
      <c r="S51" s="281"/>
      <c r="T51" s="281"/>
      <c r="U51" s="314"/>
      <c r="V51" s="316">
        <f t="shared" si="4"/>
        <v>0</v>
      </c>
      <c r="W51" s="317">
        <f t="shared" si="5"/>
        <v>1699.3519999999999</v>
      </c>
      <c r="X51" s="1531">
        <f t="shared" si="6"/>
        <v>2143.2919999999999</v>
      </c>
      <c r="Y51" s="279"/>
      <c r="Z51" s="281"/>
      <c r="AA51" s="281"/>
      <c r="AB51" s="316">
        <f t="shared" si="7"/>
        <v>0</v>
      </c>
      <c r="AC51" s="281"/>
      <c r="AD51" s="281"/>
      <c r="AE51" s="281"/>
      <c r="AF51" s="629">
        <f t="shared" si="8"/>
        <v>0</v>
      </c>
      <c r="AG51" s="317">
        <f t="shared" si="9"/>
        <v>0</v>
      </c>
      <c r="AH51" s="278"/>
      <c r="AI51" s="278"/>
      <c r="AJ51" s="278"/>
      <c r="AK51" s="316">
        <f t="shared" si="10"/>
        <v>0</v>
      </c>
      <c r="AL51" s="281"/>
      <c r="AM51" s="281"/>
      <c r="AN51" s="314"/>
      <c r="AO51" s="316"/>
      <c r="AP51" s="317"/>
      <c r="AQ51" s="318">
        <f t="shared" si="13"/>
        <v>0</v>
      </c>
      <c r="AR51" s="315">
        <f t="shared" si="14"/>
        <v>2143.2919999999999</v>
      </c>
      <c r="AS51" s="5643"/>
      <c r="AT51" s="276"/>
      <c r="AU51" s="741">
        <f t="shared" si="15"/>
        <v>0</v>
      </c>
      <c r="AV51" s="5638"/>
      <c r="AW51" s="741">
        <f t="shared" si="16"/>
        <v>0</v>
      </c>
      <c r="AX51" s="5638"/>
      <c r="AY51" s="5638"/>
      <c r="AZ51" s="5638"/>
      <c r="BA51" s="741">
        <f t="shared" si="17"/>
        <v>0</v>
      </c>
      <c r="BB51" s="5638"/>
      <c r="BC51" s="5638"/>
      <c r="BD51" s="5638"/>
      <c r="BE51" s="741">
        <f t="shared" si="18"/>
        <v>312.87199999999996</v>
      </c>
      <c r="BF51" s="5638"/>
      <c r="BG51" s="5638"/>
      <c r="BH51" s="5638"/>
      <c r="BI51" s="741">
        <f t="shared" si="19"/>
        <v>0</v>
      </c>
      <c r="BJ51" s="5638"/>
      <c r="BK51" s="5638"/>
      <c r="BL51" s="5638"/>
      <c r="BM51" s="741">
        <f t="shared" si="20"/>
        <v>131.06800000000001</v>
      </c>
      <c r="BN51" s="5638"/>
      <c r="BO51" s="5638"/>
      <c r="BP51" s="5638"/>
      <c r="BQ51" s="5638"/>
      <c r="BR51" s="5638"/>
      <c r="BS51" s="741">
        <f t="shared" si="21"/>
        <v>989.35199999999998</v>
      </c>
      <c r="BT51" s="5638"/>
      <c r="BU51" s="5638"/>
      <c r="BV51" s="5638"/>
      <c r="BW51" s="741">
        <f t="shared" si="22"/>
        <v>710</v>
      </c>
      <c r="BX51" s="5638"/>
      <c r="BY51" s="5638"/>
      <c r="BZ51" s="5638"/>
      <c r="CA51" s="741">
        <f t="shared" si="23"/>
        <v>0</v>
      </c>
      <c r="CB51" s="5638"/>
      <c r="CC51" s="5638"/>
      <c r="CD51" s="5638"/>
      <c r="CE51" s="5638"/>
      <c r="CF51" s="5638"/>
      <c r="CG51" s="741">
        <f t="shared" si="24"/>
        <v>0</v>
      </c>
      <c r="CH51" s="5638"/>
      <c r="CI51" s="5638"/>
      <c r="CJ51" s="5638"/>
      <c r="CK51" s="741">
        <f t="shared" si="25"/>
        <v>0</v>
      </c>
      <c r="CL51" s="5638"/>
      <c r="CM51" s="5638"/>
      <c r="CN51" s="5638"/>
      <c r="CO51" s="741">
        <f t="shared" si="26"/>
        <v>0</v>
      </c>
      <c r="CP51" s="5638"/>
      <c r="CQ51" s="5638"/>
      <c r="CR51" s="5638"/>
      <c r="CS51" s="5638"/>
      <c r="CT51" s="5638"/>
      <c r="CU51" s="1375">
        <f t="shared" si="27"/>
        <v>2143.2919999999999</v>
      </c>
      <c r="CV51" s="768"/>
    </row>
    <row r="52" spans="1:100" ht="15.75" x14ac:dyDescent="0.25">
      <c r="A52" s="276"/>
      <c r="B52" s="276"/>
      <c r="C52" s="276"/>
      <c r="D52" s="276"/>
      <c r="E52" s="312" t="s">
        <v>1335</v>
      </c>
      <c r="F52" s="1532"/>
      <c r="G52" s="281"/>
      <c r="H52" s="281"/>
      <c r="I52" s="316">
        <f t="shared" si="0"/>
        <v>0</v>
      </c>
      <c r="J52" s="281"/>
      <c r="K52" s="281"/>
      <c r="L52" s="281"/>
      <c r="M52" s="316">
        <f t="shared" si="1"/>
        <v>0</v>
      </c>
      <c r="N52" s="317">
        <f t="shared" si="2"/>
        <v>0</v>
      </c>
      <c r="O52" s="278"/>
      <c r="P52" s="278"/>
      <c r="Q52" s="281"/>
      <c r="R52" s="316">
        <f t="shared" si="3"/>
        <v>0</v>
      </c>
      <c r="S52" s="281"/>
      <c r="T52" s="281"/>
      <c r="U52" s="314"/>
      <c r="V52" s="316">
        <f t="shared" si="4"/>
        <v>0</v>
      </c>
      <c r="W52" s="317">
        <f t="shared" si="5"/>
        <v>0</v>
      </c>
      <c r="X52" s="1531">
        <f t="shared" si="6"/>
        <v>0</v>
      </c>
      <c r="Y52" s="279"/>
      <c r="Z52" s="281"/>
      <c r="AA52" s="281"/>
      <c r="AB52" s="316">
        <f t="shared" si="7"/>
        <v>0</v>
      </c>
      <c r="AC52" s="281"/>
      <c r="AD52" s="281"/>
      <c r="AE52" s="281"/>
      <c r="AF52" s="629">
        <f t="shared" si="8"/>
        <v>0</v>
      </c>
      <c r="AG52" s="317">
        <f t="shared" si="9"/>
        <v>0</v>
      </c>
      <c r="AH52" s="278"/>
      <c r="AI52" s="278"/>
      <c r="AJ52" s="278"/>
      <c r="AK52" s="316">
        <f t="shared" si="10"/>
        <v>0</v>
      </c>
      <c r="AL52" s="281"/>
      <c r="AM52" s="281"/>
      <c r="AN52" s="314"/>
      <c r="AO52" s="316">
        <f t="shared" si="11"/>
        <v>0</v>
      </c>
      <c r="AP52" s="317">
        <f t="shared" si="12"/>
        <v>0</v>
      </c>
      <c r="AQ52" s="318">
        <f t="shared" si="13"/>
        <v>0</v>
      </c>
      <c r="AR52" s="315">
        <f t="shared" si="14"/>
        <v>0</v>
      </c>
      <c r="AS52" s="5643"/>
      <c r="AT52" s="276"/>
      <c r="AU52" s="741">
        <f t="shared" si="15"/>
        <v>0</v>
      </c>
      <c r="AV52" s="5638"/>
      <c r="AW52" s="741">
        <f t="shared" si="16"/>
        <v>0</v>
      </c>
      <c r="AX52" s="5638"/>
      <c r="AY52" s="5638"/>
      <c r="AZ52" s="5638"/>
      <c r="BA52" s="741">
        <f t="shared" si="17"/>
        <v>0</v>
      </c>
      <c r="BB52" s="5638"/>
      <c r="BC52" s="5638"/>
      <c r="BD52" s="5638"/>
      <c r="BE52" s="741">
        <f t="shared" si="18"/>
        <v>0</v>
      </c>
      <c r="BF52" s="5638"/>
      <c r="BG52" s="5638"/>
      <c r="BH52" s="5638"/>
      <c r="BI52" s="741">
        <f t="shared" si="19"/>
        <v>0</v>
      </c>
      <c r="BJ52" s="5638"/>
      <c r="BK52" s="5638"/>
      <c r="BL52" s="5638"/>
      <c r="BM52" s="741">
        <f t="shared" si="20"/>
        <v>0</v>
      </c>
      <c r="BN52" s="5638"/>
      <c r="BO52" s="5638"/>
      <c r="BP52" s="5638"/>
      <c r="BQ52" s="5638"/>
      <c r="BR52" s="5638"/>
      <c r="BS52" s="741">
        <f t="shared" si="21"/>
        <v>0</v>
      </c>
      <c r="BT52" s="5638"/>
      <c r="BU52" s="5638"/>
      <c r="BV52" s="5638"/>
      <c r="BW52" s="741">
        <f t="shared" si="22"/>
        <v>0</v>
      </c>
      <c r="BX52" s="5638"/>
      <c r="BY52" s="5638"/>
      <c r="BZ52" s="5638"/>
      <c r="CA52" s="741">
        <f t="shared" si="23"/>
        <v>0</v>
      </c>
      <c r="CB52" s="5638"/>
      <c r="CC52" s="5638"/>
      <c r="CD52" s="5638"/>
      <c r="CE52" s="5638"/>
      <c r="CF52" s="5638"/>
      <c r="CG52" s="741">
        <f t="shared" si="24"/>
        <v>0</v>
      </c>
      <c r="CH52" s="5638"/>
      <c r="CI52" s="5638"/>
      <c r="CJ52" s="5638"/>
      <c r="CK52" s="741">
        <f t="shared" si="25"/>
        <v>0</v>
      </c>
      <c r="CL52" s="5638"/>
      <c r="CM52" s="5638"/>
      <c r="CN52" s="5638"/>
      <c r="CO52" s="741">
        <f t="shared" si="26"/>
        <v>0</v>
      </c>
      <c r="CP52" s="5638"/>
      <c r="CQ52" s="5638"/>
      <c r="CR52" s="5638"/>
      <c r="CS52" s="5638"/>
      <c r="CT52" s="5638"/>
      <c r="CU52" s="1375">
        <f t="shared" si="27"/>
        <v>0</v>
      </c>
      <c r="CV52" s="768"/>
    </row>
    <row r="53" spans="1:100" ht="15.75" x14ac:dyDescent="0.25">
      <c r="A53" s="276"/>
      <c r="B53" s="276"/>
      <c r="C53" s="276"/>
      <c r="D53" s="276"/>
      <c r="E53" s="312" t="s">
        <v>1319</v>
      </c>
      <c r="F53" s="1532"/>
      <c r="G53" s="281"/>
      <c r="H53" s="281"/>
      <c r="I53" s="316">
        <f t="shared" si="0"/>
        <v>0</v>
      </c>
      <c r="J53" s="281"/>
      <c r="K53" s="281"/>
      <c r="L53" s="281"/>
      <c r="M53" s="316">
        <f t="shared" si="1"/>
        <v>0</v>
      </c>
      <c r="N53" s="317">
        <f t="shared" si="2"/>
        <v>0</v>
      </c>
      <c r="O53" s="278">
        <v>310.75799999999998</v>
      </c>
      <c r="P53" s="278"/>
      <c r="Q53" s="281"/>
      <c r="R53" s="316">
        <f t="shared" si="3"/>
        <v>310.75799999999998</v>
      </c>
      <c r="S53" s="281">
        <v>560</v>
      </c>
      <c r="T53" s="281"/>
      <c r="U53" s="314"/>
      <c r="V53" s="316">
        <f t="shared" si="4"/>
        <v>560</v>
      </c>
      <c r="W53" s="317">
        <f t="shared" si="5"/>
        <v>870.75800000000004</v>
      </c>
      <c r="X53" s="1531">
        <f t="shared" si="6"/>
        <v>870.75800000000004</v>
      </c>
      <c r="Y53" s="279"/>
      <c r="Z53" s="281"/>
      <c r="AA53" s="281"/>
      <c r="AB53" s="316">
        <f t="shared" si="7"/>
        <v>0</v>
      </c>
      <c r="AC53" s="281"/>
      <c r="AD53" s="281"/>
      <c r="AE53" s="281"/>
      <c r="AF53" s="629">
        <f t="shared" si="8"/>
        <v>0</v>
      </c>
      <c r="AG53" s="317">
        <f t="shared" si="9"/>
        <v>0</v>
      </c>
      <c r="AH53" s="278">
        <v>1648.92</v>
      </c>
      <c r="AI53" s="278"/>
      <c r="AJ53" s="278">
        <v>397</v>
      </c>
      <c r="AK53" s="316">
        <f t="shared" si="10"/>
        <v>2045.92</v>
      </c>
      <c r="AL53" s="281"/>
      <c r="AM53" s="281"/>
      <c r="AN53" s="314"/>
      <c r="AO53" s="316">
        <f t="shared" si="11"/>
        <v>0</v>
      </c>
      <c r="AP53" s="317">
        <f t="shared" si="12"/>
        <v>2045.92</v>
      </c>
      <c r="AQ53" s="318">
        <f t="shared" si="13"/>
        <v>2045.92</v>
      </c>
      <c r="AR53" s="315">
        <f t="shared" si="14"/>
        <v>2916.6779999999999</v>
      </c>
      <c r="AS53" s="5643"/>
      <c r="AT53" s="276"/>
      <c r="AU53" s="741">
        <f t="shared" si="15"/>
        <v>0</v>
      </c>
      <c r="AV53" s="5638"/>
      <c r="AW53" s="741">
        <f t="shared" si="16"/>
        <v>0</v>
      </c>
      <c r="AX53" s="5638"/>
      <c r="AY53" s="5638"/>
      <c r="AZ53" s="5638"/>
      <c r="BA53" s="741">
        <f t="shared" si="17"/>
        <v>0</v>
      </c>
      <c r="BB53" s="5638"/>
      <c r="BC53" s="5638"/>
      <c r="BD53" s="5638"/>
      <c r="BE53" s="741">
        <f t="shared" si="18"/>
        <v>0</v>
      </c>
      <c r="BF53" s="5638"/>
      <c r="BG53" s="5638"/>
      <c r="BH53" s="5638"/>
      <c r="BI53" s="741">
        <f t="shared" si="19"/>
        <v>0</v>
      </c>
      <c r="BJ53" s="5638"/>
      <c r="BK53" s="5638"/>
      <c r="BL53" s="5638"/>
      <c r="BM53" s="741">
        <f t="shared" si="20"/>
        <v>0</v>
      </c>
      <c r="BN53" s="5638"/>
      <c r="BO53" s="5638"/>
      <c r="BP53" s="5638"/>
      <c r="BQ53" s="5638"/>
      <c r="BR53" s="5638"/>
      <c r="BS53" s="741">
        <f t="shared" si="21"/>
        <v>1959.6780000000001</v>
      </c>
      <c r="BT53" s="5638"/>
      <c r="BU53" s="5638"/>
      <c r="BV53" s="5638"/>
      <c r="BW53" s="741">
        <f t="shared" si="22"/>
        <v>0</v>
      </c>
      <c r="BX53" s="5638"/>
      <c r="BY53" s="5638"/>
      <c r="BZ53" s="5638"/>
      <c r="CA53" s="741">
        <f t="shared" si="23"/>
        <v>397</v>
      </c>
      <c r="CB53" s="5638"/>
      <c r="CC53" s="5638"/>
      <c r="CD53" s="5638"/>
      <c r="CE53" s="5638"/>
      <c r="CF53" s="5638"/>
      <c r="CG53" s="741">
        <f t="shared" si="24"/>
        <v>560</v>
      </c>
      <c r="CH53" s="5638"/>
      <c r="CI53" s="5638"/>
      <c r="CJ53" s="5638"/>
      <c r="CK53" s="741">
        <f t="shared" si="25"/>
        <v>0</v>
      </c>
      <c r="CL53" s="5638"/>
      <c r="CM53" s="5638"/>
      <c r="CN53" s="5638"/>
      <c r="CO53" s="741">
        <f t="shared" si="26"/>
        <v>0</v>
      </c>
      <c r="CP53" s="5638"/>
      <c r="CQ53" s="5638"/>
      <c r="CR53" s="5638"/>
      <c r="CS53" s="5638"/>
      <c r="CT53" s="5638"/>
      <c r="CU53" s="1375">
        <f t="shared" si="27"/>
        <v>2916.6779999999999</v>
      </c>
      <c r="CV53" s="768"/>
    </row>
    <row r="54" spans="1:100" ht="15.75" x14ac:dyDescent="0.25">
      <c r="A54" s="276"/>
      <c r="B54" s="276"/>
      <c r="C54" s="276"/>
      <c r="D54" s="276"/>
      <c r="E54" s="312" t="s">
        <v>1364</v>
      </c>
      <c r="F54" s="1532">
        <v>2562.4609999999998</v>
      </c>
      <c r="G54" s="281">
        <v>2946.7239999999997</v>
      </c>
      <c r="H54" s="281">
        <v>7252.1679999999988</v>
      </c>
      <c r="I54" s="316">
        <f t="shared" si="0"/>
        <v>12761.352999999999</v>
      </c>
      <c r="J54" s="281">
        <v>4602.6939999999995</v>
      </c>
      <c r="K54" s="281">
        <v>3917.2420000000006</v>
      </c>
      <c r="L54" s="281">
        <v>9859.6959999999999</v>
      </c>
      <c r="M54" s="316">
        <f t="shared" si="1"/>
        <v>18379.631999999998</v>
      </c>
      <c r="N54" s="317">
        <f t="shared" si="2"/>
        <v>31140.984999999997</v>
      </c>
      <c r="O54" s="278">
        <v>3240.7620000000002</v>
      </c>
      <c r="P54" s="278">
        <v>2664</v>
      </c>
      <c r="Q54" s="281">
        <v>4448</v>
      </c>
      <c r="R54" s="316">
        <f t="shared" si="3"/>
        <v>10352.762000000001</v>
      </c>
      <c r="S54" s="281">
        <v>5454</v>
      </c>
      <c r="T54" s="281">
        <v>2811.62</v>
      </c>
      <c r="U54" s="314">
        <v>7181</v>
      </c>
      <c r="V54" s="316">
        <f t="shared" si="4"/>
        <v>15446.619999999999</v>
      </c>
      <c r="W54" s="317">
        <f t="shared" si="5"/>
        <v>25799.381999999998</v>
      </c>
      <c r="X54" s="1531">
        <f t="shared" si="6"/>
        <v>56940.367000000006</v>
      </c>
      <c r="Y54" s="279"/>
      <c r="Z54" s="281">
        <v>1116.6980000000003</v>
      </c>
      <c r="AA54" s="281">
        <v>908.64400000000001</v>
      </c>
      <c r="AB54" s="316">
        <f t="shared" si="7"/>
        <v>2025.3420000000003</v>
      </c>
      <c r="AC54" s="281">
        <v>708.19</v>
      </c>
      <c r="AD54" s="281">
        <v>2708.0340000000006</v>
      </c>
      <c r="AE54" s="281">
        <v>1773.6460000000002</v>
      </c>
      <c r="AF54" s="629">
        <f t="shared" si="8"/>
        <v>5189.8700000000008</v>
      </c>
      <c r="AG54" s="317">
        <f t="shared" si="9"/>
        <v>7215.2120000000014</v>
      </c>
      <c r="AH54" s="278">
        <v>2226.0420000000004</v>
      </c>
      <c r="AI54" s="278"/>
      <c r="AJ54" s="278">
        <v>1926</v>
      </c>
      <c r="AK54" s="316">
        <f t="shared" si="10"/>
        <v>4152.0420000000004</v>
      </c>
      <c r="AL54" s="281">
        <v>1167</v>
      </c>
      <c r="AM54" s="281"/>
      <c r="AN54" s="314">
        <v>2822</v>
      </c>
      <c r="AO54" s="316">
        <f t="shared" si="11"/>
        <v>3989</v>
      </c>
      <c r="AP54" s="317">
        <f t="shared" si="12"/>
        <v>8141.0420000000004</v>
      </c>
      <c r="AQ54" s="318">
        <f t="shared" si="13"/>
        <v>15356.254000000001</v>
      </c>
      <c r="AR54" s="315">
        <f t="shared" si="14"/>
        <v>72296.621000000014</v>
      </c>
      <c r="AS54" s="5643"/>
      <c r="AT54" s="276"/>
      <c r="AU54" s="741">
        <f t="shared" si="15"/>
        <v>2562.4609999999998</v>
      </c>
      <c r="AV54" s="5638"/>
      <c r="AW54" s="741">
        <f t="shared" si="16"/>
        <v>4063.422</v>
      </c>
      <c r="AX54" s="5638"/>
      <c r="AY54" s="5638"/>
      <c r="AZ54" s="5638"/>
      <c r="BA54" s="741">
        <f t="shared" si="17"/>
        <v>8160.811999999999</v>
      </c>
      <c r="BB54" s="5638"/>
      <c r="BC54" s="5638"/>
      <c r="BD54" s="5638"/>
      <c r="BE54" s="741">
        <f t="shared" si="18"/>
        <v>5310.884</v>
      </c>
      <c r="BF54" s="5638"/>
      <c r="BG54" s="5638"/>
      <c r="BH54" s="5638"/>
      <c r="BI54" s="741">
        <f t="shared" si="19"/>
        <v>6625.2760000000017</v>
      </c>
      <c r="BJ54" s="5638"/>
      <c r="BK54" s="5638"/>
      <c r="BL54" s="5638"/>
      <c r="BM54" s="741">
        <f t="shared" si="20"/>
        <v>11633.342000000001</v>
      </c>
      <c r="BN54" s="5638"/>
      <c r="BO54" s="5638"/>
      <c r="BP54" s="5638"/>
      <c r="BQ54" s="5638"/>
      <c r="BR54" s="5638"/>
      <c r="BS54" s="741">
        <f t="shared" si="21"/>
        <v>5466.8040000000001</v>
      </c>
      <c r="BT54" s="5638"/>
      <c r="BU54" s="5638"/>
      <c r="BV54" s="5638"/>
      <c r="BW54" s="741">
        <f t="shared" si="22"/>
        <v>2664</v>
      </c>
      <c r="BX54" s="5638"/>
      <c r="BY54" s="5638"/>
      <c r="BZ54" s="5638"/>
      <c r="CA54" s="741">
        <f t="shared" si="23"/>
        <v>6374</v>
      </c>
      <c r="CB54" s="5638"/>
      <c r="CC54" s="5638"/>
      <c r="CD54" s="5638"/>
      <c r="CE54" s="5638"/>
      <c r="CF54" s="5638"/>
      <c r="CG54" s="741">
        <f t="shared" si="24"/>
        <v>6621</v>
      </c>
      <c r="CH54" s="5638"/>
      <c r="CI54" s="5638"/>
      <c r="CJ54" s="5638"/>
      <c r="CK54" s="741">
        <f t="shared" si="25"/>
        <v>2811.62</v>
      </c>
      <c r="CL54" s="5638"/>
      <c r="CM54" s="5638"/>
      <c r="CN54" s="5638"/>
      <c r="CO54" s="741">
        <f t="shared" si="26"/>
        <v>10003</v>
      </c>
      <c r="CP54" s="5638"/>
      <c r="CQ54" s="5638"/>
      <c r="CR54" s="5638"/>
      <c r="CS54" s="5638"/>
      <c r="CT54" s="5638"/>
      <c r="CU54" s="1375">
        <f t="shared" si="27"/>
        <v>72296.621000000014</v>
      </c>
      <c r="CV54" s="768"/>
    </row>
    <row r="55" spans="1:100" ht="15.75" x14ac:dyDescent="0.25">
      <c r="A55" s="276"/>
      <c r="B55" s="276"/>
      <c r="C55" s="276"/>
      <c r="D55" s="276"/>
      <c r="E55" s="312" t="s">
        <v>1270</v>
      </c>
      <c r="F55" s="1532">
        <v>8199.0259999999998</v>
      </c>
      <c r="G55" s="281">
        <v>2358.6529999999998</v>
      </c>
      <c r="H55" s="281">
        <v>4940.2209999999995</v>
      </c>
      <c r="I55" s="316">
        <f t="shared" si="0"/>
        <v>15497.9</v>
      </c>
      <c r="J55" s="281">
        <v>6369.424</v>
      </c>
      <c r="K55" s="281">
        <v>7838.7119999999977</v>
      </c>
      <c r="L55" s="281">
        <v>3724.8680000000008</v>
      </c>
      <c r="M55" s="316">
        <f t="shared" si="1"/>
        <v>17933.004000000001</v>
      </c>
      <c r="N55" s="317">
        <f t="shared" si="2"/>
        <v>33430.904000000002</v>
      </c>
      <c r="O55" s="278">
        <v>7373.6319999999987</v>
      </c>
      <c r="P55" s="278">
        <v>1865</v>
      </c>
      <c r="Q55" s="281">
        <v>9327</v>
      </c>
      <c r="R55" s="316">
        <f t="shared" si="3"/>
        <v>18565.631999999998</v>
      </c>
      <c r="S55" s="281">
        <v>10160</v>
      </c>
      <c r="T55" s="281">
        <v>9546.8239999999951</v>
      </c>
      <c r="U55" s="314">
        <v>8175</v>
      </c>
      <c r="V55" s="316">
        <f t="shared" si="4"/>
        <v>27881.823999999993</v>
      </c>
      <c r="W55" s="317">
        <f t="shared" si="5"/>
        <v>46447.455999999991</v>
      </c>
      <c r="X55" s="1531">
        <f t="shared" si="6"/>
        <v>79878.36</v>
      </c>
      <c r="Y55" s="279">
        <v>1229.2170000000001</v>
      </c>
      <c r="Z55" s="281">
        <v>1299.2760000000001</v>
      </c>
      <c r="AA55" s="281">
        <v>380.01700000000005</v>
      </c>
      <c r="AB55" s="316">
        <f t="shared" si="7"/>
        <v>2908.51</v>
      </c>
      <c r="AC55" s="281">
        <v>890.45299999999997</v>
      </c>
      <c r="AD55" s="281">
        <v>875.19599999999991</v>
      </c>
      <c r="AE55" s="281">
        <v>909.0200000000001</v>
      </c>
      <c r="AF55" s="629">
        <f t="shared" si="8"/>
        <v>2674.6689999999999</v>
      </c>
      <c r="AG55" s="317">
        <f t="shared" si="9"/>
        <v>5583.1790000000001</v>
      </c>
      <c r="AH55" s="278">
        <v>1993.502</v>
      </c>
      <c r="AI55" s="278">
        <v>5213</v>
      </c>
      <c r="AJ55" s="278">
        <v>4141.3999999999996</v>
      </c>
      <c r="AK55" s="316">
        <f t="shared" si="10"/>
        <v>11347.902</v>
      </c>
      <c r="AL55" s="281">
        <v>1275</v>
      </c>
      <c r="AM55" s="281">
        <v>1460.7739999999999</v>
      </c>
      <c r="AN55" s="314">
        <v>4507</v>
      </c>
      <c r="AO55" s="316">
        <f t="shared" si="11"/>
        <v>7242.7739999999994</v>
      </c>
      <c r="AP55" s="317">
        <f t="shared" si="12"/>
        <v>18590.675999999999</v>
      </c>
      <c r="AQ55" s="318">
        <f t="shared" si="13"/>
        <v>24173.855</v>
      </c>
      <c r="AR55" s="315">
        <f t="shared" si="14"/>
        <v>104052.215</v>
      </c>
      <c r="AS55" s="5643"/>
      <c r="AT55" s="276"/>
      <c r="AU55" s="741">
        <f t="shared" si="15"/>
        <v>9428.2430000000004</v>
      </c>
      <c r="AV55" s="5638"/>
      <c r="AW55" s="741">
        <f t="shared" si="16"/>
        <v>3657.9290000000001</v>
      </c>
      <c r="AX55" s="5638"/>
      <c r="AY55" s="5638"/>
      <c r="AZ55" s="5638"/>
      <c r="BA55" s="741">
        <f t="shared" si="17"/>
        <v>5320.2379999999994</v>
      </c>
      <c r="BB55" s="5638"/>
      <c r="BC55" s="5638"/>
      <c r="BD55" s="5638"/>
      <c r="BE55" s="741">
        <f t="shared" si="18"/>
        <v>7259.8770000000004</v>
      </c>
      <c r="BF55" s="5638"/>
      <c r="BG55" s="5638"/>
      <c r="BH55" s="5638"/>
      <c r="BI55" s="741">
        <f t="shared" si="19"/>
        <v>8713.9079999999976</v>
      </c>
      <c r="BJ55" s="5638"/>
      <c r="BK55" s="5638"/>
      <c r="BL55" s="5638"/>
      <c r="BM55" s="741">
        <f t="shared" si="20"/>
        <v>4633.8880000000008</v>
      </c>
      <c r="BN55" s="5638"/>
      <c r="BO55" s="5638"/>
      <c r="BP55" s="5638"/>
      <c r="BQ55" s="5638"/>
      <c r="BR55" s="5638"/>
      <c r="BS55" s="741">
        <f t="shared" si="21"/>
        <v>9367.1339999999982</v>
      </c>
      <c r="BT55" s="5638"/>
      <c r="BU55" s="5638"/>
      <c r="BV55" s="5638"/>
      <c r="BW55" s="741">
        <f t="shared" si="22"/>
        <v>7078</v>
      </c>
      <c r="BX55" s="5638"/>
      <c r="BY55" s="5638"/>
      <c r="BZ55" s="5638"/>
      <c r="CA55" s="741">
        <f t="shared" si="23"/>
        <v>13468.4</v>
      </c>
      <c r="CB55" s="5638"/>
      <c r="CC55" s="5638"/>
      <c r="CD55" s="5638"/>
      <c r="CE55" s="5638"/>
      <c r="CF55" s="5638"/>
      <c r="CG55" s="741">
        <f t="shared" si="24"/>
        <v>11435</v>
      </c>
      <c r="CH55" s="5638"/>
      <c r="CI55" s="5638"/>
      <c r="CJ55" s="5638"/>
      <c r="CK55" s="741">
        <f t="shared" si="25"/>
        <v>11007.597999999994</v>
      </c>
      <c r="CL55" s="5638"/>
      <c r="CM55" s="5638"/>
      <c r="CN55" s="5638"/>
      <c r="CO55" s="741">
        <f t="shared" si="26"/>
        <v>12682</v>
      </c>
      <c r="CP55" s="5638"/>
      <c r="CQ55" s="5638"/>
      <c r="CR55" s="5638"/>
      <c r="CS55" s="5638"/>
      <c r="CT55" s="5638"/>
      <c r="CU55" s="1375">
        <f t="shared" si="27"/>
        <v>104052.215</v>
      </c>
      <c r="CV55" s="768"/>
    </row>
    <row r="56" spans="1:100" ht="15.75" x14ac:dyDescent="0.25">
      <c r="A56" s="276"/>
      <c r="B56" s="276"/>
      <c r="C56" s="276"/>
      <c r="D56" s="276"/>
      <c r="E56" s="312" t="s">
        <v>1336</v>
      </c>
      <c r="F56" s="1532"/>
      <c r="G56" s="281"/>
      <c r="H56" s="281">
        <v>713.32800000000009</v>
      </c>
      <c r="I56" s="316">
        <f t="shared" si="0"/>
        <v>713.32800000000009</v>
      </c>
      <c r="J56" s="281"/>
      <c r="K56" s="281"/>
      <c r="L56" s="281"/>
      <c r="M56" s="316">
        <f t="shared" si="1"/>
        <v>0</v>
      </c>
      <c r="N56" s="317">
        <f t="shared" si="2"/>
        <v>713.32800000000009</v>
      </c>
      <c r="O56" s="278"/>
      <c r="P56" s="278"/>
      <c r="Q56" s="281"/>
      <c r="R56" s="316">
        <f t="shared" si="3"/>
        <v>0</v>
      </c>
      <c r="S56" s="281"/>
      <c r="T56" s="281"/>
      <c r="U56" s="314"/>
      <c r="V56" s="316">
        <f t="shared" si="4"/>
        <v>0</v>
      </c>
      <c r="W56" s="317">
        <f t="shared" si="5"/>
        <v>0</v>
      </c>
      <c r="X56" s="1531">
        <f t="shared" si="6"/>
        <v>713.32800000000009</v>
      </c>
      <c r="Y56" s="279"/>
      <c r="Z56" s="281"/>
      <c r="AA56" s="281"/>
      <c r="AB56" s="316">
        <f t="shared" si="7"/>
        <v>0</v>
      </c>
      <c r="AC56" s="281"/>
      <c r="AD56" s="281"/>
      <c r="AE56" s="281"/>
      <c r="AF56" s="629">
        <f t="shared" si="8"/>
        <v>0</v>
      </c>
      <c r="AG56" s="317">
        <f t="shared" si="9"/>
        <v>0</v>
      </c>
      <c r="AH56" s="278"/>
      <c r="AI56" s="278"/>
      <c r="AJ56" s="278"/>
      <c r="AK56" s="316">
        <f t="shared" si="10"/>
        <v>0</v>
      </c>
      <c r="AL56" s="281"/>
      <c r="AM56" s="281"/>
      <c r="AN56" s="314"/>
      <c r="AO56" s="316">
        <f t="shared" si="11"/>
        <v>0</v>
      </c>
      <c r="AP56" s="317">
        <f t="shared" si="12"/>
        <v>0</v>
      </c>
      <c r="AQ56" s="318">
        <f t="shared" si="13"/>
        <v>0</v>
      </c>
      <c r="AR56" s="315">
        <f t="shared" si="14"/>
        <v>713.32800000000009</v>
      </c>
      <c r="AS56" s="5643"/>
      <c r="AT56" s="276"/>
      <c r="AU56" s="741">
        <f t="shared" si="15"/>
        <v>0</v>
      </c>
      <c r="AV56" s="5638"/>
      <c r="AW56" s="741">
        <f t="shared" si="16"/>
        <v>0</v>
      </c>
      <c r="AX56" s="5638"/>
      <c r="AY56" s="5638"/>
      <c r="AZ56" s="5638"/>
      <c r="BA56" s="741">
        <f t="shared" si="17"/>
        <v>713.32800000000009</v>
      </c>
      <c r="BB56" s="5638"/>
      <c r="BC56" s="5638"/>
      <c r="BD56" s="5638"/>
      <c r="BE56" s="741">
        <f t="shared" si="18"/>
        <v>0</v>
      </c>
      <c r="BF56" s="5638"/>
      <c r="BG56" s="5638"/>
      <c r="BH56" s="5638"/>
      <c r="BI56" s="741">
        <f t="shared" si="19"/>
        <v>0</v>
      </c>
      <c r="BJ56" s="5638"/>
      <c r="BK56" s="5638"/>
      <c r="BL56" s="5638"/>
      <c r="BM56" s="741">
        <f t="shared" si="20"/>
        <v>0</v>
      </c>
      <c r="BN56" s="5638"/>
      <c r="BO56" s="5638"/>
      <c r="BP56" s="5638"/>
      <c r="BQ56" s="5638"/>
      <c r="BR56" s="5638"/>
      <c r="BS56" s="741">
        <f t="shared" si="21"/>
        <v>0</v>
      </c>
      <c r="BT56" s="5638"/>
      <c r="BU56" s="5638"/>
      <c r="BV56" s="5638"/>
      <c r="BW56" s="741">
        <f t="shared" si="22"/>
        <v>0</v>
      </c>
      <c r="BX56" s="5638"/>
      <c r="BY56" s="5638"/>
      <c r="BZ56" s="5638"/>
      <c r="CA56" s="741">
        <f t="shared" si="23"/>
        <v>0</v>
      </c>
      <c r="CB56" s="5638"/>
      <c r="CC56" s="5638"/>
      <c r="CD56" s="5638"/>
      <c r="CE56" s="5638"/>
      <c r="CF56" s="5638"/>
      <c r="CG56" s="741">
        <f t="shared" si="24"/>
        <v>0</v>
      </c>
      <c r="CH56" s="5638"/>
      <c r="CI56" s="5638"/>
      <c r="CJ56" s="5638"/>
      <c r="CK56" s="741">
        <f t="shared" si="25"/>
        <v>0</v>
      </c>
      <c r="CL56" s="5638"/>
      <c r="CM56" s="5638"/>
      <c r="CN56" s="5638"/>
      <c r="CO56" s="741">
        <f t="shared" si="26"/>
        <v>0</v>
      </c>
      <c r="CP56" s="5638"/>
      <c r="CQ56" s="5638"/>
      <c r="CR56" s="5638"/>
      <c r="CS56" s="5638"/>
      <c r="CT56" s="5638"/>
      <c r="CU56" s="1375">
        <f t="shared" si="27"/>
        <v>713.32800000000009</v>
      </c>
      <c r="CV56" s="768"/>
    </row>
    <row r="57" spans="1:100" ht="15.75" x14ac:dyDescent="0.25">
      <c r="A57" s="276"/>
      <c r="B57" s="276"/>
      <c r="C57" s="276"/>
      <c r="D57" s="276"/>
      <c r="E57" s="312" t="s">
        <v>1271</v>
      </c>
      <c r="F57" s="1532">
        <v>154.97900000000001</v>
      </c>
      <c r="G57" s="281"/>
      <c r="H57" s="281"/>
      <c r="I57" s="316">
        <f t="shared" si="0"/>
        <v>154.97900000000001</v>
      </c>
      <c r="J57" s="281"/>
      <c r="K57" s="281"/>
      <c r="L57" s="281">
        <v>120.498</v>
      </c>
      <c r="M57" s="316">
        <f t="shared" si="1"/>
        <v>120.498</v>
      </c>
      <c r="N57" s="317">
        <f t="shared" si="2"/>
        <v>275.47700000000003</v>
      </c>
      <c r="O57" s="278">
        <v>109.928</v>
      </c>
      <c r="P57" s="278">
        <v>2385</v>
      </c>
      <c r="Q57" s="281"/>
      <c r="R57" s="316">
        <f t="shared" si="3"/>
        <v>2494.9279999999999</v>
      </c>
      <c r="S57" s="281"/>
      <c r="T57" s="281">
        <v>105.7</v>
      </c>
      <c r="U57" s="314"/>
      <c r="V57" s="316">
        <f t="shared" si="4"/>
        <v>105.7</v>
      </c>
      <c r="W57" s="317">
        <f t="shared" si="5"/>
        <v>2600.6279999999997</v>
      </c>
      <c r="X57" s="1531">
        <f t="shared" si="6"/>
        <v>2876.105</v>
      </c>
      <c r="Y57" s="279">
        <v>445.83000000000004</v>
      </c>
      <c r="Z57" s="281">
        <v>101.904</v>
      </c>
      <c r="AA57" s="281"/>
      <c r="AB57" s="316">
        <f t="shared" si="7"/>
        <v>547.73400000000004</v>
      </c>
      <c r="AC57" s="281"/>
      <c r="AD57" s="281">
        <v>293.846</v>
      </c>
      <c r="AE57" s="281">
        <v>321.32799999999997</v>
      </c>
      <c r="AF57" s="629">
        <f t="shared" si="8"/>
        <v>615.17399999999998</v>
      </c>
      <c r="AG57" s="317">
        <f t="shared" si="9"/>
        <v>1162.9079999999999</v>
      </c>
      <c r="AH57" s="278">
        <v>107.81399999999999</v>
      </c>
      <c r="AI57" s="278">
        <v>378</v>
      </c>
      <c r="AJ57" s="278"/>
      <c r="AK57" s="316">
        <f t="shared" si="10"/>
        <v>485.81399999999996</v>
      </c>
      <c r="AL57" s="281"/>
      <c r="AM57" s="281">
        <v>107.81399999999999</v>
      </c>
      <c r="AN57" s="314"/>
      <c r="AO57" s="316">
        <f t="shared" si="11"/>
        <v>107.81399999999999</v>
      </c>
      <c r="AP57" s="317">
        <f t="shared" si="12"/>
        <v>593.62799999999993</v>
      </c>
      <c r="AQ57" s="318">
        <f t="shared" si="13"/>
        <v>1756.5360000000001</v>
      </c>
      <c r="AR57" s="315">
        <f t="shared" si="14"/>
        <v>4632.6409999999996</v>
      </c>
      <c r="AS57" s="5643"/>
      <c r="AT57" s="276"/>
      <c r="AU57" s="741">
        <f t="shared" si="15"/>
        <v>600.80900000000008</v>
      </c>
      <c r="AV57" s="5638"/>
      <c r="AW57" s="741">
        <f t="shared" si="16"/>
        <v>101.904</v>
      </c>
      <c r="AX57" s="5638"/>
      <c r="AY57" s="5638"/>
      <c r="AZ57" s="5638"/>
      <c r="BA57" s="741">
        <f t="shared" si="17"/>
        <v>0</v>
      </c>
      <c r="BB57" s="5638"/>
      <c r="BC57" s="5638"/>
      <c r="BD57" s="5638"/>
      <c r="BE57" s="741">
        <f t="shared" si="18"/>
        <v>0</v>
      </c>
      <c r="BF57" s="5638"/>
      <c r="BG57" s="5638"/>
      <c r="BH57" s="5638"/>
      <c r="BI57" s="741">
        <f t="shared" si="19"/>
        <v>293.846</v>
      </c>
      <c r="BJ57" s="5638"/>
      <c r="BK57" s="5638"/>
      <c r="BL57" s="5638"/>
      <c r="BM57" s="741">
        <f t="shared" si="20"/>
        <v>441.82599999999996</v>
      </c>
      <c r="BN57" s="5638"/>
      <c r="BO57" s="5638"/>
      <c r="BP57" s="5638"/>
      <c r="BQ57" s="5638"/>
      <c r="BR57" s="5638"/>
      <c r="BS57" s="741">
        <f t="shared" si="21"/>
        <v>217.74199999999999</v>
      </c>
      <c r="BT57" s="5638"/>
      <c r="BU57" s="5638"/>
      <c r="BV57" s="5638"/>
      <c r="BW57" s="741">
        <f t="shared" si="22"/>
        <v>2763</v>
      </c>
      <c r="BX57" s="5638"/>
      <c r="BY57" s="5638"/>
      <c r="BZ57" s="5638"/>
      <c r="CA57" s="741">
        <f t="shared" si="23"/>
        <v>0</v>
      </c>
      <c r="CB57" s="5638"/>
      <c r="CC57" s="5638"/>
      <c r="CD57" s="5638"/>
      <c r="CE57" s="5638"/>
      <c r="CF57" s="5638"/>
      <c r="CG57" s="741">
        <f t="shared" si="24"/>
        <v>0</v>
      </c>
      <c r="CH57" s="5638"/>
      <c r="CI57" s="5638"/>
      <c r="CJ57" s="5638"/>
      <c r="CK57" s="741">
        <f t="shared" si="25"/>
        <v>213.51400000000001</v>
      </c>
      <c r="CL57" s="5638"/>
      <c r="CM57" s="5638"/>
      <c r="CN57" s="5638"/>
      <c r="CO57" s="741">
        <f t="shared" si="26"/>
        <v>0</v>
      </c>
      <c r="CP57" s="5638"/>
      <c r="CQ57" s="5638"/>
      <c r="CR57" s="5638"/>
      <c r="CS57" s="5638"/>
      <c r="CT57" s="5638"/>
      <c r="CU57" s="1375">
        <f t="shared" si="27"/>
        <v>4632.6410000000005</v>
      </c>
      <c r="CV57" s="768"/>
    </row>
    <row r="58" spans="1:100" ht="15.75" x14ac:dyDescent="0.25">
      <c r="A58" s="276"/>
      <c r="B58" s="276"/>
      <c r="C58" s="276"/>
      <c r="D58" s="276"/>
      <c r="E58" s="312" t="s">
        <v>1391</v>
      </c>
      <c r="F58" s="1532"/>
      <c r="G58" s="281"/>
      <c r="H58" s="281"/>
      <c r="I58" s="316">
        <f t="shared" si="0"/>
        <v>0</v>
      </c>
      <c r="J58" s="281"/>
      <c r="K58" s="281"/>
      <c r="L58" s="281"/>
      <c r="M58" s="316">
        <f t="shared" si="1"/>
        <v>0</v>
      </c>
      <c r="N58" s="317">
        <f t="shared" si="2"/>
        <v>0</v>
      </c>
      <c r="O58" s="278"/>
      <c r="P58" s="278"/>
      <c r="Q58" s="281"/>
      <c r="R58" s="316">
        <f t="shared" si="3"/>
        <v>0</v>
      </c>
      <c r="S58" s="281"/>
      <c r="T58" s="281"/>
      <c r="U58" s="314"/>
      <c r="V58" s="316">
        <f t="shared" si="4"/>
        <v>0</v>
      </c>
      <c r="W58" s="317">
        <f t="shared" si="5"/>
        <v>0</v>
      </c>
      <c r="X58" s="1531">
        <f t="shared" si="6"/>
        <v>0</v>
      </c>
      <c r="Y58" s="279"/>
      <c r="Z58" s="281"/>
      <c r="AA58" s="281"/>
      <c r="AB58" s="316">
        <f t="shared" si="7"/>
        <v>0</v>
      </c>
      <c r="AC58" s="281"/>
      <c r="AD58" s="281"/>
      <c r="AE58" s="281"/>
      <c r="AF58" s="629">
        <f t="shared" si="8"/>
        <v>0</v>
      </c>
      <c r="AG58" s="317">
        <f t="shared" si="9"/>
        <v>0</v>
      </c>
      <c r="AH58" s="278"/>
      <c r="AI58" s="278"/>
      <c r="AJ58" s="278"/>
      <c r="AK58" s="316">
        <f t="shared" si="10"/>
        <v>0</v>
      </c>
      <c r="AL58" s="281"/>
      <c r="AM58" s="281"/>
      <c r="AN58" s="314"/>
      <c r="AO58" s="316">
        <f t="shared" si="11"/>
        <v>0</v>
      </c>
      <c r="AP58" s="317">
        <f t="shared" si="12"/>
        <v>0</v>
      </c>
      <c r="AQ58" s="318">
        <f t="shared" si="13"/>
        <v>0</v>
      </c>
      <c r="AR58" s="315">
        <f t="shared" si="14"/>
        <v>0</v>
      </c>
      <c r="AS58" s="5643"/>
      <c r="AT58" s="276"/>
      <c r="AU58" s="741">
        <f t="shared" si="15"/>
        <v>0</v>
      </c>
      <c r="AV58" s="5638"/>
      <c r="AW58" s="741">
        <f t="shared" si="16"/>
        <v>0</v>
      </c>
      <c r="AX58" s="5638"/>
      <c r="AY58" s="5638"/>
      <c r="AZ58" s="5638"/>
      <c r="BA58" s="741">
        <f t="shared" si="17"/>
        <v>0</v>
      </c>
      <c r="BB58" s="5638"/>
      <c r="BC58" s="5638"/>
      <c r="BD58" s="5638"/>
      <c r="BE58" s="741">
        <f t="shared" si="18"/>
        <v>0</v>
      </c>
      <c r="BF58" s="5638"/>
      <c r="BG58" s="5638"/>
      <c r="BH58" s="5638"/>
      <c r="BI58" s="741">
        <f t="shared" si="19"/>
        <v>0</v>
      </c>
      <c r="BJ58" s="5638"/>
      <c r="BK58" s="5638"/>
      <c r="BL58" s="5638"/>
      <c r="BM58" s="741">
        <f t="shared" si="20"/>
        <v>0</v>
      </c>
      <c r="BN58" s="5638"/>
      <c r="BO58" s="5638"/>
      <c r="BP58" s="5638"/>
      <c r="BQ58" s="5638"/>
      <c r="BR58" s="5638"/>
      <c r="BS58" s="741">
        <f t="shared" si="21"/>
        <v>0</v>
      </c>
      <c r="BT58" s="5638"/>
      <c r="BU58" s="5638"/>
      <c r="BV58" s="5638"/>
      <c r="BW58" s="741">
        <f t="shared" si="22"/>
        <v>0</v>
      </c>
      <c r="BX58" s="5638"/>
      <c r="BY58" s="5638"/>
      <c r="BZ58" s="5638"/>
      <c r="CA58" s="741">
        <f t="shared" si="23"/>
        <v>0</v>
      </c>
      <c r="CB58" s="5638"/>
      <c r="CC58" s="5638"/>
      <c r="CD58" s="5638"/>
      <c r="CE58" s="5638"/>
      <c r="CF58" s="5638"/>
      <c r="CG58" s="741">
        <f t="shared" si="24"/>
        <v>0</v>
      </c>
      <c r="CH58" s="5638"/>
      <c r="CI58" s="5638"/>
      <c r="CJ58" s="5638"/>
      <c r="CK58" s="741">
        <f t="shared" si="25"/>
        <v>0</v>
      </c>
      <c r="CL58" s="5638"/>
      <c r="CM58" s="5638"/>
      <c r="CN58" s="5638"/>
      <c r="CO58" s="741">
        <f t="shared" si="26"/>
        <v>0</v>
      </c>
      <c r="CP58" s="5638"/>
      <c r="CQ58" s="5638"/>
      <c r="CR58" s="5638"/>
      <c r="CS58" s="5638"/>
      <c r="CT58" s="5638"/>
      <c r="CU58" s="1375">
        <f t="shared" si="27"/>
        <v>0</v>
      </c>
      <c r="CV58" s="768"/>
    </row>
    <row r="59" spans="1:100" ht="15.75" x14ac:dyDescent="0.25">
      <c r="A59" s="276"/>
      <c r="B59" s="276"/>
      <c r="C59" s="276"/>
      <c r="D59" s="276"/>
      <c r="E59" s="312" t="s">
        <v>1550</v>
      </c>
      <c r="F59" s="1532"/>
      <c r="G59" s="281"/>
      <c r="H59" s="281"/>
      <c r="I59" s="316">
        <f t="shared" si="0"/>
        <v>0</v>
      </c>
      <c r="J59" s="281">
        <v>568.66599999999994</v>
      </c>
      <c r="K59" s="281"/>
      <c r="L59" s="281"/>
      <c r="M59" s="316">
        <f t="shared" si="1"/>
        <v>568.66599999999994</v>
      </c>
      <c r="N59" s="317">
        <f t="shared" si="2"/>
        <v>568.66599999999994</v>
      </c>
      <c r="O59" s="278">
        <v>124.726</v>
      </c>
      <c r="P59" s="278"/>
      <c r="Q59" s="281"/>
      <c r="R59" s="316">
        <f t="shared" si="3"/>
        <v>124.726</v>
      </c>
      <c r="S59" s="281"/>
      <c r="T59" s="281">
        <v>566.55200000000002</v>
      </c>
      <c r="U59" s="314"/>
      <c r="V59" s="316">
        <f t="shared" si="4"/>
        <v>566.55200000000002</v>
      </c>
      <c r="W59" s="317">
        <f t="shared" si="5"/>
        <v>691.27800000000002</v>
      </c>
      <c r="X59" s="1531">
        <f t="shared" si="6"/>
        <v>1259.944</v>
      </c>
      <c r="Y59" s="279">
        <v>721.81999999999994</v>
      </c>
      <c r="Z59" s="281">
        <v>588.07100000000003</v>
      </c>
      <c r="AA59" s="281">
        <v>1180.3880000000001</v>
      </c>
      <c r="AB59" s="316">
        <f t="shared" si="7"/>
        <v>2490.2790000000005</v>
      </c>
      <c r="AC59" s="281"/>
      <c r="AD59" s="281"/>
      <c r="AE59" s="281"/>
      <c r="AF59" s="629">
        <f t="shared" si="8"/>
        <v>0</v>
      </c>
      <c r="AG59" s="317">
        <f t="shared" si="9"/>
        <v>2490.2790000000005</v>
      </c>
      <c r="AH59" s="278"/>
      <c r="AI59" s="278"/>
      <c r="AJ59" s="278"/>
      <c r="AK59" s="316">
        <f t="shared" si="10"/>
        <v>0</v>
      </c>
      <c r="AL59" s="281"/>
      <c r="AM59" s="281"/>
      <c r="AN59" s="314"/>
      <c r="AO59" s="316">
        <f t="shared" si="11"/>
        <v>0</v>
      </c>
      <c r="AP59" s="317">
        <f t="shared" si="12"/>
        <v>0</v>
      </c>
      <c r="AQ59" s="318">
        <f t="shared" si="13"/>
        <v>2490.2790000000005</v>
      </c>
      <c r="AR59" s="315">
        <f t="shared" si="14"/>
        <v>3750.2230000000004</v>
      </c>
      <c r="AS59" s="5643"/>
      <c r="AT59" s="276"/>
      <c r="AU59" s="741">
        <f t="shared" si="15"/>
        <v>721.81999999999994</v>
      </c>
      <c r="AV59" s="5638"/>
      <c r="AW59" s="741">
        <f t="shared" si="16"/>
        <v>588.07100000000003</v>
      </c>
      <c r="AX59" s="5638"/>
      <c r="AY59" s="5638"/>
      <c r="AZ59" s="5638"/>
      <c r="BA59" s="741">
        <f t="shared" si="17"/>
        <v>1180.3880000000001</v>
      </c>
      <c r="BB59" s="5638"/>
      <c r="BC59" s="5638"/>
      <c r="BD59" s="5638"/>
      <c r="BE59" s="741">
        <f t="shared" si="18"/>
        <v>568.66599999999994</v>
      </c>
      <c r="BF59" s="5638"/>
      <c r="BG59" s="5638"/>
      <c r="BH59" s="5638"/>
      <c r="BI59" s="741">
        <f t="shared" si="19"/>
        <v>0</v>
      </c>
      <c r="BJ59" s="5638"/>
      <c r="BK59" s="5638"/>
      <c r="BL59" s="5638"/>
      <c r="BM59" s="741">
        <f t="shared" si="20"/>
        <v>0</v>
      </c>
      <c r="BN59" s="5638"/>
      <c r="BO59" s="5638"/>
      <c r="BP59" s="5638"/>
      <c r="BQ59" s="5638"/>
      <c r="BR59" s="5638"/>
      <c r="BS59" s="741">
        <f t="shared" si="21"/>
        <v>124.726</v>
      </c>
      <c r="BT59" s="5638"/>
      <c r="BU59" s="5638"/>
      <c r="BV59" s="5638"/>
      <c r="BW59" s="741">
        <f t="shared" si="22"/>
        <v>0</v>
      </c>
      <c r="BX59" s="5638"/>
      <c r="BY59" s="5638"/>
      <c r="BZ59" s="5638"/>
      <c r="CA59" s="741">
        <f t="shared" si="23"/>
        <v>0</v>
      </c>
      <c r="CB59" s="5638"/>
      <c r="CC59" s="5638"/>
      <c r="CD59" s="5638"/>
      <c r="CE59" s="5638"/>
      <c r="CF59" s="5638"/>
      <c r="CG59" s="741">
        <f t="shared" si="24"/>
        <v>0</v>
      </c>
      <c r="CH59" s="5638"/>
      <c r="CI59" s="5638"/>
      <c r="CJ59" s="5638"/>
      <c r="CK59" s="741">
        <f t="shared" si="25"/>
        <v>566.55200000000002</v>
      </c>
      <c r="CL59" s="5638"/>
      <c r="CM59" s="5638"/>
      <c r="CN59" s="5638"/>
      <c r="CO59" s="741">
        <f t="shared" si="26"/>
        <v>0</v>
      </c>
      <c r="CP59" s="5638"/>
      <c r="CQ59" s="5638"/>
      <c r="CR59" s="5638"/>
      <c r="CS59" s="5638"/>
      <c r="CT59" s="5638"/>
      <c r="CU59" s="1375">
        <f t="shared" si="27"/>
        <v>3750.2230000000009</v>
      </c>
      <c r="CV59" s="768"/>
    </row>
    <row r="60" spans="1:100" ht="15.75" x14ac:dyDescent="0.25">
      <c r="A60" s="276"/>
      <c r="B60" s="276"/>
      <c r="C60" s="276"/>
      <c r="D60" s="276"/>
      <c r="E60" s="312" t="s">
        <v>1551</v>
      </c>
      <c r="F60" s="1532"/>
      <c r="G60" s="281"/>
      <c r="H60" s="281"/>
      <c r="I60" s="316">
        <f t="shared" si="0"/>
        <v>0</v>
      </c>
      <c r="J60" s="281"/>
      <c r="K60" s="281">
        <v>99.358000000000004</v>
      </c>
      <c r="L60" s="281">
        <v>298.07399999999996</v>
      </c>
      <c r="M60" s="316">
        <f t="shared" si="1"/>
        <v>397.43199999999996</v>
      </c>
      <c r="N60" s="317">
        <f t="shared" si="2"/>
        <v>397.43199999999996</v>
      </c>
      <c r="O60" s="278"/>
      <c r="P60" s="278"/>
      <c r="Q60" s="281"/>
      <c r="R60" s="316">
        <f t="shared" si="3"/>
        <v>0</v>
      </c>
      <c r="S60" s="281"/>
      <c r="T60" s="281">
        <v>120.498</v>
      </c>
      <c r="U60" s="314"/>
      <c r="V60" s="316">
        <f t="shared" si="4"/>
        <v>120.498</v>
      </c>
      <c r="W60" s="317">
        <f t="shared" si="5"/>
        <v>120.498</v>
      </c>
      <c r="X60" s="1531">
        <f t="shared" si="6"/>
        <v>517.92999999999995</v>
      </c>
      <c r="Y60" s="279"/>
      <c r="Z60" s="281"/>
      <c r="AA60" s="281"/>
      <c r="AB60" s="316">
        <f t="shared" si="7"/>
        <v>0</v>
      </c>
      <c r="AC60" s="281"/>
      <c r="AD60" s="281"/>
      <c r="AE60" s="281"/>
      <c r="AF60" s="629">
        <f t="shared" si="8"/>
        <v>0</v>
      </c>
      <c r="AG60" s="317">
        <f t="shared" si="9"/>
        <v>0</v>
      </c>
      <c r="AH60" s="278"/>
      <c r="AI60" s="278"/>
      <c r="AJ60" s="278"/>
      <c r="AK60" s="316">
        <f t="shared" si="10"/>
        <v>0</v>
      </c>
      <c r="AL60" s="281"/>
      <c r="AM60" s="281"/>
      <c r="AN60" s="314"/>
      <c r="AO60" s="316">
        <f t="shared" si="11"/>
        <v>0</v>
      </c>
      <c r="AP60" s="317">
        <f t="shared" si="12"/>
        <v>0</v>
      </c>
      <c r="AQ60" s="318">
        <f t="shared" si="13"/>
        <v>0</v>
      </c>
      <c r="AR60" s="315">
        <f t="shared" si="14"/>
        <v>517.92999999999995</v>
      </c>
      <c r="AS60" s="5643"/>
      <c r="AT60" s="276"/>
      <c r="AU60" s="741">
        <f t="shared" si="15"/>
        <v>0</v>
      </c>
      <c r="AV60" s="5638"/>
      <c r="AW60" s="741">
        <f t="shared" si="16"/>
        <v>0</v>
      </c>
      <c r="AX60" s="5638"/>
      <c r="AY60" s="5638"/>
      <c r="AZ60" s="5638"/>
      <c r="BA60" s="741">
        <f t="shared" si="17"/>
        <v>0</v>
      </c>
      <c r="BB60" s="5638"/>
      <c r="BC60" s="5638"/>
      <c r="BD60" s="5638"/>
      <c r="BE60" s="741">
        <f t="shared" si="18"/>
        <v>0</v>
      </c>
      <c r="BF60" s="5638"/>
      <c r="BG60" s="5638"/>
      <c r="BH60" s="5638"/>
      <c r="BI60" s="741">
        <f t="shared" si="19"/>
        <v>99.358000000000004</v>
      </c>
      <c r="BJ60" s="5638"/>
      <c r="BK60" s="5638"/>
      <c r="BL60" s="5638"/>
      <c r="BM60" s="741">
        <f t="shared" si="20"/>
        <v>298.07399999999996</v>
      </c>
      <c r="BN60" s="5638"/>
      <c r="BO60" s="5638"/>
      <c r="BP60" s="5638"/>
      <c r="BQ60" s="5638"/>
      <c r="BR60" s="5638"/>
      <c r="BS60" s="741">
        <f t="shared" si="21"/>
        <v>0</v>
      </c>
      <c r="BT60" s="5638"/>
      <c r="BU60" s="5638"/>
      <c r="BV60" s="5638"/>
      <c r="BW60" s="741">
        <f t="shared" si="22"/>
        <v>0</v>
      </c>
      <c r="BX60" s="5638"/>
      <c r="BY60" s="5638"/>
      <c r="BZ60" s="5638"/>
      <c r="CA60" s="741">
        <f t="shared" si="23"/>
        <v>0</v>
      </c>
      <c r="CB60" s="5638"/>
      <c r="CC60" s="5638"/>
      <c r="CD60" s="5638"/>
      <c r="CE60" s="5638"/>
      <c r="CF60" s="5638"/>
      <c r="CG60" s="741">
        <f t="shared" si="24"/>
        <v>0</v>
      </c>
      <c r="CH60" s="5638"/>
      <c r="CI60" s="5638"/>
      <c r="CJ60" s="5638"/>
      <c r="CK60" s="741">
        <f t="shared" si="25"/>
        <v>120.498</v>
      </c>
      <c r="CL60" s="5638"/>
      <c r="CM60" s="5638"/>
      <c r="CN60" s="5638"/>
      <c r="CO60" s="741">
        <f t="shared" si="26"/>
        <v>0</v>
      </c>
      <c r="CP60" s="5638"/>
      <c r="CQ60" s="5638"/>
      <c r="CR60" s="5638"/>
      <c r="CS60" s="5638"/>
      <c r="CT60" s="5638"/>
      <c r="CU60" s="1375">
        <f t="shared" si="27"/>
        <v>517.92999999999995</v>
      </c>
      <c r="CV60" s="768"/>
    </row>
    <row r="61" spans="1:100" ht="15.75" x14ac:dyDescent="0.25">
      <c r="A61" s="276"/>
      <c r="B61" s="276"/>
      <c r="C61" s="276"/>
      <c r="D61" s="276"/>
      <c r="E61" s="312" t="s">
        <v>1552</v>
      </c>
      <c r="F61" s="1532">
        <v>93.412000000000006</v>
      </c>
      <c r="G61" s="281"/>
      <c r="H61" s="281"/>
      <c r="I61" s="316">
        <f t="shared" si="0"/>
        <v>93.412000000000006</v>
      </c>
      <c r="J61" s="281">
        <v>236.768</v>
      </c>
      <c r="K61" s="281">
        <v>587.69200000000012</v>
      </c>
      <c r="L61" s="281">
        <v>1143.674</v>
      </c>
      <c r="M61" s="316">
        <f t="shared" si="1"/>
        <v>1968.134</v>
      </c>
      <c r="N61" s="317">
        <f t="shared" si="2"/>
        <v>2061.5459999999998</v>
      </c>
      <c r="O61" s="278"/>
      <c r="P61" s="278">
        <v>127</v>
      </c>
      <c r="Q61" s="281"/>
      <c r="R61" s="316">
        <f t="shared" si="3"/>
        <v>127</v>
      </c>
      <c r="S61" s="281"/>
      <c r="T61" s="281">
        <v>255.79400000000001</v>
      </c>
      <c r="U61" s="314"/>
      <c r="V61" s="316">
        <f t="shared" si="4"/>
        <v>255.79400000000001</v>
      </c>
      <c r="W61" s="317">
        <f t="shared" si="5"/>
        <v>382.79399999999998</v>
      </c>
      <c r="X61" s="1531">
        <f t="shared" si="6"/>
        <v>2444.34</v>
      </c>
      <c r="Y61" s="279">
        <v>537.11899999999991</v>
      </c>
      <c r="Z61" s="281"/>
      <c r="AA61" s="281"/>
      <c r="AB61" s="316">
        <f t="shared" si="7"/>
        <v>537.11899999999991</v>
      </c>
      <c r="AC61" s="281">
        <v>676.48</v>
      </c>
      <c r="AD61" s="281"/>
      <c r="AE61" s="281"/>
      <c r="AF61" s="629">
        <f t="shared" si="8"/>
        <v>676.48</v>
      </c>
      <c r="AG61" s="317">
        <f t="shared" si="9"/>
        <v>1213.5989999999999</v>
      </c>
      <c r="AH61" s="278"/>
      <c r="AI61" s="278"/>
      <c r="AJ61" s="278"/>
      <c r="AK61" s="316">
        <f t="shared" si="10"/>
        <v>0</v>
      </c>
      <c r="AL61" s="281"/>
      <c r="AM61" s="281"/>
      <c r="AN61" s="314">
        <v>345</v>
      </c>
      <c r="AO61" s="316">
        <f t="shared" si="11"/>
        <v>345</v>
      </c>
      <c r="AP61" s="317">
        <f t="shared" si="12"/>
        <v>345</v>
      </c>
      <c r="AQ61" s="318">
        <f t="shared" si="13"/>
        <v>1558.5989999999999</v>
      </c>
      <c r="AR61" s="315">
        <f t="shared" si="14"/>
        <v>4002.9390000000003</v>
      </c>
      <c r="AS61" s="5643"/>
      <c r="AT61" s="276"/>
      <c r="AU61" s="741">
        <f t="shared" si="15"/>
        <v>630.53099999999995</v>
      </c>
      <c r="AV61" s="5638"/>
      <c r="AW61" s="741">
        <f t="shared" si="16"/>
        <v>0</v>
      </c>
      <c r="AX61" s="5638"/>
      <c r="AY61" s="5638"/>
      <c r="AZ61" s="5638"/>
      <c r="BA61" s="741">
        <f t="shared" si="17"/>
        <v>0</v>
      </c>
      <c r="BB61" s="5638"/>
      <c r="BC61" s="5638"/>
      <c r="BD61" s="5638"/>
      <c r="BE61" s="741">
        <f t="shared" si="18"/>
        <v>913.24800000000005</v>
      </c>
      <c r="BF61" s="5638"/>
      <c r="BG61" s="5638"/>
      <c r="BH61" s="5638"/>
      <c r="BI61" s="741">
        <f t="shared" si="19"/>
        <v>587.69200000000012</v>
      </c>
      <c r="BJ61" s="5638"/>
      <c r="BK61" s="5638"/>
      <c r="BL61" s="5638"/>
      <c r="BM61" s="741">
        <f t="shared" si="20"/>
        <v>1143.674</v>
      </c>
      <c r="BN61" s="5638"/>
      <c r="BO61" s="5638"/>
      <c r="BP61" s="5638"/>
      <c r="BQ61" s="5638"/>
      <c r="BR61" s="5638"/>
      <c r="BS61" s="741">
        <f t="shared" si="21"/>
        <v>0</v>
      </c>
      <c r="BT61" s="5638"/>
      <c r="BU61" s="5638"/>
      <c r="BV61" s="5638"/>
      <c r="BW61" s="741">
        <f t="shared" si="22"/>
        <v>127</v>
      </c>
      <c r="BX61" s="5638"/>
      <c r="BY61" s="5638"/>
      <c r="BZ61" s="5638"/>
      <c r="CA61" s="741">
        <f t="shared" si="23"/>
        <v>0</v>
      </c>
      <c r="CB61" s="5638"/>
      <c r="CC61" s="5638"/>
      <c r="CD61" s="5638"/>
      <c r="CE61" s="5638"/>
      <c r="CF61" s="5638"/>
      <c r="CG61" s="741">
        <f t="shared" si="24"/>
        <v>0</v>
      </c>
      <c r="CH61" s="5638"/>
      <c r="CI61" s="5638"/>
      <c r="CJ61" s="5638"/>
      <c r="CK61" s="741">
        <f t="shared" si="25"/>
        <v>255.79400000000001</v>
      </c>
      <c r="CL61" s="5638"/>
      <c r="CM61" s="5638"/>
      <c r="CN61" s="5638"/>
      <c r="CO61" s="741">
        <f t="shared" si="26"/>
        <v>345</v>
      </c>
      <c r="CP61" s="5638"/>
      <c r="CQ61" s="5638"/>
      <c r="CR61" s="5638"/>
      <c r="CS61" s="5638"/>
      <c r="CT61" s="5638"/>
      <c r="CU61" s="1375">
        <f t="shared" si="27"/>
        <v>4002.9389999999999</v>
      </c>
      <c r="CV61" s="2389"/>
    </row>
    <row r="62" spans="1:100" ht="15.75" x14ac:dyDescent="0.25">
      <c r="A62" s="276"/>
      <c r="B62" s="276"/>
      <c r="C62" s="276"/>
      <c r="D62" s="276"/>
      <c r="E62" s="312" t="s">
        <v>1553</v>
      </c>
      <c r="F62" s="1532"/>
      <c r="G62" s="281"/>
      <c r="H62" s="281"/>
      <c r="I62" s="316">
        <f t="shared" si="0"/>
        <v>0</v>
      </c>
      <c r="J62" s="281"/>
      <c r="K62" s="281"/>
      <c r="L62" s="281"/>
      <c r="M62" s="316">
        <f t="shared" si="1"/>
        <v>0</v>
      </c>
      <c r="N62" s="317">
        <f t="shared" si="2"/>
        <v>0</v>
      </c>
      <c r="O62" s="278"/>
      <c r="P62" s="278"/>
      <c r="Q62" s="281"/>
      <c r="R62" s="316">
        <f t="shared" si="3"/>
        <v>0</v>
      </c>
      <c r="S62" s="281"/>
      <c r="T62" s="281"/>
      <c r="U62" s="314"/>
      <c r="V62" s="316">
        <f t="shared" si="4"/>
        <v>0</v>
      </c>
      <c r="W62" s="317">
        <f t="shared" si="5"/>
        <v>0</v>
      </c>
      <c r="X62" s="1531">
        <f t="shared" si="6"/>
        <v>0</v>
      </c>
      <c r="Y62" s="279">
        <v>2897.8950000000004</v>
      </c>
      <c r="Z62" s="281">
        <v>2766.2690000000007</v>
      </c>
      <c r="AA62" s="281">
        <v>3146.2860000000001</v>
      </c>
      <c r="AB62" s="316">
        <f t="shared" si="7"/>
        <v>8810.4500000000007</v>
      </c>
      <c r="AC62" s="281">
        <v>3143.5219999999999</v>
      </c>
      <c r="AD62" s="281"/>
      <c r="AE62" s="281"/>
      <c r="AF62" s="629">
        <f t="shared" si="8"/>
        <v>3143.5219999999999</v>
      </c>
      <c r="AG62" s="317">
        <f t="shared" si="9"/>
        <v>11953.972000000002</v>
      </c>
      <c r="AH62" s="278">
        <v>1268.4000000000001</v>
      </c>
      <c r="AI62" s="278">
        <v>1222</v>
      </c>
      <c r="AJ62" s="278"/>
      <c r="AK62" s="316">
        <f t="shared" si="10"/>
        <v>2490.4</v>
      </c>
      <c r="AL62" s="281">
        <v>871</v>
      </c>
      <c r="AM62" s="281">
        <v>536.95600000000002</v>
      </c>
      <c r="AN62" s="314"/>
      <c r="AO62" s="316">
        <f t="shared" si="11"/>
        <v>1407.9560000000001</v>
      </c>
      <c r="AP62" s="317">
        <f t="shared" si="12"/>
        <v>3898.3560000000002</v>
      </c>
      <c r="AQ62" s="318">
        <f t="shared" si="13"/>
        <v>15852.328000000001</v>
      </c>
      <c r="AR62" s="315">
        <f t="shared" si="14"/>
        <v>15852.328000000001</v>
      </c>
      <c r="AS62" s="5643"/>
      <c r="AT62" s="276"/>
      <c r="AU62" s="741">
        <f t="shared" si="15"/>
        <v>2897.8950000000004</v>
      </c>
      <c r="AV62" s="5638"/>
      <c r="AW62" s="741">
        <f t="shared" si="16"/>
        <v>2766.2690000000007</v>
      </c>
      <c r="AX62" s="5638"/>
      <c r="AY62" s="5638"/>
      <c r="AZ62" s="5638"/>
      <c r="BA62" s="741">
        <f t="shared" si="17"/>
        <v>3146.2860000000001</v>
      </c>
      <c r="BB62" s="5638"/>
      <c r="BC62" s="5638"/>
      <c r="BD62" s="5638"/>
      <c r="BE62" s="741">
        <f t="shared" si="18"/>
        <v>3143.5219999999999</v>
      </c>
      <c r="BF62" s="5638"/>
      <c r="BG62" s="5638"/>
      <c r="BH62" s="5638"/>
      <c r="BI62" s="741">
        <f t="shared" si="19"/>
        <v>0</v>
      </c>
      <c r="BJ62" s="5638"/>
      <c r="BK62" s="5638"/>
      <c r="BL62" s="5638"/>
      <c r="BM62" s="741">
        <f t="shared" si="20"/>
        <v>0</v>
      </c>
      <c r="BN62" s="5638"/>
      <c r="BO62" s="5638"/>
      <c r="BP62" s="5638"/>
      <c r="BQ62" s="5638"/>
      <c r="BR62" s="5638"/>
      <c r="BS62" s="741">
        <f t="shared" si="21"/>
        <v>1268.4000000000001</v>
      </c>
      <c r="BT62" s="5638"/>
      <c r="BU62" s="5638"/>
      <c r="BV62" s="5638"/>
      <c r="BW62" s="741">
        <f t="shared" si="22"/>
        <v>1222</v>
      </c>
      <c r="BX62" s="5638"/>
      <c r="BY62" s="5638"/>
      <c r="BZ62" s="5638"/>
      <c r="CA62" s="741">
        <f t="shared" si="23"/>
        <v>0</v>
      </c>
      <c r="CB62" s="5638"/>
      <c r="CC62" s="5638"/>
      <c r="CD62" s="5638"/>
      <c r="CE62" s="5638"/>
      <c r="CF62" s="5638"/>
      <c r="CG62" s="741">
        <f t="shared" si="24"/>
        <v>871</v>
      </c>
      <c r="CH62" s="5638"/>
      <c r="CI62" s="5638"/>
      <c r="CJ62" s="5638"/>
      <c r="CK62" s="741">
        <f t="shared" si="25"/>
        <v>536.95600000000002</v>
      </c>
      <c r="CL62" s="5638"/>
      <c r="CM62" s="5638"/>
      <c r="CN62" s="5638"/>
      <c r="CO62" s="741">
        <f t="shared" si="26"/>
        <v>0</v>
      </c>
      <c r="CP62" s="5638"/>
      <c r="CQ62" s="5638"/>
      <c r="CR62" s="5638"/>
      <c r="CS62" s="5638"/>
      <c r="CT62" s="5638"/>
      <c r="CU62" s="1375">
        <f t="shared" si="27"/>
        <v>15852.328000000001</v>
      </c>
      <c r="CV62" s="2389"/>
    </row>
    <row r="63" spans="1:100" ht="15.75" x14ac:dyDescent="0.25">
      <c r="A63" s="276"/>
      <c r="B63" s="276"/>
      <c r="C63" s="276"/>
      <c r="D63" s="276"/>
      <c r="E63" s="312" t="s">
        <v>1554</v>
      </c>
      <c r="F63" s="1532">
        <v>1753.598</v>
      </c>
      <c r="G63" s="281">
        <v>8067.4</v>
      </c>
      <c r="H63" s="281">
        <v>1751.4750000000001</v>
      </c>
      <c r="I63" s="316">
        <f t="shared" si="0"/>
        <v>11572.473</v>
      </c>
      <c r="J63" s="281">
        <v>1117.3800000000006</v>
      </c>
      <c r="K63" s="281">
        <v>1739.8220000000001</v>
      </c>
      <c r="L63" s="281">
        <v>1344.5039999999999</v>
      </c>
      <c r="M63" s="316">
        <f t="shared" si="1"/>
        <v>4201.7060000000001</v>
      </c>
      <c r="N63" s="317">
        <f t="shared" si="2"/>
        <v>15774.179</v>
      </c>
      <c r="O63" s="278">
        <v>429.14199999999994</v>
      </c>
      <c r="P63" s="278">
        <v>1900</v>
      </c>
      <c r="Q63" s="281">
        <v>3095</v>
      </c>
      <c r="R63" s="316">
        <f t="shared" si="3"/>
        <v>5424.1419999999998</v>
      </c>
      <c r="S63" s="281">
        <v>1120</v>
      </c>
      <c r="T63" s="281">
        <v>1357.1880000000003</v>
      </c>
      <c r="U63" s="314">
        <v>873</v>
      </c>
      <c r="V63" s="316">
        <f t="shared" si="4"/>
        <v>3350.1880000000001</v>
      </c>
      <c r="W63" s="317">
        <f t="shared" si="5"/>
        <v>8774.33</v>
      </c>
      <c r="X63" s="1531">
        <f t="shared" si="6"/>
        <v>24548.509000000002</v>
      </c>
      <c r="Y63" s="279">
        <v>1908.5769999999998</v>
      </c>
      <c r="Z63" s="281">
        <v>1961.652</v>
      </c>
      <c r="AA63" s="281">
        <v>2201.5509999999999</v>
      </c>
      <c r="AB63" s="316">
        <f t="shared" si="7"/>
        <v>6071.78</v>
      </c>
      <c r="AC63" s="281">
        <v>1636.3540000000003</v>
      </c>
      <c r="AD63" s="281">
        <v>5122.2220000000007</v>
      </c>
      <c r="AE63" s="281">
        <v>1610.8679999999999</v>
      </c>
      <c r="AF63" s="629">
        <f t="shared" si="8"/>
        <v>8369.4440000000013</v>
      </c>
      <c r="AG63" s="317">
        <f t="shared" si="9"/>
        <v>14441.224000000002</v>
      </c>
      <c r="AH63" s="278">
        <v>2352.8820000000005</v>
      </c>
      <c r="AI63" s="278">
        <v>2501</v>
      </c>
      <c r="AJ63" s="278">
        <v>5501.4</v>
      </c>
      <c r="AK63" s="316">
        <f t="shared" si="10"/>
        <v>10355.281999999999</v>
      </c>
      <c r="AL63" s="281">
        <v>3112</v>
      </c>
      <c r="AM63" s="281">
        <v>1281.0840000000001</v>
      </c>
      <c r="AN63" s="314">
        <v>3167</v>
      </c>
      <c r="AO63" s="316">
        <f t="shared" si="11"/>
        <v>7560.0839999999998</v>
      </c>
      <c r="AP63" s="317">
        <f t="shared" si="12"/>
        <v>17915.365999999998</v>
      </c>
      <c r="AQ63" s="318">
        <f t="shared" si="13"/>
        <v>32356.59</v>
      </c>
      <c r="AR63" s="315">
        <f t="shared" si="14"/>
        <v>56905.099000000002</v>
      </c>
      <c r="AS63" s="5643"/>
      <c r="AT63" s="276"/>
      <c r="AU63" s="741">
        <f t="shared" si="15"/>
        <v>3662.1749999999997</v>
      </c>
      <c r="AV63" s="5638"/>
      <c r="AW63" s="741">
        <f t="shared" si="16"/>
        <v>10029.052</v>
      </c>
      <c r="AX63" s="5638"/>
      <c r="AY63" s="5638"/>
      <c r="AZ63" s="5638"/>
      <c r="BA63" s="741">
        <f t="shared" si="17"/>
        <v>3953.0259999999998</v>
      </c>
      <c r="BB63" s="5638"/>
      <c r="BC63" s="5638"/>
      <c r="BD63" s="5638"/>
      <c r="BE63" s="741">
        <f t="shared" si="18"/>
        <v>2753.7340000000008</v>
      </c>
      <c r="BF63" s="5638"/>
      <c r="BG63" s="5638"/>
      <c r="BH63" s="5638"/>
      <c r="BI63" s="741">
        <f t="shared" si="19"/>
        <v>6862.0440000000008</v>
      </c>
      <c r="BJ63" s="5638"/>
      <c r="BK63" s="5638"/>
      <c r="BL63" s="5638"/>
      <c r="BM63" s="741">
        <f t="shared" si="20"/>
        <v>2955.3719999999998</v>
      </c>
      <c r="BN63" s="5638"/>
      <c r="BO63" s="5638"/>
      <c r="BP63" s="5638"/>
      <c r="BQ63" s="5638"/>
      <c r="BR63" s="5638"/>
      <c r="BS63" s="741">
        <f t="shared" si="21"/>
        <v>2782.0240000000003</v>
      </c>
      <c r="BT63" s="5638"/>
      <c r="BU63" s="5638"/>
      <c r="BV63" s="5638"/>
      <c r="BW63" s="741">
        <f t="shared" si="22"/>
        <v>4401</v>
      </c>
      <c r="BX63" s="5638"/>
      <c r="BY63" s="5638"/>
      <c r="BZ63" s="5638"/>
      <c r="CA63" s="741">
        <f t="shared" si="23"/>
        <v>8596.4</v>
      </c>
      <c r="CB63" s="5638"/>
      <c r="CC63" s="5638"/>
      <c r="CD63" s="5638"/>
      <c r="CE63" s="5638"/>
      <c r="CF63" s="5638"/>
      <c r="CG63" s="741">
        <f t="shared" si="24"/>
        <v>4232</v>
      </c>
      <c r="CH63" s="5638"/>
      <c r="CI63" s="5638"/>
      <c r="CJ63" s="5638"/>
      <c r="CK63" s="741">
        <f t="shared" si="25"/>
        <v>2638.2720000000004</v>
      </c>
      <c r="CL63" s="5638"/>
      <c r="CM63" s="5638"/>
      <c r="CN63" s="5638"/>
      <c r="CO63" s="741">
        <f t="shared" si="26"/>
        <v>4040</v>
      </c>
      <c r="CP63" s="5638"/>
      <c r="CQ63" s="5638"/>
      <c r="CR63" s="5638"/>
      <c r="CS63" s="5638"/>
      <c r="CT63" s="5638"/>
      <c r="CU63" s="1375">
        <f t="shared" si="27"/>
        <v>56905.098999999995</v>
      </c>
      <c r="CV63" s="2389"/>
    </row>
    <row r="64" spans="1:100" ht="15.75" x14ac:dyDescent="0.25">
      <c r="A64" s="276"/>
      <c r="B64" s="276"/>
      <c r="C64" s="276"/>
      <c r="D64" s="276"/>
      <c r="E64" s="312" t="s">
        <v>1555</v>
      </c>
      <c r="F64" s="1532"/>
      <c r="G64" s="281"/>
      <c r="H64" s="281"/>
      <c r="I64" s="316">
        <f t="shared" si="0"/>
        <v>0</v>
      </c>
      <c r="J64" s="281"/>
      <c r="K64" s="281"/>
      <c r="L64" s="281"/>
      <c r="M64" s="316">
        <f t="shared" si="1"/>
        <v>0</v>
      </c>
      <c r="N64" s="317">
        <f t="shared" si="2"/>
        <v>0</v>
      </c>
      <c r="O64" s="278"/>
      <c r="P64" s="278"/>
      <c r="Q64" s="281"/>
      <c r="R64" s="316">
        <f t="shared" si="3"/>
        <v>0</v>
      </c>
      <c r="S64" s="281"/>
      <c r="T64" s="281"/>
      <c r="U64" s="314"/>
      <c r="V64" s="316">
        <f t="shared" si="4"/>
        <v>0</v>
      </c>
      <c r="W64" s="317">
        <f t="shared" si="5"/>
        <v>0</v>
      </c>
      <c r="X64" s="1531">
        <f t="shared" si="6"/>
        <v>0</v>
      </c>
      <c r="Y64" s="279"/>
      <c r="Z64" s="281"/>
      <c r="AA64" s="281"/>
      <c r="AB64" s="316">
        <f t="shared" si="7"/>
        <v>0</v>
      </c>
      <c r="AC64" s="281"/>
      <c r="AD64" s="281"/>
      <c r="AE64" s="281"/>
      <c r="AF64" s="629">
        <f t="shared" si="8"/>
        <v>0</v>
      </c>
      <c r="AG64" s="317">
        <f t="shared" si="9"/>
        <v>0</v>
      </c>
      <c r="AH64" s="278"/>
      <c r="AI64" s="278"/>
      <c r="AJ64" s="278"/>
      <c r="AK64" s="316">
        <f t="shared" si="10"/>
        <v>0</v>
      </c>
      <c r="AL64" s="281"/>
      <c r="AM64" s="281"/>
      <c r="AN64" s="314"/>
      <c r="AO64" s="316">
        <f t="shared" si="11"/>
        <v>0</v>
      </c>
      <c r="AP64" s="317">
        <f t="shared" si="12"/>
        <v>0</v>
      </c>
      <c r="AQ64" s="318">
        <f t="shared" si="13"/>
        <v>0</v>
      </c>
      <c r="AR64" s="315">
        <f t="shared" si="14"/>
        <v>0</v>
      </c>
      <c r="AS64" s="5643"/>
      <c r="AT64" s="276"/>
      <c r="AU64" s="741">
        <f t="shared" si="15"/>
        <v>0</v>
      </c>
      <c r="AV64" s="5638"/>
      <c r="AW64" s="741">
        <f t="shared" si="16"/>
        <v>0</v>
      </c>
      <c r="AX64" s="5638"/>
      <c r="AY64" s="5638"/>
      <c r="AZ64" s="5638"/>
      <c r="BA64" s="741">
        <f t="shared" si="17"/>
        <v>0</v>
      </c>
      <c r="BB64" s="5638"/>
      <c r="BC64" s="5638"/>
      <c r="BD64" s="5638"/>
      <c r="BE64" s="741">
        <f t="shared" si="18"/>
        <v>0</v>
      </c>
      <c r="BF64" s="5638"/>
      <c r="BG64" s="5638"/>
      <c r="BH64" s="5638"/>
      <c r="BI64" s="741">
        <f t="shared" si="19"/>
        <v>0</v>
      </c>
      <c r="BJ64" s="5638"/>
      <c r="BK64" s="5638"/>
      <c r="BL64" s="5638"/>
      <c r="BM64" s="741">
        <f t="shared" si="20"/>
        <v>0</v>
      </c>
      <c r="BN64" s="5638"/>
      <c r="BO64" s="5638"/>
      <c r="BP64" s="5638"/>
      <c r="BQ64" s="5638"/>
      <c r="BR64" s="5638"/>
      <c r="BS64" s="741">
        <f t="shared" si="21"/>
        <v>0</v>
      </c>
      <c r="BT64" s="5638"/>
      <c r="BU64" s="5638"/>
      <c r="BV64" s="5638"/>
      <c r="BW64" s="741">
        <f t="shared" si="22"/>
        <v>0</v>
      </c>
      <c r="BX64" s="5638"/>
      <c r="BY64" s="5638"/>
      <c r="BZ64" s="5638"/>
      <c r="CA64" s="741">
        <f t="shared" si="23"/>
        <v>0</v>
      </c>
      <c r="CB64" s="5638"/>
      <c r="CC64" s="5638"/>
      <c r="CD64" s="5638"/>
      <c r="CE64" s="5638"/>
      <c r="CF64" s="5638"/>
      <c r="CG64" s="741">
        <f t="shared" si="24"/>
        <v>0</v>
      </c>
      <c r="CH64" s="5638"/>
      <c r="CI64" s="5638"/>
      <c r="CJ64" s="5638"/>
      <c r="CK64" s="741">
        <f t="shared" si="25"/>
        <v>0</v>
      </c>
      <c r="CL64" s="5638"/>
      <c r="CM64" s="5638"/>
      <c r="CN64" s="5638"/>
      <c r="CO64" s="741">
        <f t="shared" si="26"/>
        <v>0</v>
      </c>
      <c r="CP64" s="5638"/>
      <c r="CQ64" s="5638"/>
      <c r="CR64" s="5638"/>
      <c r="CS64" s="5638"/>
      <c r="CT64" s="5638"/>
      <c r="CU64" s="1375">
        <f t="shared" si="27"/>
        <v>0</v>
      </c>
      <c r="CV64" s="2389"/>
    </row>
    <row r="65" spans="1:103" s="183" customFormat="1" ht="15.75" x14ac:dyDescent="0.25">
      <c r="A65" s="319"/>
      <c r="B65" s="319"/>
      <c r="C65" s="319"/>
      <c r="D65" s="319"/>
      <c r="E65" s="312" t="s">
        <v>1556</v>
      </c>
      <c r="F65" s="2069"/>
      <c r="G65" s="281"/>
      <c r="H65" s="281"/>
      <c r="I65" s="321">
        <f t="shared" si="0"/>
        <v>0</v>
      </c>
      <c r="J65" s="281"/>
      <c r="K65" s="281"/>
      <c r="L65" s="281"/>
      <c r="M65" s="321">
        <f t="shared" si="1"/>
        <v>0</v>
      </c>
      <c r="N65" s="321">
        <f t="shared" si="2"/>
        <v>0</v>
      </c>
      <c r="O65" s="281"/>
      <c r="P65" s="281"/>
      <c r="Q65" s="281"/>
      <c r="R65" s="321">
        <f t="shared" si="3"/>
        <v>0</v>
      </c>
      <c r="S65" s="281"/>
      <c r="T65" s="281">
        <v>731.44400000000007</v>
      </c>
      <c r="U65" s="5703"/>
      <c r="V65" s="321">
        <f t="shared" si="4"/>
        <v>731.44400000000007</v>
      </c>
      <c r="W65" s="321">
        <f t="shared" si="5"/>
        <v>731.44400000000007</v>
      </c>
      <c r="X65" s="5704">
        <f t="shared" si="6"/>
        <v>731.44400000000007</v>
      </c>
      <c r="Y65" s="1997">
        <v>1494.5920000000001</v>
      </c>
      <c r="Z65" s="281"/>
      <c r="AA65" s="281"/>
      <c r="AB65" s="321">
        <f t="shared" si="7"/>
        <v>1494.5920000000001</v>
      </c>
      <c r="AC65" s="281"/>
      <c r="AD65" s="281"/>
      <c r="AE65" s="281"/>
      <c r="AF65" s="5705">
        <f t="shared" si="8"/>
        <v>0</v>
      </c>
      <c r="AG65" s="321">
        <f t="shared" si="9"/>
        <v>1494.5920000000001</v>
      </c>
      <c r="AH65" s="281"/>
      <c r="AI65" s="281">
        <v>693</v>
      </c>
      <c r="AJ65" s="281">
        <v>3097</v>
      </c>
      <c r="AK65" s="321">
        <f t="shared" si="10"/>
        <v>3790</v>
      </c>
      <c r="AL65" s="281">
        <v>581</v>
      </c>
      <c r="AM65" s="281"/>
      <c r="AN65" s="5703"/>
      <c r="AO65" s="321">
        <f t="shared" si="11"/>
        <v>581</v>
      </c>
      <c r="AP65" s="321">
        <f t="shared" si="12"/>
        <v>4371</v>
      </c>
      <c r="AQ65" s="5706">
        <f t="shared" si="13"/>
        <v>5865.5920000000006</v>
      </c>
      <c r="AR65" s="5707">
        <f t="shared" si="14"/>
        <v>6597.036000000001</v>
      </c>
      <c r="AS65" s="5643"/>
      <c r="AT65" s="319"/>
      <c r="AU65" s="741">
        <f t="shared" si="15"/>
        <v>1494.5920000000001</v>
      </c>
      <c r="AV65" s="5638"/>
      <c r="AW65" s="741">
        <f t="shared" si="16"/>
        <v>0</v>
      </c>
      <c r="AX65" s="5638"/>
      <c r="AY65" s="5638"/>
      <c r="AZ65" s="5638"/>
      <c r="BA65" s="741">
        <f t="shared" si="17"/>
        <v>0</v>
      </c>
      <c r="BB65" s="5638"/>
      <c r="BC65" s="5638"/>
      <c r="BD65" s="5638"/>
      <c r="BE65" s="741">
        <f t="shared" si="18"/>
        <v>0</v>
      </c>
      <c r="BF65" s="5638"/>
      <c r="BG65" s="5638"/>
      <c r="BH65" s="5638"/>
      <c r="BI65" s="741">
        <f t="shared" si="19"/>
        <v>0</v>
      </c>
      <c r="BJ65" s="5638"/>
      <c r="BK65" s="5638"/>
      <c r="BL65" s="5638"/>
      <c r="BM65" s="741">
        <f t="shared" si="20"/>
        <v>0</v>
      </c>
      <c r="BN65" s="5638"/>
      <c r="BO65" s="5638"/>
      <c r="BP65" s="5638"/>
      <c r="BQ65" s="5638"/>
      <c r="BR65" s="5638"/>
      <c r="BS65" s="741">
        <f t="shared" si="21"/>
        <v>0</v>
      </c>
      <c r="BT65" s="5638"/>
      <c r="BU65" s="5638"/>
      <c r="BV65" s="5638"/>
      <c r="BW65" s="741">
        <f t="shared" si="22"/>
        <v>693</v>
      </c>
      <c r="BX65" s="5638"/>
      <c r="BY65" s="5638"/>
      <c r="BZ65" s="5638"/>
      <c r="CA65" s="741">
        <f t="shared" si="23"/>
        <v>3097</v>
      </c>
      <c r="CB65" s="5638"/>
      <c r="CC65" s="5638"/>
      <c r="CD65" s="5638"/>
      <c r="CE65" s="5638"/>
      <c r="CF65" s="5638"/>
      <c r="CG65" s="741">
        <f t="shared" si="24"/>
        <v>581</v>
      </c>
      <c r="CH65" s="5638"/>
      <c r="CI65" s="5638"/>
      <c r="CJ65" s="5638"/>
      <c r="CK65" s="741">
        <f t="shared" si="25"/>
        <v>731.44400000000007</v>
      </c>
      <c r="CL65" s="5638"/>
      <c r="CM65" s="5638"/>
      <c r="CN65" s="5638"/>
      <c r="CO65" s="741">
        <f t="shared" si="26"/>
        <v>0</v>
      </c>
      <c r="CP65" s="5638"/>
      <c r="CQ65" s="5638"/>
      <c r="CR65" s="5638"/>
      <c r="CS65" s="5638"/>
      <c r="CT65" s="5638"/>
      <c r="CU65" s="5708">
        <f t="shared" si="27"/>
        <v>6597.036000000001</v>
      </c>
      <c r="CV65" s="5709"/>
    </row>
    <row r="66" spans="1:103" s="183" customFormat="1" ht="15.75" x14ac:dyDescent="0.25">
      <c r="A66" s="319"/>
      <c r="B66" s="319"/>
      <c r="C66" s="319"/>
      <c r="D66" s="319"/>
      <c r="E66" s="312" t="s">
        <v>1531</v>
      </c>
      <c r="F66" s="2069">
        <v>13033.096999999998</v>
      </c>
      <c r="G66" s="281">
        <v>15684.724</v>
      </c>
      <c r="H66" s="281">
        <v>9810.3830000000016</v>
      </c>
      <c r="I66" s="321">
        <f t="shared" si="0"/>
        <v>38528.203999999998</v>
      </c>
      <c r="J66" s="281">
        <v>9455.5550000000021</v>
      </c>
      <c r="K66" s="281">
        <v>3955.2940000000003</v>
      </c>
      <c r="L66" s="281">
        <v>3638.194</v>
      </c>
      <c r="M66" s="321">
        <f t="shared" si="1"/>
        <v>17049.043000000001</v>
      </c>
      <c r="N66" s="321">
        <f t="shared" si="2"/>
        <v>55577.247000000003</v>
      </c>
      <c r="O66" s="281">
        <v>4204.7459999999992</v>
      </c>
      <c r="P66" s="281">
        <v>6577</v>
      </c>
      <c r="Q66" s="281">
        <v>8951</v>
      </c>
      <c r="R66" s="321">
        <f t="shared" si="3"/>
        <v>19732.745999999999</v>
      </c>
      <c r="S66" s="281">
        <v>5564</v>
      </c>
      <c r="T66" s="281">
        <v>7724.6000000000022</v>
      </c>
      <c r="U66" s="5703">
        <v>2721</v>
      </c>
      <c r="V66" s="321">
        <f t="shared" si="4"/>
        <v>16009.600000000002</v>
      </c>
      <c r="W66" s="321">
        <f t="shared" si="5"/>
        <v>35742.346000000005</v>
      </c>
      <c r="X66" s="5704">
        <f t="shared" si="6"/>
        <v>91319.593000000008</v>
      </c>
      <c r="Y66" s="1997">
        <v>118.88800000000003</v>
      </c>
      <c r="Z66" s="281">
        <v>74.305000000000007</v>
      </c>
      <c r="AA66" s="281">
        <v>159.22500000000008</v>
      </c>
      <c r="AB66" s="321">
        <f t="shared" si="7"/>
        <v>352.41800000000012</v>
      </c>
      <c r="AC66" s="281">
        <v>3865.688000000001</v>
      </c>
      <c r="AD66" s="281">
        <v>2261.9800000000005</v>
      </c>
      <c r="AE66" s="281">
        <v>610.94600000000014</v>
      </c>
      <c r="AF66" s="5705">
        <f t="shared" si="8"/>
        <v>6738.6140000000014</v>
      </c>
      <c r="AG66" s="321">
        <f t="shared" si="9"/>
        <v>7091.0320000000011</v>
      </c>
      <c r="AH66" s="281">
        <v>7016.3659999999991</v>
      </c>
      <c r="AI66" s="281">
        <v>3395</v>
      </c>
      <c r="AJ66" s="281">
        <v>118</v>
      </c>
      <c r="AK66" s="321">
        <f t="shared" si="10"/>
        <v>10529.365999999998</v>
      </c>
      <c r="AL66" s="281">
        <v>194</v>
      </c>
      <c r="AM66" s="281">
        <v>988.56</v>
      </c>
      <c r="AN66" s="5703">
        <v>736</v>
      </c>
      <c r="AO66" s="321">
        <f t="shared" si="11"/>
        <v>1918.56</v>
      </c>
      <c r="AP66" s="321">
        <f t="shared" si="12"/>
        <v>12447.925999999998</v>
      </c>
      <c r="AQ66" s="5706">
        <f t="shared" si="13"/>
        <v>19538.958000000002</v>
      </c>
      <c r="AR66" s="5707">
        <f t="shared" si="14"/>
        <v>110858.55100000001</v>
      </c>
      <c r="AS66" s="5643"/>
      <c r="AT66" s="319"/>
      <c r="AU66" s="741">
        <f t="shared" si="15"/>
        <v>13151.984999999999</v>
      </c>
      <c r="AV66" s="5638"/>
      <c r="AW66" s="741">
        <f t="shared" si="16"/>
        <v>15759.029</v>
      </c>
      <c r="AX66" s="5638"/>
      <c r="AY66" s="5638"/>
      <c r="AZ66" s="5638"/>
      <c r="BA66" s="741">
        <f t="shared" si="17"/>
        <v>9969.608000000002</v>
      </c>
      <c r="BB66" s="5638"/>
      <c r="BC66" s="5638"/>
      <c r="BD66" s="5638"/>
      <c r="BE66" s="741">
        <f t="shared" si="18"/>
        <v>13321.243000000002</v>
      </c>
      <c r="BF66" s="5638"/>
      <c r="BG66" s="5638"/>
      <c r="BH66" s="5638"/>
      <c r="BI66" s="741">
        <f t="shared" si="19"/>
        <v>6217.2740000000013</v>
      </c>
      <c r="BJ66" s="5638"/>
      <c r="BK66" s="5638"/>
      <c r="BL66" s="5638"/>
      <c r="BM66" s="741">
        <f t="shared" si="20"/>
        <v>4249.1400000000003</v>
      </c>
      <c r="BN66" s="5638"/>
      <c r="BO66" s="5638"/>
      <c r="BP66" s="5638"/>
      <c r="BQ66" s="5638"/>
      <c r="BR66" s="5638"/>
      <c r="BS66" s="741">
        <f t="shared" si="21"/>
        <v>11221.111999999997</v>
      </c>
      <c r="BT66" s="5638"/>
      <c r="BU66" s="5638"/>
      <c r="BV66" s="5638"/>
      <c r="BW66" s="741">
        <f t="shared" si="22"/>
        <v>9972</v>
      </c>
      <c r="BX66" s="5638"/>
      <c r="BY66" s="5638"/>
      <c r="BZ66" s="5638"/>
      <c r="CA66" s="741">
        <f t="shared" si="23"/>
        <v>9069</v>
      </c>
      <c r="CB66" s="5638"/>
      <c r="CC66" s="5638"/>
      <c r="CD66" s="5638"/>
      <c r="CE66" s="5638"/>
      <c r="CF66" s="5638"/>
      <c r="CG66" s="741">
        <f t="shared" si="24"/>
        <v>5758</v>
      </c>
      <c r="CH66" s="5638"/>
      <c r="CI66" s="5638"/>
      <c r="CJ66" s="5638"/>
      <c r="CK66" s="741">
        <f t="shared" si="25"/>
        <v>8713.1600000000017</v>
      </c>
      <c r="CL66" s="5638"/>
      <c r="CM66" s="5638"/>
      <c r="CN66" s="5638"/>
      <c r="CO66" s="741">
        <f t="shared" si="26"/>
        <v>3457</v>
      </c>
      <c r="CP66" s="5638"/>
      <c r="CQ66" s="5638"/>
      <c r="CR66" s="5638"/>
      <c r="CS66" s="5638"/>
      <c r="CT66" s="5638"/>
      <c r="CU66" s="5708">
        <f t="shared" si="27"/>
        <v>110858.55100000001</v>
      </c>
      <c r="CV66" s="5709"/>
    </row>
    <row r="67" spans="1:103" s="183" customFormat="1" ht="15.75" x14ac:dyDescent="0.25">
      <c r="A67" s="319"/>
      <c r="B67" s="319"/>
      <c r="C67" s="319"/>
      <c r="D67" s="319"/>
      <c r="E67" s="312" t="s">
        <v>1272</v>
      </c>
      <c r="F67" s="2069">
        <v>2528.4930000000004</v>
      </c>
      <c r="G67" s="281">
        <v>2630.3969999999999</v>
      </c>
      <c r="H67" s="281">
        <v>6513.3640000000005</v>
      </c>
      <c r="I67" s="321">
        <f t="shared" si="0"/>
        <v>11672.254000000001</v>
      </c>
      <c r="J67" s="281">
        <v>2560.8290000000006</v>
      </c>
      <c r="K67" s="281">
        <v>5441.4359999999988</v>
      </c>
      <c r="L67" s="281">
        <v>3987.0040000000004</v>
      </c>
      <c r="M67" s="321">
        <f t="shared" si="1"/>
        <v>11989.269</v>
      </c>
      <c r="N67" s="321">
        <f t="shared" si="2"/>
        <v>23661.523000000001</v>
      </c>
      <c r="O67" s="281">
        <v>7058.6459999999979</v>
      </c>
      <c r="P67" s="281">
        <v>2311</v>
      </c>
      <c r="Q67" s="281">
        <v>1285</v>
      </c>
      <c r="R67" s="321">
        <f t="shared" si="3"/>
        <v>10654.645999999997</v>
      </c>
      <c r="S67" s="281">
        <v>1873</v>
      </c>
      <c r="T67" s="281">
        <v>8633.5759999999973</v>
      </c>
      <c r="U67" s="5703">
        <v>3463</v>
      </c>
      <c r="V67" s="321">
        <f t="shared" si="4"/>
        <v>13969.575999999997</v>
      </c>
      <c r="W67" s="321">
        <f t="shared" si="5"/>
        <v>24624.221999999994</v>
      </c>
      <c r="X67" s="5704">
        <f t="shared" si="6"/>
        <v>48285.744999999995</v>
      </c>
      <c r="Y67" s="1997">
        <v>2367.145</v>
      </c>
      <c r="Z67" s="281">
        <v>1895.8390000000004</v>
      </c>
      <c r="AA67" s="281">
        <v>2895.7719999999999</v>
      </c>
      <c r="AB67" s="321">
        <f t="shared" si="7"/>
        <v>7158.7560000000003</v>
      </c>
      <c r="AC67" s="281">
        <v>1536.078</v>
      </c>
      <c r="AD67" s="281">
        <v>1496.712</v>
      </c>
      <c r="AE67" s="281">
        <v>5358.9900000000016</v>
      </c>
      <c r="AF67" s="5705">
        <f t="shared" si="8"/>
        <v>8391.7800000000025</v>
      </c>
      <c r="AG67" s="321">
        <f t="shared" si="9"/>
        <v>15550.536000000004</v>
      </c>
      <c r="AH67" s="281">
        <v>4477.4520000000011</v>
      </c>
      <c r="AI67" s="281">
        <v>2116</v>
      </c>
      <c r="AJ67" s="281">
        <v>1429</v>
      </c>
      <c r="AK67" s="321">
        <f t="shared" si="10"/>
        <v>8022.4520000000011</v>
      </c>
      <c r="AL67" s="281">
        <v>575</v>
      </c>
      <c r="AM67" s="281">
        <v>1297.9959999999999</v>
      </c>
      <c r="AN67" s="5703">
        <v>2672</v>
      </c>
      <c r="AO67" s="321">
        <f t="shared" si="11"/>
        <v>4544.9960000000001</v>
      </c>
      <c r="AP67" s="321">
        <f t="shared" si="12"/>
        <v>12567.448</v>
      </c>
      <c r="AQ67" s="5706">
        <f t="shared" si="13"/>
        <v>28117.984000000004</v>
      </c>
      <c r="AR67" s="5707">
        <f t="shared" si="14"/>
        <v>76403.728999999992</v>
      </c>
      <c r="AS67" s="5643"/>
      <c r="AT67" s="319"/>
      <c r="AU67" s="741">
        <f t="shared" si="15"/>
        <v>4895.6380000000008</v>
      </c>
      <c r="AV67" s="5638"/>
      <c r="AW67" s="741">
        <f t="shared" si="16"/>
        <v>4526.2360000000008</v>
      </c>
      <c r="AX67" s="5638"/>
      <c r="AY67" s="5638"/>
      <c r="AZ67" s="5638"/>
      <c r="BA67" s="741">
        <f t="shared" si="17"/>
        <v>9409.1360000000004</v>
      </c>
      <c r="BB67" s="5638"/>
      <c r="BC67" s="5638"/>
      <c r="BD67" s="5638"/>
      <c r="BE67" s="741">
        <f t="shared" si="18"/>
        <v>4096.9070000000011</v>
      </c>
      <c r="BF67" s="5638"/>
      <c r="BG67" s="5638"/>
      <c r="BH67" s="5638"/>
      <c r="BI67" s="741">
        <f t="shared" si="19"/>
        <v>6938.1479999999992</v>
      </c>
      <c r="BJ67" s="5638"/>
      <c r="BK67" s="5638"/>
      <c r="BL67" s="5638"/>
      <c r="BM67" s="741">
        <f t="shared" si="20"/>
        <v>9345.9940000000024</v>
      </c>
      <c r="BN67" s="5638"/>
      <c r="BO67" s="5638"/>
      <c r="BP67" s="5638"/>
      <c r="BQ67" s="5638"/>
      <c r="BR67" s="5638"/>
      <c r="BS67" s="741">
        <f t="shared" si="21"/>
        <v>11536.097999999998</v>
      </c>
      <c r="BT67" s="5638"/>
      <c r="BU67" s="5638"/>
      <c r="BV67" s="5638"/>
      <c r="BW67" s="741">
        <f t="shared" si="22"/>
        <v>4427</v>
      </c>
      <c r="BX67" s="5638"/>
      <c r="BY67" s="5638"/>
      <c r="BZ67" s="5638"/>
      <c r="CA67" s="741">
        <f t="shared" si="23"/>
        <v>2714</v>
      </c>
      <c r="CB67" s="5638"/>
      <c r="CC67" s="5638"/>
      <c r="CD67" s="5638"/>
      <c r="CE67" s="5638"/>
      <c r="CF67" s="5638"/>
      <c r="CG67" s="741">
        <f t="shared" si="24"/>
        <v>2448</v>
      </c>
      <c r="CH67" s="5638"/>
      <c r="CI67" s="5638"/>
      <c r="CJ67" s="5638"/>
      <c r="CK67" s="741">
        <f t="shared" si="25"/>
        <v>9931.5719999999965</v>
      </c>
      <c r="CL67" s="5638"/>
      <c r="CM67" s="5638"/>
      <c r="CN67" s="5638"/>
      <c r="CO67" s="741">
        <f t="shared" si="26"/>
        <v>6135</v>
      </c>
      <c r="CP67" s="5638"/>
      <c r="CQ67" s="5638"/>
      <c r="CR67" s="5638"/>
      <c r="CS67" s="5638"/>
      <c r="CT67" s="5638"/>
      <c r="CU67" s="5708">
        <f t="shared" si="27"/>
        <v>76403.729000000007</v>
      </c>
      <c r="CV67" s="5710"/>
    </row>
    <row r="68" spans="1:103" s="183" customFormat="1" ht="15.75" x14ac:dyDescent="0.25">
      <c r="A68" s="319"/>
      <c r="B68" s="319"/>
      <c r="C68" s="319"/>
      <c r="D68" s="319"/>
      <c r="E68" s="312" t="s">
        <v>1273</v>
      </c>
      <c r="F68" s="2069">
        <v>3978.5019999999995</v>
      </c>
      <c r="G68" s="281"/>
      <c r="H68" s="281"/>
      <c r="I68" s="321">
        <f t="shared" si="0"/>
        <v>3978.5019999999995</v>
      </c>
      <c r="J68" s="281"/>
      <c r="K68" s="281">
        <v>1183.8400000000001</v>
      </c>
      <c r="L68" s="281"/>
      <c r="M68" s="321">
        <f t="shared" si="1"/>
        <v>1183.8400000000001</v>
      </c>
      <c r="N68" s="321">
        <f t="shared" si="2"/>
        <v>5162.3419999999996</v>
      </c>
      <c r="O68" s="281"/>
      <c r="P68" s="281"/>
      <c r="Q68" s="281">
        <v>161</v>
      </c>
      <c r="R68" s="321">
        <f t="shared" si="3"/>
        <v>161</v>
      </c>
      <c r="S68" s="281">
        <v>1609</v>
      </c>
      <c r="T68" s="281">
        <v>2490.2919999999995</v>
      </c>
      <c r="U68" s="5703"/>
      <c r="V68" s="321">
        <f t="shared" si="4"/>
        <v>4099.2919999999995</v>
      </c>
      <c r="W68" s="321">
        <f t="shared" si="5"/>
        <v>4260.2919999999995</v>
      </c>
      <c r="X68" s="5704">
        <f t="shared" si="6"/>
        <v>9422.6339999999982</v>
      </c>
      <c r="Y68" s="1997">
        <v>70627.964000000007</v>
      </c>
      <c r="Z68" s="281">
        <v>62184.792999999976</v>
      </c>
      <c r="AA68" s="281">
        <v>57066.240000000085</v>
      </c>
      <c r="AB68" s="321">
        <f t="shared" si="7"/>
        <v>189878.99700000006</v>
      </c>
      <c r="AC68" s="281">
        <v>81044.896000000022</v>
      </c>
      <c r="AD68" s="281">
        <v>78678.851999999955</v>
      </c>
      <c r="AE68" s="281">
        <v>73550.288000000059</v>
      </c>
      <c r="AF68" s="5705">
        <f t="shared" si="8"/>
        <v>233274.03600000002</v>
      </c>
      <c r="AG68" s="321">
        <f t="shared" si="9"/>
        <v>423153.03300000005</v>
      </c>
      <c r="AH68" s="281">
        <v>66265.444000000032</v>
      </c>
      <c r="AI68" s="281">
        <v>60441</v>
      </c>
      <c r="AJ68" s="281">
        <v>65158.400000000001</v>
      </c>
      <c r="AK68" s="321">
        <f t="shared" si="10"/>
        <v>191864.84400000004</v>
      </c>
      <c r="AL68" s="281">
        <v>72111</v>
      </c>
      <c r="AM68" s="281">
        <v>71802.00999999998</v>
      </c>
      <c r="AN68" s="5703">
        <v>76611</v>
      </c>
      <c r="AO68" s="321">
        <f t="shared" si="11"/>
        <v>220524.00999999998</v>
      </c>
      <c r="AP68" s="321">
        <f t="shared" si="12"/>
        <v>412388.85400000005</v>
      </c>
      <c r="AQ68" s="5706">
        <f t="shared" si="13"/>
        <v>835541.88700000022</v>
      </c>
      <c r="AR68" s="5707">
        <f t="shared" si="14"/>
        <v>844964.52100000018</v>
      </c>
      <c r="AS68" s="5643"/>
      <c r="AT68" s="319"/>
      <c r="AU68" s="741">
        <f t="shared" si="15"/>
        <v>74606.466</v>
      </c>
      <c r="AV68" s="5638"/>
      <c r="AW68" s="741">
        <f t="shared" si="16"/>
        <v>62184.792999999976</v>
      </c>
      <c r="AX68" s="5638"/>
      <c r="AY68" s="5638"/>
      <c r="AZ68" s="5638"/>
      <c r="BA68" s="741">
        <f t="shared" si="17"/>
        <v>57066.240000000085</v>
      </c>
      <c r="BB68" s="5638"/>
      <c r="BC68" s="5638"/>
      <c r="BD68" s="5638"/>
      <c r="BE68" s="741">
        <f t="shared" si="18"/>
        <v>81044.896000000022</v>
      </c>
      <c r="BF68" s="5638"/>
      <c r="BG68" s="5638"/>
      <c r="BH68" s="5638"/>
      <c r="BI68" s="741">
        <f t="shared" si="19"/>
        <v>79862.691999999952</v>
      </c>
      <c r="BJ68" s="5638"/>
      <c r="BK68" s="5638"/>
      <c r="BL68" s="5638"/>
      <c r="BM68" s="741">
        <f t="shared" si="20"/>
        <v>73550.288000000059</v>
      </c>
      <c r="BN68" s="5638"/>
      <c r="BO68" s="5638"/>
      <c r="BP68" s="5638"/>
      <c r="BQ68" s="5638"/>
      <c r="BR68" s="5638"/>
      <c r="BS68" s="741">
        <f t="shared" si="21"/>
        <v>66265.444000000032</v>
      </c>
      <c r="BT68" s="5638"/>
      <c r="BU68" s="5638"/>
      <c r="BV68" s="5638"/>
      <c r="BW68" s="741">
        <f t="shared" ref="BW68:BW72" si="64">+P68+AI68</f>
        <v>60441</v>
      </c>
      <c r="BX68" s="5638"/>
      <c r="BY68" s="5638"/>
      <c r="BZ68" s="5638"/>
      <c r="CA68" s="741">
        <f t="shared" si="23"/>
        <v>65319.4</v>
      </c>
      <c r="CB68" s="5638"/>
      <c r="CC68" s="5638"/>
      <c r="CD68" s="5638"/>
      <c r="CE68" s="5638"/>
      <c r="CF68" s="5638"/>
      <c r="CG68" s="741">
        <f t="shared" si="24"/>
        <v>73720</v>
      </c>
      <c r="CH68" s="5638"/>
      <c r="CI68" s="5638"/>
      <c r="CJ68" s="5638"/>
      <c r="CK68" s="741">
        <f t="shared" si="25"/>
        <v>74292.301999999981</v>
      </c>
      <c r="CL68" s="5638"/>
      <c r="CM68" s="5638"/>
      <c r="CN68" s="5638"/>
      <c r="CO68" s="741">
        <f t="shared" si="26"/>
        <v>76611</v>
      </c>
      <c r="CP68" s="5638"/>
      <c r="CQ68" s="5638"/>
      <c r="CR68" s="5638"/>
      <c r="CS68" s="5638"/>
      <c r="CT68" s="5638"/>
      <c r="CU68" s="5708">
        <f t="shared" si="27"/>
        <v>844964.52100000018</v>
      </c>
      <c r="CV68" s="5710"/>
    </row>
    <row r="69" spans="1:103" s="183" customFormat="1" ht="15.75" x14ac:dyDescent="0.25">
      <c r="A69" s="319"/>
      <c r="B69" s="319"/>
      <c r="C69" s="319"/>
      <c r="D69" s="319"/>
      <c r="E69" s="312" t="s">
        <v>1745</v>
      </c>
      <c r="F69" s="2069"/>
      <c r="G69" s="281"/>
      <c r="H69" s="281"/>
      <c r="I69" s="321">
        <f t="shared" si="0"/>
        <v>0</v>
      </c>
      <c r="J69" s="281"/>
      <c r="K69" s="281">
        <v>1519.9659999999999</v>
      </c>
      <c r="L69" s="281">
        <v>1329.7059999999999</v>
      </c>
      <c r="M69" s="321">
        <f t="shared" si="1"/>
        <v>2849.6719999999996</v>
      </c>
      <c r="N69" s="321">
        <f t="shared" si="2"/>
        <v>2849.6719999999996</v>
      </c>
      <c r="O69" s="281"/>
      <c r="P69" s="281"/>
      <c r="Q69" s="281"/>
      <c r="R69" s="321">
        <f t="shared" si="3"/>
        <v>0</v>
      </c>
      <c r="S69" s="281"/>
      <c r="T69" s="281"/>
      <c r="U69" s="5703"/>
      <c r="V69" s="321">
        <f t="shared" si="4"/>
        <v>0</v>
      </c>
      <c r="W69" s="321">
        <f t="shared" si="5"/>
        <v>0</v>
      </c>
      <c r="X69" s="5704">
        <f t="shared" si="6"/>
        <v>2849.6719999999996</v>
      </c>
      <c r="Y69" s="1997"/>
      <c r="Z69" s="281"/>
      <c r="AA69" s="281"/>
      <c r="AB69" s="321">
        <f t="shared" si="7"/>
        <v>0</v>
      </c>
      <c r="AC69" s="281"/>
      <c r="AD69" s="281"/>
      <c r="AE69" s="281"/>
      <c r="AF69" s="5705">
        <f t="shared" si="8"/>
        <v>0</v>
      </c>
      <c r="AG69" s="321">
        <f t="shared" si="9"/>
        <v>0</v>
      </c>
      <c r="AH69" s="281"/>
      <c r="AI69" s="281"/>
      <c r="AJ69" s="281"/>
      <c r="AK69" s="321">
        <f t="shared" si="10"/>
        <v>0</v>
      </c>
      <c r="AL69" s="281"/>
      <c r="AM69" s="281"/>
      <c r="AN69" s="5703"/>
      <c r="AO69" s="321"/>
      <c r="AP69" s="321"/>
      <c r="AQ69" s="5706">
        <f t="shared" si="13"/>
        <v>0</v>
      </c>
      <c r="AR69" s="5707">
        <f t="shared" si="14"/>
        <v>2849.6719999999996</v>
      </c>
      <c r="AS69" s="5643"/>
      <c r="AT69" s="319"/>
      <c r="AU69" s="741">
        <f t="shared" si="15"/>
        <v>0</v>
      </c>
      <c r="AV69" s="5638"/>
      <c r="AW69" s="741">
        <f t="shared" si="16"/>
        <v>0</v>
      </c>
      <c r="AX69" s="5638"/>
      <c r="AY69" s="5638"/>
      <c r="AZ69" s="5638"/>
      <c r="BA69" s="741">
        <f t="shared" si="17"/>
        <v>0</v>
      </c>
      <c r="BB69" s="5638"/>
      <c r="BC69" s="5638"/>
      <c r="BD69" s="5638"/>
      <c r="BE69" s="741">
        <f t="shared" si="18"/>
        <v>0</v>
      </c>
      <c r="BF69" s="5638"/>
      <c r="BG69" s="5638"/>
      <c r="BH69" s="5638"/>
      <c r="BI69" s="741">
        <f t="shared" si="19"/>
        <v>1519.9659999999999</v>
      </c>
      <c r="BJ69" s="5638"/>
      <c r="BK69" s="5638"/>
      <c r="BL69" s="5638"/>
      <c r="BM69" s="741">
        <f t="shared" si="20"/>
        <v>1329.7059999999999</v>
      </c>
      <c r="BN69" s="5638"/>
      <c r="BO69" s="5638"/>
      <c r="BP69" s="5638"/>
      <c r="BQ69" s="5638"/>
      <c r="BR69" s="5638"/>
      <c r="BS69" s="741">
        <f t="shared" si="21"/>
        <v>0</v>
      </c>
      <c r="BT69" s="5638"/>
      <c r="BU69" s="5638"/>
      <c r="BV69" s="5638"/>
      <c r="BW69" s="741"/>
      <c r="BX69" s="5638"/>
      <c r="BY69" s="5638"/>
      <c r="BZ69" s="5638"/>
      <c r="CA69" s="741">
        <f t="shared" si="23"/>
        <v>0</v>
      </c>
      <c r="CB69" s="5638"/>
      <c r="CC69" s="5638"/>
      <c r="CD69" s="5638"/>
      <c r="CE69" s="5638"/>
      <c r="CF69" s="5638"/>
      <c r="CG69" s="741">
        <f t="shared" si="24"/>
        <v>0</v>
      </c>
      <c r="CH69" s="5638"/>
      <c r="CI69" s="5638"/>
      <c r="CJ69" s="5638"/>
      <c r="CK69" s="741">
        <f t="shared" si="25"/>
        <v>0</v>
      </c>
      <c r="CL69" s="5638"/>
      <c r="CM69" s="5638"/>
      <c r="CN69" s="5638"/>
      <c r="CO69" s="741">
        <f t="shared" si="26"/>
        <v>0</v>
      </c>
      <c r="CP69" s="5638"/>
      <c r="CQ69" s="5638"/>
      <c r="CR69" s="5638"/>
      <c r="CS69" s="5638"/>
      <c r="CT69" s="5638"/>
      <c r="CU69" s="5708">
        <f t="shared" si="27"/>
        <v>2849.6719999999996</v>
      </c>
      <c r="CV69" s="5710"/>
    </row>
    <row r="70" spans="1:103" ht="15.75" x14ac:dyDescent="0.25">
      <c r="A70" s="276"/>
      <c r="B70" s="276"/>
      <c r="C70" s="276"/>
      <c r="D70" s="276"/>
      <c r="E70" s="312" t="s">
        <v>1629</v>
      </c>
      <c r="F70" s="2069"/>
      <c r="G70" s="281"/>
      <c r="H70" s="281">
        <v>267.49799999999999</v>
      </c>
      <c r="I70" s="316">
        <f t="shared" si="0"/>
        <v>267.49799999999999</v>
      </c>
      <c r="J70" s="281">
        <v>1533.847</v>
      </c>
      <c r="K70" s="281">
        <v>1179.6119999999999</v>
      </c>
      <c r="L70" s="281">
        <v>1327.5919999999996</v>
      </c>
      <c r="M70" s="316">
        <f t="shared" si="1"/>
        <v>4041.0509999999995</v>
      </c>
      <c r="N70" s="317">
        <f t="shared" si="2"/>
        <v>4308.5489999999991</v>
      </c>
      <c r="O70" s="278">
        <v>1773.646</v>
      </c>
      <c r="P70" s="278">
        <v>1753</v>
      </c>
      <c r="Q70" s="281">
        <v>744.3</v>
      </c>
      <c r="R70" s="316">
        <f t="shared" si="3"/>
        <v>4270.9459999999999</v>
      </c>
      <c r="S70" s="281">
        <v>879</v>
      </c>
      <c r="T70" s="281">
        <v>1902.6000000000004</v>
      </c>
      <c r="U70" s="314"/>
      <c r="V70" s="316">
        <f t="shared" si="4"/>
        <v>2781.6000000000004</v>
      </c>
      <c r="W70" s="317">
        <f t="shared" si="5"/>
        <v>7052.5460000000003</v>
      </c>
      <c r="X70" s="1531">
        <f t="shared" si="6"/>
        <v>11361.094999999999</v>
      </c>
      <c r="Y70" s="1997"/>
      <c r="Z70" s="281"/>
      <c r="AA70" s="281"/>
      <c r="AB70" s="316">
        <f t="shared" si="7"/>
        <v>0</v>
      </c>
      <c r="AC70" s="281"/>
      <c r="AD70" s="281"/>
      <c r="AE70" s="281"/>
      <c r="AF70" s="629">
        <f t="shared" si="8"/>
        <v>0</v>
      </c>
      <c r="AG70" s="317">
        <f t="shared" si="9"/>
        <v>0</v>
      </c>
      <c r="AH70" s="278"/>
      <c r="AI70" s="278"/>
      <c r="AJ70" s="278"/>
      <c r="AK70" s="316">
        <f t="shared" si="10"/>
        <v>0</v>
      </c>
      <c r="AL70" s="281"/>
      <c r="AM70" s="281"/>
      <c r="AN70" s="314"/>
      <c r="AO70" s="316">
        <f t="shared" si="11"/>
        <v>0</v>
      </c>
      <c r="AP70" s="317">
        <f t="shared" si="12"/>
        <v>0</v>
      </c>
      <c r="AQ70" s="318">
        <f t="shared" si="13"/>
        <v>0</v>
      </c>
      <c r="AR70" s="315">
        <f t="shared" si="14"/>
        <v>11361.094999999999</v>
      </c>
      <c r="AS70" s="5643"/>
      <c r="AT70" s="276"/>
      <c r="AU70" s="741">
        <f t="shared" si="15"/>
        <v>0</v>
      </c>
      <c r="AV70" s="5638"/>
      <c r="AW70" s="741">
        <f t="shared" si="16"/>
        <v>0</v>
      </c>
      <c r="AX70" s="5638"/>
      <c r="AY70" s="5638"/>
      <c r="AZ70" s="5638"/>
      <c r="BA70" s="741">
        <f t="shared" si="17"/>
        <v>267.49799999999999</v>
      </c>
      <c r="BB70" s="5638"/>
      <c r="BC70" s="5638"/>
      <c r="BD70" s="5638"/>
      <c r="BE70" s="741">
        <f t="shared" si="18"/>
        <v>1533.847</v>
      </c>
      <c r="BF70" s="5638"/>
      <c r="BG70" s="5638"/>
      <c r="BH70" s="5638"/>
      <c r="BI70" s="741">
        <f t="shared" si="19"/>
        <v>1179.6119999999999</v>
      </c>
      <c r="BJ70" s="5638"/>
      <c r="BK70" s="5638"/>
      <c r="BL70" s="5638"/>
      <c r="BM70" s="741">
        <f t="shared" si="20"/>
        <v>1327.5919999999996</v>
      </c>
      <c r="BN70" s="5638"/>
      <c r="BO70" s="5638"/>
      <c r="BP70" s="5638"/>
      <c r="BQ70" s="5638"/>
      <c r="BR70" s="5638"/>
      <c r="BS70" s="741">
        <f t="shared" si="21"/>
        <v>1773.646</v>
      </c>
      <c r="BT70" s="5638"/>
      <c r="BU70" s="5638"/>
      <c r="BV70" s="5638"/>
      <c r="BW70" s="741">
        <f t="shared" si="64"/>
        <v>1753</v>
      </c>
      <c r="BX70" s="5638"/>
      <c r="BY70" s="5638"/>
      <c r="BZ70" s="5638"/>
      <c r="CA70" s="741">
        <f t="shared" si="23"/>
        <v>744.3</v>
      </c>
      <c r="CB70" s="5638"/>
      <c r="CC70" s="5638"/>
      <c r="CD70" s="5638"/>
      <c r="CE70" s="5638"/>
      <c r="CF70" s="5638"/>
      <c r="CG70" s="741">
        <f t="shared" si="24"/>
        <v>879</v>
      </c>
      <c r="CH70" s="5638"/>
      <c r="CI70" s="5638"/>
      <c r="CJ70" s="5638"/>
      <c r="CK70" s="741">
        <f t="shared" si="25"/>
        <v>1902.6000000000004</v>
      </c>
      <c r="CL70" s="5638"/>
      <c r="CM70" s="5638"/>
      <c r="CN70" s="5638"/>
      <c r="CO70" s="741">
        <f t="shared" si="26"/>
        <v>0</v>
      </c>
      <c r="CP70" s="5638"/>
      <c r="CQ70" s="5638"/>
      <c r="CR70" s="5638"/>
      <c r="CS70" s="5638"/>
      <c r="CT70" s="5638"/>
      <c r="CU70" s="1375">
        <f t="shared" si="27"/>
        <v>11361.094999999999</v>
      </c>
      <c r="CV70" s="768"/>
    </row>
    <row r="71" spans="1:103" ht="15.75" x14ac:dyDescent="0.25">
      <c r="A71" s="276"/>
      <c r="B71" s="276"/>
      <c r="C71" s="276"/>
      <c r="D71" s="276"/>
      <c r="E71" s="312" t="s">
        <v>1711</v>
      </c>
      <c r="F71" s="2069"/>
      <c r="G71" s="281"/>
      <c r="H71" s="281"/>
      <c r="I71" s="316">
        <f t="shared" si="0"/>
        <v>0</v>
      </c>
      <c r="J71" s="281">
        <v>412.22999999999996</v>
      </c>
      <c r="K71" s="281"/>
      <c r="L71" s="281"/>
      <c r="M71" s="316">
        <f t="shared" si="1"/>
        <v>412.22999999999996</v>
      </c>
      <c r="N71" s="317">
        <f t="shared" si="2"/>
        <v>412.22999999999996</v>
      </c>
      <c r="O71" s="278"/>
      <c r="P71" s="278"/>
      <c r="Q71" s="281"/>
      <c r="R71" s="316">
        <f t="shared" si="3"/>
        <v>0</v>
      </c>
      <c r="S71" s="281"/>
      <c r="T71" s="281"/>
      <c r="U71" s="314"/>
      <c r="V71" s="316">
        <f t="shared" si="4"/>
        <v>0</v>
      </c>
      <c r="W71" s="317">
        <f t="shared" si="5"/>
        <v>0</v>
      </c>
      <c r="X71" s="1531">
        <f t="shared" si="6"/>
        <v>412.22999999999996</v>
      </c>
      <c r="Y71" s="1997"/>
      <c r="Z71" s="281"/>
      <c r="AA71" s="281"/>
      <c r="AB71" s="316">
        <f t="shared" si="7"/>
        <v>0</v>
      </c>
      <c r="AC71" s="281"/>
      <c r="AD71" s="281"/>
      <c r="AE71" s="281"/>
      <c r="AF71" s="629">
        <f t="shared" si="8"/>
        <v>0</v>
      </c>
      <c r="AG71" s="317">
        <f t="shared" si="9"/>
        <v>0</v>
      </c>
      <c r="AH71" s="278"/>
      <c r="AI71" s="278"/>
      <c r="AJ71" s="278"/>
      <c r="AK71" s="316">
        <f t="shared" si="10"/>
        <v>0</v>
      </c>
      <c r="AL71" s="281"/>
      <c r="AM71" s="281"/>
      <c r="AN71" s="314"/>
      <c r="AO71" s="316"/>
      <c r="AP71" s="317"/>
      <c r="AQ71" s="318">
        <f t="shared" si="13"/>
        <v>0</v>
      </c>
      <c r="AR71" s="315">
        <f t="shared" si="14"/>
        <v>412.22999999999996</v>
      </c>
      <c r="AS71" s="5643"/>
      <c r="AT71" s="276"/>
      <c r="AU71" s="741">
        <f t="shared" si="15"/>
        <v>0</v>
      </c>
      <c r="AV71" s="5638"/>
      <c r="AW71" s="741">
        <f t="shared" si="16"/>
        <v>0</v>
      </c>
      <c r="AX71" s="5638"/>
      <c r="AY71" s="5638"/>
      <c r="AZ71" s="5638"/>
      <c r="BA71" s="741">
        <f t="shared" si="17"/>
        <v>0</v>
      </c>
      <c r="BB71" s="5638"/>
      <c r="BC71" s="5638"/>
      <c r="BD71" s="5638"/>
      <c r="BE71" s="741">
        <f t="shared" si="18"/>
        <v>412.22999999999996</v>
      </c>
      <c r="BF71" s="5638"/>
      <c r="BG71" s="5638"/>
      <c r="BH71" s="5638"/>
      <c r="BI71" s="741">
        <f t="shared" si="19"/>
        <v>0</v>
      </c>
      <c r="BJ71" s="5638"/>
      <c r="BK71" s="5638"/>
      <c r="BL71" s="5638"/>
      <c r="BM71" s="741">
        <f t="shared" si="20"/>
        <v>0</v>
      </c>
      <c r="BN71" s="5638"/>
      <c r="BO71" s="5638"/>
      <c r="BP71" s="5638"/>
      <c r="BQ71" s="5638"/>
      <c r="BR71" s="5638"/>
      <c r="BS71" s="741">
        <f t="shared" si="21"/>
        <v>0</v>
      </c>
      <c r="BT71" s="5638"/>
      <c r="BU71" s="5638"/>
      <c r="BV71" s="5638"/>
      <c r="BW71" s="741">
        <f t="shared" si="64"/>
        <v>0</v>
      </c>
      <c r="BX71" s="5638"/>
      <c r="BY71" s="5638"/>
      <c r="BZ71" s="5638"/>
      <c r="CA71" s="741">
        <f t="shared" si="23"/>
        <v>0</v>
      </c>
      <c r="CB71" s="5638"/>
      <c r="CC71" s="5638"/>
      <c r="CD71" s="5638"/>
      <c r="CE71" s="5638"/>
      <c r="CF71" s="5638"/>
      <c r="CG71" s="741">
        <f t="shared" si="24"/>
        <v>0</v>
      </c>
      <c r="CH71" s="5638"/>
      <c r="CI71" s="5638"/>
      <c r="CJ71" s="5638"/>
      <c r="CK71" s="741">
        <f t="shared" si="25"/>
        <v>0</v>
      </c>
      <c r="CL71" s="5638"/>
      <c r="CM71" s="5638"/>
      <c r="CN71" s="5638"/>
      <c r="CO71" s="741">
        <f t="shared" si="26"/>
        <v>0</v>
      </c>
      <c r="CP71" s="5638"/>
      <c r="CQ71" s="5638"/>
      <c r="CR71" s="5638"/>
      <c r="CS71" s="5638"/>
      <c r="CT71" s="5638"/>
      <c r="CU71" s="1375">
        <f t="shared" si="27"/>
        <v>412.22999999999996</v>
      </c>
      <c r="CV71" s="768"/>
    </row>
    <row r="72" spans="1:103" ht="15.75" x14ac:dyDescent="0.25">
      <c r="A72" s="276"/>
      <c r="B72" s="276"/>
      <c r="C72" s="276"/>
      <c r="D72" s="276"/>
      <c r="E72" s="312" t="s">
        <v>1709</v>
      </c>
      <c r="F72" s="2069"/>
      <c r="G72" s="281"/>
      <c r="H72" s="281"/>
      <c r="I72" s="316">
        <f t="shared" si="0"/>
        <v>0</v>
      </c>
      <c r="J72" s="281">
        <v>309.95799999999997</v>
      </c>
      <c r="K72" s="281">
        <v>302.30200000000002</v>
      </c>
      <c r="L72" s="281"/>
      <c r="M72" s="316">
        <f t="shared" si="1"/>
        <v>612.26</v>
      </c>
      <c r="N72" s="317">
        <f t="shared" si="2"/>
        <v>612.26</v>
      </c>
      <c r="O72" s="278"/>
      <c r="P72" s="278"/>
      <c r="Q72" s="281"/>
      <c r="R72" s="316">
        <f t="shared" si="3"/>
        <v>0</v>
      </c>
      <c r="S72" s="281"/>
      <c r="T72" s="281"/>
      <c r="U72" s="314"/>
      <c r="V72" s="316">
        <f t="shared" si="4"/>
        <v>0</v>
      </c>
      <c r="W72" s="317">
        <f t="shared" si="5"/>
        <v>0</v>
      </c>
      <c r="X72" s="1531">
        <f t="shared" si="6"/>
        <v>612.26</v>
      </c>
      <c r="Y72" s="1997"/>
      <c r="Z72" s="281"/>
      <c r="AA72" s="281"/>
      <c r="AB72" s="316">
        <f t="shared" si="7"/>
        <v>0</v>
      </c>
      <c r="AC72" s="281"/>
      <c r="AD72" s="281"/>
      <c r="AE72" s="281"/>
      <c r="AF72" s="629">
        <f t="shared" si="8"/>
        <v>0</v>
      </c>
      <c r="AG72" s="317">
        <f t="shared" si="9"/>
        <v>0</v>
      </c>
      <c r="AH72" s="278"/>
      <c r="AI72" s="278"/>
      <c r="AJ72" s="278"/>
      <c r="AK72" s="316">
        <f t="shared" si="10"/>
        <v>0</v>
      </c>
      <c r="AL72" s="281"/>
      <c r="AM72" s="281"/>
      <c r="AN72" s="314"/>
      <c r="AO72" s="316"/>
      <c r="AP72" s="317"/>
      <c r="AQ72" s="318">
        <f t="shared" si="13"/>
        <v>0</v>
      </c>
      <c r="AR72" s="315">
        <f t="shared" si="14"/>
        <v>612.26</v>
      </c>
      <c r="AS72" s="5643"/>
      <c r="AT72" s="276"/>
      <c r="AU72" s="741">
        <f t="shared" si="15"/>
        <v>0</v>
      </c>
      <c r="AV72" s="5638"/>
      <c r="AW72" s="741">
        <f t="shared" si="16"/>
        <v>0</v>
      </c>
      <c r="AX72" s="5638"/>
      <c r="AY72" s="5638"/>
      <c r="AZ72" s="5638"/>
      <c r="BA72" s="741">
        <f t="shared" si="17"/>
        <v>0</v>
      </c>
      <c r="BB72" s="5638"/>
      <c r="BC72" s="5638"/>
      <c r="BD72" s="5638"/>
      <c r="BE72" s="741">
        <f t="shared" si="18"/>
        <v>309.95799999999997</v>
      </c>
      <c r="BF72" s="5638"/>
      <c r="BG72" s="5638"/>
      <c r="BH72" s="5638"/>
      <c r="BI72" s="741">
        <f t="shared" si="19"/>
        <v>302.30200000000002</v>
      </c>
      <c r="BJ72" s="5638"/>
      <c r="BK72" s="5638"/>
      <c r="BL72" s="5638"/>
      <c r="BM72" s="741">
        <f t="shared" si="20"/>
        <v>0</v>
      </c>
      <c r="BN72" s="5638"/>
      <c r="BO72" s="5638"/>
      <c r="BP72" s="5638"/>
      <c r="BQ72" s="5638"/>
      <c r="BR72" s="5638"/>
      <c r="BS72" s="741">
        <f t="shared" si="21"/>
        <v>0</v>
      </c>
      <c r="BT72" s="5638"/>
      <c r="BU72" s="5638"/>
      <c r="BV72" s="5638"/>
      <c r="BW72" s="741">
        <f t="shared" si="64"/>
        <v>0</v>
      </c>
      <c r="BX72" s="5638"/>
      <c r="BY72" s="5638"/>
      <c r="BZ72" s="5638"/>
      <c r="CA72" s="741">
        <f t="shared" si="23"/>
        <v>0</v>
      </c>
      <c r="CB72" s="5638"/>
      <c r="CC72" s="5638"/>
      <c r="CD72" s="5638"/>
      <c r="CE72" s="5638"/>
      <c r="CF72" s="5638"/>
      <c r="CG72" s="741">
        <f t="shared" si="24"/>
        <v>0</v>
      </c>
      <c r="CH72" s="5638"/>
      <c r="CI72" s="5638"/>
      <c r="CJ72" s="5638"/>
      <c r="CK72" s="741">
        <f t="shared" si="25"/>
        <v>0</v>
      </c>
      <c r="CL72" s="5638"/>
      <c r="CM72" s="5638"/>
      <c r="CN72" s="5638"/>
      <c r="CO72" s="741">
        <f t="shared" si="26"/>
        <v>0</v>
      </c>
      <c r="CP72" s="5638"/>
      <c r="CQ72" s="5638"/>
      <c r="CR72" s="5638"/>
      <c r="CS72" s="5638"/>
      <c r="CT72" s="5638"/>
      <c r="CU72" s="1375">
        <f t="shared" si="27"/>
        <v>612.26</v>
      </c>
      <c r="CV72" s="768"/>
    </row>
    <row r="73" spans="1:103" ht="15.75" x14ac:dyDescent="0.25">
      <c r="A73" s="2356"/>
      <c r="B73" s="2356"/>
      <c r="C73" s="2356"/>
      <c r="D73" s="2356"/>
      <c r="E73" s="2350" t="s">
        <v>1194</v>
      </c>
      <c r="F73" s="2351"/>
      <c r="G73" s="2352"/>
      <c r="H73" s="2352"/>
      <c r="I73" s="316">
        <f t="shared" si="0"/>
        <v>0</v>
      </c>
      <c r="J73" s="2352"/>
      <c r="K73" s="2352"/>
      <c r="L73" s="2352"/>
      <c r="M73" s="316">
        <f t="shared" si="1"/>
        <v>0</v>
      </c>
      <c r="N73" s="317">
        <f t="shared" si="2"/>
        <v>0</v>
      </c>
      <c r="O73" s="2352"/>
      <c r="P73" s="2352"/>
      <c r="Q73" s="2352"/>
      <c r="R73" s="316">
        <f t="shared" si="3"/>
        <v>0</v>
      </c>
      <c r="S73" s="2352"/>
      <c r="T73" s="2352"/>
      <c r="U73" s="2354"/>
      <c r="V73" s="316">
        <f t="shared" si="4"/>
        <v>0</v>
      </c>
      <c r="W73" s="317">
        <f t="shared" si="5"/>
        <v>0</v>
      </c>
      <c r="X73" s="1531">
        <f t="shared" si="6"/>
        <v>0</v>
      </c>
      <c r="Y73" s="2355"/>
      <c r="Z73" s="2352"/>
      <c r="AA73" s="2352"/>
      <c r="AB73" s="316">
        <f t="shared" si="7"/>
        <v>0</v>
      </c>
      <c r="AC73" s="2352"/>
      <c r="AD73" s="2352"/>
      <c r="AE73" s="2352"/>
      <c r="AF73" s="629">
        <f t="shared" si="8"/>
        <v>0</v>
      </c>
      <c r="AG73" s="317">
        <f t="shared" si="9"/>
        <v>0</v>
      </c>
      <c r="AH73" s="2352"/>
      <c r="AI73" s="2352"/>
      <c r="AJ73" s="2352"/>
      <c r="AK73" s="316">
        <f t="shared" si="10"/>
        <v>0</v>
      </c>
      <c r="AL73" s="2352"/>
      <c r="AM73" s="2352"/>
      <c r="AN73" s="2354"/>
      <c r="AO73" s="2353"/>
      <c r="AP73" s="2353"/>
      <c r="AQ73" s="318">
        <f t="shared" si="13"/>
        <v>0</v>
      </c>
      <c r="AR73" s="315">
        <f t="shared" si="14"/>
        <v>0</v>
      </c>
      <c r="AS73" s="5643"/>
      <c r="AT73" s="2356"/>
      <c r="AU73" s="2357">
        <f t="shared" ref="AU73:AU76" si="65">+F73+Y73</f>
        <v>0</v>
      </c>
      <c r="AV73" s="5639"/>
      <c r="AW73" s="2357">
        <f t="shared" ref="AW73:AW76" si="66">+G73+Z73</f>
        <v>0</v>
      </c>
      <c r="AX73" s="5639"/>
      <c r="AY73" s="5639"/>
      <c r="AZ73" s="5639"/>
      <c r="BA73" s="2357">
        <f t="shared" ref="BA73:BA76" si="67">+H73+AA73</f>
        <v>0</v>
      </c>
      <c r="BB73" s="5639"/>
      <c r="BC73" s="5639"/>
      <c r="BD73" s="5639"/>
      <c r="BE73" s="2357">
        <f t="shared" ref="BE73:BE76" si="68">+J73+AC73</f>
        <v>0</v>
      </c>
      <c r="BF73" s="5639"/>
      <c r="BG73" s="5639"/>
      <c r="BH73" s="5639"/>
      <c r="BI73" s="2357">
        <f t="shared" ref="BI73:BI76" si="69">+K73+AD73</f>
        <v>0</v>
      </c>
      <c r="BJ73" s="5639"/>
      <c r="BK73" s="5639"/>
      <c r="BL73" s="5639"/>
      <c r="BM73" s="2357">
        <f t="shared" ref="BM73:BM76" si="70">+L73+AE73</f>
        <v>0</v>
      </c>
      <c r="BN73" s="5639"/>
      <c r="BO73" s="5639"/>
      <c r="BP73" s="5639"/>
      <c r="BQ73" s="5639"/>
      <c r="BR73" s="5639"/>
      <c r="BS73" s="2357">
        <f t="shared" si="21"/>
        <v>0</v>
      </c>
      <c r="BT73" s="5639"/>
      <c r="BU73" s="5639"/>
      <c r="BV73" s="5639"/>
      <c r="BW73" s="2357">
        <f t="shared" ref="BW73:BW76" si="71">+P73+AI73</f>
        <v>0</v>
      </c>
      <c r="BX73" s="5639"/>
      <c r="BY73" s="5639"/>
      <c r="BZ73" s="5639"/>
      <c r="CA73" s="2357">
        <f t="shared" ref="CA73:CA76" si="72">+Q73+AJ73</f>
        <v>0</v>
      </c>
      <c r="CB73" s="5639"/>
      <c r="CC73" s="5639"/>
      <c r="CD73" s="5639"/>
      <c r="CE73" s="5639"/>
      <c r="CF73" s="5639"/>
      <c r="CG73" s="2357">
        <f t="shared" ref="CG73:CG76" si="73">+S73+AL73</f>
        <v>0</v>
      </c>
      <c r="CH73" s="5639"/>
      <c r="CI73" s="5639"/>
      <c r="CJ73" s="5639"/>
      <c r="CK73" s="2357">
        <f t="shared" ref="CK73:CK76" si="74">+T73+AM73</f>
        <v>0</v>
      </c>
      <c r="CL73" s="5639"/>
      <c r="CM73" s="5639"/>
      <c r="CN73" s="5639"/>
      <c r="CO73" s="2357">
        <f t="shared" ref="CO73:CO76" si="75">+U73+AN73</f>
        <v>0</v>
      </c>
      <c r="CP73" s="5639"/>
      <c r="CQ73" s="5639"/>
      <c r="CR73" s="5639"/>
      <c r="CS73" s="5639"/>
      <c r="CT73" s="5639"/>
      <c r="CU73" s="1375">
        <f t="shared" si="27"/>
        <v>0</v>
      </c>
      <c r="CV73" s="768"/>
    </row>
    <row r="74" spans="1:103" ht="15.75" x14ac:dyDescent="0.25">
      <c r="A74" s="2356"/>
      <c r="B74" s="2356"/>
      <c r="C74" s="2356"/>
      <c r="D74" s="2356"/>
      <c r="E74" s="2350" t="s">
        <v>1274</v>
      </c>
      <c r="F74" s="2351">
        <v>2004.1120000000014</v>
      </c>
      <c r="G74" s="2352">
        <v>849.4</v>
      </c>
      <c r="H74" s="2352">
        <v>2282.2250000000008</v>
      </c>
      <c r="I74" s="316">
        <f t="shared" si="0"/>
        <v>5135.7370000000028</v>
      </c>
      <c r="J74" s="2352">
        <v>2356.5809999999997</v>
      </c>
      <c r="K74" s="2352">
        <v>1458.6599999999996</v>
      </c>
      <c r="L74" s="2352">
        <v>1147.902</v>
      </c>
      <c r="M74" s="316">
        <f t="shared" si="1"/>
        <v>4963.1429999999991</v>
      </c>
      <c r="N74" s="317">
        <f t="shared" si="2"/>
        <v>10098.880000000001</v>
      </c>
      <c r="O74" s="2352">
        <v>1141.5600000000004</v>
      </c>
      <c r="P74" s="2352">
        <v>1791</v>
      </c>
      <c r="Q74" s="2352">
        <v>2144</v>
      </c>
      <c r="R74" s="316">
        <f t="shared" si="3"/>
        <v>5076.5600000000004</v>
      </c>
      <c r="S74" s="2352">
        <v>1717</v>
      </c>
      <c r="T74" s="2352">
        <v>1926.9299999999994</v>
      </c>
      <c r="U74" s="2354">
        <v>1613</v>
      </c>
      <c r="V74" s="316">
        <f t="shared" si="4"/>
        <v>5256.9299999999994</v>
      </c>
      <c r="W74" s="317">
        <f t="shared" si="5"/>
        <v>10333.49</v>
      </c>
      <c r="X74" s="1531">
        <f t="shared" si="6"/>
        <v>20432.370000000003</v>
      </c>
      <c r="Y74" s="2355">
        <v>507.39699999999999</v>
      </c>
      <c r="Z74" s="2352">
        <v>129.50300000000004</v>
      </c>
      <c r="AA74" s="2352">
        <v>443.70699999999994</v>
      </c>
      <c r="AB74" s="316">
        <f t="shared" si="7"/>
        <v>1080.607</v>
      </c>
      <c r="AC74" s="2352">
        <v>317.65800000000002</v>
      </c>
      <c r="AD74" s="2352">
        <v>226.19799999999998</v>
      </c>
      <c r="AE74" s="2352">
        <v>344.58200000000005</v>
      </c>
      <c r="AF74" s="629">
        <f t="shared" si="8"/>
        <v>888.4380000000001</v>
      </c>
      <c r="AG74" s="317">
        <f t="shared" si="9"/>
        <v>1969.0450000000001</v>
      </c>
      <c r="AH74" s="2352">
        <v>150.09399999999999</v>
      </c>
      <c r="AI74" s="2352">
        <v>391</v>
      </c>
      <c r="AJ74" s="2352">
        <v>285</v>
      </c>
      <c r="AK74" s="316">
        <f t="shared" si="10"/>
        <v>826.09400000000005</v>
      </c>
      <c r="AL74" s="2352">
        <v>499</v>
      </c>
      <c r="AM74" s="2352">
        <v>522.69000000000005</v>
      </c>
      <c r="AN74" s="2354">
        <v>104</v>
      </c>
      <c r="AO74" s="316">
        <f t="shared" ref="AO74:AO76" si="76">+AL74+AM74+AN74</f>
        <v>1125.69</v>
      </c>
      <c r="AP74" s="317">
        <f t="shared" ref="AP74:AP76" si="77">+AK74+AO74</f>
        <v>1951.7840000000001</v>
      </c>
      <c r="AQ74" s="318">
        <f t="shared" si="13"/>
        <v>3920.8289999999997</v>
      </c>
      <c r="AR74" s="315">
        <f t="shared" si="14"/>
        <v>24353.199000000001</v>
      </c>
      <c r="AS74" s="5643"/>
      <c r="AT74" s="2356"/>
      <c r="AU74" s="2357">
        <f t="shared" si="65"/>
        <v>2511.5090000000014</v>
      </c>
      <c r="AV74" s="5639"/>
      <c r="AW74" s="2357">
        <f t="shared" si="66"/>
        <v>978.90300000000002</v>
      </c>
      <c r="AX74" s="5639"/>
      <c r="AY74" s="5639"/>
      <c r="AZ74" s="5639"/>
      <c r="BA74" s="2357">
        <f t="shared" si="67"/>
        <v>2725.9320000000007</v>
      </c>
      <c r="BB74" s="5639"/>
      <c r="BC74" s="5639"/>
      <c r="BD74" s="5639"/>
      <c r="BE74" s="2357">
        <f t="shared" si="68"/>
        <v>2674.2389999999996</v>
      </c>
      <c r="BF74" s="5639"/>
      <c r="BG74" s="5639"/>
      <c r="BH74" s="5639"/>
      <c r="BI74" s="2357">
        <f t="shared" si="69"/>
        <v>1684.8579999999997</v>
      </c>
      <c r="BJ74" s="5639"/>
      <c r="BK74" s="5639"/>
      <c r="BL74" s="5639"/>
      <c r="BM74" s="2357">
        <f t="shared" si="70"/>
        <v>1492.4840000000002</v>
      </c>
      <c r="BN74" s="5639"/>
      <c r="BO74" s="5639"/>
      <c r="BP74" s="5639"/>
      <c r="BQ74" s="5639"/>
      <c r="BR74" s="5639"/>
      <c r="BS74" s="2357">
        <f t="shared" si="21"/>
        <v>1291.6540000000005</v>
      </c>
      <c r="BT74" s="5639"/>
      <c r="BU74" s="5639"/>
      <c r="BV74" s="5639"/>
      <c r="BW74" s="2357">
        <f t="shared" si="71"/>
        <v>2182</v>
      </c>
      <c r="BX74" s="5639"/>
      <c r="BY74" s="5639"/>
      <c r="BZ74" s="5639"/>
      <c r="CA74" s="2357">
        <f t="shared" si="72"/>
        <v>2429</v>
      </c>
      <c r="CB74" s="5639"/>
      <c r="CC74" s="5639"/>
      <c r="CD74" s="5639"/>
      <c r="CE74" s="5639"/>
      <c r="CF74" s="5639"/>
      <c r="CG74" s="2357">
        <f t="shared" si="73"/>
        <v>2216</v>
      </c>
      <c r="CH74" s="5639"/>
      <c r="CI74" s="5639"/>
      <c r="CJ74" s="5639"/>
      <c r="CK74" s="2357">
        <f t="shared" si="74"/>
        <v>2449.6199999999994</v>
      </c>
      <c r="CL74" s="5639"/>
      <c r="CM74" s="5639"/>
      <c r="CN74" s="5639"/>
      <c r="CO74" s="2357">
        <f t="shared" si="75"/>
        <v>1717</v>
      </c>
      <c r="CP74" s="5639"/>
      <c r="CQ74" s="5639"/>
      <c r="CR74" s="5639"/>
      <c r="CS74" s="5639"/>
      <c r="CT74" s="5639"/>
      <c r="CU74" s="1375">
        <f t="shared" si="27"/>
        <v>24353.199000000004</v>
      </c>
      <c r="CV74" s="768"/>
    </row>
    <row r="75" spans="1:103" ht="15.75" x14ac:dyDescent="0.25">
      <c r="A75" s="2356"/>
      <c r="B75" s="2356"/>
      <c r="C75" s="2356"/>
      <c r="D75" s="2356"/>
      <c r="E75" s="2350" t="s">
        <v>1275</v>
      </c>
      <c r="F75" s="2351">
        <v>174.08600000000001</v>
      </c>
      <c r="G75" s="2352"/>
      <c r="H75" s="2352">
        <v>462.81400000000002</v>
      </c>
      <c r="I75" s="316">
        <f t="shared" si="0"/>
        <v>636.90000000000009</v>
      </c>
      <c r="J75" s="2352"/>
      <c r="K75" s="2352"/>
      <c r="L75" s="2352"/>
      <c r="M75" s="316">
        <f t="shared" si="1"/>
        <v>0</v>
      </c>
      <c r="N75" s="317">
        <f t="shared" si="2"/>
        <v>636.90000000000009</v>
      </c>
      <c r="O75" s="2352">
        <v>177.57599999999999</v>
      </c>
      <c r="P75" s="2352">
        <v>152</v>
      </c>
      <c r="Q75" s="2352"/>
      <c r="R75" s="316">
        <f t="shared" ref="R75:R76" si="78">SUM(O75:Q75)</f>
        <v>329.57600000000002</v>
      </c>
      <c r="S75" s="2352">
        <v>13</v>
      </c>
      <c r="T75" s="2352"/>
      <c r="U75" s="2354"/>
      <c r="V75" s="316">
        <f t="shared" si="4"/>
        <v>13</v>
      </c>
      <c r="W75" s="317">
        <f t="shared" si="5"/>
        <v>342.57600000000002</v>
      </c>
      <c r="X75" s="1531">
        <f t="shared" ref="X75:X76" si="79">+F75+G75+H75+J75+K75+L75+O75+P75+Q75+S75+T75+U75</f>
        <v>979.47600000000011</v>
      </c>
      <c r="Y75" s="2355">
        <v>878.92200000000003</v>
      </c>
      <c r="Z75" s="2352"/>
      <c r="AA75" s="2352">
        <v>365.15600000000001</v>
      </c>
      <c r="AB75" s="316">
        <f t="shared" si="7"/>
        <v>1244.078</v>
      </c>
      <c r="AC75" s="2352">
        <v>178.33199999999999</v>
      </c>
      <c r="AD75" s="2352"/>
      <c r="AE75" s="2352">
        <v>181.804</v>
      </c>
      <c r="AF75" s="629">
        <f t="shared" si="8"/>
        <v>360.13599999999997</v>
      </c>
      <c r="AG75" s="317">
        <f t="shared" si="9"/>
        <v>1604.2139999999999</v>
      </c>
      <c r="AH75" s="2352">
        <v>160.66399999999999</v>
      </c>
      <c r="AI75" s="2352">
        <v>188</v>
      </c>
      <c r="AJ75" s="2352"/>
      <c r="AK75" s="316">
        <f t="shared" si="10"/>
        <v>348.66399999999999</v>
      </c>
      <c r="AL75" s="2352">
        <v>1201</v>
      </c>
      <c r="AM75" s="2352">
        <v>661.6819999999999</v>
      </c>
      <c r="AN75" s="2354">
        <v>178</v>
      </c>
      <c r="AO75" s="316">
        <f t="shared" si="76"/>
        <v>2040.6819999999998</v>
      </c>
      <c r="AP75" s="317">
        <f t="shared" si="77"/>
        <v>2389.3459999999995</v>
      </c>
      <c r="AQ75" s="318">
        <f t="shared" si="13"/>
        <v>3993.5599999999995</v>
      </c>
      <c r="AR75" s="315">
        <f t="shared" si="14"/>
        <v>4973.0360000000001</v>
      </c>
      <c r="AS75" s="5643"/>
      <c r="AT75" s="2356"/>
      <c r="AU75" s="2357">
        <f t="shared" si="65"/>
        <v>1053.008</v>
      </c>
      <c r="AV75" s="5639"/>
      <c r="AW75" s="2357">
        <f t="shared" si="66"/>
        <v>0</v>
      </c>
      <c r="AX75" s="5639"/>
      <c r="AY75" s="5639"/>
      <c r="AZ75" s="5639"/>
      <c r="BA75" s="2357">
        <f t="shared" si="67"/>
        <v>827.97</v>
      </c>
      <c r="BB75" s="5639"/>
      <c r="BC75" s="5639"/>
      <c r="BD75" s="5639"/>
      <c r="BE75" s="2357">
        <f t="shared" si="68"/>
        <v>178.33199999999999</v>
      </c>
      <c r="BF75" s="5639"/>
      <c r="BG75" s="5639"/>
      <c r="BH75" s="5639"/>
      <c r="BI75" s="2357">
        <f t="shared" si="69"/>
        <v>0</v>
      </c>
      <c r="BJ75" s="5639"/>
      <c r="BK75" s="5639"/>
      <c r="BL75" s="5639"/>
      <c r="BM75" s="2357">
        <f t="shared" si="70"/>
        <v>181.804</v>
      </c>
      <c r="BN75" s="5639"/>
      <c r="BO75" s="5639"/>
      <c r="BP75" s="5639"/>
      <c r="BQ75" s="5639"/>
      <c r="BR75" s="5639"/>
      <c r="BS75" s="2357">
        <f t="shared" si="21"/>
        <v>338.24</v>
      </c>
      <c r="BT75" s="5639"/>
      <c r="BU75" s="5639"/>
      <c r="BV75" s="5639"/>
      <c r="BW75" s="2357">
        <f t="shared" si="71"/>
        <v>340</v>
      </c>
      <c r="BX75" s="5639"/>
      <c r="BY75" s="5639"/>
      <c r="BZ75" s="5639"/>
      <c r="CA75" s="2357">
        <f t="shared" si="72"/>
        <v>0</v>
      </c>
      <c r="CB75" s="5639"/>
      <c r="CC75" s="5639"/>
      <c r="CD75" s="5639"/>
      <c r="CE75" s="5639"/>
      <c r="CF75" s="5639"/>
      <c r="CG75" s="2357">
        <f t="shared" si="73"/>
        <v>1214</v>
      </c>
      <c r="CH75" s="5639"/>
      <c r="CI75" s="5639"/>
      <c r="CJ75" s="5639"/>
      <c r="CK75" s="2357">
        <f t="shared" si="74"/>
        <v>661.6819999999999</v>
      </c>
      <c r="CL75" s="5639"/>
      <c r="CM75" s="5639"/>
      <c r="CN75" s="5639"/>
      <c r="CO75" s="2357">
        <f t="shared" si="75"/>
        <v>178</v>
      </c>
      <c r="CP75" s="5639"/>
      <c r="CQ75" s="5639"/>
      <c r="CR75" s="5639"/>
      <c r="CS75" s="5639"/>
      <c r="CT75" s="5639"/>
      <c r="CU75" s="1375">
        <f t="shared" si="27"/>
        <v>4973.0360000000001</v>
      </c>
      <c r="CV75" s="768"/>
    </row>
    <row r="76" spans="1:103" ht="16.5" thickBot="1" x14ac:dyDescent="0.3">
      <c r="A76" s="2356"/>
      <c r="B76" s="2356"/>
      <c r="C76" s="2356"/>
      <c r="D76" s="2356"/>
      <c r="E76" s="2350" t="s">
        <v>1988</v>
      </c>
      <c r="F76" s="2351">
        <v>1447.586</v>
      </c>
      <c r="G76" s="2352">
        <v>413.98499999999996</v>
      </c>
      <c r="H76" s="2352">
        <v>1076.3610000000006</v>
      </c>
      <c r="I76" s="316">
        <f t="shared" ref="I76" si="80">SUM(F76:H76)</f>
        <v>2937.9320000000007</v>
      </c>
      <c r="J76" s="2352">
        <v>1312.3090000000002</v>
      </c>
      <c r="K76" s="2352">
        <v>1236.6900000000003</v>
      </c>
      <c r="L76" s="2352">
        <v>1126.7620000000006</v>
      </c>
      <c r="M76" s="316">
        <f t="shared" ref="M76" si="81">SUM(J76:L76)</f>
        <v>3675.7610000000013</v>
      </c>
      <c r="N76" s="317">
        <f t="shared" ref="N76" si="82">+I76+M76</f>
        <v>6613.693000000002</v>
      </c>
      <c r="O76" s="2352">
        <v>1323.3640000000007</v>
      </c>
      <c r="P76" s="2352">
        <v>1488</v>
      </c>
      <c r="Q76" s="2352">
        <v>843.3</v>
      </c>
      <c r="R76" s="316">
        <f t="shared" si="78"/>
        <v>3654.6640000000007</v>
      </c>
      <c r="S76" s="2352">
        <v>723</v>
      </c>
      <c r="T76" s="2352">
        <v>2274.1380000000017</v>
      </c>
      <c r="U76" s="2354">
        <v>1281</v>
      </c>
      <c r="V76" s="316">
        <f t="shared" ref="V76" si="83">SUM(S76:U76)</f>
        <v>4278.1380000000017</v>
      </c>
      <c r="W76" s="317">
        <f t="shared" ref="W76" si="84">+R76+V76</f>
        <v>7932.8020000000024</v>
      </c>
      <c r="X76" s="1531">
        <f t="shared" si="79"/>
        <v>14546.495000000003</v>
      </c>
      <c r="Y76" s="2355">
        <v>212</v>
      </c>
      <c r="Z76" s="2352">
        <v>280.23599999999988</v>
      </c>
      <c r="AA76" s="2352">
        <v>201.685</v>
      </c>
      <c r="AB76" s="316">
        <f t="shared" ref="AB76" si="85">+Y76+Z76+AA76</f>
        <v>693.92099999999982</v>
      </c>
      <c r="AC76" s="2352">
        <v>383.15600000000012</v>
      </c>
      <c r="AD76" s="2352">
        <v>234.65400000000014</v>
      </c>
      <c r="AE76" s="2352">
        <v>213.51400000000012</v>
      </c>
      <c r="AF76" s="629">
        <f t="shared" ref="AF76" si="86">SUM(AC76:AE76)</f>
        <v>831.32400000000041</v>
      </c>
      <c r="AG76" s="317">
        <f t="shared" ref="AG76" si="87">+AB76+AF76</f>
        <v>1525.2450000000003</v>
      </c>
      <c r="AH76" s="2352">
        <v>232.54000000000008</v>
      </c>
      <c r="AI76" s="2352">
        <v>254</v>
      </c>
      <c r="AJ76" s="2352">
        <v>425.4</v>
      </c>
      <c r="AK76" s="316">
        <f t="shared" ref="AK76" si="88">SUM(AH76:AJ76)</f>
        <v>911.94</v>
      </c>
      <c r="AL76" s="2352">
        <v>239</v>
      </c>
      <c r="AM76" s="2352">
        <v>200.8300000000001</v>
      </c>
      <c r="AN76" s="2354">
        <v>393</v>
      </c>
      <c r="AO76" s="316">
        <f t="shared" si="76"/>
        <v>832.83000000000015</v>
      </c>
      <c r="AP76" s="317">
        <f t="shared" si="77"/>
        <v>1744.7700000000002</v>
      </c>
      <c r="AQ76" s="318">
        <f t="shared" ref="AQ76" si="89">SUM(Y76:AA76,AC76:AE76,AH76:AJ76,AL76:AN76)</f>
        <v>3270.0150000000003</v>
      </c>
      <c r="AR76" s="315">
        <f t="shared" ref="AR76" si="90">+X76+AQ76</f>
        <v>17816.510000000002</v>
      </c>
      <c r="AS76" s="5643"/>
      <c r="AT76" s="2356"/>
      <c r="AU76" s="2357">
        <f t="shared" si="65"/>
        <v>1659.586</v>
      </c>
      <c r="AV76" s="5639"/>
      <c r="AW76" s="2357">
        <f t="shared" si="66"/>
        <v>694.22099999999978</v>
      </c>
      <c r="AX76" s="5639"/>
      <c r="AY76" s="5639"/>
      <c r="AZ76" s="5639"/>
      <c r="BA76" s="2357">
        <f t="shared" si="67"/>
        <v>1278.0460000000005</v>
      </c>
      <c r="BB76" s="5639"/>
      <c r="BC76" s="5639"/>
      <c r="BD76" s="5639"/>
      <c r="BE76" s="2357">
        <f t="shared" si="68"/>
        <v>1695.4650000000004</v>
      </c>
      <c r="BF76" s="5639"/>
      <c r="BG76" s="5639"/>
      <c r="BH76" s="5639"/>
      <c r="BI76" s="2357">
        <f t="shared" si="69"/>
        <v>1471.3440000000005</v>
      </c>
      <c r="BJ76" s="5639"/>
      <c r="BK76" s="5639"/>
      <c r="BL76" s="5639"/>
      <c r="BM76" s="2357">
        <f t="shared" si="70"/>
        <v>1340.2760000000007</v>
      </c>
      <c r="BN76" s="5639"/>
      <c r="BO76" s="5639"/>
      <c r="BP76" s="5639"/>
      <c r="BQ76" s="5639"/>
      <c r="BR76" s="5639"/>
      <c r="BS76" s="2357">
        <f t="shared" ref="BS76" si="91">+O76+AH76</f>
        <v>1555.9040000000009</v>
      </c>
      <c r="BT76" s="5639"/>
      <c r="BU76" s="5639"/>
      <c r="BV76" s="5639"/>
      <c r="BW76" s="2357">
        <f t="shared" si="71"/>
        <v>1742</v>
      </c>
      <c r="BX76" s="5639"/>
      <c r="BY76" s="5639"/>
      <c r="BZ76" s="5639"/>
      <c r="CA76" s="2357">
        <f t="shared" si="72"/>
        <v>1268.6999999999998</v>
      </c>
      <c r="CB76" s="5639"/>
      <c r="CC76" s="5639"/>
      <c r="CD76" s="5639"/>
      <c r="CE76" s="5639"/>
      <c r="CF76" s="5639"/>
      <c r="CG76" s="2357">
        <f t="shared" si="73"/>
        <v>962</v>
      </c>
      <c r="CH76" s="5639"/>
      <c r="CI76" s="5639"/>
      <c r="CJ76" s="5639"/>
      <c r="CK76" s="2357">
        <f t="shared" si="74"/>
        <v>2474.9680000000017</v>
      </c>
      <c r="CL76" s="5639"/>
      <c r="CM76" s="5639"/>
      <c r="CN76" s="5639"/>
      <c r="CO76" s="2357">
        <f t="shared" si="75"/>
        <v>1674</v>
      </c>
      <c r="CP76" s="5639"/>
      <c r="CQ76" s="5639"/>
      <c r="CR76" s="5639"/>
      <c r="CS76" s="5639"/>
      <c r="CT76" s="5639"/>
      <c r="CU76" s="1375">
        <f t="shared" ref="CU76" si="92">SUM(AU76:CO76)</f>
        <v>17816.510000000002</v>
      </c>
      <c r="CV76" s="768"/>
    </row>
    <row r="77" spans="1:103" ht="16.5" thickBot="1" x14ac:dyDescent="0.3">
      <c r="A77" s="319"/>
      <c r="B77" s="319"/>
      <c r="C77" s="319"/>
      <c r="D77" s="319"/>
      <c r="E77" s="1527" t="s">
        <v>2</v>
      </c>
      <c r="F77" s="1374">
        <f t="shared" ref="F77:AR77" si="93">SUM(F6:F76)</f>
        <v>78949.824000000008</v>
      </c>
      <c r="G77" s="1374">
        <f t="shared" si="93"/>
        <v>65666.913</v>
      </c>
      <c r="H77" s="1374">
        <f t="shared" si="93"/>
        <v>71443.196000000011</v>
      </c>
      <c r="I77" s="1374">
        <f t="shared" si="93"/>
        <v>216059.93299999999</v>
      </c>
      <c r="J77" s="1374">
        <f t="shared" si="93"/>
        <v>79611.15999999996</v>
      </c>
      <c r="K77" s="1374">
        <f t="shared" si="93"/>
        <v>80027.583999999988</v>
      </c>
      <c r="L77" s="1374">
        <f t="shared" si="93"/>
        <v>76277.348000000013</v>
      </c>
      <c r="M77" s="1374">
        <f t="shared" si="93"/>
        <v>235916.092</v>
      </c>
      <c r="N77" s="1374">
        <f t="shared" si="93"/>
        <v>451976.02499999997</v>
      </c>
      <c r="O77" s="1374">
        <f t="shared" si="93"/>
        <v>78260.27999999997</v>
      </c>
      <c r="P77" s="1374">
        <f t="shared" si="93"/>
        <v>65464</v>
      </c>
      <c r="Q77" s="1374">
        <f t="shared" si="93"/>
        <v>80304.600000000006</v>
      </c>
      <c r="R77" s="1374">
        <f t="shared" si="93"/>
        <v>224028.88</v>
      </c>
      <c r="S77" s="1374">
        <f t="shared" si="93"/>
        <v>77014</v>
      </c>
      <c r="T77" s="1374">
        <f t="shared" si="93"/>
        <v>80658.150000000009</v>
      </c>
      <c r="U77" s="1374">
        <f t="shared" si="93"/>
        <v>71968</v>
      </c>
      <c r="V77" s="1374">
        <f t="shared" si="93"/>
        <v>225938.08199999997</v>
      </c>
      <c r="W77" s="1374">
        <f t="shared" si="93"/>
        <v>447745.96200000006</v>
      </c>
      <c r="X77" s="1374">
        <f t="shared" si="93"/>
        <v>905645.05499999993</v>
      </c>
      <c r="Y77" s="1374">
        <f t="shared" si="93"/>
        <v>84590.635000000009</v>
      </c>
      <c r="Z77" s="1374">
        <f t="shared" si="93"/>
        <v>72417.652999999977</v>
      </c>
      <c r="AA77" s="1374">
        <f t="shared" si="93"/>
        <v>70290.407000000079</v>
      </c>
      <c r="AB77" s="1374">
        <f t="shared" si="93"/>
        <v>227298.69500000007</v>
      </c>
      <c r="AC77" s="1374">
        <f t="shared" si="93"/>
        <v>95314.49500000001</v>
      </c>
      <c r="AD77" s="1374">
        <f t="shared" si="93"/>
        <v>93377.493999999962</v>
      </c>
      <c r="AE77" s="1374">
        <f t="shared" si="93"/>
        <v>85877.022000000055</v>
      </c>
      <c r="AF77" s="1374">
        <f t="shared" si="93"/>
        <v>274569.01100000006</v>
      </c>
      <c r="AG77" s="1374">
        <f t="shared" si="93"/>
        <v>501867.70600000001</v>
      </c>
      <c r="AH77" s="1374">
        <f t="shared" si="93"/>
        <v>89705.476000000024</v>
      </c>
      <c r="AI77" s="1374">
        <f t="shared" si="93"/>
        <v>77329</v>
      </c>
      <c r="AJ77" s="1374">
        <f t="shared" si="93"/>
        <v>84039.599999999991</v>
      </c>
      <c r="AK77" s="1374">
        <f t="shared" si="93"/>
        <v>251074.07600000003</v>
      </c>
      <c r="AL77" s="1374">
        <f t="shared" si="93"/>
        <v>85703</v>
      </c>
      <c r="AM77" s="1374">
        <f t="shared" si="93"/>
        <v>81540.947999999989</v>
      </c>
      <c r="AN77" s="1374">
        <f t="shared" si="93"/>
        <v>92545</v>
      </c>
      <c r="AO77" s="1374">
        <f t="shared" si="93"/>
        <v>259788.94799999997</v>
      </c>
      <c r="AP77" s="1374">
        <f t="shared" si="93"/>
        <v>510863.02400000009</v>
      </c>
      <c r="AQ77" s="1374">
        <f t="shared" si="93"/>
        <v>1012730.7300000003</v>
      </c>
      <c r="AR77" s="1374">
        <f t="shared" si="93"/>
        <v>1918375.7850000004</v>
      </c>
      <c r="AS77" s="5643"/>
      <c r="AT77" s="1539"/>
      <c r="AU77" s="1375">
        <f t="shared" ref="AU77:CU77" si="94">SUM(AU6:AU76)</f>
        <v>163540.45900000003</v>
      </c>
      <c r="AV77" s="5640"/>
      <c r="AW77" s="1375">
        <f t="shared" si="94"/>
        <v>138084.56599999996</v>
      </c>
      <c r="AX77" s="5640"/>
      <c r="AY77" s="5640"/>
      <c r="AZ77" s="5640"/>
      <c r="BA77" s="1375">
        <f t="shared" si="94"/>
        <v>141733.60300000009</v>
      </c>
      <c r="BB77" s="5640"/>
      <c r="BC77" s="5640"/>
      <c r="BD77" s="5640"/>
      <c r="BE77" s="1375">
        <f t="shared" si="94"/>
        <v>174925.65500000006</v>
      </c>
      <c r="BF77" s="5640"/>
      <c r="BG77" s="5640"/>
      <c r="BH77" s="5640"/>
      <c r="BI77" s="1375">
        <f t="shared" si="94"/>
        <v>173405.07799999992</v>
      </c>
      <c r="BJ77" s="5640"/>
      <c r="BK77" s="5640"/>
      <c r="BL77" s="5640"/>
      <c r="BM77" s="1375">
        <f t="shared" si="94"/>
        <v>162154.37000000011</v>
      </c>
      <c r="BN77" s="5640"/>
      <c r="BO77" s="5640"/>
      <c r="BP77" s="5640"/>
      <c r="BQ77" s="5640"/>
      <c r="BR77" s="5640"/>
      <c r="BS77" s="1375">
        <f t="shared" si="94"/>
        <v>167965.75599999999</v>
      </c>
      <c r="BT77" s="5640"/>
      <c r="BU77" s="5640"/>
      <c r="BV77" s="5640"/>
      <c r="BW77" s="1375">
        <f t="shared" si="94"/>
        <v>142793</v>
      </c>
      <c r="BX77" s="5640"/>
      <c r="BY77" s="5640"/>
      <c r="BZ77" s="5640"/>
      <c r="CA77" s="1375">
        <f t="shared" si="94"/>
        <v>164344.19999999998</v>
      </c>
      <c r="CB77" s="5640"/>
      <c r="CC77" s="5640"/>
      <c r="CD77" s="5640"/>
      <c r="CE77" s="5640"/>
      <c r="CF77" s="5640"/>
      <c r="CG77" s="1375">
        <f t="shared" si="94"/>
        <v>162717</v>
      </c>
      <c r="CH77" s="5640"/>
      <c r="CI77" s="5640"/>
      <c r="CJ77" s="5640"/>
      <c r="CK77" s="1375">
        <f t="shared" si="94"/>
        <v>162199.09799999997</v>
      </c>
      <c r="CL77" s="5640"/>
      <c r="CM77" s="5640"/>
      <c r="CN77" s="5640"/>
      <c r="CO77" s="1375">
        <f t="shared" si="94"/>
        <v>164513</v>
      </c>
      <c r="CP77" s="5640"/>
      <c r="CQ77" s="5640"/>
      <c r="CR77" s="5640"/>
      <c r="CS77" s="5640"/>
      <c r="CT77" s="5640"/>
      <c r="CU77" s="1375">
        <f t="shared" si="94"/>
        <v>1918375.7850000004</v>
      </c>
      <c r="CV77" s="2388"/>
      <c r="CY77" s="26"/>
    </row>
    <row r="78" spans="1:103" x14ac:dyDescent="0.25">
      <c r="A78" s="319"/>
      <c r="B78" s="319"/>
      <c r="C78" s="319"/>
      <c r="D78" s="319"/>
      <c r="E78" s="2167"/>
      <c r="F78" s="319"/>
      <c r="G78" s="319"/>
      <c r="H78" s="319"/>
      <c r="I78" s="319"/>
      <c r="J78" s="319"/>
      <c r="K78" s="319"/>
      <c r="L78" s="319"/>
      <c r="M78" s="319"/>
      <c r="N78" s="319"/>
      <c r="O78" s="319"/>
      <c r="P78" s="319"/>
      <c r="Q78" s="319"/>
      <c r="R78" s="319"/>
      <c r="S78" s="319"/>
      <c r="T78" s="319"/>
      <c r="U78" s="319"/>
      <c r="V78" s="319"/>
      <c r="W78" s="319"/>
      <c r="X78" s="319"/>
      <c r="Y78" s="319"/>
      <c r="Z78" s="319"/>
      <c r="AA78" s="319"/>
      <c r="AB78" s="319"/>
      <c r="AC78" s="319"/>
      <c r="AD78" s="319"/>
      <c r="AE78" s="319"/>
      <c r="AF78" s="319"/>
      <c r="AG78" s="319"/>
      <c r="AH78" s="319"/>
      <c r="AI78" s="319"/>
      <c r="AJ78" s="319"/>
      <c r="AK78" s="319"/>
      <c r="AL78" s="319"/>
      <c r="AM78" s="319"/>
      <c r="AN78" s="319"/>
      <c r="AO78" s="319"/>
      <c r="AP78" s="319"/>
      <c r="AQ78" s="319"/>
      <c r="AR78" s="319"/>
      <c r="AS78" s="319"/>
      <c r="AT78" s="319"/>
      <c r="AU78" s="319"/>
      <c r="AV78" s="319"/>
      <c r="AW78" s="319"/>
      <c r="AX78" s="319"/>
      <c r="AY78" s="319"/>
      <c r="AZ78" s="319"/>
      <c r="BA78" s="319"/>
      <c r="BB78" s="319"/>
      <c r="BC78" s="319"/>
      <c r="BD78" s="319"/>
      <c r="BE78" s="319"/>
      <c r="BF78" s="319"/>
      <c r="BG78" s="319"/>
      <c r="BH78" s="319"/>
      <c r="BI78" s="319"/>
      <c r="BJ78" s="319"/>
      <c r="BK78" s="319"/>
      <c r="BL78" s="319"/>
      <c r="BM78" s="319"/>
      <c r="BN78" s="319"/>
      <c r="BO78" s="319"/>
      <c r="BP78" s="319"/>
      <c r="BQ78" s="319"/>
      <c r="BR78" s="319"/>
      <c r="BS78" s="319"/>
      <c r="BT78" s="319"/>
      <c r="BU78" s="319"/>
      <c r="BV78" s="319"/>
      <c r="BW78" s="319"/>
      <c r="BX78" s="319"/>
      <c r="BY78" s="319"/>
      <c r="BZ78" s="319"/>
      <c r="CA78" s="319"/>
      <c r="CB78" s="319"/>
      <c r="CC78" s="319"/>
      <c r="CD78" s="319"/>
      <c r="CE78" s="319"/>
      <c r="CF78" s="319"/>
      <c r="CG78" s="319"/>
      <c r="CH78" s="319"/>
      <c r="CI78" s="319"/>
      <c r="CJ78" s="319"/>
      <c r="CK78" s="319"/>
      <c r="CL78" s="319"/>
      <c r="CM78" s="319"/>
      <c r="CN78" s="319"/>
      <c r="CO78" s="319"/>
      <c r="CP78" s="319"/>
      <c r="CQ78" s="319"/>
      <c r="CR78" s="319"/>
      <c r="CS78" s="319"/>
      <c r="CT78" s="319"/>
      <c r="CU78" s="322"/>
      <c r="CV78" s="768"/>
    </row>
    <row r="79" spans="1:103" x14ac:dyDescent="0.25">
      <c r="A79" s="319"/>
      <c r="B79" s="319"/>
      <c r="C79" s="319"/>
      <c r="D79" s="319"/>
      <c r="E79" s="2167" t="s">
        <v>1161</v>
      </c>
      <c r="F79" s="2168">
        <f>+F77-SMS!F29</f>
        <v>-0.17599999999220017</v>
      </c>
      <c r="G79" s="2168">
        <f>+G77-SMS!H29</f>
        <v>-2.0869999999995343</v>
      </c>
      <c r="H79" s="2168">
        <f>+H77-SMS!L29</f>
        <v>-146.80399999998917</v>
      </c>
      <c r="I79" s="2168">
        <f>+I77-SMS!N29</f>
        <v>-149.06700000001001</v>
      </c>
      <c r="J79" s="2168">
        <f>+J77-SMS!P29</f>
        <v>-0.84000000004016329</v>
      </c>
      <c r="K79" s="2168">
        <f>+K77-SMS!T29</f>
        <v>158.58399999998801</v>
      </c>
      <c r="L79" s="2149"/>
      <c r="M79" s="2149"/>
      <c r="N79" s="2149"/>
      <c r="O79" s="2149"/>
      <c r="P79" s="2149"/>
      <c r="Q79" s="2149"/>
      <c r="R79" s="2149"/>
      <c r="S79" s="2149"/>
      <c r="T79" s="2149"/>
      <c r="U79" s="2149"/>
      <c r="V79" s="2149"/>
      <c r="W79" s="2149"/>
      <c r="X79" s="2168">
        <f>+X77-SMS!R29</f>
        <v>609824.05499999993</v>
      </c>
      <c r="Y79" s="2168">
        <f>+Y77-SMS!F32</f>
        <v>-0.36499999999068677</v>
      </c>
      <c r="Z79" s="2168">
        <f>+Z77-SMS!H32</f>
        <v>1.6529999999766005</v>
      </c>
      <c r="AA79" s="2168">
        <f>+AA77-SMS!L32</f>
        <v>146.40700000007928</v>
      </c>
      <c r="AB79" s="2168">
        <f>+AB77-SMS!N32</f>
        <v>147.69500000006519</v>
      </c>
      <c r="AC79" s="2168">
        <f>+AC77-SMS!P32</f>
        <v>0.4950000000098953</v>
      </c>
      <c r="AD79" s="2168">
        <f>+AD77-SMS!T32</f>
        <v>-158.5060000000376</v>
      </c>
      <c r="AE79" s="2149"/>
      <c r="AF79" s="2149"/>
      <c r="AG79" s="2149"/>
      <c r="AH79" s="2149"/>
      <c r="AI79" s="2149"/>
      <c r="AJ79" s="2149"/>
      <c r="AK79" s="2149"/>
      <c r="AL79" s="2149"/>
      <c r="AM79" s="2149"/>
      <c r="AN79" s="2149"/>
      <c r="AO79" s="2149"/>
      <c r="AP79" s="2149"/>
      <c r="AQ79" s="2168">
        <f>+AQ77-SMS!R32</f>
        <v>690265.73000000033</v>
      </c>
      <c r="AR79" s="2168">
        <f>+AR77-(SMS!R29+SMS!R32)</f>
        <v>1300089.7850000004</v>
      </c>
      <c r="AS79" s="2168"/>
      <c r="AT79" s="319"/>
      <c r="AU79" s="2168">
        <f>+AU77-(SMS!F29+SMS!F32)</f>
        <v>-0.54099999996833503</v>
      </c>
      <c r="AV79" s="2168"/>
      <c r="AW79" s="2168">
        <f>+AW77-(SMS!H29+SMS!H32)</f>
        <v>-0.43400000003748573</v>
      </c>
      <c r="AX79" s="2168"/>
      <c r="AY79" s="2168"/>
      <c r="AZ79" s="2168"/>
      <c r="BA79" s="2168">
        <f>+BA77-(SMS!L29+SMS!L32)</f>
        <v>-0.39699999990989454</v>
      </c>
      <c r="BB79" s="2168"/>
      <c r="BC79" s="2168"/>
      <c r="BD79" s="2168"/>
      <c r="BE79" s="2168">
        <f>+BE77-(SMS!P29+SMS!P32)</f>
        <v>-0.34499999994295649</v>
      </c>
      <c r="BF79" s="2168"/>
      <c r="BG79" s="2168"/>
      <c r="BH79" s="2168"/>
      <c r="BI79" s="2168">
        <f>+BI77-(SMS!T29+SMS!T32)</f>
        <v>7.7999999921303242E-2</v>
      </c>
      <c r="BJ79" s="2168"/>
      <c r="BK79" s="2168"/>
      <c r="BL79" s="2168"/>
      <c r="BM79" s="2168"/>
      <c r="BN79" s="2168"/>
      <c r="BO79" s="2168"/>
      <c r="BP79" s="2168"/>
      <c r="BQ79" s="2168"/>
      <c r="BR79" s="2168"/>
      <c r="BS79" s="2168"/>
      <c r="BT79" s="2168"/>
      <c r="BU79" s="2168"/>
      <c r="BV79" s="2168"/>
      <c r="BW79" s="2168"/>
      <c r="BX79" s="2168"/>
      <c r="BY79" s="2168"/>
      <c r="BZ79" s="2168"/>
      <c r="CA79" s="2168"/>
      <c r="CB79" s="2168"/>
      <c r="CC79" s="2168"/>
      <c r="CD79" s="2168"/>
      <c r="CE79" s="2168"/>
      <c r="CF79" s="2168"/>
      <c r="CG79" s="2168"/>
      <c r="CH79" s="2168"/>
      <c r="CI79" s="2168"/>
      <c r="CJ79" s="2168"/>
      <c r="CK79" s="2168"/>
      <c r="CL79" s="2168"/>
      <c r="CM79" s="2168"/>
      <c r="CN79" s="2168"/>
      <c r="CO79" s="2168"/>
      <c r="CP79" s="2168"/>
      <c r="CQ79" s="2168"/>
      <c r="CR79" s="2168"/>
      <c r="CS79" s="2168"/>
      <c r="CT79" s="2168"/>
      <c r="CU79" s="2168">
        <f>+CU77-(SMS!R29+SMS!R32)</f>
        <v>1300089.7850000004</v>
      </c>
      <c r="CV79" s="768"/>
    </row>
    <row r="80" spans="1:103" x14ac:dyDescent="0.25">
      <c r="A80" s="319"/>
      <c r="B80" s="319"/>
      <c r="C80" s="319"/>
      <c r="D80" s="319"/>
      <c r="E80" s="2167"/>
      <c r="F80" s="319"/>
      <c r="G80" s="319"/>
      <c r="H80" s="319"/>
      <c r="I80" s="319"/>
      <c r="J80" s="319"/>
      <c r="K80" s="319"/>
      <c r="L80" s="319"/>
      <c r="M80" s="319"/>
      <c r="N80" s="319"/>
      <c r="O80" s="319"/>
      <c r="P80" s="319"/>
      <c r="Q80" s="319"/>
      <c r="R80" s="319"/>
      <c r="S80" s="319"/>
      <c r="T80" s="319"/>
      <c r="U80" s="319"/>
      <c r="V80" s="319"/>
      <c r="W80" s="319"/>
      <c r="X80" s="319"/>
      <c r="Y80" s="319"/>
      <c r="Z80" s="319"/>
      <c r="AA80" s="319"/>
      <c r="AB80" s="319"/>
      <c r="AC80" s="319"/>
      <c r="AD80" s="319"/>
      <c r="AE80" s="319"/>
      <c r="AF80" s="319"/>
      <c r="AG80" s="319"/>
      <c r="AH80" s="319"/>
      <c r="AI80" s="319"/>
      <c r="AJ80" s="319"/>
      <c r="AK80" s="319"/>
      <c r="AL80" s="319"/>
      <c r="AM80" s="319"/>
      <c r="AN80" s="319"/>
      <c r="AO80" s="319"/>
      <c r="AP80" s="319"/>
      <c r="AQ80" s="319"/>
      <c r="AR80" s="319"/>
      <c r="AS80" s="319"/>
      <c r="AT80" s="319"/>
      <c r="AU80" s="319"/>
      <c r="AV80" s="319"/>
      <c r="AW80" s="319"/>
      <c r="AX80" s="319"/>
      <c r="AY80" s="319"/>
      <c r="AZ80" s="319"/>
      <c r="BA80" s="319"/>
      <c r="BB80" s="319"/>
      <c r="BC80" s="319"/>
      <c r="BD80" s="319"/>
      <c r="BE80" s="319"/>
      <c r="BF80" s="319"/>
      <c r="BG80" s="319"/>
      <c r="BH80" s="319"/>
      <c r="BI80" s="319"/>
      <c r="BJ80" s="319"/>
      <c r="BK80" s="319"/>
      <c r="BL80" s="319"/>
      <c r="BM80" s="319"/>
      <c r="BN80" s="319"/>
      <c r="BO80" s="319"/>
      <c r="BP80" s="319"/>
      <c r="BQ80" s="319"/>
      <c r="BR80" s="319"/>
      <c r="BS80" s="319"/>
      <c r="BT80" s="319"/>
      <c r="BU80" s="319"/>
      <c r="BV80" s="319"/>
      <c r="BW80" s="319"/>
      <c r="BX80" s="319"/>
      <c r="BY80" s="319"/>
      <c r="BZ80" s="319"/>
      <c r="CA80" s="319"/>
      <c r="CB80" s="319"/>
      <c r="CC80" s="319"/>
      <c r="CD80" s="319"/>
      <c r="CE80" s="319"/>
      <c r="CF80" s="319"/>
      <c r="CG80" s="319"/>
      <c r="CH80" s="319"/>
      <c r="CI80" s="319"/>
      <c r="CJ80" s="319"/>
      <c r="CK80" s="319"/>
      <c r="CL80" s="319"/>
      <c r="CM80" s="319"/>
      <c r="CN80" s="319"/>
      <c r="CO80" s="319"/>
      <c r="CP80" s="319"/>
      <c r="CQ80" s="319"/>
      <c r="CR80" s="319"/>
      <c r="CS80" s="319"/>
      <c r="CT80" s="319"/>
      <c r="CU80" s="322"/>
      <c r="CV80" s="768"/>
    </row>
    <row r="82" spans="34:74" x14ac:dyDescent="0.25">
      <c r="AU82" s="26">
        <f t="shared" ref="AU82:BS82" si="95">+AU22+AU23+AU25+AU26+AU48+AU50+AU51+AU52+AU53+AU54+AU55+AU56+AU57+AU58+AU59+AU60+AU61+AU67</f>
        <v>22877.447999999997</v>
      </c>
      <c r="AV82" s="26"/>
      <c r="AW82" s="26">
        <f t="shared" si="95"/>
        <v>14880.107000000002</v>
      </c>
      <c r="AX82" s="26"/>
      <c r="AY82" s="26"/>
      <c r="AZ82" s="26"/>
      <c r="BA82" s="26">
        <f t="shared" si="95"/>
        <v>29278.292999999998</v>
      </c>
      <c r="BB82" s="26"/>
      <c r="BC82" s="26"/>
      <c r="BD82" s="26"/>
      <c r="BE82" s="26">
        <f t="shared" si="95"/>
        <v>25671.194000000003</v>
      </c>
      <c r="BF82" s="26"/>
      <c r="BG82" s="26"/>
      <c r="BH82" s="26"/>
      <c r="BI82" s="26">
        <f t="shared" si="95"/>
        <v>28553.798000000003</v>
      </c>
      <c r="BJ82" s="26"/>
      <c r="BK82" s="26"/>
      <c r="BL82" s="26"/>
      <c r="BM82" s="26">
        <f t="shared" si="95"/>
        <v>30500.792000000005</v>
      </c>
      <c r="BN82" s="26"/>
      <c r="BO82" s="26"/>
      <c r="BP82" s="26"/>
      <c r="BQ82" s="26"/>
      <c r="BR82" s="26"/>
      <c r="BS82" s="26">
        <f t="shared" si="95"/>
        <v>34035.399999999994</v>
      </c>
      <c r="BT82" s="26"/>
      <c r="BU82" s="26"/>
      <c r="BV82" s="26"/>
    </row>
    <row r="84" spans="34:74" x14ac:dyDescent="0.25">
      <c r="AH84" s="26"/>
    </row>
  </sheetData>
  <mergeCells count="30">
    <mergeCell ref="E2:CU2"/>
    <mergeCell ref="F4:X4"/>
    <mergeCell ref="Y4:AQ4"/>
    <mergeCell ref="AT4:AU4"/>
    <mergeCell ref="AV4:AW4"/>
    <mergeCell ref="AX4:AY4"/>
    <mergeCell ref="AZ4:BA4"/>
    <mergeCell ref="BB4:BC4"/>
    <mergeCell ref="BD4:BE4"/>
    <mergeCell ref="BF4:BG4"/>
    <mergeCell ref="BH4:BI4"/>
    <mergeCell ref="BJ4:BK4"/>
    <mergeCell ref="BL4:BM4"/>
    <mergeCell ref="BN4:BO4"/>
    <mergeCell ref="BP4:BQ4"/>
    <mergeCell ref="BR4:BS4"/>
    <mergeCell ref="BT4:BU4"/>
    <mergeCell ref="BV4:BW4"/>
    <mergeCell ref="BX4:BY4"/>
    <mergeCell ref="BZ4:CA4"/>
    <mergeCell ref="CB4:CC4"/>
    <mergeCell ref="CN4:CO4"/>
    <mergeCell ref="CP4:CQ4"/>
    <mergeCell ref="CR4:CS4"/>
    <mergeCell ref="CT4:CU4"/>
    <mergeCell ref="CD4:CE4"/>
    <mergeCell ref="CF4:CG4"/>
    <mergeCell ref="CH4:CI4"/>
    <mergeCell ref="CJ4:CK4"/>
    <mergeCell ref="CL4:CM4"/>
  </mergeCells>
  <printOptions horizontalCentered="1" verticalCentered="1"/>
  <pageMargins left="0" right="0" top="0" bottom="0" header="0" footer="0"/>
  <pageSetup paperSize="9" scale="55" orientation="landscape" verticalDpi="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>
    <tabColor rgb="FFF97575"/>
    <pageSetUpPr fitToPage="1"/>
  </sheetPr>
  <dimension ref="A1:BE50"/>
  <sheetViews>
    <sheetView topLeftCell="A25" zoomScale="93" zoomScaleNormal="93" workbookViewId="0">
      <pane xSplit="1" topLeftCell="U1" activePane="topRight" state="frozen"/>
      <selection activeCell="BG86" sqref="BG86"/>
      <selection pane="topRight" activeCell="A42" sqref="A42"/>
    </sheetView>
  </sheetViews>
  <sheetFormatPr defaultColWidth="9.140625" defaultRowHeight="15" x14ac:dyDescent="0.25"/>
  <cols>
    <col min="1" max="1" width="55.85546875" customWidth="1"/>
    <col min="2" max="2" width="10.140625" hidden="1" customWidth="1"/>
    <col min="3" max="3" width="9.140625" bestFit="1" customWidth="1"/>
    <col min="4" max="4" width="10.28515625" hidden="1" customWidth="1"/>
    <col min="5" max="5" width="10.42578125" customWidth="1"/>
    <col min="6" max="6" width="10.42578125" hidden="1" customWidth="1"/>
    <col min="7" max="8" width="9.140625" hidden="1" customWidth="1"/>
    <col min="9" max="9" width="9.5703125" customWidth="1"/>
    <col min="10" max="10" width="9.5703125" hidden="1" customWidth="1"/>
    <col min="11" max="11" width="10.7109375" bestFit="1" customWidth="1"/>
    <col min="12" max="12" width="13" hidden="1" customWidth="1"/>
    <col min="13" max="13" width="12.5703125" customWidth="1"/>
    <col min="14" max="14" width="12.5703125" style="5259" hidden="1" customWidth="1"/>
    <col min="15" max="15" width="16.85546875" hidden="1" customWidth="1"/>
    <col min="16" max="16" width="16.85546875" style="5259" hidden="1" customWidth="1"/>
    <col min="17" max="17" width="11" customWidth="1"/>
    <col min="18" max="18" width="11" style="5259" hidden="1" customWidth="1"/>
    <col min="19" max="19" width="17" hidden="1" customWidth="1"/>
    <col min="20" max="20" width="17" style="5259" hidden="1" customWidth="1"/>
    <col min="21" max="21" width="11" customWidth="1"/>
    <col min="22" max="22" width="11" style="5259" hidden="1" customWidth="1"/>
    <col min="23" max="23" width="10.7109375" customWidth="1"/>
    <col min="24" max="24" width="10.7109375" style="5259" hidden="1" customWidth="1"/>
    <col min="25" max="25" width="10.7109375" customWidth="1"/>
    <col min="26" max="26" width="10.7109375" style="5259" hidden="1" customWidth="1"/>
    <col min="27" max="27" width="9.140625" customWidth="1"/>
    <col min="28" max="28" width="9.140625" style="5259" hidden="1" customWidth="1"/>
    <col min="29" max="29" width="10.7109375" hidden="1" customWidth="1"/>
    <col min="30" max="30" width="10.7109375" style="5259" hidden="1" customWidth="1"/>
    <col min="32" max="32" width="0" style="5259" hidden="1" customWidth="1"/>
    <col min="33" max="33" width="10.7109375" hidden="1" customWidth="1"/>
    <col min="34" max="34" width="10.7109375" style="5259" hidden="1" customWidth="1"/>
    <col min="36" max="36" width="0" style="5259" hidden="1" customWidth="1"/>
    <col min="37" max="37" width="10.7109375" style="4332" bestFit="1" customWidth="1"/>
    <col min="38" max="38" width="10.7109375" style="5259" hidden="1" customWidth="1"/>
    <col min="39" max="39" width="33.7109375" hidden="1" customWidth="1"/>
    <col min="40" max="40" width="33.7109375" style="5259" hidden="1" customWidth="1"/>
    <col min="41" max="41" width="9.140625" bestFit="1" customWidth="1"/>
    <col min="42" max="42" width="9.140625" style="5259" hidden="1" customWidth="1"/>
    <col min="43" max="43" width="10.7109375" hidden="1" customWidth="1"/>
    <col min="44" max="44" width="10.7109375" style="5259" hidden="1" customWidth="1"/>
    <col min="46" max="46" width="0" style="5259" hidden="1" customWidth="1"/>
    <col min="47" max="47" width="10.7109375" hidden="1" customWidth="1"/>
    <col min="48" max="48" width="10.7109375" style="5259" hidden="1" customWidth="1"/>
    <col min="49" max="49" width="9.140625" customWidth="1"/>
    <col min="50" max="50" width="9.140625" style="5121" hidden="1" customWidth="1"/>
    <col min="51" max="51" width="10.7109375" style="5121" bestFit="1" customWidth="1"/>
    <col min="52" max="52" width="9.140625" style="5121" hidden="1" customWidth="1"/>
    <col min="53" max="53" width="10.7109375" style="5121" bestFit="1" customWidth="1"/>
    <col min="54" max="54" width="10.7109375" style="5259" hidden="1" customWidth="1"/>
    <col min="55" max="55" width="10.7109375" bestFit="1" customWidth="1"/>
  </cols>
  <sheetData>
    <row r="1" spans="1:57" x14ac:dyDescent="0.25">
      <c r="A1" s="275"/>
      <c r="B1" s="275"/>
      <c r="C1" s="276"/>
      <c r="D1" s="276"/>
      <c r="E1" s="276"/>
      <c r="F1" s="276"/>
      <c r="G1" s="276"/>
      <c r="H1" s="276"/>
      <c r="I1" s="276"/>
      <c r="J1" s="276"/>
      <c r="K1" s="276"/>
      <c r="L1" s="276"/>
      <c r="M1" s="276"/>
      <c r="N1" s="276"/>
      <c r="O1" s="276"/>
      <c r="P1" s="276"/>
      <c r="Q1" s="276"/>
      <c r="R1" s="276"/>
      <c r="S1" s="276"/>
      <c r="T1" s="276"/>
      <c r="U1" s="276"/>
      <c r="V1" s="276"/>
      <c r="W1" s="276"/>
      <c r="X1" s="276"/>
      <c r="Y1" s="276"/>
      <c r="Z1" s="276"/>
    </row>
    <row r="2" spans="1:57" ht="20.25" x14ac:dyDescent="0.25">
      <c r="A2" s="6435" t="s">
        <v>1489</v>
      </c>
      <c r="B2" s="6435"/>
      <c r="C2" s="6435"/>
      <c r="D2" s="6435"/>
      <c r="E2" s="6435"/>
      <c r="F2" s="6435"/>
      <c r="G2" s="6435"/>
      <c r="H2" s="6435"/>
      <c r="I2" s="6435"/>
      <c r="J2" s="6435"/>
      <c r="K2" s="6435"/>
      <c r="L2" s="6435"/>
      <c r="M2" s="6435"/>
      <c r="N2" s="6435"/>
      <c r="O2" s="6435"/>
      <c r="P2" s="6435"/>
      <c r="Q2" s="6435"/>
      <c r="R2" s="6435"/>
      <c r="S2" s="6435"/>
      <c r="T2" s="6435"/>
      <c r="U2" s="6435"/>
      <c r="V2" s="6435"/>
      <c r="W2" s="6435"/>
      <c r="X2" s="6435"/>
      <c r="Y2" s="6435"/>
      <c r="Z2" s="5262"/>
    </row>
    <row r="3" spans="1:57" ht="15.75" thickBot="1" x14ac:dyDescent="0.3">
      <c r="A3" s="275"/>
      <c r="B3" s="275"/>
      <c r="C3" s="276"/>
      <c r="D3" s="276"/>
      <c r="E3" s="276"/>
      <c r="F3" s="276"/>
      <c r="G3" s="276"/>
      <c r="H3" s="276"/>
      <c r="I3" s="276"/>
      <c r="J3" s="276"/>
      <c r="K3" s="276"/>
      <c r="L3" s="276"/>
      <c r="M3" s="276"/>
      <c r="N3" s="276"/>
      <c r="O3" s="276"/>
      <c r="P3" s="276"/>
      <c r="Q3" s="276"/>
      <c r="R3" s="276"/>
      <c r="S3" s="276"/>
      <c r="T3" s="276"/>
      <c r="U3" s="276"/>
      <c r="V3" s="276"/>
      <c r="W3" s="276"/>
      <c r="X3" s="276"/>
      <c r="Y3" s="276"/>
      <c r="Z3" s="276"/>
    </row>
    <row r="4" spans="1:57" x14ac:dyDescent="0.25">
      <c r="A4" s="6436"/>
      <c r="B4" s="6011" t="s">
        <v>1470</v>
      </c>
      <c r="C4" s="6012"/>
      <c r="D4" s="6011" t="s">
        <v>1526</v>
      </c>
      <c r="E4" s="6012"/>
      <c r="F4" s="6013" t="s">
        <v>15</v>
      </c>
      <c r="G4" s="6014"/>
      <c r="H4" s="6038" t="s">
        <v>1620</v>
      </c>
      <c r="I4" s="6039"/>
      <c r="J4" s="6036" t="s">
        <v>658</v>
      </c>
      <c r="K4" s="6037"/>
      <c r="L4" s="6011" t="s">
        <v>1688</v>
      </c>
      <c r="M4" s="6012"/>
      <c r="N4" s="6013" t="s">
        <v>18</v>
      </c>
      <c r="O4" s="6014"/>
      <c r="P4" s="6011" t="s">
        <v>1731</v>
      </c>
      <c r="Q4" s="6012"/>
      <c r="R4" s="6013" t="s">
        <v>19</v>
      </c>
      <c r="S4" s="6014"/>
      <c r="T4" s="6022" t="s">
        <v>1766</v>
      </c>
      <c r="U4" s="6023"/>
      <c r="V4" s="6035" t="s">
        <v>870</v>
      </c>
      <c r="W4" s="6035"/>
      <c r="X4" s="6021" t="s">
        <v>679</v>
      </c>
      <c r="Y4" s="6021"/>
      <c r="Z4" s="6011" t="s">
        <v>1831</v>
      </c>
      <c r="AA4" s="6012"/>
      <c r="AB4" s="6013" t="s">
        <v>26</v>
      </c>
      <c r="AC4" s="6014"/>
      <c r="AD4" s="6011" t="s">
        <v>1863</v>
      </c>
      <c r="AE4" s="6012"/>
      <c r="AF4" s="6013" t="s">
        <v>29</v>
      </c>
      <c r="AG4" s="6014"/>
      <c r="AH4" s="6022" t="s">
        <v>1888</v>
      </c>
      <c r="AI4" s="6023"/>
      <c r="AJ4" s="6035" t="s">
        <v>1889</v>
      </c>
      <c r="AK4" s="6035"/>
      <c r="AL4" s="6013" t="s">
        <v>1890</v>
      </c>
      <c r="AM4" s="6014"/>
      <c r="AN4" s="6011" t="s">
        <v>1918</v>
      </c>
      <c r="AO4" s="6012"/>
      <c r="AP4" s="6013" t="s">
        <v>30</v>
      </c>
      <c r="AQ4" s="6014"/>
      <c r="AR4" s="6011" t="s">
        <v>1940</v>
      </c>
      <c r="AS4" s="6012"/>
      <c r="AT4" s="6013" t="s">
        <v>32</v>
      </c>
      <c r="AU4" s="6014"/>
      <c r="AV4" s="6011" t="s">
        <v>1965</v>
      </c>
      <c r="AW4" s="6012"/>
      <c r="AX4" s="6035" t="s">
        <v>1964</v>
      </c>
      <c r="AY4" s="6035"/>
      <c r="AZ4" s="6021" t="s">
        <v>693</v>
      </c>
      <c r="BA4" s="6021"/>
      <c r="BB4" s="6013" t="s">
        <v>1513</v>
      </c>
      <c r="BC4" s="6014"/>
    </row>
    <row r="5" spans="1:57" ht="15.75" thickBot="1" x14ac:dyDescent="0.3">
      <c r="A5" s="6437"/>
      <c r="B5" s="3049" t="s">
        <v>177</v>
      </c>
      <c r="C5" s="3050" t="s">
        <v>178</v>
      </c>
      <c r="D5" s="3049" t="s">
        <v>177</v>
      </c>
      <c r="E5" s="3050" t="s">
        <v>178</v>
      </c>
      <c r="F5" s="3056" t="s">
        <v>177</v>
      </c>
      <c r="G5" s="3015" t="s">
        <v>178</v>
      </c>
      <c r="H5" s="3060" t="s">
        <v>177</v>
      </c>
      <c r="I5" s="3061" t="s">
        <v>178</v>
      </c>
      <c r="J5" s="3062" t="s">
        <v>177</v>
      </c>
      <c r="K5" s="3063" t="s">
        <v>178</v>
      </c>
      <c r="L5" s="3060" t="s">
        <v>177</v>
      </c>
      <c r="M5" s="3050" t="s">
        <v>178</v>
      </c>
      <c r="N5" s="3056" t="s">
        <v>177</v>
      </c>
      <c r="O5" s="3015" t="s">
        <v>178</v>
      </c>
      <c r="P5" s="3049" t="s">
        <v>177</v>
      </c>
      <c r="Q5" s="3050" t="s">
        <v>178</v>
      </c>
      <c r="R5" s="3056" t="s">
        <v>177</v>
      </c>
      <c r="S5" s="3015" t="s">
        <v>178</v>
      </c>
      <c r="T5" s="2458" t="s">
        <v>177</v>
      </c>
      <c r="U5" s="5261" t="s">
        <v>178</v>
      </c>
      <c r="V5" s="5263" t="s">
        <v>177</v>
      </c>
      <c r="W5" s="5263" t="s">
        <v>178</v>
      </c>
      <c r="X5" s="5264" t="s">
        <v>177</v>
      </c>
      <c r="Y5" s="5264" t="s">
        <v>178</v>
      </c>
      <c r="Z5" s="3049" t="s">
        <v>177</v>
      </c>
      <c r="AA5" s="3050" t="s">
        <v>178</v>
      </c>
      <c r="AB5" s="3056" t="s">
        <v>177</v>
      </c>
      <c r="AC5" s="3015" t="s">
        <v>178</v>
      </c>
      <c r="AD5" s="3049" t="s">
        <v>177</v>
      </c>
      <c r="AE5" s="3050" t="s">
        <v>178</v>
      </c>
      <c r="AF5" s="3056" t="s">
        <v>177</v>
      </c>
      <c r="AG5" s="3015" t="s">
        <v>178</v>
      </c>
      <c r="AH5" s="2458" t="s">
        <v>177</v>
      </c>
      <c r="AI5" s="5261" t="s">
        <v>178</v>
      </c>
      <c r="AJ5" s="5263" t="s">
        <v>177</v>
      </c>
      <c r="AK5" s="5263" t="s">
        <v>178</v>
      </c>
      <c r="AL5" s="3056" t="s">
        <v>177</v>
      </c>
      <c r="AM5" s="3015" t="s">
        <v>178</v>
      </c>
      <c r="AN5" s="3049" t="s">
        <v>177</v>
      </c>
      <c r="AO5" s="3050" t="s">
        <v>178</v>
      </c>
      <c r="AP5" s="3056" t="s">
        <v>177</v>
      </c>
      <c r="AQ5" s="3015" t="s">
        <v>178</v>
      </c>
      <c r="AR5" s="3049" t="s">
        <v>177</v>
      </c>
      <c r="AS5" s="3050" t="s">
        <v>178</v>
      </c>
      <c r="AT5" s="3056" t="s">
        <v>177</v>
      </c>
      <c r="AU5" s="3015" t="s">
        <v>178</v>
      </c>
      <c r="AV5" s="3049" t="s">
        <v>177</v>
      </c>
      <c r="AW5" s="3050" t="s">
        <v>178</v>
      </c>
      <c r="AX5" s="5263" t="s">
        <v>177</v>
      </c>
      <c r="AY5" s="5263" t="s">
        <v>178</v>
      </c>
      <c r="AZ5" s="5264" t="s">
        <v>177</v>
      </c>
      <c r="BA5" s="5264" t="s">
        <v>178</v>
      </c>
      <c r="BB5" s="3056" t="s">
        <v>177</v>
      </c>
      <c r="BC5" s="3015" t="s">
        <v>178</v>
      </c>
    </row>
    <row r="6" spans="1:57" ht="20.25" x14ac:dyDescent="0.25">
      <c r="A6" s="1546" t="s">
        <v>665</v>
      </c>
      <c r="B6" s="2022"/>
      <c r="C6" s="1547"/>
      <c r="D6" s="1547"/>
      <c r="E6" s="1548"/>
      <c r="F6" s="1548"/>
      <c r="G6" s="1548"/>
      <c r="H6" s="1548"/>
      <c r="I6" s="1548"/>
      <c r="J6" s="2034"/>
      <c r="K6" s="1549"/>
      <c r="L6" s="1548"/>
      <c r="M6" s="1548"/>
      <c r="N6" s="1548"/>
      <c r="O6" s="1548"/>
      <c r="P6" s="5148"/>
      <c r="Q6" s="1550"/>
      <c r="R6" s="1550"/>
      <c r="S6" s="1550"/>
      <c r="T6" s="1550"/>
      <c r="U6" s="1550"/>
      <c r="V6" s="1550"/>
      <c r="W6" s="1549"/>
      <c r="X6" s="5148"/>
      <c r="Y6" s="1550"/>
      <c r="Z6" s="1550"/>
      <c r="AA6" s="1550"/>
      <c r="AB6" s="1550"/>
      <c r="AC6" s="1550"/>
      <c r="AD6" s="1550"/>
      <c r="AE6" s="1550"/>
      <c r="AF6" s="1550"/>
      <c r="AG6" s="1550"/>
      <c r="AH6" s="1550"/>
      <c r="AI6" s="1550"/>
      <c r="AJ6" s="1550"/>
      <c r="AK6" s="1549"/>
      <c r="AL6" s="5148"/>
      <c r="AM6" s="1550"/>
      <c r="AN6" s="1550"/>
      <c r="AO6" s="1550"/>
      <c r="AP6" s="1550"/>
      <c r="AQ6" s="1550"/>
      <c r="AR6" s="1550"/>
      <c r="AS6" s="1550"/>
      <c r="AT6" s="1550"/>
      <c r="AU6" s="1550"/>
      <c r="AV6" s="1550"/>
      <c r="AW6" s="1550"/>
      <c r="AX6" s="1550"/>
      <c r="AY6" s="1549"/>
      <c r="AZ6" s="5148"/>
      <c r="BA6" s="1550"/>
      <c r="BB6" s="1550"/>
      <c r="BC6" s="1550"/>
    </row>
    <row r="7" spans="1:57" ht="15.75" x14ac:dyDescent="0.25">
      <c r="A7" s="277" t="s">
        <v>1277</v>
      </c>
      <c r="B7" s="2023"/>
      <c r="C7" s="279">
        <v>5331.53</v>
      </c>
      <c r="D7" s="279"/>
      <c r="E7" s="279">
        <v>1792.549</v>
      </c>
      <c r="F7" s="1911"/>
      <c r="G7" s="1911">
        <f>+C7+E7</f>
        <v>7124.0789999999997</v>
      </c>
      <c r="H7" s="1997"/>
      <c r="I7" s="279">
        <v>7852.5719999999983</v>
      </c>
      <c r="J7" s="2039"/>
      <c r="K7" s="1516">
        <f>+C7+E7+I7</f>
        <v>14976.650999999998</v>
      </c>
      <c r="L7" s="1997"/>
      <c r="M7" s="279">
        <v>4784.8709999999992</v>
      </c>
      <c r="N7" s="2035"/>
      <c r="O7" s="2068">
        <f>+C7+E7+I7+M7</f>
        <v>19761.521999999997</v>
      </c>
      <c r="P7" s="5645"/>
      <c r="Q7" s="279"/>
      <c r="R7" s="279"/>
      <c r="S7" s="1542">
        <f>+O7+Q7</f>
        <v>19761.521999999997</v>
      </c>
      <c r="T7" s="5650"/>
      <c r="U7" s="279">
        <v>4826.6399999999994</v>
      </c>
      <c r="V7" s="2035"/>
      <c r="W7" s="1516">
        <f t="shared" ref="W7:W14" si="0">+M7+Q7+U7</f>
        <v>9611.5109999999986</v>
      </c>
      <c r="X7" s="5655"/>
      <c r="Y7" s="1376">
        <f t="shared" ref="Y7:Y14" si="1">+K7+W7</f>
        <v>24588.161999999997</v>
      </c>
      <c r="Z7" s="5658"/>
      <c r="AA7" s="279">
        <v>4557.4619999999995</v>
      </c>
      <c r="AB7" s="279"/>
      <c r="AC7" s="1542">
        <f>+Y7+AA7</f>
        <v>29145.623999999996</v>
      </c>
      <c r="AD7" s="5650"/>
      <c r="AE7" s="279"/>
      <c r="AF7" s="279"/>
      <c r="AG7" s="1542">
        <f>+AC7+AE7</f>
        <v>29145.623999999996</v>
      </c>
      <c r="AH7" s="5650"/>
      <c r="AI7" s="279">
        <v>1030</v>
      </c>
      <c r="AJ7" s="2035"/>
      <c r="AK7" s="1516">
        <f t="shared" ref="AK7:AK14" si="2">+AA7+AE7+AI7</f>
        <v>5587.4619999999995</v>
      </c>
      <c r="AL7" s="5655"/>
      <c r="AM7" s="1542">
        <f>+AG7+AI7</f>
        <v>30175.623999999996</v>
      </c>
      <c r="AN7" s="5650"/>
      <c r="AO7" s="279">
        <v>4890</v>
      </c>
      <c r="AP7" s="279"/>
      <c r="AQ7" s="1542">
        <f>AM7+AO7</f>
        <v>35065.623999999996</v>
      </c>
      <c r="AR7" s="5650"/>
      <c r="AS7" s="279">
        <v>1151.9090000000001</v>
      </c>
      <c r="AT7" s="279"/>
      <c r="AU7" s="1542">
        <f>AQ7+AS7</f>
        <v>36217.532999999996</v>
      </c>
      <c r="AV7" s="5650"/>
      <c r="AW7" s="279"/>
      <c r="AX7" s="2035"/>
      <c r="AY7" s="1516">
        <f t="shared" ref="AY7:AY14" si="3">+AO7+AS7+AW7</f>
        <v>6041.9089999999997</v>
      </c>
      <c r="AZ7" s="5149"/>
      <c r="BA7" s="1376">
        <f>+AK7+AY7</f>
        <v>11629.370999999999</v>
      </c>
      <c r="BB7" s="5657"/>
      <c r="BC7" s="1542">
        <f t="shared" ref="BC7:BC16" si="4">AU7+AW7</f>
        <v>36217.532999999996</v>
      </c>
      <c r="BE7" s="26">
        <f>+BC7+BC8+BC9+BC10+BC11+BC13+BC14+BC15+BC16</f>
        <v>95690.271999999983</v>
      </c>
    </row>
    <row r="8" spans="1:57" ht="15.75" x14ac:dyDescent="0.25">
      <c r="A8" s="277" t="s">
        <v>1278</v>
      </c>
      <c r="B8" s="2023"/>
      <c r="C8" s="279">
        <v>2518.0739999999996</v>
      </c>
      <c r="D8" s="279"/>
      <c r="E8" s="279">
        <v>1078.0379999999998</v>
      </c>
      <c r="F8" s="1911"/>
      <c r="G8" s="1911">
        <f t="shared" ref="G8:G42" si="5">+C8+E8</f>
        <v>3596.1119999999992</v>
      </c>
      <c r="H8" s="1997"/>
      <c r="I8" s="279">
        <v>433.60199999999998</v>
      </c>
      <c r="J8" s="2039"/>
      <c r="K8" s="1516">
        <f t="shared" ref="K8:K14" si="6">+C8+E8+I8</f>
        <v>4029.713999999999</v>
      </c>
      <c r="L8" s="1997"/>
      <c r="M8" s="279"/>
      <c r="N8" s="2035"/>
      <c r="O8" s="2068">
        <f t="shared" ref="O8:O13" si="7">+C8+E8+I8+M8</f>
        <v>4029.713999999999</v>
      </c>
      <c r="P8" s="5645"/>
      <c r="Q8" s="279">
        <v>119.34</v>
      </c>
      <c r="R8" s="279"/>
      <c r="S8" s="1542">
        <f t="shared" ref="S8:S13" si="8">+O8+Q8</f>
        <v>4149.0539999999992</v>
      </c>
      <c r="T8" s="5650"/>
      <c r="U8" s="279">
        <v>1988.9999999999998</v>
      </c>
      <c r="V8" s="2035"/>
      <c r="W8" s="1516">
        <f t="shared" si="0"/>
        <v>2108.3399999999997</v>
      </c>
      <c r="X8" s="5655"/>
      <c r="Y8" s="1376">
        <f t="shared" si="1"/>
        <v>6138.0539999999983</v>
      </c>
      <c r="Z8" s="5658"/>
      <c r="AA8" s="279">
        <v>4749.7319999999991</v>
      </c>
      <c r="AB8" s="279"/>
      <c r="AC8" s="1542">
        <f t="shared" ref="AC8" si="9">+Y8+AA8</f>
        <v>10887.785999999996</v>
      </c>
      <c r="AD8" s="5650"/>
      <c r="AE8" s="279"/>
      <c r="AF8" s="279"/>
      <c r="AG8" s="1542">
        <f t="shared" ref="AG8" si="10">+AC8+AE8</f>
        <v>10887.785999999996</v>
      </c>
      <c r="AH8" s="5650"/>
      <c r="AI8" s="279">
        <v>5860</v>
      </c>
      <c r="AJ8" s="2035"/>
      <c r="AK8" s="1516">
        <f t="shared" si="2"/>
        <v>10609.732</v>
      </c>
      <c r="AL8" s="5655"/>
      <c r="AM8" s="1542">
        <f t="shared" ref="AM8" si="11">+AG8+AI8</f>
        <v>16747.785999999996</v>
      </c>
      <c r="AN8" s="5650"/>
      <c r="AO8" s="279">
        <v>4583</v>
      </c>
      <c r="AP8" s="279"/>
      <c r="AQ8" s="1542">
        <f t="shared" ref="AQ8:AQ16" si="12">AM8+AO8</f>
        <v>21330.785999999996</v>
      </c>
      <c r="AR8" s="5650"/>
      <c r="AS8" s="279">
        <v>2927.808</v>
      </c>
      <c r="AT8" s="279"/>
      <c r="AU8" s="1542">
        <f t="shared" ref="AU8:AU16" si="13">AQ8+AS8</f>
        <v>24258.593999999997</v>
      </c>
      <c r="AV8" s="5650"/>
      <c r="AW8" s="279">
        <v>2375</v>
      </c>
      <c r="AX8" s="2035"/>
      <c r="AY8" s="1516">
        <f t="shared" si="3"/>
        <v>9885.8080000000009</v>
      </c>
      <c r="AZ8" s="5149"/>
      <c r="BA8" s="1376">
        <f t="shared" ref="BA8:BA16" si="14">+AK8+AY8</f>
        <v>20495.54</v>
      </c>
      <c r="BB8" s="5657"/>
      <c r="BC8" s="1542">
        <f t="shared" si="4"/>
        <v>26633.593999999997</v>
      </c>
      <c r="BE8" s="26">
        <f>+BE7+'Direct sales IPT details'!AW14+1275</f>
        <v>101459.93199999999</v>
      </c>
    </row>
    <row r="9" spans="1:57" ht="15.75" x14ac:dyDescent="0.25">
      <c r="A9" s="277" t="s">
        <v>1323</v>
      </c>
      <c r="B9" s="2023"/>
      <c r="C9" s="279">
        <v>417.69</v>
      </c>
      <c r="D9" s="279"/>
      <c r="E9" s="279"/>
      <c r="F9" s="1911"/>
      <c r="G9" s="1911">
        <f>+C9+E9</f>
        <v>417.69</v>
      </c>
      <c r="H9" s="1997"/>
      <c r="I9" s="279"/>
      <c r="J9" s="2039"/>
      <c r="K9" s="1516">
        <f t="shared" si="6"/>
        <v>417.69</v>
      </c>
      <c r="L9" s="1997"/>
      <c r="M9" s="279"/>
      <c r="N9" s="2035"/>
      <c r="O9" s="2068">
        <f>+C9+E9+I9+M9</f>
        <v>417.69</v>
      </c>
      <c r="P9" s="5645"/>
      <c r="Q9" s="279">
        <v>250.614</v>
      </c>
      <c r="R9" s="279"/>
      <c r="S9" s="1542">
        <f>+O9+Q9</f>
        <v>668.30399999999997</v>
      </c>
      <c r="T9" s="5650"/>
      <c r="U9" s="279"/>
      <c r="V9" s="2035"/>
      <c r="W9" s="1516">
        <f t="shared" si="0"/>
        <v>250.614</v>
      </c>
      <c r="X9" s="5655"/>
      <c r="Y9" s="1376">
        <f t="shared" si="1"/>
        <v>668.30399999999997</v>
      </c>
      <c r="Z9" s="5658"/>
      <c r="AA9" s="279"/>
      <c r="AB9" s="279"/>
      <c r="AC9" s="1542">
        <f>+Y9+AA9</f>
        <v>668.30399999999997</v>
      </c>
      <c r="AD9" s="5650"/>
      <c r="AE9" s="279"/>
      <c r="AF9" s="279"/>
      <c r="AG9" s="1542">
        <f>+AC9+AE9</f>
        <v>668.30399999999997</v>
      </c>
      <c r="AH9" s="5650"/>
      <c r="AI9" s="279">
        <v>32</v>
      </c>
      <c r="AJ9" s="2035"/>
      <c r="AK9" s="1516">
        <f t="shared" si="2"/>
        <v>32</v>
      </c>
      <c r="AL9" s="5655"/>
      <c r="AM9" s="1542">
        <f>+AG9+AI9</f>
        <v>700.30399999999997</v>
      </c>
      <c r="AN9" s="5650"/>
      <c r="AO9" s="279"/>
      <c r="AP9" s="279"/>
      <c r="AQ9" s="1542">
        <f t="shared" si="12"/>
        <v>700.30399999999997</v>
      </c>
      <c r="AR9" s="5650"/>
      <c r="AS9" s="279"/>
      <c r="AT9" s="279"/>
      <c r="AU9" s="1542">
        <f t="shared" si="13"/>
        <v>700.30399999999997</v>
      </c>
      <c r="AV9" s="5650"/>
      <c r="AW9" s="279"/>
      <c r="AX9" s="2035"/>
      <c r="AY9" s="1516">
        <f t="shared" si="3"/>
        <v>0</v>
      </c>
      <c r="AZ9" s="5149"/>
      <c r="BA9" s="1376">
        <f t="shared" si="14"/>
        <v>32</v>
      </c>
      <c r="BB9" s="5657"/>
      <c r="BC9" s="1542">
        <f t="shared" si="4"/>
        <v>700.30399999999997</v>
      </c>
      <c r="BE9" s="26">
        <f>+BE8+SMS!BF42</f>
        <v>101827.93199999999</v>
      </c>
    </row>
    <row r="10" spans="1:57" ht="15.75" x14ac:dyDescent="0.25">
      <c r="A10" s="277" t="s">
        <v>1708</v>
      </c>
      <c r="B10" s="2023"/>
      <c r="C10" s="279"/>
      <c r="D10" s="279"/>
      <c r="E10" s="279"/>
      <c r="F10" s="279"/>
      <c r="G10" s="279">
        <f>+C10+E10</f>
        <v>0</v>
      </c>
      <c r="H10" s="279"/>
      <c r="I10" s="279"/>
      <c r="J10" s="2035"/>
      <c r="K10" s="1516">
        <f t="shared" si="6"/>
        <v>0</v>
      </c>
      <c r="L10" s="279"/>
      <c r="M10" s="279">
        <v>1284.8940000000002</v>
      </c>
      <c r="N10" s="2035"/>
      <c r="O10" s="2068">
        <f>+C10+E10+I10+M10</f>
        <v>1284.8940000000002</v>
      </c>
      <c r="P10" s="5645"/>
      <c r="Q10" s="279"/>
      <c r="R10" s="279"/>
      <c r="S10" s="1542">
        <f>+O10+Q10</f>
        <v>1284.8940000000002</v>
      </c>
      <c r="T10" s="5650"/>
      <c r="U10" s="279">
        <v>783.66600000000005</v>
      </c>
      <c r="V10" s="2035"/>
      <c r="W10" s="1516">
        <f t="shared" si="0"/>
        <v>2068.5600000000004</v>
      </c>
      <c r="X10" s="5655"/>
      <c r="Y10" s="1376">
        <f t="shared" si="1"/>
        <v>2068.5600000000004</v>
      </c>
      <c r="Z10" s="5658"/>
      <c r="AA10" s="279"/>
      <c r="AB10" s="279"/>
      <c r="AC10" s="1542">
        <f>+Y10+AA10</f>
        <v>2068.5600000000004</v>
      </c>
      <c r="AD10" s="5650"/>
      <c r="AE10" s="279"/>
      <c r="AF10" s="279"/>
      <c r="AG10" s="1542">
        <f>+AC10+AE10</f>
        <v>2068.5600000000004</v>
      </c>
      <c r="AH10" s="5650"/>
      <c r="AI10" s="279"/>
      <c r="AJ10" s="2035"/>
      <c r="AK10" s="1516">
        <f t="shared" si="2"/>
        <v>0</v>
      </c>
      <c r="AL10" s="5655"/>
      <c r="AM10" s="1542">
        <f>+AG10+AI10</f>
        <v>2068.5600000000004</v>
      </c>
      <c r="AN10" s="5650"/>
      <c r="AO10" s="279"/>
      <c r="AP10" s="279"/>
      <c r="AQ10" s="1542">
        <f t="shared" si="12"/>
        <v>2068.5600000000004</v>
      </c>
      <c r="AR10" s="5650"/>
      <c r="AS10" s="279"/>
      <c r="AT10" s="279"/>
      <c r="AU10" s="1542">
        <f t="shared" si="13"/>
        <v>2068.5600000000004</v>
      </c>
      <c r="AV10" s="5650"/>
      <c r="AW10" s="279"/>
      <c r="AX10" s="2035"/>
      <c r="AY10" s="1516">
        <f t="shared" si="3"/>
        <v>0</v>
      </c>
      <c r="AZ10" s="5149"/>
      <c r="BA10" s="1376">
        <f t="shared" si="14"/>
        <v>0</v>
      </c>
      <c r="BB10" s="5657"/>
      <c r="BC10" s="1542">
        <f t="shared" si="4"/>
        <v>2068.5600000000004</v>
      </c>
    </row>
    <row r="11" spans="1:57" ht="15.75" x14ac:dyDescent="0.25">
      <c r="A11" s="277" t="s">
        <v>1279</v>
      </c>
      <c r="B11" s="2023"/>
      <c r="C11" s="279">
        <v>3081.7999999999993</v>
      </c>
      <c r="D11" s="279"/>
      <c r="E11" s="279">
        <v>1388.3219999999999</v>
      </c>
      <c r="F11" s="1911"/>
      <c r="G11" s="1911">
        <f t="shared" si="5"/>
        <v>4470.1219999999994</v>
      </c>
      <c r="H11" s="1997"/>
      <c r="I11" s="279">
        <v>7329.6860000000006</v>
      </c>
      <c r="J11" s="2039"/>
      <c r="K11" s="1516">
        <f t="shared" si="6"/>
        <v>11799.808000000001</v>
      </c>
      <c r="L11" s="1997"/>
      <c r="M11" s="279">
        <v>5529.4199999999973</v>
      </c>
      <c r="N11" s="2035"/>
      <c r="O11" s="2068">
        <f t="shared" si="7"/>
        <v>17329.227999999999</v>
      </c>
      <c r="P11" s="5645"/>
      <c r="Q11" s="279">
        <v>720.01800000000014</v>
      </c>
      <c r="R11" s="279"/>
      <c r="S11" s="1542">
        <f t="shared" si="8"/>
        <v>18049.245999999999</v>
      </c>
      <c r="T11" s="5650"/>
      <c r="U11" s="279">
        <v>429.62400000000002</v>
      </c>
      <c r="V11" s="2035"/>
      <c r="W11" s="1516">
        <f t="shared" si="0"/>
        <v>6679.0619999999972</v>
      </c>
      <c r="X11" s="5655"/>
      <c r="Y11" s="1376">
        <f t="shared" si="1"/>
        <v>18478.87</v>
      </c>
      <c r="Z11" s="5658"/>
      <c r="AA11" s="279">
        <v>2442.4919999999997</v>
      </c>
      <c r="AB11" s="279"/>
      <c r="AC11" s="1542">
        <f t="shared" ref="AC11:AC14" si="15">+Y11+AA11</f>
        <v>20921.361999999997</v>
      </c>
      <c r="AD11" s="5650"/>
      <c r="AE11" s="279"/>
      <c r="AF11" s="279"/>
      <c r="AG11" s="1542">
        <f t="shared" ref="AG11:AG14" si="16">+AC11+AE11</f>
        <v>20921.361999999997</v>
      </c>
      <c r="AH11" s="5650"/>
      <c r="AI11" s="279">
        <v>1035</v>
      </c>
      <c r="AJ11" s="2035"/>
      <c r="AK11" s="1516">
        <f t="shared" si="2"/>
        <v>3477.4919999999997</v>
      </c>
      <c r="AL11" s="5655"/>
      <c r="AM11" s="1542">
        <f t="shared" ref="AM11:AM14" si="17">+AG11+AI11</f>
        <v>21956.361999999997</v>
      </c>
      <c r="AN11" s="5650"/>
      <c r="AO11" s="279">
        <v>2001</v>
      </c>
      <c r="AP11" s="279"/>
      <c r="AQ11" s="1542">
        <f t="shared" si="12"/>
        <v>23957.361999999997</v>
      </c>
      <c r="AR11" s="5650"/>
      <c r="AS11" s="279">
        <v>433.60200000000003</v>
      </c>
      <c r="AT11" s="279"/>
      <c r="AU11" s="1542">
        <f t="shared" si="13"/>
        <v>24390.963999999996</v>
      </c>
      <c r="AV11" s="5650"/>
      <c r="AW11" s="279"/>
      <c r="AX11" s="2035"/>
      <c r="AY11" s="1516">
        <f t="shared" si="3"/>
        <v>2434.6019999999999</v>
      </c>
      <c r="AZ11" s="5149"/>
      <c r="BA11" s="1376">
        <f t="shared" si="14"/>
        <v>5912.0939999999991</v>
      </c>
      <c r="BB11" s="5657"/>
      <c r="BC11" s="1542">
        <f t="shared" si="4"/>
        <v>24390.963999999996</v>
      </c>
    </row>
    <row r="12" spans="1:57" ht="15.75" x14ac:dyDescent="0.25">
      <c r="A12" s="277" t="s">
        <v>1392</v>
      </c>
      <c r="B12" s="2023"/>
      <c r="C12" s="279"/>
      <c r="D12" s="279"/>
      <c r="E12" s="278"/>
      <c r="F12" s="278"/>
      <c r="G12" s="278">
        <f t="shared" si="5"/>
        <v>0</v>
      </c>
      <c r="H12" s="278"/>
      <c r="I12" s="278"/>
      <c r="J12" s="847"/>
      <c r="K12" s="1516">
        <f t="shared" si="6"/>
        <v>0</v>
      </c>
      <c r="L12" s="278"/>
      <c r="M12" s="278">
        <v>1514.8320000000003</v>
      </c>
      <c r="N12" s="5644"/>
      <c r="O12" s="2068">
        <f t="shared" si="7"/>
        <v>1514.8320000000003</v>
      </c>
      <c r="P12" s="5646"/>
      <c r="Q12" s="278"/>
      <c r="R12" s="5649"/>
      <c r="S12" s="1542">
        <f t="shared" si="8"/>
        <v>1514.8320000000003</v>
      </c>
      <c r="T12" s="5651"/>
      <c r="U12" s="278">
        <v>626.952</v>
      </c>
      <c r="V12" s="5644"/>
      <c r="W12" s="1516">
        <f t="shared" si="0"/>
        <v>2141.7840000000006</v>
      </c>
      <c r="X12" s="5655"/>
      <c r="Y12" s="1376">
        <f t="shared" si="1"/>
        <v>2141.7840000000006</v>
      </c>
      <c r="Z12" s="5657"/>
      <c r="AA12" s="278"/>
      <c r="AB12" s="5649"/>
      <c r="AC12" s="1542">
        <f t="shared" si="15"/>
        <v>2141.7840000000006</v>
      </c>
      <c r="AD12" s="5651"/>
      <c r="AE12" s="278"/>
      <c r="AF12" s="5649"/>
      <c r="AG12" s="1542">
        <f t="shared" si="16"/>
        <v>2141.7840000000006</v>
      </c>
      <c r="AH12" s="5651"/>
      <c r="AI12" s="278">
        <v>1512</v>
      </c>
      <c r="AJ12" s="5644"/>
      <c r="AK12" s="1516">
        <f t="shared" si="2"/>
        <v>1512</v>
      </c>
      <c r="AL12" s="5655"/>
      <c r="AM12" s="1542">
        <f t="shared" si="17"/>
        <v>3653.7840000000006</v>
      </c>
      <c r="AN12" s="5651"/>
      <c r="AO12" s="278"/>
      <c r="AP12" s="5649"/>
      <c r="AQ12" s="1542">
        <f t="shared" si="12"/>
        <v>3653.7840000000006</v>
      </c>
      <c r="AR12" s="5651"/>
      <c r="AS12" s="278"/>
      <c r="AT12" s="5649"/>
      <c r="AU12" s="1542">
        <f t="shared" si="13"/>
        <v>3653.7840000000006</v>
      </c>
      <c r="AV12" s="5651"/>
      <c r="AW12" s="278"/>
      <c r="AX12" s="847"/>
      <c r="AY12" s="1516">
        <f t="shared" si="3"/>
        <v>0</v>
      </c>
      <c r="AZ12" s="5149"/>
      <c r="BA12" s="1376">
        <f t="shared" si="14"/>
        <v>1512</v>
      </c>
      <c r="BB12" s="5657"/>
      <c r="BC12" s="1542">
        <f t="shared" si="4"/>
        <v>3653.7840000000006</v>
      </c>
    </row>
    <row r="13" spans="1:57" ht="15.75" customHeight="1" x14ac:dyDescent="0.25">
      <c r="A13" s="277" t="s">
        <v>1490</v>
      </c>
      <c r="B13" s="2023"/>
      <c r="C13" s="279">
        <v>103.428</v>
      </c>
      <c r="D13" s="279"/>
      <c r="E13" s="279"/>
      <c r="F13" s="279"/>
      <c r="G13" s="279">
        <f t="shared" si="5"/>
        <v>103.428</v>
      </c>
      <c r="H13" s="279"/>
      <c r="I13" s="279"/>
      <c r="J13" s="2035"/>
      <c r="K13" s="1516">
        <f t="shared" si="6"/>
        <v>103.428</v>
      </c>
      <c r="L13" s="279"/>
      <c r="M13" s="279"/>
      <c r="N13" s="2035"/>
      <c r="O13" s="2068">
        <f t="shared" si="7"/>
        <v>103.428</v>
      </c>
      <c r="P13" s="5645"/>
      <c r="Q13" s="279">
        <v>246.636</v>
      </c>
      <c r="R13" s="279"/>
      <c r="S13" s="1542">
        <f t="shared" si="8"/>
        <v>350.06399999999996</v>
      </c>
      <c r="T13" s="5650"/>
      <c r="U13" s="279"/>
      <c r="V13" s="2035"/>
      <c r="W13" s="1516">
        <f t="shared" si="0"/>
        <v>246.636</v>
      </c>
      <c r="X13" s="5655"/>
      <c r="Y13" s="1376">
        <f t="shared" si="1"/>
        <v>350.06399999999996</v>
      </c>
      <c r="Z13" s="5658"/>
      <c r="AA13" s="279"/>
      <c r="AB13" s="279"/>
      <c r="AC13" s="1542">
        <f t="shared" si="15"/>
        <v>350.06399999999996</v>
      </c>
      <c r="AD13" s="5650"/>
      <c r="AE13" s="279"/>
      <c r="AF13" s="279"/>
      <c r="AG13" s="1542">
        <f t="shared" si="16"/>
        <v>350.06399999999996</v>
      </c>
      <c r="AH13" s="5650"/>
      <c r="AI13" s="279"/>
      <c r="AJ13" s="2035"/>
      <c r="AK13" s="1516">
        <f t="shared" si="2"/>
        <v>0</v>
      </c>
      <c r="AL13" s="5655"/>
      <c r="AM13" s="1542">
        <f t="shared" si="17"/>
        <v>350.06399999999996</v>
      </c>
      <c r="AN13" s="5650"/>
      <c r="AO13" s="279"/>
      <c r="AP13" s="279"/>
      <c r="AQ13" s="1542">
        <f t="shared" si="12"/>
        <v>350.06399999999996</v>
      </c>
      <c r="AR13" s="5650"/>
      <c r="AS13" s="279"/>
      <c r="AT13" s="279"/>
      <c r="AU13" s="1542">
        <f t="shared" si="13"/>
        <v>350.06399999999996</v>
      </c>
      <c r="AV13" s="5650"/>
      <c r="AW13" s="279"/>
      <c r="AX13" s="2035"/>
      <c r="AY13" s="1516">
        <f t="shared" si="3"/>
        <v>0</v>
      </c>
      <c r="AZ13" s="5149"/>
      <c r="BA13" s="1376">
        <f t="shared" si="14"/>
        <v>0</v>
      </c>
      <c r="BB13" s="5657"/>
      <c r="BC13" s="1542">
        <f t="shared" si="4"/>
        <v>350.06399999999996</v>
      </c>
    </row>
    <row r="14" spans="1:57" ht="15.75" customHeight="1" x14ac:dyDescent="0.25">
      <c r="A14" s="277" t="s">
        <v>1810</v>
      </c>
      <c r="B14" s="2023"/>
      <c r="C14" s="279"/>
      <c r="D14" s="279"/>
      <c r="E14" s="279"/>
      <c r="F14" s="279"/>
      <c r="G14" s="279"/>
      <c r="H14" s="279"/>
      <c r="I14" s="279"/>
      <c r="J14" s="2035"/>
      <c r="K14" s="1516">
        <f t="shared" si="6"/>
        <v>0</v>
      </c>
      <c r="L14" s="279"/>
      <c r="M14" s="279"/>
      <c r="N14" s="2035"/>
      <c r="O14" s="2068"/>
      <c r="P14" s="5645"/>
      <c r="Q14" s="279"/>
      <c r="R14" s="279"/>
      <c r="S14" s="1542"/>
      <c r="T14" s="5650"/>
      <c r="U14" s="279">
        <v>735.93000000000006</v>
      </c>
      <c r="V14" s="2035"/>
      <c r="W14" s="1516">
        <f t="shared" si="0"/>
        <v>735.93000000000006</v>
      </c>
      <c r="X14" s="5655"/>
      <c r="Y14" s="1376">
        <f t="shared" si="1"/>
        <v>735.93000000000006</v>
      </c>
      <c r="Z14" s="5658"/>
      <c r="AA14" s="279"/>
      <c r="AB14" s="279"/>
      <c r="AC14" s="1542">
        <f t="shared" si="15"/>
        <v>735.93000000000006</v>
      </c>
      <c r="AD14" s="5650"/>
      <c r="AE14" s="279"/>
      <c r="AF14" s="279"/>
      <c r="AG14" s="1542">
        <f t="shared" si="16"/>
        <v>735.93000000000006</v>
      </c>
      <c r="AH14" s="5650"/>
      <c r="AI14" s="279">
        <v>306</v>
      </c>
      <c r="AJ14" s="2035"/>
      <c r="AK14" s="1516">
        <f t="shared" si="2"/>
        <v>306</v>
      </c>
      <c r="AL14" s="5655"/>
      <c r="AM14" s="1542">
        <f t="shared" si="17"/>
        <v>1041.93</v>
      </c>
      <c r="AN14" s="5650"/>
      <c r="AO14" s="279"/>
      <c r="AP14" s="279"/>
      <c r="AQ14" s="1542">
        <f t="shared" si="12"/>
        <v>1041.93</v>
      </c>
      <c r="AR14" s="5650"/>
      <c r="AS14" s="279"/>
      <c r="AT14" s="279"/>
      <c r="AU14" s="1542">
        <f t="shared" si="13"/>
        <v>1041.93</v>
      </c>
      <c r="AV14" s="5650"/>
      <c r="AW14" s="279"/>
      <c r="AX14" s="2035"/>
      <c r="AY14" s="1516">
        <f t="shared" si="3"/>
        <v>0</v>
      </c>
      <c r="AZ14" s="5149"/>
      <c r="BA14" s="1376">
        <f t="shared" si="14"/>
        <v>306</v>
      </c>
      <c r="BB14" s="5657"/>
      <c r="BC14" s="1542">
        <f t="shared" si="4"/>
        <v>1041.93</v>
      </c>
    </row>
    <row r="15" spans="1:57" ht="15.75" customHeight="1" x14ac:dyDescent="0.25">
      <c r="A15" s="2424" t="s">
        <v>1276</v>
      </c>
      <c r="B15" s="2425"/>
      <c r="C15" s="2355">
        <v>622.94400000000007</v>
      </c>
      <c r="D15" s="2355"/>
      <c r="E15" s="2355">
        <v>103.60400000000001</v>
      </c>
      <c r="F15" s="2355"/>
      <c r="G15" s="2355">
        <f>+C15+E15</f>
        <v>726.54800000000012</v>
      </c>
      <c r="H15" s="2355"/>
      <c r="I15" s="2355">
        <v>482.44300000000004</v>
      </c>
      <c r="J15" s="2514"/>
      <c r="K15" s="2515">
        <f>+C15+E15+I15</f>
        <v>1208.9910000000002</v>
      </c>
      <c r="L15" s="2355"/>
      <c r="M15" s="2355">
        <v>379.89900000000006</v>
      </c>
      <c r="N15" s="2514"/>
      <c r="O15" s="2515">
        <f>+C15+E15+I15+M15</f>
        <v>1588.8900000000003</v>
      </c>
      <c r="P15" s="5647"/>
      <c r="Q15" s="2355">
        <v>115.36199999999999</v>
      </c>
      <c r="R15" s="2355"/>
      <c r="S15" s="2516">
        <f>+O15+Q15</f>
        <v>1704.2520000000004</v>
      </c>
      <c r="T15" s="5652"/>
      <c r="U15" s="2355">
        <v>200.13600000000005</v>
      </c>
      <c r="V15" s="2514"/>
      <c r="W15" s="2515">
        <f>+M15+Q15+U15</f>
        <v>695.39700000000016</v>
      </c>
      <c r="X15" s="5656"/>
      <c r="Y15" s="2516">
        <f>+K15+W15</f>
        <v>1904.3880000000004</v>
      </c>
      <c r="Z15" s="5652"/>
      <c r="AA15" s="2355">
        <v>271.83000000000004</v>
      </c>
      <c r="AB15" s="2355"/>
      <c r="AC15" s="2516">
        <f>+Y15+AA15</f>
        <v>2176.2180000000003</v>
      </c>
      <c r="AD15" s="5652"/>
      <c r="AE15" s="2355"/>
      <c r="AF15" s="2355"/>
      <c r="AG15" s="2516">
        <f>+AC15+AE15</f>
        <v>2176.2180000000003</v>
      </c>
      <c r="AH15" s="5652"/>
      <c r="AI15" s="2355">
        <v>304</v>
      </c>
      <c r="AJ15" s="2514"/>
      <c r="AK15" s="2515">
        <f>+AA15+AE15+AI15</f>
        <v>575.83000000000004</v>
      </c>
      <c r="AL15" s="5656"/>
      <c r="AM15" s="2516">
        <f>+AG15+AI15</f>
        <v>2480.2180000000003</v>
      </c>
      <c r="AN15" s="5652"/>
      <c r="AO15" s="2355">
        <v>571</v>
      </c>
      <c r="AP15" s="2355"/>
      <c r="AQ15" s="2355">
        <f t="shared" si="12"/>
        <v>3051.2180000000003</v>
      </c>
      <c r="AR15" s="2355"/>
      <c r="AS15" s="2355">
        <v>255.214</v>
      </c>
      <c r="AT15" s="2355"/>
      <c r="AU15" s="2355">
        <f t="shared" si="13"/>
        <v>3306.4320000000002</v>
      </c>
      <c r="AV15" s="2355"/>
      <c r="AW15" s="2355">
        <v>32</v>
      </c>
      <c r="AX15" s="2514"/>
      <c r="AY15" s="2515">
        <f>+AO15+AS15+AW15</f>
        <v>858.21399999999994</v>
      </c>
      <c r="AZ15" s="5150"/>
      <c r="BA15" s="2515">
        <f>+AK15+AY15</f>
        <v>1434.0439999999999</v>
      </c>
      <c r="BB15" s="5647"/>
      <c r="BC15" s="2355">
        <f t="shared" si="4"/>
        <v>3338.4320000000002</v>
      </c>
    </row>
    <row r="16" spans="1:57" ht="15.75" customHeight="1" thickBot="1" x14ac:dyDescent="0.3">
      <c r="A16" s="2424" t="s">
        <v>1989</v>
      </c>
      <c r="B16" s="2425"/>
      <c r="C16" s="2355">
        <v>368.08800000000002</v>
      </c>
      <c r="D16" s="2355"/>
      <c r="E16" s="2355">
        <v>112.39600000000002</v>
      </c>
      <c r="F16" s="2355"/>
      <c r="G16" s="2355">
        <f>+C16+E16</f>
        <v>480.48400000000004</v>
      </c>
      <c r="H16" s="2355"/>
      <c r="I16" s="2355">
        <v>85.527000000000015</v>
      </c>
      <c r="J16" s="2514"/>
      <c r="K16" s="2515">
        <f>+C16+E16+I16</f>
        <v>566.01100000000008</v>
      </c>
      <c r="L16" s="2355"/>
      <c r="M16" s="2355">
        <v>33.105000000000004</v>
      </c>
      <c r="N16" s="2514"/>
      <c r="O16" s="2515">
        <f>+C16+E16+I16+M16</f>
        <v>599.1160000000001</v>
      </c>
      <c r="P16" s="5647"/>
      <c r="Q16" s="2355">
        <v>23.868000000000002</v>
      </c>
      <c r="R16" s="2355"/>
      <c r="S16" s="2516">
        <f>+O16+Q16</f>
        <v>622.98400000000015</v>
      </c>
      <c r="T16" s="5652"/>
      <c r="U16" s="2355">
        <v>65.637</v>
      </c>
      <c r="V16" s="2514"/>
      <c r="W16" s="2515">
        <f>+M16+Q16+U16</f>
        <v>122.61000000000001</v>
      </c>
      <c r="X16" s="5656"/>
      <c r="Y16" s="2516">
        <f>+K16+W16</f>
        <v>688.62100000000009</v>
      </c>
      <c r="Z16" s="5652"/>
      <c r="AA16" s="2355">
        <v>57.018000000000008</v>
      </c>
      <c r="AB16" s="2355"/>
      <c r="AC16" s="2516">
        <f>+Y16+AA16</f>
        <v>745.63900000000012</v>
      </c>
      <c r="AD16" s="5652"/>
      <c r="AE16" s="2355"/>
      <c r="AF16" s="2355"/>
      <c r="AG16" s="2516">
        <f>+AC16+AE16</f>
        <v>745.63900000000012</v>
      </c>
      <c r="AH16" s="5652"/>
      <c r="AI16" s="2355">
        <v>63</v>
      </c>
      <c r="AJ16" s="2514"/>
      <c r="AK16" s="2515">
        <f>+AA16+AE16+AI16</f>
        <v>120.018</v>
      </c>
      <c r="AL16" s="5656"/>
      <c r="AM16" s="2516">
        <f>+AG16+AI16</f>
        <v>808.63900000000012</v>
      </c>
      <c r="AN16" s="5652"/>
      <c r="AO16" s="2355">
        <v>53</v>
      </c>
      <c r="AP16" s="2355"/>
      <c r="AQ16" s="2355">
        <f t="shared" si="12"/>
        <v>861.63900000000012</v>
      </c>
      <c r="AR16" s="2355"/>
      <c r="AS16" s="2355">
        <v>39.252000000000002</v>
      </c>
      <c r="AT16" s="2355"/>
      <c r="AU16" s="2355">
        <f t="shared" si="13"/>
        <v>900.89100000000008</v>
      </c>
      <c r="AV16" s="2355"/>
      <c r="AW16" s="2355">
        <v>48</v>
      </c>
      <c r="AX16" s="2514"/>
      <c r="AY16" s="2515">
        <f>+AO16+AS16+AW16</f>
        <v>140.25200000000001</v>
      </c>
      <c r="AZ16" s="5150"/>
      <c r="BA16" s="2515">
        <f t="shared" si="14"/>
        <v>260.27</v>
      </c>
      <c r="BB16" s="5647"/>
      <c r="BC16" s="2355">
        <f t="shared" si="4"/>
        <v>948.89100000000008</v>
      </c>
    </row>
    <row r="17" spans="1:55" ht="21" thickBot="1" x14ac:dyDescent="0.3">
      <c r="A17" s="290" t="s">
        <v>675</v>
      </c>
      <c r="B17" s="2024"/>
      <c r="C17" s="291">
        <f>SUM(C7:C16)</f>
        <v>12443.553999999998</v>
      </c>
      <c r="D17" s="291"/>
      <c r="E17" s="291">
        <f>SUM(E7:E16)</f>
        <v>4474.9089999999997</v>
      </c>
      <c r="F17" s="291"/>
      <c r="G17" s="291">
        <f>SUM(G7:G16)</f>
        <v>16918.463</v>
      </c>
      <c r="H17" s="291"/>
      <c r="I17" s="291">
        <f>SUM(I7:I16)</f>
        <v>16183.83</v>
      </c>
      <c r="J17" s="291"/>
      <c r="K17" s="291">
        <f>SUM(K7:K16)</f>
        <v>33102.292999999998</v>
      </c>
      <c r="L17" s="291"/>
      <c r="M17" s="291">
        <f t="shared" ref="M17:Y17" si="18">SUM(M7:M16)</f>
        <v>13527.020999999997</v>
      </c>
      <c r="N17" s="291"/>
      <c r="O17" s="291">
        <f t="shared" si="18"/>
        <v>46629.313999999998</v>
      </c>
      <c r="P17" s="291"/>
      <c r="Q17" s="291">
        <f t="shared" si="18"/>
        <v>1475.8380000000002</v>
      </c>
      <c r="R17" s="291"/>
      <c r="S17" s="291">
        <f t="shared" si="18"/>
        <v>48105.151999999995</v>
      </c>
      <c r="T17" s="291"/>
      <c r="U17" s="291">
        <f t="shared" ref="U17" si="19">SUM(U7:U16)</f>
        <v>9657.5850000000009</v>
      </c>
      <c r="V17" s="291"/>
      <c r="W17" s="291">
        <f t="shared" si="18"/>
        <v>24660.443999999996</v>
      </c>
      <c r="X17" s="291"/>
      <c r="Y17" s="291">
        <f t="shared" si="18"/>
        <v>57762.736999999994</v>
      </c>
      <c r="Z17" s="291"/>
      <c r="AA17" s="291">
        <f t="shared" ref="AA17:AC17" si="20">SUM(AA7:AA16)</f>
        <v>12078.534</v>
      </c>
      <c r="AB17" s="291"/>
      <c r="AC17" s="291">
        <f t="shared" si="20"/>
        <v>69841.270999999964</v>
      </c>
      <c r="AD17" s="291"/>
      <c r="AE17" s="291">
        <f t="shared" ref="AE17:AG17" si="21">SUM(AE7:AE16)</f>
        <v>0</v>
      </c>
      <c r="AF17" s="291"/>
      <c r="AG17" s="291">
        <f t="shared" si="21"/>
        <v>69841.270999999964</v>
      </c>
      <c r="AH17" s="291"/>
      <c r="AI17" s="291">
        <f t="shared" ref="AI17:AM17" si="22">SUM(AI7:AI16)</f>
        <v>10142</v>
      </c>
      <c r="AJ17" s="291"/>
      <c r="AK17" s="291">
        <f t="shared" si="22"/>
        <v>22220.534</v>
      </c>
      <c r="AL17" s="291"/>
      <c r="AM17" s="291">
        <f t="shared" si="22"/>
        <v>79983.270999999964</v>
      </c>
      <c r="AN17" s="291"/>
      <c r="AO17" s="291">
        <f t="shared" ref="AO17:AQ17" si="23">SUM(AO7:AO16)</f>
        <v>12098</v>
      </c>
      <c r="AP17" s="291"/>
      <c r="AQ17" s="291">
        <f t="shared" si="23"/>
        <v>92081.270999999964</v>
      </c>
      <c r="AR17" s="291"/>
      <c r="AS17" s="291">
        <f t="shared" ref="AS17:AU17" si="24">SUM(AS7:AS16)</f>
        <v>4807.7850000000008</v>
      </c>
      <c r="AT17" s="291"/>
      <c r="AU17" s="291">
        <f t="shared" si="24"/>
        <v>96889.055999999982</v>
      </c>
      <c r="AV17" s="291"/>
      <c r="AW17" s="291">
        <f t="shared" ref="AW17:BC17" si="25">SUM(AW7:AW16)</f>
        <v>2455</v>
      </c>
      <c r="AX17" s="291"/>
      <c r="AY17" s="291">
        <f t="shared" si="25"/>
        <v>19360.785</v>
      </c>
      <c r="AZ17" s="291"/>
      <c r="BA17" s="291">
        <f t="shared" si="25"/>
        <v>41581.318999999996</v>
      </c>
      <c r="BB17" s="291"/>
      <c r="BC17" s="291">
        <f t="shared" si="25"/>
        <v>99344.055999999982</v>
      </c>
    </row>
    <row r="18" spans="1:55" ht="15.75" thickBot="1" x14ac:dyDescent="0.3">
      <c r="A18" s="768"/>
      <c r="B18" s="768"/>
      <c r="C18" s="2388"/>
      <c r="D18" s="2388"/>
      <c r="E18" s="2388"/>
      <c r="F18" s="2388"/>
      <c r="G18" s="2388"/>
      <c r="H18" s="2388"/>
      <c r="I18" s="2388"/>
      <c r="J18" s="2388"/>
      <c r="K18" s="2388"/>
      <c r="L18" s="768"/>
      <c r="M18" s="2388"/>
      <c r="N18" s="2388"/>
      <c r="O18" s="768"/>
      <c r="P18" s="768"/>
      <c r="Q18" s="2388"/>
      <c r="R18" s="2388"/>
      <c r="S18" s="2388"/>
      <c r="T18" s="2388"/>
      <c r="U18" s="2388"/>
      <c r="V18" s="2388"/>
      <c r="W18" s="2388"/>
      <c r="X18" s="2388"/>
      <c r="Y18" s="2388"/>
      <c r="Z18" s="2388"/>
      <c r="AA18" s="2388"/>
      <c r="AB18" s="2388"/>
      <c r="AC18" s="2388"/>
      <c r="AD18" s="2388"/>
      <c r="AE18" s="2388"/>
      <c r="AF18" s="2388"/>
      <c r="AG18" s="2388"/>
      <c r="AH18" s="2388"/>
      <c r="AI18" s="2388"/>
      <c r="AJ18" s="2388"/>
      <c r="AK18" s="2388"/>
      <c r="AL18" s="2388"/>
      <c r="AM18" s="2388"/>
      <c r="AN18" s="2388"/>
      <c r="AO18" s="2388"/>
      <c r="AP18" s="2388"/>
      <c r="AQ18" s="2388"/>
      <c r="AR18" s="2388"/>
      <c r="AS18" s="2388"/>
      <c r="AT18" s="2388"/>
      <c r="AU18" s="2388"/>
      <c r="AV18" s="2388"/>
      <c r="AW18" s="2388"/>
      <c r="AX18" s="2388"/>
      <c r="AY18" s="2388"/>
      <c r="AZ18" s="2388"/>
      <c r="BA18" s="2388"/>
      <c r="BB18" s="2388"/>
      <c r="BC18" s="2388"/>
    </row>
    <row r="19" spans="1:55" ht="21" thickBot="1" x14ac:dyDescent="0.3">
      <c r="A19" s="1904" t="s">
        <v>1128</v>
      </c>
      <c r="B19" s="2025"/>
      <c r="C19" s="1707"/>
      <c r="D19" s="1707"/>
      <c r="E19" s="1707"/>
      <c r="F19" s="1707"/>
      <c r="G19" s="1707"/>
      <c r="H19" s="1707"/>
      <c r="I19" s="1707"/>
      <c r="J19" s="2036"/>
      <c r="K19" s="1555"/>
      <c r="L19" s="1707"/>
      <c r="M19" s="1707"/>
      <c r="N19" s="2036"/>
      <c r="O19" s="1555"/>
      <c r="P19" s="5648"/>
      <c r="Q19" s="1707"/>
      <c r="R19" s="2036"/>
      <c r="S19" s="1553"/>
      <c r="T19" s="5648"/>
      <c r="U19" s="1707"/>
      <c r="V19" s="2036"/>
      <c r="W19" s="1555"/>
      <c r="X19" s="1553"/>
      <c r="Y19" s="1553"/>
      <c r="Z19" s="5648"/>
      <c r="AA19" s="1707"/>
      <c r="AB19" s="2036"/>
      <c r="AC19" s="1553"/>
      <c r="AD19" s="5648"/>
      <c r="AE19" s="1707"/>
      <c r="AF19" s="2036"/>
      <c r="AG19" s="1553"/>
      <c r="AH19" s="5648"/>
      <c r="AI19" s="1707"/>
      <c r="AJ19" s="2036"/>
      <c r="AK19" s="1555"/>
      <c r="AL19" s="1553"/>
      <c r="AM19" s="1553"/>
      <c r="AN19" s="5648"/>
      <c r="AO19" s="1707"/>
      <c r="AP19" s="2036"/>
      <c r="AQ19" s="1553"/>
      <c r="AR19" s="5648"/>
      <c r="AS19" s="1707"/>
      <c r="AT19" s="2036"/>
      <c r="AU19" s="1553"/>
      <c r="AV19" s="5648"/>
      <c r="AW19" s="1707"/>
      <c r="AX19" s="2036"/>
      <c r="AY19" s="1555"/>
      <c r="AZ19" s="1553"/>
      <c r="BA19" s="1553"/>
      <c r="BB19" s="1553"/>
      <c r="BC19" s="1553"/>
    </row>
    <row r="20" spans="1:55" ht="15.75" x14ac:dyDescent="0.25">
      <c r="A20" s="1711" t="s">
        <v>1393</v>
      </c>
      <c r="B20" s="1711"/>
      <c r="C20" s="278"/>
      <c r="D20" s="278"/>
      <c r="E20" s="278">
        <v>254.41000000000003</v>
      </c>
      <c r="F20" s="1911"/>
      <c r="G20" s="1911">
        <f t="shared" si="5"/>
        <v>254.41000000000003</v>
      </c>
      <c r="H20" s="1997"/>
      <c r="I20" s="278"/>
      <c r="J20" s="2039"/>
      <c r="K20" s="1516">
        <f t="shared" ref="K20:K22" si="26">+C20+E20+I20</f>
        <v>254.41000000000003</v>
      </c>
      <c r="L20" s="1997"/>
      <c r="M20" s="279"/>
      <c r="N20" s="2035"/>
      <c r="O20" s="2068">
        <f>+C20+E20+I20+M20</f>
        <v>254.41000000000003</v>
      </c>
      <c r="P20" s="5645"/>
      <c r="Q20" s="279"/>
      <c r="R20" s="1529"/>
      <c r="S20" s="318"/>
      <c r="T20" s="5653"/>
      <c r="U20" s="279"/>
      <c r="V20" s="314"/>
      <c r="W20" s="1540">
        <f>+M20+Q20+U20</f>
        <v>0</v>
      </c>
      <c r="X20" s="5151"/>
      <c r="Y20" s="1541">
        <f>+K20+W20</f>
        <v>254.41000000000003</v>
      </c>
      <c r="Z20" s="5659"/>
      <c r="AA20" s="279"/>
      <c r="AB20" s="1529"/>
      <c r="AC20" s="318">
        <f>+Y20+AA20</f>
        <v>254.41000000000003</v>
      </c>
      <c r="AD20" s="5653"/>
      <c r="AE20" s="279"/>
      <c r="AF20" s="1529"/>
      <c r="AG20" s="318">
        <f>+AC20+AE20</f>
        <v>254.41000000000003</v>
      </c>
      <c r="AH20" s="5653"/>
      <c r="AI20" s="279"/>
      <c r="AJ20" s="314"/>
      <c r="AK20" s="1540">
        <f>+AA20+AE20+AI20</f>
        <v>0</v>
      </c>
      <c r="AL20" s="5151"/>
      <c r="AM20" s="318">
        <f>+AG20+AI20</f>
        <v>254.41000000000003</v>
      </c>
      <c r="AN20" s="5653"/>
      <c r="AO20" s="279">
        <v>279</v>
      </c>
      <c r="AP20" s="279"/>
      <c r="AQ20" s="1542">
        <f t="shared" ref="AQ20:AQ22" si="27">AM20+AO20</f>
        <v>533.41000000000008</v>
      </c>
      <c r="AR20" s="5650"/>
      <c r="AS20" s="279">
        <v>264.55</v>
      </c>
      <c r="AT20" s="279"/>
      <c r="AU20" s="1542">
        <f t="shared" ref="AU20:AU22" si="28">AQ20+AS20</f>
        <v>797.96</v>
      </c>
      <c r="AV20" s="5650"/>
      <c r="AW20" s="279"/>
      <c r="AX20" s="314"/>
      <c r="AY20" s="1540">
        <f>+AO20+AS20+AW20</f>
        <v>543.54999999999995</v>
      </c>
      <c r="AZ20" s="5151"/>
      <c r="BA20" s="1376">
        <f t="shared" ref="BA20:BA22" si="29">+AK20+AY20</f>
        <v>543.54999999999995</v>
      </c>
      <c r="BB20" s="5657"/>
      <c r="BC20" s="1542">
        <f>AU20+AW20</f>
        <v>797.96</v>
      </c>
    </row>
    <row r="21" spans="1:55" ht="15.75" x14ac:dyDescent="0.25">
      <c r="A21" s="1711" t="s">
        <v>1127</v>
      </c>
      <c r="B21" s="1711"/>
      <c r="C21" s="278"/>
      <c r="D21" s="278"/>
      <c r="E21" s="278">
        <v>5645.2240000000002</v>
      </c>
      <c r="F21" s="1911"/>
      <c r="G21" s="1911">
        <f t="shared" si="5"/>
        <v>5645.2240000000002</v>
      </c>
      <c r="H21" s="1997"/>
      <c r="I21" s="278"/>
      <c r="J21" s="2039"/>
      <c r="K21" s="1516">
        <f t="shared" si="26"/>
        <v>5645.2240000000002</v>
      </c>
      <c r="L21" s="1997"/>
      <c r="M21" s="279">
        <v>5331.8979999999992</v>
      </c>
      <c r="N21" s="2035"/>
      <c r="O21" s="2068">
        <f>+C21+E21+I21+M21</f>
        <v>10977.121999999999</v>
      </c>
      <c r="P21" s="5645"/>
      <c r="Q21" s="279">
        <v>4850.0389999999998</v>
      </c>
      <c r="R21" s="1529"/>
      <c r="S21" s="318">
        <f>+O21+Q21</f>
        <v>15827.161</v>
      </c>
      <c r="T21" s="5653"/>
      <c r="U21" s="279">
        <v>5036.8969999999999</v>
      </c>
      <c r="V21" s="314"/>
      <c r="W21" s="1540">
        <f>+M21+Q21+U21</f>
        <v>15218.833999999999</v>
      </c>
      <c r="X21" s="5151"/>
      <c r="Y21" s="1541">
        <f>+K21+W21</f>
        <v>20864.057999999997</v>
      </c>
      <c r="Z21" s="5659"/>
      <c r="AA21" s="279">
        <v>5998.85</v>
      </c>
      <c r="AB21" s="1529"/>
      <c r="AC21" s="318">
        <f>+Y21+AA21</f>
        <v>26862.907999999996</v>
      </c>
      <c r="AD21" s="5653"/>
      <c r="AE21" s="279">
        <v>5613</v>
      </c>
      <c r="AF21" s="1529"/>
      <c r="AG21" s="318">
        <f>+AC21+AE21</f>
        <v>32475.907999999996</v>
      </c>
      <c r="AH21" s="5653"/>
      <c r="AI21" s="279">
        <v>6299</v>
      </c>
      <c r="AJ21" s="314"/>
      <c r="AK21" s="1540">
        <f>+AA21+AE21+AI21</f>
        <v>17910.849999999999</v>
      </c>
      <c r="AL21" s="5151"/>
      <c r="AM21" s="318">
        <f>+AG21+AI21</f>
        <v>38774.907999999996</v>
      </c>
      <c r="AN21" s="5653"/>
      <c r="AO21" s="279">
        <v>6045</v>
      </c>
      <c r="AP21" s="279"/>
      <c r="AQ21" s="1542">
        <f t="shared" si="27"/>
        <v>44819.907999999996</v>
      </c>
      <c r="AR21" s="5650"/>
      <c r="AS21" s="279">
        <v>7257.6799999999976</v>
      </c>
      <c r="AT21" s="279"/>
      <c r="AU21" s="1542">
        <f t="shared" si="28"/>
        <v>52077.587999999996</v>
      </c>
      <c r="AV21" s="5650"/>
      <c r="AW21" s="279">
        <v>3914</v>
      </c>
      <c r="AX21" s="314"/>
      <c r="AY21" s="1540">
        <f>+AO21+AS21+AW21</f>
        <v>17216.679999999997</v>
      </c>
      <c r="AZ21" s="5151"/>
      <c r="BA21" s="1376">
        <f t="shared" si="29"/>
        <v>35127.53</v>
      </c>
      <c r="BB21" s="5657"/>
      <c r="BC21" s="1542">
        <f>AU21+AW21</f>
        <v>55991.587999999996</v>
      </c>
    </row>
    <row r="22" spans="1:55" ht="16.5" thickBot="1" x14ac:dyDescent="0.3">
      <c r="A22" s="1711" t="s">
        <v>1811</v>
      </c>
      <c r="B22" s="3414"/>
      <c r="C22" s="426"/>
      <c r="D22" s="426"/>
      <c r="E22" s="426"/>
      <c r="F22" s="3415"/>
      <c r="G22" s="3415"/>
      <c r="H22" s="302"/>
      <c r="I22" s="426"/>
      <c r="J22" s="3416"/>
      <c r="K22" s="1516">
        <f t="shared" si="26"/>
        <v>0</v>
      </c>
      <c r="L22" s="302"/>
      <c r="M22" s="426"/>
      <c r="N22" s="5146"/>
      <c r="O22" s="3417"/>
      <c r="P22" s="3417"/>
      <c r="Q22" s="426"/>
      <c r="R22" s="426"/>
      <c r="S22" s="3418"/>
      <c r="T22" s="3418"/>
      <c r="U22" s="426">
        <v>748.077</v>
      </c>
      <c r="V22" s="5146"/>
      <c r="W22" s="1540">
        <f>+M22+Q22+U22</f>
        <v>748.077</v>
      </c>
      <c r="X22" s="5151"/>
      <c r="Y22" s="1541">
        <f>+K22+W22</f>
        <v>748.077</v>
      </c>
      <c r="Z22" s="5660"/>
      <c r="AA22" s="426"/>
      <c r="AB22" s="426"/>
      <c r="AC22" s="318">
        <f>+Y22+AA22</f>
        <v>748.077</v>
      </c>
      <c r="AD22" s="3418"/>
      <c r="AE22" s="426"/>
      <c r="AF22" s="426"/>
      <c r="AG22" s="318">
        <f>+AC22+AE22</f>
        <v>748.077</v>
      </c>
      <c r="AH22" s="3418"/>
      <c r="AI22" s="426">
        <v>440</v>
      </c>
      <c r="AJ22" s="5146"/>
      <c r="AK22" s="1540">
        <f>+AA22+AE22+AI22</f>
        <v>440</v>
      </c>
      <c r="AL22" s="5151"/>
      <c r="AM22" s="318">
        <f>+AG22+AI22</f>
        <v>1188.077</v>
      </c>
      <c r="AN22" s="3418"/>
      <c r="AO22" s="426"/>
      <c r="AP22" s="426"/>
      <c r="AQ22" s="1542">
        <f t="shared" si="27"/>
        <v>1188.077</v>
      </c>
      <c r="AR22" s="3418"/>
      <c r="AS22" s="426">
        <v>737.43</v>
      </c>
      <c r="AT22" s="426"/>
      <c r="AU22" s="1542">
        <f t="shared" si="28"/>
        <v>1925.5070000000001</v>
      </c>
      <c r="AV22" s="3418"/>
      <c r="AW22" s="426">
        <v>711</v>
      </c>
      <c r="AX22" s="5146"/>
      <c r="AY22" s="1540">
        <f>+AO22+AS22+AW22</f>
        <v>1448.4299999999998</v>
      </c>
      <c r="AZ22" s="5151"/>
      <c r="BA22" s="1376">
        <f t="shared" si="29"/>
        <v>1888.4299999999998</v>
      </c>
      <c r="BB22" s="5657"/>
      <c r="BC22" s="1542">
        <f>AU22+AW22</f>
        <v>2636.5070000000001</v>
      </c>
    </row>
    <row r="23" spans="1:55" ht="21" thickBot="1" x14ac:dyDescent="0.3">
      <c r="A23" s="290" t="s">
        <v>1129</v>
      </c>
      <c r="B23" s="2024"/>
      <c r="C23" s="291">
        <f>SUM(C20:C21)</f>
        <v>0</v>
      </c>
      <c r="D23" s="291"/>
      <c r="E23" s="291">
        <f>SUM(E20:E21)</f>
        <v>5899.634</v>
      </c>
      <c r="F23" s="291"/>
      <c r="G23" s="291">
        <f>SUM(G20:G21)</f>
        <v>5899.634</v>
      </c>
      <c r="H23" s="291"/>
      <c r="I23" s="291">
        <f>SUM(I20:I21)</f>
        <v>0</v>
      </c>
      <c r="J23" s="291"/>
      <c r="K23" s="291">
        <f>SUM(K20:K22)</f>
        <v>5899.634</v>
      </c>
      <c r="L23" s="291"/>
      <c r="M23" s="291">
        <f t="shared" ref="M23:S23" si="30">SUM(M20:M21)</f>
        <v>5331.8979999999992</v>
      </c>
      <c r="N23" s="291"/>
      <c r="O23" s="291">
        <f t="shared" si="30"/>
        <v>11231.531999999999</v>
      </c>
      <c r="P23" s="291"/>
      <c r="Q23" s="291">
        <f t="shared" si="30"/>
        <v>4850.0389999999998</v>
      </c>
      <c r="R23" s="291"/>
      <c r="S23" s="291">
        <f t="shared" si="30"/>
        <v>15827.161</v>
      </c>
      <c r="T23" s="291"/>
      <c r="U23" s="291">
        <f>SUM(U20:U22)</f>
        <v>5784.9740000000002</v>
      </c>
      <c r="V23" s="291"/>
      <c r="W23" s="291">
        <f>SUM(W20:W22)</f>
        <v>15966.910999999998</v>
      </c>
      <c r="X23" s="291"/>
      <c r="Y23" s="291">
        <f>SUM(Y20:Y22)</f>
        <v>21866.544999999998</v>
      </c>
      <c r="Z23" s="291"/>
      <c r="AA23" s="291">
        <f t="shared" ref="AA23" si="31">SUM(AA20:AA21)</f>
        <v>5998.85</v>
      </c>
      <c r="AB23" s="291"/>
      <c r="AC23" s="291">
        <f>SUM(AC20:AC22)</f>
        <v>27865.394999999997</v>
      </c>
      <c r="AD23" s="291"/>
      <c r="AE23" s="291">
        <f t="shared" ref="AE23" si="32">SUM(AE20:AE21)</f>
        <v>5613</v>
      </c>
      <c r="AF23" s="291"/>
      <c r="AG23" s="291">
        <f t="shared" ref="AG23:AQ23" si="33">SUM(AG20:AG22)</f>
        <v>33478.394999999997</v>
      </c>
      <c r="AH23" s="291"/>
      <c r="AI23" s="291">
        <f t="shared" si="33"/>
        <v>6739</v>
      </c>
      <c r="AJ23" s="291"/>
      <c r="AK23" s="291">
        <f t="shared" si="33"/>
        <v>18350.849999999999</v>
      </c>
      <c r="AL23" s="291"/>
      <c r="AM23" s="291">
        <f t="shared" si="33"/>
        <v>40217.394999999997</v>
      </c>
      <c r="AN23" s="291"/>
      <c r="AO23" s="291">
        <f t="shared" si="33"/>
        <v>6324</v>
      </c>
      <c r="AP23" s="291"/>
      <c r="AQ23" s="291">
        <f t="shared" si="33"/>
        <v>46541.394999999997</v>
      </c>
      <c r="AR23" s="291"/>
      <c r="AS23" s="291">
        <f t="shared" ref="AS23:AU23" si="34">SUM(AS20:AS22)</f>
        <v>8259.659999999998</v>
      </c>
      <c r="AT23" s="291"/>
      <c r="AU23" s="291">
        <f t="shared" si="34"/>
        <v>54801.054999999993</v>
      </c>
      <c r="AV23" s="291"/>
      <c r="AW23" s="291">
        <f t="shared" ref="AW23:BC23" si="35">SUM(AW20:AW22)</f>
        <v>4625</v>
      </c>
      <c r="AX23" s="291"/>
      <c r="AY23" s="291">
        <f>SUM(AY20:AY22)</f>
        <v>19208.659999999996</v>
      </c>
      <c r="AZ23" s="291"/>
      <c r="BA23" s="291">
        <f>SUM(BA20:BA22)</f>
        <v>37559.51</v>
      </c>
      <c r="BB23" s="291"/>
      <c r="BC23" s="291">
        <f t="shared" si="35"/>
        <v>59426.054999999993</v>
      </c>
    </row>
    <row r="24" spans="1:55" ht="16.5" thickBot="1" x14ac:dyDescent="0.3">
      <c r="A24" s="288"/>
      <c r="B24" s="2026"/>
      <c r="C24" s="302"/>
      <c r="D24" s="302"/>
      <c r="E24" s="302"/>
      <c r="F24" s="302"/>
      <c r="G24" s="302"/>
      <c r="H24" s="302"/>
      <c r="I24" s="302"/>
      <c r="J24" s="2037"/>
      <c r="K24" s="303"/>
      <c r="L24" s="302"/>
      <c r="M24" s="302"/>
      <c r="N24" s="5145"/>
      <c r="O24" s="303"/>
      <c r="P24" s="5643"/>
      <c r="Q24" s="302"/>
      <c r="R24" s="5145"/>
      <c r="S24" s="848"/>
      <c r="T24" s="5643"/>
      <c r="U24" s="302"/>
      <c r="V24" s="5145"/>
      <c r="W24" s="303"/>
      <c r="X24" s="848"/>
      <c r="Y24" s="848"/>
      <c r="Z24" s="5643"/>
      <c r="AA24" s="302"/>
      <c r="AB24" s="5145"/>
      <c r="AC24" s="848"/>
      <c r="AD24" s="5643"/>
      <c r="AE24" s="302"/>
      <c r="AF24" s="5145"/>
      <c r="AG24" s="848"/>
      <c r="AH24" s="5643"/>
      <c r="AI24" s="302"/>
      <c r="AJ24" s="5145"/>
      <c r="AK24" s="303"/>
      <c r="AL24" s="848"/>
      <c r="AM24" s="848"/>
      <c r="AN24" s="5643"/>
      <c r="AO24" s="302"/>
      <c r="AP24" s="5145"/>
      <c r="AQ24" s="848"/>
      <c r="AR24" s="5643"/>
      <c r="AS24" s="302"/>
      <c r="AT24" s="5145"/>
      <c r="AU24" s="848"/>
      <c r="AV24" s="5643"/>
      <c r="AW24" s="302"/>
      <c r="AX24" s="5145"/>
      <c r="AY24" s="303"/>
      <c r="AZ24" s="848"/>
      <c r="BA24" s="848"/>
      <c r="BB24" s="848"/>
      <c r="BC24" s="848"/>
    </row>
    <row r="25" spans="1:55" ht="21" thickBot="1" x14ac:dyDescent="0.3">
      <c r="A25" s="1551" t="s">
        <v>1329</v>
      </c>
      <c r="B25" s="2027"/>
      <c r="C25" s="1552"/>
      <c r="D25" s="1552"/>
      <c r="E25" s="1554"/>
      <c r="F25" s="1554"/>
      <c r="G25" s="1554"/>
      <c r="H25" s="1554"/>
      <c r="I25" s="1554"/>
      <c r="J25" s="2038"/>
      <c r="K25" s="1555"/>
      <c r="L25" s="1554"/>
      <c r="M25" s="1554"/>
      <c r="N25" s="2038"/>
      <c r="O25" s="1555"/>
      <c r="P25" s="1553"/>
      <c r="Q25" s="1554"/>
      <c r="R25" s="2038"/>
      <c r="S25" s="1555"/>
      <c r="T25" s="1553"/>
      <c r="U25" s="1554"/>
      <c r="V25" s="2038"/>
      <c r="W25" s="1555"/>
      <c r="X25" s="1555"/>
      <c r="Y25" s="1555"/>
      <c r="Z25" s="1553"/>
      <c r="AA25" s="1554"/>
      <c r="AB25" s="2038"/>
      <c r="AC25" s="1555"/>
      <c r="AD25" s="1553"/>
      <c r="AE25" s="1554"/>
      <c r="AF25" s="2038"/>
      <c r="AG25" s="1555"/>
      <c r="AH25" s="1553"/>
      <c r="AI25" s="1554"/>
      <c r="AJ25" s="2038"/>
      <c r="AK25" s="1555"/>
      <c r="AL25" s="1555"/>
      <c r="AM25" s="1555"/>
      <c r="AN25" s="1553"/>
      <c r="AO25" s="1554"/>
      <c r="AP25" s="2038"/>
      <c r="AQ25" s="1555"/>
      <c r="AR25" s="1553"/>
      <c r="AS25" s="1554"/>
      <c r="AT25" s="2038"/>
      <c r="AU25" s="1555"/>
      <c r="AV25" s="1553"/>
      <c r="AW25" s="1554"/>
      <c r="AX25" s="2038"/>
      <c r="AY25" s="1555"/>
      <c r="AZ25" s="1555"/>
      <c r="BA25" s="1555"/>
      <c r="BB25" s="1555"/>
      <c r="BC25" s="1555"/>
    </row>
    <row r="26" spans="1:55" ht="15.75" x14ac:dyDescent="0.25">
      <c r="A26" s="1903" t="s">
        <v>1280</v>
      </c>
      <c r="B26" s="2028"/>
      <c r="C26" s="279">
        <v>10931.362999999999</v>
      </c>
      <c r="D26" s="279"/>
      <c r="E26" s="279">
        <v>6762.7280000000046</v>
      </c>
      <c r="F26" s="1911"/>
      <c r="G26" s="1911">
        <f t="shared" si="5"/>
        <v>17694.091000000004</v>
      </c>
      <c r="H26" s="1997"/>
      <c r="I26" s="279">
        <v>12302.573000000006</v>
      </c>
      <c r="J26" s="2039"/>
      <c r="K26" s="1516">
        <f t="shared" ref="K26:K32" si="36">+C26+E26+I26</f>
        <v>29996.664000000012</v>
      </c>
      <c r="L26" s="1997"/>
      <c r="M26" s="279">
        <v>8493.2250000000004</v>
      </c>
      <c r="N26" s="2035"/>
      <c r="O26" s="2068">
        <f t="shared" ref="O26:O32" si="37">+C26+E26+I26+M26</f>
        <v>38489.88900000001</v>
      </c>
      <c r="P26" s="5645"/>
      <c r="Q26" s="279">
        <v>11461.335000000005</v>
      </c>
      <c r="R26" s="314"/>
      <c r="S26" s="1531">
        <f t="shared" ref="S26:S32" si="38">+O26+Q26</f>
        <v>49951.224000000017</v>
      </c>
      <c r="T26" s="5654"/>
      <c r="U26" s="279">
        <v>11640.251</v>
      </c>
      <c r="V26" s="314"/>
      <c r="W26" s="1540">
        <f t="shared" ref="W26:W32" si="39">+M26+Q26+U26</f>
        <v>31594.811000000005</v>
      </c>
      <c r="X26" s="5151"/>
      <c r="Y26" s="1541">
        <f t="shared" ref="Y26:Y32" si="40">+K26+W26</f>
        <v>61591.47500000002</v>
      </c>
      <c r="Z26" s="5659"/>
      <c r="AA26" s="279">
        <v>10457.626</v>
      </c>
      <c r="AB26" s="314"/>
      <c r="AC26" s="1531">
        <f t="shared" ref="AC26:AC30" si="41">+Y26+AA26</f>
        <v>72049.101000000024</v>
      </c>
      <c r="AD26" s="5654"/>
      <c r="AE26" s="279">
        <v>20783</v>
      </c>
      <c r="AF26" s="314"/>
      <c r="AG26" s="1531">
        <f t="shared" ref="AG26:AG30" si="42">+AC26+AE26</f>
        <v>92832.101000000024</v>
      </c>
      <c r="AH26" s="5654"/>
      <c r="AI26" s="279">
        <v>8223</v>
      </c>
      <c r="AJ26" s="314"/>
      <c r="AK26" s="1540">
        <f t="shared" ref="AK26:AK32" si="43">+AA26+AE26+AI26</f>
        <v>39463.626000000004</v>
      </c>
      <c r="AL26" s="1540"/>
      <c r="AM26" s="1531">
        <f t="shared" ref="AM26:AM30" si="44">+AG26+AI26</f>
        <v>101055.10100000002</v>
      </c>
      <c r="AN26" s="5654"/>
      <c r="AO26" s="279">
        <v>5106</v>
      </c>
      <c r="AP26" s="279"/>
      <c r="AQ26" s="1542">
        <f t="shared" ref="AQ26:AQ32" si="45">AM26+AO26</f>
        <v>106161.10100000002</v>
      </c>
      <c r="AR26" s="5650"/>
      <c r="AS26" s="279">
        <v>10177.682999999994</v>
      </c>
      <c r="AT26" s="279"/>
      <c r="AU26" s="1542">
        <f t="shared" ref="AU26:AU32" si="46">AQ26+AS26</f>
        <v>116338.78400000001</v>
      </c>
      <c r="AV26" s="5650"/>
      <c r="AW26" s="279">
        <v>8276</v>
      </c>
      <c r="AX26" s="314"/>
      <c r="AY26" s="1540">
        <f t="shared" ref="AY26:AY32" si="47">+AO26+AS26+AW26</f>
        <v>23559.682999999994</v>
      </c>
      <c r="AZ26" s="5151"/>
      <c r="BA26" s="1376">
        <f t="shared" ref="BA26:BA32" si="48">+AK26+AY26</f>
        <v>63023.308999999994</v>
      </c>
      <c r="BB26" s="5657"/>
      <c r="BC26" s="1542">
        <f t="shared" ref="BC26:BC32" si="49">AU26+AW26</f>
        <v>124614.78400000001</v>
      </c>
    </row>
    <row r="27" spans="1:55" ht="15.75" x14ac:dyDescent="0.25">
      <c r="A27" s="2004" t="s">
        <v>1281</v>
      </c>
      <c r="B27" s="2029"/>
      <c r="C27" s="279">
        <v>2554.7910000000002</v>
      </c>
      <c r="D27" s="279"/>
      <c r="E27" s="279">
        <v>3380.8880000000008</v>
      </c>
      <c r="F27" s="1911"/>
      <c r="G27" s="1911">
        <f t="shared" si="5"/>
        <v>5935.679000000001</v>
      </c>
      <c r="H27" s="1997"/>
      <c r="I27" s="279">
        <v>2672.2300000000005</v>
      </c>
      <c r="J27" s="2039"/>
      <c r="K27" s="1516">
        <f t="shared" si="36"/>
        <v>8607.9090000000015</v>
      </c>
      <c r="L27" s="1997"/>
      <c r="M27" s="279">
        <v>2676.2739999999999</v>
      </c>
      <c r="N27" s="2035"/>
      <c r="O27" s="2068">
        <f t="shared" si="37"/>
        <v>11284.183000000001</v>
      </c>
      <c r="P27" s="5645"/>
      <c r="Q27" s="279">
        <v>3091.0320000000002</v>
      </c>
      <c r="R27" s="314"/>
      <c r="S27" s="1531">
        <f t="shared" si="38"/>
        <v>14375.215</v>
      </c>
      <c r="T27" s="5654"/>
      <c r="U27" s="279">
        <v>3310.3609999999994</v>
      </c>
      <c r="V27" s="314"/>
      <c r="W27" s="1540">
        <f t="shared" si="39"/>
        <v>9077.6669999999995</v>
      </c>
      <c r="X27" s="5151"/>
      <c r="Y27" s="1541">
        <f t="shared" si="40"/>
        <v>17685.576000000001</v>
      </c>
      <c r="Z27" s="5659"/>
      <c r="AA27" s="279">
        <v>5006.3989999999994</v>
      </c>
      <c r="AB27" s="314"/>
      <c r="AC27" s="1531">
        <f t="shared" si="41"/>
        <v>22691.974999999999</v>
      </c>
      <c r="AD27" s="5654"/>
      <c r="AE27" s="279">
        <v>5142</v>
      </c>
      <c r="AF27" s="314"/>
      <c r="AG27" s="1531">
        <f t="shared" si="42"/>
        <v>27833.974999999999</v>
      </c>
      <c r="AH27" s="5654"/>
      <c r="AI27" s="279">
        <v>1901</v>
      </c>
      <c r="AJ27" s="314"/>
      <c r="AK27" s="1540">
        <f t="shared" si="43"/>
        <v>12049.398999999999</v>
      </c>
      <c r="AL27" s="1540"/>
      <c r="AM27" s="1531">
        <f t="shared" si="44"/>
        <v>29734.974999999999</v>
      </c>
      <c r="AN27" s="5654"/>
      <c r="AO27" s="279">
        <v>3021</v>
      </c>
      <c r="AP27" s="279"/>
      <c r="AQ27" s="1542">
        <f t="shared" si="45"/>
        <v>32755.974999999999</v>
      </c>
      <c r="AR27" s="5650"/>
      <c r="AS27" s="279">
        <v>2435.3450000000003</v>
      </c>
      <c r="AT27" s="279"/>
      <c r="AU27" s="1542">
        <f t="shared" si="46"/>
        <v>35191.32</v>
      </c>
      <c r="AV27" s="5650"/>
      <c r="AW27" s="279">
        <v>4245</v>
      </c>
      <c r="AX27" s="314"/>
      <c r="AY27" s="1540">
        <f t="shared" si="47"/>
        <v>9701.3450000000012</v>
      </c>
      <c r="AZ27" s="5151"/>
      <c r="BA27" s="1376">
        <f t="shared" si="48"/>
        <v>21750.743999999999</v>
      </c>
      <c r="BB27" s="5657"/>
      <c r="BC27" s="1542">
        <f t="shared" si="49"/>
        <v>39436.32</v>
      </c>
    </row>
    <row r="28" spans="1:55" ht="15.75" x14ac:dyDescent="0.25">
      <c r="A28" s="2004" t="s">
        <v>1327</v>
      </c>
      <c r="B28" s="2029"/>
      <c r="C28" s="279">
        <v>438.65199999999993</v>
      </c>
      <c r="D28" s="279"/>
      <c r="E28" s="279">
        <v>430.02499999999998</v>
      </c>
      <c r="F28" s="1911"/>
      <c r="G28" s="1911">
        <f t="shared" si="5"/>
        <v>868.67699999999991</v>
      </c>
      <c r="H28" s="1997"/>
      <c r="I28" s="279">
        <v>160.07499999999999</v>
      </c>
      <c r="J28" s="2039"/>
      <c r="K28" s="1516">
        <f t="shared" si="36"/>
        <v>1028.752</v>
      </c>
      <c r="L28" s="1997"/>
      <c r="M28" s="279">
        <v>98.07</v>
      </c>
      <c r="N28" s="2035"/>
      <c r="O28" s="2068">
        <f t="shared" si="37"/>
        <v>1126.8219999999999</v>
      </c>
      <c r="P28" s="5645"/>
      <c r="Q28" s="279"/>
      <c r="R28" s="314"/>
      <c r="S28" s="1531">
        <f t="shared" si="38"/>
        <v>1126.8219999999999</v>
      </c>
      <c r="T28" s="5654"/>
      <c r="U28" s="279"/>
      <c r="V28" s="314"/>
      <c r="W28" s="1540">
        <f t="shared" si="39"/>
        <v>98.07</v>
      </c>
      <c r="X28" s="5151"/>
      <c r="Y28" s="1541">
        <f t="shared" si="40"/>
        <v>1126.8219999999999</v>
      </c>
      <c r="Z28" s="5659"/>
      <c r="AA28" s="279">
        <v>313.82399999999996</v>
      </c>
      <c r="AB28" s="314"/>
      <c r="AC28" s="1531">
        <f t="shared" si="41"/>
        <v>1440.6459999999997</v>
      </c>
      <c r="AD28" s="5654"/>
      <c r="AE28" s="279"/>
      <c r="AF28" s="314"/>
      <c r="AG28" s="1531">
        <f t="shared" si="42"/>
        <v>1440.6459999999997</v>
      </c>
      <c r="AH28" s="5654"/>
      <c r="AI28" s="279"/>
      <c r="AJ28" s="314"/>
      <c r="AK28" s="1540">
        <f t="shared" si="43"/>
        <v>313.82399999999996</v>
      </c>
      <c r="AL28" s="1540"/>
      <c r="AM28" s="1531">
        <f t="shared" si="44"/>
        <v>1440.6459999999997</v>
      </c>
      <c r="AN28" s="5654"/>
      <c r="AO28" s="279"/>
      <c r="AP28" s="279"/>
      <c r="AQ28" s="1542">
        <f t="shared" si="45"/>
        <v>1440.6459999999997</v>
      </c>
      <c r="AR28" s="5650"/>
      <c r="AS28" s="279"/>
      <c r="AT28" s="279"/>
      <c r="AU28" s="1542">
        <f t="shared" si="46"/>
        <v>1440.6459999999997</v>
      </c>
      <c r="AV28" s="5650"/>
      <c r="AW28" s="279"/>
      <c r="AX28" s="314"/>
      <c r="AY28" s="1540">
        <f t="shared" si="47"/>
        <v>0</v>
      </c>
      <c r="AZ28" s="5151"/>
      <c r="BA28" s="1376">
        <f t="shared" si="48"/>
        <v>313.82399999999996</v>
      </c>
      <c r="BB28" s="5657"/>
      <c r="BC28" s="1542">
        <f t="shared" si="49"/>
        <v>1440.6459999999997</v>
      </c>
    </row>
    <row r="29" spans="1:55" ht="15.75" x14ac:dyDescent="0.25">
      <c r="A29" s="2004" t="s">
        <v>1322</v>
      </c>
      <c r="B29" s="2029"/>
      <c r="C29" s="279">
        <v>158.328</v>
      </c>
      <c r="D29" s="279"/>
      <c r="E29" s="279">
        <v>136.41300000000001</v>
      </c>
      <c r="F29" s="1911"/>
      <c r="G29" s="1911">
        <f t="shared" si="5"/>
        <v>294.74099999999999</v>
      </c>
      <c r="H29" s="1997"/>
      <c r="I29" s="279">
        <v>219.447</v>
      </c>
      <c r="J29" s="2039"/>
      <c r="K29" s="1516">
        <f t="shared" si="36"/>
        <v>514.18799999999999</v>
      </c>
      <c r="L29" s="1997"/>
      <c r="M29" s="279"/>
      <c r="N29" s="2035"/>
      <c r="O29" s="2068">
        <f t="shared" si="37"/>
        <v>514.18799999999999</v>
      </c>
      <c r="P29" s="5645"/>
      <c r="Q29" s="279"/>
      <c r="R29" s="314"/>
      <c r="S29" s="1531">
        <f t="shared" si="38"/>
        <v>514.18799999999999</v>
      </c>
      <c r="T29" s="5654"/>
      <c r="U29" s="279"/>
      <c r="V29" s="314"/>
      <c r="W29" s="1540">
        <f t="shared" si="39"/>
        <v>0</v>
      </c>
      <c r="X29" s="5151"/>
      <c r="Y29" s="1541">
        <f t="shared" si="40"/>
        <v>514.18799999999999</v>
      </c>
      <c r="Z29" s="5659"/>
      <c r="AA29" s="279">
        <v>300.80599999999998</v>
      </c>
      <c r="AB29" s="314"/>
      <c r="AC29" s="1531">
        <f t="shared" si="41"/>
        <v>814.99399999999991</v>
      </c>
      <c r="AD29" s="5654"/>
      <c r="AE29" s="279"/>
      <c r="AF29" s="314"/>
      <c r="AG29" s="1531">
        <f t="shared" si="42"/>
        <v>814.99399999999991</v>
      </c>
      <c r="AH29" s="5654"/>
      <c r="AI29" s="279"/>
      <c r="AJ29" s="314"/>
      <c r="AK29" s="1540">
        <f t="shared" si="43"/>
        <v>300.80599999999998</v>
      </c>
      <c r="AL29" s="1540"/>
      <c r="AM29" s="1531">
        <f t="shared" si="44"/>
        <v>814.99399999999991</v>
      </c>
      <c r="AN29" s="5654"/>
      <c r="AO29" s="279"/>
      <c r="AP29" s="279"/>
      <c r="AQ29" s="1542">
        <f t="shared" si="45"/>
        <v>814.99399999999991</v>
      </c>
      <c r="AR29" s="5650"/>
      <c r="AS29" s="279"/>
      <c r="AT29" s="279"/>
      <c r="AU29" s="1542">
        <f t="shared" si="46"/>
        <v>814.99399999999991</v>
      </c>
      <c r="AV29" s="5650"/>
      <c r="AW29" s="279">
        <v>154</v>
      </c>
      <c r="AX29" s="314"/>
      <c r="AY29" s="1540">
        <f t="shared" si="47"/>
        <v>154</v>
      </c>
      <c r="AZ29" s="5151"/>
      <c r="BA29" s="1376">
        <f t="shared" si="48"/>
        <v>454.80599999999998</v>
      </c>
      <c r="BB29" s="5657"/>
      <c r="BC29" s="1542">
        <f t="shared" si="49"/>
        <v>968.99399999999991</v>
      </c>
    </row>
    <row r="30" spans="1:55" s="4219" customFormat="1" ht="15.75" x14ac:dyDescent="0.25">
      <c r="A30" s="2004" t="s">
        <v>1897</v>
      </c>
      <c r="B30" s="2029"/>
      <c r="C30" s="279"/>
      <c r="D30" s="279"/>
      <c r="E30" s="279"/>
      <c r="F30" s="1911"/>
      <c r="G30" s="1911"/>
      <c r="H30" s="1997"/>
      <c r="I30" s="279"/>
      <c r="J30" s="2039"/>
      <c r="K30" s="1516">
        <f t="shared" si="36"/>
        <v>0</v>
      </c>
      <c r="L30" s="1997"/>
      <c r="M30" s="279"/>
      <c r="N30" s="2035"/>
      <c r="O30" s="2068"/>
      <c r="P30" s="5645"/>
      <c r="Q30" s="279"/>
      <c r="R30" s="314"/>
      <c r="S30" s="1531"/>
      <c r="T30" s="5654"/>
      <c r="U30" s="279"/>
      <c r="V30" s="314"/>
      <c r="W30" s="1540">
        <f t="shared" si="39"/>
        <v>0</v>
      </c>
      <c r="X30" s="5151"/>
      <c r="Y30" s="1541">
        <f t="shared" si="40"/>
        <v>0</v>
      </c>
      <c r="Z30" s="5659"/>
      <c r="AA30" s="279"/>
      <c r="AB30" s="314"/>
      <c r="AC30" s="1531">
        <f t="shared" si="41"/>
        <v>0</v>
      </c>
      <c r="AD30" s="5654"/>
      <c r="AE30" s="279">
        <v>106</v>
      </c>
      <c r="AF30" s="314"/>
      <c r="AG30" s="1531">
        <f t="shared" si="42"/>
        <v>106</v>
      </c>
      <c r="AH30" s="5654"/>
      <c r="AI30" s="279"/>
      <c r="AJ30" s="314"/>
      <c r="AK30" s="1540">
        <f t="shared" si="43"/>
        <v>106</v>
      </c>
      <c r="AL30" s="1540"/>
      <c r="AM30" s="1531">
        <f t="shared" si="44"/>
        <v>106</v>
      </c>
      <c r="AN30" s="5654"/>
      <c r="AO30" s="279"/>
      <c r="AP30" s="279"/>
      <c r="AQ30" s="1542">
        <f t="shared" si="45"/>
        <v>106</v>
      </c>
      <c r="AR30" s="5650"/>
      <c r="AS30" s="279"/>
      <c r="AT30" s="279"/>
      <c r="AU30" s="1542">
        <f t="shared" si="46"/>
        <v>106</v>
      </c>
      <c r="AV30" s="5650"/>
      <c r="AW30" s="279"/>
      <c r="AX30" s="314"/>
      <c r="AY30" s="1540">
        <f t="shared" si="47"/>
        <v>0</v>
      </c>
      <c r="AZ30" s="5151"/>
      <c r="BA30" s="1376">
        <f t="shared" si="48"/>
        <v>106</v>
      </c>
      <c r="BB30" s="5657"/>
      <c r="BC30" s="1542">
        <f t="shared" si="49"/>
        <v>106</v>
      </c>
    </row>
    <row r="31" spans="1:55" ht="15.75" x14ac:dyDescent="0.25">
      <c r="A31" s="2004" t="s">
        <v>1282</v>
      </c>
      <c r="B31" s="2029"/>
      <c r="C31" s="279">
        <v>13236.903000000002</v>
      </c>
      <c r="D31" s="279"/>
      <c r="E31" s="279">
        <v>11852.558999999999</v>
      </c>
      <c r="F31" s="1911"/>
      <c r="G31" s="1911">
        <f>+C31+E31</f>
        <v>25089.462</v>
      </c>
      <c r="H31" s="1997"/>
      <c r="I31" s="279">
        <v>12861.677000000005</v>
      </c>
      <c r="J31" s="2039"/>
      <c r="K31" s="1516">
        <f t="shared" si="36"/>
        <v>37951.139000000003</v>
      </c>
      <c r="L31" s="1997"/>
      <c r="M31" s="279">
        <v>15877.337000000023</v>
      </c>
      <c r="N31" s="2035"/>
      <c r="O31" s="2068">
        <f>+C31+E31+I31+M31</f>
        <v>53828.476000000024</v>
      </c>
      <c r="P31" s="5645"/>
      <c r="Q31" s="279">
        <v>23346.775999999976</v>
      </c>
      <c r="R31" s="314"/>
      <c r="S31" s="1531">
        <f>+O31+Q31</f>
        <v>77175.252000000008</v>
      </c>
      <c r="T31" s="5654"/>
      <c r="U31" s="279">
        <v>7880.0710000000008</v>
      </c>
      <c r="V31" s="314"/>
      <c r="W31" s="1540">
        <f t="shared" si="39"/>
        <v>47104.184000000001</v>
      </c>
      <c r="X31" s="5151"/>
      <c r="Y31" s="1541">
        <f t="shared" si="40"/>
        <v>85055.323000000004</v>
      </c>
      <c r="Z31" s="5659"/>
      <c r="AA31" s="279">
        <v>12131.680000000011</v>
      </c>
      <c r="AB31" s="314"/>
      <c r="AC31" s="1531">
        <f>+Y31+AA31</f>
        <v>97187.003000000012</v>
      </c>
      <c r="AD31" s="5654"/>
      <c r="AE31" s="279">
        <v>12566</v>
      </c>
      <c r="AF31" s="314"/>
      <c r="AG31" s="1531">
        <f>+AC31+AE31</f>
        <v>109753.00300000001</v>
      </c>
      <c r="AH31" s="5654"/>
      <c r="AI31" s="279">
        <v>19323</v>
      </c>
      <c r="AJ31" s="314"/>
      <c r="AK31" s="1540">
        <f t="shared" si="43"/>
        <v>44020.680000000008</v>
      </c>
      <c r="AL31" s="1540"/>
      <c r="AM31" s="1531">
        <f>+AG31+AI31</f>
        <v>129076.00300000001</v>
      </c>
      <c r="AN31" s="5654"/>
      <c r="AO31" s="279">
        <v>22999</v>
      </c>
      <c r="AP31" s="279"/>
      <c r="AQ31" s="1542">
        <f t="shared" si="45"/>
        <v>152075.00300000003</v>
      </c>
      <c r="AR31" s="5650"/>
      <c r="AS31" s="279">
        <v>14074.364000000007</v>
      </c>
      <c r="AT31" s="279"/>
      <c r="AU31" s="1542">
        <f t="shared" si="46"/>
        <v>166149.36700000003</v>
      </c>
      <c r="AV31" s="5650"/>
      <c r="AW31" s="279">
        <v>31935</v>
      </c>
      <c r="AX31" s="314"/>
      <c r="AY31" s="1540">
        <f t="shared" si="47"/>
        <v>69008.364000000001</v>
      </c>
      <c r="AZ31" s="5151"/>
      <c r="BA31" s="1376">
        <f t="shared" si="48"/>
        <v>113029.04400000001</v>
      </c>
      <c r="BB31" s="5657"/>
      <c r="BC31" s="1542">
        <f t="shared" si="49"/>
        <v>198084.36700000003</v>
      </c>
    </row>
    <row r="32" spans="1:55" ht="16.5" thickBot="1" x14ac:dyDescent="0.3">
      <c r="A32" s="277" t="s">
        <v>1352</v>
      </c>
      <c r="B32" s="2023"/>
      <c r="C32" s="279">
        <v>304.18100000000004</v>
      </c>
      <c r="D32" s="279"/>
      <c r="E32" s="279"/>
      <c r="F32" s="279"/>
      <c r="G32" s="1911">
        <f t="shared" si="5"/>
        <v>304.18100000000004</v>
      </c>
      <c r="H32" s="279"/>
      <c r="I32" s="279">
        <v>290.43600000000004</v>
      </c>
      <c r="J32" s="2035"/>
      <c r="K32" s="1516">
        <f t="shared" si="36"/>
        <v>594.61700000000008</v>
      </c>
      <c r="L32" s="279"/>
      <c r="M32" s="279"/>
      <c r="N32" s="2035"/>
      <c r="O32" s="2068">
        <f t="shared" si="37"/>
        <v>594.61700000000008</v>
      </c>
      <c r="P32" s="5645"/>
      <c r="Q32" s="279"/>
      <c r="R32" s="314"/>
      <c r="S32" s="1531">
        <f t="shared" si="38"/>
        <v>594.61700000000008</v>
      </c>
      <c r="T32" s="5654"/>
      <c r="U32" s="279"/>
      <c r="V32" s="314"/>
      <c r="W32" s="1540">
        <f t="shared" si="39"/>
        <v>0</v>
      </c>
      <c r="X32" s="5151"/>
      <c r="Y32" s="1541">
        <f t="shared" si="40"/>
        <v>594.61700000000008</v>
      </c>
      <c r="Z32" s="5659"/>
      <c r="AA32" s="279">
        <v>326.75600000000003</v>
      </c>
      <c r="AB32" s="314"/>
      <c r="AC32" s="1531">
        <f t="shared" ref="AC32" si="50">+Y32+AA32</f>
        <v>921.37300000000005</v>
      </c>
      <c r="AD32" s="5654"/>
      <c r="AE32" s="279">
        <v>144</v>
      </c>
      <c r="AF32" s="314"/>
      <c r="AG32" s="1531">
        <f t="shared" ref="AG32" si="51">+AC32+AE32</f>
        <v>1065.373</v>
      </c>
      <c r="AH32" s="5654"/>
      <c r="AI32" s="279">
        <v>291</v>
      </c>
      <c r="AJ32" s="314"/>
      <c r="AK32" s="1540">
        <f t="shared" si="43"/>
        <v>761.75600000000009</v>
      </c>
      <c r="AL32" s="1540"/>
      <c r="AM32" s="1531">
        <f t="shared" ref="AM32" si="52">+AG32+AI32</f>
        <v>1356.373</v>
      </c>
      <c r="AN32" s="5654"/>
      <c r="AO32" s="279">
        <v>1686</v>
      </c>
      <c r="AP32" s="279"/>
      <c r="AQ32" s="1542">
        <f t="shared" si="45"/>
        <v>3042.373</v>
      </c>
      <c r="AR32" s="5650"/>
      <c r="AS32" s="279"/>
      <c r="AT32" s="279"/>
      <c r="AU32" s="1542">
        <f t="shared" si="46"/>
        <v>3042.373</v>
      </c>
      <c r="AV32" s="5650"/>
      <c r="AW32" s="279">
        <v>287</v>
      </c>
      <c r="AX32" s="314"/>
      <c r="AY32" s="1540">
        <f t="shared" si="47"/>
        <v>1973</v>
      </c>
      <c r="AZ32" s="5151"/>
      <c r="BA32" s="1376">
        <f t="shared" si="48"/>
        <v>2734.7560000000003</v>
      </c>
      <c r="BB32" s="5657"/>
      <c r="BC32" s="1542">
        <f t="shared" si="49"/>
        <v>3329.373</v>
      </c>
    </row>
    <row r="33" spans="1:55" ht="21" thickBot="1" x14ac:dyDescent="0.3">
      <c r="A33" s="290" t="s">
        <v>676</v>
      </c>
      <c r="B33" s="2024"/>
      <c r="C33" s="291">
        <f>SUM(C26:C32)</f>
        <v>27624.218000000001</v>
      </c>
      <c r="D33" s="291"/>
      <c r="E33" s="291">
        <f>SUM(E26:E32)</f>
        <v>22562.613000000005</v>
      </c>
      <c r="F33" s="291"/>
      <c r="G33" s="291">
        <f>SUM(G26:G32)</f>
        <v>50186.830999999998</v>
      </c>
      <c r="H33" s="291"/>
      <c r="I33" s="291">
        <f>SUM(I26:I32)</f>
        <v>28506.438000000016</v>
      </c>
      <c r="J33" s="291"/>
      <c r="K33" s="291">
        <f>SUM(K26:K32)</f>
        <v>78693.269000000015</v>
      </c>
      <c r="L33" s="291"/>
      <c r="M33" s="291">
        <f t="shared" ref="M33:AG33" si="53">SUM(M26:M32)</f>
        <v>27144.906000000025</v>
      </c>
      <c r="N33" s="291"/>
      <c r="O33" s="291">
        <f t="shared" si="53"/>
        <v>105838.17500000005</v>
      </c>
      <c r="P33" s="291"/>
      <c r="Q33" s="291">
        <f t="shared" si="53"/>
        <v>37899.142999999982</v>
      </c>
      <c r="R33" s="291"/>
      <c r="S33" s="291">
        <f t="shared" si="53"/>
        <v>143737.318</v>
      </c>
      <c r="T33" s="291"/>
      <c r="U33" s="291">
        <f t="shared" si="53"/>
        <v>22830.683000000001</v>
      </c>
      <c r="V33" s="291"/>
      <c r="W33" s="291">
        <f t="shared" si="53"/>
        <v>87874.732000000004</v>
      </c>
      <c r="X33" s="291"/>
      <c r="Y33" s="291">
        <f t="shared" si="53"/>
        <v>166568.00100000002</v>
      </c>
      <c r="Z33" s="291"/>
      <c r="AA33" s="291">
        <f t="shared" si="53"/>
        <v>28537.091000000015</v>
      </c>
      <c r="AB33" s="291"/>
      <c r="AC33" s="291">
        <f t="shared" si="53"/>
        <v>195105.09200000003</v>
      </c>
      <c r="AD33" s="291"/>
      <c r="AE33" s="291">
        <f t="shared" si="53"/>
        <v>38741</v>
      </c>
      <c r="AF33" s="291"/>
      <c r="AG33" s="291">
        <f t="shared" si="53"/>
        <v>233846.09200000003</v>
      </c>
      <c r="AH33" s="291"/>
      <c r="AI33" s="291">
        <f t="shared" ref="AI33:AM33" si="54">SUM(AI26:AI32)</f>
        <v>29738</v>
      </c>
      <c r="AJ33" s="291"/>
      <c r="AK33" s="291">
        <f t="shared" si="54"/>
        <v>97016.091</v>
      </c>
      <c r="AL33" s="291"/>
      <c r="AM33" s="291">
        <f t="shared" si="54"/>
        <v>263584.09200000006</v>
      </c>
      <c r="AN33" s="291"/>
      <c r="AO33" s="291">
        <f t="shared" ref="AO33:AQ33" si="55">SUM(AO26:AO32)</f>
        <v>32812</v>
      </c>
      <c r="AP33" s="291"/>
      <c r="AQ33" s="291">
        <f t="shared" si="55"/>
        <v>296396.09200000006</v>
      </c>
      <c r="AR33" s="291"/>
      <c r="AS33" s="291">
        <f t="shared" ref="AS33:AU33" si="56">SUM(AS26:AS32)</f>
        <v>26687.392</v>
      </c>
      <c r="AT33" s="291"/>
      <c r="AU33" s="291">
        <f t="shared" si="56"/>
        <v>323083.48400000005</v>
      </c>
      <c r="AV33" s="291"/>
      <c r="AW33" s="291">
        <f t="shared" ref="AW33:BC33" si="57">SUM(AW26:AW32)</f>
        <v>44897</v>
      </c>
      <c r="AX33" s="291"/>
      <c r="AY33" s="291">
        <f t="shared" si="57"/>
        <v>104396.39199999999</v>
      </c>
      <c r="AZ33" s="291"/>
      <c r="BA33" s="291">
        <f t="shared" si="57"/>
        <v>201412.48299999998</v>
      </c>
      <c r="BB33" s="291"/>
      <c r="BC33" s="291">
        <f t="shared" si="57"/>
        <v>367980.48400000005</v>
      </c>
    </row>
    <row r="34" spans="1:55" ht="9.75" customHeight="1" thickBot="1" x14ac:dyDescent="0.3">
      <c r="A34" s="1905"/>
      <c r="B34" s="2030"/>
      <c r="C34" s="1543"/>
      <c r="D34" s="1543"/>
      <c r="E34" s="289"/>
      <c r="F34" s="289"/>
      <c r="G34" s="289"/>
      <c r="H34" s="289"/>
      <c r="I34" s="289"/>
      <c r="J34" s="708"/>
      <c r="K34" s="1545"/>
      <c r="L34" s="289"/>
      <c r="M34" s="289"/>
      <c r="N34" s="708"/>
      <c r="O34" s="1545"/>
      <c r="P34" s="5152"/>
      <c r="Q34" s="289"/>
      <c r="R34" s="289"/>
      <c r="S34" s="1544"/>
      <c r="T34" s="1544"/>
      <c r="U34" s="289"/>
      <c r="V34" s="708"/>
      <c r="W34" s="1545"/>
      <c r="X34" s="5152"/>
      <c r="Y34" s="1544"/>
      <c r="Z34" s="1544"/>
      <c r="AA34" s="289"/>
      <c r="AB34" s="289"/>
      <c r="AC34" s="1544"/>
      <c r="AD34" s="1544"/>
      <c r="AE34" s="289"/>
      <c r="AF34" s="289"/>
      <c r="AG34" s="1544"/>
      <c r="AH34" s="1544"/>
      <c r="AI34" s="289"/>
      <c r="AJ34" s="708"/>
      <c r="AK34" s="1545"/>
      <c r="AL34" s="5152"/>
      <c r="AM34" s="1544"/>
      <c r="AN34" s="1544"/>
      <c r="AO34" s="289"/>
      <c r="AP34" s="289"/>
      <c r="AQ34" s="1544"/>
      <c r="AR34" s="1544"/>
      <c r="AS34" s="289"/>
      <c r="AT34" s="289"/>
      <c r="AU34" s="1544"/>
      <c r="AV34" s="1544"/>
      <c r="AW34" s="289"/>
      <c r="AX34" s="708"/>
      <c r="AY34" s="1545"/>
      <c r="AZ34" s="5152"/>
      <c r="BA34" s="1544"/>
      <c r="BB34" s="1544"/>
      <c r="BC34" s="1544"/>
    </row>
    <row r="35" spans="1:55" ht="21" thickBot="1" x14ac:dyDescent="0.3">
      <c r="A35" s="1551" t="s">
        <v>666</v>
      </c>
      <c r="B35" s="2027"/>
      <c r="C35" s="1552"/>
      <c r="D35" s="1552"/>
      <c r="E35" s="1554"/>
      <c r="F35" s="1554"/>
      <c r="G35" s="1554"/>
      <c r="H35" s="1554"/>
      <c r="I35" s="1554"/>
      <c r="J35" s="2038"/>
      <c r="K35" s="1555"/>
      <c r="L35" s="1554"/>
      <c r="M35" s="1554"/>
      <c r="N35" s="2038"/>
      <c r="O35" s="1555"/>
      <c r="P35" s="1553"/>
      <c r="Q35" s="1554"/>
      <c r="R35" s="1554"/>
      <c r="S35" s="1556"/>
      <c r="T35" s="1556"/>
      <c r="U35" s="1554"/>
      <c r="V35" s="2038"/>
      <c r="W35" s="1555"/>
      <c r="X35" s="1553"/>
      <c r="Y35" s="1556"/>
      <c r="Z35" s="1556"/>
      <c r="AA35" s="1554"/>
      <c r="AB35" s="1554"/>
      <c r="AC35" s="1556"/>
      <c r="AD35" s="1556"/>
      <c r="AE35" s="1554"/>
      <c r="AF35" s="1554"/>
      <c r="AG35" s="1556"/>
      <c r="AH35" s="1556"/>
      <c r="AI35" s="1554"/>
      <c r="AJ35" s="2038"/>
      <c r="AK35" s="1555"/>
      <c r="AL35" s="1553"/>
      <c r="AM35" s="1556"/>
      <c r="AN35" s="1556"/>
      <c r="AO35" s="1554"/>
      <c r="AP35" s="1554"/>
      <c r="AQ35" s="1556"/>
      <c r="AR35" s="1556"/>
      <c r="AS35" s="1554"/>
      <c r="AT35" s="1554"/>
      <c r="AU35" s="1556"/>
      <c r="AV35" s="1556"/>
      <c r="AW35" s="1554"/>
      <c r="AX35" s="2038"/>
      <c r="AY35" s="1555"/>
      <c r="AZ35" s="1553"/>
      <c r="BA35" s="1556"/>
      <c r="BB35" s="1556"/>
      <c r="BC35" s="1556"/>
    </row>
    <row r="36" spans="1:55" ht="15.75" x14ac:dyDescent="0.25">
      <c r="A36" s="1903" t="s">
        <v>1321</v>
      </c>
      <c r="B36" s="2028"/>
      <c r="C36" s="1529">
        <v>6078.2789999999995</v>
      </c>
      <c r="D36" s="1529"/>
      <c r="E36" s="1529">
        <v>2307.7130000000002</v>
      </c>
      <c r="F36" s="1911"/>
      <c r="G36" s="1911">
        <f t="shared" si="5"/>
        <v>8385.9920000000002</v>
      </c>
      <c r="H36" s="1997"/>
      <c r="I36" s="1529"/>
      <c r="J36" s="2039"/>
      <c r="K36" s="1516">
        <f t="shared" ref="K36:K40" si="58">+C36+E36+I36</f>
        <v>8385.9920000000002</v>
      </c>
      <c r="L36" s="1997"/>
      <c r="M36" s="279">
        <v>3216.3830000000007</v>
      </c>
      <c r="N36" s="2035"/>
      <c r="O36" s="2068">
        <f t="shared" ref="O36:O42" si="59">+C36+E36+I36+M36</f>
        <v>11602.375</v>
      </c>
      <c r="P36" s="5645"/>
      <c r="Q36" s="279">
        <v>3663.3610000000008</v>
      </c>
      <c r="R36" s="1529"/>
      <c r="S36" s="318">
        <f t="shared" ref="S36:S42" si="60">+O36+Q36</f>
        <v>15265.736000000001</v>
      </c>
      <c r="T36" s="5653"/>
      <c r="U36" s="279">
        <v>4433.4570000000012</v>
      </c>
      <c r="V36" s="314"/>
      <c r="W36" s="1540">
        <f t="shared" ref="W36:W42" si="61">+M36+Q36+U36</f>
        <v>11313.201000000003</v>
      </c>
      <c r="X36" s="5151"/>
      <c r="Y36" s="1541">
        <f t="shared" ref="Y36:Y42" si="62">+K36+W36</f>
        <v>19699.193000000003</v>
      </c>
      <c r="Z36" s="5659"/>
      <c r="AA36" s="279">
        <v>6888.0729999999976</v>
      </c>
      <c r="AB36" s="1529"/>
      <c r="AC36" s="318">
        <f t="shared" ref="AC36" si="63">+Y36+AA36</f>
        <v>26587.266</v>
      </c>
      <c r="AD36" s="5653"/>
      <c r="AE36" s="279">
        <v>2383</v>
      </c>
      <c r="AF36" s="1529"/>
      <c r="AG36" s="318">
        <f t="shared" ref="AG36" si="64">+AC36+AE36</f>
        <v>28970.266</v>
      </c>
      <c r="AH36" s="5653"/>
      <c r="AI36" s="279">
        <v>2861</v>
      </c>
      <c r="AJ36" s="314"/>
      <c r="AK36" s="1540">
        <f t="shared" ref="AK36:AK42" si="65">+AA36+AE36+AI36</f>
        <v>12132.072999999997</v>
      </c>
      <c r="AL36" s="5151"/>
      <c r="AM36" s="318">
        <f t="shared" ref="AM36" si="66">+AG36+AI36</f>
        <v>31831.266</v>
      </c>
      <c r="AN36" s="5653"/>
      <c r="AO36" s="279"/>
      <c r="AP36" s="279"/>
      <c r="AQ36" s="1542">
        <f t="shared" ref="AQ36:AQ42" si="67">AM36+AO36</f>
        <v>31831.266</v>
      </c>
      <c r="AR36" s="5650"/>
      <c r="AS36" s="279">
        <v>1564.2109999999998</v>
      </c>
      <c r="AT36" s="279"/>
      <c r="AU36" s="1542">
        <f t="shared" ref="AU36:AU40" si="68">AQ36+AS36</f>
        <v>33395.476999999999</v>
      </c>
      <c r="AV36" s="5650"/>
      <c r="AW36" s="279"/>
      <c r="AX36" s="314"/>
      <c r="AY36" s="1540">
        <f t="shared" ref="AY36:AY42" si="69">+AO36+AS36+AW36</f>
        <v>1564.2109999999998</v>
      </c>
      <c r="AZ36" s="5151"/>
      <c r="BA36" s="1376">
        <f t="shared" ref="BA36:BA42" si="70">+AK36+AY36</f>
        <v>13696.283999999996</v>
      </c>
      <c r="BB36" s="5657"/>
      <c r="BC36" s="1542">
        <f>AU36+AW36</f>
        <v>33395.476999999999</v>
      </c>
    </row>
    <row r="37" spans="1:55" ht="15.75" x14ac:dyDescent="0.25">
      <c r="A37" s="277" t="s">
        <v>1452</v>
      </c>
      <c r="B37" s="2023"/>
      <c r="C37" s="279"/>
      <c r="D37" s="279"/>
      <c r="E37" s="278"/>
      <c r="F37" s="278"/>
      <c r="G37" s="278">
        <f>+C37+E37</f>
        <v>0</v>
      </c>
      <c r="H37" s="278"/>
      <c r="I37" s="278"/>
      <c r="J37" s="847"/>
      <c r="K37" s="1516">
        <f t="shared" si="58"/>
        <v>0</v>
      </c>
      <c r="L37" s="278"/>
      <c r="M37" s="278">
        <v>293.04300000000001</v>
      </c>
      <c r="N37" s="5644"/>
      <c r="O37" s="2068">
        <f>+C37+E37+I37+M37</f>
        <v>293.04300000000001</v>
      </c>
      <c r="P37" s="5646"/>
      <c r="Q37" s="278"/>
      <c r="R37" s="313"/>
      <c r="S37" s="318">
        <f>+O37+Q37</f>
        <v>293.04300000000001</v>
      </c>
      <c r="T37" s="318"/>
      <c r="U37" s="278">
        <v>160.70099999999999</v>
      </c>
      <c r="V37" s="5147"/>
      <c r="W37" s="1540">
        <f t="shared" si="61"/>
        <v>453.74400000000003</v>
      </c>
      <c r="X37" s="5151"/>
      <c r="Y37" s="1541">
        <f t="shared" si="62"/>
        <v>453.74400000000003</v>
      </c>
      <c r="Z37" s="1541"/>
      <c r="AA37" s="278"/>
      <c r="AB37" s="313"/>
      <c r="AC37" s="318">
        <f>+Y37+AA37</f>
        <v>453.74400000000003</v>
      </c>
      <c r="AD37" s="318"/>
      <c r="AE37" s="278"/>
      <c r="AF37" s="313"/>
      <c r="AG37" s="318">
        <f>+AC37+AE37</f>
        <v>453.74400000000003</v>
      </c>
      <c r="AH37" s="318"/>
      <c r="AI37" s="278"/>
      <c r="AJ37" s="5147"/>
      <c r="AK37" s="1540">
        <f t="shared" si="65"/>
        <v>0</v>
      </c>
      <c r="AL37" s="5151"/>
      <c r="AM37" s="318">
        <f>+AG37+AI37</f>
        <v>453.74400000000003</v>
      </c>
      <c r="AN37" s="318"/>
      <c r="AO37" s="278"/>
      <c r="AP37" s="5649"/>
      <c r="AQ37" s="1542">
        <f t="shared" si="67"/>
        <v>453.74400000000003</v>
      </c>
      <c r="AR37" s="5651"/>
      <c r="AS37" s="278"/>
      <c r="AT37" s="5649"/>
      <c r="AU37" s="1542">
        <f t="shared" si="68"/>
        <v>453.74400000000003</v>
      </c>
      <c r="AV37" s="5651"/>
      <c r="AW37" s="278"/>
      <c r="AX37" s="5147"/>
      <c r="AY37" s="1540">
        <f t="shared" si="69"/>
        <v>0</v>
      </c>
      <c r="AZ37" s="5151"/>
      <c r="BA37" s="1376">
        <f t="shared" si="70"/>
        <v>0</v>
      </c>
      <c r="BB37" s="5657"/>
      <c r="BC37" s="1542">
        <f>AU37+AW37</f>
        <v>453.74400000000003</v>
      </c>
    </row>
    <row r="38" spans="1:55" ht="15.75" x14ac:dyDescent="0.25">
      <c r="A38" s="1903" t="s">
        <v>1896</v>
      </c>
      <c r="B38" s="2028"/>
      <c r="C38" s="279">
        <v>1796.0699999999997</v>
      </c>
      <c r="D38" s="279"/>
      <c r="E38" s="278">
        <v>1120.433</v>
      </c>
      <c r="F38" s="1911"/>
      <c r="G38" s="1911">
        <f t="shared" si="5"/>
        <v>2916.5029999999997</v>
      </c>
      <c r="H38" s="1997"/>
      <c r="I38" s="278"/>
      <c r="J38" s="2039"/>
      <c r="K38" s="1516">
        <f t="shared" si="58"/>
        <v>2916.5029999999997</v>
      </c>
      <c r="L38" s="1997"/>
      <c r="M38" s="279">
        <v>4394.7830000000004</v>
      </c>
      <c r="N38" s="2035"/>
      <c r="O38" s="2068">
        <f t="shared" si="59"/>
        <v>7311.2860000000001</v>
      </c>
      <c r="P38" s="5645"/>
      <c r="Q38" s="279">
        <v>2122.1970000000001</v>
      </c>
      <c r="R38" s="1529"/>
      <c r="S38" s="318">
        <f t="shared" si="60"/>
        <v>9433.4830000000002</v>
      </c>
      <c r="T38" s="5653"/>
      <c r="U38" s="279">
        <v>4133.4969999999994</v>
      </c>
      <c r="V38" s="314"/>
      <c r="W38" s="1540">
        <f t="shared" si="61"/>
        <v>10650.476999999999</v>
      </c>
      <c r="X38" s="5151"/>
      <c r="Y38" s="1541">
        <f t="shared" si="62"/>
        <v>13566.98</v>
      </c>
      <c r="Z38" s="5659"/>
      <c r="AA38" s="279">
        <v>445.97899999999998</v>
      </c>
      <c r="AB38" s="1529"/>
      <c r="AC38" s="318">
        <f t="shared" ref="AC38:AC40" si="71">+Y38+AA38</f>
        <v>14012.958999999999</v>
      </c>
      <c r="AD38" s="5653"/>
      <c r="AE38" s="279">
        <v>1305</v>
      </c>
      <c r="AF38" s="1529"/>
      <c r="AG38" s="318">
        <f t="shared" ref="AG38:AG40" si="72">+AC38+AE38</f>
        <v>15317.958999999999</v>
      </c>
      <c r="AH38" s="5653"/>
      <c r="AI38" s="279">
        <v>1919</v>
      </c>
      <c r="AJ38" s="314"/>
      <c r="AK38" s="1540">
        <f t="shared" si="65"/>
        <v>3669.9790000000003</v>
      </c>
      <c r="AL38" s="5151"/>
      <c r="AM38" s="318">
        <f t="shared" ref="AM38:AM40" si="73">+AG38+AI38</f>
        <v>17236.958999999999</v>
      </c>
      <c r="AN38" s="5653"/>
      <c r="AO38" s="279">
        <v>2912</v>
      </c>
      <c r="AP38" s="279"/>
      <c r="AQ38" s="1542">
        <f t="shared" si="67"/>
        <v>20148.958999999999</v>
      </c>
      <c r="AR38" s="5650"/>
      <c r="AS38" s="279">
        <v>7407.3279999999968</v>
      </c>
      <c r="AT38" s="279"/>
      <c r="AU38" s="1542">
        <f t="shared" si="68"/>
        <v>27556.286999999997</v>
      </c>
      <c r="AV38" s="5650"/>
      <c r="AW38" s="279">
        <v>1645</v>
      </c>
      <c r="AX38" s="314"/>
      <c r="AY38" s="1540">
        <f t="shared" si="69"/>
        <v>11964.327999999998</v>
      </c>
      <c r="AZ38" s="5151"/>
      <c r="BA38" s="1376">
        <f t="shared" si="70"/>
        <v>15634.306999999997</v>
      </c>
      <c r="BB38" s="5657"/>
      <c r="BC38" s="1542">
        <f>AU38+AW38</f>
        <v>29201.286999999997</v>
      </c>
    </row>
    <row r="39" spans="1:55" ht="15.75" x14ac:dyDescent="0.25">
      <c r="A39" s="277" t="s">
        <v>1337</v>
      </c>
      <c r="B39" s="2023"/>
      <c r="C39" s="279"/>
      <c r="D39" s="279"/>
      <c r="E39" s="279"/>
      <c r="F39" s="279"/>
      <c r="G39" s="279">
        <f t="shared" si="5"/>
        <v>0</v>
      </c>
      <c r="H39" s="279"/>
      <c r="I39" s="279"/>
      <c r="J39" s="2035"/>
      <c r="K39" s="1516">
        <f t="shared" si="58"/>
        <v>0</v>
      </c>
      <c r="L39" s="279"/>
      <c r="M39" s="279">
        <v>538.82099999999991</v>
      </c>
      <c r="N39" s="2035"/>
      <c r="O39" s="2068">
        <f t="shared" si="59"/>
        <v>538.82099999999991</v>
      </c>
      <c r="P39" s="5645"/>
      <c r="Q39" s="279">
        <v>151.24799999999999</v>
      </c>
      <c r="R39" s="1529"/>
      <c r="S39" s="318">
        <f t="shared" si="60"/>
        <v>690.06899999999996</v>
      </c>
      <c r="T39" s="5653"/>
      <c r="U39" s="279"/>
      <c r="V39" s="314"/>
      <c r="W39" s="1540">
        <f t="shared" si="61"/>
        <v>690.06899999999996</v>
      </c>
      <c r="X39" s="5151"/>
      <c r="Y39" s="1541">
        <f t="shared" si="62"/>
        <v>690.06899999999996</v>
      </c>
      <c r="Z39" s="5659"/>
      <c r="AA39" s="279">
        <v>151.24799999999999</v>
      </c>
      <c r="AB39" s="1529"/>
      <c r="AC39" s="318">
        <f t="shared" si="71"/>
        <v>841.31700000000001</v>
      </c>
      <c r="AD39" s="5653"/>
      <c r="AE39" s="279"/>
      <c r="AF39" s="1529"/>
      <c r="AG39" s="318">
        <f t="shared" si="72"/>
        <v>841.31700000000001</v>
      </c>
      <c r="AH39" s="5653"/>
      <c r="AI39" s="279"/>
      <c r="AJ39" s="314"/>
      <c r="AK39" s="1540">
        <f t="shared" si="65"/>
        <v>151.24799999999999</v>
      </c>
      <c r="AL39" s="5151"/>
      <c r="AM39" s="318">
        <f t="shared" si="73"/>
        <v>841.31700000000001</v>
      </c>
      <c r="AN39" s="5653"/>
      <c r="AO39" s="279"/>
      <c r="AP39" s="279"/>
      <c r="AQ39" s="1542">
        <f t="shared" si="67"/>
        <v>841.31700000000001</v>
      </c>
      <c r="AR39" s="5650"/>
      <c r="AS39" s="279">
        <v>825.85400000000016</v>
      </c>
      <c r="AT39" s="279"/>
      <c r="AU39" s="1542">
        <f t="shared" si="68"/>
        <v>1667.1710000000003</v>
      </c>
      <c r="AV39" s="5650"/>
      <c r="AW39" s="279"/>
      <c r="AX39" s="314"/>
      <c r="AY39" s="1540">
        <f t="shared" si="69"/>
        <v>825.85400000000016</v>
      </c>
      <c r="AZ39" s="5151"/>
      <c r="BA39" s="1376">
        <f t="shared" si="70"/>
        <v>977.10200000000009</v>
      </c>
      <c r="BB39" s="5657"/>
      <c r="BC39" s="1542">
        <f>AU39+AW39</f>
        <v>1667.1710000000003</v>
      </c>
    </row>
    <row r="40" spans="1:55" ht="16.5" thickBot="1" x14ac:dyDescent="0.3">
      <c r="A40" s="280" t="s">
        <v>1462</v>
      </c>
      <c r="B40" s="2031"/>
      <c r="C40" s="279">
        <v>151.24799999999999</v>
      </c>
      <c r="D40" s="279"/>
      <c r="E40" s="279"/>
      <c r="F40" s="279"/>
      <c r="G40" s="279">
        <f t="shared" si="5"/>
        <v>151.24799999999999</v>
      </c>
      <c r="H40" s="279"/>
      <c r="I40" s="279"/>
      <c r="J40" s="2035"/>
      <c r="K40" s="1516">
        <f t="shared" si="58"/>
        <v>151.24799999999999</v>
      </c>
      <c r="L40" s="279"/>
      <c r="M40" s="279"/>
      <c r="N40" s="2035"/>
      <c r="O40" s="2068">
        <f t="shared" si="59"/>
        <v>151.24799999999999</v>
      </c>
      <c r="P40" s="5645"/>
      <c r="Q40" s="279"/>
      <c r="R40" s="1529"/>
      <c r="S40" s="318">
        <f t="shared" si="60"/>
        <v>151.24799999999999</v>
      </c>
      <c r="T40" s="5653"/>
      <c r="U40" s="279"/>
      <c r="V40" s="314"/>
      <c r="W40" s="1540">
        <f t="shared" si="61"/>
        <v>0</v>
      </c>
      <c r="X40" s="5151"/>
      <c r="Y40" s="1541">
        <f t="shared" si="62"/>
        <v>151.24799999999999</v>
      </c>
      <c r="Z40" s="5659"/>
      <c r="AA40" s="279">
        <v>160.70099999999999</v>
      </c>
      <c r="AB40" s="1529"/>
      <c r="AC40" s="318">
        <f t="shared" si="71"/>
        <v>311.94899999999996</v>
      </c>
      <c r="AD40" s="5653"/>
      <c r="AE40" s="279"/>
      <c r="AF40" s="1529"/>
      <c r="AG40" s="318">
        <f t="shared" si="72"/>
        <v>311.94899999999996</v>
      </c>
      <c r="AH40" s="5653"/>
      <c r="AI40" s="279"/>
      <c r="AJ40" s="314"/>
      <c r="AK40" s="1540">
        <f t="shared" si="65"/>
        <v>160.70099999999999</v>
      </c>
      <c r="AL40" s="5151"/>
      <c r="AM40" s="318">
        <f t="shared" si="73"/>
        <v>311.94899999999996</v>
      </c>
      <c r="AN40" s="5653"/>
      <c r="AO40" s="279"/>
      <c r="AP40" s="279"/>
      <c r="AQ40" s="1542">
        <f t="shared" si="67"/>
        <v>311.94899999999996</v>
      </c>
      <c r="AR40" s="5650"/>
      <c r="AS40" s="279"/>
      <c r="AT40" s="279"/>
      <c r="AU40" s="1542">
        <f t="shared" si="68"/>
        <v>311.94899999999996</v>
      </c>
      <c r="AV40" s="5650"/>
      <c r="AW40" s="279"/>
      <c r="AX40" s="314"/>
      <c r="AY40" s="1540">
        <f t="shared" si="69"/>
        <v>0</v>
      </c>
      <c r="AZ40" s="5151"/>
      <c r="BA40" s="1376">
        <f t="shared" si="70"/>
        <v>160.70099999999999</v>
      </c>
      <c r="BB40" s="5657"/>
      <c r="BC40" s="1542">
        <f>AU40+AW40</f>
        <v>311.94899999999996</v>
      </c>
    </row>
    <row r="41" spans="1:55" ht="21" thickBot="1" x14ac:dyDescent="0.3">
      <c r="A41" s="1710" t="s">
        <v>677</v>
      </c>
      <c r="B41" s="2032"/>
      <c r="C41" s="291">
        <f>SUM(C36:C40)</f>
        <v>8025.5969999999988</v>
      </c>
      <c r="D41" s="291"/>
      <c r="E41" s="291">
        <f>SUM(E36:E40)</f>
        <v>3428.1460000000002</v>
      </c>
      <c r="F41" s="291"/>
      <c r="G41" s="291">
        <f>SUM(G36:G40)</f>
        <v>11453.742999999999</v>
      </c>
      <c r="H41" s="291"/>
      <c r="I41" s="291">
        <f>SUM(I36:I40)</f>
        <v>0</v>
      </c>
      <c r="J41" s="291"/>
      <c r="K41" s="291">
        <f>SUM(K36:K40)</f>
        <v>11453.742999999999</v>
      </c>
      <c r="L41" s="291"/>
      <c r="M41" s="291">
        <f t="shared" ref="M41:Y41" si="74">SUM(M36:M40)</f>
        <v>8443.0300000000007</v>
      </c>
      <c r="N41" s="291"/>
      <c r="O41" s="291">
        <f t="shared" si="74"/>
        <v>19896.772999999997</v>
      </c>
      <c r="P41" s="291"/>
      <c r="Q41" s="291">
        <f t="shared" si="74"/>
        <v>5936.8060000000005</v>
      </c>
      <c r="R41" s="291"/>
      <c r="S41" s="291">
        <f t="shared" si="74"/>
        <v>25833.579000000002</v>
      </c>
      <c r="T41" s="291"/>
      <c r="U41" s="291">
        <f t="shared" ref="U41" si="75">SUM(U36:U40)</f>
        <v>8727.6550000000007</v>
      </c>
      <c r="V41" s="291"/>
      <c r="W41" s="291">
        <f t="shared" si="74"/>
        <v>23107.491000000002</v>
      </c>
      <c r="X41" s="291"/>
      <c r="Y41" s="291">
        <f t="shared" si="74"/>
        <v>34561.234000000004</v>
      </c>
      <c r="Z41" s="291"/>
      <c r="AA41" s="291">
        <f t="shared" ref="AA41:AC41" si="76">SUM(AA36:AA40)</f>
        <v>7646.0009999999975</v>
      </c>
      <c r="AB41" s="291"/>
      <c r="AC41" s="291">
        <f t="shared" si="76"/>
        <v>42207.235000000001</v>
      </c>
      <c r="AD41" s="291"/>
      <c r="AE41" s="291">
        <f t="shared" ref="AE41:AG41" si="77">SUM(AE36:AE40)</f>
        <v>3688</v>
      </c>
      <c r="AF41" s="291"/>
      <c r="AG41" s="291">
        <f t="shared" si="77"/>
        <v>45895.235000000001</v>
      </c>
      <c r="AH41" s="291"/>
      <c r="AI41" s="291">
        <f t="shared" ref="AI41:AM41" si="78">SUM(AI36:AI40)</f>
        <v>4780</v>
      </c>
      <c r="AJ41" s="291"/>
      <c r="AK41" s="291">
        <f t="shared" si="78"/>
        <v>16114.000999999995</v>
      </c>
      <c r="AL41" s="291"/>
      <c r="AM41" s="291">
        <f t="shared" si="78"/>
        <v>50675.235000000001</v>
      </c>
      <c r="AN41" s="291"/>
      <c r="AO41" s="291">
        <f t="shared" ref="AO41:AQ41" si="79">SUM(AO36:AO40)</f>
        <v>2912</v>
      </c>
      <c r="AP41" s="291"/>
      <c r="AQ41" s="291">
        <f t="shared" si="79"/>
        <v>53587.235000000001</v>
      </c>
      <c r="AR41" s="291"/>
      <c r="AS41" s="291">
        <f t="shared" ref="AS41:AU41" si="80">SUM(AS36:AS40)</f>
        <v>9797.3929999999964</v>
      </c>
      <c r="AT41" s="291"/>
      <c r="AU41" s="291">
        <f t="shared" si="80"/>
        <v>63384.627999999997</v>
      </c>
      <c r="AV41" s="291"/>
      <c r="AW41" s="291">
        <f t="shared" ref="AW41:BC41" si="81">SUM(AW36:AW40)</f>
        <v>1645</v>
      </c>
      <c r="AX41" s="291"/>
      <c r="AY41" s="291">
        <f t="shared" si="81"/>
        <v>14354.392999999996</v>
      </c>
      <c r="AZ41" s="291"/>
      <c r="BA41" s="291">
        <f t="shared" si="81"/>
        <v>30468.393999999993</v>
      </c>
      <c r="BB41" s="291"/>
      <c r="BC41" s="291">
        <f t="shared" si="81"/>
        <v>65029.627999999997</v>
      </c>
    </row>
    <row r="42" spans="1:55" ht="16.5" thickBot="1" x14ac:dyDescent="0.3">
      <c r="A42" s="1711" t="s">
        <v>1455</v>
      </c>
      <c r="B42" s="2033"/>
      <c r="C42" s="1529">
        <v>3143.118999999997</v>
      </c>
      <c r="D42" s="1529"/>
      <c r="E42" s="1529">
        <v>811.04699999999991</v>
      </c>
      <c r="F42" s="1911"/>
      <c r="G42" s="1911">
        <f t="shared" si="5"/>
        <v>3954.165999999997</v>
      </c>
      <c r="H42" s="1997"/>
      <c r="I42" s="1529">
        <v>62.075000000000003</v>
      </c>
      <c r="J42" s="2039"/>
      <c r="K42" s="1516">
        <f>+C42+E42+I42</f>
        <v>4016.2409999999968</v>
      </c>
      <c r="L42" s="1997"/>
      <c r="M42" s="279">
        <v>301.89999999999998</v>
      </c>
      <c r="N42" s="2035"/>
      <c r="O42" s="2068">
        <f t="shared" si="59"/>
        <v>4318.1409999999969</v>
      </c>
      <c r="P42" s="5645"/>
      <c r="Q42" s="279">
        <v>627.77099999999996</v>
      </c>
      <c r="R42" s="1529"/>
      <c r="S42" s="318">
        <f t="shared" si="60"/>
        <v>4945.9119999999966</v>
      </c>
      <c r="T42" s="5653"/>
      <c r="U42" s="279">
        <v>765.86299999999972</v>
      </c>
      <c r="V42" s="314"/>
      <c r="W42" s="1540">
        <f t="shared" si="61"/>
        <v>1695.5339999999997</v>
      </c>
      <c r="X42" s="5151"/>
      <c r="Y42" s="1541">
        <f t="shared" si="62"/>
        <v>5711.774999999996</v>
      </c>
      <c r="Z42" s="5659"/>
      <c r="AA42" s="279">
        <v>579.98299999999983</v>
      </c>
      <c r="AB42" s="1529"/>
      <c r="AC42" s="318">
        <f t="shared" ref="AC42" si="82">+Y42+AA42</f>
        <v>6291.7579999999962</v>
      </c>
      <c r="AD42" s="5653"/>
      <c r="AE42" s="279">
        <v>1454</v>
      </c>
      <c r="AF42" s="1529"/>
      <c r="AG42" s="318">
        <f t="shared" ref="AG42" si="83">+AC42+AE42</f>
        <v>7745.7579999999962</v>
      </c>
      <c r="AH42" s="5653"/>
      <c r="AI42" s="279">
        <v>910</v>
      </c>
      <c r="AJ42" s="314"/>
      <c r="AK42" s="1540">
        <f t="shared" si="65"/>
        <v>2943.9829999999997</v>
      </c>
      <c r="AL42" s="5151"/>
      <c r="AM42" s="318">
        <f t="shared" ref="AM42" si="84">+AG42+AI42</f>
        <v>8655.7579999999962</v>
      </c>
      <c r="AN42" s="5653"/>
      <c r="AO42" s="279">
        <v>307</v>
      </c>
      <c r="AP42" s="279"/>
      <c r="AQ42" s="1542">
        <f t="shared" si="67"/>
        <v>8962.7579999999962</v>
      </c>
      <c r="AR42" s="5650"/>
      <c r="AS42" s="279">
        <v>2067.6439999999989</v>
      </c>
      <c r="AT42" s="279"/>
      <c r="AU42" s="1542">
        <f t="shared" ref="AU42" si="85">AQ42+AS42</f>
        <v>11030.401999999995</v>
      </c>
      <c r="AV42" s="5650"/>
      <c r="AW42" s="279">
        <v>581</v>
      </c>
      <c r="AX42" s="314"/>
      <c r="AY42" s="1540">
        <f t="shared" si="69"/>
        <v>2955.6439999999989</v>
      </c>
      <c r="AZ42" s="5151"/>
      <c r="BA42" s="1376">
        <f t="shared" si="70"/>
        <v>5899.6269999999986</v>
      </c>
      <c r="BB42" s="5657"/>
      <c r="BC42" s="1542">
        <f>AU42+AW42</f>
        <v>11611.401999999995</v>
      </c>
    </row>
    <row r="43" spans="1:55" ht="20.25" x14ac:dyDescent="0.25">
      <c r="A43" s="2042" t="s">
        <v>2</v>
      </c>
      <c r="B43" s="2043"/>
      <c r="C43" s="2044">
        <f>+C41+C33+C23+C17+C42</f>
        <v>51236.487999999998</v>
      </c>
      <c r="D43" s="2044"/>
      <c r="E43" s="2044">
        <f>+E41+E33+E23+E17+E42</f>
        <v>37176.349000000002</v>
      </c>
      <c r="F43" s="2044"/>
      <c r="G43" s="2044">
        <f>+G41+G33+G23+G17+G42</f>
        <v>88412.837</v>
      </c>
      <c r="H43" s="2044"/>
      <c r="I43" s="2044">
        <f>+I41+I33+I23+I17+I42</f>
        <v>44752.343000000015</v>
      </c>
      <c r="J43" s="2044"/>
      <c r="K43" s="2044">
        <f>+K41+K33+K23+K17+K42</f>
        <v>133165.18000000002</v>
      </c>
      <c r="L43" s="2044"/>
      <c r="M43" s="2044">
        <f t="shared" ref="M43:AG43" si="86">+M41+M33+M23+M17+M42</f>
        <v>54748.755000000026</v>
      </c>
      <c r="N43" s="2044"/>
      <c r="O43" s="2044">
        <f t="shared" si="86"/>
        <v>187913.93500000006</v>
      </c>
      <c r="P43" s="2044"/>
      <c r="Q43" s="2044">
        <f t="shared" si="86"/>
        <v>50789.59699999998</v>
      </c>
      <c r="R43" s="2044"/>
      <c r="S43" s="2044">
        <f t="shared" si="86"/>
        <v>238449.12199999997</v>
      </c>
      <c r="T43" s="2044"/>
      <c r="U43" s="2044">
        <f t="shared" si="86"/>
        <v>47766.76</v>
      </c>
      <c r="V43" s="2044"/>
      <c r="W43" s="2044">
        <f t="shared" si="86"/>
        <v>153305.11199999996</v>
      </c>
      <c r="X43" s="2044"/>
      <c r="Y43" s="2044">
        <f t="shared" si="86"/>
        <v>286470.29200000002</v>
      </c>
      <c r="Z43" s="2044"/>
      <c r="AA43" s="2044">
        <f t="shared" si="86"/>
        <v>54840.45900000001</v>
      </c>
      <c r="AB43" s="2044"/>
      <c r="AC43" s="2044">
        <f t="shared" si="86"/>
        <v>341310.75099999999</v>
      </c>
      <c r="AD43" s="2044"/>
      <c r="AE43" s="2044">
        <f t="shared" si="86"/>
        <v>49496</v>
      </c>
      <c r="AF43" s="2044"/>
      <c r="AG43" s="2044">
        <f t="shared" si="86"/>
        <v>390806.75099999999</v>
      </c>
      <c r="AH43" s="2044"/>
      <c r="AI43" s="2044">
        <f t="shared" ref="AI43:AM43" si="87">+AI41+AI33+AI23+AI17+AI42</f>
        <v>52309</v>
      </c>
      <c r="AJ43" s="2044"/>
      <c r="AK43" s="2044">
        <f t="shared" si="87"/>
        <v>156645.45899999997</v>
      </c>
      <c r="AL43" s="2044"/>
      <c r="AM43" s="2044">
        <f t="shared" si="87"/>
        <v>443115.75099999999</v>
      </c>
      <c r="AN43" s="2044"/>
      <c r="AO43" s="2044">
        <f t="shared" ref="AO43:AQ43" si="88">+AO41+AO33+AO23+AO17+AO42</f>
        <v>54453</v>
      </c>
      <c r="AP43" s="2044"/>
      <c r="AQ43" s="2044">
        <f t="shared" si="88"/>
        <v>497568.75099999999</v>
      </c>
      <c r="AR43" s="2044"/>
      <c r="AS43" s="2044">
        <f t="shared" ref="AS43:AU43" si="89">+AS41+AS33+AS23+AS17+AS42</f>
        <v>51619.873999999996</v>
      </c>
      <c r="AT43" s="2044"/>
      <c r="AU43" s="2044">
        <f t="shared" si="89"/>
        <v>549188.625</v>
      </c>
      <c r="AV43" s="2044"/>
      <c r="AW43" s="2044">
        <f t="shared" ref="AW43:BC43" si="90">+AW41+AW33+AW23+AW17+AW42</f>
        <v>54203</v>
      </c>
      <c r="AX43" s="2044"/>
      <c r="AY43" s="2044">
        <f t="shared" si="90"/>
        <v>160275.87399999998</v>
      </c>
      <c r="AZ43" s="2044"/>
      <c r="BA43" s="2044">
        <f t="shared" si="90"/>
        <v>316921.33299999998</v>
      </c>
      <c r="BB43" s="2044"/>
      <c r="BC43" s="2044">
        <f t="shared" si="90"/>
        <v>603391.625</v>
      </c>
    </row>
    <row r="44" spans="1:55" ht="20.25" hidden="1" x14ac:dyDescent="0.25">
      <c r="A44" s="2045" t="s">
        <v>1236</v>
      </c>
      <c r="B44" s="2046"/>
      <c r="C44" s="2046">
        <f>+C17-SMS!F38</f>
        <v>-6.0000000012223609E-3</v>
      </c>
      <c r="D44" s="2046"/>
      <c r="E44" s="2046">
        <f>+E17-SMS!H38</f>
        <v>-3.0999999999949068E-2</v>
      </c>
      <c r="F44" s="2046"/>
      <c r="G44" s="2046">
        <f>+C44+E44</f>
        <v>-3.7000000001171429E-2</v>
      </c>
      <c r="H44" s="2046"/>
      <c r="I44" s="2046">
        <f>+I17-SMS!L38</f>
        <v>2.0000000000436557E-2</v>
      </c>
      <c r="J44" s="2046"/>
      <c r="K44" s="2046">
        <f>+K17-SMS!N38</f>
        <v>-1.6999999999825377E-2</v>
      </c>
      <c r="L44" s="2133"/>
      <c r="M44" s="2040">
        <f>+M17-SMS!P38</f>
        <v>-0.18900000000212458</v>
      </c>
      <c r="N44" s="2040"/>
      <c r="O44" s="2041"/>
      <c r="P44" s="2041"/>
      <c r="Q44" s="2040">
        <f>+Q17-SMS!R38</f>
        <v>-45153.681999999993</v>
      </c>
      <c r="R44" s="2040"/>
      <c r="S44" s="2041"/>
      <c r="T44" s="2041"/>
      <c r="U44" s="2040">
        <f>+U17-SMS!T38</f>
        <v>8181.7450000000008</v>
      </c>
      <c r="V44" s="2040"/>
      <c r="W44" s="2041"/>
      <c r="X44" s="2041"/>
      <c r="Y44" s="2041"/>
      <c r="Z44" s="2041"/>
      <c r="AO44" s="4441"/>
      <c r="AQ44" s="4441"/>
    </row>
    <row r="45" spans="1:55" ht="20.25" hidden="1" x14ac:dyDescent="0.25">
      <c r="A45" s="2045" t="s">
        <v>1128</v>
      </c>
      <c r="B45" s="2046"/>
      <c r="C45" s="2046">
        <f>+C23-SMS!F39</f>
        <v>0</v>
      </c>
      <c r="D45" s="2046"/>
      <c r="E45" s="2046">
        <f>+E23-SMS!H39</f>
        <v>-170.27599999999984</v>
      </c>
      <c r="F45" s="2046">
        <f>+F23-SMS!I39</f>
        <v>0</v>
      </c>
      <c r="G45" s="2046">
        <f>+G23-SMS!J39</f>
        <v>-170.27599999999984</v>
      </c>
      <c r="H45" s="2046"/>
      <c r="I45" s="2046">
        <f>+I23-SMS!L39</f>
        <v>0</v>
      </c>
      <c r="J45" s="2046"/>
      <c r="K45" s="2046">
        <f>+K23-SMS!N39</f>
        <v>-170.27599999999984</v>
      </c>
      <c r="L45" s="2133"/>
      <c r="M45" s="2040"/>
      <c r="N45" s="2040"/>
      <c r="O45" s="2040"/>
      <c r="P45" s="2040"/>
      <c r="Q45" s="2040"/>
      <c r="R45" s="2040"/>
      <c r="S45" s="2040"/>
      <c r="T45" s="2040"/>
      <c r="U45" s="2040"/>
      <c r="V45" s="2040"/>
      <c r="W45" s="2041"/>
      <c r="X45" s="2041"/>
      <c r="Y45" s="2041"/>
      <c r="Z45" s="2041"/>
      <c r="AO45" s="4441"/>
      <c r="AQ45" s="4441"/>
    </row>
    <row r="46" spans="1:55" hidden="1" x14ac:dyDescent="0.25">
      <c r="A46" s="2045" t="s">
        <v>1329</v>
      </c>
      <c r="B46" s="2046"/>
      <c r="C46" s="2046">
        <f>+C33-SMS!F40</f>
        <v>-1053.851999999999</v>
      </c>
      <c r="D46" s="2046"/>
      <c r="E46" s="2046">
        <f>+E33-SMS!H40</f>
        <v>-306.62699999999677</v>
      </c>
      <c r="F46" s="2046"/>
      <c r="G46" s="2046">
        <f>+G33-SMS!J40</f>
        <v>-1360.4789999999994</v>
      </c>
      <c r="H46" s="2046"/>
      <c r="I46" s="2046">
        <f>+I33-SMS!L40</f>
        <v>-61.521999999982654</v>
      </c>
      <c r="J46" s="2046"/>
      <c r="K46" s="2046">
        <f>+K33-SMS!N40</f>
        <v>-1422.0009999999747</v>
      </c>
      <c r="L46" s="2133"/>
      <c r="M46" s="319"/>
      <c r="N46" s="319"/>
      <c r="O46" s="319"/>
      <c r="P46" s="319"/>
      <c r="Q46" s="319"/>
      <c r="R46" s="319"/>
      <c r="S46" s="319"/>
      <c r="T46" s="319"/>
      <c r="U46" s="319"/>
      <c r="V46" s="319"/>
      <c r="W46" s="319"/>
      <c r="X46" s="319"/>
      <c r="Y46" s="319"/>
      <c r="Z46" s="319"/>
      <c r="AO46" s="4441"/>
      <c r="AQ46" s="4441"/>
    </row>
    <row r="47" spans="1:55" hidden="1" x14ac:dyDescent="0.25">
      <c r="A47" s="2045" t="s">
        <v>666</v>
      </c>
      <c r="B47" s="2046"/>
      <c r="C47" s="2046">
        <f>+C41-SMS!F41</f>
        <v>-2088.8930000000009</v>
      </c>
      <c r="D47" s="2046"/>
      <c r="E47" s="2046">
        <f>+E41-SMS!H41</f>
        <v>-333.31399999999985</v>
      </c>
      <c r="F47" s="2046"/>
      <c r="G47" s="2046">
        <f>+G41-SMS!J41</f>
        <v>-2422.2070000000022</v>
      </c>
      <c r="H47" s="2046"/>
      <c r="I47" s="2046">
        <f>+I41-SMS!L41</f>
        <v>0</v>
      </c>
      <c r="J47" s="2046"/>
      <c r="K47" s="2046">
        <f>+K41-SMS!N41</f>
        <v>-2422.2070000000022</v>
      </c>
      <c r="L47" s="2133"/>
      <c r="M47" s="319"/>
      <c r="N47" s="319"/>
      <c r="O47" s="319"/>
      <c r="P47" s="319"/>
      <c r="Q47" s="319"/>
      <c r="R47" s="319"/>
      <c r="S47" s="319"/>
      <c r="T47" s="319"/>
      <c r="U47" s="319"/>
      <c r="V47" s="319"/>
      <c r="W47" s="319"/>
      <c r="X47" s="319"/>
      <c r="Y47" s="319"/>
      <c r="Z47" s="319"/>
      <c r="AO47" s="4441"/>
      <c r="AQ47" s="4441"/>
    </row>
    <row r="48" spans="1:55" hidden="1" x14ac:dyDescent="0.25">
      <c r="A48" s="2045" t="s">
        <v>1330</v>
      </c>
      <c r="B48" s="2047"/>
      <c r="C48" s="2046">
        <f>C43-(SMS!F38+SMS!F39+SMS!F40+SMS!F41)</f>
        <v>0.36800000000221189</v>
      </c>
      <c r="D48" s="2046">
        <f>D43-(SMS!G38+SMS!G39+SMS!G40+SMS!G41)</f>
        <v>-43267</v>
      </c>
      <c r="E48" s="2046">
        <f>E43-(SMS!H38+SMS!H39+SMS!H40+SMS!H41)</f>
        <v>0.79900000000634464</v>
      </c>
      <c r="F48" s="2046">
        <f>F43-(SMS!I38+SMS!I39+SMS!I40+SMS!I41)</f>
        <v>-94676</v>
      </c>
      <c r="G48" s="2046">
        <f>G43-(SMS!J38+SMS!J39+SMS!J40+SMS!J41)</f>
        <v>1.1670000000012806</v>
      </c>
      <c r="H48" s="2046">
        <f>H43-(SMS!K38+SMS!K39+SMS!K40+SMS!K41)</f>
        <v>-42041.5</v>
      </c>
      <c r="I48" s="2046">
        <f>I43-(SMS!L38+SMS!L39+SMS!L40+SMS!L41)</f>
        <v>0.57300000001851004</v>
      </c>
      <c r="J48" s="2046">
        <f>J43-(SMS!M38+SMS!M39+SMS!M40+SMS!M41)</f>
        <v>-136717.5</v>
      </c>
      <c r="K48" s="2046">
        <f>K43-(SMS!N38+SMS!N39+SMS!N40+SMS!N41)</f>
        <v>1.7400000000197906</v>
      </c>
      <c r="L48" s="2133"/>
      <c r="M48" s="319"/>
      <c r="N48" s="319"/>
      <c r="O48" s="319"/>
      <c r="P48" s="319"/>
      <c r="Q48" s="319"/>
      <c r="R48" s="319"/>
      <c r="S48" s="319"/>
      <c r="T48" s="319"/>
      <c r="U48" s="319"/>
      <c r="V48" s="319"/>
      <c r="W48" s="319"/>
      <c r="X48" s="319"/>
      <c r="Y48" s="319"/>
      <c r="Z48" s="319"/>
      <c r="AO48" s="4441"/>
      <c r="AQ48" s="4441"/>
    </row>
    <row r="49" spans="41:55" x14ac:dyDescent="0.25">
      <c r="AO49" s="4441"/>
      <c r="AQ49" s="4441"/>
    </row>
    <row r="50" spans="41:55" x14ac:dyDescent="0.25">
      <c r="BC50" s="26"/>
    </row>
  </sheetData>
  <mergeCells count="29">
    <mergeCell ref="A2:Y2"/>
    <mergeCell ref="A4:A5"/>
    <mergeCell ref="B4:C4"/>
    <mergeCell ref="D4:E4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  <mergeCell ref="Z4:AA4"/>
    <mergeCell ref="AB4:AC4"/>
    <mergeCell ref="AD4:AE4"/>
    <mergeCell ref="AF4:AG4"/>
    <mergeCell ref="AH4:AI4"/>
    <mergeCell ref="AJ4:AK4"/>
    <mergeCell ref="AV4:AW4"/>
    <mergeCell ref="AX4:AY4"/>
    <mergeCell ref="AZ4:BA4"/>
    <mergeCell ref="BB4:BC4"/>
    <mergeCell ref="AL4:AM4"/>
    <mergeCell ref="AN4:AO4"/>
    <mergeCell ref="AP4:AQ4"/>
    <mergeCell ref="AR4:AS4"/>
    <mergeCell ref="AT4:AU4"/>
  </mergeCells>
  <pageMargins left="0.7" right="0.7" top="0.75" bottom="0.75" header="0.3" footer="0.3"/>
  <pageSetup paperSize="9" scale="56" orientation="landscape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>
    <tabColor rgb="FFFFC000"/>
    <pageSetUpPr fitToPage="1"/>
  </sheetPr>
  <dimension ref="A1:WZN170"/>
  <sheetViews>
    <sheetView workbookViewId="0">
      <pane xSplit="4" ySplit="3" topLeftCell="BA57" activePane="bottomRight" state="frozen"/>
      <selection pane="topRight" activeCell="E1" sqref="E1"/>
      <selection pane="bottomLeft" activeCell="A4" sqref="A4"/>
      <selection pane="bottomRight" activeCell="G125" sqref="G125"/>
    </sheetView>
  </sheetViews>
  <sheetFormatPr defaultRowHeight="15" x14ac:dyDescent="0.25"/>
  <cols>
    <col min="3" max="3" width="24.5703125" bestFit="1" customWidth="1"/>
    <col min="4" max="4" width="59.42578125" bestFit="1" customWidth="1"/>
    <col min="5" max="5" width="50.5703125" style="346" customWidth="1"/>
    <col min="6" max="6" width="15.42578125" hidden="1" customWidth="1"/>
    <col min="7" max="7" width="10.5703125" customWidth="1"/>
    <col min="8" max="8" width="9.85546875" hidden="1" customWidth="1"/>
    <col min="9" max="9" width="9.85546875" customWidth="1"/>
    <col min="10" max="12" width="10.140625" hidden="1" customWidth="1"/>
    <col min="13" max="13" width="9.85546875" customWidth="1"/>
    <col min="14" max="14" width="10.140625" hidden="1" customWidth="1"/>
    <col min="15" max="15" width="15.7109375" style="761" customWidth="1"/>
    <col min="16" max="16" width="10" hidden="1" customWidth="1"/>
    <col min="17" max="17" width="9.85546875" customWidth="1"/>
    <col min="18" max="18" width="11" hidden="1" customWidth="1"/>
    <col min="19" max="19" width="9.85546875" style="756" hidden="1" customWidth="1"/>
    <col min="20" max="20" width="10" style="2649" hidden="1" customWidth="1"/>
    <col min="21" max="21" width="12" style="2570" customWidth="1"/>
    <col min="22" max="22" width="14.85546875" style="2570" hidden="1" customWidth="1"/>
    <col min="23" max="23" width="17.140625" style="756" hidden="1" customWidth="1"/>
    <col min="24" max="24" width="17.140625" style="183" hidden="1" customWidth="1"/>
    <col min="25" max="25" width="9.85546875" style="183" customWidth="1"/>
    <col min="26" max="26" width="10.140625" style="3385" hidden="1" customWidth="1"/>
    <col min="27" max="27" width="9.85546875" style="761" customWidth="1"/>
    <col min="28" max="28" width="9.85546875" style="545" hidden="1" customWidth="1"/>
    <col min="29" max="29" width="10.28515625" style="545" customWidth="1"/>
    <col min="30" max="30" width="11.28515625" hidden="1" customWidth="1"/>
    <col min="31" max="31" width="11.28515625" customWidth="1"/>
    <col min="32" max="32" width="9.140625" hidden="1" customWidth="1"/>
    <col min="33" max="34" width="11.28515625" hidden="1" customWidth="1"/>
    <col min="35" max="35" width="10.42578125" customWidth="1"/>
    <col min="36" max="36" width="9.140625" hidden="1" customWidth="1"/>
    <col min="37" max="37" width="10.28515625" hidden="1" customWidth="1"/>
    <col min="38" max="38" width="11.28515625" hidden="1" customWidth="1"/>
    <col min="39" max="39" width="9.85546875" customWidth="1"/>
    <col min="40" max="40" width="10" hidden="1" customWidth="1"/>
    <col min="41" max="41" width="9.85546875" style="761" customWidth="1"/>
    <col min="42" max="42" width="9.140625" hidden="1" customWidth="1"/>
    <col min="43" max="43" width="10.28515625" hidden="1" customWidth="1"/>
    <col min="44" max="44" width="11.28515625" hidden="1" customWidth="1"/>
    <col min="45" max="45" width="9.85546875" customWidth="1"/>
    <col min="46" max="46" width="11.5703125" hidden="1" customWidth="1"/>
    <col min="47" max="47" width="10.28515625" hidden="1" customWidth="1"/>
    <col min="48" max="48" width="11.28515625" hidden="1" customWidth="1"/>
    <col min="49" max="49" width="10.42578125" customWidth="1"/>
    <col min="50" max="50" width="9.140625" hidden="1" customWidth="1"/>
    <col min="51" max="51" width="10.28515625" hidden="1" customWidth="1"/>
    <col min="52" max="52" width="11.28515625" hidden="1" customWidth="1"/>
    <col min="53" max="53" width="9.85546875" customWidth="1"/>
    <col min="54" max="54" width="10" style="5121" hidden="1" customWidth="1"/>
    <col min="55" max="55" width="9.85546875" style="761" customWidth="1"/>
    <col min="56" max="56" width="9.140625" style="545" hidden="1" customWidth="1"/>
    <col min="57" max="57" width="10.28515625" style="545" customWidth="1"/>
    <col min="58" max="58" width="9.140625" hidden="1" customWidth="1"/>
    <col min="59" max="59" width="11.28515625" style="756" bestFit="1" customWidth="1"/>
  </cols>
  <sheetData>
    <row r="1" spans="3:61" s="183" customFormat="1" ht="23.25" x14ac:dyDescent="0.35">
      <c r="C1" s="6439" t="s">
        <v>1614</v>
      </c>
      <c r="D1" s="6439"/>
      <c r="E1" s="6439"/>
      <c r="F1" s="6439"/>
      <c r="G1" s="6439"/>
      <c r="H1" s="6439"/>
      <c r="I1" s="6439"/>
      <c r="J1" s="6439"/>
      <c r="K1" s="6439"/>
      <c r="L1" s="6439"/>
      <c r="M1" s="6439"/>
      <c r="N1" s="6439"/>
      <c r="O1" s="6439"/>
      <c r="Q1" s="670"/>
      <c r="Y1" s="670"/>
    </row>
    <row r="2" spans="3:61" s="183" customFormat="1" x14ac:dyDescent="0.25">
      <c r="E2" s="184"/>
      <c r="G2" s="670"/>
      <c r="H2" s="670"/>
      <c r="I2" s="670"/>
      <c r="J2" s="670"/>
      <c r="K2" s="670"/>
      <c r="L2" s="670"/>
      <c r="M2" s="670"/>
      <c r="N2" s="670"/>
      <c r="O2" s="670"/>
      <c r="P2" s="670"/>
      <c r="Q2" s="670"/>
      <c r="R2" s="670"/>
      <c r="S2" s="670"/>
      <c r="T2" s="670"/>
      <c r="U2" s="670"/>
      <c r="V2" s="670"/>
      <c r="W2" s="670"/>
      <c r="X2" s="670"/>
      <c r="Y2" s="670"/>
      <c r="Z2" s="670"/>
      <c r="AA2" s="670"/>
      <c r="AC2" s="670"/>
      <c r="AD2" s="670"/>
      <c r="AE2" s="670"/>
      <c r="AF2" s="670"/>
      <c r="AG2" s="670"/>
    </row>
    <row r="3" spans="3:61" ht="18.75" x14ac:dyDescent="0.3">
      <c r="C3" s="674" t="s">
        <v>1011</v>
      </c>
      <c r="D3" s="674" t="s">
        <v>881</v>
      </c>
      <c r="E3" s="2401" t="s">
        <v>176</v>
      </c>
      <c r="F3" s="6447" t="s">
        <v>1506</v>
      </c>
      <c r="G3" s="6448"/>
      <c r="H3" s="6447" t="s">
        <v>1526</v>
      </c>
      <c r="I3" s="6448"/>
      <c r="J3" s="6454" t="s">
        <v>680</v>
      </c>
      <c r="K3" s="6455"/>
      <c r="L3" s="6447" t="s">
        <v>1620</v>
      </c>
      <c r="M3" s="6448"/>
      <c r="N3" s="6442" t="s">
        <v>658</v>
      </c>
      <c r="O3" s="6443"/>
      <c r="P3" s="6456" t="s">
        <v>1688</v>
      </c>
      <c r="Q3" s="6456"/>
      <c r="R3" s="6438" t="s">
        <v>672</v>
      </c>
      <c r="S3" s="6438"/>
      <c r="T3" s="6456" t="s">
        <v>1731</v>
      </c>
      <c r="U3" s="6456"/>
      <c r="V3" s="6438" t="s">
        <v>866</v>
      </c>
      <c r="W3" s="6438"/>
      <c r="X3" s="5622"/>
      <c r="Y3" s="5623" t="s">
        <v>1766</v>
      </c>
      <c r="Z3" s="6442" t="s">
        <v>682</v>
      </c>
      <c r="AA3" s="6443"/>
      <c r="AB3" s="5629"/>
      <c r="AC3" s="5265" t="s">
        <v>520</v>
      </c>
      <c r="AD3" s="6456" t="s">
        <v>1831</v>
      </c>
      <c r="AE3" s="6456"/>
      <c r="AF3" s="6438" t="s">
        <v>1148</v>
      </c>
      <c r="AG3" s="6438"/>
      <c r="AH3" s="6456" t="s">
        <v>1863</v>
      </c>
      <c r="AI3" s="6456"/>
      <c r="AJ3" s="6438" t="s">
        <v>1864</v>
      </c>
      <c r="AK3" s="6438"/>
      <c r="AL3" s="6456" t="s">
        <v>1888</v>
      </c>
      <c r="AM3" s="6456"/>
      <c r="AN3" s="6442" t="s">
        <v>684</v>
      </c>
      <c r="AO3" s="6443"/>
      <c r="AP3" s="6438" t="s">
        <v>951</v>
      </c>
      <c r="AQ3" s="6438"/>
      <c r="AR3" s="6456" t="s">
        <v>1918</v>
      </c>
      <c r="AS3" s="6456"/>
      <c r="AT3" s="6438" t="s">
        <v>1919</v>
      </c>
      <c r="AU3" s="6438"/>
      <c r="AV3" s="6456" t="s">
        <v>1940</v>
      </c>
      <c r="AW3" s="6456"/>
      <c r="AX3" s="6438" t="s">
        <v>1941</v>
      </c>
      <c r="AY3" s="6438"/>
      <c r="AZ3" s="6456" t="s">
        <v>1965</v>
      </c>
      <c r="BA3" s="6456"/>
      <c r="BB3" s="6442" t="s">
        <v>685</v>
      </c>
      <c r="BC3" s="6443"/>
      <c r="BD3" s="5629"/>
      <c r="BE3" s="5265" t="s">
        <v>558</v>
      </c>
      <c r="BF3" s="6438" t="s">
        <v>1513</v>
      </c>
      <c r="BG3" s="6438"/>
    </row>
    <row r="4" spans="3:61" ht="18.75" x14ac:dyDescent="0.3">
      <c r="C4" s="675" t="s">
        <v>17</v>
      </c>
      <c r="D4" s="2207" t="s">
        <v>1481</v>
      </c>
      <c r="E4" s="6452"/>
      <c r="F4" s="675"/>
      <c r="G4" s="676">
        <f>+SUMIF(WRM!$C$7:$C$95,$D4,WRM!$F$7:$F$95)</f>
        <v>3390.7000000000003</v>
      </c>
      <c r="H4" s="676"/>
      <c r="I4" s="676">
        <f>+SUMIF(WRM!$C$7:$C$95,$D4,WRM!$H$7:$H$95)</f>
        <v>756.44999999999993</v>
      </c>
      <c r="J4" s="753"/>
      <c r="K4" s="753">
        <f>+G4+I4</f>
        <v>4147.1500000000005</v>
      </c>
      <c r="L4" s="676"/>
      <c r="M4" s="676">
        <f>+SUMIF(WRM!$C$7:$C$95,$D4,WRM!$L$7:$L$95)</f>
        <v>2732.6500000000005</v>
      </c>
      <c r="N4" s="758"/>
      <c r="O4" s="758">
        <f>+G4+I4+M4</f>
        <v>6879.8000000000011</v>
      </c>
      <c r="P4" s="676"/>
      <c r="Q4" s="676">
        <f>+SUMIF(WRM!$C$7:$C$95,$D4,WRM!$P$7:$P$95)</f>
        <v>1866.2799999999995</v>
      </c>
      <c r="S4" s="753">
        <f>O4+Q4</f>
        <v>8746.08</v>
      </c>
      <c r="T4" s="676"/>
      <c r="U4" s="676">
        <f>+SUMIF(WRM!$C$7:$C$95,$D4,WRM!$T$7:$T$95)</f>
        <v>1730.1999999999998</v>
      </c>
      <c r="W4" s="753">
        <f>S4+U4</f>
        <v>10476.279999999999</v>
      </c>
      <c r="X4" s="5624"/>
      <c r="Y4" s="703">
        <f>+SUMIF(WRM!$C$7:$C$95,$D4,WRM!$X$7:$X$95)</f>
        <v>1885.9999999999998</v>
      </c>
      <c r="Z4" s="758"/>
      <c r="AA4" s="758">
        <f>Q4+U4+Y4</f>
        <v>5482.48</v>
      </c>
      <c r="AB4" s="5630"/>
      <c r="AC4" s="5682">
        <f>O4+AA4</f>
        <v>12362.28</v>
      </c>
      <c r="AD4" s="676"/>
      <c r="AE4" s="676">
        <f>+SUMIF(WRM!$C$7:$C$95,$D4,WRM!$AD$7:$AD$95)</f>
        <v>2919.2000000000003</v>
      </c>
      <c r="AF4" s="4092"/>
      <c r="AG4" s="753">
        <f>+AC4+AE4</f>
        <v>15281.480000000001</v>
      </c>
      <c r="AH4" s="676"/>
      <c r="AI4" s="676">
        <f>+SUMIF(WRM!$C$7:$C$95,$D4,WRM!$AH$7:$AH$95)</f>
        <v>1711.7500000000002</v>
      </c>
      <c r="AJ4" s="4198"/>
      <c r="AK4" s="753">
        <f>AG4+AI4</f>
        <v>16993.230000000003</v>
      </c>
      <c r="AL4" s="676"/>
      <c r="AM4" s="676">
        <f>+SUMIF(WRM!$C$7:$C$95,$D4,WRM!$AL$7:$AL$95)</f>
        <v>4030.2999999999993</v>
      </c>
      <c r="AN4" s="758"/>
      <c r="AO4" s="758">
        <f>AM4+AI4+AE4</f>
        <v>8661.25</v>
      </c>
      <c r="AP4" s="4332"/>
      <c r="AQ4" s="753">
        <f>AK4+AM4</f>
        <v>21023.530000000002</v>
      </c>
      <c r="AR4" s="676"/>
      <c r="AS4" s="676">
        <f>+SUMIF(WRM!$C$7:$C$95,$D4,WRM!$AR$7:$AR$95)</f>
        <v>4081.55</v>
      </c>
      <c r="AT4" s="4441"/>
      <c r="AU4" s="753">
        <f>AQ4+AS4</f>
        <v>25105.08</v>
      </c>
      <c r="AV4" s="676"/>
      <c r="AW4" s="676">
        <f>+SUMIF(WRM!$C$7:$C$95,$D4,WRM!$AV$7:$AV$95)</f>
        <v>781.05</v>
      </c>
      <c r="AX4" s="4675"/>
      <c r="AY4" s="753">
        <f>AU4+AW4</f>
        <v>25886.13</v>
      </c>
      <c r="AZ4" s="676"/>
      <c r="BA4" s="676">
        <f>+SUMIF(WRM!$C$7:$C$95,$D4,WRM!$AZ$7:$AZ$95)</f>
        <v>1568.25</v>
      </c>
      <c r="BB4" s="758"/>
      <c r="BC4" s="758">
        <f>+AS4+AW4+BA4</f>
        <v>6430.85</v>
      </c>
      <c r="BD4" s="5633"/>
      <c r="BE4" s="5682">
        <f>AO4+BC4</f>
        <v>15092.1</v>
      </c>
      <c r="BF4" s="5121"/>
      <c r="BG4" s="753">
        <f>AY4+BA4</f>
        <v>27454.38</v>
      </c>
      <c r="BH4" s="26"/>
      <c r="BI4" s="26"/>
    </row>
    <row r="5" spans="3:61" ht="18.75" x14ac:dyDescent="0.3">
      <c r="C5" s="675" t="s">
        <v>17</v>
      </c>
      <c r="D5" s="2207" t="s">
        <v>939</v>
      </c>
      <c r="E5" s="6452"/>
      <c r="F5" s="675"/>
      <c r="G5" s="676">
        <f>+SUMIF(WRM!$C$7:$C$95,$D5,WRM!$F$7:$F$95)</f>
        <v>200.9</v>
      </c>
      <c r="H5" s="676"/>
      <c r="I5" s="676">
        <f>+SUMIF(WRM!$C$7:$C$95,$D5,WRM!$H$7:$H$95)</f>
        <v>0</v>
      </c>
      <c r="J5" s="753"/>
      <c r="K5" s="753">
        <f t="shared" ref="K5:K68" si="0">+G5+I5</f>
        <v>200.9</v>
      </c>
      <c r="L5" s="676"/>
      <c r="M5" s="676">
        <f>+SUMIF(WRM!$C$7:$C$95,$D5,WRM!$L$7:$L$95)</f>
        <v>0</v>
      </c>
      <c r="N5" s="758"/>
      <c r="O5" s="758">
        <f t="shared" ref="O5:O68" si="1">+G5+I5+M5</f>
        <v>200.9</v>
      </c>
      <c r="P5" s="676"/>
      <c r="Q5" s="676">
        <f>+SUMIF(WRM!$C$7:$C$95,$D5,WRM!$P$7:$P$95)</f>
        <v>0</v>
      </c>
      <c r="S5" s="753">
        <f t="shared" ref="S5:S68" si="2">O5+Q5</f>
        <v>200.9</v>
      </c>
      <c r="T5" s="676"/>
      <c r="U5" s="676">
        <f>+SUMIF(WRM!$C$7:$C$95,$D5,WRM!$T$7:$T$95)</f>
        <v>0</v>
      </c>
      <c r="W5" s="753">
        <f t="shared" ref="W5:W68" si="3">S5+U5</f>
        <v>200.9</v>
      </c>
      <c r="X5" s="5624"/>
      <c r="Y5" s="703">
        <f>+SUMIF(WRM!$C$7:$C$95,$D5,WRM!$X$7:$X$95)</f>
        <v>0</v>
      </c>
      <c r="Z5" s="758"/>
      <c r="AA5" s="758">
        <f t="shared" ref="AA5:AA68" si="4">Q5+U5+Y5</f>
        <v>0</v>
      </c>
      <c r="AB5" s="5630"/>
      <c r="AC5" s="5682">
        <f t="shared" ref="AC5:AC68" si="5">O5+AA5</f>
        <v>200.9</v>
      </c>
      <c r="AD5" s="676"/>
      <c r="AE5" s="676">
        <f>+SUMIF(WRM!$C$7:$C$95,$D5,WRM!$AD$7:$AD$95)</f>
        <v>0</v>
      </c>
      <c r="AF5" s="4092"/>
      <c r="AG5" s="753">
        <f t="shared" ref="AG5:AG68" si="6">+AC5+AE5</f>
        <v>200.9</v>
      </c>
      <c r="AH5" s="676"/>
      <c r="AI5" s="676">
        <f>+SUMIF(WRM!$C$7:$C$95,$D5,WRM!$AH$7:$AH$95)</f>
        <v>0</v>
      </c>
      <c r="AJ5" s="4198"/>
      <c r="AK5" s="753">
        <f t="shared" ref="AK5:AK68" si="7">AG5+AI5</f>
        <v>200.9</v>
      </c>
      <c r="AL5" s="676"/>
      <c r="AM5" s="676">
        <f>+SUMIF(WRM!$C$7:$C$95,$D5,WRM!$AL$7:$AL$95)</f>
        <v>0</v>
      </c>
      <c r="AN5" s="758"/>
      <c r="AO5" s="758">
        <f t="shared" ref="AO5:AO68" si="8">AM5+AI5+AE5</f>
        <v>0</v>
      </c>
      <c r="AP5" s="5259"/>
      <c r="AQ5" s="753">
        <f t="shared" ref="AQ5:AQ68" si="9">AK5+AM5</f>
        <v>200.9</v>
      </c>
      <c r="AR5" s="676"/>
      <c r="AS5" s="676">
        <f>+SUMIF(WRM!$C$7:$C$95,$D5,WRM!$AR$7:$AR$95)</f>
        <v>0</v>
      </c>
      <c r="AT5" s="4441"/>
      <c r="AU5" s="753">
        <f t="shared" ref="AU5:AU68" si="10">AQ5+AS5</f>
        <v>200.9</v>
      </c>
      <c r="AV5" s="676"/>
      <c r="AW5" s="676">
        <f>+SUMIF(WRM!$C$7:$C$95,$D5,WRM!$AV$7:$AV$95)</f>
        <v>0</v>
      </c>
      <c r="AX5" s="4675"/>
      <c r="AY5" s="753">
        <f t="shared" ref="AY5:AY68" si="11">AU5+AW5</f>
        <v>200.9</v>
      </c>
      <c r="AZ5" s="676"/>
      <c r="BA5" s="676">
        <f>+SUMIF(WRM!$C$7:$C$95,$D5,WRM!$AZ$7:$AZ$95)</f>
        <v>0</v>
      </c>
      <c r="BB5" s="758"/>
      <c r="BC5" s="758">
        <f t="shared" ref="BC5:BC68" si="12">+AS5+AW5+BA5</f>
        <v>0</v>
      </c>
      <c r="BD5" s="5633"/>
      <c r="BE5" s="5682">
        <f t="shared" ref="BE5:BE68" si="13">AO5+BC5</f>
        <v>0</v>
      </c>
      <c r="BF5" s="5121"/>
      <c r="BG5" s="753">
        <f t="shared" ref="BG5:BG68" si="14">AY5+BA5</f>
        <v>200.9</v>
      </c>
      <c r="BH5" s="26"/>
      <c r="BI5" s="26"/>
    </row>
    <row r="6" spans="3:61" ht="18.75" x14ac:dyDescent="0.3">
      <c r="C6" s="675" t="s">
        <v>17</v>
      </c>
      <c r="D6" s="2207" t="s">
        <v>1414</v>
      </c>
      <c r="E6" s="6452"/>
      <c r="F6" s="675"/>
      <c r="G6" s="676">
        <f>+SUMIF(WRM!$C$7:$C$95,$D6,WRM!$F$7:$F$95)</f>
        <v>366.95</v>
      </c>
      <c r="H6" s="676"/>
      <c r="I6" s="676">
        <f>+SUMIF(WRM!$C$7:$C$95,$D6,WRM!$H$7:$H$95)</f>
        <v>395.65</v>
      </c>
      <c r="J6" s="753"/>
      <c r="K6" s="753">
        <f t="shared" si="0"/>
        <v>762.59999999999991</v>
      </c>
      <c r="L6" s="676"/>
      <c r="M6" s="676">
        <f>+SUMIF(WRM!$C$7:$C$95,$D6,WRM!$L$7:$L$95)</f>
        <v>315.70000000000005</v>
      </c>
      <c r="N6" s="758"/>
      <c r="O6" s="758">
        <f t="shared" si="1"/>
        <v>1078.3</v>
      </c>
      <c r="P6" s="676"/>
      <c r="Q6" s="676">
        <f>+SUMIF(WRM!$C$7:$C$95,$D6,WRM!$P$7:$P$95)</f>
        <v>305.45</v>
      </c>
      <c r="S6" s="753">
        <f t="shared" si="2"/>
        <v>1383.75</v>
      </c>
      <c r="T6" s="676"/>
      <c r="U6" s="676">
        <f>+SUMIF(WRM!$C$7:$C$95,$D6,WRM!$T$7:$T$95)</f>
        <v>506.35</v>
      </c>
      <c r="W6" s="753">
        <f t="shared" si="3"/>
        <v>1890.1</v>
      </c>
      <c r="X6" s="5624"/>
      <c r="Y6" s="703">
        <f>+SUMIF(WRM!$C$7:$C$95,$D6,WRM!$X$7:$X$95)</f>
        <v>0</v>
      </c>
      <c r="Z6" s="758"/>
      <c r="AA6" s="758">
        <f t="shared" si="4"/>
        <v>811.8</v>
      </c>
      <c r="AB6" s="5630"/>
      <c r="AC6" s="5682">
        <f t="shared" si="5"/>
        <v>1890.1</v>
      </c>
      <c r="AD6" s="676"/>
      <c r="AE6" s="676">
        <f>+SUMIF(WRM!$C$7:$C$95,$D6,WRM!$AD$7:$AD$95)</f>
        <v>102.5</v>
      </c>
      <c r="AF6" s="4092"/>
      <c r="AG6" s="753">
        <f t="shared" si="6"/>
        <v>1992.6</v>
      </c>
      <c r="AH6" s="676"/>
      <c r="AI6" s="676">
        <f>+SUMIF(WRM!$C$7:$C$95,$D6,WRM!$AH$7:$AH$95)</f>
        <v>305.45</v>
      </c>
      <c r="AJ6" s="4198"/>
      <c r="AK6" s="753">
        <f t="shared" si="7"/>
        <v>2298.0499999999997</v>
      </c>
      <c r="AL6" s="676"/>
      <c r="AM6" s="676">
        <f>+SUMIF(WRM!$C$7:$C$95,$D6,WRM!$AL$7:$AL$95)</f>
        <v>301.34999999999991</v>
      </c>
      <c r="AN6" s="758"/>
      <c r="AO6" s="758">
        <f t="shared" si="8"/>
        <v>709.3</v>
      </c>
      <c r="AP6" s="5259"/>
      <c r="AQ6" s="753">
        <f t="shared" si="9"/>
        <v>2599.3999999999996</v>
      </c>
      <c r="AR6" s="676"/>
      <c r="AS6" s="676">
        <f>+SUMIF(WRM!$C$7:$C$95,$D6,WRM!$AR$7:$AR$95)</f>
        <v>526.84999999999991</v>
      </c>
      <c r="AT6" s="4441"/>
      <c r="AU6" s="753">
        <f t="shared" si="10"/>
        <v>3126.2499999999995</v>
      </c>
      <c r="AV6" s="676"/>
      <c r="AW6" s="676">
        <f>+SUMIF(WRM!$C$7:$C$95,$D6,WRM!$AV$7:$AV$95)</f>
        <v>196.8</v>
      </c>
      <c r="AX6" s="4675"/>
      <c r="AY6" s="753">
        <f t="shared" si="11"/>
        <v>3323.0499999999997</v>
      </c>
      <c r="AZ6" s="676"/>
      <c r="BA6" s="676">
        <f>+SUMIF(WRM!$C$7:$C$95,$D6,WRM!$AZ$7:$AZ$95)</f>
        <v>545.29999999999995</v>
      </c>
      <c r="BB6" s="758"/>
      <c r="BC6" s="758">
        <f t="shared" si="12"/>
        <v>1268.9499999999998</v>
      </c>
      <c r="BD6" s="5633"/>
      <c r="BE6" s="5682">
        <f t="shared" si="13"/>
        <v>1978.2499999999998</v>
      </c>
      <c r="BF6" s="5121"/>
      <c r="BG6" s="753">
        <f t="shared" si="14"/>
        <v>3868.3499999999995</v>
      </c>
      <c r="BH6" s="26"/>
      <c r="BI6" s="26"/>
    </row>
    <row r="7" spans="3:61" ht="18.75" x14ac:dyDescent="0.3">
      <c r="C7" s="675" t="s">
        <v>17</v>
      </c>
      <c r="D7" s="2207" t="s">
        <v>995</v>
      </c>
      <c r="E7" s="6452"/>
      <c r="F7" s="675"/>
      <c r="G7" s="676">
        <f>+SUMIF(WRM!$C$7:$C$95,$D7,WRM!$F$7:$F$95)</f>
        <v>0</v>
      </c>
      <c r="H7" s="676"/>
      <c r="I7" s="676">
        <f>+SUMIF(WRM!$C$7:$C$95,$D7,WRM!$H$7:$H$95)</f>
        <v>426.40000000000003</v>
      </c>
      <c r="J7" s="753"/>
      <c r="K7" s="753">
        <f t="shared" si="0"/>
        <v>426.40000000000003</v>
      </c>
      <c r="L7" s="676"/>
      <c r="M7" s="676">
        <f>+SUMIF(WRM!$C$7:$C$95,$D7,WRM!$L$7:$L$95)</f>
        <v>0</v>
      </c>
      <c r="N7" s="758"/>
      <c r="O7" s="758">
        <f t="shared" si="1"/>
        <v>426.40000000000003</v>
      </c>
      <c r="P7" s="676"/>
      <c r="Q7" s="676">
        <f>+SUMIF(WRM!$C$7:$C$95,$D7,WRM!$P$7:$P$95)</f>
        <v>107.11999999999999</v>
      </c>
      <c r="S7" s="753">
        <f t="shared" si="2"/>
        <v>533.52</v>
      </c>
      <c r="T7" s="676"/>
      <c r="U7" s="676">
        <f>+SUMIF(WRM!$C$7:$C$95,$D7,WRM!$T$7:$T$95)</f>
        <v>631.4</v>
      </c>
      <c r="W7" s="753">
        <f t="shared" si="3"/>
        <v>1164.92</v>
      </c>
      <c r="X7" s="5624"/>
      <c r="Y7" s="703">
        <f>+SUMIF(WRM!$C$7:$C$95,$D7,WRM!$X$7:$X$95)</f>
        <v>0</v>
      </c>
      <c r="Z7" s="758"/>
      <c r="AA7" s="758">
        <f t="shared" si="4"/>
        <v>738.52</v>
      </c>
      <c r="AB7" s="5630"/>
      <c r="AC7" s="5682">
        <f t="shared" si="5"/>
        <v>1164.92</v>
      </c>
      <c r="AD7" s="676"/>
      <c r="AE7" s="676">
        <f>+SUMIF(WRM!$C$7:$C$95,$D7,WRM!$AD$7:$AD$95)</f>
        <v>0</v>
      </c>
      <c r="AF7" s="4092"/>
      <c r="AG7" s="753">
        <f t="shared" si="6"/>
        <v>1164.92</v>
      </c>
      <c r="AH7" s="676"/>
      <c r="AI7" s="676">
        <f>+SUMIF(WRM!$C$7:$C$95,$D7,WRM!$AH$7:$AH$95)</f>
        <v>824.10000000000014</v>
      </c>
      <c r="AJ7" s="4198"/>
      <c r="AK7" s="753">
        <f t="shared" si="7"/>
        <v>1989.0200000000002</v>
      </c>
      <c r="AL7" s="676"/>
      <c r="AM7" s="676">
        <f>+SUMIF(WRM!$C$7:$C$95,$D7,WRM!$AL$7:$AL$95)</f>
        <v>0</v>
      </c>
      <c r="AN7" s="758"/>
      <c r="AO7" s="758">
        <f t="shared" si="8"/>
        <v>824.10000000000014</v>
      </c>
      <c r="AP7" s="5259"/>
      <c r="AQ7" s="753">
        <f t="shared" si="9"/>
        <v>1989.0200000000002</v>
      </c>
      <c r="AR7" s="676"/>
      <c r="AS7" s="676">
        <f>+SUMIF(WRM!$C$7:$C$95,$D7,WRM!$AR$7:$AR$95)</f>
        <v>0</v>
      </c>
      <c r="AT7" s="4441"/>
      <c r="AU7" s="753">
        <f t="shared" si="10"/>
        <v>1989.0200000000002</v>
      </c>
      <c r="AV7" s="676"/>
      <c r="AW7" s="676">
        <f>+SUMIF(WRM!$C$7:$C$95,$D7,WRM!$AV$7:$AV$95)</f>
        <v>986.05</v>
      </c>
      <c r="AX7" s="4675"/>
      <c r="AY7" s="753">
        <f t="shared" si="11"/>
        <v>2975.07</v>
      </c>
      <c r="AZ7" s="676"/>
      <c r="BA7" s="676">
        <f>+SUMIF(WRM!$C$7:$C$95,$D7,WRM!$AZ$7:$AZ$95)</f>
        <v>0</v>
      </c>
      <c r="BB7" s="758"/>
      <c r="BC7" s="758">
        <f t="shared" si="12"/>
        <v>986.05</v>
      </c>
      <c r="BD7" s="5633"/>
      <c r="BE7" s="5682">
        <f t="shared" si="13"/>
        <v>1810.15</v>
      </c>
      <c r="BF7" s="5121"/>
      <c r="BG7" s="753">
        <f t="shared" si="14"/>
        <v>2975.07</v>
      </c>
      <c r="BH7" s="26"/>
      <c r="BI7" s="26"/>
    </row>
    <row r="8" spans="3:61" ht="18.75" x14ac:dyDescent="0.3">
      <c r="C8" s="675" t="s">
        <v>17</v>
      </c>
      <c r="D8" s="2207" t="s">
        <v>1482</v>
      </c>
      <c r="E8" s="6452"/>
      <c r="F8" s="675"/>
      <c r="G8" s="676">
        <f>+SUMIF(WRM!$C$7:$C$95,$D8,WRM!$F$7:$F$95)</f>
        <v>317.75</v>
      </c>
      <c r="H8" s="676"/>
      <c r="I8" s="676">
        <f>+SUMIF(WRM!$C$7:$C$95,$D8,WRM!$H$7:$H$95)</f>
        <v>0</v>
      </c>
      <c r="J8" s="753"/>
      <c r="K8" s="753">
        <f t="shared" si="0"/>
        <v>317.75</v>
      </c>
      <c r="L8" s="676"/>
      <c r="M8" s="676">
        <f>+SUMIF(WRM!$C$7:$C$95,$D8,WRM!$L$7:$L$95)</f>
        <v>0</v>
      </c>
      <c r="N8" s="758"/>
      <c r="O8" s="758">
        <f t="shared" si="1"/>
        <v>317.75</v>
      </c>
      <c r="P8" s="676"/>
      <c r="Q8" s="676">
        <f>+SUMIF(WRM!$C$7:$C$95,$D8,WRM!$P$7:$P$95)</f>
        <v>0</v>
      </c>
      <c r="S8" s="753">
        <f t="shared" si="2"/>
        <v>317.75</v>
      </c>
      <c r="T8" s="676"/>
      <c r="U8" s="676">
        <f>+SUMIF(WRM!$C$7:$C$95,$D8,WRM!$T$7:$T$95)</f>
        <v>0</v>
      </c>
      <c r="W8" s="753">
        <f t="shared" si="3"/>
        <v>317.75</v>
      </c>
      <c r="X8" s="5624"/>
      <c r="Y8" s="703">
        <f>+SUMIF(WRM!$C$7:$C$95,$D8,WRM!$X$7:$X$95)</f>
        <v>0</v>
      </c>
      <c r="Z8" s="758"/>
      <c r="AA8" s="758">
        <f t="shared" si="4"/>
        <v>0</v>
      </c>
      <c r="AB8" s="5630"/>
      <c r="AC8" s="5682">
        <f t="shared" si="5"/>
        <v>317.75</v>
      </c>
      <c r="AD8" s="676"/>
      <c r="AE8" s="676">
        <f>+SUMIF(WRM!$C$7:$C$95,$D8,WRM!$AD$7:$AD$95)</f>
        <v>0</v>
      </c>
      <c r="AF8" s="4092"/>
      <c r="AG8" s="753">
        <f t="shared" si="6"/>
        <v>317.75</v>
      </c>
      <c r="AH8" s="676"/>
      <c r="AI8" s="676">
        <f>+SUMIF(WRM!$C$7:$C$95,$D8,WRM!$AH$7:$AH$95)</f>
        <v>0</v>
      </c>
      <c r="AJ8" s="4198"/>
      <c r="AK8" s="753">
        <f t="shared" si="7"/>
        <v>317.75</v>
      </c>
      <c r="AL8" s="676"/>
      <c r="AM8" s="676">
        <f>+SUMIF(WRM!$C$7:$C$95,$D8,WRM!$AL$7:$AL$95)</f>
        <v>0</v>
      </c>
      <c r="AN8" s="758"/>
      <c r="AO8" s="758">
        <f t="shared" si="8"/>
        <v>0</v>
      </c>
      <c r="AP8" s="5259"/>
      <c r="AQ8" s="753">
        <f t="shared" si="9"/>
        <v>317.75</v>
      </c>
      <c r="AR8" s="676"/>
      <c r="AS8" s="676">
        <f>+SUMIF(WRM!$C$7:$C$95,$D8,WRM!$AR$7:$AR$95)</f>
        <v>0</v>
      </c>
      <c r="AT8" s="4441"/>
      <c r="AU8" s="753">
        <f t="shared" si="10"/>
        <v>317.75</v>
      </c>
      <c r="AV8" s="676"/>
      <c r="AW8" s="676">
        <f>+SUMIF(WRM!$C$7:$C$95,$D8,WRM!$AV$7:$AV$95)</f>
        <v>102.5</v>
      </c>
      <c r="AX8" s="4675"/>
      <c r="AY8" s="753">
        <f t="shared" si="11"/>
        <v>420.25</v>
      </c>
      <c r="AZ8" s="676"/>
      <c r="BA8" s="676">
        <f>+SUMIF(WRM!$C$7:$C$95,$D8,WRM!$AZ$7:$AZ$95)</f>
        <v>0</v>
      </c>
      <c r="BB8" s="758"/>
      <c r="BC8" s="758">
        <f t="shared" si="12"/>
        <v>102.5</v>
      </c>
      <c r="BD8" s="5633"/>
      <c r="BE8" s="5682">
        <f t="shared" si="13"/>
        <v>102.5</v>
      </c>
      <c r="BF8" s="5121"/>
      <c r="BG8" s="753">
        <f t="shared" si="14"/>
        <v>420.25</v>
      </c>
      <c r="BH8" s="26"/>
      <c r="BI8" s="26"/>
    </row>
    <row r="9" spans="3:61" ht="18.75" x14ac:dyDescent="0.3">
      <c r="C9" s="675" t="s">
        <v>17</v>
      </c>
      <c r="D9" s="2207" t="s">
        <v>905</v>
      </c>
      <c r="E9" s="6452"/>
      <c r="F9" s="675"/>
      <c r="G9" s="676">
        <f>+SUMIF(WRM!$C$7:$C$95,$D9,WRM!$F$7:$F$95)</f>
        <v>5014.3</v>
      </c>
      <c r="H9" s="676"/>
      <c r="I9" s="676">
        <f>+SUMIF(WRM!$C$7:$C$95,$D9,WRM!$H$7:$H$95)</f>
        <v>5469.4000000000015</v>
      </c>
      <c r="J9" s="753"/>
      <c r="K9" s="753">
        <f t="shared" si="0"/>
        <v>10483.700000000001</v>
      </c>
      <c r="L9" s="676"/>
      <c r="M9" s="676">
        <f>+SUMIF(WRM!$C$7:$C$95,$D9,WRM!$L$7:$L$95)</f>
        <v>4751.9000000000005</v>
      </c>
      <c r="N9" s="758"/>
      <c r="O9" s="758">
        <f t="shared" si="1"/>
        <v>15235.600000000002</v>
      </c>
      <c r="P9" s="676"/>
      <c r="Q9" s="676">
        <f>+SUMIF(WRM!$C$7:$C$95,$D9,WRM!$P$7:$P$95)</f>
        <v>4829.62</v>
      </c>
      <c r="S9" s="753">
        <f t="shared" si="2"/>
        <v>20065.22</v>
      </c>
      <c r="T9" s="676"/>
      <c r="U9" s="676">
        <f>+SUMIF(WRM!$C$7:$C$95,$D9,WRM!$T$7:$T$95)</f>
        <v>4862.6000000000022</v>
      </c>
      <c r="W9" s="753">
        <f t="shared" si="3"/>
        <v>24927.820000000003</v>
      </c>
      <c r="X9" s="5624"/>
      <c r="Y9" s="703">
        <f>+SUMIF(WRM!$C$7:$C$95,$D9,WRM!$X$7:$X$95)</f>
        <v>4626.8500000000004</v>
      </c>
      <c r="Z9" s="758"/>
      <c r="AA9" s="758">
        <f t="shared" si="4"/>
        <v>14319.070000000002</v>
      </c>
      <c r="AB9" s="5630"/>
      <c r="AC9" s="5682">
        <f t="shared" si="5"/>
        <v>29554.670000000006</v>
      </c>
      <c r="AD9" s="676"/>
      <c r="AE9" s="676">
        <f>+SUMIF(WRM!$C$7:$C$95,$D9,WRM!$AD$7:$AD$95)</f>
        <v>5873.25</v>
      </c>
      <c r="AF9" s="4092"/>
      <c r="AG9" s="753">
        <f t="shared" si="6"/>
        <v>35427.920000000006</v>
      </c>
      <c r="AH9" s="676"/>
      <c r="AI9" s="676">
        <f>+SUMIF(WRM!$C$7:$C$95,$D9,WRM!$AH$7:$AH$95)</f>
        <v>5906.050000000002</v>
      </c>
      <c r="AJ9" s="4198"/>
      <c r="AK9" s="753">
        <f t="shared" si="7"/>
        <v>41333.970000000008</v>
      </c>
      <c r="AL9" s="676"/>
      <c r="AM9" s="676">
        <f>+SUMIF(WRM!$C$7:$C$95,$D9,WRM!$AL$7:$AL$95)</f>
        <v>7371.7999999999993</v>
      </c>
      <c r="AN9" s="758"/>
      <c r="AO9" s="758">
        <f t="shared" si="8"/>
        <v>19151.100000000002</v>
      </c>
      <c r="AP9" s="5259"/>
      <c r="AQ9" s="753">
        <f t="shared" si="9"/>
        <v>48705.770000000004</v>
      </c>
      <c r="AR9" s="676"/>
      <c r="AS9" s="676">
        <f>+SUMIF(WRM!$C$7:$C$95,$D9,WRM!$AR$7:$AR$95)</f>
        <v>5701.0499999999984</v>
      </c>
      <c r="AT9" s="4441"/>
      <c r="AU9" s="753">
        <f t="shared" si="10"/>
        <v>54406.82</v>
      </c>
      <c r="AV9" s="676"/>
      <c r="AW9" s="676">
        <f>+SUMIF(WRM!$C$7:$C$95,$D9,WRM!$AV$7:$AV$95)</f>
        <v>5875.3000000000011</v>
      </c>
      <c r="AX9" s="4675"/>
      <c r="AY9" s="753">
        <f t="shared" si="11"/>
        <v>60282.12</v>
      </c>
      <c r="AZ9" s="676"/>
      <c r="BA9" s="676">
        <f>+SUMIF(WRM!$C$7:$C$95,$D9,WRM!$AZ$7:$AZ$95)</f>
        <v>6209.45</v>
      </c>
      <c r="BB9" s="758"/>
      <c r="BC9" s="758">
        <f t="shared" si="12"/>
        <v>17785.8</v>
      </c>
      <c r="BD9" s="5633"/>
      <c r="BE9" s="5682">
        <f t="shared" si="13"/>
        <v>36936.9</v>
      </c>
      <c r="BF9" s="5121"/>
      <c r="BG9" s="753">
        <f t="shared" si="14"/>
        <v>66491.570000000007</v>
      </c>
      <c r="BH9" s="26"/>
      <c r="BI9" s="26"/>
    </row>
    <row r="10" spans="3:61" ht="18.75" x14ac:dyDescent="0.3">
      <c r="C10" s="675" t="s">
        <v>17</v>
      </c>
      <c r="D10" s="2207" t="s">
        <v>908</v>
      </c>
      <c r="E10" s="6452"/>
      <c r="F10" s="675"/>
      <c r="G10" s="676">
        <f>+SUMIF(WRM!$C$7:$C$95,$D10,WRM!$F$7:$F$95)</f>
        <v>0</v>
      </c>
      <c r="H10" s="676"/>
      <c r="I10" s="676">
        <f>+SUMIF(WRM!$C$7:$C$95,$D10,WRM!$H$7:$H$95)</f>
        <v>4725.25</v>
      </c>
      <c r="J10" s="753"/>
      <c r="K10" s="753">
        <f t="shared" si="0"/>
        <v>4725.25</v>
      </c>
      <c r="L10" s="676"/>
      <c r="M10" s="676">
        <f>+SUMIF(WRM!$C$7:$C$95,$D10,WRM!$L$7:$L$95)</f>
        <v>0</v>
      </c>
      <c r="N10" s="758"/>
      <c r="O10" s="758">
        <f t="shared" si="1"/>
        <v>4725.25</v>
      </c>
      <c r="P10" s="676"/>
      <c r="Q10" s="676">
        <f>+SUMIF(WRM!$C$7:$C$95,$D10,WRM!$P$7:$P$95)</f>
        <v>0</v>
      </c>
      <c r="S10" s="753">
        <f t="shared" si="2"/>
        <v>4725.25</v>
      </c>
      <c r="T10" s="676"/>
      <c r="U10" s="676">
        <f>+SUMIF(WRM!$C$7:$C$95,$D10,WRM!$T$7:$T$95)</f>
        <v>0</v>
      </c>
      <c r="W10" s="753">
        <f t="shared" si="3"/>
        <v>4725.25</v>
      </c>
      <c r="X10" s="5624"/>
      <c r="Y10" s="703">
        <f>+SUMIF(WRM!$C$7:$C$95,$D10,WRM!$X$7:$X$95)</f>
        <v>0</v>
      </c>
      <c r="Z10" s="758"/>
      <c r="AA10" s="758">
        <f t="shared" si="4"/>
        <v>0</v>
      </c>
      <c r="AB10" s="5630"/>
      <c r="AC10" s="5682">
        <f t="shared" si="5"/>
        <v>4725.25</v>
      </c>
      <c r="AD10" s="676"/>
      <c r="AE10" s="676">
        <f>+SUMIF(WRM!$C$7:$C$95,$D10,WRM!$AD$7:$AD$95)</f>
        <v>0</v>
      </c>
      <c r="AF10" s="4092"/>
      <c r="AG10" s="753">
        <f t="shared" si="6"/>
        <v>4725.25</v>
      </c>
      <c r="AH10" s="676"/>
      <c r="AI10" s="676">
        <f>+SUMIF(WRM!$C$7:$C$95,$D10,WRM!$AH$7:$AH$95)</f>
        <v>0</v>
      </c>
      <c r="AJ10" s="4198"/>
      <c r="AK10" s="753">
        <f t="shared" si="7"/>
        <v>4725.25</v>
      </c>
      <c r="AL10" s="676"/>
      <c r="AM10" s="676">
        <f>+SUMIF(WRM!$C$7:$C$95,$D10,WRM!$AL$7:$AL$95)</f>
        <v>0</v>
      </c>
      <c r="AN10" s="758"/>
      <c r="AO10" s="758">
        <f t="shared" si="8"/>
        <v>0</v>
      </c>
      <c r="AP10" s="5259"/>
      <c r="AQ10" s="753">
        <f t="shared" si="9"/>
        <v>4725.25</v>
      </c>
      <c r="AR10" s="676"/>
      <c r="AS10" s="676">
        <f>+SUMIF(WRM!$C$7:$C$95,$D10,WRM!$AR$7:$AR$95)</f>
        <v>0</v>
      </c>
      <c r="AT10" s="4441"/>
      <c r="AU10" s="753">
        <f t="shared" si="10"/>
        <v>4725.25</v>
      </c>
      <c r="AV10" s="676"/>
      <c r="AW10" s="676">
        <f>+SUMIF(WRM!$C$7:$C$95,$D10,WRM!$AV$7:$AV$95)</f>
        <v>0</v>
      </c>
      <c r="AX10" s="4675"/>
      <c r="AY10" s="753">
        <f t="shared" si="11"/>
        <v>4725.25</v>
      </c>
      <c r="AZ10" s="676"/>
      <c r="BA10" s="676">
        <f>+SUMIF(WRM!$C$7:$C$95,$D10,WRM!$AZ$7:$AZ$95)</f>
        <v>0</v>
      </c>
      <c r="BB10" s="758"/>
      <c r="BC10" s="758">
        <f t="shared" si="12"/>
        <v>0</v>
      </c>
      <c r="BD10" s="5633"/>
      <c r="BE10" s="5682">
        <f t="shared" si="13"/>
        <v>0</v>
      </c>
      <c r="BF10" s="5121"/>
      <c r="BG10" s="753">
        <f t="shared" si="14"/>
        <v>4725.25</v>
      </c>
      <c r="BH10" s="26"/>
      <c r="BI10" s="26"/>
    </row>
    <row r="11" spans="3:61" ht="18.75" x14ac:dyDescent="0.3">
      <c r="C11" s="675" t="s">
        <v>17</v>
      </c>
      <c r="D11" s="2207" t="s">
        <v>1338</v>
      </c>
      <c r="E11" s="6452"/>
      <c r="F11" s="675"/>
      <c r="G11" s="676">
        <f>+SUMIF(WRM!$C$7:$C$95,$D11,WRM!$F$7:$F$95)</f>
        <v>0</v>
      </c>
      <c r="H11" s="676"/>
      <c r="I11" s="676">
        <f>+SUMIF(WRM!$C$7:$C$95,$D11,WRM!$H$7:$H$95)</f>
        <v>2000.7999999999995</v>
      </c>
      <c r="J11" s="753"/>
      <c r="K11" s="753">
        <f t="shared" si="0"/>
        <v>2000.7999999999995</v>
      </c>
      <c r="L11" s="676"/>
      <c r="M11" s="676">
        <f>+SUMIF(WRM!$C$7:$C$95,$D11,WRM!$L$7:$L$95)</f>
        <v>0</v>
      </c>
      <c r="N11" s="758"/>
      <c r="O11" s="758">
        <f t="shared" si="1"/>
        <v>2000.7999999999995</v>
      </c>
      <c r="P11" s="676"/>
      <c r="Q11" s="676">
        <f>+SUMIF(WRM!$C$7:$C$95,$D11,WRM!$P$7:$P$95)</f>
        <v>0</v>
      </c>
      <c r="S11" s="753">
        <f t="shared" si="2"/>
        <v>2000.7999999999995</v>
      </c>
      <c r="T11" s="676"/>
      <c r="U11" s="676">
        <f>+SUMIF(WRM!$C$7:$C$95,$D11,WRM!$T$7:$T$95)</f>
        <v>0</v>
      </c>
      <c r="W11" s="753">
        <f t="shared" si="3"/>
        <v>2000.7999999999995</v>
      </c>
      <c r="X11" s="5624"/>
      <c r="Y11" s="703">
        <f>+SUMIF(WRM!$C$7:$C$95,$D11,WRM!$X$7:$X$95)</f>
        <v>0</v>
      </c>
      <c r="Z11" s="758"/>
      <c r="AA11" s="758">
        <f t="shared" si="4"/>
        <v>0</v>
      </c>
      <c r="AB11" s="5630"/>
      <c r="AC11" s="5682">
        <f t="shared" si="5"/>
        <v>2000.7999999999995</v>
      </c>
      <c r="AD11" s="676"/>
      <c r="AE11" s="676">
        <f>+SUMIF(WRM!$C$7:$C$95,$D11,WRM!$AD$7:$AD$95)</f>
        <v>0</v>
      </c>
      <c r="AF11" s="4092"/>
      <c r="AG11" s="753">
        <f t="shared" si="6"/>
        <v>2000.7999999999995</v>
      </c>
      <c r="AH11" s="676"/>
      <c r="AI11" s="676">
        <f>+SUMIF(WRM!$C$7:$C$95,$D11,WRM!$AH$7:$AH$95)</f>
        <v>0</v>
      </c>
      <c r="AJ11" s="4198"/>
      <c r="AK11" s="753">
        <f t="shared" si="7"/>
        <v>2000.7999999999995</v>
      </c>
      <c r="AL11" s="676"/>
      <c r="AM11" s="676">
        <f>+SUMIF(WRM!$C$7:$C$95,$D11,WRM!$AL$7:$AL$95)</f>
        <v>0</v>
      </c>
      <c r="AN11" s="758"/>
      <c r="AO11" s="758">
        <f t="shared" si="8"/>
        <v>0</v>
      </c>
      <c r="AP11" s="5259"/>
      <c r="AQ11" s="753">
        <f t="shared" si="9"/>
        <v>2000.7999999999995</v>
      </c>
      <c r="AR11" s="676"/>
      <c r="AS11" s="676">
        <f>+SUMIF(WRM!$C$7:$C$95,$D11,WRM!$AR$7:$AR$95)</f>
        <v>0</v>
      </c>
      <c r="AT11" s="4441"/>
      <c r="AU11" s="753">
        <f t="shared" si="10"/>
        <v>2000.7999999999995</v>
      </c>
      <c r="AV11" s="676"/>
      <c r="AW11" s="676">
        <f>+SUMIF(WRM!$C$7:$C$95,$D11,WRM!$AV$7:$AV$95)</f>
        <v>0</v>
      </c>
      <c r="AX11" s="4675"/>
      <c r="AY11" s="753">
        <f t="shared" si="11"/>
        <v>2000.7999999999995</v>
      </c>
      <c r="AZ11" s="676"/>
      <c r="BA11" s="676">
        <f>+SUMIF(WRM!$C$7:$C$95,$D11,WRM!$AZ$7:$AZ$95)</f>
        <v>0</v>
      </c>
      <c r="BB11" s="758"/>
      <c r="BC11" s="758">
        <f t="shared" si="12"/>
        <v>0</v>
      </c>
      <c r="BD11" s="5633"/>
      <c r="BE11" s="5682">
        <f t="shared" si="13"/>
        <v>0</v>
      </c>
      <c r="BF11" s="5121"/>
      <c r="BG11" s="753">
        <f t="shared" si="14"/>
        <v>2000.7999999999995</v>
      </c>
      <c r="BH11" s="26"/>
      <c r="BI11" s="26"/>
    </row>
    <row r="12" spans="3:61" ht="18.75" x14ac:dyDescent="0.3">
      <c r="C12" s="675" t="s">
        <v>17</v>
      </c>
      <c r="D12" s="2207" t="s">
        <v>1017</v>
      </c>
      <c r="E12" s="6452"/>
      <c r="F12" s="675"/>
      <c r="G12" s="676">
        <f>+SUMIF(WRM!$C$7:$C$95,$D12,WRM!$F$7:$F$95)</f>
        <v>442.8</v>
      </c>
      <c r="H12" s="676"/>
      <c r="I12" s="676">
        <f>+SUMIF(WRM!$C$7:$C$95,$D12,WRM!$H$7:$H$95)</f>
        <v>0</v>
      </c>
      <c r="J12" s="753"/>
      <c r="K12" s="753">
        <f t="shared" si="0"/>
        <v>442.8</v>
      </c>
      <c r="L12" s="676"/>
      <c r="M12" s="676">
        <f>+SUMIF(WRM!$C$7:$C$95,$D12,WRM!$L$7:$L$95)</f>
        <v>0</v>
      </c>
      <c r="N12" s="758"/>
      <c r="O12" s="758">
        <f t="shared" si="1"/>
        <v>442.8</v>
      </c>
      <c r="P12" s="676"/>
      <c r="Q12" s="676">
        <f>+SUMIF(WRM!$C$7:$C$95,$D12,WRM!$P$7:$P$95)</f>
        <v>502.25000000000011</v>
      </c>
      <c r="S12" s="753">
        <f t="shared" si="2"/>
        <v>945.05000000000018</v>
      </c>
      <c r="T12" s="676"/>
      <c r="U12" s="676">
        <f>+SUMIF(WRM!$C$7:$C$95,$D12,WRM!$T$7:$T$95)</f>
        <v>0</v>
      </c>
      <c r="W12" s="753">
        <f t="shared" si="3"/>
        <v>945.05000000000018</v>
      </c>
      <c r="X12" s="5624"/>
      <c r="Y12" s="703">
        <f>+SUMIF(WRM!$C$7:$C$95,$D12,WRM!$X$7:$X$95)</f>
        <v>145.55000000000001</v>
      </c>
      <c r="Z12" s="758"/>
      <c r="AA12" s="758">
        <f t="shared" si="4"/>
        <v>647.80000000000018</v>
      </c>
      <c r="AB12" s="5630"/>
      <c r="AC12" s="5682">
        <f t="shared" si="5"/>
        <v>1090.6000000000001</v>
      </c>
      <c r="AD12" s="676"/>
      <c r="AE12" s="676">
        <f>+SUMIF(WRM!$C$7:$C$95,$D12,WRM!$AD$7:$AD$95)</f>
        <v>848.69999999999993</v>
      </c>
      <c r="AF12" s="4092"/>
      <c r="AG12" s="753">
        <f t="shared" si="6"/>
        <v>1939.3000000000002</v>
      </c>
      <c r="AH12" s="676"/>
      <c r="AI12" s="676">
        <f>+SUMIF(WRM!$C$7:$C$95,$D12,WRM!$AH$7:$AH$95)</f>
        <v>217.29999999999998</v>
      </c>
      <c r="AJ12" s="4198"/>
      <c r="AK12" s="753">
        <f t="shared" si="7"/>
        <v>2156.6000000000004</v>
      </c>
      <c r="AL12" s="676"/>
      <c r="AM12" s="676">
        <f>+SUMIF(WRM!$C$7:$C$95,$D12,WRM!$AL$7:$AL$95)</f>
        <v>407.95000000000005</v>
      </c>
      <c r="AN12" s="758"/>
      <c r="AO12" s="758">
        <f t="shared" si="8"/>
        <v>1473.9499999999998</v>
      </c>
      <c r="AP12" s="5259"/>
      <c r="AQ12" s="753">
        <f t="shared" si="9"/>
        <v>2564.5500000000002</v>
      </c>
      <c r="AR12" s="676"/>
      <c r="AS12" s="676">
        <f>+SUMIF(WRM!$C$7:$C$95,$D12,WRM!$AR$7:$AR$95)</f>
        <v>504.30000000000007</v>
      </c>
      <c r="AT12" s="4441"/>
      <c r="AU12" s="753">
        <f t="shared" si="10"/>
        <v>3068.8500000000004</v>
      </c>
      <c r="AV12" s="676"/>
      <c r="AW12" s="676">
        <f>+SUMIF(WRM!$C$7:$C$95,$D12,WRM!$AV$7:$AV$95)</f>
        <v>483.80000000000013</v>
      </c>
      <c r="AX12" s="4675"/>
      <c r="AY12" s="753">
        <f t="shared" si="11"/>
        <v>3552.6500000000005</v>
      </c>
      <c r="AZ12" s="676"/>
      <c r="BA12" s="676">
        <f>+SUMIF(WRM!$C$7:$C$95,$D12,WRM!$AZ$7:$AZ$95)</f>
        <v>557.6</v>
      </c>
      <c r="BB12" s="758"/>
      <c r="BC12" s="758">
        <f t="shared" si="12"/>
        <v>1545.7000000000003</v>
      </c>
      <c r="BD12" s="5633"/>
      <c r="BE12" s="5682">
        <f t="shared" si="13"/>
        <v>3019.65</v>
      </c>
      <c r="BF12" s="5121"/>
      <c r="BG12" s="753">
        <f t="shared" si="14"/>
        <v>4110.2500000000009</v>
      </c>
      <c r="BH12" s="26"/>
      <c r="BI12" s="26"/>
    </row>
    <row r="13" spans="3:61" s="4092" customFormat="1" ht="18.75" x14ac:dyDescent="0.3">
      <c r="C13" s="675" t="s">
        <v>17</v>
      </c>
      <c r="D13" s="2207" t="s">
        <v>1833</v>
      </c>
      <c r="E13" s="6452"/>
      <c r="F13" s="675"/>
      <c r="G13" s="676">
        <f>+SUMIF(WRM!$C$7:$C$95,$D13,WRM!$F$7:$F$95)</f>
        <v>0</v>
      </c>
      <c r="H13" s="676"/>
      <c r="I13" s="676">
        <f>+SUMIF(WRM!$C$7:$C$95,$D13,WRM!$H$7:$H$95)</f>
        <v>0</v>
      </c>
      <c r="J13" s="753"/>
      <c r="K13" s="753">
        <f t="shared" si="0"/>
        <v>0</v>
      </c>
      <c r="L13" s="676"/>
      <c r="M13" s="676">
        <f>+SUMIF(WRM!$C$7:$C$95,$D13,WRM!$L$7:$L$95)</f>
        <v>0</v>
      </c>
      <c r="N13" s="758"/>
      <c r="O13" s="758">
        <f t="shared" si="1"/>
        <v>0</v>
      </c>
      <c r="P13" s="676"/>
      <c r="Q13" s="676">
        <f>+SUMIF(WRM!$C$7:$C$95,$D13,WRM!$P$7:$P$95)</f>
        <v>0</v>
      </c>
      <c r="S13" s="753">
        <f t="shared" si="2"/>
        <v>0</v>
      </c>
      <c r="T13" s="676"/>
      <c r="U13" s="676">
        <f>+SUMIF(WRM!$C$7:$C$95,$D13,WRM!$T$7:$T$95)</f>
        <v>0</v>
      </c>
      <c r="W13" s="753">
        <f t="shared" si="3"/>
        <v>0</v>
      </c>
      <c r="X13" s="5624"/>
      <c r="Y13" s="703">
        <f>+SUMIF(WRM!$C$7:$C$95,$D13,WRM!$X$7:$X$95)</f>
        <v>0</v>
      </c>
      <c r="Z13" s="758"/>
      <c r="AA13" s="758">
        <f t="shared" si="4"/>
        <v>0</v>
      </c>
      <c r="AB13" s="5630"/>
      <c r="AC13" s="5682">
        <f t="shared" si="5"/>
        <v>0</v>
      </c>
      <c r="AD13" s="676"/>
      <c r="AE13" s="676">
        <f>+SUMIF(WRM!$C$7:$C$95,$D13,WRM!$AD$7:$AD$95)</f>
        <v>114.8</v>
      </c>
      <c r="AG13" s="753">
        <f t="shared" si="6"/>
        <v>114.8</v>
      </c>
      <c r="AH13" s="676"/>
      <c r="AI13" s="676">
        <f>+SUMIF(WRM!$C$7:$C$95,$D13,WRM!$AH$7:$AH$95)</f>
        <v>0</v>
      </c>
      <c r="AJ13" s="4198"/>
      <c r="AK13" s="753">
        <f t="shared" si="7"/>
        <v>114.8</v>
      </c>
      <c r="AL13" s="676"/>
      <c r="AM13" s="676">
        <f>+SUMIF(WRM!$C$7:$C$95,$D13,WRM!$AL$7:$AL$95)</f>
        <v>0</v>
      </c>
      <c r="AN13" s="758"/>
      <c r="AO13" s="758">
        <f t="shared" si="8"/>
        <v>114.8</v>
      </c>
      <c r="AP13" s="5259"/>
      <c r="AQ13" s="753">
        <f t="shared" si="9"/>
        <v>114.8</v>
      </c>
      <c r="AR13" s="676"/>
      <c r="AS13" s="676">
        <f>+SUMIF(WRM!$C$7:$C$95,$D13,WRM!$AR$7:$AR$95)</f>
        <v>0</v>
      </c>
      <c r="AT13" s="4441"/>
      <c r="AU13" s="753">
        <f t="shared" si="10"/>
        <v>114.8</v>
      </c>
      <c r="AV13" s="676"/>
      <c r="AW13" s="676">
        <f>+SUMIF(WRM!$C$7:$C$95,$D13,WRM!$AV$7:$AV$95)</f>
        <v>0</v>
      </c>
      <c r="AX13" s="4675"/>
      <c r="AY13" s="753">
        <f t="shared" si="11"/>
        <v>114.8</v>
      </c>
      <c r="AZ13" s="676"/>
      <c r="BA13" s="676">
        <f>+SUMIF(WRM!$C$7:$C$95,$D13,WRM!$AZ$7:$AZ$95)</f>
        <v>0</v>
      </c>
      <c r="BB13" s="758"/>
      <c r="BC13" s="758">
        <f t="shared" si="12"/>
        <v>0</v>
      </c>
      <c r="BD13" s="5633"/>
      <c r="BE13" s="5682">
        <f t="shared" si="13"/>
        <v>114.8</v>
      </c>
      <c r="BF13" s="5121"/>
      <c r="BG13" s="753">
        <f t="shared" si="14"/>
        <v>114.8</v>
      </c>
      <c r="BH13" s="26"/>
      <c r="BI13" s="26"/>
    </row>
    <row r="14" spans="3:61" ht="18.75" x14ac:dyDescent="0.3">
      <c r="C14" s="675" t="s">
        <v>17</v>
      </c>
      <c r="D14" s="2207" t="s">
        <v>1019</v>
      </c>
      <c r="E14" s="6452"/>
      <c r="F14" s="675"/>
      <c r="G14" s="676">
        <f>+SUMIF(WRM!$C$7:$C$95,$D14,WRM!$F$7:$F$95)</f>
        <v>506.35</v>
      </c>
      <c r="H14" s="676"/>
      <c r="I14" s="676">
        <f>+SUMIF(WRM!$C$7:$C$95,$D14,WRM!$H$7:$H$95)</f>
        <v>110.7</v>
      </c>
      <c r="J14" s="753"/>
      <c r="K14" s="753">
        <f t="shared" si="0"/>
        <v>617.05000000000007</v>
      </c>
      <c r="L14" s="676"/>
      <c r="M14" s="676">
        <f>+SUMIF(WRM!$C$7:$C$95,$D14,WRM!$L$7:$L$95)</f>
        <v>0</v>
      </c>
      <c r="N14" s="758"/>
      <c r="O14" s="758">
        <f t="shared" si="1"/>
        <v>617.05000000000007</v>
      </c>
      <c r="P14" s="676"/>
      <c r="Q14" s="676">
        <f>+SUMIF(WRM!$C$7:$C$95,$D14,WRM!$P$7:$P$95)</f>
        <v>514.54999999999995</v>
      </c>
      <c r="S14" s="753">
        <f t="shared" si="2"/>
        <v>1131.5999999999999</v>
      </c>
      <c r="T14" s="676"/>
      <c r="U14" s="676">
        <f>+SUMIF(WRM!$C$7:$C$95,$D14,WRM!$T$7:$T$95)</f>
        <v>0</v>
      </c>
      <c r="W14" s="753">
        <f t="shared" si="3"/>
        <v>1131.5999999999999</v>
      </c>
      <c r="X14" s="5624"/>
      <c r="Y14" s="703">
        <f>+SUMIF(WRM!$C$7:$C$95,$D14,WRM!$X$7:$X$95)</f>
        <v>412.05</v>
      </c>
      <c r="Z14" s="758"/>
      <c r="AA14" s="758">
        <f t="shared" si="4"/>
        <v>926.59999999999991</v>
      </c>
      <c r="AB14" s="5630"/>
      <c r="AC14" s="5682">
        <f t="shared" si="5"/>
        <v>1543.65</v>
      </c>
      <c r="AD14" s="676"/>
      <c r="AE14" s="676">
        <f>+SUMIF(WRM!$C$7:$C$95,$D14,WRM!$AD$7:$AD$95)</f>
        <v>526.84999999999991</v>
      </c>
      <c r="AF14" s="4092"/>
      <c r="AG14" s="753">
        <f t="shared" si="6"/>
        <v>2070.5</v>
      </c>
      <c r="AH14" s="676"/>
      <c r="AI14" s="676">
        <f>+SUMIF(WRM!$C$7:$C$95,$D14,WRM!$AH$7:$AH$95)</f>
        <v>674.45</v>
      </c>
      <c r="AJ14" s="4198"/>
      <c r="AK14" s="753">
        <f t="shared" si="7"/>
        <v>2744.95</v>
      </c>
      <c r="AL14" s="676"/>
      <c r="AM14" s="676">
        <f>+SUMIF(WRM!$C$7:$C$95,$D14,WRM!$AL$7:$AL$95)</f>
        <v>500.2</v>
      </c>
      <c r="AN14" s="758"/>
      <c r="AO14" s="758">
        <f t="shared" si="8"/>
        <v>1701.5</v>
      </c>
      <c r="AP14" s="5259"/>
      <c r="AQ14" s="753">
        <f t="shared" si="9"/>
        <v>3245.1499999999996</v>
      </c>
      <c r="AR14" s="676"/>
      <c r="AS14" s="676">
        <f>+SUMIF(WRM!$C$7:$C$95,$D14,WRM!$AR$7:$AR$95)</f>
        <v>307.5</v>
      </c>
      <c r="AT14" s="4441"/>
      <c r="AU14" s="753">
        <f t="shared" si="10"/>
        <v>3552.6499999999996</v>
      </c>
      <c r="AV14" s="676"/>
      <c r="AW14" s="676">
        <f>+SUMIF(WRM!$C$7:$C$95,$D14,WRM!$AV$7:$AV$95)</f>
        <v>598.59999999999991</v>
      </c>
      <c r="AX14" s="4675"/>
      <c r="AY14" s="753">
        <f t="shared" si="11"/>
        <v>4151.25</v>
      </c>
      <c r="AZ14" s="676"/>
      <c r="BA14" s="676">
        <f>+SUMIF(WRM!$C$7:$C$95,$D14,WRM!$AZ$7:$AZ$95)</f>
        <v>625.25</v>
      </c>
      <c r="BB14" s="758"/>
      <c r="BC14" s="758">
        <f t="shared" si="12"/>
        <v>1531.35</v>
      </c>
      <c r="BD14" s="5633"/>
      <c r="BE14" s="5682">
        <f t="shared" si="13"/>
        <v>3232.85</v>
      </c>
      <c r="BF14" s="5121"/>
      <c r="BG14" s="753">
        <f t="shared" si="14"/>
        <v>4776.5</v>
      </c>
      <c r="BH14" s="26"/>
      <c r="BI14" s="26"/>
    </row>
    <row r="15" spans="3:61" ht="18.75" x14ac:dyDescent="0.3">
      <c r="C15" s="675" t="s">
        <v>17</v>
      </c>
      <c r="D15" s="2207" t="s">
        <v>1188</v>
      </c>
      <c r="E15" s="6452"/>
      <c r="F15" s="675"/>
      <c r="G15" s="676">
        <f>+SUMIF(WRM!$C$7:$C$95,$D15,WRM!$F$7:$F$95)</f>
        <v>207.05</v>
      </c>
      <c r="H15" s="676"/>
      <c r="I15" s="676">
        <f>+SUMIF(WRM!$C$7:$C$95,$D15,WRM!$H$7:$H$95)</f>
        <v>0</v>
      </c>
      <c r="J15" s="753"/>
      <c r="K15" s="753">
        <f t="shared" si="0"/>
        <v>207.05</v>
      </c>
      <c r="L15" s="676"/>
      <c r="M15" s="676">
        <f>+SUMIF(WRM!$C$7:$C$95,$D15,WRM!$L$7:$L$95)</f>
        <v>0</v>
      </c>
      <c r="N15" s="758"/>
      <c r="O15" s="758">
        <f t="shared" si="1"/>
        <v>207.05</v>
      </c>
      <c r="P15" s="676"/>
      <c r="Q15" s="676">
        <f>+SUMIF(WRM!$C$7:$C$95,$D15,WRM!$P$7:$P$95)</f>
        <v>96.35</v>
      </c>
      <c r="S15" s="753">
        <f t="shared" si="2"/>
        <v>303.39999999999998</v>
      </c>
      <c r="T15" s="676"/>
      <c r="U15" s="676">
        <f>+SUMIF(WRM!$C$7:$C$95,$D15,WRM!$T$7:$T$95)</f>
        <v>0</v>
      </c>
      <c r="W15" s="753">
        <f t="shared" si="3"/>
        <v>303.39999999999998</v>
      </c>
      <c r="X15" s="5624"/>
      <c r="Y15" s="703">
        <f>+SUMIF(WRM!$C$7:$C$95,$D15,WRM!$X$7:$X$95)</f>
        <v>0</v>
      </c>
      <c r="Z15" s="758"/>
      <c r="AA15" s="758">
        <f t="shared" si="4"/>
        <v>96.35</v>
      </c>
      <c r="AB15" s="5630"/>
      <c r="AC15" s="5682">
        <f t="shared" si="5"/>
        <v>303.39999999999998</v>
      </c>
      <c r="AD15" s="676"/>
      <c r="AE15" s="676">
        <f>+SUMIF(WRM!$C$7:$C$95,$D15,WRM!$AD$7:$AD$95)</f>
        <v>0</v>
      </c>
      <c r="AF15" s="4092"/>
      <c r="AG15" s="753">
        <f t="shared" si="6"/>
        <v>303.39999999999998</v>
      </c>
      <c r="AH15" s="676"/>
      <c r="AI15" s="676">
        <f>+SUMIF(WRM!$C$7:$C$95,$D15,WRM!$AH$7:$AH$95)</f>
        <v>0</v>
      </c>
      <c r="AJ15" s="4198"/>
      <c r="AK15" s="753">
        <f t="shared" si="7"/>
        <v>303.39999999999998</v>
      </c>
      <c r="AL15" s="676"/>
      <c r="AM15" s="676">
        <f>+SUMIF(WRM!$C$7:$C$95,$D15,WRM!$AL$7:$AL$95)</f>
        <v>0</v>
      </c>
      <c r="AN15" s="758"/>
      <c r="AO15" s="758">
        <f t="shared" si="8"/>
        <v>0</v>
      </c>
      <c r="AP15" s="5259"/>
      <c r="AQ15" s="753">
        <f t="shared" si="9"/>
        <v>303.39999999999998</v>
      </c>
      <c r="AR15" s="676"/>
      <c r="AS15" s="676">
        <f>+SUMIF(WRM!$C$7:$C$95,$D15,WRM!$AR$7:$AR$95)</f>
        <v>0</v>
      </c>
      <c r="AT15" s="4441"/>
      <c r="AU15" s="753">
        <f t="shared" si="10"/>
        <v>303.39999999999998</v>
      </c>
      <c r="AV15" s="676"/>
      <c r="AW15" s="676">
        <f>+SUMIF(WRM!$C$7:$C$95,$D15,WRM!$AV$7:$AV$95)</f>
        <v>0</v>
      </c>
      <c r="AX15" s="4675"/>
      <c r="AY15" s="753">
        <f t="shared" si="11"/>
        <v>303.39999999999998</v>
      </c>
      <c r="AZ15" s="676"/>
      <c r="BA15" s="676">
        <f>+SUMIF(WRM!$C$7:$C$95,$D15,WRM!$AZ$7:$AZ$95)</f>
        <v>0</v>
      </c>
      <c r="BB15" s="758"/>
      <c r="BC15" s="758">
        <f t="shared" si="12"/>
        <v>0</v>
      </c>
      <c r="BD15" s="5633"/>
      <c r="BE15" s="5682">
        <f t="shared" si="13"/>
        <v>0</v>
      </c>
      <c r="BF15" s="5121"/>
      <c r="BG15" s="753">
        <f t="shared" si="14"/>
        <v>303.39999999999998</v>
      </c>
      <c r="BH15" s="26"/>
      <c r="BI15" s="26"/>
    </row>
    <row r="16" spans="3:61" ht="18.75" x14ac:dyDescent="0.3">
      <c r="C16" s="675" t="s">
        <v>17</v>
      </c>
      <c r="D16" s="2207" t="s">
        <v>1021</v>
      </c>
      <c r="E16" s="6452"/>
      <c r="F16" s="675"/>
      <c r="G16" s="676">
        <f>+SUMIF(WRM!$C$7:$C$95,$D16,WRM!$F$7:$F$95)</f>
        <v>904.05000000000007</v>
      </c>
      <c r="H16" s="676"/>
      <c r="I16" s="676">
        <f>+SUMIF(WRM!$C$7:$C$95,$D16,WRM!$H$7:$H$95)</f>
        <v>157.85</v>
      </c>
      <c r="J16" s="753"/>
      <c r="K16" s="753">
        <f t="shared" si="0"/>
        <v>1061.9000000000001</v>
      </c>
      <c r="L16" s="676"/>
      <c r="M16" s="676">
        <f>+SUMIF(WRM!$C$7:$C$95,$D16,WRM!$L$7:$L$95)</f>
        <v>0</v>
      </c>
      <c r="N16" s="758"/>
      <c r="O16" s="758">
        <f t="shared" si="1"/>
        <v>1061.9000000000001</v>
      </c>
      <c r="P16" s="676"/>
      <c r="Q16" s="676">
        <f>+SUMIF(WRM!$C$7:$C$95,$D16,WRM!$P$7:$P$95)</f>
        <v>643.69999999999993</v>
      </c>
      <c r="S16" s="753">
        <f t="shared" si="2"/>
        <v>1705.6</v>
      </c>
      <c r="T16" s="676"/>
      <c r="U16" s="676">
        <f>+SUMIF(WRM!$C$7:$C$95,$D16,WRM!$T$7:$T$95)</f>
        <v>0</v>
      </c>
      <c r="W16" s="753">
        <f t="shared" si="3"/>
        <v>1705.6</v>
      </c>
      <c r="X16" s="5624"/>
      <c r="Y16" s="703">
        <f>+SUMIF(WRM!$C$7:$C$95,$D16,WRM!$X$7:$X$95)</f>
        <v>487.90000000000003</v>
      </c>
      <c r="Z16" s="758"/>
      <c r="AA16" s="758">
        <f t="shared" si="4"/>
        <v>1131.5999999999999</v>
      </c>
      <c r="AB16" s="5630"/>
      <c r="AC16" s="5682">
        <f t="shared" si="5"/>
        <v>2193.5</v>
      </c>
      <c r="AD16" s="676"/>
      <c r="AE16" s="676">
        <f>+SUMIF(WRM!$C$7:$C$95,$D16,WRM!$AD$7:$AD$95)</f>
        <v>707.25</v>
      </c>
      <c r="AF16" s="4092"/>
      <c r="AG16" s="753">
        <f t="shared" si="6"/>
        <v>2900.75</v>
      </c>
      <c r="AH16" s="676"/>
      <c r="AI16" s="676">
        <f>+SUMIF(WRM!$C$7:$C$95,$D16,WRM!$AH$7:$AH$95)</f>
        <v>877.40000000000009</v>
      </c>
      <c r="AJ16" s="4198"/>
      <c r="AK16" s="753">
        <f t="shared" si="7"/>
        <v>3778.15</v>
      </c>
      <c r="AL16" s="676"/>
      <c r="AM16" s="676">
        <f>+SUMIF(WRM!$C$7:$C$95,$D16,WRM!$AL$7:$AL$95)</f>
        <v>510.45</v>
      </c>
      <c r="AN16" s="758"/>
      <c r="AO16" s="758">
        <f t="shared" si="8"/>
        <v>2095.1000000000004</v>
      </c>
      <c r="AP16" s="5259"/>
      <c r="AQ16" s="753">
        <f t="shared" si="9"/>
        <v>4288.6000000000004</v>
      </c>
      <c r="AR16" s="676"/>
      <c r="AS16" s="676">
        <f>+SUMIF(WRM!$C$7:$C$95,$D16,WRM!$AR$7:$AR$95)</f>
        <v>387.45</v>
      </c>
      <c r="AT16" s="4441"/>
      <c r="AU16" s="753">
        <f t="shared" si="10"/>
        <v>4676.05</v>
      </c>
      <c r="AV16" s="676"/>
      <c r="AW16" s="676">
        <f>+SUMIF(WRM!$C$7:$C$95,$D16,WRM!$AV$7:$AV$95)</f>
        <v>660.09999999999991</v>
      </c>
      <c r="AX16" s="4675"/>
      <c r="AY16" s="753">
        <f t="shared" si="11"/>
        <v>5336.15</v>
      </c>
      <c r="AZ16" s="676"/>
      <c r="BA16" s="676">
        <f>+SUMIF(WRM!$C$7:$C$95,$D16,WRM!$AZ$7:$AZ$95)</f>
        <v>707.25</v>
      </c>
      <c r="BB16" s="758"/>
      <c r="BC16" s="758">
        <f t="shared" si="12"/>
        <v>1754.8</v>
      </c>
      <c r="BD16" s="5633"/>
      <c r="BE16" s="5682">
        <f t="shared" si="13"/>
        <v>3849.9000000000005</v>
      </c>
      <c r="BF16" s="5121"/>
      <c r="BG16" s="753">
        <f t="shared" si="14"/>
        <v>6043.4</v>
      </c>
      <c r="BH16" s="26"/>
      <c r="BI16" s="26"/>
    </row>
    <row r="17" spans="3:61" ht="18.75" x14ac:dyDescent="0.3">
      <c r="C17" s="675" t="s">
        <v>17</v>
      </c>
      <c r="D17" s="2207" t="s">
        <v>1195</v>
      </c>
      <c r="E17" s="6452"/>
      <c r="F17" s="675"/>
      <c r="G17" s="676">
        <f>+SUMIF(WRM!$C$7:$C$95,$D17,WRM!$F$7:$F$95)</f>
        <v>51.25</v>
      </c>
      <c r="H17" s="676"/>
      <c r="I17" s="676">
        <f>+SUMIF(WRM!$C$7:$C$95,$D17,WRM!$H$7:$H$95)</f>
        <v>86.1</v>
      </c>
      <c r="J17" s="753"/>
      <c r="K17" s="753">
        <f t="shared" si="0"/>
        <v>137.35</v>
      </c>
      <c r="L17" s="676"/>
      <c r="M17" s="676">
        <f>+SUMIF(WRM!$C$7:$C$95,$D17,WRM!$L$7:$L$95)</f>
        <v>53.3</v>
      </c>
      <c r="N17" s="758"/>
      <c r="O17" s="758">
        <f t="shared" si="1"/>
        <v>190.64999999999998</v>
      </c>
      <c r="P17" s="676"/>
      <c r="Q17" s="676">
        <f>+SUMIF(WRM!$C$7:$C$95,$D17,WRM!$P$7:$P$95)</f>
        <v>111.05</v>
      </c>
      <c r="S17" s="753">
        <f t="shared" si="2"/>
        <v>301.7</v>
      </c>
      <c r="T17" s="676"/>
      <c r="U17" s="676">
        <f>+SUMIF(WRM!$C$7:$C$95,$D17,WRM!$T$7:$T$95)</f>
        <v>2.0499999999999998</v>
      </c>
      <c r="W17" s="753">
        <f t="shared" si="3"/>
        <v>303.75</v>
      </c>
      <c r="X17" s="5624"/>
      <c r="Y17" s="703">
        <f>+SUMIF(WRM!$C$7:$C$95,$D17,WRM!$X$7:$X$95)</f>
        <v>47.15</v>
      </c>
      <c r="Z17" s="758"/>
      <c r="AA17" s="758">
        <f t="shared" si="4"/>
        <v>160.25</v>
      </c>
      <c r="AB17" s="5630"/>
      <c r="AC17" s="5682">
        <f t="shared" si="5"/>
        <v>350.9</v>
      </c>
      <c r="AD17" s="676"/>
      <c r="AE17" s="676">
        <f>+SUMIF(WRM!$C$7:$C$95,$D17,WRM!$AD$7:$AD$95)</f>
        <v>539.15</v>
      </c>
      <c r="AF17" s="4092"/>
      <c r="AG17" s="753">
        <f t="shared" si="6"/>
        <v>890.05</v>
      </c>
      <c r="AH17" s="676"/>
      <c r="AI17" s="676">
        <f>+SUMIF(WRM!$C$7:$C$95,$D17,WRM!$AH$7:$AH$95)</f>
        <v>457.15</v>
      </c>
      <c r="AJ17" s="4198"/>
      <c r="AK17" s="753">
        <f t="shared" si="7"/>
        <v>1347.1999999999998</v>
      </c>
      <c r="AL17" s="676"/>
      <c r="AM17" s="676">
        <f>+SUMIF(WRM!$C$7:$C$95,$D17,WRM!$AL$7:$AL$95)</f>
        <v>14.35</v>
      </c>
      <c r="AN17" s="758"/>
      <c r="AO17" s="758">
        <f t="shared" si="8"/>
        <v>1010.65</v>
      </c>
      <c r="AP17" s="5259"/>
      <c r="AQ17" s="753">
        <f t="shared" si="9"/>
        <v>1361.5499999999997</v>
      </c>
      <c r="AR17" s="676"/>
      <c r="AS17" s="676">
        <f>+SUMIF(WRM!$C$7:$C$95,$D17,WRM!$AR$7:$AR$95)</f>
        <v>75.849999999999994</v>
      </c>
      <c r="AT17" s="4441"/>
      <c r="AU17" s="753">
        <f t="shared" si="10"/>
        <v>1437.3999999999996</v>
      </c>
      <c r="AV17" s="676"/>
      <c r="AW17" s="676">
        <f>+SUMIF(WRM!$C$7:$C$95,$D17,WRM!$AV$7:$AV$95)</f>
        <v>196.8</v>
      </c>
      <c r="AX17" s="4675"/>
      <c r="AY17" s="753">
        <f t="shared" si="11"/>
        <v>1634.1999999999996</v>
      </c>
      <c r="AZ17" s="676"/>
      <c r="BA17" s="676">
        <f>+SUMIF(WRM!$C$7:$C$95,$D17,WRM!$AZ$7:$AZ$95)</f>
        <v>789.25</v>
      </c>
      <c r="BB17" s="758"/>
      <c r="BC17" s="758">
        <f t="shared" si="12"/>
        <v>1061.9000000000001</v>
      </c>
      <c r="BD17" s="5633"/>
      <c r="BE17" s="5682">
        <f t="shared" si="13"/>
        <v>2072.5500000000002</v>
      </c>
      <c r="BF17" s="5121"/>
      <c r="BG17" s="753">
        <f t="shared" si="14"/>
        <v>2423.4499999999998</v>
      </c>
      <c r="BH17" s="26"/>
      <c r="BI17" s="26"/>
    </row>
    <row r="18" spans="3:61" s="4213" customFormat="1" ht="18.75" x14ac:dyDescent="0.3">
      <c r="C18" s="675" t="s">
        <v>17</v>
      </c>
      <c r="D18" s="2207" t="s">
        <v>1022</v>
      </c>
      <c r="E18" s="6452"/>
      <c r="F18" s="675"/>
      <c r="G18" s="676">
        <f>+SUMIF(WRM!$C$7:$C$95,$D18,WRM!$F$7:$F$95)</f>
        <v>0</v>
      </c>
      <c r="H18" s="676"/>
      <c r="I18" s="676">
        <f>+SUMIF(WRM!$C$7:$C$95,$D18,WRM!$H$7:$H$95)</f>
        <v>0</v>
      </c>
      <c r="J18" s="753"/>
      <c r="K18" s="753">
        <f t="shared" si="0"/>
        <v>0</v>
      </c>
      <c r="L18" s="676"/>
      <c r="M18" s="676">
        <f>+SUMIF(WRM!$C$7:$C$95,$D18,WRM!$L$7:$L$95)</f>
        <v>0</v>
      </c>
      <c r="N18" s="758"/>
      <c r="O18" s="758">
        <f t="shared" si="1"/>
        <v>0</v>
      </c>
      <c r="P18" s="676"/>
      <c r="Q18" s="676">
        <f>+SUMIF(WRM!$C$7:$C$95,$D18,WRM!$P$7:$P$95)</f>
        <v>0</v>
      </c>
      <c r="S18" s="753">
        <f t="shared" si="2"/>
        <v>0</v>
      </c>
      <c r="T18" s="676"/>
      <c r="U18" s="676">
        <f>+SUMIF(WRM!$C$7:$C$95,$D18,WRM!$T$7:$T$95)</f>
        <v>0</v>
      </c>
      <c r="W18" s="753">
        <f t="shared" si="3"/>
        <v>0</v>
      </c>
      <c r="X18" s="5624"/>
      <c r="Y18" s="703">
        <f>+SUMIF(WRM!$C$7:$C$95,$D18,WRM!$X$7:$X$95)</f>
        <v>0</v>
      </c>
      <c r="Z18" s="758"/>
      <c r="AA18" s="758">
        <f t="shared" si="4"/>
        <v>0</v>
      </c>
      <c r="AB18" s="5630"/>
      <c r="AC18" s="5682">
        <f t="shared" si="5"/>
        <v>0</v>
      </c>
      <c r="AD18" s="676"/>
      <c r="AE18" s="676">
        <f>+SUMIF(WRM!$C$7:$C$95,$D18,WRM!$AD$7:$AD$95)</f>
        <v>0</v>
      </c>
      <c r="AG18" s="753">
        <f t="shared" si="6"/>
        <v>0</v>
      </c>
      <c r="AH18" s="676"/>
      <c r="AI18" s="676">
        <f>+SUMIF(WRM!$C$7:$C$95,$D18,WRM!$AH$7:$AH$95)</f>
        <v>65.599999999999994</v>
      </c>
      <c r="AK18" s="753">
        <f t="shared" si="7"/>
        <v>65.599999999999994</v>
      </c>
      <c r="AL18" s="676"/>
      <c r="AM18" s="676">
        <f>+SUMIF(WRM!$C$7:$C$95,$D18,WRM!$AL$7:$AL$95)</f>
        <v>0</v>
      </c>
      <c r="AN18" s="758"/>
      <c r="AO18" s="758">
        <f t="shared" si="8"/>
        <v>65.599999999999994</v>
      </c>
      <c r="AP18" s="5259"/>
      <c r="AQ18" s="753">
        <f t="shared" si="9"/>
        <v>65.599999999999994</v>
      </c>
      <c r="AR18" s="676"/>
      <c r="AS18" s="676">
        <f>+SUMIF(WRM!$C$7:$C$95,$D18,WRM!$AR$7:$AR$95)</f>
        <v>0</v>
      </c>
      <c r="AT18" s="4441"/>
      <c r="AU18" s="753">
        <f t="shared" si="10"/>
        <v>65.599999999999994</v>
      </c>
      <c r="AV18" s="676"/>
      <c r="AW18" s="676">
        <f>+SUMIF(WRM!$C$7:$C$95,$D18,WRM!$AV$7:$AV$95)</f>
        <v>0</v>
      </c>
      <c r="AX18" s="4675"/>
      <c r="AY18" s="753">
        <f t="shared" si="11"/>
        <v>65.599999999999994</v>
      </c>
      <c r="AZ18" s="676"/>
      <c r="BA18" s="676">
        <f>+SUMIF(WRM!$C$7:$C$95,$D18,WRM!$AZ$7:$AZ$95)</f>
        <v>0</v>
      </c>
      <c r="BB18" s="758"/>
      <c r="BC18" s="758">
        <f t="shared" si="12"/>
        <v>0</v>
      </c>
      <c r="BD18" s="5633"/>
      <c r="BE18" s="5682">
        <f t="shared" si="13"/>
        <v>65.599999999999994</v>
      </c>
      <c r="BF18" s="5121"/>
      <c r="BG18" s="753">
        <f t="shared" si="14"/>
        <v>65.599999999999994</v>
      </c>
      <c r="BH18" s="26"/>
      <c r="BI18" s="26"/>
    </row>
    <row r="19" spans="3:61" s="3421" customFormat="1" ht="18.75" x14ac:dyDescent="0.3">
      <c r="C19" s="675" t="s">
        <v>17</v>
      </c>
      <c r="D19" s="2207" t="s">
        <v>1798</v>
      </c>
      <c r="E19" s="6452"/>
      <c r="F19" s="675"/>
      <c r="G19" s="676">
        <f>+SUMIF(WRM!$C$7:$C$95,$D19,WRM!$F$7:$F$95)</f>
        <v>0</v>
      </c>
      <c r="H19" s="676"/>
      <c r="I19" s="676">
        <f>+SUMIF(WRM!$C$7:$C$95,$D19,WRM!$H$7:$H$95)</f>
        <v>0</v>
      </c>
      <c r="J19" s="753"/>
      <c r="K19" s="753">
        <f t="shared" si="0"/>
        <v>0</v>
      </c>
      <c r="L19" s="676"/>
      <c r="M19" s="676">
        <f>+SUMIF(WRM!$C$7:$C$95,$D19,WRM!$L$7:$L$95)</f>
        <v>0</v>
      </c>
      <c r="N19" s="758"/>
      <c r="O19" s="758">
        <f t="shared" si="1"/>
        <v>0</v>
      </c>
      <c r="P19" s="676"/>
      <c r="Q19" s="676">
        <f>+SUMIF(WRM!$C$7:$C$95,$D19,WRM!$P$7:$P$95)</f>
        <v>0</v>
      </c>
      <c r="S19" s="753">
        <f t="shared" si="2"/>
        <v>0</v>
      </c>
      <c r="T19" s="676"/>
      <c r="U19" s="676">
        <f>+SUMIF(WRM!$C$7:$C$95,$D19,WRM!$T$7:$T$95)</f>
        <v>0</v>
      </c>
      <c r="W19" s="753">
        <f t="shared" si="3"/>
        <v>0</v>
      </c>
      <c r="X19" s="5624"/>
      <c r="Y19" s="703">
        <f>+SUMIF(WRM!$C$7:$C$95,$D19,WRM!$X$7:$X$95)</f>
        <v>301.35000000000002</v>
      </c>
      <c r="Z19" s="758"/>
      <c r="AA19" s="758">
        <f t="shared" si="4"/>
        <v>301.35000000000002</v>
      </c>
      <c r="AB19" s="5630"/>
      <c r="AC19" s="5682">
        <f t="shared" si="5"/>
        <v>301.35000000000002</v>
      </c>
      <c r="AD19" s="676"/>
      <c r="AE19" s="676">
        <f>+SUMIF(WRM!$C$7:$C$95,$D19,WRM!$AD$7:$AD$95)</f>
        <v>358.75</v>
      </c>
      <c r="AF19" s="4092"/>
      <c r="AG19" s="753">
        <f t="shared" si="6"/>
        <v>660.1</v>
      </c>
      <c r="AH19" s="676"/>
      <c r="AI19" s="676">
        <f>+SUMIF(WRM!$C$7:$C$95,$D19,WRM!$AH$7:$AH$95)</f>
        <v>0</v>
      </c>
      <c r="AJ19" s="4198"/>
      <c r="AK19" s="753">
        <f t="shared" si="7"/>
        <v>660.1</v>
      </c>
      <c r="AL19" s="676"/>
      <c r="AM19" s="676">
        <f>+SUMIF(WRM!$C$7:$C$95,$D19,WRM!$AL$7:$AL$95)</f>
        <v>0</v>
      </c>
      <c r="AN19" s="758"/>
      <c r="AO19" s="758">
        <f t="shared" si="8"/>
        <v>358.75</v>
      </c>
      <c r="AP19" s="5259"/>
      <c r="AQ19" s="753">
        <f t="shared" si="9"/>
        <v>660.1</v>
      </c>
      <c r="AR19" s="676"/>
      <c r="AS19" s="676">
        <f>+SUMIF(WRM!$C$7:$C$95,$D19,WRM!$AR$7:$AR$95)</f>
        <v>0</v>
      </c>
      <c r="AT19" s="4441"/>
      <c r="AU19" s="753">
        <f t="shared" si="10"/>
        <v>660.1</v>
      </c>
      <c r="AV19" s="676"/>
      <c r="AW19" s="676">
        <f>+SUMIF(WRM!$C$7:$C$95,$D19,WRM!$AV$7:$AV$95)</f>
        <v>0</v>
      </c>
      <c r="AX19" s="4675"/>
      <c r="AY19" s="753">
        <f t="shared" si="11"/>
        <v>660.1</v>
      </c>
      <c r="AZ19" s="676"/>
      <c r="BA19" s="676">
        <f>+SUMIF(WRM!$C$7:$C$95,$D19,WRM!$AZ$7:$AZ$95)</f>
        <v>0</v>
      </c>
      <c r="BB19" s="758"/>
      <c r="BC19" s="758">
        <f t="shared" si="12"/>
        <v>0</v>
      </c>
      <c r="BD19" s="5633"/>
      <c r="BE19" s="5682">
        <f t="shared" si="13"/>
        <v>358.75</v>
      </c>
      <c r="BF19" s="5121"/>
      <c r="BG19" s="753">
        <f t="shared" si="14"/>
        <v>660.1</v>
      </c>
      <c r="BH19" s="26"/>
      <c r="BI19" s="26"/>
    </row>
    <row r="20" spans="3:61" ht="18.75" x14ac:dyDescent="0.3">
      <c r="C20" s="675" t="s">
        <v>17</v>
      </c>
      <c r="D20" s="2207" t="s">
        <v>1196</v>
      </c>
      <c r="E20" s="6452"/>
      <c r="F20" s="675"/>
      <c r="G20" s="676">
        <f>+SUMIF(WRM!$C$7:$C$95,$D20,WRM!$F$7:$F$95)</f>
        <v>4797</v>
      </c>
      <c r="H20" s="676"/>
      <c r="I20" s="676">
        <f>+SUMIF(WRM!$C$7:$C$95,$D20,WRM!$H$7:$H$95)</f>
        <v>2947.9</v>
      </c>
      <c r="J20" s="753"/>
      <c r="K20" s="753">
        <f t="shared" si="0"/>
        <v>7744.9</v>
      </c>
      <c r="L20" s="676"/>
      <c r="M20" s="676">
        <f>+SUMIF(WRM!$C$7:$C$95,$D20,WRM!$L$7:$L$95)</f>
        <v>5005.5</v>
      </c>
      <c r="N20" s="758"/>
      <c r="O20" s="758">
        <f t="shared" si="1"/>
        <v>12750.4</v>
      </c>
      <c r="P20" s="676"/>
      <c r="Q20" s="676">
        <f>+SUMIF(WRM!$C$7:$C$95,$D20,WRM!$P$7:$P$95)</f>
        <v>5036.24</v>
      </c>
      <c r="S20" s="753">
        <f t="shared" si="2"/>
        <v>17786.64</v>
      </c>
      <c r="T20" s="676"/>
      <c r="U20" s="676">
        <f>+SUMIF(WRM!$C$7:$C$95,$D20,WRM!$T$7:$T$95)</f>
        <v>8546.450000000008</v>
      </c>
      <c r="W20" s="753">
        <f t="shared" si="3"/>
        <v>26333.090000000007</v>
      </c>
      <c r="X20" s="5624"/>
      <c r="Y20" s="703">
        <f>+SUMIF(WRM!$C$7:$C$95,$D20,WRM!$X$7:$X$95)</f>
        <v>11612.225</v>
      </c>
      <c r="Z20" s="758"/>
      <c r="AA20" s="758">
        <f t="shared" si="4"/>
        <v>25194.915000000008</v>
      </c>
      <c r="AB20" s="5630"/>
      <c r="AC20" s="5682">
        <f t="shared" si="5"/>
        <v>37945.31500000001</v>
      </c>
      <c r="AD20" s="676"/>
      <c r="AE20" s="676">
        <f>+SUMIF(WRM!$C$7:$C$95,$D20,WRM!$AD$7:$AD$95)</f>
        <v>11092.55</v>
      </c>
      <c r="AF20" s="4092"/>
      <c r="AG20" s="753">
        <f t="shared" si="6"/>
        <v>49037.865000000005</v>
      </c>
      <c r="AH20" s="676"/>
      <c r="AI20" s="676">
        <f>+SUMIF(WRM!$C$7:$C$95,$D20,WRM!$AH$7:$AH$95)</f>
        <v>6430.85</v>
      </c>
      <c r="AJ20" s="4198"/>
      <c r="AK20" s="753">
        <f t="shared" si="7"/>
        <v>55468.715000000004</v>
      </c>
      <c r="AL20" s="676"/>
      <c r="AM20" s="676">
        <f>+SUMIF(WRM!$C$7:$C$95,$D20,WRM!$AL$7:$AL$95)</f>
        <v>4827.7499999999991</v>
      </c>
      <c r="AN20" s="758"/>
      <c r="AO20" s="758">
        <f t="shared" si="8"/>
        <v>22351.149999999998</v>
      </c>
      <c r="AP20" s="5259"/>
      <c r="AQ20" s="753">
        <f t="shared" si="9"/>
        <v>60296.465000000004</v>
      </c>
      <c r="AR20" s="676"/>
      <c r="AS20" s="676">
        <f>+SUMIF(WRM!$C$7:$C$95,$D20,WRM!$AR$7:$AR$95)</f>
        <v>6112.6</v>
      </c>
      <c r="AT20" s="4441"/>
      <c r="AU20" s="753">
        <f t="shared" si="10"/>
        <v>66409.065000000002</v>
      </c>
      <c r="AV20" s="676"/>
      <c r="AW20" s="676">
        <f>+SUMIF(WRM!$C$7:$C$95,$D20,WRM!$AV$7:$AV$95)</f>
        <v>7863.8000000000029</v>
      </c>
      <c r="AX20" s="4675"/>
      <c r="AY20" s="753">
        <f t="shared" si="11"/>
        <v>74272.865000000005</v>
      </c>
      <c r="AZ20" s="676"/>
      <c r="BA20" s="676">
        <f>+SUMIF(WRM!$C$7:$C$95,$D20,WRM!$AZ$7:$AZ$95)</f>
        <v>12566.5</v>
      </c>
      <c r="BB20" s="758"/>
      <c r="BC20" s="758">
        <f t="shared" si="12"/>
        <v>26542.9</v>
      </c>
      <c r="BD20" s="5633"/>
      <c r="BE20" s="5682">
        <f t="shared" si="13"/>
        <v>48894.05</v>
      </c>
      <c r="BF20" s="5121"/>
      <c r="BG20" s="753">
        <f t="shared" si="14"/>
        <v>86839.365000000005</v>
      </c>
      <c r="BH20" s="26"/>
      <c r="BI20" s="26"/>
    </row>
    <row r="21" spans="3:61" ht="18.75" x14ac:dyDescent="0.3">
      <c r="C21" s="675" t="s">
        <v>17</v>
      </c>
      <c r="D21" s="2207" t="s">
        <v>906</v>
      </c>
      <c r="E21" s="6452"/>
      <c r="F21" s="675"/>
      <c r="G21" s="676">
        <f>+SUMIF(WRM!$C$7:$C$95,$D21,WRM!$F$7:$F$95)</f>
        <v>2072.5499999999997</v>
      </c>
      <c r="H21" s="676"/>
      <c r="I21" s="676">
        <f>+SUMIF(WRM!$C$7:$C$95,$D21,WRM!$H$7:$H$95)</f>
        <v>947.1</v>
      </c>
      <c r="J21" s="753"/>
      <c r="K21" s="753">
        <f t="shared" si="0"/>
        <v>3019.6499999999996</v>
      </c>
      <c r="L21" s="676"/>
      <c r="M21" s="676">
        <f>+SUMIF(WRM!$C$7:$C$95,$D21,WRM!$L$7:$L$95)</f>
        <v>596.54999999999995</v>
      </c>
      <c r="N21" s="758"/>
      <c r="O21" s="758">
        <f t="shared" si="1"/>
        <v>3616.2</v>
      </c>
      <c r="P21" s="676"/>
      <c r="Q21" s="676">
        <f>+SUMIF(WRM!$C$7:$C$95,$D21,WRM!$P$7:$P$95)</f>
        <v>1828.6000000000001</v>
      </c>
      <c r="S21" s="753">
        <f t="shared" si="2"/>
        <v>5444.8</v>
      </c>
      <c r="T21" s="676"/>
      <c r="U21" s="676">
        <f>+SUMIF(WRM!$C$7:$C$95,$D21,WRM!$T$7:$T$95)</f>
        <v>1314.05</v>
      </c>
      <c r="W21" s="753">
        <f t="shared" si="3"/>
        <v>6758.85</v>
      </c>
      <c r="X21" s="5624"/>
      <c r="Y21" s="703">
        <f>+SUMIF(WRM!$C$7:$C$95,$D21,WRM!$X$7:$X$95)</f>
        <v>0</v>
      </c>
      <c r="Z21" s="758"/>
      <c r="AA21" s="758">
        <f t="shared" si="4"/>
        <v>3142.65</v>
      </c>
      <c r="AB21" s="5630"/>
      <c r="AC21" s="5682">
        <f t="shared" si="5"/>
        <v>6758.85</v>
      </c>
      <c r="AD21" s="676"/>
      <c r="AE21" s="676">
        <f>+SUMIF(WRM!$C$7:$C$95,$D21,WRM!$AD$7:$AD$95)</f>
        <v>1639.9999999999995</v>
      </c>
      <c r="AF21" s="4092"/>
      <c r="AG21" s="753">
        <f t="shared" si="6"/>
        <v>8398.85</v>
      </c>
      <c r="AH21" s="676"/>
      <c r="AI21" s="676">
        <f>+SUMIF(WRM!$C$7:$C$95,$D21,WRM!$AH$7:$AH$95)</f>
        <v>1119.3</v>
      </c>
      <c r="AJ21" s="4198"/>
      <c r="AK21" s="753">
        <f t="shared" si="7"/>
        <v>9518.15</v>
      </c>
      <c r="AL21" s="676"/>
      <c r="AM21" s="676">
        <f>+SUMIF(WRM!$C$7:$C$95,$D21,WRM!$AL$7:$AL$95)</f>
        <v>1221.8</v>
      </c>
      <c r="AN21" s="758"/>
      <c r="AO21" s="758">
        <f t="shared" si="8"/>
        <v>3981.0999999999995</v>
      </c>
      <c r="AP21" s="5259"/>
      <c r="AQ21" s="753">
        <f t="shared" si="9"/>
        <v>10739.949999999999</v>
      </c>
      <c r="AR21" s="676"/>
      <c r="AS21" s="676">
        <f>+SUMIF(WRM!$C$7:$C$95,$D21,WRM!$AR$7:$AR$95)</f>
        <v>596.54999999999995</v>
      </c>
      <c r="AT21" s="4441"/>
      <c r="AU21" s="753">
        <f t="shared" si="10"/>
        <v>11336.499999999998</v>
      </c>
      <c r="AV21" s="676"/>
      <c r="AW21" s="676">
        <f>+SUMIF(WRM!$C$7:$C$95,$D21,WRM!$AV$7:$AV$95)</f>
        <v>2006.9499999999991</v>
      </c>
      <c r="AX21" s="4675"/>
      <c r="AY21" s="753">
        <f t="shared" si="11"/>
        <v>13343.449999999997</v>
      </c>
      <c r="AZ21" s="676"/>
      <c r="BA21" s="676">
        <f>+SUMIF(WRM!$C$7:$C$95,$D21,WRM!$AZ$7:$AZ$95)</f>
        <v>110.7</v>
      </c>
      <c r="BB21" s="758"/>
      <c r="BC21" s="758">
        <f t="shared" si="12"/>
        <v>2714.1999999999989</v>
      </c>
      <c r="BD21" s="5633"/>
      <c r="BE21" s="5682">
        <f t="shared" si="13"/>
        <v>6695.2999999999984</v>
      </c>
      <c r="BF21" s="5121"/>
      <c r="BG21" s="753">
        <f t="shared" si="14"/>
        <v>13454.149999999998</v>
      </c>
      <c r="BH21" s="26"/>
      <c r="BI21" s="26"/>
    </row>
    <row r="22" spans="3:61" ht="18.75" x14ac:dyDescent="0.3">
      <c r="C22" s="675" t="s">
        <v>17</v>
      </c>
      <c r="D22" s="2207" t="s">
        <v>1016</v>
      </c>
      <c r="E22" s="6452"/>
      <c r="F22" s="675"/>
      <c r="G22" s="676">
        <f>+SUMIF(WRM!$C$7:$C$95,$D22,WRM!$F$7:$F$95)</f>
        <v>6047.5</v>
      </c>
      <c r="H22" s="676"/>
      <c r="I22" s="676">
        <f>+SUMIF(WRM!$C$7:$C$95,$D22,WRM!$H$7:$H$95)</f>
        <v>1240.2499999999998</v>
      </c>
      <c r="J22" s="753"/>
      <c r="K22" s="753">
        <f t="shared" si="0"/>
        <v>7287.75</v>
      </c>
      <c r="L22" s="676"/>
      <c r="M22" s="676">
        <f>+SUMIF(WRM!$C$7:$C$95,$D22,WRM!$L$7:$L$95)</f>
        <v>3800.7000000000003</v>
      </c>
      <c r="N22" s="758"/>
      <c r="O22" s="758">
        <f t="shared" si="1"/>
        <v>11088.45</v>
      </c>
      <c r="P22" s="676"/>
      <c r="Q22" s="676">
        <f>+SUMIF(WRM!$C$7:$C$95,$D22,WRM!$P$7:$P$95)</f>
        <v>1589.21</v>
      </c>
      <c r="S22" s="753">
        <f t="shared" si="2"/>
        <v>12677.66</v>
      </c>
      <c r="T22" s="676"/>
      <c r="U22" s="676">
        <f>+SUMIF(WRM!$C$7:$C$95,$D22,WRM!$T$7:$T$95)</f>
        <v>2394.4</v>
      </c>
      <c r="W22" s="753">
        <f t="shared" si="3"/>
        <v>15072.06</v>
      </c>
      <c r="X22" s="5624"/>
      <c r="Y22" s="703">
        <f>+SUMIF(WRM!$C$7:$C$95,$D22,WRM!$X$7:$X$95)</f>
        <v>2689.6</v>
      </c>
      <c r="Z22" s="758"/>
      <c r="AA22" s="758">
        <f t="shared" si="4"/>
        <v>6673.21</v>
      </c>
      <c r="AB22" s="5630"/>
      <c r="AC22" s="5682">
        <f t="shared" si="5"/>
        <v>17761.66</v>
      </c>
      <c r="AD22" s="676"/>
      <c r="AE22" s="676">
        <f>+SUMIF(WRM!$C$7:$C$95,$D22,WRM!$AD$7:$AD$95)</f>
        <v>2351.35</v>
      </c>
      <c r="AF22" s="4092"/>
      <c r="AG22" s="753">
        <f t="shared" si="6"/>
        <v>20113.009999999998</v>
      </c>
      <c r="AH22" s="676"/>
      <c r="AI22" s="676">
        <f>+SUMIF(WRM!$C$7:$C$95,$D22,WRM!$AH$7:$AH$95)</f>
        <v>4015.9500000000025</v>
      </c>
      <c r="AJ22" s="4198"/>
      <c r="AK22" s="753">
        <f t="shared" si="7"/>
        <v>24128.959999999999</v>
      </c>
      <c r="AL22" s="676"/>
      <c r="AM22" s="676">
        <f>+SUMIF(WRM!$C$7:$C$95,$D22,WRM!$AL$7:$AL$95)</f>
        <v>3751.5</v>
      </c>
      <c r="AN22" s="758"/>
      <c r="AO22" s="758">
        <f t="shared" si="8"/>
        <v>10118.800000000003</v>
      </c>
      <c r="AP22" s="5259"/>
      <c r="AQ22" s="753">
        <f t="shared" si="9"/>
        <v>27880.46</v>
      </c>
      <c r="AR22" s="676"/>
      <c r="AS22" s="676">
        <f>+SUMIF(WRM!$C$7:$C$95,$D22,WRM!$AR$7:$AR$95)</f>
        <v>5102.45</v>
      </c>
      <c r="AT22" s="4441"/>
      <c r="AU22" s="753">
        <f t="shared" si="10"/>
        <v>32982.909999999996</v>
      </c>
      <c r="AV22" s="676"/>
      <c r="AW22" s="676">
        <f>+SUMIF(WRM!$C$7:$C$95,$D22,WRM!$AV$7:$AV$95)</f>
        <v>2537.9</v>
      </c>
      <c r="AX22" s="4675"/>
      <c r="AY22" s="753">
        <f t="shared" si="11"/>
        <v>35520.81</v>
      </c>
      <c r="AZ22" s="676"/>
      <c r="BA22" s="676">
        <f>+SUMIF(WRM!$C$7:$C$95,$D22,WRM!$AZ$7:$AZ$95)</f>
        <v>6320.1499999999987</v>
      </c>
      <c r="BB22" s="758"/>
      <c r="BC22" s="758">
        <f t="shared" si="12"/>
        <v>13960.5</v>
      </c>
      <c r="BD22" s="5633"/>
      <c r="BE22" s="5682">
        <f t="shared" si="13"/>
        <v>24079.300000000003</v>
      </c>
      <c r="BF22" s="5121"/>
      <c r="BG22" s="753">
        <f t="shared" si="14"/>
        <v>41840.959999999999</v>
      </c>
      <c r="BH22" s="26"/>
      <c r="BI22" s="26"/>
    </row>
    <row r="23" spans="3:61" ht="18.75" x14ac:dyDescent="0.3">
      <c r="C23" s="675" t="s">
        <v>17</v>
      </c>
      <c r="D23" s="2207" t="s">
        <v>1018</v>
      </c>
      <c r="E23" s="6452"/>
      <c r="F23" s="675"/>
      <c r="G23" s="676">
        <f>+SUMIF(WRM!$C$7:$C$95,$D23,WRM!$F$7:$F$95)</f>
        <v>5286.95</v>
      </c>
      <c r="H23" s="676"/>
      <c r="I23" s="676">
        <f>+SUMIF(WRM!$C$7:$C$95,$D23,WRM!$H$7:$H$95)</f>
        <v>7361.55</v>
      </c>
      <c r="J23" s="753"/>
      <c r="K23" s="753">
        <f t="shared" si="0"/>
        <v>12648.5</v>
      </c>
      <c r="L23" s="676"/>
      <c r="M23" s="676">
        <f>+SUMIF(WRM!$C$7:$C$95,$D23,WRM!$L$7:$L$95)</f>
        <v>6217.65</v>
      </c>
      <c r="N23" s="758"/>
      <c r="O23" s="758">
        <f t="shared" si="1"/>
        <v>18866.150000000001</v>
      </c>
      <c r="P23" s="676"/>
      <c r="Q23" s="676">
        <f>+SUMIF(WRM!$C$7:$C$95,$D23,WRM!$P$7:$P$95)</f>
        <v>9192.3799999999992</v>
      </c>
      <c r="S23" s="753">
        <f t="shared" si="2"/>
        <v>28058.53</v>
      </c>
      <c r="T23" s="676"/>
      <c r="U23" s="676">
        <f>+SUMIF(WRM!$C$7:$C$95,$D23,WRM!$T$7:$T$95)</f>
        <v>4653.5000000000027</v>
      </c>
      <c r="W23" s="753">
        <f t="shared" si="3"/>
        <v>32712.030000000002</v>
      </c>
      <c r="X23" s="5624"/>
      <c r="Y23" s="703">
        <f>+SUMIF(WRM!$C$7:$C$95,$D23,WRM!$X$7:$X$95)</f>
        <v>9991.7000000000025</v>
      </c>
      <c r="Z23" s="758"/>
      <c r="AA23" s="758">
        <f t="shared" si="4"/>
        <v>23837.58</v>
      </c>
      <c r="AB23" s="5630"/>
      <c r="AC23" s="5682">
        <f t="shared" si="5"/>
        <v>42703.73</v>
      </c>
      <c r="AD23" s="676"/>
      <c r="AE23" s="676">
        <f>+SUMIF(WRM!$C$7:$C$95,$D23,WRM!$AD$7:$AD$95)</f>
        <v>8591.5499999999993</v>
      </c>
      <c r="AF23" s="4092"/>
      <c r="AG23" s="753">
        <f t="shared" si="6"/>
        <v>51295.28</v>
      </c>
      <c r="AH23" s="676"/>
      <c r="AI23" s="676">
        <f>+SUMIF(WRM!$C$7:$C$95,$D23,WRM!$AH$7:$AH$95)</f>
        <v>6439.0499999999993</v>
      </c>
      <c r="AJ23" s="4198"/>
      <c r="AK23" s="753">
        <f t="shared" si="7"/>
        <v>57734.33</v>
      </c>
      <c r="AL23" s="676"/>
      <c r="AM23" s="676">
        <f>+SUMIF(WRM!$C$7:$C$95,$D23,WRM!$AL$7:$AL$95)</f>
        <v>6076.2</v>
      </c>
      <c r="AN23" s="758"/>
      <c r="AO23" s="758">
        <f t="shared" si="8"/>
        <v>21106.799999999999</v>
      </c>
      <c r="AP23" s="5259"/>
      <c r="AQ23" s="753">
        <f t="shared" si="9"/>
        <v>63810.53</v>
      </c>
      <c r="AR23" s="676"/>
      <c r="AS23" s="676">
        <f>+SUMIF(WRM!$C$7:$C$95,$D23,WRM!$AR$7:$AR$95)</f>
        <v>8050.35</v>
      </c>
      <c r="AT23" s="4441"/>
      <c r="AU23" s="753">
        <f t="shared" si="10"/>
        <v>71860.88</v>
      </c>
      <c r="AV23" s="676"/>
      <c r="AW23" s="676">
        <f>+SUMIF(WRM!$C$7:$C$95,$D23,WRM!$AV$7:$AV$95)</f>
        <v>2287.8000000000002</v>
      </c>
      <c r="AX23" s="4675"/>
      <c r="AY23" s="753">
        <f t="shared" si="11"/>
        <v>74148.680000000008</v>
      </c>
      <c r="AZ23" s="676"/>
      <c r="BA23" s="676">
        <f>+SUMIF(WRM!$C$7:$C$95,$D23,WRM!$AZ$7:$AZ$95)</f>
        <v>5186.5</v>
      </c>
      <c r="BB23" s="758"/>
      <c r="BC23" s="758">
        <f t="shared" si="12"/>
        <v>15524.650000000001</v>
      </c>
      <c r="BD23" s="5633"/>
      <c r="BE23" s="5682">
        <f t="shared" si="13"/>
        <v>36631.449999999997</v>
      </c>
      <c r="BF23" s="5121"/>
      <c r="BG23" s="753">
        <f t="shared" si="14"/>
        <v>79335.180000000008</v>
      </c>
      <c r="BH23" s="26"/>
      <c r="BI23" s="26"/>
    </row>
    <row r="24" spans="3:61" ht="18.75" x14ac:dyDescent="0.3">
      <c r="C24" s="675" t="s">
        <v>17</v>
      </c>
      <c r="D24" s="2207" t="s">
        <v>1174</v>
      </c>
      <c r="E24" s="6452"/>
      <c r="F24" s="675"/>
      <c r="G24" s="676">
        <f>+SUMIF(WRM!$C$7:$C$95,$D24,WRM!$F$7:$F$95)</f>
        <v>151.69999999999999</v>
      </c>
      <c r="H24" s="676"/>
      <c r="I24" s="676">
        <f>+SUMIF(WRM!$C$7:$C$95,$D24,WRM!$H$7:$H$95)</f>
        <v>0</v>
      </c>
      <c r="J24" s="753"/>
      <c r="K24" s="753">
        <f t="shared" si="0"/>
        <v>151.69999999999999</v>
      </c>
      <c r="L24" s="676"/>
      <c r="M24" s="676">
        <f>+SUMIF(WRM!$C$7:$C$95,$D24,WRM!$L$7:$L$95)</f>
        <v>1232.05</v>
      </c>
      <c r="N24" s="758"/>
      <c r="O24" s="758">
        <f t="shared" si="1"/>
        <v>1383.75</v>
      </c>
      <c r="P24" s="676"/>
      <c r="Q24" s="676">
        <f>+SUMIF(WRM!$C$7:$C$95,$D24,WRM!$P$7:$P$95)</f>
        <v>0</v>
      </c>
      <c r="S24" s="753">
        <f t="shared" si="2"/>
        <v>1383.75</v>
      </c>
      <c r="T24" s="676"/>
      <c r="U24" s="676">
        <f>+SUMIF(WRM!$C$7:$C$95,$D24,WRM!$T$7:$T$95)</f>
        <v>799.49999999999989</v>
      </c>
      <c r="W24" s="753">
        <f t="shared" si="3"/>
        <v>2183.25</v>
      </c>
      <c r="X24" s="5624"/>
      <c r="Y24" s="703">
        <f>+SUMIF(WRM!$C$7:$C$95,$D24,WRM!$X$7:$X$95)</f>
        <v>1324.2999999999997</v>
      </c>
      <c r="Z24" s="758"/>
      <c r="AA24" s="758">
        <f t="shared" si="4"/>
        <v>2123.7999999999997</v>
      </c>
      <c r="AB24" s="5630"/>
      <c r="AC24" s="5682">
        <f t="shared" si="5"/>
        <v>3507.5499999999997</v>
      </c>
      <c r="AD24" s="676"/>
      <c r="AE24" s="676">
        <f>+SUMIF(WRM!$C$7:$C$95,$D24,WRM!$AD$7:$AD$95)</f>
        <v>0</v>
      </c>
      <c r="AF24" s="4092"/>
      <c r="AG24" s="753">
        <f t="shared" si="6"/>
        <v>3507.5499999999997</v>
      </c>
      <c r="AH24" s="676"/>
      <c r="AI24" s="676">
        <f>+SUMIF(WRM!$C$7:$C$95,$D24,WRM!$AH$7:$AH$95)</f>
        <v>0</v>
      </c>
      <c r="AJ24" s="4198"/>
      <c r="AK24" s="753">
        <f t="shared" si="7"/>
        <v>3507.5499999999997</v>
      </c>
      <c r="AL24" s="676"/>
      <c r="AM24" s="676">
        <f>+SUMIF(WRM!$C$7:$C$95,$D24,WRM!$AL$7:$AL$95)</f>
        <v>0</v>
      </c>
      <c r="AN24" s="758"/>
      <c r="AO24" s="758">
        <f t="shared" si="8"/>
        <v>0</v>
      </c>
      <c r="AP24" s="5259"/>
      <c r="AQ24" s="753">
        <f t="shared" si="9"/>
        <v>3507.5499999999997</v>
      </c>
      <c r="AR24" s="676"/>
      <c r="AS24" s="676">
        <f>+SUMIF(WRM!$C$7:$C$95,$D24,WRM!$AR$7:$AR$95)</f>
        <v>430.50000000000006</v>
      </c>
      <c r="AT24" s="4441"/>
      <c r="AU24" s="753">
        <f t="shared" si="10"/>
        <v>3938.0499999999997</v>
      </c>
      <c r="AV24" s="676"/>
      <c r="AW24" s="676">
        <f>+SUMIF(WRM!$C$7:$C$95,$D24,WRM!$AV$7:$AV$95)</f>
        <v>1022.95</v>
      </c>
      <c r="AX24" s="4675"/>
      <c r="AY24" s="753">
        <f t="shared" si="11"/>
        <v>4961</v>
      </c>
      <c r="AZ24" s="676"/>
      <c r="BA24" s="676">
        <f>+SUMIF(WRM!$C$7:$C$95,$D24,WRM!$AZ$7:$AZ$95)</f>
        <v>920.45</v>
      </c>
      <c r="BB24" s="758"/>
      <c r="BC24" s="758">
        <f t="shared" si="12"/>
        <v>2373.9</v>
      </c>
      <c r="BD24" s="5633"/>
      <c r="BE24" s="5682">
        <f t="shared" si="13"/>
        <v>2373.9</v>
      </c>
      <c r="BF24" s="5121"/>
      <c r="BG24" s="753">
        <f t="shared" si="14"/>
        <v>5881.45</v>
      </c>
      <c r="BH24" s="26"/>
      <c r="BI24" s="26"/>
    </row>
    <row r="25" spans="3:61" s="3385" customFormat="1" ht="18.75" x14ac:dyDescent="0.3">
      <c r="C25" s="675" t="s">
        <v>17</v>
      </c>
      <c r="D25" s="2207" t="s">
        <v>1799</v>
      </c>
      <c r="E25" s="6452"/>
      <c r="F25" s="675"/>
      <c r="G25" s="676">
        <f>+SUMIF(WRM!$C$7:$C$95,$D25,WRM!$F$7:$F$95)</f>
        <v>100.45</v>
      </c>
      <c r="H25" s="676"/>
      <c r="I25" s="676">
        <f>+SUMIF(WRM!$C$7:$C$95,$D25,WRM!$H$7:$H$95)</f>
        <v>0</v>
      </c>
      <c r="J25" s="753"/>
      <c r="K25" s="753">
        <f t="shared" si="0"/>
        <v>100.45</v>
      </c>
      <c r="L25" s="676"/>
      <c r="M25" s="676">
        <f>+SUMIF(WRM!$C$7:$C$95,$D25,WRM!$L$7:$L$95)</f>
        <v>0</v>
      </c>
      <c r="N25" s="758"/>
      <c r="O25" s="758">
        <f t="shared" si="1"/>
        <v>100.45</v>
      </c>
      <c r="P25" s="676"/>
      <c r="Q25" s="676">
        <f>+SUMIF(WRM!$C$7:$C$95,$D25,WRM!$P$7:$P$95)</f>
        <v>0</v>
      </c>
      <c r="S25" s="753">
        <f t="shared" si="2"/>
        <v>100.45</v>
      </c>
      <c r="T25" s="676"/>
      <c r="U25" s="676">
        <f>+SUMIF(WRM!$C$7:$C$95,$D25,WRM!$T$7:$T$95)</f>
        <v>0</v>
      </c>
      <c r="W25" s="753">
        <f t="shared" si="3"/>
        <v>100.45</v>
      </c>
      <c r="X25" s="5624"/>
      <c r="Y25" s="703">
        <f>+SUMIF(WRM!$C$7:$C$95,$D25,WRM!$X$7:$X$95)</f>
        <v>0</v>
      </c>
      <c r="Z25" s="758"/>
      <c r="AA25" s="758">
        <f t="shared" si="4"/>
        <v>0</v>
      </c>
      <c r="AB25" s="5630"/>
      <c r="AC25" s="5682">
        <f t="shared" si="5"/>
        <v>100.45</v>
      </c>
      <c r="AD25" s="676"/>
      <c r="AE25" s="676">
        <f>+SUMIF(WRM!$C$7:$C$95,$D25,WRM!$AD$7:$AD$95)</f>
        <v>0</v>
      </c>
      <c r="AF25" s="4092"/>
      <c r="AG25" s="753">
        <f t="shared" si="6"/>
        <v>100.45</v>
      </c>
      <c r="AH25" s="676"/>
      <c r="AI25" s="676">
        <f>+SUMIF(WRM!$C$7:$C$95,$D25,WRM!$AH$7:$AH$95)</f>
        <v>0</v>
      </c>
      <c r="AJ25" s="4198"/>
      <c r="AK25" s="753">
        <f t="shared" si="7"/>
        <v>100.45</v>
      </c>
      <c r="AL25" s="676"/>
      <c r="AM25" s="676">
        <f>+SUMIF(WRM!$C$7:$C$95,$D25,WRM!$AL$7:$AL$95)</f>
        <v>0</v>
      </c>
      <c r="AN25" s="758"/>
      <c r="AO25" s="758">
        <f t="shared" si="8"/>
        <v>0</v>
      </c>
      <c r="AP25" s="5259"/>
      <c r="AQ25" s="753">
        <f t="shared" si="9"/>
        <v>100.45</v>
      </c>
      <c r="AR25" s="676"/>
      <c r="AS25" s="676">
        <f>+SUMIF(WRM!$C$7:$C$95,$D25,WRM!$AR$7:$AR$95)</f>
        <v>0</v>
      </c>
      <c r="AT25" s="4441"/>
      <c r="AU25" s="753">
        <f t="shared" si="10"/>
        <v>100.45</v>
      </c>
      <c r="AV25" s="676"/>
      <c r="AW25" s="676">
        <f>+SUMIF(WRM!$C$7:$C$95,$D25,WRM!$AV$7:$AV$95)</f>
        <v>0</v>
      </c>
      <c r="AX25" s="4675"/>
      <c r="AY25" s="753">
        <f t="shared" si="11"/>
        <v>100.45</v>
      </c>
      <c r="AZ25" s="676"/>
      <c r="BA25" s="676">
        <f>+SUMIF(WRM!$C$7:$C$95,$D25,WRM!$AZ$7:$AZ$95)</f>
        <v>0</v>
      </c>
      <c r="BB25" s="758"/>
      <c r="BC25" s="758">
        <f t="shared" si="12"/>
        <v>0</v>
      </c>
      <c r="BD25" s="5633"/>
      <c r="BE25" s="5682">
        <f t="shared" si="13"/>
        <v>0</v>
      </c>
      <c r="BF25" s="5121"/>
      <c r="BG25" s="753">
        <f t="shared" si="14"/>
        <v>100.45</v>
      </c>
      <c r="BH25" s="26"/>
      <c r="BI25" s="26"/>
    </row>
    <row r="26" spans="3:61" ht="18.75" x14ac:dyDescent="0.3">
      <c r="C26" s="675" t="s">
        <v>17</v>
      </c>
      <c r="D26" s="2207" t="s">
        <v>1085</v>
      </c>
      <c r="E26" s="6452"/>
      <c r="F26" s="675"/>
      <c r="G26" s="676">
        <f>+SUMIF(WRM!$C$7:$C$95,$D26,WRM!$F$7:$F$95)</f>
        <v>2035.65</v>
      </c>
      <c r="H26" s="676"/>
      <c r="I26" s="676">
        <f>+SUMIF(WRM!$C$7:$C$95,$D26,WRM!$H$7:$H$95)</f>
        <v>514.55000000000007</v>
      </c>
      <c r="J26" s="753"/>
      <c r="K26" s="753">
        <f t="shared" si="0"/>
        <v>2550.2000000000003</v>
      </c>
      <c r="L26" s="676"/>
      <c r="M26" s="676">
        <f>+SUMIF(WRM!$C$7:$C$95,$D26,WRM!$L$7:$L$95)</f>
        <v>241.9</v>
      </c>
      <c r="N26" s="758"/>
      <c r="O26" s="758">
        <f t="shared" si="1"/>
        <v>2792.1000000000004</v>
      </c>
      <c r="P26" s="676"/>
      <c r="Q26" s="676">
        <f>+SUMIF(WRM!$C$7:$C$95,$D26,WRM!$P$7:$P$95)</f>
        <v>2783.8999999999996</v>
      </c>
      <c r="S26" s="753">
        <f t="shared" si="2"/>
        <v>5576</v>
      </c>
      <c r="T26" s="676"/>
      <c r="U26" s="676">
        <f>+SUMIF(WRM!$C$7:$C$95,$D26,WRM!$T$7:$T$95)</f>
        <v>586.29999999999984</v>
      </c>
      <c r="W26" s="753">
        <f t="shared" si="3"/>
        <v>6162.3</v>
      </c>
      <c r="X26" s="5624"/>
      <c r="Y26" s="703">
        <f>+SUMIF(WRM!$C$7:$C$95,$D26,WRM!$X$7:$X$95)</f>
        <v>1178.75</v>
      </c>
      <c r="Z26" s="758"/>
      <c r="AA26" s="758">
        <f t="shared" si="4"/>
        <v>4548.9499999999989</v>
      </c>
      <c r="AB26" s="5630"/>
      <c r="AC26" s="5682">
        <f t="shared" si="5"/>
        <v>7341.0499999999993</v>
      </c>
      <c r="AD26" s="676"/>
      <c r="AE26" s="676">
        <f>+SUMIF(WRM!$C$7:$C$95,$D26,WRM!$AD$7:$AD$95)</f>
        <v>2790</v>
      </c>
      <c r="AF26" s="4092"/>
      <c r="AG26" s="753">
        <f t="shared" si="6"/>
        <v>10131.049999999999</v>
      </c>
      <c r="AH26" s="676"/>
      <c r="AI26" s="676">
        <f>+SUMIF(WRM!$C$7:$C$95,$D26,WRM!$AH$7:$AH$95)</f>
        <v>416.15</v>
      </c>
      <c r="AJ26" s="4198"/>
      <c r="AK26" s="753">
        <f t="shared" si="7"/>
        <v>10547.199999999999</v>
      </c>
      <c r="AL26" s="676"/>
      <c r="AM26" s="676">
        <f>+SUMIF(WRM!$C$7:$C$95,$D26,WRM!$AL$7:$AL$95)</f>
        <v>3726.9</v>
      </c>
      <c r="AN26" s="758"/>
      <c r="AO26" s="758">
        <f t="shared" si="8"/>
        <v>6933.05</v>
      </c>
      <c r="AP26" s="5259"/>
      <c r="AQ26" s="753">
        <f t="shared" si="9"/>
        <v>14274.099999999999</v>
      </c>
      <c r="AR26" s="676"/>
      <c r="AS26" s="676">
        <f>+SUMIF(WRM!$C$7:$C$95,$D26,WRM!$AR$7:$AR$95)</f>
        <v>889.7</v>
      </c>
      <c r="AT26" s="4441"/>
      <c r="AU26" s="753">
        <f t="shared" si="10"/>
        <v>15163.8</v>
      </c>
      <c r="AV26" s="676"/>
      <c r="AW26" s="676">
        <f>+SUMIF(WRM!$C$7:$C$95,$D26,WRM!$AV$7:$AV$95)</f>
        <v>2064.3499999999995</v>
      </c>
      <c r="AX26" s="4675"/>
      <c r="AY26" s="753">
        <f t="shared" si="11"/>
        <v>17228.149999999998</v>
      </c>
      <c r="AZ26" s="676"/>
      <c r="BA26" s="676">
        <f>+SUMIF(WRM!$C$7:$C$95,$D26,WRM!$AZ$7:$AZ$95)</f>
        <v>0</v>
      </c>
      <c r="BB26" s="758"/>
      <c r="BC26" s="758">
        <f t="shared" si="12"/>
        <v>2954.0499999999993</v>
      </c>
      <c r="BD26" s="5633"/>
      <c r="BE26" s="5682">
        <f t="shared" si="13"/>
        <v>9887.0999999999985</v>
      </c>
      <c r="BF26" s="5121"/>
      <c r="BG26" s="753">
        <f t="shared" si="14"/>
        <v>17228.149999999998</v>
      </c>
      <c r="BH26" s="26"/>
      <c r="BI26" s="26"/>
    </row>
    <row r="27" spans="3:61" ht="18.75" x14ac:dyDescent="0.3">
      <c r="C27" s="675" t="s">
        <v>17</v>
      </c>
      <c r="D27" s="2207" t="s">
        <v>1086</v>
      </c>
      <c r="E27" s="6452"/>
      <c r="F27" s="675"/>
      <c r="G27" s="676">
        <f>+SUMIF(WRM!$C$7:$C$95,$D27,WRM!$F$7:$F$95)</f>
        <v>3987.25</v>
      </c>
      <c r="H27" s="676"/>
      <c r="I27" s="676">
        <f>+SUMIF(WRM!$C$7:$C$95,$D27,WRM!$H$7:$H$95)</f>
        <v>539.15</v>
      </c>
      <c r="J27" s="753"/>
      <c r="K27" s="753">
        <f t="shared" si="0"/>
        <v>4526.3999999999996</v>
      </c>
      <c r="L27" s="676"/>
      <c r="M27" s="676">
        <f>+SUMIF(WRM!$C$7:$C$95,$D27,WRM!$L$7:$L$95)</f>
        <v>1693.3000000000002</v>
      </c>
      <c r="N27" s="758"/>
      <c r="O27" s="758">
        <f t="shared" si="1"/>
        <v>6219.7</v>
      </c>
      <c r="P27" s="676"/>
      <c r="Q27" s="676">
        <f>+SUMIF(WRM!$C$7:$C$95,$D27,WRM!$P$7:$P$95)</f>
        <v>1859.35</v>
      </c>
      <c r="S27" s="753">
        <f t="shared" si="2"/>
        <v>8079.0499999999993</v>
      </c>
      <c r="T27" s="676"/>
      <c r="U27" s="676">
        <f>+SUMIF(WRM!$C$7:$C$95,$D27,WRM!$T$7:$T$95)</f>
        <v>2904.8499999999995</v>
      </c>
      <c r="W27" s="753">
        <f t="shared" si="3"/>
        <v>10983.899999999998</v>
      </c>
      <c r="X27" s="5624"/>
      <c r="Y27" s="703">
        <f>+SUMIF(WRM!$C$7:$C$95,$D27,WRM!$X$7:$X$95)</f>
        <v>3001.2</v>
      </c>
      <c r="Z27" s="758"/>
      <c r="AA27" s="758">
        <f t="shared" si="4"/>
        <v>7765.3999999999987</v>
      </c>
      <c r="AB27" s="5630"/>
      <c r="AC27" s="5682">
        <f t="shared" si="5"/>
        <v>13985.099999999999</v>
      </c>
      <c r="AD27" s="676"/>
      <c r="AE27" s="676">
        <f>+SUMIF(WRM!$C$7:$C$95,$D27,WRM!$AD$7:$AD$95)</f>
        <v>817.95</v>
      </c>
      <c r="AF27" s="4092"/>
      <c r="AG27" s="753">
        <f t="shared" si="6"/>
        <v>14803.05</v>
      </c>
      <c r="AH27" s="676"/>
      <c r="AI27" s="676">
        <f>+SUMIF(WRM!$C$7:$C$95,$D27,WRM!$AH$7:$AH$95)</f>
        <v>1845</v>
      </c>
      <c r="AJ27" s="4198"/>
      <c r="AK27" s="753">
        <f t="shared" si="7"/>
        <v>16648.05</v>
      </c>
      <c r="AL27" s="676"/>
      <c r="AM27" s="676">
        <f>+SUMIF(WRM!$C$7:$C$95,$D27,WRM!$AL$7:$AL$95)</f>
        <v>4136.9000000000005</v>
      </c>
      <c r="AN27" s="758"/>
      <c r="AO27" s="758">
        <f t="shared" si="8"/>
        <v>6799.85</v>
      </c>
      <c r="AP27" s="5259"/>
      <c r="AQ27" s="753">
        <f t="shared" si="9"/>
        <v>20784.95</v>
      </c>
      <c r="AR27" s="676"/>
      <c r="AS27" s="676">
        <f>+SUMIF(WRM!$C$7:$C$95,$D27,WRM!$AR$7:$AR$95)</f>
        <v>2191.4500000000003</v>
      </c>
      <c r="AT27" s="4441"/>
      <c r="AU27" s="753">
        <f t="shared" si="10"/>
        <v>22976.400000000001</v>
      </c>
      <c r="AV27" s="676"/>
      <c r="AW27" s="676">
        <f>+SUMIF(WRM!$C$7:$C$95,$D27,WRM!$AV$7:$AV$95)</f>
        <v>1976.1999999999998</v>
      </c>
      <c r="AX27" s="4675"/>
      <c r="AY27" s="753">
        <f t="shared" si="11"/>
        <v>24952.600000000002</v>
      </c>
      <c r="AZ27" s="676"/>
      <c r="BA27" s="676">
        <f>+SUMIF(WRM!$C$7:$C$95,$D27,WRM!$AZ$7:$AZ$95)</f>
        <v>0</v>
      </c>
      <c r="BB27" s="758"/>
      <c r="BC27" s="758">
        <f t="shared" si="12"/>
        <v>4167.6499999999996</v>
      </c>
      <c r="BD27" s="5633"/>
      <c r="BE27" s="5682">
        <f t="shared" si="13"/>
        <v>10967.5</v>
      </c>
      <c r="BF27" s="5121"/>
      <c r="BG27" s="753">
        <f t="shared" si="14"/>
        <v>24952.600000000002</v>
      </c>
      <c r="BH27" s="26"/>
      <c r="BI27" s="26"/>
    </row>
    <row r="28" spans="3:61" ht="18.75" x14ac:dyDescent="0.3">
      <c r="C28" s="675" t="s">
        <v>17</v>
      </c>
      <c r="D28" s="2207" t="s">
        <v>1529</v>
      </c>
      <c r="E28" s="6452"/>
      <c r="F28" s="675"/>
      <c r="G28" s="676">
        <f>+SUMIF(WRM!$C$7:$C$95,$D28,WRM!$F$7:$F$95)</f>
        <v>0</v>
      </c>
      <c r="H28" s="676"/>
      <c r="I28" s="676">
        <f>+SUMIF(WRM!$C$7:$C$95,$D28,WRM!$H$7:$H$95)</f>
        <v>67.650000000000006</v>
      </c>
      <c r="J28" s="753"/>
      <c r="K28" s="753">
        <f t="shared" si="0"/>
        <v>67.650000000000006</v>
      </c>
      <c r="L28" s="676"/>
      <c r="M28" s="676">
        <f>+SUMIF(WRM!$C$7:$C$95,$D28,WRM!$L$7:$L$95)</f>
        <v>0</v>
      </c>
      <c r="N28" s="758"/>
      <c r="O28" s="758">
        <f t="shared" si="1"/>
        <v>67.650000000000006</v>
      </c>
      <c r="P28" s="676"/>
      <c r="Q28" s="676">
        <f>+SUMIF(WRM!$C$7:$C$95,$D28,WRM!$P$7:$P$95)</f>
        <v>0</v>
      </c>
      <c r="S28" s="753">
        <f t="shared" si="2"/>
        <v>67.650000000000006</v>
      </c>
      <c r="T28" s="676"/>
      <c r="U28" s="676">
        <f>+SUMIF(WRM!$C$7:$C$95,$D28,WRM!$T$7:$T$95)</f>
        <v>0</v>
      </c>
      <c r="W28" s="753">
        <f t="shared" si="3"/>
        <v>67.650000000000006</v>
      </c>
      <c r="X28" s="5624"/>
      <c r="Y28" s="703">
        <f>+SUMIF(WRM!$C$7:$C$95,$D28,WRM!$X$7:$X$95)</f>
        <v>0</v>
      </c>
      <c r="Z28" s="758"/>
      <c r="AA28" s="758">
        <f t="shared" si="4"/>
        <v>0</v>
      </c>
      <c r="AB28" s="5630"/>
      <c r="AC28" s="5682">
        <f t="shared" si="5"/>
        <v>67.650000000000006</v>
      </c>
      <c r="AD28" s="676"/>
      <c r="AE28" s="676">
        <f>+SUMIF(WRM!$C$7:$C$95,$D28,WRM!$AD$7:$AD$95)</f>
        <v>0</v>
      </c>
      <c r="AF28" s="4092"/>
      <c r="AG28" s="753">
        <f t="shared" si="6"/>
        <v>67.650000000000006</v>
      </c>
      <c r="AH28" s="676"/>
      <c r="AI28" s="676">
        <f>+SUMIF(WRM!$C$7:$C$95,$D28,WRM!$AH$7:$AH$95)</f>
        <v>0</v>
      </c>
      <c r="AJ28" s="4198"/>
      <c r="AK28" s="753">
        <f t="shared" si="7"/>
        <v>67.650000000000006</v>
      </c>
      <c r="AL28" s="676"/>
      <c r="AM28" s="676">
        <f>+SUMIF(WRM!$C$7:$C$95,$D28,WRM!$AL$7:$AL$95)</f>
        <v>0</v>
      </c>
      <c r="AN28" s="758"/>
      <c r="AO28" s="758">
        <f t="shared" si="8"/>
        <v>0</v>
      </c>
      <c r="AP28" s="5259"/>
      <c r="AQ28" s="753">
        <f t="shared" si="9"/>
        <v>67.650000000000006</v>
      </c>
      <c r="AR28" s="676"/>
      <c r="AS28" s="676">
        <f>+SUMIF(WRM!$C$7:$C$95,$D28,WRM!$AR$7:$AR$95)</f>
        <v>0</v>
      </c>
      <c r="AT28" s="4441"/>
      <c r="AU28" s="753">
        <f t="shared" si="10"/>
        <v>67.650000000000006</v>
      </c>
      <c r="AV28" s="676"/>
      <c r="AW28" s="676">
        <f>+SUMIF(WRM!$C$7:$C$95,$D28,WRM!$AV$7:$AV$95)</f>
        <v>0</v>
      </c>
      <c r="AX28" s="4675"/>
      <c r="AY28" s="753">
        <f t="shared" si="11"/>
        <v>67.650000000000006</v>
      </c>
      <c r="AZ28" s="676"/>
      <c r="BA28" s="676">
        <f>+SUMIF(WRM!$C$7:$C$95,$D28,WRM!$AZ$7:$AZ$95)</f>
        <v>0</v>
      </c>
      <c r="BB28" s="758"/>
      <c r="BC28" s="758">
        <f t="shared" si="12"/>
        <v>0</v>
      </c>
      <c r="BD28" s="5633"/>
      <c r="BE28" s="5682">
        <f t="shared" si="13"/>
        <v>0</v>
      </c>
      <c r="BF28" s="5121"/>
      <c r="BG28" s="753">
        <f t="shared" si="14"/>
        <v>67.650000000000006</v>
      </c>
      <c r="BH28" s="26"/>
      <c r="BI28" s="26"/>
    </row>
    <row r="29" spans="3:61" ht="18.75" x14ac:dyDescent="0.3">
      <c r="C29" s="675" t="s">
        <v>17</v>
      </c>
      <c r="D29" s="2207" t="s">
        <v>1624</v>
      </c>
      <c r="E29" s="6452"/>
      <c r="F29" s="675"/>
      <c r="G29" s="676">
        <f>+SUMIF(WRM!$C$7:$C$95,$D29,WRM!$F$7:$F$95)</f>
        <v>0</v>
      </c>
      <c r="H29" s="676"/>
      <c r="I29" s="676">
        <f>+SUMIF(WRM!$C$7:$C$95,$D29,WRM!$H$7:$H$95)</f>
        <v>0</v>
      </c>
      <c r="J29" s="753"/>
      <c r="K29" s="753">
        <f t="shared" si="0"/>
        <v>0</v>
      </c>
      <c r="L29" s="676"/>
      <c r="M29" s="676">
        <f>+SUMIF(WRM!$C$7:$C$95,$D29,WRM!$L$7:$L$95)</f>
        <v>305.45</v>
      </c>
      <c r="N29" s="758"/>
      <c r="O29" s="758">
        <f t="shared" si="1"/>
        <v>305.45</v>
      </c>
      <c r="P29" s="676"/>
      <c r="Q29" s="676">
        <f>+SUMIF(WRM!$C$7:$C$95,$D29,WRM!$P$7:$P$95)</f>
        <v>337.34999999999997</v>
      </c>
      <c r="R29" s="26"/>
      <c r="S29" s="753">
        <f t="shared" si="2"/>
        <v>642.79999999999995</v>
      </c>
      <c r="T29" s="676"/>
      <c r="U29" s="676">
        <f>+SUMIF(WRM!$C$7:$C$95,$D29,WRM!$T$7:$T$95)</f>
        <v>1539.55</v>
      </c>
      <c r="V29" s="26"/>
      <c r="W29" s="753">
        <f t="shared" si="3"/>
        <v>2182.35</v>
      </c>
      <c r="X29" s="5624"/>
      <c r="Y29" s="703">
        <f>+SUMIF(WRM!$C$7:$C$95,$D29,WRM!$X$7:$X$95)</f>
        <v>514.54999999999995</v>
      </c>
      <c r="Z29" s="758"/>
      <c r="AA29" s="758">
        <f t="shared" si="4"/>
        <v>2391.4499999999998</v>
      </c>
      <c r="AB29" s="5630"/>
      <c r="AC29" s="5682">
        <f t="shared" si="5"/>
        <v>2696.8999999999996</v>
      </c>
      <c r="AD29" s="676"/>
      <c r="AE29" s="676">
        <f>+SUMIF(WRM!$C$7:$C$95,$D29,WRM!$AD$7:$AD$95)</f>
        <v>0</v>
      </c>
      <c r="AF29" s="26"/>
      <c r="AG29" s="753">
        <f t="shared" si="6"/>
        <v>2696.8999999999996</v>
      </c>
      <c r="AH29" s="676"/>
      <c r="AI29" s="676">
        <f>+SUMIF(WRM!$C$7:$C$95,$D29,WRM!$AH$7:$AH$95)</f>
        <v>1719.9499999999998</v>
      </c>
      <c r="AJ29" s="26"/>
      <c r="AK29" s="753">
        <f t="shared" si="7"/>
        <v>4416.8499999999995</v>
      </c>
      <c r="AL29" s="676"/>
      <c r="AM29" s="676">
        <f>+SUMIF(WRM!$C$7:$C$95,$D29,WRM!$AL$7:$AL$95)</f>
        <v>688.8</v>
      </c>
      <c r="AN29" s="758"/>
      <c r="AO29" s="758">
        <f t="shared" si="8"/>
        <v>2408.75</v>
      </c>
      <c r="AP29" s="5259"/>
      <c r="AQ29" s="753">
        <f t="shared" si="9"/>
        <v>5105.6499999999996</v>
      </c>
      <c r="AR29" s="676"/>
      <c r="AS29" s="676">
        <f>+SUMIF(WRM!$C$7:$C$95,$D29,WRM!$AR$7:$AR$95)</f>
        <v>243.95</v>
      </c>
      <c r="AT29" s="26"/>
      <c r="AU29" s="753">
        <f t="shared" si="10"/>
        <v>5349.5999999999995</v>
      </c>
      <c r="AV29" s="676"/>
      <c r="AW29" s="676">
        <f>+SUMIF(WRM!$C$7:$C$95,$D29,WRM!$AV$7:$AV$95)</f>
        <v>86.1</v>
      </c>
      <c r="AX29" s="26"/>
      <c r="AY29" s="753">
        <f t="shared" si="11"/>
        <v>5435.7</v>
      </c>
      <c r="AZ29" s="676"/>
      <c r="BA29" s="676">
        <f>+SUMIF(WRM!$C$7:$C$95,$D29,WRM!$AZ$7:$AZ$95)</f>
        <v>0</v>
      </c>
      <c r="BB29" s="758"/>
      <c r="BC29" s="758">
        <f t="shared" si="12"/>
        <v>330.04999999999995</v>
      </c>
      <c r="BD29" s="5633"/>
      <c r="BE29" s="5682">
        <f t="shared" si="13"/>
        <v>2738.8</v>
      </c>
      <c r="BF29" s="26"/>
      <c r="BG29" s="753">
        <f t="shared" si="14"/>
        <v>5435.7</v>
      </c>
      <c r="BH29" s="26"/>
      <c r="BI29" s="26"/>
    </row>
    <row r="30" spans="3:61" ht="18.75" x14ac:dyDescent="0.3">
      <c r="C30" s="675" t="s">
        <v>17</v>
      </c>
      <c r="D30" s="2207" t="s">
        <v>1694</v>
      </c>
      <c r="E30" s="6452"/>
      <c r="F30" s="675"/>
      <c r="G30" s="676">
        <f>+SUMIF(WRM!$C$7:$C$95,$D30,WRM!$F$7:$F$95)</f>
        <v>0</v>
      </c>
      <c r="H30" s="676"/>
      <c r="I30" s="676">
        <f>+SUMIF(WRM!$C$7:$C$95,$D30,WRM!$H$7:$H$95)</f>
        <v>0</v>
      </c>
      <c r="J30" s="753"/>
      <c r="K30" s="753">
        <f t="shared" si="0"/>
        <v>0</v>
      </c>
      <c r="L30" s="676"/>
      <c r="M30" s="676">
        <f>+SUMIF(WRM!$C$7:$C$95,$D30,WRM!$L$7:$L$95)</f>
        <v>0</v>
      </c>
      <c r="N30" s="758"/>
      <c r="O30" s="758">
        <f t="shared" si="1"/>
        <v>0</v>
      </c>
      <c r="P30" s="676"/>
      <c r="Q30" s="676">
        <f>+SUMIF(WRM!$C$7:$C$95,$D30,WRM!$P$7:$P$95)</f>
        <v>277.47000000000003</v>
      </c>
      <c r="R30" s="26"/>
      <c r="S30" s="753">
        <f t="shared" si="2"/>
        <v>277.47000000000003</v>
      </c>
      <c r="T30" s="676"/>
      <c r="U30" s="676">
        <f>+SUMIF(WRM!$C$7:$C$95,$D30,WRM!$T$7:$T$95)</f>
        <v>0</v>
      </c>
      <c r="V30" s="26"/>
      <c r="W30" s="753">
        <f t="shared" si="3"/>
        <v>277.47000000000003</v>
      </c>
      <c r="X30" s="5624"/>
      <c r="Y30" s="703">
        <f>+SUMIF(WRM!$C$7:$C$95,$D30,WRM!$X$7:$X$95)</f>
        <v>0</v>
      </c>
      <c r="Z30" s="758"/>
      <c r="AA30" s="758">
        <f t="shared" si="4"/>
        <v>277.47000000000003</v>
      </c>
      <c r="AB30" s="5630"/>
      <c r="AC30" s="5682">
        <f t="shared" si="5"/>
        <v>277.47000000000003</v>
      </c>
      <c r="AD30" s="676"/>
      <c r="AE30" s="676">
        <f>+SUMIF(WRM!$C$7:$C$95,$D30,WRM!$AD$7:$AD$95)</f>
        <v>0</v>
      </c>
      <c r="AF30" s="26"/>
      <c r="AG30" s="753">
        <f t="shared" si="6"/>
        <v>277.47000000000003</v>
      </c>
      <c r="AH30" s="676"/>
      <c r="AI30" s="676">
        <f>+SUMIF(WRM!$C$7:$C$95,$D30,WRM!$AH$7:$AH$95)</f>
        <v>0</v>
      </c>
      <c r="AJ30" s="26"/>
      <c r="AK30" s="753">
        <f t="shared" si="7"/>
        <v>277.47000000000003</v>
      </c>
      <c r="AL30" s="676"/>
      <c r="AM30" s="676">
        <f>+SUMIF(WRM!$C$7:$C$95,$D30,WRM!$AL$7:$AL$95)</f>
        <v>0</v>
      </c>
      <c r="AN30" s="758"/>
      <c r="AO30" s="758">
        <f t="shared" si="8"/>
        <v>0</v>
      </c>
      <c r="AP30" s="5259"/>
      <c r="AQ30" s="753">
        <f t="shared" si="9"/>
        <v>277.47000000000003</v>
      </c>
      <c r="AR30" s="676"/>
      <c r="AS30" s="676">
        <f>+SUMIF(WRM!$C$7:$C$95,$D30,WRM!$AR$7:$AR$95)</f>
        <v>0</v>
      </c>
      <c r="AT30" s="26"/>
      <c r="AU30" s="753">
        <f t="shared" si="10"/>
        <v>277.47000000000003</v>
      </c>
      <c r="AV30" s="676"/>
      <c r="AW30" s="676">
        <f>+SUMIF(WRM!$C$7:$C$95,$D30,WRM!$AV$7:$AV$95)</f>
        <v>0</v>
      </c>
      <c r="AX30" s="26"/>
      <c r="AY30" s="753">
        <f t="shared" si="11"/>
        <v>277.47000000000003</v>
      </c>
      <c r="AZ30" s="676"/>
      <c r="BA30" s="676">
        <f>+SUMIF(WRM!$C$7:$C$95,$D30,WRM!$AZ$7:$AZ$95)</f>
        <v>0</v>
      </c>
      <c r="BB30" s="758"/>
      <c r="BC30" s="758">
        <f t="shared" si="12"/>
        <v>0</v>
      </c>
      <c r="BD30" s="5633"/>
      <c r="BE30" s="5682">
        <f t="shared" si="13"/>
        <v>0</v>
      </c>
      <c r="BF30" s="26"/>
      <c r="BG30" s="753">
        <f t="shared" si="14"/>
        <v>277.47000000000003</v>
      </c>
      <c r="BH30" s="26"/>
      <c r="BI30" s="26"/>
    </row>
    <row r="31" spans="3:61" ht="18.75" x14ac:dyDescent="0.3">
      <c r="C31" s="675" t="s">
        <v>17</v>
      </c>
      <c r="D31" s="2207" t="s">
        <v>1626</v>
      </c>
      <c r="E31" s="6452"/>
      <c r="F31" s="675"/>
      <c r="G31" s="676">
        <f>+SUMIF(WRM!$C$7:$C$95,$D31,WRM!$F$7:$F$95)</f>
        <v>0</v>
      </c>
      <c r="H31" s="676"/>
      <c r="I31" s="676">
        <f>+SUMIF(WRM!$C$7:$C$95,$D31,WRM!$H$7:$H$95)</f>
        <v>0</v>
      </c>
      <c r="J31" s="753"/>
      <c r="K31" s="753">
        <f t="shared" si="0"/>
        <v>0</v>
      </c>
      <c r="L31" s="676"/>
      <c r="M31" s="676">
        <f>+SUMIF(WRM!$C$7:$C$95,$D31,WRM!$L$7:$L$95)</f>
        <v>241.9</v>
      </c>
      <c r="N31" s="758"/>
      <c r="O31" s="758">
        <f t="shared" si="1"/>
        <v>241.9</v>
      </c>
      <c r="P31" s="676"/>
      <c r="Q31" s="676">
        <f>+SUMIF(WRM!$C$7:$C$95,$D31,WRM!$P$7:$P$95)</f>
        <v>1298.3599999999999</v>
      </c>
      <c r="S31" s="753">
        <f t="shared" si="2"/>
        <v>1540.26</v>
      </c>
      <c r="T31" s="676"/>
      <c r="U31" s="676">
        <f>+SUMIF(WRM!$C$7:$C$95,$D31,WRM!$T$7:$T$95)</f>
        <v>1309.95</v>
      </c>
      <c r="W31" s="753">
        <f t="shared" si="3"/>
        <v>2850.21</v>
      </c>
      <c r="X31" s="5624"/>
      <c r="Y31" s="703">
        <f>+SUMIF(WRM!$C$7:$C$95,$D31,WRM!$X$7:$X$95)</f>
        <v>1301.75</v>
      </c>
      <c r="Z31" s="758"/>
      <c r="AA31" s="758">
        <f t="shared" si="4"/>
        <v>3910.06</v>
      </c>
      <c r="AB31" s="5630"/>
      <c r="AC31" s="5682">
        <f t="shared" si="5"/>
        <v>4151.96</v>
      </c>
      <c r="AD31" s="676"/>
      <c r="AE31" s="676">
        <f>+SUMIF(WRM!$C$7:$C$95,$D31,WRM!$AD$7:$AD$95)</f>
        <v>1603.1</v>
      </c>
      <c r="AF31" s="4092"/>
      <c r="AG31" s="753">
        <f t="shared" si="6"/>
        <v>5755.0599999999995</v>
      </c>
      <c r="AH31" s="676"/>
      <c r="AI31" s="676">
        <f>+SUMIF(WRM!$C$7:$C$95,$D31,WRM!$AH$7:$AH$95)</f>
        <v>725.7</v>
      </c>
      <c r="AJ31" s="4198"/>
      <c r="AK31" s="753">
        <f t="shared" si="7"/>
        <v>6480.7599999999993</v>
      </c>
      <c r="AL31" s="676"/>
      <c r="AM31" s="676">
        <f>+SUMIF(WRM!$C$7:$C$95,$D31,WRM!$AL$7:$AL$95)</f>
        <v>981.95</v>
      </c>
      <c r="AN31" s="758"/>
      <c r="AO31" s="758">
        <f t="shared" si="8"/>
        <v>3310.75</v>
      </c>
      <c r="AP31" s="5259"/>
      <c r="AQ31" s="753">
        <f t="shared" si="9"/>
        <v>7462.7099999999991</v>
      </c>
      <c r="AR31" s="676"/>
      <c r="AS31" s="676">
        <f>+SUMIF(WRM!$C$7:$C$95,$D31,WRM!$AR$7:$AR$95)</f>
        <v>1215.6500000000001</v>
      </c>
      <c r="AT31" s="4441"/>
      <c r="AU31" s="753">
        <f t="shared" si="10"/>
        <v>8678.3599999999988</v>
      </c>
      <c r="AV31" s="676"/>
      <c r="AW31" s="676">
        <f>+SUMIF(WRM!$C$7:$C$95,$D31,WRM!$AV$7:$AV$95)</f>
        <v>1939.3000000000002</v>
      </c>
      <c r="AX31" s="4675"/>
      <c r="AY31" s="753">
        <f t="shared" si="11"/>
        <v>10617.66</v>
      </c>
      <c r="AZ31" s="676"/>
      <c r="BA31" s="676">
        <f>+SUMIF(WRM!$C$7:$C$95,$D31,WRM!$AZ$7:$AZ$95)</f>
        <v>0</v>
      </c>
      <c r="BB31" s="758"/>
      <c r="BC31" s="758">
        <f t="shared" si="12"/>
        <v>3154.9500000000003</v>
      </c>
      <c r="BD31" s="5633"/>
      <c r="BE31" s="5682">
        <f t="shared" si="13"/>
        <v>6465.7000000000007</v>
      </c>
      <c r="BF31" s="5121"/>
      <c r="BG31" s="753">
        <f t="shared" si="14"/>
        <v>10617.66</v>
      </c>
      <c r="BH31" s="26"/>
      <c r="BI31" s="26"/>
    </row>
    <row r="32" spans="3:61" ht="18.75" x14ac:dyDescent="0.3">
      <c r="C32" s="6445" t="s">
        <v>1013</v>
      </c>
      <c r="D32" s="6445"/>
      <c r="E32" s="6452"/>
      <c r="F32" s="763"/>
      <c r="G32" s="764">
        <f>SUM(G4:G31)</f>
        <v>35881.15</v>
      </c>
      <c r="H32" s="764">
        <f t="shared" ref="H32:BG32" si="15">SUM(H4:H31)</f>
        <v>0</v>
      </c>
      <c r="I32" s="764">
        <f t="shared" si="15"/>
        <v>27746.750000000004</v>
      </c>
      <c r="J32" s="764">
        <f t="shared" si="15"/>
        <v>0</v>
      </c>
      <c r="K32" s="764">
        <f t="shared" si="15"/>
        <v>63627.899999999994</v>
      </c>
      <c r="L32" s="764">
        <f t="shared" si="15"/>
        <v>0</v>
      </c>
      <c r="M32" s="764">
        <f t="shared" si="15"/>
        <v>27188.55</v>
      </c>
      <c r="N32" s="764">
        <f t="shared" si="15"/>
        <v>0</v>
      </c>
      <c r="O32" s="759">
        <f t="shared" si="15"/>
        <v>90816.45</v>
      </c>
      <c r="P32" s="764">
        <f t="shared" si="15"/>
        <v>0</v>
      </c>
      <c r="Q32" s="764">
        <f t="shared" si="15"/>
        <v>33179.229999999996</v>
      </c>
      <c r="R32" s="764">
        <f t="shared" si="15"/>
        <v>0</v>
      </c>
      <c r="S32" s="764">
        <f t="shared" si="15"/>
        <v>123995.68</v>
      </c>
      <c r="T32" s="764">
        <f t="shared" si="15"/>
        <v>0</v>
      </c>
      <c r="U32" s="764">
        <f t="shared" si="15"/>
        <v>31781.150000000012</v>
      </c>
      <c r="V32" s="764">
        <f t="shared" si="15"/>
        <v>0</v>
      </c>
      <c r="W32" s="764">
        <f t="shared" si="15"/>
        <v>155776.82999999999</v>
      </c>
      <c r="X32" s="764">
        <f t="shared" si="15"/>
        <v>0</v>
      </c>
      <c r="Y32" s="764">
        <f t="shared" si="15"/>
        <v>39520.925000000003</v>
      </c>
      <c r="Z32" s="764">
        <f t="shared" si="15"/>
        <v>0</v>
      </c>
      <c r="AA32" s="759">
        <f t="shared" si="15"/>
        <v>104481.30499999999</v>
      </c>
      <c r="AB32" s="764">
        <f t="shared" si="15"/>
        <v>0</v>
      </c>
      <c r="AC32" s="5683">
        <f t="shared" si="15"/>
        <v>195297.755</v>
      </c>
      <c r="AD32" s="764">
        <f t="shared" si="15"/>
        <v>0</v>
      </c>
      <c r="AE32" s="764">
        <f t="shared" si="15"/>
        <v>40876.94999999999</v>
      </c>
      <c r="AF32" s="764">
        <f t="shared" si="15"/>
        <v>0</v>
      </c>
      <c r="AG32" s="764">
        <f t="shared" si="15"/>
        <v>236174.70499999999</v>
      </c>
      <c r="AH32" s="764">
        <f t="shared" si="15"/>
        <v>0</v>
      </c>
      <c r="AI32" s="764">
        <f t="shared" si="15"/>
        <v>33751.200000000004</v>
      </c>
      <c r="AJ32" s="764">
        <f t="shared" si="15"/>
        <v>0</v>
      </c>
      <c r="AK32" s="764">
        <f t="shared" si="15"/>
        <v>269925.90499999997</v>
      </c>
      <c r="AL32" s="764">
        <f t="shared" si="15"/>
        <v>0</v>
      </c>
      <c r="AM32" s="764">
        <f t="shared" si="15"/>
        <v>38548.200000000004</v>
      </c>
      <c r="AN32" s="764">
        <f t="shared" si="15"/>
        <v>0</v>
      </c>
      <c r="AO32" s="759">
        <f t="shared" si="15"/>
        <v>113176.35</v>
      </c>
      <c r="AP32" s="764">
        <f t="shared" si="15"/>
        <v>0</v>
      </c>
      <c r="AQ32" s="764">
        <f t="shared" si="15"/>
        <v>308474.1050000001</v>
      </c>
      <c r="AR32" s="764">
        <f t="shared" si="15"/>
        <v>0</v>
      </c>
      <c r="AS32" s="764">
        <f t="shared" si="15"/>
        <v>36417.75</v>
      </c>
      <c r="AT32" s="764">
        <f t="shared" si="15"/>
        <v>0</v>
      </c>
      <c r="AU32" s="764">
        <f t="shared" si="15"/>
        <v>344891.85500000004</v>
      </c>
      <c r="AV32" s="764">
        <f t="shared" si="15"/>
        <v>0</v>
      </c>
      <c r="AW32" s="764">
        <f t="shared" si="15"/>
        <v>31666.350000000002</v>
      </c>
      <c r="AX32" s="764">
        <f t="shared" si="15"/>
        <v>0</v>
      </c>
      <c r="AY32" s="764">
        <f t="shared" si="15"/>
        <v>376558.20500000002</v>
      </c>
      <c r="AZ32" s="764">
        <f t="shared" si="15"/>
        <v>0</v>
      </c>
      <c r="BA32" s="764">
        <f t="shared" si="15"/>
        <v>36106.649999999994</v>
      </c>
      <c r="BB32" s="764">
        <f t="shared" si="15"/>
        <v>0</v>
      </c>
      <c r="BC32" s="759">
        <f t="shared" si="15"/>
        <v>104190.74999999999</v>
      </c>
      <c r="BD32" s="764">
        <f t="shared" si="15"/>
        <v>0</v>
      </c>
      <c r="BE32" s="5683">
        <f t="shared" si="15"/>
        <v>217367.10000000003</v>
      </c>
      <c r="BF32" s="764">
        <f t="shared" si="15"/>
        <v>0</v>
      </c>
      <c r="BG32" s="754">
        <f t="shared" si="15"/>
        <v>412664.85500000004</v>
      </c>
      <c r="BH32" s="26"/>
      <c r="BI32" s="26"/>
    </row>
    <row r="33" spans="3:61" ht="18.75" x14ac:dyDescent="0.3">
      <c r="C33" s="675" t="s">
        <v>93</v>
      </c>
      <c r="D33" s="675" t="s">
        <v>1090</v>
      </c>
      <c r="E33" s="6452"/>
      <c r="F33" s="675"/>
      <c r="G33" s="676">
        <f>+SUMIF(BM!$C$7:$C$39,$D33,BM!$F$7:$F$39)</f>
        <v>37130.228999999999</v>
      </c>
      <c r="H33" s="676"/>
      <c r="I33" s="676">
        <f>+SUMIF(BM!$C$7:$C$39,$D33,BM!$H$7:$H$39)</f>
        <v>22538.695000000011</v>
      </c>
      <c r="J33" s="753"/>
      <c r="K33" s="753">
        <f t="shared" si="0"/>
        <v>59668.924000000014</v>
      </c>
      <c r="L33" s="676"/>
      <c r="M33" s="676">
        <f>+SUMIF(BM!$C$7:$C$39,$D33,BM!$L$7:$L$39)</f>
        <v>24558.83400000001</v>
      </c>
      <c r="N33" s="758"/>
      <c r="O33" s="758">
        <f t="shared" si="1"/>
        <v>84227.758000000031</v>
      </c>
      <c r="P33" s="676"/>
      <c r="Q33" s="676">
        <f>+SUMIF(BM!$C$7:$C$39,$D33,BM!$P$7:$P$39)</f>
        <v>40526.991000000067</v>
      </c>
      <c r="S33" s="753">
        <f t="shared" si="2"/>
        <v>124754.7490000001</v>
      </c>
      <c r="T33" s="676"/>
      <c r="U33" s="676">
        <f>+SUMIF(BM!$C$7:$C$39,$D33,BM!$T$7:$T$39)</f>
        <v>41160.722000000016</v>
      </c>
      <c r="W33" s="753">
        <f t="shared" si="3"/>
        <v>165915.47100000011</v>
      </c>
      <c r="X33" s="5624"/>
      <c r="Y33" s="703">
        <f>+SUMIF(BM!$C$7:$C$39,$D33,BM!$X$7:$X$39)</f>
        <v>28836.472000000031</v>
      </c>
      <c r="Z33" s="758"/>
      <c r="AA33" s="758">
        <f t="shared" si="4"/>
        <v>110524.18500000011</v>
      </c>
      <c r="AB33" s="5630"/>
      <c r="AC33" s="5682">
        <f t="shared" si="5"/>
        <v>194751.94300000014</v>
      </c>
      <c r="AD33" s="676"/>
      <c r="AE33" s="676">
        <f>+SUMIF(BM!$C$7:$C$39,$D33,BM!$AD$7:$AD$39)</f>
        <v>31215.88700000005</v>
      </c>
      <c r="AF33" s="4092"/>
      <c r="AG33" s="753">
        <f t="shared" si="6"/>
        <v>225967.83000000019</v>
      </c>
      <c r="AH33" s="676"/>
      <c r="AI33" s="676">
        <f>+SUMIF(BM!$C$7:$C$39,$D33,BM!$AH$7:$AH$39)</f>
        <v>33702.55100000005</v>
      </c>
      <c r="AJ33" s="4198"/>
      <c r="AK33" s="753">
        <f t="shared" si="7"/>
        <v>259670.38100000023</v>
      </c>
      <c r="AL33" s="676"/>
      <c r="AM33" s="676">
        <f>+SUMIF(BM!$C$7:$C$39,$D33,BM!$AL$7:$AL$39)</f>
        <v>27825.399000000001</v>
      </c>
      <c r="AN33" s="758"/>
      <c r="AO33" s="758">
        <f t="shared" si="8"/>
        <v>92743.837000000101</v>
      </c>
      <c r="AP33" s="5259"/>
      <c r="AQ33" s="753">
        <f t="shared" si="9"/>
        <v>287495.7800000002</v>
      </c>
      <c r="AR33" s="676"/>
      <c r="AS33" s="676">
        <f>+SUMIF(BM!$C$7:$C$39,$D33,BM!$AR$7:$AR$39)</f>
        <v>30912.701000000034</v>
      </c>
      <c r="AT33" s="4441"/>
      <c r="AU33" s="753">
        <f t="shared" si="10"/>
        <v>318408.48100000026</v>
      </c>
      <c r="AV33" s="676"/>
      <c r="AW33" s="676">
        <f>+SUMIF(BM!$C$7:$C$39,$D33,BM!$AV$7:$AV$39)</f>
        <v>28971.495000000043</v>
      </c>
      <c r="AX33" s="4675"/>
      <c r="AY33" s="753">
        <f t="shared" si="11"/>
        <v>347379.97600000032</v>
      </c>
      <c r="AZ33" s="676"/>
      <c r="BA33" s="676">
        <f>+SUMIF(BM!$C$7:$C$39,$D33,BM!$AZ$7:$AZ$39)</f>
        <v>30013.135000000013</v>
      </c>
      <c r="BB33" s="758"/>
      <c r="BC33" s="758">
        <f t="shared" si="12"/>
        <v>89897.331000000093</v>
      </c>
      <c r="BD33" s="5633"/>
      <c r="BE33" s="5682">
        <f t="shared" si="13"/>
        <v>182641.16800000018</v>
      </c>
      <c r="BF33" s="5121"/>
      <c r="BG33" s="753">
        <f t="shared" si="14"/>
        <v>377393.11100000032</v>
      </c>
      <c r="BH33" s="26"/>
      <c r="BI33" s="26"/>
    </row>
    <row r="34" spans="3:61" ht="18.75" x14ac:dyDescent="0.3">
      <c r="C34" s="675" t="s">
        <v>93</v>
      </c>
      <c r="D34" s="675" t="s">
        <v>1091</v>
      </c>
      <c r="E34" s="6452"/>
      <c r="F34" s="675"/>
      <c r="G34" s="676">
        <f>+SUMIF(BM!$C$7:$C$39,$D34,BM!$F$7:$F$39)</f>
        <v>14872.779999999999</v>
      </c>
      <c r="H34" s="676"/>
      <c r="I34" s="676">
        <f>+SUMIF(BM!$C$7:$C$39,$D34,BM!$H$7:$H$39)</f>
        <v>13948.264000000006</v>
      </c>
      <c r="J34" s="753"/>
      <c r="K34" s="753">
        <f t="shared" si="0"/>
        <v>28821.044000000005</v>
      </c>
      <c r="L34" s="676"/>
      <c r="M34" s="676">
        <f>+SUMIF(BM!$C$7:$C$39,$D34,BM!$L$7:$L$39)</f>
        <v>8272.3510000000024</v>
      </c>
      <c r="N34" s="758"/>
      <c r="O34" s="758">
        <f t="shared" si="1"/>
        <v>37093.395000000004</v>
      </c>
      <c r="P34" s="676"/>
      <c r="Q34" s="676">
        <f>+SUMIF(BM!$C$7:$C$39,$D34,BM!$P$7:$P$39)</f>
        <v>14876.690999999999</v>
      </c>
      <c r="S34" s="753">
        <f t="shared" si="2"/>
        <v>51970.086000000003</v>
      </c>
      <c r="T34" s="676"/>
      <c r="U34" s="676">
        <f>+SUMIF(BM!$C$7:$C$39,$D34,BM!$T$7:$T$39)</f>
        <v>16348.530999999997</v>
      </c>
      <c r="W34" s="753">
        <f t="shared" si="3"/>
        <v>68318.616999999998</v>
      </c>
      <c r="X34" s="5624"/>
      <c r="Y34" s="703">
        <f>+SUMIF(BM!$C$7:$C$39,$D34,BM!$X$7:$X$39)</f>
        <v>8244.1290000000008</v>
      </c>
      <c r="Z34" s="758"/>
      <c r="AA34" s="758">
        <f t="shared" si="4"/>
        <v>39469.350999999995</v>
      </c>
      <c r="AB34" s="5630"/>
      <c r="AC34" s="5682">
        <f t="shared" si="5"/>
        <v>76562.745999999999</v>
      </c>
      <c r="AD34" s="676"/>
      <c r="AE34" s="676">
        <f>+SUMIF(BM!$C$7:$C$39,$D34,BM!$AD$7:$AD$39)</f>
        <v>9063.5109999999986</v>
      </c>
      <c r="AF34" s="4092"/>
      <c r="AG34" s="753">
        <f t="shared" si="6"/>
        <v>85626.256999999998</v>
      </c>
      <c r="AH34" s="676"/>
      <c r="AI34" s="676">
        <f>+SUMIF(BM!$C$7:$C$39,$D34,BM!$AH$7:$AH$39)</f>
        <v>16719.905999999999</v>
      </c>
      <c r="AJ34" s="4198"/>
      <c r="AK34" s="753">
        <f t="shared" si="7"/>
        <v>102346.163</v>
      </c>
      <c r="AL34" s="676"/>
      <c r="AM34" s="676">
        <f>+SUMIF(BM!$C$7:$C$39,$D34,BM!$AL$7:$AL$39)</f>
        <v>16204.579999999998</v>
      </c>
      <c r="AN34" s="758"/>
      <c r="AO34" s="758">
        <f t="shared" si="8"/>
        <v>41987.996999999996</v>
      </c>
      <c r="AP34" s="5259"/>
      <c r="AQ34" s="753">
        <f t="shared" si="9"/>
        <v>118550.743</v>
      </c>
      <c r="AR34" s="676"/>
      <c r="AS34" s="676">
        <f>+SUMIF(BM!$C$7:$C$39,$D34,BM!$AR$7:$AR$39)</f>
        <v>16289.030000000017</v>
      </c>
      <c r="AT34" s="4441"/>
      <c r="AU34" s="753">
        <f t="shared" si="10"/>
        <v>134839.77300000002</v>
      </c>
      <c r="AV34" s="676"/>
      <c r="AW34" s="676">
        <f>+SUMIF(BM!$C$7:$C$39,$D34,BM!$AV$7:$AV$39)</f>
        <v>10589.052999999998</v>
      </c>
      <c r="AX34" s="4675"/>
      <c r="AY34" s="753">
        <f t="shared" si="11"/>
        <v>145428.826</v>
      </c>
      <c r="AZ34" s="676"/>
      <c r="BA34" s="676">
        <f>+SUMIF(BM!$C$7:$C$39,$D34,BM!$AZ$7:$AZ$39)</f>
        <v>6615.5750000000016</v>
      </c>
      <c r="BB34" s="758"/>
      <c r="BC34" s="758">
        <f t="shared" si="12"/>
        <v>33493.658000000018</v>
      </c>
      <c r="BD34" s="5633"/>
      <c r="BE34" s="5682">
        <f t="shared" si="13"/>
        <v>75481.655000000013</v>
      </c>
      <c r="BF34" s="5121"/>
      <c r="BG34" s="753">
        <f t="shared" si="14"/>
        <v>152044.40100000001</v>
      </c>
      <c r="BH34" s="26"/>
      <c r="BI34" s="26"/>
    </row>
    <row r="35" spans="3:61" ht="18.75" x14ac:dyDescent="0.3">
      <c r="C35" s="675" t="s">
        <v>93</v>
      </c>
      <c r="D35" s="675" t="s">
        <v>1202</v>
      </c>
      <c r="E35" s="6452"/>
      <c r="F35" s="675"/>
      <c r="G35" s="676">
        <f>+SUMIF(BM!$C$7:$C$39,$D35,BM!$F$7:$F$39)</f>
        <v>14314.286</v>
      </c>
      <c r="H35" s="676"/>
      <c r="I35" s="676">
        <f>+SUMIF(BM!$C$7:$C$39,$D35,BM!$H$7:$H$39)</f>
        <v>17071.612000000008</v>
      </c>
      <c r="J35" s="753"/>
      <c r="K35" s="753">
        <f t="shared" si="0"/>
        <v>31385.898000000008</v>
      </c>
      <c r="L35" s="676"/>
      <c r="M35" s="676">
        <f>+SUMIF(BM!$C$7:$C$39,$D35,BM!$L$7:$L$39)</f>
        <v>18328.427000000007</v>
      </c>
      <c r="N35" s="758"/>
      <c r="O35" s="758">
        <f t="shared" si="1"/>
        <v>49714.325000000012</v>
      </c>
      <c r="P35" s="676"/>
      <c r="Q35" s="676">
        <f>+SUMIF(BM!$C$7:$C$39,$D35,BM!$P$7:$P$39)</f>
        <v>15533.971000000005</v>
      </c>
      <c r="S35" s="753">
        <f t="shared" si="2"/>
        <v>65248.296000000017</v>
      </c>
      <c r="T35" s="676"/>
      <c r="U35" s="676">
        <f>+SUMIF(BM!$C$7:$C$39,$D35,BM!$T$7:$T$39)</f>
        <v>24041.448000000029</v>
      </c>
      <c r="W35" s="753">
        <f t="shared" si="3"/>
        <v>89289.74400000005</v>
      </c>
      <c r="X35" s="5624"/>
      <c r="Y35" s="703">
        <f>+SUMIF(BM!$C$7:$C$39,$D35,BM!$X$7:$X$39)</f>
        <v>29090.187000000053</v>
      </c>
      <c r="Z35" s="758"/>
      <c r="AA35" s="758">
        <f t="shared" si="4"/>
        <v>68665.606000000087</v>
      </c>
      <c r="AB35" s="5630"/>
      <c r="AC35" s="5682">
        <f t="shared" si="5"/>
        <v>118379.9310000001</v>
      </c>
      <c r="AD35" s="676"/>
      <c r="AE35" s="676">
        <f>+SUMIF(BM!$C$7:$C$39,$D35,BM!$AD$7:$AD$39)</f>
        <v>20126.477000000021</v>
      </c>
      <c r="AF35" s="4092"/>
      <c r="AG35" s="753">
        <f t="shared" si="6"/>
        <v>138506.40800000011</v>
      </c>
      <c r="AH35" s="676"/>
      <c r="AI35" s="676">
        <f>+SUMIF(BM!$C$7:$C$39,$D35,BM!$AH$7:$AH$39)</f>
        <v>6366.0849999999982</v>
      </c>
      <c r="AJ35" s="4198"/>
      <c r="AK35" s="753">
        <f t="shared" si="7"/>
        <v>144872.4930000001</v>
      </c>
      <c r="AL35" s="676"/>
      <c r="AM35" s="676">
        <f>+SUMIF(BM!$C$7:$C$39,$D35,BM!$AL$7:$AL$39)</f>
        <v>20282.457999999999</v>
      </c>
      <c r="AN35" s="758"/>
      <c r="AO35" s="758">
        <f t="shared" si="8"/>
        <v>46775.020000000019</v>
      </c>
      <c r="AP35" s="5259"/>
      <c r="AQ35" s="753">
        <f t="shared" si="9"/>
        <v>165154.95100000012</v>
      </c>
      <c r="AR35" s="676"/>
      <c r="AS35" s="676">
        <f>+SUMIF(BM!$C$7:$C$39,$D35,BM!$AR$7:$AR$39)</f>
        <v>22580.890000000014</v>
      </c>
      <c r="AT35" s="4441"/>
      <c r="AU35" s="753">
        <f t="shared" si="10"/>
        <v>187735.84100000013</v>
      </c>
      <c r="AV35" s="676"/>
      <c r="AW35" s="676">
        <f>+SUMIF(BM!$C$7:$C$39,$D35,BM!$AV$7:$AV$39)</f>
        <v>24343.687000000024</v>
      </c>
      <c r="AX35" s="4675"/>
      <c r="AY35" s="753">
        <f t="shared" si="11"/>
        <v>212079.52800000017</v>
      </c>
      <c r="AZ35" s="676"/>
      <c r="BA35" s="676">
        <f>+SUMIF(BM!$C$7:$C$39,$D35,BM!$AZ$7:$AZ$39)</f>
        <v>32930.635000000075</v>
      </c>
      <c r="BB35" s="758"/>
      <c r="BC35" s="758">
        <f t="shared" si="12"/>
        <v>79855.212000000116</v>
      </c>
      <c r="BD35" s="5633"/>
      <c r="BE35" s="5682">
        <f t="shared" si="13"/>
        <v>126630.23200000013</v>
      </c>
      <c r="BF35" s="5121"/>
      <c r="BG35" s="753">
        <f t="shared" si="14"/>
        <v>245010.16300000023</v>
      </c>
      <c r="BH35" s="26"/>
      <c r="BI35" s="26"/>
    </row>
    <row r="36" spans="3:61" ht="18.75" x14ac:dyDescent="0.3">
      <c r="C36" s="675" t="s">
        <v>93</v>
      </c>
      <c r="D36" s="675" t="s">
        <v>1695</v>
      </c>
      <c r="E36" s="6452"/>
      <c r="F36" s="675"/>
      <c r="G36" s="676">
        <f>+SUMIF(BM!$C$7:$C$39,$D36,BM!$F$7:$F$39)</f>
        <v>0</v>
      </c>
      <c r="H36" s="676"/>
      <c r="I36" s="676">
        <f>+SUMIF(BM!$C$7:$C$39,$D36,BM!$H$7:$H$39)</f>
        <v>0</v>
      </c>
      <c r="J36" s="753"/>
      <c r="K36" s="753">
        <f t="shared" si="0"/>
        <v>0</v>
      </c>
      <c r="L36" s="676"/>
      <c r="M36" s="676">
        <f>+SUMIF(BM!$C$7:$C$39,$D36,BM!$L$7:$L$39)</f>
        <v>0</v>
      </c>
      <c r="N36" s="758"/>
      <c r="O36" s="758">
        <f t="shared" si="1"/>
        <v>0</v>
      </c>
      <c r="P36" s="676"/>
      <c r="Q36" s="676">
        <f>+SUMIF(BM!$C$7:$C$39,$D36,BM!$P$7:$P$39)</f>
        <v>151.32999999999998</v>
      </c>
      <c r="S36" s="753">
        <f t="shared" si="2"/>
        <v>151.32999999999998</v>
      </c>
      <c r="T36" s="676"/>
      <c r="U36" s="676">
        <f>+SUMIF(BM!$C$7:$C$39,$D36,BM!$T$7:$T$39)</f>
        <v>0</v>
      </c>
      <c r="W36" s="753">
        <f t="shared" si="3"/>
        <v>151.32999999999998</v>
      </c>
      <c r="X36" s="5624"/>
      <c r="Y36" s="703">
        <f>+SUMIF(BM!$C$7:$C$39,$D36,BM!$X$7:$X$39)</f>
        <v>0</v>
      </c>
      <c r="Z36" s="758"/>
      <c r="AA36" s="758">
        <f t="shared" si="4"/>
        <v>151.32999999999998</v>
      </c>
      <c r="AB36" s="5630"/>
      <c r="AC36" s="5682">
        <f t="shared" si="5"/>
        <v>151.32999999999998</v>
      </c>
      <c r="AD36" s="676"/>
      <c r="AE36" s="676">
        <f>+SUMIF(BM!$C$7:$C$39,$D36,BM!$AD$7:$AD$39)</f>
        <v>0</v>
      </c>
      <c r="AF36" s="4092"/>
      <c r="AG36" s="753">
        <f t="shared" si="6"/>
        <v>151.32999999999998</v>
      </c>
      <c r="AH36" s="676"/>
      <c r="AI36" s="676">
        <f>+SUMIF(BM!$C$7:$C$39,$D36,BM!$AH$7:$AH$39)</f>
        <v>0</v>
      </c>
      <c r="AJ36" s="4198"/>
      <c r="AK36" s="753">
        <f t="shared" si="7"/>
        <v>151.32999999999998</v>
      </c>
      <c r="AL36" s="676"/>
      <c r="AM36" s="676">
        <f>+SUMIF(BM!$C$7:$C$39,$D36,BM!$AL$7:$AL$39)</f>
        <v>0</v>
      </c>
      <c r="AN36" s="758"/>
      <c r="AO36" s="758">
        <f t="shared" si="8"/>
        <v>0</v>
      </c>
      <c r="AP36" s="5259"/>
      <c r="AQ36" s="753">
        <f t="shared" si="9"/>
        <v>151.32999999999998</v>
      </c>
      <c r="AR36" s="676"/>
      <c r="AS36" s="676">
        <f>+SUMIF(BM!$C$7:$C$39,$D36,BM!$AR$7:$AR$39)</f>
        <v>0</v>
      </c>
      <c r="AT36" s="4441"/>
      <c r="AU36" s="753">
        <f t="shared" si="10"/>
        <v>151.32999999999998</v>
      </c>
      <c r="AV36" s="676"/>
      <c r="AW36" s="676">
        <f>+SUMIF(BM!$C$7:$C$39,$D36,BM!$AV$7:$AV$39)</f>
        <v>0</v>
      </c>
      <c r="AX36" s="4675"/>
      <c r="AY36" s="753">
        <f t="shared" si="11"/>
        <v>151.32999999999998</v>
      </c>
      <c r="AZ36" s="676"/>
      <c r="BA36" s="676">
        <f>+SUMIF(BM!$C$7:$C$39,$D36,BM!$AZ$7:$AZ$39)</f>
        <v>0</v>
      </c>
      <c r="BB36" s="758"/>
      <c r="BC36" s="758">
        <f t="shared" si="12"/>
        <v>0</v>
      </c>
      <c r="BD36" s="5633"/>
      <c r="BE36" s="5682">
        <f t="shared" si="13"/>
        <v>0</v>
      </c>
      <c r="BF36" s="5121"/>
      <c r="BG36" s="753">
        <f t="shared" si="14"/>
        <v>151.32999999999998</v>
      </c>
      <c r="BH36" s="26"/>
      <c r="BI36" s="26"/>
    </row>
    <row r="37" spans="3:61" ht="18.75" x14ac:dyDescent="0.3">
      <c r="C37" s="675" t="s">
        <v>93</v>
      </c>
      <c r="D37" s="675" t="s">
        <v>1177</v>
      </c>
      <c r="E37" s="6452"/>
      <c r="F37" s="675"/>
      <c r="G37" s="676">
        <f>+SUMIF(BM!$C$7:$C$39,$D37,BM!$F$7:$F$39)</f>
        <v>989.01099999999997</v>
      </c>
      <c r="H37" s="676"/>
      <c r="I37" s="676">
        <f>+SUMIF(BM!$C$7:$C$39,$D37,BM!$H$7:$H$39)</f>
        <v>0</v>
      </c>
      <c r="J37" s="753"/>
      <c r="K37" s="753">
        <f t="shared" si="0"/>
        <v>989.01099999999997</v>
      </c>
      <c r="L37" s="676"/>
      <c r="M37" s="676">
        <f>+SUMIF(BM!$C$7:$C$39,$D37,BM!$L$7:$L$39)</f>
        <v>0</v>
      </c>
      <c r="N37" s="758"/>
      <c r="O37" s="758">
        <f t="shared" si="1"/>
        <v>989.01099999999997</v>
      </c>
      <c r="P37" s="676"/>
      <c r="Q37" s="676">
        <f>+SUMIF(BM!$C$7:$C$39,$D37,BM!$P$7:$P$39)</f>
        <v>0</v>
      </c>
      <c r="S37" s="753">
        <f t="shared" si="2"/>
        <v>989.01099999999997</v>
      </c>
      <c r="T37" s="676"/>
      <c r="U37" s="676">
        <f>+SUMIF(BM!$C$7:$C$39,$D37,BM!$T$7:$T$39)</f>
        <v>0</v>
      </c>
      <c r="W37" s="753">
        <f t="shared" si="3"/>
        <v>989.01099999999997</v>
      </c>
      <c r="X37" s="5624"/>
      <c r="Y37" s="703">
        <f>+SUMIF(BM!$C$7:$C$39,$D37,BM!$X$7:$X$39)</f>
        <v>0</v>
      </c>
      <c r="Z37" s="758"/>
      <c r="AA37" s="758">
        <f t="shared" si="4"/>
        <v>0</v>
      </c>
      <c r="AB37" s="5630"/>
      <c r="AC37" s="5682">
        <f t="shared" si="5"/>
        <v>989.01099999999997</v>
      </c>
      <c r="AD37" s="676"/>
      <c r="AE37" s="676">
        <f>+SUMIF(BM!$C$7:$C$39,$D37,BM!$AD$7:$AD$39)</f>
        <v>0</v>
      </c>
      <c r="AF37" s="4092"/>
      <c r="AG37" s="753">
        <f t="shared" si="6"/>
        <v>989.01099999999997</v>
      </c>
      <c r="AH37" s="676"/>
      <c r="AI37" s="676">
        <f>+SUMIF(BM!$C$7:$C$39,$D37,BM!$AH$7:$AH$39)</f>
        <v>640.08499999999992</v>
      </c>
      <c r="AJ37" s="4198"/>
      <c r="AK37" s="753">
        <f t="shared" si="7"/>
        <v>1629.096</v>
      </c>
      <c r="AL37" s="676"/>
      <c r="AM37" s="676">
        <f>+SUMIF(BM!$C$7:$C$39,$D37,BM!$AL$7:$AL$39)</f>
        <v>3232.0349999999999</v>
      </c>
      <c r="AN37" s="758"/>
      <c r="AO37" s="758">
        <f t="shared" si="8"/>
        <v>3872.12</v>
      </c>
      <c r="AP37" s="5259"/>
      <c r="AQ37" s="753">
        <f t="shared" si="9"/>
        <v>4861.1309999999994</v>
      </c>
      <c r="AR37" s="676"/>
      <c r="AS37" s="676">
        <f>+SUMIF(BM!$C$7:$C$39,$D37,BM!$AR$7:$AR$39)</f>
        <v>509.20499999999993</v>
      </c>
      <c r="AT37" s="4441"/>
      <c r="AU37" s="753">
        <f t="shared" si="10"/>
        <v>5370.3359999999993</v>
      </c>
      <c r="AV37" s="676"/>
      <c r="AW37" s="676">
        <f>+SUMIF(BM!$C$7:$C$39,$D37,BM!$AV$7:$AV$39)</f>
        <v>507.16</v>
      </c>
      <c r="AX37" s="4675"/>
      <c r="AY37" s="753">
        <f t="shared" si="11"/>
        <v>5877.4959999999992</v>
      </c>
      <c r="AZ37" s="676"/>
      <c r="BA37" s="676">
        <f>+SUMIF(BM!$C$7:$C$39,$D37,BM!$AZ$7:$AZ$39)</f>
        <v>0</v>
      </c>
      <c r="BB37" s="758"/>
      <c r="BC37" s="758">
        <f t="shared" si="12"/>
        <v>1016.365</v>
      </c>
      <c r="BD37" s="5633"/>
      <c r="BE37" s="5682">
        <f t="shared" si="13"/>
        <v>4888.4849999999997</v>
      </c>
      <c r="BF37" s="5121"/>
      <c r="BG37" s="753">
        <f t="shared" si="14"/>
        <v>5877.4959999999992</v>
      </c>
      <c r="BH37" s="26"/>
      <c r="BI37" s="26"/>
    </row>
    <row r="38" spans="3:61" ht="18.75" x14ac:dyDescent="0.3">
      <c r="C38" s="675" t="s">
        <v>93</v>
      </c>
      <c r="D38" s="675" t="s">
        <v>1092</v>
      </c>
      <c r="E38" s="6452"/>
      <c r="F38" s="675"/>
      <c r="G38" s="676">
        <f>+SUMIF(BM!$C$7:$C$39,$D38,BM!$F$7:$F$39)</f>
        <v>2738.4489999999996</v>
      </c>
      <c r="H38" s="676"/>
      <c r="I38" s="676">
        <f>+SUMIF(BM!$C$7:$C$39,$D38,BM!$H$7:$H$39)</f>
        <v>0</v>
      </c>
      <c r="J38" s="753"/>
      <c r="K38" s="753">
        <f t="shared" si="0"/>
        <v>2738.4489999999996</v>
      </c>
      <c r="L38" s="676"/>
      <c r="M38" s="676">
        <f>+SUMIF(BM!$C$7:$C$39,$D38,BM!$L$7:$L$39)</f>
        <v>2036.82</v>
      </c>
      <c r="N38" s="758"/>
      <c r="O38" s="758">
        <f t="shared" si="1"/>
        <v>4775.2689999999993</v>
      </c>
      <c r="P38" s="676"/>
      <c r="Q38" s="676">
        <f>+SUMIF(BM!$C$7:$C$39,$D38,BM!$P$7:$P$39)</f>
        <v>1018.4100000000001</v>
      </c>
      <c r="S38" s="753">
        <f t="shared" si="2"/>
        <v>5793.6789999999992</v>
      </c>
      <c r="T38" s="676"/>
      <c r="U38" s="676">
        <f>+SUMIF(BM!$C$7:$C$39,$D38,BM!$T$7:$T$39)</f>
        <v>0</v>
      </c>
      <c r="W38" s="753">
        <f t="shared" si="3"/>
        <v>5793.6789999999992</v>
      </c>
      <c r="X38" s="5624"/>
      <c r="Y38" s="703">
        <f>+SUMIF(BM!$C$7:$C$39,$D38,BM!$X$7:$X$39)</f>
        <v>0</v>
      </c>
      <c r="Z38" s="758"/>
      <c r="AA38" s="758">
        <f t="shared" si="4"/>
        <v>1018.4100000000001</v>
      </c>
      <c r="AB38" s="5630"/>
      <c r="AC38" s="5682">
        <f t="shared" si="5"/>
        <v>5793.6789999999992</v>
      </c>
      <c r="AD38" s="676"/>
      <c r="AE38" s="676">
        <f>+SUMIF(BM!$C$7:$C$39,$D38,BM!$AD$7:$AD$39)</f>
        <v>604.35500000000013</v>
      </c>
      <c r="AF38" s="4092"/>
      <c r="AG38" s="753">
        <f t="shared" si="6"/>
        <v>6398.0339999999997</v>
      </c>
      <c r="AH38" s="676"/>
      <c r="AI38" s="676">
        <f>+SUMIF(BM!$C$7:$C$39,$D38,BM!$AH$7:$AH$39)</f>
        <v>1625.7750000000001</v>
      </c>
      <c r="AJ38" s="4198"/>
      <c r="AK38" s="753">
        <f t="shared" si="7"/>
        <v>8023.8089999999993</v>
      </c>
      <c r="AL38" s="676"/>
      <c r="AM38" s="676">
        <f>+SUMIF(BM!$C$7:$C$39,$D38,BM!$AL$7:$AL$39)</f>
        <v>0</v>
      </c>
      <c r="AN38" s="758"/>
      <c r="AO38" s="758">
        <f t="shared" si="8"/>
        <v>2230.13</v>
      </c>
      <c r="AP38" s="5259"/>
      <c r="AQ38" s="753">
        <f t="shared" si="9"/>
        <v>8023.8089999999993</v>
      </c>
      <c r="AR38" s="676"/>
      <c r="AS38" s="676">
        <f>+SUMIF(BM!$C$7:$C$39,$D38,BM!$AR$7:$AR$39)</f>
        <v>0</v>
      </c>
      <c r="AT38" s="4441"/>
      <c r="AU38" s="753">
        <f t="shared" si="10"/>
        <v>8023.8089999999993</v>
      </c>
      <c r="AV38" s="676"/>
      <c r="AW38" s="676">
        <f>+SUMIF(BM!$C$7:$C$39,$D38,BM!$AV$7:$AV$39)</f>
        <v>0</v>
      </c>
      <c r="AX38" s="4675"/>
      <c r="AY38" s="753">
        <f t="shared" si="11"/>
        <v>8023.8089999999993</v>
      </c>
      <c r="AZ38" s="676"/>
      <c r="BA38" s="676">
        <f>+SUMIF(BM!$C$7:$C$39,$D38,BM!$AZ$7:$AZ$39)</f>
        <v>0</v>
      </c>
      <c r="BB38" s="758"/>
      <c r="BC38" s="758">
        <f t="shared" si="12"/>
        <v>0</v>
      </c>
      <c r="BD38" s="5633"/>
      <c r="BE38" s="5682">
        <f t="shared" si="13"/>
        <v>2230.13</v>
      </c>
      <c r="BF38" s="5121"/>
      <c r="BG38" s="753">
        <f t="shared" si="14"/>
        <v>8023.8089999999993</v>
      </c>
      <c r="BH38" s="26"/>
      <c r="BI38" s="26"/>
    </row>
    <row r="39" spans="3:61" ht="18.75" x14ac:dyDescent="0.3">
      <c r="C39" s="675" t="s">
        <v>93</v>
      </c>
      <c r="D39" s="675" t="s">
        <v>1060</v>
      </c>
      <c r="E39" s="6452"/>
      <c r="F39" s="675"/>
      <c r="G39" s="676">
        <f>+SUMIF(BM!$C$7:$C$39,$D39,BM!$F$7:$F$39)</f>
        <v>0</v>
      </c>
      <c r="H39" s="676"/>
      <c r="I39" s="676">
        <f>+SUMIF(BM!$C$7:$C$39,$D39,BM!$H$7:$H$39)</f>
        <v>2502.9250000000002</v>
      </c>
      <c r="J39" s="753"/>
      <c r="K39" s="753">
        <f t="shared" si="0"/>
        <v>2502.9250000000002</v>
      </c>
      <c r="L39" s="676"/>
      <c r="M39" s="676">
        <f>+SUMIF(BM!$C$7:$C$39,$D39,BM!$L$7:$L$39)</f>
        <v>995.91499999999996</v>
      </c>
      <c r="N39" s="758"/>
      <c r="O39" s="758">
        <f t="shared" si="1"/>
        <v>3498.84</v>
      </c>
      <c r="P39" s="676"/>
      <c r="Q39" s="676">
        <f>+SUMIF(BM!$C$7:$C$39,$D39,BM!$P$7:$P$39)</f>
        <v>1889.58</v>
      </c>
      <c r="S39" s="753">
        <f t="shared" si="2"/>
        <v>5388.42</v>
      </c>
      <c r="T39" s="676"/>
      <c r="U39" s="676">
        <f>+SUMIF(BM!$C$7:$C$39,$D39,BM!$T$7:$T$39)</f>
        <v>0</v>
      </c>
      <c r="W39" s="753">
        <f t="shared" si="3"/>
        <v>5388.42</v>
      </c>
      <c r="X39" s="5624"/>
      <c r="Y39" s="703">
        <f>+SUMIF(BM!$C$7:$C$39,$D39,BM!$X$7:$X$39)</f>
        <v>0</v>
      </c>
      <c r="Z39" s="758"/>
      <c r="AA39" s="758">
        <f t="shared" si="4"/>
        <v>1889.58</v>
      </c>
      <c r="AB39" s="5630"/>
      <c r="AC39" s="5682">
        <f t="shared" si="5"/>
        <v>5388.42</v>
      </c>
      <c r="AD39" s="676"/>
      <c r="AE39" s="676">
        <f>+SUMIF(BM!$C$7:$C$39,$D39,BM!$AD$7:$AD$39)</f>
        <v>0</v>
      </c>
      <c r="AF39" s="4092"/>
      <c r="AG39" s="753">
        <f t="shared" si="6"/>
        <v>5388.42</v>
      </c>
      <c r="AH39" s="676"/>
      <c r="AI39" s="676">
        <f>+SUMIF(BM!$C$7:$C$39,$D39,BM!$AH$7:$AH$39)</f>
        <v>0</v>
      </c>
      <c r="AJ39" s="4198"/>
      <c r="AK39" s="753">
        <f t="shared" si="7"/>
        <v>5388.42</v>
      </c>
      <c r="AL39" s="676"/>
      <c r="AM39" s="676">
        <f>+SUMIF(BM!$C$7:$C$39,$D39,BM!$AL$7:$AL$39)</f>
        <v>0</v>
      </c>
      <c r="AN39" s="758"/>
      <c r="AO39" s="758">
        <f t="shared" si="8"/>
        <v>0</v>
      </c>
      <c r="AP39" s="5259"/>
      <c r="AQ39" s="753">
        <f t="shared" si="9"/>
        <v>5388.42</v>
      </c>
      <c r="AR39" s="676"/>
      <c r="AS39" s="676">
        <f>+SUMIF(BM!$C$7:$C$39,$D39,BM!$AR$7:$AR$39)</f>
        <v>613.5</v>
      </c>
      <c r="AT39" s="4441"/>
      <c r="AU39" s="753">
        <f t="shared" si="10"/>
        <v>6001.92</v>
      </c>
      <c r="AV39" s="676"/>
      <c r="AW39" s="676">
        <f>+SUMIF(BM!$C$7:$C$39,$D39,BM!$AV$7:$AV$39)</f>
        <v>820.04499999999996</v>
      </c>
      <c r="AX39" s="4675"/>
      <c r="AY39" s="753">
        <f t="shared" si="11"/>
        <v>6821.9650000000001</v>
      </c>
      <c r="AZ39" s="676"/>
      <c r="BA39" s="676">
        <f>+SUMIF(BM!$C$7:$C$39,$D39,BM!$AZ$7:$AZ$39)</f>
        <v>0</v>
      </c>
      <c r="BB39" s="758"/>
      <c r="BC39" s="758">
        <f t="shared" si="12"/>
        <v>1433.5450000000001</v>
      </c>
      <c r="BD39" s="5633"/>
      <c r="BE39" s="5682">
        <f t="shared" si="13"/>
        <v>1433.5450000000001</v>
      </c>
      <c r="BF39" s="5121"/>
      <c r="BG39" s="753">
        <f t="shared" si="14"/>
        <v>6821.9650000000001</v>
      </c>
      <c r="BH39" s="26"/>
      <c r="BI39" s="26"/>
    </row>
    <row r="40" spans="3:61" ht="18.75" x14ac:dyDescent="0.3">
      <c r="C40" s="6445" t="s">
        <v>1014</v>
      </c>
      <c r="D40" s="6445"/>
      <c r="E40" s="6452"/>
      <c r="F40" s="763"/>
      <c r="G40" s="764">
        <f>SUM(G33:G39)</f>
        <v>70044.75499999999</v>
      </c>
      <c r="H40" s="764">
        <f t="shared" ref="H40:BG40" si="16">SUM(H33:H39)</f>
        <v>0</v>
      </c>
      <c r="I40" s="764">
        <f t="shared" si="16"/>
        <v>56061.496000000028</v>
      </c>
      <c r="J40" s="764">
        <f t="shared" si="16"/>
        <v>0</v>
      </c>
      <c r="K40" s="764">
        <f t="shared" si="16"/>
        <v>126106.25100000003</v>
      </c>
      <c r="L40" s="764">
        <f t="shared" si="16"/>
        <v>0</v>
      </c>
      <c r="M40" s="764">
        <f t="shared" si="16"/>
        <v>54192.347000000023</v>
      </c>
      <c r="N40" s="764">
        <f t="shared" si="16"/>
        <v>0</v>
      </c>
      <c r="O40" s="759">
        <f t="shared" si="16"/>
        <v>180298.59800000006</v>
      </c>
      <c r="P40" s="764">
        <f t="shared" si="16"/>
        <v>0</v>
      </c>
      <c r="Q40" s="764">
        <f t="shared" si="16"/>
        <v>73996.973000000085</v>
      </c>
      <c r="R40" s="764">
        <f t="shared" si="16"/>
        <v>0</v>
      </c>
      <c r="S40" s="764">
        <f t="shared" si="16"/>
        <v>254295.57100000011</v>
      </c>
      <c r="T40" s="764">
        <f t="shared" si="16"/>
        <v>0</v>
      </c>
      <c r="U40" s="764">
        <f t="shared" si="16"/>
        <v>81550.701000000045</v>
      </c>
      <c r="V40" s="764">
        <f t="shared" si="16"/>
        <v>0</v>
      </c>
      <c r="W40" s="764">
        <f t="shared" si="16"/>
        <v>335846.27200000017</v>
      </c>
      <c r="X40" s="764">
        <f t="shared" si="16"/>
        <v>0</v>
      </c>
      <c r="Y40" s="764">
        <f t="shared" si="16"/>
        <v>66170.788000000088</v>
      </c>
      <c r="Z40" s="764">
        <f t="shared" si="16"/>
        <v>0</v>
      </c>
      <c r="AA40" s="759">
        <f t="shared" si="16"/>
        <v>221718.46200000017</v>
      </c>
      <c r="AB40" s="764">
        <f t="shared" si="16"/>
        <v>0</v>
      </c>
      <c r="AC40" s="5683">
        <f t="shared" si="16"/>
        <v>402017.06000000023</v>
      </c>
      <c r="AD40" s="764">
        <f t="shared" si="16"/>
        <v>0</v>
      </c>
      <c r="AE40" s="764">
        <f t="shared" si="16"/>
        <v>61010.230000000069</v>
      </c>
      <c r="AF40" s="764">
        <f t="shared" si="16"/>
        <v>0</v>
      </c>
      <c r="AG40" s="764">
        <f t="shared" si="16"/>
        <v>463027.29000000027</v>
      </c>
      <c r="AH40" s="764">
        <f t="shared" si="16"/>
        <v>0</v>
      </c>
      <c r="AI40" s="764">
        <f t="shared" si="16"/>
        <v>59054.402000000053</v>
      </c>
      <c r="AJ40" s="764">
        <f t="shared" si="16"/>
        <v>0</v>
      </c>
      <c r="AK40" s="764">
        <f t="shared" si="16"/>
        <v>522081.69200000039</v>
      </c>
      <c r="AL40" s="764">
        <f t="shared" si="16"/>
        <v>0</v>
      </c>
      <c r="AM40" s="764">
        <f t="shared" si="16"/>
        <v>67544.471999999994</v>
      </c>
      <c r="AN40" s="764">
        <f t="shared" si="16"/>
        <v>0</v>
      </c>
      <c r="AO40" s="759">
        <f t="shared" si="16"/>
        <v>187609.10400000011</v>
      </c>
      <c r="AP40" s="764">
        <f t="shared" si="16"/>
        <v>0</v>
      </c>
      <c r="AQ40" s="764">
        <f t="shared" si="16"/>
        <v>589626.16400000046</v>
      </c>
      <c r="AR40" s="764">
        <f t="shared" si="16"/>
        <v>0</v>
      </c>
      <c r="AS40" s="764">
        <f t="shared" si="16"/>
        <v>70905.326000000074</v>
      </c>
      <c r="AT40" s="764">
        <f t="shared" si="16"/>
        <v>0</v>
      </c>
      <c r="AU40" s="764">
        <f t="shared" si="16"/>
        <v>660531.49000000046</v>
      </c>
      <c r="AV40" s="764">
        <f t="shared" si="16"/>
        <v>0</v>
      </c>
      <c r="AW40" s="764">
        <f t="shared" si="16"/>
        <v>65231.440000000061</v>
      </c>
      <c r="AX40" s="764">
        <f t="shared" si="16"/>
        <v>0</v>
      </c>
      <c r="AY40" s="764">
        <f t="shared" si="16"/>
        <v>725762.93000000052</v>
      </c>
      <c r="AZ40" s="764">
        <f t="shared" si="16"/>
        <v>0</v>
      </c>
      <c r="BA40" s="764">
        <f t="shared" si="16"/>
        <v>69559.345000000088</v>
      </c>
      <c r="BB40" s="764">
        <f t="shared" si="16"/>
        <v>0</v>
      </c>
      <c r="BC40" s="759">
        <f t="shared" si="16"/>
        <v>205696.11100000024</v>
      </c>
      <c r="BD40" s="764">
        <f t="shared" si="16"/>
        <v>0</v>
      </c>
      <c r="BE40" s="5683">
        <f t="shared" si="16"/>
        <v>393305.21500000032</v>
      </c>
      <c r="BF40" s="764">
        <f t="shared" si="16"/>
        <v>0</v>
      </c>
      <c r="BG40" s="754">
        <f t="shared" si="16"/>
        <v>795322.27500000049</v>
      </c>
      <c r="BH40" s="26"/>
      <c r="BI40" s="26"/>
    </row>
    <row r="41" spans="3:61" ht="18.75" x14ac:dyDescent="0.3">
      <c r="C41" s="675" t="s">
        <v>112</v>
      </c>
      <c r="D41" s="675" t="s">
        <v>1061</v>
      </c>
      <c r="E41" s="6452"/>
      <c r="F41" s="675"/>
      <c r="G41" s="676">
        <f>SUMIF(USM!$C$6:$C$58,$D41,USM!G$6:G$58)</f>
        <v>19532.816999999999</v>
      </c>
      <c r="H41" s="676"/>
      <c r="I41" s="676">
        <f>SUMIF(USM!$C$6:$C$58,$D41,USM!I$6:I$58)</f>
        <v>11739.601999999997</v>
      </c>
      <c r="J41" s="753"/>
      <c r="K41" s="753">
        <f t="shared" si="0"/>
        <v>31272.418999999994</v>
      </c>
      <c r="L41" s="676"/>
      <c r="M41" s="676">
        <f>SUMIF(USM!$C$6:$C$58,$D41,USM!M$6:M$58)</f>
        <v>11118.223</v>
      </c>
      <c r="N41" s="758"/>
      <c r="O41" s="758">
        <f t="shared" si="1"/>
        <v>42390.641999999993</v>
      </c>
      <c r="P41" s="676"/>
      <c r="Q41" s="676">
        <f>SUMIF(USM!$C$6:$C$58,$D41,USM!Q$6:Q$58)</f>
        <v>14025.143999999998</v>
      </c>
      <c r="S41" s="753">
        <f t="shared" si="2"/>
        <v>56415.785999999993</v>
      </c>
      <c r="T41" s="676"/>
      <c r="U41" s="676">
        <f>SUMIF(USM!$C$6:$C$58,$D41,USM!U$6:U$58)</f>
        <v>24133.260000000002</v>
      </c>
      <c r="W41" s="753">
        <f t="shared" si="3"/>
        <v>80549.046000000002</v>
      </c>
      <c r="X41" s="5624"/>
      <c r="Y41" s="676">
        <f>SUMIF(USM!$C$6:$C$58,$D41,USM!Y$6:Y$58)</f>
        <v>20017.820999999996</v>
      </c>
      <c r="Z41" s="758"/>
      <c r="AA41" s="758">
        <f t="shared" si="4"/>
        <v>58176.224999999999</v>
      </c>
      <c r="AB41" s="5630"/>
      <c r="AC41" s="5682">
        <f t="shared" si="5"/>
        <v>100566.867</v>
      </c>
      <c r="AD41" s="676"/>
      <c r="AE41" s="676">
        <f>SUMIF(USM!$C$6:$C$58,$D41,USM!AE$6:AE$58)</f>
        <v>15441.183999999999</v>
      </c>
      <c r="AF41" s="4092"/>
      <c r="AG41" s="753">
        <f t="shared" si="6"/>
        <v>116008.05099999999</v>
      </c>
      <c r="AH41" s="676"/>
      <c r="AI41" s="676">
        <f>SUMIF(USM!$C$6:$C$58,$D41,USM!AI$6:AI$58)</f>
        <v>18476.660319999999</v>
      </c>
      <c r="AJ41" s="4198"/>
      <c r="AK41" s="753">
        <f t="shared" si="7"/>
        <v>134484.71132</v>
      </c>
      <c r="AL41" s="676"/>
      <c r="AM41" s="676">
        <f>SUMIF(USM!$C$6:$C$58,$D41,USM!AM$6:AM$58)</f>
        <v>26980.117000000002</v>
      </c>
      <c r="AN41" s="758"/>
      <c r="AO41" s="758">
        <f t="shared" si="8"/>
        <v>60897.961320000002</v>
      </c>
      <c r="AP41" s="5259"/>
      <c r="AQ41" s="753">
        <f t="shared" si="9"/>
        <v>161464.82832</v>
      </c>
      <c r="AR41" s="676"/>
      <c r="AS41" s="676">
        <f>SUMIF(USM!$C$6:$C$58,$D41,USM!AS$6:AS$58)</f>
        <v>29196.372000000003</v>
      </c>
      <c r="AT41" s="4441"/>
      <c r="AU41" s="753">
        <f t="shared" si="10"/>
        <v>190661.20032</v>
      </c>
      <c r="AV41" s="676"/>
      <c r="AW41" s="676">
        <f>SUMIF(USM!$C$6:$C$58,$D41,USM!AW$6:AW$58)</f>
        <v>24632.971999999994</v>
      </c>
      <c r="AX41" s="4675"/>
      <c r="AY41" s="753">
        <f t="shared" si="11"/>
        <v>215294.17232000001</v>
      </c>
      <c r="AZ41" s="676"/>
      <c r="BA41" s="676">
        <f>SUMIF(USM!$C$6:$C$58,$D41,USM!BA$6:BA$58)</f>
        <v>28989.4</v>
      </c>
      <c r="BB41" s="758"/>
      <c r="BC41" s="758">
        <f t="shared" si="12"/>
        <v>82818.744000000006</v>
      </c>
      <c r="BD41" s="5633"/>
      <c r="BE41" s="5682">
        <f t="shared" si="13"/>
        <v>143716.70532000001</v>
      </c>
      <c r="BF41" s="5121"/>
      <c r="BG41" s="753">
        <f t="shared" si="14"/>
        <v>244283.57232000001</v>
      </c>
      <c r="BH41" s="26"/>
      <c r="BI41" s="26"/>
    </row>
    <row r="42" spans="3:61" ht="18.75" x14ac:dyDescent="0.3">
      <c r="C42" s="675" t="s">
        <v>112</v>
      </c>
      <c r="D42" s="675" t="s">
        <v>1450</v>
      </c>
      <c r="E42" s="6452"/>
      <c r="F42" s="675"/>
      <c r="G42" s="676">
        <f>SUMIF(USM!$C$6:$C$58,$D42,USM!G$6:G$58)</f>
        <v>0</v>
      </c>
      <c r="H42" s="676"/>
      <c r="I42" s="676">
        <f>SUMIF(USM!$C$6:$C$58,$D42,USM!I$6:I$58)</f>
        <v>2179.0050000000001</v>
      </c>
      <c r="J42" s="753"/>
      <c r="K42" s="753">
        <f t="shared" si="0"/>
        <v>2179.0050000000001</v>
      </c>
      <c r="L42" s="676"/>
      <c r="M42" s="676">
        <f>SUMIF(USM!$C$6:$C$58,$D42,USM!M$6:M$58)</f>
        <v>2519.3199999999993</v>
      </c>
      <c r="N42" s="758"/>
      <c r="O42" s="758">
        <f t="shared" si="1"/>
        <v>4698.3249999999989</v>
      </c>
      <c r="P42" s="676"/>
      <c r="Q42" s="676">
        <f>SUMIF(USM!$C$6:$C$58,$D42,USM!Q$6:Q$58)</f>
        <v>4813.6819999999989</v>
      </c>
      <c r="R42" s="3399"/>
      <c r="S42" s="753">
        <f t="shared" si="2"/>
        <v>9512.0069999999978</v>
      </c>
      <c r="T42" s="676"/>
      <c r="U42" s="676">
        <f>SUMIF(USM!$C$6:$C$58,$D42,USM!U$6:U$58)</f>
        <v>2816.5849999999996</v>
      </c>
      <c r="W42" s="753">
        <f t="shared" si="3"/>
        <v>12328.591999999997</v>
      </c>
      <c r="X42" s="5624"/>
      <c r="Y42" s="676">
        <f>SUMIF(USM!$C$6:$C$58,$D42,USM!Y$6:Y$58)</f>
        <v>0</v>
      </c>
      <c r="Z42" s="758"/>
      <c r="AA42" s="758">
        <f t="shared" si="4"/>
        <v>7630.266999999998</v>
      </c>
      <c r="AB42" s="5630"/>
      <c r="AC42" s="5682">
        <f t="shared" si="5"/>
        <v>12328.591999999997</v>
      </c>
      <c r="AD42" s="676"/>
      <c r="AE42" s="676">
        <f>SUMIF(USM!$C$6:$C$58,$D42,USM!AE$6:AE$58)</f>
        <v>2504.9830000000002</v>
      </c>
      <c r="AF42" s="4092"/>
      <c r="AG42" s="753">
        <f t="shared" si="6"/>
        <v>14833.574999999997</v>
      </c>
      <c r="AH42" s="676"/>
      <c r="AI42" s="676">
        <f>SUMIF(USM!$C$6:$C$58,$D42,USM!AI$6:AI$58)</f>
        <v>0</v>
      </c>
      <c r="AJ42" s="4198"/>
      <c r="AK42" s="753">
        <f t="shared" si="7"/>
        <v>14833.574999999997</v>
      </c>
      <c r="AL42" s="676"/>
      <c r="AM42" s="676">
        <f>SUMIF(USM!$C$6:$C$58,$D42,USM!AM$6:AM$58)</f>
        <v>2483.0639999999999</v>
      </c>
      <c r="AN42" s="758"/>
      <c r="AO42" s="758">
        <f t="shared" si="8"/>
        <v>4988.0470000000005</v>
      </c>
      <c r="AP42" s="5259"/>
      <c r="AQ42" s="753">
        <f t="shared" si="9"/>
        <v>17316.638999999996</v>
      </c>
      <c r="AR42" s="676"/>
      <c r="AS42" s="676">
        <f>SUMIF(USM!$C$6:$C$58,$D42,USM!AS$6:AS$58)</f>
        <v>1603.07</v>
      </c>
      <c r="AT42" s="4441"/>
      <c r="AU42" s="753">
        <f t="shared" si="10"/>
        <v>18919.708999999995</v>
      </c>
      <c r="AV42" s="676"/>
      <c r="AW42" s="676">
        <f>SUMIF(USM!$C$6:$C$58,$D42,USM!AW$6:AW$58)</f>
        <v>2253.0930000000008</v>
      </c>
      <c r="AX42" s="4675"/>
      <c r="AY42" s="753">
        <f t="shared" si="11"/>
        <v>21172.801999999996</v>
      </c>
      <c r="AZ42" s="676"/>
      <c r="BA42" s="676">
        <f>SUMIF(USM!$C$6:$C$58,$D42,USM!BA$6:BA$58)</f>
        <v>2436.1299999999992</v>
      </c>
      <c r="BB42" s="758"/>
      <c r="BC42" s="758">
        <f t="shared" si="12"/>
        <v>6292.2929999999997</v>
      </c>
      <c r="BD42" s="5633"/>
      <c r="BE42" s="5682">
        <f t="shared" si="13"/>
        <v>11280.34</v>
      </c>
      <c r="BF42" s="5121"/>
      <c r="BG42" s="753">
        <f t="shared" si="14"/>
        <v>23608.931999999993</v>
      </c>
      <c r="BH42" s="26"/>
      <c r="BI42" s="26"/>
    </row>
    <row r="43" spans="3:61" s="3399" customFormat="1" ht="18.75" x14ac:dyDescent="0.3">
      <c r="C43" s="675" t="s">
        <v>112</v>
      </c>
      <c r="D43" s="675" t="s">
        <v>1809</v>
      </c>
      <c r="E43" s="6452"/>
      <c r="F43" s="675"/>
      <c r="G43" s="676">
        <f>SUMIF(USM!$C$6:$C$58,$D43,USM!G$6:G$58)</f>
        <v>0</v>
      </c>
      <c r="H43" s="676"/>
      <c r="I43" s="676">
        <f>SUMIF(USM!$C$6:$C$58,$D43,USM!I$6:I$58)</f>
        <v>0</v>
      </c>
      <c r="J43" s="753"/>
      <c r="K43" s="753">
        <f t="shared" si="0"/>
        <v>0</v>
      </c>
      <c r="L43" s="676"/>
      <c r="M43" s="676">
        <f>SUMIF(USM!$C$6:$C$58,$D43,USM!M$6:M$58)</f>
        <v>0</v>
      </c>
      <c r="N43" s="758"/>
      <c r="O43" s="758">
        <f t="shared" si="1"/>
        <v>0</v>
      </c>
      <c r="P43" s="676"/>
      <c r="Q43" s="676">
        <f>SUMIF(USM!$C$6:$C$58,$D43,USM!Q$6:Q$58)</f>
        <v>0</v>
      </c>
      <c r="S43" s="753">
        <f t="shared" si="2"/>
        <v>0</v>
      </c>
      <c r="T43" s="676"/>
      <c r="U43" s="676">
        <f>SUMIF(USM!$C$6:$C$58,$D43,USM!U$6:U$58)</f>
        <v>0</v>
      </c>
      <c r="W43" s="753">
        <f t="shared" si="3"/>
        <v>0</v>
      </c>
      <c r="X43" s="5624"/>
      <c r="Y43" s="676">
        <f>SUMIF(USM!$C$6:$C$58,$D43,USM!Y$6:Y$58)</f>
        <v>622.11599999999999</v>
      </c>
      <c r="Z43" s="758"/>
      <c r="AA43" s="758">
        <f t="shared" si="4"/>
        <v>622.11599999999999</v>
      </c>
      <c r="AB43" s="5630"/>
      <c r="AC43" s="5682">
        <f t="shared" si="5"/>
        <v>622.11599999999999</v>
      </c>
      <c r="AD43" s="676"/>
      <c r="AE43" s="676">
        <f>SUMIF(USM!$C$6:$C$58,$D43,USM!AE$6:AE$58)</f>
        <v>0</v>
      </c>
      <c r="AF43" s="4092"/>
      <c r="AG43" s="753">
        <f t="shared" si="6"/>
        <v>622.11599999999999</v>
      </c>
      <c r="AH43" s="676"/>
      <c r="AI43" s="676">
        <f>SUMIF(USM!$C$6:$C$58,$D43,USM!AI$6:AI$58)</f>
        <v>0</v>
      </c>
      <c r="AJ43" s="4198"/>
      <c r="AK43" s="753">
        <f t="shared" si="7"/>
        <v>622.11599999999999</v>
      </c>
      <c r="AL43" s="676"/>
      <c r="AM43" s="676">
        <f>SUMIF(USM!$C$6:$C$58,$D43,USM!AM$6:AM$58)</f>
        <v>451.67500000000001</v>
      </c>
      <c r="AN43" s="758"/>
      <c r="AO43" s="758">
        <f t="shared" si="8"/>
        <v>451.67500000000001</v>
      </c>
      <c r="AP43" s="5259"/>
      <c r="AQ43" s="753">
        <f t="shared" si="9"/>
        <v>1073.7909999999999</v>
      </c>
      <c r="AR43" s="676"/>
      <c r="AS43" s="676">
        <f>SUMIF(USM!$C$6:$C$58,$D43,USM!AS$6:AS$58)</f>
        <v>0</v>
      </c>
      <c r="AT43" s="4441"/>
      <c r="AU43" s="753">
        <f t="shared" si="10"/>
        <v>1073.7909999999999</v>
      </c>
      <c r="AV43" s="676"/>
      <c r="AW43" s="676">
        <f>SUMIF(USM!$C$6:$C$58,$D43,USM!AW$6:AW$58)</f>
        <v>640.81500000000005</v>
      </c>
      <c r="AX43" s="4675"/>
      <c r="AY43" s="753">
        <f t="shared" si="11"/>
        <v>1714.606</v>
      </c>
      <c r="AZ43" s="676"/>
      <c r="BA43" s="676">
        <f>SUMIF(USM!$C$6:$C$58,$D43,USM!BA$6:BA$58)</f>
        <v>1167.4950000000001</v>
      </c>
      <c r="BB43" s="758"/>
      <c r="BC43" s="758">
        <f t="shared" si="12"/>
        <v>1808.3100000000002</v>
      </c>
      <c r="BD43" s="5633"/>
      <c r="BE43" s="5682">
        <f t="shared" si="13"/>
        <v>2259.9850000000001</v>
      </c>
      <c r="BF43" s="5121"/>
      <c r="BG43" s="753">
        <f t="shared" si="14"/>
        <v>2882.1010000000001</v>
      </c>
      <c r="BH43" s="26"/>
      <c r="BI43" s="26"/>
    </row>
    <row r="44" spans="3:61" ht="18.75" x14ac:dyDescent="0.3">
      <c r="C44" s="675" t="s">
        <v>112</v>
      </c>
      <c r="D44" s="675" t="s">
        <v>992</v>
      </c>
      <c r="E44" s="6452"/>
      <c r="F44" s="675"/>
      <c r="G44" s="676">
        <f>SUMIF(USM!$C$6:$C$58,$D44,USM!G$6:G$58)</f>
        <v>14878.199999999999</v>
      </c>
      <c r="H44" s="676"/>
      <c r="I44" s="676">
        <f>SUMIF(USM!$C$6:$C$58,$D44,USM!I$6:I$58)</f>
        <v>15117.103000000003</v>
      </c>
      <c r="J44" s="753"/>
      <c r="K44" s="753">
        <f t="shared" si="0"/>
        <v>29995.303</v>
      </c>
      <c r="L44" s="676"/>
      <c r="M44" s="676">
        <f>SUMIF(USM!$C$6:$C$58,$D44,USM!M$6:M$58)</f>
        <v>15377.061999999996</v>
      </c>
      <c r="N44" s="758"/>
      <c r="O44" s="758">
        <f t="shared" si="1"/>
        <v>45372.364999999998</v>
      </c>
      <c r="P44" s="676"/>
      <c r="Q44" s="676">
        <f>SUMIF(USM!$C$6:$C$58,$D44,USM!Q$6:Q$58)</f>
        <v>14361.878000000001</v>
      </c>
      <c r="R44" s="3399"/>
      <c r="S44" s="753">
        <f t="shared" si="2"/>
        <v>59734.243000000002</v>
      </c>
      <c r="T44" s="676"/>
      <c r="U44" s="676">
        <f>SUMIF(USM!$C$6:$C$58,$D44,USM!U$6:U$58)</f>
        <v>17335.869000000002</v>
      </c>
      <c r="W44" s="753">
        <f t="shared" si="3"/>
        <v>77070.112000000008</v>
      </c>
      <c r="X44" s="5624"/>
      <c r="Y44" s="676">
        <f>SUMIF(USM!$C$6:$C$58,$D44,USM!Y$6:Y$58)</f>
        <v>16909.89</v>
      </c>
      <c r="Z44" s="758"/>
      <c r="AA44" s="758">
        <f t="shared" si="4"/>
        <v>48607.637000000002</v>
      </c>
      <c r="AB44" s="5630"/>
      <c r="AC44" s="5682">
        <f t="shared" si="5"/>
        <v>93980.002000000008</v>
      </c>
      <c r="AD44" s="676"/>
      <c r="AE44" s="676">
        <f>SUMIF(USM!$C$6:$C$58,$D44,USM!AE$6:AE$58)</f>
        <v>19690.958999999999</v>
      </c>
      <c r="AF44" s="4092"/>
      <c r="AG44" s="753">
        <f t="shared" si="6"/>
        <v>113670.96100000001</v>
      </c>
      <c r="AH44" s="676"/>
      <c r="AI44" s="676">
        <f>SUMIF(USM!$C$6:$C$58,$D44,USM!AI$6:AI$58)</f>
        <v>23034.220720000001</v>
      </c>
      <c r="AJ44" s="4198"/>
      <c r="AK44" s="753">
        <f t="shared" si="7"/>
        <v>136705.18172000002</v>
      </c>
      <c r="AL44" s="676"/>
      <c r="AM44" s="676">
        <f>SUMIF(USM!$C$6:$C$58,$D44,USM!AM$6:AM$58)</f>
        <v>11110.331</v>
      </c>
      <c r="AN44" s="758"/>
      <c r="AO44" s="758">
        <f t="shared" si="8"/>
        <v>53835.510720000006</v>
      </c>
      <c r="AP44" s="5259"/>
      <c r="AQ44" s="753">
        <f t="shared" si="9"/>
        <v>147815.51272000003</v>
      </c>
      <c r="AR44" s="676"/>
      <c r="AS44" s="676">
        <f>SUMIF(USM!$C$6:$C$58,$D44,USM!AS$6:AS$58)</f>
        <v>10405.336000000003</v>
      </c>
      <c r="AT44" s="4441"/>
      <c r="AU44" s="753">
        <f t="shared" si="10"/>
        <v>158220.84872000004</v>
      </c>
      <c r="AV44" s="676"/>
      <c r="AW44" s="676">
        <f>SUMIF(USM!$C$6:$C$58,$D44,USM!AW$6:AW$58)</f>
        <v>14327.296</v>
      </c>
      <c r="AX44" s="4675"/>
      <c r="AY44" s="753">
        <f t="shared" si="11"/>
        <v>172548.14472000004</v>
      </c>
      <c r="AZ44" s="676"/>
      <c r="BA44" s="676">
        <f>SUMIF(USM!$C$6:$C$58,$D44,USM!BA$6:BA$58)</f>
        <v>13959.727999999999</v>
      </c>
      <c r="BB44" s="758"/>
      <c r="BC44" s="758">
        <f t="shared" si="12"/>
        <v>38692.36</v>
      </c>
      <c r="BD44" s="5633"/>
      <c r="BE44" s="5682">
        <f t="shared" si="13"/>
        <v>92527.870720000006</v>
      </c>
      <c r="BF44" s="5121"/>
      <c r="BG44" s="753">
        <f t="shared" si="14"/>
        <v>186507.87272000004</v>
      </c>
      <c r="BH44" s="26"/>
      <c r="BI44" s="26"/>
    </row>
    <row r="45" spans="3:61" s="4111" customFormat="1" ht="18.75" x14ac:dyDescent="0.3">
      <c r="C45" s="675" t="s">
        <v>112</v>
      </c>
      <c r="D45" s="675" t="s">
        <v>1834</v>
      </c>
      <c r="E45" s="6452"/>
      <c r="F45" s="675"/>
      <c r="G45" s="676">
        <f>SUMIF(USM!$C$6:$C$58,$D45,USM!G$6:G$58)</f>
        <v>0</v>
      </c>
      <c r="H45" s="676"/>
      <c r="I45" s="676">
        <f>SUMIF(USM!$C$6:$C$58,$D45,USM!I$6:I$58)</f>
        <v>0</v>
      </c>
      <c r="J45" s="753"/>
      <c r="K45" s="753">
        <f t="shared" si="0"/>
        <v>0</v>
      </c>
      <c r="L45" s="676"/>
      <c r="M45" s="676">
        <f>SUMIF(USM!$C$6:$C$58,$D45,USM!M$6:M$58)</f>
        <v>0</v>
      </c>
      <c r="N45" s="758"/>
      <c r="O45" s="758">
        <f t="shared" si="1"/>
        <v>0</v>
      </c>
      <c r="P45" s="676"/>
      <c r="Q45" s="676">
        <f>SUMIF(USM!$C$6:$C$58,$D45,USM!Q$6:Q$58)</f>
        <v>0</v>
      </c>
      <c r="S45" s="753">
        <f t="shared" si="2"/>
        <v>0</v>
      </c>
      <c r="T45" s="676"/>
      <c r="U45" s="676">
        <f>SUMIF(USM!$C$6:$C$58,$D45,USM!U$6:U$58)</f>
        <v>0</v>
      </c>
      <c r="W45" s="753">
        <f t="shared" si="3"/>
        <v>0</v>
      </c>
      <c r="X45" s="5624"/>
      <c r="Y45" s="676">
        <f>SUMIF(USM!$C$6:$C$58,$D45,USM!Y$6:Y$58)</f>
        <v>0</v>
      </c>
      <c r="Z45" s="758"/>
      <c r="AA45" s="758">
        <f t="shared" si="4"/>
        <v>0</v>
      </c>
      <c r="AB45" s="5630"/>
      <c r="AC45" s="5682">
        <f t="shared" si="5"/>
        <v>0</v>
      </c>
      <c r="AD45" s="676"/>
      <c r="AE45" s="676">
        <f>SUMIF(USM!$C$6:$C$58,$D45,USM!AE$6:AE$58)</f>
        <v>392.31200000000001</v>
      </c>
      <c r="AG45" s="753">
        <f t="shared" si="6"/>
        <v>392.31200000000001</v>
      </c>
      <c r="AH45" s="676"/>
      <c r="AI45" s="676">
        <f>SUMIF(USM!$C$6:$C$58,$D45,USM!AI$6:AI$58)</f>
        <v>0</v>
      </c>
      <c r="AJ45" s="4198"/>
      <c r="AK45" s="753">
        <f t="shared" si="7"/>
        <v>392.31200000000001</v>
      </c>
      <c r="AL45" s="676"/>
      <c r="AM45" s="676">
        <f>SUMIF(USM!$C$6:$C$58,$D45,USM!AM$6:AM$58)</f>
        <v>0</v>
      </c>
      <c r="AN45" s="758"/>
      <c r="AO45" s="758">
        <f t="shared" si="8"/>
        <v>392.31200000000001</v>
      </c>
      <c r="AP45" s="5259"/>
      <c r="AQ45" s="753">
        <f t="shared" si="9"/>
        <v>392.31200000000001</v>
      </c>
      <c r="AR45" s="676"/>
      <c r="AS45" s="676">
        <f>SUMIF(USM!$C$6:$C$58,$D45,USM!AS$6:AS$58)</f>
        <v>0</v>
      </c>
      <c r="AT45" s="4441"/>
      <c r="AU45" s="753">
        <f t="shared" si="10"/>
        <v>392.31200000000001</v>
      </c>
      <c r="AV45" s="676"/>
      <c r="AW45" s="676">
        <f>SUMIF(USM!$C$6:$C$58,$D45,USM!AW$6:AW$58)</f>
        <v>0</v>
      </c>
      <c r="AX45" s="4675"/>
      <c r="AY45" s="753">
        <f t="shared" si="11"/>
        <v>392.31200000000001</v>
      </c>
      <c r="AZ45" s="676"/>
      <c r="BA45" s="676">
        <f>SUMIF(USM!$C$6:$C$58,$D45,USM!BA$6:BA$58)</f>
        <v>0</v>
      </c>
      <c r="BB45" s="758"/>
      <c r="BC45" s="758">
        <f t="shared" si="12"/>
        <v>0</v>
      </c>
      <c r="BD45" s="5633"/>
      <c r="BE45" s="5682">
        <f t="shared" si="13"/>
        <v>392.31200000000001</v>
      </c>
      <c r="BF45" s="5121"/>
      <c r="BG45" s="753">
        <f t="shared" si="14"/>
        <v>392.31200000000001</v>
      </c>
      <c r="BH45" s="26"/>
      <c r="BI45" s="26"/>
    </row>
    <row r="46" spans="3:61" s="4111" customFormat="1" ht="18.75" x14ac:dyDescent="0.3">
      <c r="C46" s="675" t="s">
        <v>112</v>
      </c>
      <c r="D46" s="675" t="s">
        <v>1835</v>
      </c>
      <c r="E46" s="6452"/>
      <c r="F46" s="675"/>
      <c r="G46" s="676">
        <f>SUMIF(USM!$C$6:$C$58,$D46,USM!G$6:G$58)</f>
        <v>0</v>
      </c>
      <c r="H46" s="676"/>
      <c r="I46" s="676">
        <f>SUMIF(USM!$C$6:$C$58,$D46,USM!I$6:I$58)</f>
        <v>0</v>
      </c>
      <c r="J46" s="753"/>
      <c r="K46" s="753">
        <f t="shared" si="0"/>
        <v>0</v>
      </c>
      <c r="L46" s="676"/>
      <c r="M46" s="676">
        <f>SUMIF(USM!$C$6:$C$58,$D46,USM!M$6:M$58)</f>
        <v>0</v>
      </c>
      <c r="N46" s="758"/>
      <c r="O46" s="758">
        <f t="shared" si="1"/>
        <v>0</v>
      </c>
      <c r="P46" s="676"/>
      <c r="Q46" s="676">
        <f>SUMIF(USM!$C$6:$C$58,$D46,USM!Q$6:Q$58)</f>
        <v>0</v>
      </c>
      <c r="S46" s="753">
        <f t="shared" si="2"/>
        <v>0</v>
      </c>
      <c r="T46" s="676"/>
      <c r="U46" s="676">
        <f>SUMIF(USM!$C$6:$C$58,$D46,USM!U$6:U$58)</f>
        <v>0</v>
      </c>
      <c r="W46" s="753">
        <f t="shared" si="3"/>
        <v>0</v>
      </c>
      <c r="X46" s="5624"/>
      <c r="Y46" s="676">
        <f>SUMIF(USM!$C$6:$C$58,$D46,USM!Y$6:Y$58)</f>
        <v>0</v>
      </c>
      <c r="Z46" s="758"/>
      <c r="AA46" s="758">
        <f t="shared" si="4"/>
        <v>0</v>
      </c>
      <c r="AB46" s="5630"/>
      <c r="AC46" s="5682">
        <f t="shared" si="5"/>
        <v>0</v>
      </c>
      <c r="AD46" s="676"/>
      <c r="AE46" s="676">
        <f>SUMIF(USM!$C$6:$C$58,$D46,USM!AE$6:AE$58)</f>
        <v>628.61199999999997</v>
      </c>
      <c r="AG46" s="753">
        <f t="shared" si="6"/>
        <v>628.61199999999997</v>
      </c>
      <c r="AH46" s="676"/>
      <c r="AI46" s="676">
        <f>SUMIF(USM!$C$6:$C$58,$D46,USM!AI$6:AI$58)</f>
        <v>101.32599999999999</v>
      </c>
      <c r="AJ46" s="4198"/>
      <c r="AK46" s="753">
        <f t="shared" si="7"/>
        <v>729.93799999999999</v>
      </c>
      <c r="AL46" s="676"/>
      <c r="AM46" s="676">
        <f>SUMIF(USM!$C$6:$C$58,$D46,USM!AM$6:AM$58)</f>
        <v>0</v>
      </c>
      <c r="AN46" s="758"/>
      <c r="AO46" s="758">
        <f t="shared" si="8"/>
        <v>729.93799999999999</v>
      </c>
      <c r="AP46" s="5259"/>
      <c r="AQ46" s="753">
        <f t="shared" si="9"/>
        <v>729.93799999999999</v>
      </c>
      <c r="AR46" s="676"/>
      <c r="AS46" s="676">
        <f>SUMIF(USM!$C$6:$C$58,$D46,USM!AS$6:AS$58)</f>
        <v>0</v>
      </c>
      <c r="AT46" s="4441"/>
      <c r="AU46" s="753">
        <f t="shared" si="10"/>
        <v>729.93799999999999</v>
      </c>
      <c r="AV46" s="676"/>
      <c r="AW46" s="676">
        <f>SUMIF(USM!$C$6:$C$58,$D46,USM!AW$6:AW$58)</f>
        <v>737.22399999999993</v>
      </c>
      <c r="AX46" s="4675"/>
      <c r="AY46" s="753">
        <f t="shared" si="11"/>
        <v>1467.1619999999998</v>
      </c>
      <c r="AZ46" s="676"/>
      <c r="BA46" s="676">
        <f>SUMIF(USM!$C$6:$C$58,$D46,USM!BA$6:BA$58)</f>
        <v>0</v>
      </c>
      <c r="BB46" s="758"/>
      <c r="BC46" s="758">
        <f t="shared" si="12"/>
        <v>737.22399999999993</v>
      </c>
      <c r="BD46" s="5633"/>
      <c r="BE46" s="5682">
        <f t="shared" si="13"/>
        <v>1467.1619999999998</v>
      </c>
      <c r="BF46" s="5121"/>
      <c r="BG46" s="753">
        <f t="shared" si="14"/>
        <v>1467.1619999999998</v>
      </c>
      <c r="BH46" s="26"/>
      <c r="BI46" s="26"/>
    </row>
    <row r="47" spans="3:61" ht="18.75" x14ac:dyDescent="0.3">
      <c r="C47" s="6445" t="s">
        <v>1015</v>
      </c>
      <c r="D47" s="6445"/>
      <c r="E47" s="6452"/>
      <c r="F47" s="763"/>
      <c r="G47" s="764">
        <f>SUM(G41:G46)</f>
        <v>34411.017</v>
      </c>
      <c r="H47" s="764">
        <f t="shared" ref="H47:BG47" si="17">SUM(H41:H46)</f>
        <v>0</v>
      </c>
      <c r="I47" s="764">
        <f t="shared" si="17"/>
        <v>29035.71</v>
      </c>
      <c r="J47" s="764">
        <f t="shared" si="17"/>
        <v>0</v>
      </c>
      <c r="K47" s="764">
        <f t="shared" si="17"/>
        <v>63446.726999999992</v>
      </c>
      <c r="L47" s="764">
        <f t="shared" si="17"/>
        <v>0</v>
      </c>
      <c r="M47" s="764">
        <f t="shared" si="17"/>
        <v>29014.604999999996</v>
      </c>
      <c r="N47" s="764">
        <f t="shared" si="17"/>
        <v>0</v>
      </c>
      <c r="O47" s="764">
        <f t="shared" si="17"/>
        <v>92461.331999999995</v>
      </c>
      <c r="P47" s="764">
        <f t="shared" si="17"/>
        <v>0</v>
      </c>
      <c r="Q47" s="764">
        <f t="shared" si="17"/>
        <v>33200.703999999998</v>
      </c>
      <c r="R47" s="764">
        <f t="shared" si="17"/>
        <v>0</v>
      </c>
      <c r="S47" s="764">
        <f t="shared" si="17"/>
        <v>125662.03599999999</v>
      </c>
      <c r="T47" s="764">
        <f t="shared" si="17"/>
        <v>0</v>
      </c>
      <c r="U47" s="764">
        <f t="shared" si="17"/>
        <v>44285.714000000007</v>
      </c>
      <c r="V47" s="764">
        <f t="shared" si="17"/>
        <v>0</v>
      </c>
      <c r="W47" s="764">
        <f t="shared" si="17"/>
        <v>169947.75</v>
      </c>
      <c r="X47" s="764">
        <f t="shared" si="17"/>
        <v>0</v>
      </c>
      <c r="Y47" s="764">
        <f t="shared" si="17"/>
        <v>37549.826999999997</v>
      </c>
      <c r="Z47" s="764">
        <f t="shared" si="17"/>
        <v>0</v>
      </c>
      <c r="AA47" s="764">
        <f t="shared" si="17"/>
        <v>115036.245</v>
      </c>
      <c r="AB47" s="764">
        <f t="shared" si="17"/>
        <v>0</v>
      </c>
      <c r="AC47" s="764">
        <f t="shared" si="17"/>
        <v>207497.57699999999</v>
      </c>
      <c r="AD47" s="764">
        <f t="shared" si="17"/>
        <v>0</v>
      </c>
      <c r="AE47" s="764">
        <f t="shared" si="17"/>
        <v>38658.050000000003</v>
      </c>
      <c r="AF47" s="764">
        <f t="shared" si="17"/>
        <v>0</v>
      </c>
      <c r="AG47" s="764">
        <f t="shared" si="17"/>
        <v>246155.62700000001</v>
      </c>
      <c r="AH47" s="764">
        <f t="shared" si="17"/>
        <v>0</v>
      </c>
      <c r="AI47" s="764">
        <f t="shared" si="17"/>
        <v>41612.207040000001</v>
      </c>
      <c r="AJ47" s="764">
        <f t="shared" si="17"/>
        <v>0</v>
      </c>
      <c r="AK47" s="764">
        <f t="shared" si="17"/>
        <v>287767.83404000005</v>
      </c>
      <c r="AL47" s="764">
        <f t="shared" si="17"/>
        <v>0</v>
      </c>
      <c r="AM47" s="764">
        <f t="shared" si="17"/>
        <v>41025.186999999998</v>
      </c>
      <c r="AN47" s="764">
        <f t="shared" si="17"/>
        <v>0</v>
      </c>
      <c r="AO47" s="764">
        <f t="shared" si="17"/>
        <v>121295.44404000002</v>
      </c>
      <c r="AP47" s="764">
        <f t="shared" si="17"/>
        <v>0</v>
      </c>
      <c r="AQ47" s="764">
        <f t="shared" si="17"/>
        <v>328793.02104000002</v>
      </c>
      <c r="AR47" s="764">
        <f t="shared" si="17"/>
        <v>0</v>
      </c>
      <c r="AS47" s="764">
        <f t="shared" si="17"/>
        <v>41204.778000000006</v>
      </c>
      <c r="AT47" s="764">
        <f t="shared" si="17"/>
        <v>0</v>
      </c>
      <c r="AU47" s="764">
        <f t="shared" si="17"/>
        <v>369997.79904000007</v>
      </c>
      <c r="AV47" s="764">
        <f t="shared" si="17"/>
        <v>0</v>
      </c>
      <c r="AW47" s="764">
        <f t="shared" si="17"/>
        <v>42591.399999999994</v>
      </c>
      <c r="AX47" s="764">
        <f t="shared" si="17"/>
        <v>0</v>
      </c>
      <c r="AY47" s="764">
        <f t="shared" si="17"/>
        <v>412589.19904000004</v>
      </c>
      <c r="AZ47" s="764">
        <f t="shared" si="17"/>
        <v>0</v>
      </c>
      <c r="BA47" s="764">
        <f t="shared" si="17"/>
        <v>46552.752999999997</v>
      </c>
      <c r="BB47" s="764">
        <f t="shared" si="17"/>
        <v>0</v>
      </c>
      <c r="BC47" s="764">
        <f t="shared" si="17"/>
        <v>130348.93100000001</v>
      </c>
      <c r="BD47" s="764">
        <f t="shared" si="17"/>
        <v>0</v>
      </c>
      <c r="BE47" s="764">
        <f t="shared" si="17"/>
        <v>251644.37504000001</v>
      </c>
      <c r="BF47" s="764">
        <f t="shared" si="17"/>
        <v>0</v>
      </c>
      <c r="BG47" s="754">
        <f t="shared" si="17"/>
        <v>459141.95204000006</v>
      </c>
      <c r="BH47" s="26"/>
      <c r="BI47" s="26"/>
    </row>
    <row r="48" spans="3:61" ht="18.75" x14ac:dyDescent="0.3">
      <c r="C48" s="675" t="s">
        <v>1024</v>
      </c>
      <c r="D48" s="675" t="s">
        <v>663</v>
      </c>
      <c r="E48" s="6452"/>
      <c r="F48" s="675"/>
      <c r="G48" s="703">
        <v>20858.360999999997</v>
      </c>
      <c r="H48" s="703"/>
      <c r="I48" s="703">
        <v>24942.925999999996</v>
      </c>
      <c r="J48" s="753"/>
      <c r="K48" s="753">
        <f t="shared" si="0"/>
        <v>45801.286999999997</v>
      </c>
      <c r="L48" s="703"/>
      <c r="M48" s="703">
        <v>12012.758999999998</v>
      </c>
      <c r="N48" s="758"/>
      <c r="O48" s="758">
        <f t="shared" si="1"/>
        <v>57814.045999999995</v>
      </c>
      <c r="P48" s="703"/>
      <c r="Q48" s="703">
        <v>24181.235000000001</v>
      </c>
      <c r="S48" s="753">
        <f t="shared" si="2"/>
        <v>81995.280999999988</v>
      </c>
      <c r="T48" s="703"/>
      <c r="U48" s="703">
        <v>11076</v>
      </c>
      <c r="W48" s="753">
        <f t="shared" si="3"/>
        <v>93071.280999999988</v>
      </c>
      <c r="X48" s="5624"/>
      <c r="Y48" s="703">
        <v>14219.712</v>
      </c>
      <c r="Z48" s="758"/>
      <c r="AA48" s="758">
        <f t="shared" si="4"/>
        <v>49476.947</v>
      </c>
      <c r="AB48" s="5630"/>
      <c r="AC48" s="5682">
        <f t="shared" si="5"/>
        <v>107290.99299999999</v>
      </c>
      <c r="AD48" s="703"/>
      <c r="AE48" s="703">
        <f>17265.082+94</f>
        <v>17359.081999999999</v>
      </c>
      <c r="AF48" s="4092"/>
      <c r="AG48" s="753">
        <f t="shared" si="6"/>
        <v>124650.07499999998</v>
      </c>
      <c r="AH48" s="703"/>
      <c r="AI48" s="703">
        <v>16202</v>
      </c>
      <c r="AJ48" s="4198"/>
      <c r="AK48" s="753">
        <f t="shared" si="7"/>
        <v>140852.07499999998</v>
      </c>
      <c r="AL48" s="703"/>
      <c r="AM48" s="703">
        <v>14319.3</v>
      </c>
      <c r="AN48" s="758"/>
      <c r="AO48" s="758">
        <f t="shared" si="8"/>
        <v>47880.381999999998</v>
      </c>
      <c r="AP48" s="5259"/>
      <c r="AQ48" s="753">
        <f t="shared" si="9"/>
        <v>155171.37499999997</v>
      </c>
      <c r="AR48" s="703"/>
      <c r="AS48" s="703">
        <v>10241</v>
      </c>
      <c r="AT48" s="4441"/>
      <c r="AU48" s="753">
        <f t="shared" si="10"/>
        <v>165412.37499999997</v>
      </c>
      <c r="AV48" s="703"/>
      <c r="AW48" s="703">
        <v>17432.522000000004</v>
      </c>
      <c r="AX48" s="4675"/>
      <c r="AY48" s="753">
        <f t="shared" si="11"/>
        <v>182844.89699999997</v>
      </c>
      <c r="AZ48" s="703"/>
      <c r="BA48" s="703">
        <v>11670</v>
      </c>
      <c r="BB48" s="758"/>
      <c r="BC48" s="758">
        <f t="shared" si="12"/>
        <v>39343.522000000004</v>
      </c>
      <c r="BD48" s="5633"/>
      <c r="BE48" s="5682">
        <f t="shared" si="13"/>
        <v>87223.90400000001</v>
      </c>
      <c r="BF48" s="5121"/>
      <c r="BG48" s="753">
        <f t="shared" si="14"/>
        <v>194514.89699999997</v>
      </c>
      <c r="BH48" s="26"/>
      <c r="BI48" s="26"/>
    </row>
    <row r="49" spans="3:61" ht="18.75" x14ac:dyDescent="0.3">
      <c r="C49" s="675" t="s">
        <v>1024</v>
      </c>
      <c r="D49" s="675" t="s">
        <v>990</v>
      </c>
      <c r="E49" s="6452"/>
      <c r="F49" s="675"/>
      <c r="G49" s="703">
        <v>721.81999999999994</v>
      </c>
      <c r="H49" s="703"/>
      <c r="I49" s="703">
        <v>588.07100000000003</v>
      </c>
      <c r="J49" s="753"/>
      <c r="K49" s="753">
        <f t="shared" si="0"/>
        <v>1309.8910000000001</v>
      </c>
      <c r="L49" s="703"/>
      <c r="M49" s="703">
        <v>1180.3880000000001</v>
      </c>
      <c r="N49" s="758"/>
      <c r="O49" s="758">
        <f t="shared" si="1"/>
        <v>2490.2790000000005</v>
      </c>
      <c r="P49" s="703"/>
      <c r="Q49" s="703">
        <v>568.66599999999994</v>
      </c>
      <c r="S49" s="753">
        <f t="shared" si="2"/>
        <v>3058.9450000000006</v>
      </c>
      <c r="T49" s="703"/>
      <c r="U49" s="703">
        <v>0</v>
      </c>
      <c r="W49" s="753">
        <f t="shared" si="3"/>
        <v>3058.9450000000006</v>
      </c>
      <c r="X49" s="5624"/>
      <c r="Y49" s="703">
        <v>0</v>
      </c>
      <c r="Z49" s="758"/>
      <c r="AA49" s="758">
        <f t="shared" si="4"/>
        <v>568.66599999999994</v>
      </c>
      <c r="AB49" s="5630"/>
      <c r="AC49" s="5682">
        <f t="shared" si="5"/>
        <v>3058.9450000000006</v>
      </c>
      <c r="AD49" s="703"/>
      <c r="AE49" s="703">
        <v>124.726</v>
      </c>
      <c r="AF49" s="4092"/>
      <c r="AG49" s="753">
        <f t="shared" si="6"/>
        <v>3183.6710000000007</v>
      </c>
      <c r="AH49" s="703"/>
      <c r="AI49" s="703"/>
      <c r="AJ49" s="4198"/>
      <c r="AK49" s="753">
        <f t="shared" si="7"/>
        <v>3183.6710000000007</v>
      </c>
      <c r="AL49" s="703"/>
      <c r="AM49" s="703"/>
      <c r="AN49" s="758"/>
      <c r="AO49" s="758">
        <f t="shared" si="8"/>
        <v>124.726</v>
      </c>
      <c r="AP49" s="5259"/>
      <c r="AQ49" s="753">
        <f t="shared" si="9"/>
        <v>3183.6710000000007</v>
      </c>
      <c r="AR49" s="703"/>
      <c r="AS49" s="703"/>
      <c r="AT49" s="4441"/>
      <c r="AU49" s="753">
        <f t="shared" si="10"/>
        <v>3183.6710000000007</v>
      </c>
      <c r="AV49" s="703"/>
      <c r="AW49" s="703">
        <v>566.55200000000002</v>
      </c>
      <c r="AX49" s="4675"/>
      <c r="AY49" s="753">
        <f t="shared" si="11"/>
        <v>3750.2230000000009</v>
      </c>
      <c r="AZ49" s="703"/>
      <c r="BA49" s="703"/>
      <c r="BB49" s="758"/>
      <c r="BC49" s="758">
        <f t="shared" si="12"/>
        <v>566.55200000000002</v>
      </c>
      <c r="BD49" s="5633"/>
      <c r="BE49" s="5682">
        <f t="shared" si="13"/>
        <v>691.27800000000002</v>
      </c>
      <c r="BF49" s="5121"/>
      <c r="BG49" s="753">
        <f t="shared" si="14"/>
        <v>3750.2230000000009</v>
      </c>
      <c r="BH49" s="26"/>
      <c r="BI49" s="26"/>
    </row>
    <row r="50" spans="3:61" ht="18.75" x14ac:dyDescent="0.3">
      <c r="C50" s="675" t="s">
        <v>1024</v>
      </c>
      <c r="D50" s="675" t="s">
        <v>1370</v>
      </c>
      <c r="E50" s="6452"/>
      <c r="F50" s="675"/>
      <c r="G50" s="703">
        <v>2562.4609999999998</v>
      </c>
      <c r="H50" s="703"/>
      <c r="I50" s="703">
        <v>4063.422</v>
      </c>
      <c r="J50" s="753"/>
      <c r="K50" s="753">
        <f t="shared" si="0"/>
        <v>6625.8829999999998</v>
      </c>
      <c r="L50" s="703"/>
      <c r="M50" s="703">
        <v>8160.811999999999</v>
      </c>
      <c r="N50" s="758"/>
      <c r="O50" s="758">
        <f t="shared" si="1"/>
        <v>14786.695</v>
      </c>
      <c r="P50" s="703"/>
      <c r="Q50" s="703">
        <v>5310.884</v>
      </c>
      <c r="S50" s="753">
        <f t="shared" si="2"/>
        <v>20097.578999999998</v>
      </c>
      <c r="T50" s="703"/>
      <c r="U50" s="703">
        <v>6625.2760000000017</v>
      </c>
      <c r="W50" s="753">
        <f t="shared" si="3"/>
        <v>26722.855</v>
      </c>
      <c r="X50" s="5624"/>
      <c r="Y50" s="703">
        <v>11633.342000000001</v>
      </c>
      <c r="Z50" s="758"/>
      <c r="AA50" s="758">
        <f t="shared" si="4"/>
        <v>23569.502</v>
      </c>
      <c r="AB50" s="5630"/>
      <c r="AC50" s="5682">
        <f t="shared" si="5"/>
        <v>38356.197</v>
      </c>
      <c r="AD50" s="703"/>
      <c r="AE50" s="703">
        <v>5466.8040000000001</v>
      </c>
      <c r="AF50" s="4092"/>
      <c r="AG50" s="753">
        <f t="shared" si="6"/>
        <v>43823.001000000004</v>
      </c>
      <c r="AH50" s="703"/>
      <c r="AI50" s="703">
        <v>2664</v>
      </c>
      <c r="AJ50" s="4198"/>
      <c r="AK50" s="753">
        <f t="shared" si="7"/>
        <v>46487.001000000004</v>
      </c>
      <c r="AL50" s="703"/>
      <c r="AM50" s="703">
        <v>6374</v>
      </c>
      <c r="AN50" s="758"/>
      <c r="AO50" s="758">
        <f t="shared" si="8"/>
        <v>14504.804</v>
      </c>
      <c r="AP50" s="5259"/>
      <c r="AQ50" s="753">
        <f t="shared" si="9"/>
        <v>52861.001000000004</v>
      </c>
      <c r="AR50" s="703"/>
      <c r="AS50" s="703">
        <v>6621</v>
      </c>
      <c r="AT50" s="4441"/>
      <c r="AU50" s="753">
        <f t="shared" si="10"/>
        <v>59482.001000000004</v>
      </c>
      <c r="AV50" s="703"/>
      <c r="AW50" s="703">
        <v>2811.62</v>
      </c>
      <c r="AX50" s="4675"/>
      <c r="AY50" s="753">
        <f t="shared" si="11"/>
        <v>62293.621000000006</v>
      </c>
      <c r="AZ50" s="703"/>
      <c r="BA50" s="703">
        <v>10003</v>
      </c>
      <c r="BB50" s="758"/>
      <c r="BC50" s="758">
        <f t="shared" si="12"/>
        <v>19435.62</v>
      </c>
      <c r="BD50" s="5633"/>
      <c r="BE50" s="5682">
        <f t="shared" si="13"/>
        <v>33940.423999999999</v>
      </c>
      <c r="BF50" s="5121"/>
      <c r="BG50" s="753">
        <f t="shared" si="14"/>
        <v>72296.621000000014</v>
      </c>
      <c r="BH50" s="26"/>
      <c r="BI50" s="26"/>
    </row>
    <row r="51" spans="3:61" ht="18.75" x14ac:dyDescent="0.3">
      <c r="C51" s="675" t="s">
        <v>1024</v>
      </c>
      <c r="D51" s="675" t="s">
        <v>1345</v>
      </c>
      <c r="E51" s="6452"/>
      <c r="F51" s="675"/>
      <c r="G51" s="703"/>
      <c r="H51" s="703"/>
      <c r="I51" s="703"/>
      <c r="J51" s="753"/>
      <c r="K51" s="753">
        <f t="shared" si="0"/>
        <v>0</v>
      </c>
      <c r="L51" s="703"/>
      <c r="M51" s="703"/>
      <c r="N51" s="758"/>
      <c r="O51" s="758">
        <f t="shared" si="1"/>
        <v>0</v>
      </c>
      <c r="P51" s="703"/>
      <c r="Q51" s="703"/>
      <c r="S51" s="753">
        <f t="shared" si="2"/>
        <v>0</v>
      </c>
      <c r="T51" s="703"/>
      <c r="U51" s="703">
        <v>0</v>
      </c>
      <c r="W51" s="753">
        <f t="shared" si="3"/>
        <v>0</v>
      </c>
      <c r="X51" s="5624"/>
      <c r="Y51" s="703">
        <v>0</v>
      </c>
      <c r="Z51" s="758"/>
      <c r="AA51" s="758">
        <f t="shared" si="4"/>
        <v>0</v>
      </c>
      <c r="AB51" s="5630"/>
      <c r="AC51" s="5682">
        <f t="shared" si="5"/>
        <v>0</v>
      </c>
      <c r="AD51" s="703"/>
      <c r="AE51" s="703"/>
      <c r="AF51" s="4092"/>
      <c r="AG51" s="753">
        <f t="shared" si="6"/>
        <v>0</v>
      </c>
      <c r="AH51" s="703"/>
      <c r="AI51" s="703"/>
      <c r="AJ51" s="4198"/>
      <c r="AK51" s="753">
        <f t="shared" si="7"/>
        <v>0</v>
      </c>
      <c r="AL51" s="703"/>
      <c r="AM51" s="703"/>
      <c r="AN51" s="758"/>
      <c r="AO51" s="758">
        <f t="shared" si="8"/>
        <v>0</v>
      </c>
      <c r="AP51" s="5259"/>
      <c r="AQ51" s="753">
        <f t="shared" si="9"/>
        <v>0</v>
      </c>
      <c r="AR51" s="703"/>
      <c r="AS51" s="703"/>
      <c r="AT51" s="4441"/>
      <c r="AU51" s="753">
        <f t="shared" si="10"/>
        <v>0</v>
      </c>
      <c r="AV51" s="703"/>
      <c r="AW51" s="703"/>
      <c r="AX51" s="4675"/>
      <c r="AY51" s="753">
        <f t="shared" si="11"/>
        <v>0</v>
      </c>
      <c r="AZ51" s="703"/>
      <c r="BA51" s="703"/>
      <c r="BB51" s="758"/>
      <c r="BC51" s="758">
        <f t="shared" si="12"/>
        <v>0</v>
      </c>
      <c r="BD51" s="5633"/>
      <c r="BE51" s="5682">
        <f t="shared" si="13"/>
        <v>0</v>
      </c>
      <c r="BF51" s="5121"/>
      <c r="BG51" s="753">
        <f t="shared" si="14"/>
        <v>0</v>
      </c>
      <c r="BH51" s="26"/>
      <c r="BI51" s="26"/>
    </row>
    <row r="52" spans="3:61" ht="18.75" x14ac:dyDescent="0.3">
      <c r="C52" s="675" t="s">
        <v>1024</v>
      </c>
      <c r="D52" s="675" t="s">
        <v>1157</v>
      </c>
      <c r="E52" s="6452"/>
      <c r="F52" s="675"/>
      <c r="G52" s="703">
        <v>607.17800000000011</v>
      </c>
      <c r="H52" s="703"/>
      <c r="I52" s="703"/>
      <c r="J52" s="753"/>
      <c r="K52" s="753">
        <f t="shared" si="0"/>
        <v>607.17800000000011</v>
      </c>
      <c r="L52" s="703"/>
      <c r="M52" s="703"/>
      <c r="N52" s="758"/>
      <c r="O52" s="758">
        <f t="shared" si="1"/>
        <v>607.17800000000011</v>
      </c>
      <c r="P52" s="703"/>
      <c r="Q52" s="703">
        <v>150.09399999999999</v>
      </c>
      <c r="S52" s="753">
        <f t="shared" si="2"/>
        <v>757.27200000000016</v>
      </c>
      <c r="T52" s="703"/>
      <c r="U52" s="703">
        <v>0</v>
      </c>
      <c r="W52" s="753">
        <f t="shared" si="3"/>
        <v>757.27200000000016</v>
      </c>
      <c r="X52" s="5624"/>
      <c r="Y52" s="703">
        <v>0</v>
      </c>
      <c r="Z52" s="758"/>
      <c r="AA52" s="758">
        <f t="shared" si="4"/>
        <v>150.09399999999999</v>
      </c>
      <c r="AB52" s="5630"/>
      <c r="AC52" s="5682">
        <f t="shared" si="5"/>
        <v>757.27200000000016</v>
      </c>
      <c r="AD52" s="703"/>
      <c r="AE52" s="703">
        <v>0</v>
      </c>
      <c r="AF52" s="4092"/>
      <c r="AG52" s="753">
        <f t="shared" si="6"/>
        <v>757.27200000000016</v>
      </c>
      <c r="AH52" s="703"/>
      <c r="AI52" s="703">
        <v>131</v>
      </c>
      <c r="AJ52" s="4198"/>
      <c r="AK52" s="753">
        <f t="shared" si="7"/>
        <v>888.27200000000016</v>
      </c>
      <c r="AL52" s="703"/>
      <c r="AM52" s="703"/>
      <c r="AN52" s="758"/>
      <c r="AO52" s="758">
        <f t="shared" si="8"/>
        <v>131</v>
      </c>
      <c r="AP52" s="5259"/>
      <c r="AQ52" s="753">
        <f t="shared" si="9"/>
        <v>888.27200000000016</v>
      </c>
      <c r="AR52" s="703"/>
      <c r="AS52" s="703"/>
      <c r="AT52" s="4441"/>
      <c r="AU52" s="753">
        <f t="shared" si="10"/>
        <v>888.27200000000016</v>
      </c>
      <c r="AV52" s="703"/>
      <c r="AW52" s="703"/>
      <c r="AX52" s="4675"/>
      <c r="AY52" s="753">
        <f t="shared" si="11"/>
        <v>888.27200000000016</v>
      </c>
      <c r="AZ52" s="703"/>
      <c r="BA52" s="703"/>
      <c r="BB52" s="758"/>
      <c r="BC52" s="758">
        <f t="shared" si="12"/>
        <v>0</v>
      </c>
      <c r="BD52" s="5633"/>
      <c r="BE52" s="5682">
        <f t="shared" si="13"/>
        <v>131</v>
      </c>
      <c r="BF52" s="5121"/>
      <c r="BG52" s="753">
        <f t="shared" si="14"/>
        <v>888.27200000000016</v>
      </c>
      <c r="BH52" s="26"/>
      <c r="BI52" s="26"/>
    </row>
    <row r="53" spans="3:61" ht="18.75" x14ac:dyDescent="0.3">
      <c r="C53" s="675" t="s">
        <v>1024</v>
      </c>
      <c r="D53" s="675" t="s">
        <v>1151</v>
      </c>
      <c r="E53" s="6452"/>
      <c r="F53" s="675"/>
      <c r="G53" s="703"/>
      <c r="H53" s="703"/>
      <c r="I53" s="703"/>
      <c r="J53" s="753"/>
      <c r="K53" s="753">
        <f t="shared" si="0"/>
        <v>0</v>
      </c>
      <c r="L53" s="703"/>
      <c r="M53" s="703"/>
      <c r="N53" s="758"/>
      <c r="O53" s="758">
        <f t="shared" si="1"/>
        <v>0</v>
      </c>
      <c r="P53" s="703"/>
      <c r="Q53" s="703"/>
      <c r="S53" s="753">
        <f t="shared" si="2"/>
        <v>0</v>
      </c>
      <c r="T53" s="703"/>
      <c r="U53" s="703">
        <v>0</v>
      </c>
      <c r="W53" s="753">
        <f t="shared" si="3"/>
        <v>0</v>
      </c>
      <c r="X53" s="5624"/>
      <c r="Y53" s="703"/>
      <c r="Z53" s="758"/>
      <c r="AA53" s="758">
        <f t="shared" si="4"/>
        <v>0</v>
      </c>
      <c r="AB53" s="5630"/>
      <c r="AC53" s="5682">
        <f t="shared" si="5"/>
        <v>0</v>
      </c>
      <c r="AD53" s="703"/>
      <c r="AE53" s="703"/>
      <c r="AF53" s="4092"/>
      <c r="AG53" s="753">
        <f t="shared" si="6"/>
        <v>0</v>
      </c>
      <c r="AH53" s="703"/>
      <c r="AI53" s="703"/>
      <c r="AJ53" s="4198"/>
      <c r="AK53" s="753">
        <f t="shared" si="7"/>
        <v>0</v>
      </c>
      <c r="AL53" s="703"/>
      <c r="AM53" s="703"/>
      <c r="AN53" s="758"/>
      <c r="AO53" s="758">
        <f t="shared" si="8"/>
        <v>0</v>
      </c>
      <c r="AP53" s="5259"/>
      <c r="AQ53" s="753">
        <f t="shared" si="9"/>
        <v>0</v>
      </c>
      <c r="AR53" s="703"/>
      <c r="AS53" s="703"/>
      <c r="AT53" s="4441"/>
      <c r="AU53" s="753">
        <f t="shared" si="10"/>
        <v>0</v>
      </c>
      <c r="AV53" s="703"/>
      <c r="AW53" s="703"/>
      <c r="AX53" s="4675"/>
      <c r="AY53" s="753">
        <f t="shared" si="11"/>
        <v>0</v>
      </c>
      <c r="AZ53" s="703"/>
      <c r="BA53" s="703"/>
      <c r="BB53" s="758"/>
      <c r="BC53" s="758">
        <f t="shared" si="12"/>
        <v>0</v>
      </c>
      <c r="BD53" s="5633"/>
      <c r="BE53" s="5682">
        <f t="shared" si="13"/>
        <v>0</v>
      </c>
      <c r="BF53" s="5121"/>
      <c r="BG53" s="753">
        <f t="shared" si="14"/>
        <v>0</v>
      </c>
      <c r="BH53" s="26"/>
      <c r="BI53" s="26"/>
    </row>
    <row r="54" spans="3:61" ht="18.75" x14ac:dyDescent="0.3">
      <c r="C54" s="675" t="s">
        <v>1024</v>
      </c>
      <c r="D54" s="675" t="s">
        <v>1123</v>
      </c>
      <c r="E54" s="6452"/>
      <c r="F54" s="675"/>
      <c r="G54" s="703">
        <v>1689.9079999999999</v>
      </c>
      <c r="H54" s="703"/>
      <c r="I54" s="703">
        <v>269.62099999999998</v>
      </c>
      <c r="J54" s="753"/>
      <c r="K54" s="753">
        <f t="shared" si="0"/>
        <v>1959.529</v>
      </c>
      <c r="L54" s="703"/>
      <c r="M54" s="703">
        <v>1195.249</v>
      </c>
      <c r="N54" s="758"/>
      <c r="O54" s="758">
        <f t="shared" si="1"/>
        <v>3154.7780000000002</v>
      </c>
      <c r="P54" s="703"/>
      <c r="Q54" s="703">
        <v>3688.9300000000012</v>
      </c>
      <c r="S54" s="753">
        <f t="shared" si="2"/>
        <v>6843.7080000000014</v>
      </c>
      <c r="T54" s="703"/>
      <c r="U54" s="703">
        <v>1333.9340000000002</v>
      </c>
      <c r="W54" s="753">
        <f t="shared" si="3"/>
        <v>8177.6420000000016</v>
      </c>
      <c r="X54" s="5624"/>
      <c r="Y54" s="703">
        <v>1067.5700000000002</v>
      </c>
      <c r="Z54" s="758"/>
      <c r="AA54" s="758">
        <f t="shared" si="4"/>
        <v>6090.4340000000011</v>
      </c>
      <c r="AB54" s="5630"/>
      <c r="AC54" s="5682">
        <f t="shared" si="5"/>
        <v>9245.2120000000014</v>
      </c>
      <c r="AD54" s="703"/>
      <c r="AE54" s="703">
        <v>2101.3159999999998</v>
      </c>
      <c r="AF54" s="4092"/>
      <c r="AG54" s="753">
        <f t="shared" si="6"/>
        <v>11346.528000000002</v>
      </c>
      <c r="AH54" s="703"/>
      <c r="AI54" s="703"/>
      <c r="AJ54" s="4198"/>
      <c r="AK54" s="753">
        <f t="shared" si="7"/>
        <v>11346.528000000002</v>
      </c>
      <c r="AL54" s="703"/>
      <c r="AM54" s="703">
        <v>4697</v>
      </c>
      <c r="AN54" s="758"/>
      <c r="AO54" s="758">
        <f t="shared" si="8"/>
        <v>6798.3159999999998</v>
      </c>
      <c r="AP54" s="5259"/>
      <c r="AQ54" s="753">
        <f t="shared" si="9"/>
        <v>16043.528000000002</v>
      </c>
      <c r="AR54" s="703"/>
      <c r="AS54" s="703">
        <v>3232</v>
      </c>
      <c r="AT54" s="4441"/>
      <c r="AU54" s="753">
        <f t="shared" si="10"/>
        <v>19275.528000000002</v>
      </c>
      <c r="AV54" s="703"/>
      <c r="AW54" s="703">
        <v>4488.021999999999</v>
      </c>
      <c r="AX54" s="4675"/>
      <c r="AY54" s="753">
        <f t="shared" si="11"/>
        <v>23763.550000000003</v>
      </c>
      <c r="AZ54" s="703"/>
      <c r="BA54" s="703">
        <v>2287</v>
      </c>
      <c r="BB54" s="758"/>
      <c r="BC54" s="758">
        <f t="shared" si="12"/>
        <v>10007.021999999999</v>
      </c>
      <c r="BD54" s="5633"/>
      <c r="BE54" s="5682">
        <f t="shared" si="13"/>
        <v>16805.338</v>
      </c>
      <c r="BF54" s="5121"/>
      <c r="BG54" s="753">
        <f t="shared" si="14"/>
        <v>26050.550000000003</v>
      </c>
      <c r="BH54" s="26"/>
      <c r="BI54" s="26"/>
    </row>
    <row r="55" spans="3:61" s="4111" customFormat="1" ht="18.75" x14ac:dyDescent="0.3">
      <c r="C55" s="675" t="s">
        <v>1024</v>
      </c>
      <c r="D55" s="675" t="s">
        <v>1710</v>
      </c>
      <c r="E55" s="6452"/>
      <c r="F55" s="675"/>
      <c r="G55" s="703"/>
      <c r="H55" s="703"/>
      <c r="I55" s="703"/>
      <c r="J55" s="753"/>
      <c r="K55" s="753">
        <f t="shared" si="0"/>
        <v>0</v>
      </c>
      <c r="L55" s="703"/>
      <c r="M55" s="703"/>
      <c r="N55" s="758"/>
      <c r="O55" s="758">
        <f t="shared" si="1"/>
        <v>0</v>
      </c>
      <c r="P55" s="703"/>
      <c r="Q55" s="703">
        <v>313</v>
      </c>
      <c r="S55" s="753">
        <f t="shared" si="2"/>
        <v>313</v>
      </c>
      <c r="T55" s="703"/>
      <c r="U55" s="703"/>
      <c r="W55" s="753">
        <f t="shared" si="3"/>
        <v>313</v>
      </c>
      <c r="X55" s="5624"/>
      <c r="Y55" s="703">
        <v>131</v>
      </c>
      <c r="Z55" s="758"/>
      <c r="AA55" s="758">
        <f t="shared" si="4"/>
        <v>444</v>
      </c>
      <c r="AB55" s="5630"/>
      <c r="AC55" s="5682">
        <f t="shared" si="5"/>
        <v>444</v>
      </c>
      <c r="AD55" s="703"/>
      <c r="AE55" s="703">
        <v>989.35199999999998</v>
      </c>
      <c r="AG55" s="753">
        <f t="shared" si="6"/>
        <v>1433.3519999999999</v>
      </c>
      <c r="AH55" s="703"/>
      <c r="AI55" s="703">
        <v>710</v>
      </c>
      <c r="AJ55" s="4198"/>
      <c r="AK55" s="753">
        <f t="shared" si="7"/>
        <v>2143.3519999999999</v>
      </c>
      <c r="AL55" s="703"/>
      <c r="AM55" s="703"/>
      <c r="AN55" s="758"/>
      <c r="AO55" s="758">
        <f t="shared" si="8"/>
        <v>1699.3519999999999</v>
      </c>
      <c r="AP55" s="5259"/>
      <c r="AQ55" s="753">
        <f t="shared" si="9"/>
        <v>2143.3519999999999</v>
      </c>
      <c r="AR55" s="703"/>
      <c r="AS55" s="703"/>
      <c r="AT55" s="4441"/>
      <c r="AU55" s="753">
        <f t="shared" si="10"/>
        <v>2143.3519999999999</v>
      </c>
      <c r="AV55" s="703"/>
      <c r="AW55" s="703"/>
      <c r="AX55" s="4675"/>
      <c r="AY55" s="753">
        <f t="shared" si="11"/>
        <v>2143.3519999999999</v>
      </c>
      <c r="AZ55" s="703"/>
      <c r="BA55" s="703"/>
      <c r="BB55" s="758"/>
      <c r="BC55" s="758">
        <f t="shared" si="12"/>
        <v>0</v>
      </c>
      <c r="BD55" s="5633"/>
      <c r="BE55" s="5682">
        <f t="shared" si="13"/>
        <v>1699.3519999999999</v>
      </c>
      <c r="BF55" s="5121"/>
      <c r="BG55" s="753">
        <f t="shared" si="14"/>
        <v>2143.3519999999999</v>
      </c>
      <c r="BH55" s="26"/>
      <c r="BI55" s="26"/>
    </row>
    <row r="56" spans="3:61" ht="18.75" x14ac:dyDescent="0.3">
      <c r="C56" s="675" t="s">
        <v>1024</v>
      </c>
      <c r="D56" s="675" t="s">
        <v>1124</v>
      </c>
      <c r="E56" s="6452"/>
      <c r="F56" s="675"/>
      <c r="G56" s="703"/>
      <c r="H56" s="703"/>
      <c r="I56" s="703"/>
      <c r="J56" s="753"/>
      <c r="K56" s="753">
        <f t="shared" si="0"/>
        <v>0</v>
      </c>
      <c r="L56" s="703"/>
      <c r="M56" s="703"/>
      <c r="N56" s="758"/>
      <c r="O56" s="758">
        <f t="shared" si="1"/>
        <v>0</v>
      </c>
      <c r="P56" s="703"/>
      <c r="Q56" s="703"/>
      <c r="S56" s="753">
        <f t="shared" si="2"/>
        <v>0</v>
      </c>
      <c r="T56" s="703"/>
      <c r="U56" s="703">
        <v>0</v>
      </c>
      <c r="W56" s="753">
        <f t="shared" si="3"/>
        <v>0</v>
      </c>
      <c r="X56" s="5624"/>
      <c r="Y56" s="703">
        <v>0</v>
      </c>
      <c r="Z56" s="758"/>
      <c r="AA56" s="758">
        <f t="shared" si="4"/>
        <v>0</v>
      </c>
      <c r="AB56" s="5630"/>
      <c r="AC56" s="5682">
        <f t="shared" si="5"/>
        <v>0</v>
      </c>
      <c r="AD56" s="703"/>
      <c r="AE56" s="703">
        <f>25.368+1934</f>
        <v>1959.3679999999999</v>
      </c>
      <c r="AF56" s="4092"/>
      <c r="AG56" s="753">
        <f t="shared" si="6"/>
        <v>1959.3679999999999</v>
      </c>
      <c r="AH56" s="703"/>
      <c r="AI56" s="703"/>
      <c r="AJ56" s="4198"/>
      <c r="AK56" s="753">
        <f t="shared" si="7"/>
        <v>1959.3679999999999</v>
      </c>
      <c r="AL56" s="703"/>
      <c r="AM56" s="703">
        <v>397</v>
      </c>
      <c r="AN56" s="758"/>
      <c r="AO56" s="758">
        <f t="shared" si="8"/>
        <v>2356.3679999999999</v>
      </c>
      <c r="AP56" s="5259"/>
      <c r="AQ56" s="753">
        <f t="shared" si="9"/>
        <v>2356.3679999999999</v>
      </c>
      <c r="AR56" s="703"/>
      <c r="AS56" s="703">
        <v>560</v>
      </c>
      <c r="AT56" s="4441"/>
      <c r="AU56" s="753">
        <f t="shared" si="10"/>
        <v>2916.3679999999999</v>
      </c>
      <c r="AV56" s="703"/>
      <c r="AW56" s="703"/>
      <c r="AX56" s="4675"/>
      <c r="AY56" s="753">
        <f t="shared" si="11"/>
        <v>2916.3679999999999</v>
      </c>
      <c r="AZ56" s="703"/>
      <c r="BA56" s="703"/>
      <c r="BB56" s="758"/>
      <c r="BC56" s="758">
        <f t="shared" si="12"/>
        <v>560</v>
      </c>
      <c r="BD56" s="5633"/>
      <c r="BE56" s="5682">
        <f t="shared" si="13"/>
        <v>2916.3679999999999</v>
      </c>
      <c r="BF56" s="5121"/>
      <c r="BG56" s="753">
        <f t="shared" si="14"/>
        <v>2916.3679999999999</v>
      </c>
      <c r="BH56" s="26"/>
      <c r="BI56" s="26"/>
    </row>
    <row r="57" spans="3:61" s="2651" customFormat="1" ht="18.75" x14ac:dyDescent="0.3">
      <c r="C57" s="675" t="s">
        <v>1024</v>
      </c>
      <c r="D57" s="675" t="s">
        <v>1752</v>
      </c>
      <c r="E57" s="6452"/>
      <c r="F57" s="675"/>
      <c r="G57" s="703"/>
      <c r="H57" s="703"/>
      <c r="I57" s="703"/>
      <c r="J57" s="753"/>
      <c r="K57" s="753">
        <f t="shared" si="0"/>
        <v>0</v>
      </c>
      <c r="L57" s="703"/>
      <c r="M57" s="703"/>
      <c r="N57" s="758"/>
      <c r="O57" s="758">
        <f t="shared" si="1"/>
        <v>0</v>
      </c>
      <c r="P57" s="703"/>
      <c r="Q57" s="703"/>
      <c r="S57" s="753">
        <f t="shared" si="2"/>
        <v>0</v>
      </c>
      <c r="T57" s="703"/>
      <c r="U57" s="703">
        <v>849.8280000000002</v>
      </c>
      <c r="W57" s="753">
        <f t="shared" si="3"/>
        <v>849.8280000000002</v>
      </c>
      <c r="X57" s="5624"/>
      <c r="Y57" s="703">
        <v>769.49599999999998</v>
      </c>
      <c r="Z57" s="758"/>
      <c r="AA57" s="758">
        <f t="shared" si="4"/>
        <v>1619.3240000000001</v>
      </c>
      <c r="AB57" s="5630"/>
      <c r="AC57" s="5682">
        <f t="shared" si="5"/>
        <v>1619.3240000000001</v>
      </c>
      <c r="AD57" s="703"/>
      <c r="AE57" s="703">
        <v>2272.5499999999997</v>
      </c>
      <c r="AF57" s="4092"/>
      <c r="AG57" s="753">
        <f t="shared" si="6"/>
        <v>3891.8739999999998</v>
      </c>
      <c r="AH57" s="703"/>
      <c r="AI57" s="703">
        <v>1201</v>
      </c>
      <c r="AJ57" s="4198"/>
      <c r="AK57" s="753">
        <f t="shared" si="7"/>
        <v>5092.8739999999998</v>
      </c>
      <c r="AL57" s="703"/>
      <c r="AM57" s="703">
        <v>865</v>
      </c>
      <c r="AN57" s="758"/>
      <c r="AO57" s="758">
        <f t="shared" si="8"/>
        <v>4338.5499999999993</v>
      </c>
      <c r="AP57" s="5259"/>
      <c r="AQ57" s="753">
        <f t="shared" si="9"/>
        <v>5957.8739999999998</v>
      </c>
      <c r="AR57" s="703"/>
      <c r="AS57" s="703">
        <v>243</v>
      </c>
      <c r="AT57" s="4441"/>
      <c r="AU57" s="753">
        <f t="shared" si="10"/>
        <v>6200.8739999999998</v>
      </c>
      <c r="AV57" s="703"/>
      <c r="AW57" s="703">
        <v>1325.4780000000001</v>
      </c>
      <c r="AX57" s="4675"/>
      <c r="AY57" s="753">
        <f t="shared" si="11"/>
        <v>7526.3519999999999</v>
      </c>
      <c r="AZ57" s="703"/>
      <c r="BA57" s="703">
        <v>839</v>
      </c>
      <c r="BB57" s="758"/>
      <c r="BC57" s="758">
        <f t="shared" si="12"/>
        <v>2407.4780000000001</v>
      </c>
      <c r="BD57" s="5633"/>
      <c r="BE57" s="5682">
        <f t="shared" si="13"/>
        <v>6746.0279999999993</v>
      </c>
      <c r="BF57" s="5121"/>
      <c r="BG57" s="753">
        <f t="shared" si="14"/>
        <v>8365.351999999999</v>
      </c>
      <c r="BH57" s="26"/>
      <c r="BI57" s="26"/>
    </row>
    <row r="58" spans="3:61" s="5139" customFormat="1" ht="18.75" x14ac:dyDescent="0.3">
      <c r="C58" s="5158" t="s">
        <v>1024</v>
      </c>
      <c r="D58" s="5158" t="s">
        <v>1973</v>
      </c>
      <c r="E58" s="6452"/>
      <c r="F58" s="5158"/>
      <c r="G58" s="5159"/>
      <c r="H58" s="5159"/>
      <c r="I58" s="5159"/>
      <c r="J58" s="5160"/>
      <c r="K58" s="753">
        <f t="shared" si="0"/>
        <v>0</v>
      </c>
      <c r="L58" s="5159"/>
      <c r="M58" s="5159"/>
      <c r="N58" s="5153"/>
      <c r="O58" s="758">
        <f t="shared" si="1"/>
        <v>0</v>
      </c>
      <c r="P58" s="5159"/>
      <c r="Q58" s="5159"/>
      <c r="S58" s="753">
        <f t="shared" si="2"/>
        <v>0</v>
      </c>
      <c r="T58" s="5159"/>
      <c r="U58" s="5159"/>
      <c r="W58" s="753">
        <f t="shared" si="3"/>
        <v>0</v>
      </c>
      <c r="X58" s="5624"/>
      <c r="Y58" s="5159"/>
      <c r="Z58" s="5153"/>
      <c r="AA58" s="758">
        <f t="shared" si="4"/>
        <v>0</v>
      </c>
      <c r="AB58" s="5630"/>
      <c r="AC58" s="5682">
        <f t="shared" si="5"/>
        <v>0</v>
      </c>
      <c r="AD58" s="5159"/>
      <c r="AE58" s="5159"/>
      <c r="AG58" s="753">
        <f t="shared" si="6"/>
        <v>0</v>
      </c>
      <c r="AH58" s="5159"/>
      <c r="AI58" s="5159"/>
      <c r="AK58" s="753">
        <f t="shared" si="7"/>
        <v>0</v>
      </c>
      <c r="AL58" s="5159"/>
      <c r="AM58" s="5159"/>
      <c r="AN58" s="5153"/>
      <c r="AO58" s="758">
        <f t="shared" si="8"/>
        <v>0</v>
      </c>
      <c r="AP58" s="5259"/>
      <c r="AQ58" s="753">
        <f t="shared" si="9"/>
        <v>0</v>
      </c>
      <c r="AR58" s="5159"/>
      <c r="AS58" s="5159"/>
      <c r="AU58" s="753">
        <f t="shared" si="10"/>
        <v>0</v>
      </c>
      <c r="AV58" s="5159"/>
      <c r="AW58" s="5159"/>
      <c r="AY58" s="753">
        <f t="shared" si="11"/>
        <v>0</v>
      </c>
      <c r="AZ58" s="5159"/>
      <c r="BA58" s="5159">
        <v>264</v>
      </c>
      <c r="BB58" s="5153"/>
      <c r="BC58" s="758">
        <f t="shared" si="12"/>
        <v>264</v>
      </c>
      <c r="BD58" s="5633"/>
      <c r="BE58" s="5682">
        <f t="shared" si="13"/>
        <v>264</v>
      </c>
      <c r="BG58" s="753">
        <f t="shared" si="14"/>
        <v>264</v>
      </c>
      <c r="BH58" s="26"/>
      <c r="BI58" s="26"/>
    </row>
    <row r="59" spans="3:61" s="4225" customFormat="1" ht="18.75" x14ac:dyDescent="0.3">
      <c r="C59" s="675" t="s">
        <v>1024</v>
      </c>
      <c r="D59" s="675" t="s">
        <v>1869</v>
      </c>
      <c r="E59" s="6452"/>
      <c r="F59" s="675"/>
      <c r="G59" s="703"/>
      <c r="H59" s="703"/>
      <c r="I59" s="703"/>
      <c r="J59" s="753"/>
      <c r="K59" s="753">
        <f t="shared" si="0"/>
        <v>0</v>
      </c>
      <c r="L59" s="703"/>
      <c r="M59" s="703"/>
      <c r="N59" s="758"/>
      <c r="O59" s="758">
        <f t="shared" si="1"/>
        <v>0</v>
      </c>
      <c r="P59" s="703"/>
      <c r="Q59" s="703"/>
      <c r="S59" s="753">
        <f t="shared" si="2"/>
        <v>0</v>
      </c>
      <c r="T59" s="703"/>
      <c r="U59" s="703"/>
      <c r="W59" s="753">
        <f t="shared" si="3"/>
        <v>0</v>
      </c>
      <c r="X59" s="5624"/>
      <c r="Y59" s="703"/>
      <c r="Z59" s="758"/>
      <c r="AA59" s="758">
        <f t="shared" si="4"/>
        <v>0</v>
      </c>
      <c r="AB59" s="5630"/>
      <c r="AC59" s="5682">
        <f t="shared" si="5"/>
        <v>0</v>
      </c>
      <c r="AD59" s="703"/>
      <c r="AE59" s="703"/>
      <c r="AG59" s="753">
        <f t="shared" si="6"/>
        <v>0</v>
      </c>
      <c r="AH59" s="703"/>
      <c r="AI59" s="703">
        <v>1492</v>
      </c>
      <c r="AK59" s="753">
        <f t="shared" si="7"/>
        <v>1492</v>
      </c>
      <c r="AL59" s="703"/>
      <c r="AM59" s="703"/>
      <c r="AN59" s="758"/>
      <c r="AO59" s="758">
        <f t="shared" si="8"/>
        <v>1492</v>
      </c>
      <c r="AP59" s="5259"/>
      <c r="AQ59" s="753">
        <f t="shared" si="9"/>
        <v>1492</v>
      </c>
      <c r="AR59" s="703"/>
      <c r="AS59" s="703"/>
      <c r="AT59" s="4441"/>
      <c r="AU59" s="753">
        <f t="shared" si="10"/>
        <v>1492</v>
      </c>
      <c r="AV59" s="703"/>
      <c r="AW59" s="703"/>
      <c r="AX59" s="4675"/>
      <c r="AY59" s="753">
        <f t="shared" si="11"/>
        <v>1492</v>
      </c>
      <c r="AZ59" s="703"/>
      <c r="BA59" s="703"/>
      <c r="BB59" s="758"/>
      <c r="BC59" s="758">
        <f t="shared" si="12"/>
        <v>0</v>
      </c>
      <c r="BD59" s="5633"/>
      <c r="BE59" s="5682">
        <f t="shared" si="13"/>
        <v>1492</v>
      </c>
      <c r="BF59" s="5121"/>
      <c r="BG59" s="753">
        <f t="shared" si="14"/>
        <v>1492</v>
      </c>
      <c r="BH59" s="26"/>
      <c r="BI59" s="26"/>
    </row>
    <row r="60" spans="3:61" s="4225" customFormat="1" ht="18.75" x14ac:dyDescent="0.3">
      <c r="C60" s="675" t="s">
        <v>1024</v>
      </c>
      <c r="D60" s="675" t="s">
        <v>1870</v>
      </c>
      <c r="E60" s="6452"/>
      <c r="F60" s="675"/>
      <c r="G60" s="703"/>
      <c r="H60" s="703"/>
      <c r="I60" s="703"/>
      <c r="J60" s="753"/>
      <c r="K60" s="753">
        <f t="shared" si="0"/>
        <v>0</v>
      </c>
      <c r="L60" s="703"/>
      <c r="M60" s="703"/>
      <c r="N60" s="758"/>
      <c r="O60" s="758">
        <f t="shared" si="1"/>
        <v>0</v>
      </c>
      <c r="P60" s="703"/>
      <c r="Q60" s="703"/>
      <c r="S60" s="753">
        <f t="shared" si="2"/>
        <v>0</v>
      </c>
      <c r="T60" s="703"/>
      <c r="U60" s="703"/>
      <c r="W60" s="753">
        <f t="shared" si="3"/>
        <v>0</v>
      </c>
      <c r="X60" s="5624"/>
      <c r="Y60" s="703"/>
      <c r="Z60" s="758"/>
      <c r="AA60" s="758">
        <f t="shared" si="4"/>
        <v>0</v>
      </c>
      <c r="AB60" s="5630"/>
      <c r="AC60" s="5682">
        <f t="shared" si="5"/>
        <v>0</v>
      </c>
      <c r="AD60" s="703"/>
      <c r="AE60" s="703"/>
      <c r="AG60" s="753">
        <f t="shared" si="6"/>
        <v>0</v>
      </c>
      <c r="AH60" s="703"/>
      <c r="AI60" s="703">
        <v>729</v>
      </c>
      <c r="AK60" s="753">
        <f t="shared" si="7"/>
        <v>729</v>
      </c>
      <c r="AL60" s="703"/>
      <c r="AM60" s="703"/>
      <c r="AN60" s="758"/>
      <c r="AO60" s="758">
        <f t="shared" si="8"/>
        <v>729</v>
      </c>
      <c r="AP60" s="5259"/>
      <c r="AQ60" s="753">
        <f t="shared" si="9"/>
        <v>729</v>
      </c>
      <c r="AR60" s="703"/>
      <c r="AS60" s="703"/>
      <c r="AT60" s="4441"/>
      <c r="AU60" s="753">
        <f t="shared" si="10"/>
        <v>729</v>
      </c>
      <c r="AV60" s="703"/>
      <c r="AW60" s="703">
        <v>528.5</v>
      </c>
      <c r="AX60" s="4675"/>
      <c r="AY60" s="753">
        <f t="shared" si="11"/>
        <v>1257.5</v>
      </c>
      <c r="AZ60" s="703"/>
      <c r="BA60" s="703">
        <v>573</v>
      </c>
      <c r="BB60" s="758"/>
      <c r="BC60" s="758">
        <f t="shared" si="12"/>
        <v>1101.5</v>
      </c>
      <c r="BD60" s="5633"/>
      <c r="BE60" s="5682">
        <f t="shared" si="13"/>
        <v>1830.5</v>
      </c>
      <c r="BF60" s="5121"/>
      <c r="BG60" s="753">
        <f t="shared" si="14"/>
        <v>1830.5</v>
      </c>
      <c r="BH60" s="26"/>
      <c r="BI60" s="26"/>
    </row>
    <row r="61" spans="3:61" ht="18.75" x14ac:dyDescent="0.3">
      <c r="C61" s="675" t="s">
        <v>1024</v>
      </c>
      <c r="D61" s="675" t="s">
        <v>1459</v>
      </c>
      <c r="E61" s="6452"/>
      <c r="F61" s="675"/>
      <c r="G61" s="703"/>
      <c r="H61" s="703"/>
      <c r="I61" s="703"/>
      <c r="J61" s="753"/>
      <c r="K61" s="753">
        <f t="shared" si="0"/>
        <v>0</v>
      </c>
      <c r="L61" s="703"/>
      <c r="M61" s="703"/>
      <c r="N61" s="758"/>
      <c r="O61" s="758">
        <f t="shared" si="1"/>
        <v>0</v>
      </c>
      <c r="P61" s="703"/>
      <c r="Q61" s="703"/>
      <c r="S61" s="753">
        <f t="shared" si="2"/>
        <v>0</v>
      </c>
      <c r="T61" s="703"/>
      <c r="U61" s="703">
        <v>0</v>
      </c>
      <c r="W61" s="753">
        <f t="shared" si="3"/>
        <v>0</v>
      </c>
      <c r="X61" s="5624"/>
      <c r="Y61" s="703">
        <v>0</v>
      </c>
      <c r="Z61" s="758"/>
      <c r="AA61" s="758">
        <f t="shared" si="4"/>
        <v>0</v>
      </c>
      <c r="AB61" s="5630"/>
      <c r="AC61" s="5682">
        <f t="shared" si="5"/>
        <v>0</v>
      </c>
      <c r="AD61" s="703"/>
      <c r="AE61" s="703">
        <v>0</v>
      </c>
      <c r="AF61" s="4092"/>
      <c r="AG61" s="753">
        <f t="shared" si="6"/>
        <v>0</v>
      </c>
      <c r="AH61" s="703"/>
      <c r="AI61" s="703"/>
      <c r="AJ61" s="4198"/>
      <c r="AK61" s="753">
        <f t="shared" si="7"/>
        <v>0</v>
      </c>
      <c r="AL61" s="703"/>
      <c r="AM61" s="703">
        <v>171</v>
      </c>
      <c r="AN61" s="758"/>
      <c r="AO61" s="758">
        <f t="shared" si="8"/>
        <v>171</v>
      </c>
      <c r="AP61" s="5259"/>
      <c r="AQ61" s="753">
        <f t="shared" si="9"/>
        <v>171</v>
      </c>
      <c r="AR61" s="703"/>
      <c r="AS61" s="703"/>
      <c r="AT61" s="4441"/>
      <c r="AU61" s="753">
        <f t="shared" si="10"/>
        <v>171</v>
      </c>
      <c r="AV61" s="703"/>
      <c r="AW61" s="703">
        <v>207.172</v>
      </c>
      <c r="AX61" s="4675"/>
      <c r="AY61" s="753">
        <f t="shared" si="11"/>
        <v>378.17200000000003</v>
      </c>
      <c r="AZ61" s="703"/>
      <c r="BA61" s="703">
        <v>228</v>
      </c>
      <c r="BB61" s="758"/>
      <c r="BC61" s="758">
        <f t="shared" si="12"/>
        <v>435.17200000000003</v>
      </c>
      <c r="BD61" s="5633"/>
      <c r="BE61" s="5682">
        <f t="shared" si="13"/>
        <v>606.17200000000003</v>
      </c>
      <c r="BF61" s="5121"/>
      <c r="BG61" s="753">
        <f t="shared" si="14"/>
        <v>606.17200000000003</v>
      </c>
      <c r="BH61" s="26"/>
      <c r="BI61" s="26"/>
    </row>
    <row r="62" spans="3:61" ht="18.75" x14ac:dyDescent="0.3">
      <c r="C62" s="675" t="s">
        <v>1024</v>
      </c>
      <c r="D62" s="675" t="s">
        <v>1346</v>
      </c>
      <c r="E62" s="6452"/>
      <c r="F62" s="675"/>
      <c r="G62" s="703"/>
      <c r="H62" s="703"/>
      <c r="I62" s="703"/>
      <c r="J62" s="753"/>
      <c r="K62" s="753">
        <f t="shared" si="0"/>
        <v>0</v>
      </c>
      <c r="L62" s="703"/>
      <c r="M62" s="703">
        <v>713.32800000000009</v>
      </c>
      <c r="N62" s="758"/>
      <c r="O62" s="758">
        <f t="shared" si="1"/>
        <v>713.32800000000009</v>
      </c>
      <c r="P62" s="703"/>
      <c r="Q62" s="703"/>
      <c r="S62" s="753">
        <f t="shared" si="2"/>
        <v>713.32800000000009</v>
      </c>
      <c r="T62" s="703"/>
      <c r="U62" s="703">
        <v>0</v>
      </c>
      <c r="W62" s="753">
        <f t="shared" si="3"/>
        <v>713.32800000000009</v>
      </c>
      <c r="X62" s="5624"/>
      <c r="Y62" s="703">
        <v>0</v>
      </c>
      <c r="Z62" s="758"/>
      <c r="AA62" s="758">
        <f t="shared" si="4"/>
        <v>0</v>
      </c>
      <c r="AB62" s="5630"/>
      <c r="AC62" s="5682">
        <f t="shared" si="5"/>
        <v>713.32800000000009</v>
      </c>
      <c r="AD62" s="703"/>
      <c r="AE62" s="703">
        <v>0</v>
      </c>
      <c r="AF62" s="4092"/>
      <c r="AG62" s="753">
        <f t="shared" si="6"/>
        <v>713.32800000000009</v>
      </c>
      <c r="AH62" s="703"/>
      <c r="AI62" s="703"/>
      <c r="AJ62" s="4198"/>
      <c r="AK62" s="753">
        <f t="shared" si="7"/>
        <v>713.32800000000009</v>
      </c>
      <c r="AL62" s="703"/>
      <c r="AM62" s="703"/>
      <c r="AN62" s="758"/>
      <c r="AO62" s="758">
        <f t="shared" si="8"/>
        <v>0</v>
      </c>
      <c r="AP62" s="5259"/>
      <c r="AQ62" s="753">
        <f t="shared" si="9"/>
        <v>713.32800000000009</v>
      </c>
      <c r="AR62" s="703"/>
      <c r="AS62" s="703"/>
      <c r="AT62" s="4441"/>
      <c r="AU62" s="753">
        <f t="shared" si="10"/>
        <v>713.32800000000009</v>
      </c>
      <c r="AV62" s="703"/>
      <c r="AW62" s="703"/>
      <c r="AX62" s="4675"/>
      <c r="AY62" s="753">
        <f t="shared" si="11"/>
        <v>713.32800000000009</v>
      </c>
      <c r="AZ62" s="703"/>
      <c r="BA62" s="703"/>
      <c r="BB62" s="758"/>
      <c r="BC62" s="758">
        <f t="shared" si="12"/>
        <v>0</v>
      </c>
      <c r="BD62" s="5633"/>
      <c r="BE62" s="5682">
        <f t="shared" si="13"/>
        <v>0</v>
      </c>
      <c r="BF62" s="5121"/>
      <c r="BG62" s="753">
        <f t="shared" si="14"/>
        <v>713.32800000000009</v>
      </c>
      <c r="BH62" s="26"/>
      <c r="BI62" s="26"/>
    </row>
    <row r="63" spans="3:61" ht="18.75" x14ac:dyDescent="0.3">
      <c r="C63" s="675" t="s">
        <v>1024</v>
      </c>
      <c r="D63" s="675" t="s">
        <v>1332</v>
      </c>
      <c r="E63" s="6452"/>
      <c r="F63" s="675"/>
      <c r="G63" s="703"/>
      <c r="H63" s="703"/>
      <c r="I63" s="703"/>
      <c r="J63" s="753"/>
      <c r="K63" s="753">
        <f t="shared" si="0"/>
        <v>0</v>
      </c>
      <c r="L63" s="703"/>
      <c r="M63" s="703"/>
      <c r="N63" s="758"/>
      <c r="O63" s="758">
        <f t="shared" si="1"/>
        <v>0</v>
      </c>
      <c r="P63" s="703"/>
      <c r="Q63" s="703"/>
      <c r="R63" s="26"/>
      <c r="S63" s="753">
        <f t="shared" si="2"/>
        <v>0</v>
      </c>
      <c r="T63" s="703"/>
      <c r="U63" s="703">
        <v>99.358000000000004</v>
      </c>
      <c r="V63" s="26"/>
      <c r="W63" s="753">
        <f t="shared" si="3"/>
        <v>99.358000000000004</v>
      </c>
      <c r="X63" s="5624"/>
      <c r="Y63" s="703">
        <v>298.07399999999996</v>
      </c>
      <c r="Z63" s="758"/>
      <c r="AA63" s="758">
        <f t="shared" si="4"/>
        <v>397.43199999999996</v>
      </c>
      <c r="AB63" s="5630"/>
      <c r="AC63" s="5682">
        <f t="shared" si="5"/>
        <v>397.43199999999996</v>
      </c>
      <c r="AD63" s="703"/>
      <c r="AE63" s="703">
        <v>0</v>
      </c>
      <c r="AF63" s="26"/>
      <c r="AG63" s="753">
        <f t="shared" si="6"/>
        <v>397.43199999999996</v>
      </c>
      <c r="AH63" s="703"/>
      <c r="AI63" s="703"/>
      <c r="AJ63" s="26"/>
      <c r="AK63" s="753">
        <f t="shared" si="7"/>
        <v>397.43199999999996</v>
      </c>
      <c r="AL63" s="703"/>
      <c r="AM63" s="703"/>
      <c r="AN63" s="758"/>
      <c r="AO63" s="758">
        <f t="shared" si="8"/>
        <v>0</v>
      </c>
      <c r="AP63" s="5259"/>
      <c r="AQ63" s="753">
        <f t="shared" si="9"/>
        <v>397.43199999999996</v>
      </c>
      <c r="AR63" s="703"/>
      <c r="AS63" s="703"/>
      <c r="AT63" s="26"/>
      <c r="AU63" s="753">
        <f t="shared" si="10"/>
        <v>397.43199999999996</v>
      </c>
      <c r="AV63" s="703"/>
      <c r="AW63" s="703">
        <v>120.498</v>
      </c>
      <c r="AX63" s="26"/>
      <c r="AY63" s="753">
        <f t="shared" si="11"/>
        <v>517.92999999999995</v>
      </c>
      <c r="AZ63" s="703"/>
      <c r="BA63" s="703"/>
      <c r="BB63" s="758"/>
      <c r="BC63" s="758">
        <f t="shared" si="12"/>
        <v>120.498</v>
      </c>
      <c r="BD63" s="5633"/>
      <c r="BE63" s="5682">
        <f t="shared" si="13"/>
        <v>120.498</v>
      </c>
      <c r="BF63" s="26"/>
      <c r="BG63" s="753">
        <f t="shared" si="14"/>
        <v>517.92999999999995</v>
      </c>
      <c r="BH63" s="26"/>
      <c r="BI63" s="26"/>
    </row>
    <row r="64" spans="3:61" ht="18.75" x14ac:dyDescent="0.3">
      <c r="C64" s="675" t="s">
        <v>1024</v>
      </c>
      <c r="D64" s="675" t="s">
        <v>1185</v>
      </c>
      <c r="E64" s="6452"/>
      <c r="F64" s="675"/>
      <c r="G64" s="703">
        <v>630.53099999999995</v>
      </c>
      <c r="H64" s="703"/>
      <c r="I64" s="703"/>
      <c r="J64" s="753"/>
      <c r="K64" s="753">
        <f t="shared" si="0"/>
        <v>630.53099999999995</v>
      </c>
      <c r="L64" s="703"/>
      <c r="M64" s="703"/>
      <c r="N64" s="758"/>
      <c r="O64" s="758">
        <f t="shared" si="1"/>
        <v>630.53099999999995</v>
      </c>
      <c r="P64" s="703"/>
      <c r="Q64" s="703">
        <v>913.24800000000005</v>
      </c>
      <c r="S64" s="753">
        <f t="shared" si="2"/>
        <v>1543.779</v>
      </c>
      <c r="T64" s="703"/>
      <c r="U64" s="703">
        <v>587.69200000000012</v>
      </c>
      <c r="W64" s="753">
        <f t="shared" si="3"/>
        <v>2131.471</v>
      </c>
      <c r="X64" s="5624"/>
      <c r="Y64" s="703">
        <v>1143.674</v>
      </c>
      <c r="Z64" s="758"/>
      <c r="AA64" s="758">
        <f t="shared" si="4"/>
        <v>2644.614</v>
      </c>
      <c r="AB64" s="5630"/>
      <c r="AC64" s="5682">
        <f t="shared" si="5"/>
        <v>3275.145</v>
      </c>
      <c r="AD64" s="703"/>
      <c r="AE64" s="703">
        <v>0</v>
      </c>
      <c r="AF64" s="4092"/>
      <c r="AG64" s="753">
        <f t="shared" si="6"/>
        <v>3275.145</v>
      </c>
      <c r="AH64" s="703"/>
      <c r="AI64" s="703">
        <v>127</v>
      </c>
      <c r="AJ64" s="4198"/>
      <c r="AK64" s="753">
        <f t="shared" si="7"/>
        <v>3402.145</v>
      </c>
      <c r="AL64" s="703"/>
      <c r="AM64" s="703"/>
      <c r="AN64" s="758"/>
      <c r="AO64" s="758">
        <f t="shared" si="8"/>
        <v>127</v>
      </c>
      <c r="AP64" s="5259"/>
      <c r="AQ64" s="753">
        <f t="shared" si="9"/>
        <v>3402.145</v>
      </c>
      <c r="AR64" s="703"/>
      <c r="AS64" s="703"/>
      <c r="AT64" s="4441"/>
      <c r="AU64" s="753">
        <f t="shared" si="10"/>
        <v>3402.145</v>
      </c>
      <c r="AV64" s="703"/>
      <c r="AW64" s="703">
        <v>255.79400000000001</v>
      </c>
      <c r="AX64" s="4675"/>
      <c r="AY64" s="753">
        <f t="shared" si="11"/>
        <v>3657.9389999999999</v>
      </c>
      <c r="AZ64" s="703"/>
      <c r="BA64" s="703">
        <v>345</v>
      </c>
      <c r="BB64" s="758"/>
      <c r="BC64" s="758">
        <f t="shared" si="12"/>
        <v>600.79399999999998</v>
      </c>
      <c r="BD64" s="5633"/>
      <c r="BE64" s="5682">
        <f t="shared" si="13"/>
        <v>727.79399999999998</v>
      </c>
      <c r="BF64" s="5121"/>
      <c r="BG64" s="753">
        <f t="shared" si="14"/>
        <v>4002.9389999999999</v>
      </c>
      <c r="BH64" s="26"/>
      <c r="BI64" s="26"/>
    </row>
    <row r="65" spans="1:16238" ht="18.75" x14ac:dyDescent="0.3">
      <c r="C65" s="675" t="s">
        <v>1024</v>
      </c>
      <c r="D65" s="675" t="s">
        <v>989</v>
      </c>
      <c r="E65" s="6452"/>
      <c r="F65" s="675"/>
      <c r="G65" s="703">
        <v>4895.6380000000008</v>
      </c>
      <c r="H65" s="702"/>
      <c r="I65" s="703">
        <v>4526.2360000000008</v>
      </c>
      <c r="J65" s="755"/>
      <c r="K65" s="753">
        <f t="shared" si="0"/>
        <v>9421.8740000000016</v>
      </c>
      <c r="L65" s="702"/>
      <c r="M65" s="703">
        <v>9409.1360000000004</v>
      </c>
      <c r="N65" s="760"/>
      <c r="O65" s="758">
        <f t="shared" si="1"/>
        <v>18831.010000000002</v>
      </c>
      <c r="P65" s="702"/>
      <c r="Q65" s="703">
        <v>4096.9070000000011</v>
      </c>
      <c r="S65" s="753">
        <f t="shared" si="2"/>
        <v>22927.917000000001</v>
      </c>
      <c r="T65" s="702"/>
      <c r="U65" s="703">
        <v>6938.1479999999992</v>
      </c>
      <c r="W65" s="753">
        <f t="shared" si="3"/>
        <v>29866.065000000002</v>
      </c>
      <c r="X65" s="5624"/>
      <c r="Y65" s="703">
        <v>9345.9940000000024</v>
      </c>
      <c r="Z65" s="760"/>
      <c r="AA65" s="758">
        <f t="shared" si="4"/>
        <v>20381.049000000003</v>
      </c>
      <c r="AB65" s="5630"/>
      <c r="AC65" s="5682">
        <f t="shared" si="5"/>
        <v>39212.059000000008</v>
      </c>
      <c r="AD65" s="702"/>
      <c r="AE65" s="703">
        <v>11536.097999999998</v>
      </c>
      <c r="AF65" s="4092"/>
      <c r="AG65" s="753">
        <f t="shared" si="6"/>
        <v>50748.157000000007</v>
      </c>
      <c r="AH65" s="702"/>
      <c r="AI65" s="703">
        <v>4427</v>
      </c>
      <c r="AJ65" s="4198"/>
      <c r="AK65" s="753">
        <f t="shared" si="7"/>
        <v>55175.157000000007</v>
      </c>
      <c r="AL65" s="702"/>
      <c r="AM65" s="703">
        <v>2714</v>
      </c>
      <c r="AN65" s="760"/>
      <c r="AO65" s="758">
        <f t="shared" si="8"/>
        <v>18677.097999999998</v>
      </c>
      <c r="AP65" s="5259"/>
      <c r="AQ65" s="753">
        <f t="shared" si="9"/>
        <v>57889.157000000007</v>
      </c>
      <c r="AR65" s="702"/>
      <c r="AS65" s="703">
        <v>2448</v>
      </c>
      <c r="AT65" s="4441"/>
      <c r="AU65" s="753">
        <f t="shared" si="10"/>
        <v>60337.157000000007</v>
      </c>
      <c r="AV65" s="702"/>
      <c r="AW65" s="703">
        <v>9931.5719999999965</v>
      </c>
      <c r="AX65" s="4675"/>
      <c r="AY65" s="753">
        <f t="shared" si="11"/>
        <v>70268.729000000007</v>
      </c>
      <c r="AZ65" s="702"/>
      <c r="BA65" s="703">
        <v>6135</v>
      </c>
      <c r="BB65" s="760"/>
      <c r="BC65" s="758">
        <f t="shared" si="12"/>
        <v>18514.571999999996</v>
      </c>
      <c r="BD65" s="5633"/>
      <c r="BE65" s="5682">
        <f t="shared" si="13"/>
        <v>37191.67</v>
      </c>
      <c r="BF65" s="5121"/>
      <c r="BG65" s="753">
        <f t="shared" si="14"/>
        <v>76403.729000000007</v>
      </c>
      <c r="BH65" s="26"/>
      <c r="BI65" s="26"/>
    </row>
    <row r="66" spans="1:16238" ht="18.75" x14ac:dyDescent="0.3">
      <c r="C66" s="675" t="s">
        <v>1024</v>
      </c>
      <c r="D66" s="675" t="s">
        <v>1037</v>
      </c>
      <c r="E66" s="6452"/>
      <c r="F66" s="675"/>
      <c r="G66" s="703">
        <v>11770</v>
      </c>
      <c r="H66" s="702"/>
      <c r="I66" s="703">
        <v>5433</v>
      </c>
      <c r="J66" s="755"/>
      <c r="K66" s="753">
        <f t="shared" si="0"/>
        <v>17203</v>
      </c>
      <c r="L66" s="702"/>
      <c r="M66" s="703">
        <v>8619.3799999999992</v>
      </c>
      <c r="N66" s="760"/>
      <c r="O66" s="758">
        <f t="shared" si="1"/>
        <v>25822.379999999997</v>
      </c>
      <c r="P66" s="702"/>
      <c r="Q66" s="703">
        <v>10630</v>
      </c>
      <c r="R66" s="26"/>
      <c r="S66" s="753">
        <f t="shared" si="2"/>
        <v>36452.379999999997</v>
      </c>
      <c r="T66" s="702"/>
      <c r="U66" s="703">
        <v>12119.561999999996</v>
      </c>
      <c r="V66" s="26"/>
      <c r="W66" s="753">
        <f t="shared" si="3"/>
        <v>48571.941999999995</v>
      </c>
      <c r="X66" s="5624"/>
      <c r="Y66" s="703">
        <v>6111.5740000000014</v>
      </c>
      <c r="Z66" s="760"/>
      <c r="AA66" s="758">
        <f t="shared" si="4"/>
        <v>28861.135999999999</v>
      </c>
      <c r="AB66" s="5630"/>
      <c r="AC66" s="5682">
        <f t="shared" si="5"/>
        <v>54683.515999999996</v>
      </c>
      <c r="AD66" s="702"/>
      <c r="AE66" s="703">
        <v>9584.8759999999984</v>
      </c>
      <c r="AF66" s="26"/>
      <c r="AG66" s="753">
        <f t="shared" si="6"/>
        <v>64268.391999999993</v>
      </c>
      <c r="AH66" s="702"/>
      <c r="AI66" s="703">
        <v>11382</v>
      </c>
      <c r="AJ66" s="26"/>
      <c r="AK66" s="753">
        <f t="shared" si="7"/>
        <v>75650.391999999993</v>
      </c>
      <c r="AL66" s="702"/>
      <c r="AM66" s="703">
        <v>13698</v>
      </c>
      <c r="AN66" s="760"/>
      <c r="AO66" s="758">
        <f t="shared" si="8"/>
        <v>34664.875999999997</v>
      </c>
      <c r="AP66" s="5259"/>
      <c r="AQ66" s="753">
        <f t="shared" si="9"/>
        <v>89348.391999999993</v>
      </c>
      <c r="AR66" s="702"/>
      <c r="AS66" s="703">
        <v>13040</v>
      </c>
      <c r="AT66" s="26"/>
      <c r="AU66" s="753">
        <f t="shared" si="10"/>
        <v>102388.39199999999</v>
      </c>
      <c r="AV66" s="702"/>
      <c r="AW66" s="703">
        <v>11221</v>
      </c>
      <c r="AX66" s="26"/>
      <c r="AY66" s="753">
        <f t="shared" si="11"/>
        <v>113609.39199999999</v>
      </c>
      <c r="AZ66" s="702"/>
      <c r="BA66" s="703">
        <v>13420</v>
      </c>
      <c r="BB66" s="760"/>
      <c r="BC66" s="758">
        <f t="shared" si="12"/>
        <v>37681</v>
      </c>
      <c r="BD66" s="5633"/>
      <c r="BE66" s="5682">
        <f t="shared" si="13"/>
        <v>72345.875999999989</v>
      </c>
      <c r="BF66" s="26"/>
      <c r="BG66" s="753">
        <f t="shared" si="14"/>
        <v>127029.39199999999</v>
      </c>
      <c r="BH66" s="26"/>
      <c r="BI66" s="26"/>
    </row>
    <row r="67" spans="1:16238" ht="18.75" x14ac:dyDescent="0.3">
      <c r="C67" s="6445" t="s">
        <v>1088</v>
      </c>
      <c r="D67" s="6445"/>
      <c r="E67" s="6452"/>
      <c r="F67" s="763"/>
      <c r="G67" s="764">
        <f>SUM(G48:G66)</f>
        <v>43735.896999999997</v>
      </c>
      <c r="H67" s="764">
        <f t="shared" ref="H67:BG67" si="18">SUM(H48:H66)</f>
        <v>0</v>
      </c>
      <c r="I67" s="764">
        <f t="shared" si="18"/>
        <v>39823.275999999998</v>
      </c>
      <c r="J67" s="764">
        <f t="shared" si="18"/>
        <v>0</v>
      </c>
      <c r="K67" s="764">
        <f t="shared" si="18"/>
        <v>83559.17300000001</v>
      </c>
      <c r="L67" s="764">
        <f t="shared" si="18"/>
        <v>0</v>
      </c>
      <c r="M67" s="764">
        <f t="shared" si="18"/>
        <v>41291.051999999996</v>
      </c>
      <c r="N67" s="764">
        <f t="shared" si="18"/>
        <v>0</v>
      </c>
      <c r="O67" s="759">
        <f t="shared" si="18"/>
        <v>124850.22500000001</v>
      </c>
      <c r="P67" s="764">
        <f t="shared" si="18"/>
        <v>0</v>
      </c>
      <c r="Q67" s="764">
        <f t="shared" si="18"/>
        <v>49852.964000000007</v>
      </c>
      <c r="R67" s="764">
        <f t="shared" si="18"/>
        <v>0</v>
      </c>
      <c r="S67" s="764">
        <f t="shared" si="18"/>
        <v>174703.18899999998</v>
      </c>
      <c r="T67" s="764">
        <f t="shared" si="18"/>
        <v>0</v>
      </c>
      <c r="U67" s="764">
        <f t="shared" si="18"/>
        <v>39629.798000000003</v>
      </c>
      <c r="V67" s="764">
        <f t="shared" si="18"/>
        <v>0</v>
      </c>
      <c r="W67" s="764">
        <f t="shared" si="18"/>
        <v>214332.98700000002</v>
      </c>
      <c r="X67" s="764">
        <f t="shared" si="18"/>
        <v>0</v>
      </c>
      <c r="Y67" s="764">
        <f t="shared" si="18"/>
        <v>44720.436000000002</v>
      </c>
      <c r="Z67" s="764">
        <f t="shared" si="18"/>
        <v>0</v>
      </c>
      <c r="AA67" s="759">
        <f t="shared" si="18"/>
        <v>134203.19799999997</v>
      </c>
      <c r="AB67" s="764">
        <f t="shared" si="18"/>
        <v>0</v>
      </c>
      <c r="AC67" s="5683">
        <f t="shared" si="18"/>
        <v>259053.42300000001</v>
      </c>
      <c r="AD67" s="764">
        <f t="shared" si="18"/>
        <v>0</v>
      </c>
      <c r="AE67" s="764">
        <f t="shared" si="18"/>
        <v>51394.171999999984</v>
      </c>
      <c r="AF67" s="764">
        <f t="shared" si="18"/>
        <v>0</v>
      </c>
      <c r="AG67" s="764">
        <f t="shared" si="18"/>
        <v>310447.59499999997</v>
      </c>
      <c r="AH67" s="764">
        <f t="shared" si="18"/>
        <v>0</v>
      </c>
      <c r="AI67" s="764">
        <f t="shared" si="18"/>
        <v>39065</v>
      </c>
      <c r="AJ67" s="764">
        <f t="shared" si="18"/>
        <v>0</v>
      </c>
      <c r="AK67" s="764">
        <f t="shared" si="18"/>
        <v>349512.59499999997</v>
      </c>
      <c r="AL67" s="764">
        <f t="shared" si="18"/>
        <v>0</v>
      </c>
      <c r="AM67" s="764">
        <f t="shared" si="18"/>
        <v>43235.3</v>
      </c>
      <c r="AN67" s="764">
        <f t="shared" si="18"/>
        <v>0</v>
      </c>
      <c r="AO67" s="759">
        <f t="shared" si="18"/>
        <v>133694.47200000001</v>
      </c>
      <c r="AP67" s="764">
        <f t="shared" si="18"/>
        <v>0</v>
      </c>
      <c r="AQ67" s="764">
        <f t="shared" si="18"/>
        <v>392747.89499999996</v>
      </c>
      <c r="AR67" s="764">
        <f t="shared" si="18"/>
        <v>0</v>
      </c>
      <c r="AS67" s="764">
        <f t="shared" si="18"/>
        <v>36385</v>
      </c>
      <c r="AT67" s="764">
        <f t="shared" si="18"/>
        <v>0</v>
      </c>
      <c r="AU67" s="764">
        <f t="shared" si="18"/>
        <v>429132.89499999996</v>
      </c>
      <c r="AV67" s="764">
        <f t="shared" si="18"/>
        <v>0</v>
      </c>
      <c r="AW67" s="764">
        <f t="shared" si="18"/>
        <v>48888.729999999996</v>
      </c>
      <c r="AX67" s="764">
        <f t="shared" si="18"/>
        <v>0</v>
      </c>
      <c r="AY67" s="764">
        <f t="shared" si="18"/>
        <v>478021.625</v>
      </c>
      <c r="AZ67" s="764">
        <f t="shared" si="18"/>
        <v>0</v>
      </c>
      <c r="BA67" s="764">
        <f t="shared" si="18"/>
        <v>45764</v>
      </c>
      <c r="BB67" s="764">
        <f t="shared" si="18"/>
        <v>0</v>
      </c>
      <c r="BC67" s="759">
        <f t="shared" si="18"/>
        <v>131037.73000000001</v>
      </c>
      <c r="BD67" s="764">
        <f t="shared" si="18"/>
        <v>0</v>
      </c>
      <c r="BE67" s="5683">
        <f t="shared" si="18"/>
        <v>264732.20199999999</v>
      </c>
      <c r="BF67" s="764">
        <f t="shared" si="18"/>
        <v>0</v>
      </c>
      <c r="BG67" s="754">
        <f t="shared" si="18"/>
        <v>523785.625</v>
      </c>
      <c r="BH67" s="26"/>
      <c r="BI67" s="26"/>
    </row>
    <row r="68" spans="1:16238" s="272" customFormat="1" ht="18.75" x14ac:dyDescent="0.3">
      <c r="C68" s="1159" t="s">
        <v>1025</v>
      </c>
      <c r="D68" s="1159" t="s">
        <v>663</v>
      </c>
      <c r="E68" s="6452"/>
      <c r="F68" s="4117"/>
      <c r="G68" s="4133">
        <v>3680.6860000000015</v>
      </c>
      <c r="H68" s="4144"/>
      <c r="I68" s="4133">
        <v>129.79300000000057</v>
      </c>
      <c r="J68" s="4145"/>
      <c r="K68" s="753">
        <f t="shared" si="0"/>
        <v>3810.4790000000021</v>
      </c>
      <c r="L68" s="4144"/>
      <c r="M68" s="4146">
        <v>7329.6660000000002</v>
      </c>
      <c r="N68" s="4147"/>
      <c r="O68" s="758">
        <f t="shared" si="1"/>
        <v>11140.145000000002</v>
      </c>
      <c r="P68" s="4144"/>
      <c r="Q68" s="4146">
        <v>5683.2310000000007</v>
      </c>
      <c r="R68" s="122"/>
      <c r="S68" s="753">
        <f t="shared" si="2"/>
        <v>16823.376000000004</v>
      </c>
      <c r="T68" s="4144"/>
      <c r="U68" s="4146">
        <v>720.60080000000005</v>
      </c>
      <c r="V68" s="122"/>
      <c r="W68" s="753">
        <f t="shared" si="3"/>
        <v>17543.976800000004</v>
      </c>
      <c r="X68" s="5625"/>
      <c r="Y68" s="4148">
        <v>79.774380000000065</v>
      </c>
      <c r="Z68" s="4147"/>
      <c r="AA68" s="758">
        <f t="shared" si="4"/>
        <v>6483.6061800000007</v>
      </c>
      <c r="AB68" s="5630"/>
      <c r="AC68" s="5682">
        <f t="shared" si="5"/>
        <v>17623.751180000003</v>
      </c>
      <c r="AD68" s="4144"/>
      <c r="AE68" s="4146">
        <v>2830.7679999999996</v>
      </c>
      <c r="AG68" s="753">
        <f t="shared" si="6"/>
        <v>20454.519180000003</v>
      </c>
      <c r="AH68" s="4144"/>
      <c r="AI68" s="4146">
        <v>-0.20000000000004547</v>
      </c>
      <c r="AK68" s="753">
        <f t="shared" si="7"/>
        <v>20454.319180000002</v>
      </c>
      <c r="AL68" s="4144"/>
      <c r="AM68" s="4146">
        <v>1503</v>
      </c>
      <c r="AN68" s="4147"/>
      <c r="AO68" s="758">
        <f t="shared" si="8"/>
        <v>4333.5679999999993</v>
      </c>
      <c r="AP68" s="5259"/>
      <c r="AQ68" s="753">
        <f t="shared" si="9"/>
        <v>21957.319180000002</v>
      </c>
      <c r="AR68" s="4144"/>
      <c r="AS68" s="4146">
        <v>2002</v>
      </c>
      <c r="AU68" s="753">
        <f t="shared" si="10"/>
        <v>23959.319180000002</v>
      </c>
      <c r="AV68" s="4144"/>
      <c r="AW68" s="4146">
        <v>425.85699999999997</v>
      </c>
      <c r="AY68" s="753">
        <f t="shared" si="11"/>
        <v>24385.176180000002</v>
      </c>
      <c r="AZ68" s="4144"/>
      <c r="BA68" s="4146">
        <v>6.2599999999999909</v>
      </c>
      <c r="BB68" s="4147"/>
      <c r="BC68" s="758">
        <f t="shared" si="12"/>
        <v>2434.1170000000002</v>
      </c>
      <c r="BD68" s="5634"/>
      <c r="BE68" s="5682">
        <f t="shared" si="13"/>
        <v>6767.6849999999995</v>
      </c>
      <c r="BG68" s="753">
        <f t="shared" si="14"/>
        <v>24391.436180000001</v>
      </c>
      <c r="BH68" s="26"/>
      <c r="BI68" s="26"/>
    </row>
    <row r="69" spans="1:16238" ht="18.75" x14ac:dyDescent="0.3">
      <c r="C69" s="675" t="s">
        <v>1025</v>
      </c>
      <c r="D69" s="675" t="s">
        <v>1038</v>
      </c>
      <c r="E69" s="6452"/>
      <c r="F69" s="675"/>
      <c r="G69" s="703"/>
      <c r="H69" s="1361"/>
      <c r="I69" s="676"/>
      <c r="J69" s="755"/>
      <c r="K69" s="753">
        <f t="shared" ref="K69:K78" si="19">+G69+I69</f>
        <v>0</v>
      </c>
      <c r="L69" s="1361"/>
      <c r="M69" s="676"/>
      <c r="N69" s="760"/>
      <c r="O69" s="758">
        <f t="shared" ref="O69:O78" si="20">+G69+I69+M69</f>
        <v>0</v>
      </c>
      <c r="P69" s="1361"/>
      <c r="Q69" s="676">
        <v>0</v>
      </c>
      <c r="S69" s="753">
        <f t="shared" ref="S69:S78" si="21">O69+Q69</f>
        <v>0</v>
      </c>
      <c r="T69" s="2650"/>
      <c r="U69" s="676"/>
      <c r="W69" s="753">
        <f t="shared" ref="W69:W78" si="22">S69+U69</f>
        <v>0</v>
      </c>
      <c r="X69" s="5624"/>
      <c r="Y69" s="703"/>
      <c r="Z69" s="760"/>
      <c r="AA69" s="758">
        <f t="shared" ref="AA69:AA78" si="23">Q69+U69+Y69</f>
        <v>0</v>
      </c>
      <c r="AB69" s="5630"/>
      <c r="AC69" s="5682">
        <f t="shared" ref="AC69:AC78" si="24">O69+AA69</f>
        <v>0</v>
      </c>
      <c r="AD69" s="4093"/>
      <c r="AE69" s="676">
        <v>0</v>
      </c>
      <c r="AF69" s="4092"/>
      <c r="AG69" s="753">
        <f t="shared" ref="AG69:AG78" si="25">+AC69+AE69</f>
        <v>0</v>
      </c>
      <c r="AH69" s="4205"/>
      <c r="AI69" s="676"/>
      <c r="AJ69" s="4198"/>
      <c r="AK69" s="753">
        <f t="shared" ref="AK69:AK78" si="26">AG69+AI69</f>
        <v>0</v>
      </c>
      <c r="AL69" s="4335"/>
      <c r="AM69" s="676"/>
      <c r="AN69" s="760"/>
      <c r="AO69" s="758">
        <f t="shared" ref="AO69:AO78" si="27">AM69+AI69+AE69</f>
        <v>0</v>
      </c>
      <c r="AP69" s="5259"/>
      <c r="AQ69" s="753">
        <f t="shared" ref="AQ69:AQ78" si="28">AK69+AM69</f>
        <v>0</v>
      </c>
      <c r="AR69" s="4443"/>
      <c r="AS69" s="676"/>
      <c r="AT69" s="4441"/>
      <c r="AU69" s="753">
        <f t="shared" ref="AU69:AU78" si="29">AQ69+AS69</f>
        <v>0</v>
      </c>
      <c r="AV69" s="4681"/>
      <c r="AW69" s="676"/>
      <c r="AX69" s="4675"/>
      <c r="AY69" s="753">
        <f t="shared" ref="AY69:AY78" si="30">AU69+AW69</f>
        <v>0</v>
      </c>
      <c r="AZ69" s="5122"/>
      <c r="BA69" s="676"/>
      <c r="BB69" s="760"/>
      <c r="BC69" s="758">
        <f t="shared" ref="BC69:BC78" si="31">+AS69+AW69+BA69</f>
        <v>0</v>
      </c>
      <c r="BD69" s="5633"/>
      <c r="BE69" s="5682">
        <f t="shared" ref="BE69:BE78" si="32">AO69+BC69</f>
        <v>0</v>
      </c>
      <c r="BF69" s="5121"/>
      <c r="BG69" s="753">
        <f t="shared" ref="BG69:BG78" si="33">AY69+BA69</f>
        <v>0</v>
      </c>
      <c r="BH69" s="26"/>
      <c r="BI69" s="26"/>
    </row>
    <row r="70" spans="1:16238" s="3421" customFormat="1" ht="18.75" x14ac:dyDescent="0.3">
      <c r="C70" s="675" t="s">
        <v>1025</v>
      </c>
      <c r="D70" s="675" t="s">
        <v>1821</v>
      </c>
      <c r="E70" s="6452"/>
      <c r="F70" s="675"/>
      <c r="G70" s="703"/>
      <c r="H70" s="3423"/>
      <c r="I70" s="676"/>
      <c r="J70" s="755"/>
      <c r="K70" s="753">
        <f t="shared" si="19"/>
        <v>0</v>
      </c>
      <c r="L70" s="3423"/>
      <c r="M70" s="676"/>
      <c r="N70" s="760"/>
      <c r="O70" s="758">
        <f t="shared" si="20"/>
        <v>0</v>
      </c>
      <c r="P70" s="3423"/>
      <c r="Q70" s="676">
        <v>1284.8940000000002</v>
      </c>
      <c r="S70" s="753">
        <f t="shared" si="21"/>
        <v>1284.8940000000002</v>
      </c>
      <c r="T70" s="3423"/>
      <c r="U70" s="676"/>
      <c r="W70" s="753">
        <f t="shared" si="22"/>
        <v>1284.8940000000002</v>
      </c>
      <c r="X70" s="5626"/>
      <c r="Y70" s="1997">
        <v>783.66600000000005</v>
      </c>
      <c r="Z70" s="760"/>
      <c r="AA70" s="758">
        <f t="shared" si="23"/>
        <v>2068.5600000000004</v>
      </c>
      <c r="AB70" s="5630"/>
      <c r="AC70" s="5682">
        <f t="shared" si="24"/>
        <v>2068.5600000000004</v>
      </c>
      <c r="AD70" s="4093"/>
      <c r="AE70" s="676">
        <v>0</v>
      </c>
      <c r="AF70" s="4092"/>
      <c r="AG70" s="753">
        <f t="shared" si="25"/>
        <v>2068.5600000000004</v>
      </c>
      <c r="AH70" s="4205"/>
      <c r="AI70" s="676"/>
      <c r="AJ70" s="4198"/>
      <c r="AK70" s="753">
        <f t="shared" si="26"/>
        <v>2068.5600000000004</v>
      </c>
      <c r="AL70" s="4335"/>
      <c r="AM70" s="676"/>
      <c r="AN70" s="760"/>
      <c r="AO70" s="758">
        <f t="shared" si="27"/>
        <v>0</v>
      </c>
      <c r="AP70" s="5259"/>
      <c r="AQ70" s="753">
        <f t="shared" si="28"/>
        <v>2068.5600000000004</v>
      </c>
      <c r="AR70" s="4443"/>
      <c r="AS70" s="676"/>
      <c r="AT70" s="4441"/>
      <c r="AU70" s="753">
        <f t="shared" si="29"/>
        <v>2068.5600000000004</v>
      </c>
      <c r="AV70" s="4681"/>
      <c r="AW70" s="676"/>
      <c r="AX70" s="4675"/>
      <c r="AY70" s="753">
        <f t="shared" si="30"/>
        <v>2068.5600000000004</v>
      </c>
      <c r="AZ70" s="5122"/>
      <c r="BA70" s="676"/>
      <c r="BB70" s="760"/>
      <c r="BC70" s="758">
        <f t="shared" si="31"/>
        <v>0</v>
      </c>
      <c r="BD70" s="5633"/>
      <c r="BE70" s="5682">
        <f t="shared" si="32"/>
        <v>0</v>
      </c>
      <c r="BF70" s="5121"/>
      <c r="BG70" s="753">
        <f t="shared" si="33"/>
        <v>2068.5600000000004</v>
      </c>
      <c r="BH70" s="26"/>
      <c r="BI70" s="26"/>
    </row>
    <row r="71" spans="1:16238" ht="18.75" x14ac:dyDescent="0.3">
      <c r="C71" s="675" t="s">
        <v>1025</v>
      </c>
      <c r="D71" s="675" t="s">
        <v>698</v>
      </c>
      <c r="E71" s="6452"/>
      <c r="F71" s="675"/>
      <c r="G71" s="703">
        <v>2518.0739999999996</v>
      </c>
      <c r="H71" s="1361"/>
      <c r="I71" s="676">
        <v>1078.0379999999998</v>
      </c>
      <c r="J71" s="755"/>
      <c r="K71" s="753">
        <f t="shared" si="19"/>
        <v>3596.1119999999992</v>
      </c>
      <c r="L71" s="1361"/>
      <c r="M71" s="676">
        <v>433.60199999999998</v>
      </c>
      <c r="N71" s="760"/>
      <c r="O71" s="758">
        <f t="shared" si="20"/>
        <v>4029.713999999999</v>
      </c>
      <c r="P71" s="1361"/>
      <c r="Q71" s="676">
        <v>0</v>
      </c>
      <c r="S71" s="753">
        <f t="shared" si="21"/>
        <v>4029.713999999999</v>
      </c>
      <c r="T71" s="2650"/>
      <c r="U71" s="676">
        <v>119.34</v>
      </c>
      <c r="W71" s="753">
        <f t="shared" si="22"/>
        <v>4149.0539999999992</v>
      </c>
      <c r="X71" s="5626"/>
      <c r="Y71" s="1997">
        <v>1988.9999999999998</v>
      </c>
      <c r="Z71" s="760"/>
      <c r="AA71" s="758">
        <f t="shared" si="23"/>
        <v>2108.3399999999997</v>
      </c>
      <c r="AB71" s="5630"/>
      <c r="AC71" s="5682">
        <f t="shared" si="24"/>
        <v>6138.0539999999983</v>
      </c>
      <c r="AD71" s="4093"/>
      <c r="AE71" s="676">
        <v>4749.7319999999991</v>
      </c>
      <c r="AF71" s="4092"/>
      <c r="AG71" s="753">
        <f t="shared" si="25"/>
        <v>10887.785999999996</v>
      </c>
      <c r="AH71" s="4205"/>
      <c r="AI71" s="676"/>
      <c r="AJ71" s="4198"/>
      <c r="AK71" s="753">
        <f t="shared" si="26"/>
        <v>10887.785999999996</v>
      </c>
      <c r="AL71" s="4335"/>
      <c r="AM71" s="676">
        <v>5860</v>
      </c>
      <c r="AN71" s="760"/>
      <c r="AO71" s="758">
        <f t="shared" si="27"/>
        <v>10609.732</v>
      </c>
      <c r="AP71" s="5259"/>
      <c r="AQ71" s="753">
        <f t="shared" si="28"/>
        <v>16747.785999999996</v>
      </c>
      <c r="AR71" s="4443"/>
      <c r="AS71" s="676">
        <v>4583</v>
      </c>
      <c r="AT71" s="4441"/>
      <c r="AU71" s="753">
        <f t="shared" si="29"/>
        <v>21330.785999999996</v>
      </c>
      <c r="AV71" s="4681"/>
      <c r="AW71" s="676">
        <v>2927.808</v>
      </c>
      <c r="AX71" s="4675"/>
      <c r="AY71" s="753">
        <f t="shared" si="30"/>
        <v>24258.593999999997</v>
      </c>
      <c r="AZ71" s="5122"/>
      <c r="BA71" s="676">
        <v>2375</v>
      </c>
      <c r="BB71" s="760"/>
      <c r="BC71" s="758">
        <f t="shared" si="31"/>
        <v>9885.8080000000009</v>
      </c>
      <c r="BD71" s="5633"/>
      <c r="BE71" s="5682">
        <f t="shared" si="32"/>
        <v>20495.54</v>
      </c>
      <c r="BF71" s="5121"/>
      <c r="BG71" s="753">
        <f t="shared" si="33"/>
        <v>26633.593999999997</v>
      </c>
      <c r="BH71" s="26"/>
      <c r="BI71" s="26"/>
    </row>
    <row r="72" spans="1:16238" ht="18.75" x14ac:dyDescent="0.3">
      <c r="C72" s="675" t="s">
        <v>1025</v>
      </c>
      <c r="D72" s="675" t="s">
        <v>1173</v>
      </c>
      <c r="E72" s="6452"/>
      <c r="F72" s="675"/>
      <c r="G72" s="703"/>
      <c r="H72" s="1361"/>
      <c r="I72" s="1361"/>
      <c r="J72" s="755"/>
      <c r="K72" s="753">
        <f t="shared" si="19"/>
        <v>0</v>
      </c>
      <c r="L72" s="1361"/>
      <c r="M72" s="1361"/>
      <c r="N72" s="760"/>
      <c r="O72" s="758">
        <f t="shared" si="20"/>
        <v>0</v>
      </c>
      <c r="P72" s="1361"/>
      <c r="Q72" s="1361">
        <v>0</v>
      </c>
      <c r="S72" s="753">
        <f t="shared" si="21"/>
        <v>0</v>
      </c>
      <c r="T72" s="2650"/>
      <c r="U72" s="2582"/>
      <c r="W72" s="753">
        <f t="shared" si="22"/>
        <v>0</v>
      </c>
      <c r="X72" s="5624"/>
      <c r="Y72" s="703"/>
      <c r="Z72" s="760"/>
      <c r="AA72" s="758">
        <f t="shared" si="23"/>
        <v>0</v>
      </c>
      <c r="AB72" s="5630"/>
      <c r="AC72" s="5682">
        <f t="shared" si="24"/>
        <v>0</v>
      </c>
      <c r="AD72" s="4093"/>
      <c r="AE72" s="4093">
        <v>0</v>
      </c>
      <c r="AF72" s="4092"/>
      <c r="AG72" s="753">
        <f t="shared" si="25"/>
        <v>0</v>
      </c>
      <c r="AH72" s="4205"/>
      <c r="AI72" s="4205"/>
      <c r="AJ72" s="4198"/>
      <c r="AK72" s="753">
        <f t="shared" si="26"/>
        <v>0</v>
      </c>
      <c r="AL72" s="4335"/>
      <c r="AM72" s="4335"/>
      <c r="AN72" s="760"/>
      <c r="AO72" s="758">
        <f t="shared" si="27"/>
        <v>0</v>
      </c>
      <c r="AP72" s="5259"/>
      <c r="AQ72" s="753">
        <f t="shared" si="28"/>
        <v>0</v>
      </c>
      <c r="AR72" s="4443"/>
      <c r="AS72" s="4443"/>
      <c r="AT72" s="4441"/>
      <c r="AU72" s="753">
        <f t="shared" si="29"/>
        <v>0</v>
      </c>
      <c r="AV72" s="4681"/>
      <c r="AW72" s="4681"/>
      <c r="AX72" s="4675"/>
      <c r="AY72" s="753">
        <f t="shared" si="30"/>
        <v>0</v>
      </c>
      <c r="AZ72" s="5122"/>
      <c r="BA72" s="5122"/>
      <c r="BB72" s="760"/>
      <c r="BC72" s="758">
        <f t="shared" si="31"/>
        <v>0</v>
      </c>
      <c r="BD72" s="5633"/>
      <c r="BE72" s="5682">
        <f t="shared" si="32"/>
        <v>0</v>
      </c>
      <c r="BF72" s="5121"/>
      <c r="BG72" s="753">
        <f t="shared" si="33"/>
        <v>0</v>
      </c>
      <c r="BH72" s="26"/>
      <c r="BI72" s="26"/>
    </row>
    <row r="73" spans="1:16238" ht="18.75" x14ac:dyDescent="0.3">
      <c r="C73" s="675" t="s">
        <v>1025</v>
      </c>
      <c r="D73" s="675" t="s">
        <v>697</v>
      </c>
      <c r="E73" s="6452"/>
      <c r="F73" s="675"/>
      <c r="G73" s="703">
        <v>417.69</v>
      </c>
      <c r="H73" s="1361"/>
      <c r="I73" s="676"/>
      <c r="J73" s="755"/>
      <c r="K73" s="753">
        <f t="shared" si="19"/>
        <v>417.69</v>
      </c>
      <c r="L73" s="1361"/>
      <c r="M73" s="676"/>
      <c r="N73" s="760"/>
      <c r="O73" s="758">
        <f t="shared" si="20"/>
        <v>417.69</v>
      </c>
      <c r="P73" s="1361"/>
      <c r="Q73" s="676">
        <v>0</v>
      </c>
      <c r="S73" s="753">
        <f t="shared" si="21"/>
        <v>417.69</v>
      </c>
      <c r="T73" s="2650"/>
      <c r="U73" s="676">
        <v>250.614</v>
      </c>
      <c r="W73" s="753">
        <f t="shared" si="22"/>
        <v>668.30399999999997</v>
      </c>
      <c r="X73" s="5624"/>
      <c r="Y73" s="703"/>
      <c r="Z73" s="760"/>
      <c r="AA73" s="758">
        <f t="shared" si="23"/>
        <v>250.614</v>
      </c>
      <c r="AB73" s="5630"/>
      <c r="AC73" s="5682">
        <f t="shared" si="24"/>
        <v>668.30399999999997</v>
      </c>
      <c r="AD73" s="4093"/>
      <c r="AE73" s="676">
        <v>0</v>
      </c>
      <c r="AF73" s="4092"/>
      <c r="AG73" s="753">
        <f t="shared" si="25"/>
        <v>668.30399999999997</v>
      </c>
      <c r="AH73" s="4205"/>
      <c r="AI73" s="676"/>
      <c r="AJ73" s="4198"/>
      <c r="AK73" s="753">
        <f t="shared" si="26"/>
        <v>668.30399999999997</v>
      </c>
      <c r="AL73" s="4335"/>
      <c r="AM73" s="676">
        <v>32</v>
      </c>
      <c r="AN73" s="760"/>
      <c r="AO73" s="758">
        <f t="shared" si="27"/>
        <v>32</v>
      </c>
      <c r="AP73" s="5259"/>
      <c r="AQ73" s="753">
        <f t="shared" si="28"/>
        <v>700.30399999999997</v>
      </c>
      <c r="AR73" s="4443"/>
      <c r="AS73" s="676"/>
      <c r="AT73" s="4441"/>
      <c r="AU73" s="753">
        <f t="shared" si="29"/>
        <v>700.30399999999997</v>
      </c>
      <c r="AV73" s="4681"/>
      <c r="AW73" s="676"/>
      <c r="AX73" s="4675"/>
      <c r="AY73" s="753">
        <f t="shared" si="30"/>
        <v>700.30399999999997</v>
      </c>
      <c r="AZ73" s="5122"/>
      <c r="BA73" s="676"/>
      <c r="BB73" s="760"/>
      <c r="BC73" s="758">
        <f t="shared" si="31"/>
        <v>0</v>
      </c>
      <c r="BD73" s="5633"/>
      <c r="BE73" s="5682">
        <f t="shared" si="32"/>
        <v>32</v>
      </c>
      <c r="BF73" s="5121"/>
      <c r="BG73" s="753">
        <f t="shared" si="33"/>
        <v>700.30399999999997</v>
      </c>
      <c r="BH73" s="26"/>
      <c r="BI73" s="26"/>
    </row>
    <row r="74" spans="1:16238" ht="18.75" x14ac:dyDescent="0.3">
      <c r="C74" s="675" t="s">
        <v>1025</v>
      </c>
      <c r="D74" s="675" t="s">
        <v>1126</v>
      </c>
      <c r="E74" s="6452"/>
      <c r="F74" s="675"/>
      <c r="G74" s="703"/>
      <c r="H74" s="1361"/>
      <c r="I74" s="1361"/>
      <c r="J74" s="755"/>
      <c r="K74" s="753">
        <f t="shared" si="19"/>
        <v>0</v>
      </c>
      <c r="L74" s="1361"/>
      <c r="M74" s="676"/>
      <c r="N74" s="760"/>
      <c r="O74" s="758">
        <f t="shared" si="20"/>
        <v>0</v>
      </c>
      <c r="P74" s="1361"/>
      <c r="Q74" s="676">
        <v>0</v>
      </c>
      <c r="S74" s="753">
        <f t="shared" si="21"/>
        <v>0</v>
      </c>
      <c r="T74" s="2650"/>
      <c r="U74" s="676"/>
      <c r="W74" s="753">
        <f t="shared" si="22"/>
        <v>0</v>
      </c>
      <c r="X74" s="5624"/>
      <c r="Y74" s="703">
        <v>735.93000000000006</v>
      </c>
      <c r="Z74" s="760"/>
      <c r="AA74" s="758">
        <f t="shared" si="23"/>
        <v>735.93000000000006</v>
      </c>
      <c r="AB74" s="5630"/>
      <c r="AC74" s="5682">
        <f t="shared" si="24"/>
        <v>735.93000000000006</v>
      </c>
      <c r="AD74" s="4093"/>
      <c r="AE74" s="676">
        <v>0</v>
      </c>
      <c r="AF74" s="4092"/>
      <c r="AG74" s="753">
        <f t="shared" si="25"/>
        <v>735.93000000000006</v>
      </c>
      <c r="AH74" s="4205"/>
      <c r="AI74" s="676"/>
      <c r="AJ74" s="4198"/>
      <c r="AK74" s="753">
        <f t="shared" si="26"/>
        <v>735.93000000000006</v>
      </c>
      <c r="AL74" s="4335"/>
      <c r="AM74" s="676">
        <v>306</v>
      </c>
      <c r="AN74" s="760"/>
      <c r="AO74" s="758">
        <f t="shared" si="27"/>
        <v>306</v>
      </c>
      <c r="AP74" s="5259"/>
      <c r="AQ74" s="753">
        <f t="shared" si="28"/>
        <v>1041.93</v>
      </c>
      <c r="AR74" s="4443"/>
      <c r="AS74" s="676"/>
      <c r="AT74" s="4441"/>
      <c r="AU74" s="753">
        <f t="shared" si="29"/>
        <v>1041.93</v>
      </c>
      <c r="AV74" s="4681"/>
      <c r="AW74" s="676"/>
      <c r="AX74" s="4675"/>
      <c r="AY74" s="753">
        <f t="shared" si="30"/>
        <v>1041.93</v>
      </c>
      <c r="AZ74" s="5122"/>
      <c r="BA74" s="676"/>
      <c r="BB74" s="760"/>
      <c r="BC74" s="758">
        <f t="shared" si="31"/>
        <v>0</v>
      </c>
      <c r="BD74" s="5633"/>
      <c r="BE74" s="5682">
        <f t="shared" si="32"/>
        <v>306</v>
      </c>
      <c r="BF74" s="5121"/>
      <c r="BG74" s="753">
        <f t="shared" si="33"/>
        <v>1041.93</v>
      </c>
      <c r="BH74" s="26"/>
      <c r="BI74" s="26"/>
    </row>
    <row r="75" spans="1:16238" ht="18.75" x14ac:dyDescent="0.3">
      <c r="C75" s="675" t="s">
        <v>1025</v>
      </c>
      <c r="D75" s="675" t="s">
        <v>664</v>
      </c>
      <c r="E75" s="6452"/>
      <c r="F75" s="675"/>
      <c r="G75" s="703">
        <v>5331.53</v>
      </c>
      <c r="H75" s="1361"/>
      <c r="I75" s="676">
        <v>1792.549</v>
      </c>
      <c r="J75" s="755"/>
      <c r="K75" s="753">
        <f t="shared" si="19"/>
        <v>7124.0789999999997</v>
      </c>
      <c r="L75" s="1361"/>
      <c r="M75" s="676">
        <v>7852.5719999999983</v>
      </c>
      <c r="N75" s="760"/>
      <c r="O75" s="758">
        <f t="shared" si="20"/>
        <v>14976.650999999998</v>
      </c>
      <c r="P75" s="1361"/>
      <c r="Q75" s="676">
        <v>4784.8709999999992</v>
      </c>
      <c r="S75" s="753">
        <f t="shared" si="21"/>
        <v>19761.521999999997</v>
      </c>
      <c r="T75" s="2650"/>
      <c r="U75" s="676"/>
      <c r="W75" s="753">
        <f t="shared" si="22"/>
        <v>19761.521999999997</v>
      </c>
      <c r="X75" s="5626"/>
      <c r="Y75" s="1997">
        <v>4826.6399999999994</v>
      </c>
      <c r="Z75" s="760"/>
      <c r="AA75" s="758">
        <f t="shared" si="23"/>
        <v>9611.5109999999986</v>
      </c>
      <c r="AB75" s="5630"/>
      <c r="AC75" s="5682">
        <f t="shared" si="24"/>
        <v>24588.161999999997</v>
      </c>
      <c r="AD75" s="4093"/>
      <c r="AE75" s="676">
        <v>4557.4619999999995</v>
      </c>
      <c r="AF75" s="4092"/>
      <c r="AG75" s="753">
        <f t="shared" si="25"/>
        <v>29145.623999999996</v>
      </c>
      <c r="AH75" s="4205"/>
      <c r="AI75" s="676"/>
      <c r="AJ75" s="4198"/>
      <c r="AK75" s="753">
        <f t="shared" si="26"/>
        <v>29145.623999999996</v>
      </c>
      <c r="AL75" s="4335"/>
      <c r="AM75" s="676">
        <v>1030</v>
      </c>
      <c r="AN75" s="760"/>
      <c r="AO75" s="758">
        <f t="shared" si="27"/>
        <v>5587.4619999999995</v>
      </c>
      <c r="AP75" s="5259"/>
      <c r="AQ75" s="753">
        <f t="shared" si="28"/>
        <v>30175.623999999996</v>
      </c>
      <c r="AR75" s="4443"/>
      <c r="AS75" s="676">
        <v>4890</v>
      </c>
      <c r="AT75" s="4441"/>
      <c r="AU75" s="753">
        <f t="shared" si="29"/>
        <v>35065.623999999996</v>
      </c>
      <c r="AV75" s="4681"/>
      <c r="AW75" s="676">
        <v>1151.9090000000001</v>
      </c>
      <c r="AX75" s="4675"/>
      <c r="AY75" s="753">
        <f t="shared" si="30"/>
        <v>36217.532999999996</v>
      </c>
      <c r="AZ75" s="5122"/>
      <c r="BA75" s="676"/>
      <c r="BB75" s="760"/>
      <c r="BC75" s="758">
        <f t="shared" si="31"/>
        <v>6041.9089999999997</v>
      </c>
      <c r="BD75" s="5633"/>
      <c r="BE75" s="5682">
        <f t="shared" si="32"/>
        <v>11629.370999999999</v>
      </c>
      <c r="BF75" s="5121"/>
      <c r="BG75" s="753">
        <f t="shared" si="33"/>
        <v>36217.532999999996</v>
      </c>
      <c r="BH75" s="26"/>
      <c r="BI75" s="26"/>
    </row>
    <row r="76" spans="1:16238" ht="18.75" x14ac:dyDescent="0.3">
      <c r="C76" s="675" t="s">
        <v>1025</v>
      </c>
      <c r="D76" s="675" t="s">
        <v>1490</v>
      </c>
      <c r="E76" s="6452"/>
      <c r="F76" s="675"/>
      <c r="G76" s="703">
        <v>103.428</v>
      </c>
      <c r="H76" s="1361"/>
      <c r="I76" s="676"/>
      <c r="J76" s="755"/>
      <c r="K76" s="753">
        <f t="shared" si="19"/>
        <v>103.428</v>
      </c>
      <c r="L76" s="1361"/>
      <c r="M76" s="676"/>
      <c r="N76" s="760"/>
      <c r="O76" s="758">
        <f t="shared" si="20"/>
        <v>103.428</v>
      </c>
      <c r="P76" s="1361"/>
      <c r="Q76" s="676">
        <v>0</v>
      </c>
      <c r="S76" s="753">
        <f t="shared" si="21"/>
        <v>103.428</v>
      </c>
      <c r="T76" s="2650"/>
      <c r="U76" s="676">
        <v>246.636</v>
      </c>
      <c r="W76" s="753">
        <f t="shared" si="22"/>
        <v>350.06399999999996</v>
      </c>
      <c r="X76" s="5624"/>
      <c r="Y76" s="703"/>
      <c r="Z76" s="760"/>
      <c r="AA76" s="758">
        <f t="shared" si="23"/>
        <v>246.636</v>
      </c>
      <c r="AB76" s="5630"/>
      <c r="AC76" s="5682">
        <f t="shared" si="24"/>
        <v>350.06399999999996</v>
      </c>
      <c r="AD76" s="4093"/>
      <c r="AE76" s="676">
        <v>0</v>
      </c>
      <c r="AF76" s="4092"/>
      <c r="AG76" s="753">
        <f t="shared" si="25"/>
        <v>350.06399999999996</v>
      </c>
      <c r="AH76" s="4205"/>
      <c r="AI76" s="676"/>
      <c r="AJ76" s="4198"/>
      <c r="AK76" s="753">
        <f t="shared" si="26"/>
        <v>350.06399999999996</v>
      </c>
      <c r="AL76" s="4335"/>
      <c r="AM76" s="676"/>
      <c r="AN76" s="760"/>
      <c r="AO76" s="758">
        <f t="shared" si="27"/>
        <v>0</v>
      </c>
      <c r="AP76" s="5259"/>
      <c r="AQ76" s="753">
        <f t="shared" si="28"/>
        <v>350.06399999999996</v>
      </c>
      <c r="AR76" s="4443"/>
      <c r="AS76" s="676"/>
      <c r="AT76" s="4441"/>
      <c r="AU76" s="753">
        <f t="shared" si="29"/>
        <v>350.06399999999996</v>
      </c>
      <c r="AV76" s="4681"/>
      <c r="AW76" s="676"/>
      <c r="AX76" s="4675"/>
      <c r="AY76" s="753">
        <f t="shared" si="30"/>
        <v>350.06399999999996</v>
      </c>
      <c r="AZ76" s="5122"/>
      <c r="BA76" s="676"/>
      <c r="BB76" s="760"/>
      <c r="BC76" s="758">
        <f t="shared" si="31"/>
        <v>0</v>
      </c>
      <c r="BD76" s="5633"/>
      <c r="BE76" s="5682">
        <f t="shared" si="32"/>
        <v>0</v>
      </c>
      <c r="BF76" s="5121"/>
      <c r="BG76" s="753">
        <f t="shared" si="33"/>
        <v>350.06399999999996</v>
      </c>
      <c r="BH76" s="26"/>
      <c r="BI76" s="26"/>
    </row>
    <row r="77" spans="1:16238" ht="18.75" x14ac:dyDescent="0.3">
      <c r="A77" s="768"/>
      <c r="B77" s="768"/>
      <c r="C77" s="675" t="s">
        <v>1025</v>
      </c>
      <c r="D77" s="675" t="s">
        <v>1072</v>
      </c>
      <c r="E77" s="6452"/>
      <c r="F77" s="675"/>
      <c r="G77" s="703"/>
      <c r="H77" s="1361"/>
      <c r="I77" s="1361"/>
      <c r="J77" s="755"/>
      <c r="K77" s="753">
        <f t="shared" si="19"/>
        <v>0</v>
      </c>
      <c r="L77" s="1361"/>
      <c r="M77" s="1361"/>
      <c r="N77" s="760"/>
      <c r="O77" s="758">
        <f t="shared" si="20"/>
        <v>0</v>
      </c>
      <c r="P77" s="1361"/>
      <c r="Q77" s="1361">
        <v>0</v>
      </c>
      <c r="R77" s="26"/>
      <c r="S77" s="753">
        <f t="shared" si="21"/>
        <v>0</v>
      </c>
      <c r="T77" s="2650"/>
      <c r="U77" s="2582">
        <v>0</v>
      </c>
      <c r="V77" s="26"/>
      <c r="W77" s="753">
        <f t="shared" si="22"/>
        <v>0</v>
      </c>
      <c r="X77" s="5624"/>
      <c r="Y77" s="702"/>
      <c r="Z77" s="760"/>
      <c r="AA77" s="758">
        <f t="shared" si="23"/>
        <v>0</v>
      </c>
      <c r="AB77" s="5630"/>
      <c r="AC77" s="5682">
        <f t="shared" si="24"/>
        <v>0</v>
      </c>
      <c r="AD77" s="4093"/>
      <c r="AE77" s="4093">
        <v>0</v>
      </c>
      <c r="AF77" s="26"/>
      <c r="AG77" s="753">
        <f t="shared" si="25"/>
        <v>0</v>
      </c>
      <c r="AH77" s="4205"/>
      <c r="AI77" s="4205"/>
      <c r="AJ77" s="26"/>
      <c r="AK77" s="753">
        <f t="shared" si="26"/>
        <v>0</v>
      </c>
      <c r="AL77" s="4335"/>
      <c r="AM77" s="4335"/>
      <c r="AN77" s="760"/>
      <c r="AO77" s="758">
        <f t="shared" si="27"/>
        <v>0</v>
      </c>
      <c r="AP77" s="5259"/>
      <c r="AQ77" s="753">
        <f t="shared" si="28"/>
        <v>0</v>
      </c>
      <c r="AR77" s="4443"/>
      <c r="AS77" s="4443"/>
      <c r="AT77" s="26"/>
      <c r="AU77" s="753">
        <f t="shared" si="29"/>
        <v>0</v>
      </c>
      <c r="AV77" s="4681"/>
      <c r="AW77" s="4681"/>
      <c r="AX77" s="26"/>
      <c r="AY77" s="753">
        <f t="shared" si="30"/>
        <v>0</v>
      </c>
      <c r="AZ77" s="5122"/>
      <c r="BA77" s="5122"/>
      <c r="BB77" s="760"/>
      <c r="BC77" s="758">
        <f t="shared" si="31"/>
        <v>0</v>
      </c>
      <c r="BD77" s="5633"/>
      <c r="BE77" s="5682">
        <f t="shared" si="32"/>
        <v>0</v>
      </c>
      <c r="BF77" s="26"/>
      <c r="BG77" s="753">
        <f t="shared" si="33"/>
        <v>0</v>
      </c>
      <c r="BH77" s="26"/>
      <c r="BI77" s="26"/>
      <c r="BN77" s="277" t="s">
        <v>1072</v>
      </c>
      <c r="BO77" s="277" t="s">
        <v>1072</v>
      </c>
      <c r="BP77" s="277" t="s">
        <v>1072</v>
      </c>
      <c r="BQ77" s="277" t="s">
        <v>1072</v>
      </c>
      <c r="BR77" s="277" t="s">
        <v>1072</v>
      </c>
      <c r="BS77" s="277" t="s">
        <v>1072</v>
      </c>
      <c r="BT77" s="277" t="s">
        <v>1072</v>
      </c>
      <c r="BU77" s="277" t="s">
        <v>1072</v>
      </c>
      <c r="BV77" s="277" t="s">
        <v>1072</v>
      </c>
      <c r="BW77" s="277" t="s">
        <v>1072</v>
      </c>
      <c r="BX77" s="277" t="s">
        <v>1072</v>
      </c>
      <c r="BY77" s="277" t="s">
        <v>1072</v>
      </c>
      <c r="BZ77" s="277" t="s">
        <v>1072</v>
      </c>
      <c r="CA77" s="277" t="s">
        <v>1072</v>
      </c>
      <c r="CB77" s="277" t="s">
        <v>1072</v>
      </c>
      <c r="CC77" s="277" t="s">
        <v>1072</v>
      </c>
      <c r="CD77" s="277" t="s">
        <v>1072</v>
      </c>
      <c r="CE77" s="277" t="s">
        <v>1072</v>
      </c>
      <c r="CF77" s="277" t="s">
        <v>1072</v>
      </c>
      <c r="CG77" s="277" t="s">
        <v>1072</v>
      </c>
      <c r="CH77" s="277" t="s">
        <v>1072</v>
      </c>
      <c r="CI77" s="277" t="s">
        <v>1072</v>
      </c>
      <c r="CJ77" s="277" t="s">
        <v>1072</v>
      </c>
      <c r="CK77" s="277" t="s">
        <v>1072</v>
      </c>
      <c r="CL77" s="277" t="s">
        <v>1072</v>
      </c>
      <c r="CM77" s="277" t="s">
        <v>1072</v>
      </c>
      <c r="CN77" s="277" t="s">
        <v>1072</v>
      </c>
      <c r="CO77" s="277" t="s">
        <v>1072</v>
      </c>
      <c r="CP77" s="277" t="s">
        <v>1072</v>
      </c>
      <c r="CQ77" s="277" t="s">
        <v>1072</v>
      </c>
      <c r="CR77" s="277" t="s">
        <v>1072</v>
      </c>
      <c r="CS77" s="277" t="s">
        <v>1072</v>
      </c>
      <c r="CT77" s="277" t="s">
        <v>1072</v>
      </c>
      <c r="CU77" s="277" t="s">
        <v>1072</v>
      </c>
      <c r="CV77" s="277" t="s">
        <v>1072</v>
      </c>
      <c r="CW77" s="277" t="s">
        <v>1072</v>
      </c>
      <c r="CX77" s="277" t="s">
        <v>1072</v>
      </c>
      <c r="CY77" s="277" t="s">
        <v>1072</v>
      </c>
      <c r="CZ77" s="277" t="s">
        <v>1072</v>
      </c>
      <c r="DA77" s="277" t="s">
        <v>1072</v>
      </c>
      <c r="DB77" s="277" t="s">
        <v>1072</v>
      </c>
      <c r="DC77" s="277" t="s">
        <v>1072</v>
      </c>
      <c r="DD77" s="277" t="s">
        <v>1072</v>
      </c>
      <c r="DE77" s="277" t="s">
        <v>1072</v>
      </c>
      <c r="DF77" s="277" t="s">
        <v>1072</v>
      </c>
      <c r="DG77" s="277" t="s">
        <v>1072</v>
      </c>
      <c r="DH77" s="277" t="s">
        <v>1072</v>
      </c>
      <c r="DI77" s="277" t="s">
        <v>1072</v>
      </c>
      <c r="DJ77" s="277" t="s">
        <v>1072</v>
      </c>
      <c r="DK77" s="277" t="s">
        <v>1072</v>
      </c>
      <c r="DL77" s="277" t="s">
        <v>1072</v>
      </c>
      <c r="DM77" s="277" t="s">
        <v>1072</v>
      </c>
      <c r="DN77" s="277" t="s">
        <v>1072</v>
      </c>
      <c r="DO77" s="277" t="s">
        <v>1072</v>
      </c>
      <c r="DP77" s="277" t="s">
        <v>1072</v>
      </c>
      <c r="DQ77" s="277" t="s">
        <v>1072</v>
      </c>
      <c r="DR77" s="277" t="s">
        <v>1072</v>
      </c>
      <c r="DS77" s="277" t="s">
        <v>1072</v>
      </c>
      <c r="DT77" s="277" t="s">
        <v>1072</v>
      </c>
      <c r="DU77" s="277" t="s">
        <v>1072</v>
      </c>
      <c r="DV77" s="277" t="s">
        <v>1072</v>
      </c>
      <c r="DW77" s="277" t="s">
        <v>1072</v>
      </c>
      <c r="DX77" s="277" t="s">
        <v>1072</v>
      </c>
      <c r="DY77" s="277" t="s">
        <v>1072</v>
      </c>
      <c r="DZ77" s="277" t="s">
        <v>1072</v>
      </c>
      <c r="EA77" s="277" t="s">
        <v>1072</v>
      </c>
      <c r="EB77" s="277" t="s">
        <v>1072</v>
      </c>
      <c r="EC77" s="277" t="s">
        <v>1072</v>
      </c>
      <c r="ED77" s="277" t="s">
        <v>1072</v>
      </c>
      <c r="EE77" s="277" t="s">
        <v>1072</v>
      </c>
      <c r="EF77" s="277" t="s">
        <v>1072</v>
      </c>
      <c r="EG77" s="277" t="s">
        <v>1072</v>
      </c>
      <c r="EH77" s="277" t="s">
        <v>1072</v>
      </c>
      <c r="EI77" s="277" t="s">
        <v>1072</v>
      </c>
      <c r="EJ77" s="277" t="s">
        <v>1072</v>
      </c>
      <c r="EK77" s="277" t="s">
        <v>1072</v>
      </c>
      <c r="EL77" s="277" t="s">
        <v>1072</v>
      </c>
      <c r="EM77" s="277" t="s">
        <v>1072</v>
      </c>
      <c r="EN77" s="277" t="s">
        <v>1072</v>
      </c>
      <c r="EO77" s="277" t="s">
        <v>1072</v>
      </c>
      <c r="EP77" s="277" t="s">
        <v>1072</v>
      </c>
      <c r="EQ77" s="277" t="s">
        <v>1072</v>
      </c>
      <c r="ER77" s="277" t="s">
        <v>1072</v>
      </c>
      <c r="ES77" s="277" t="s">
        <v>1072</v>
      </c>
      <c r="ET77" s="277" t="s">
        <v>1072</v>
      </c>
      <c r="EU77" s="277" t="s">
        <v>1072</v>
      </c>
      <c r="EV77" s="277" t="s">
        <v>1072</v>
      </c>
      <c r="EW77" s="277" t="s">
        <v>1072</v>
      </c>
      <c r="EX77" s="277" t="s">
        <v>1072</v>
      </c>
      <c r="EY77" s="277" t="s">
        <v>1072</v>
      </c>
      <c r="EZ77" s="277" t="s">
        <v>1072</v>
      </c>
      <c r="FA77" s="277" t="s">
        <v>1072</v>
      </c>
      <c r="FB77" s="277" t="s">
        <v>1072</v>
      </c>
      <c r="FC77" s="277" t="s">
        <v>1072</v>
      </c>
      <c r="FD77" s="277" t="s">
        <v>1072</v>
      </c>
      <c r="FE77" s="277" t="s">
        <v>1072</v>
      </c>
      <c r="FF77" s="277" t="s">
        <v>1072</v>
      </c>
      <c r="FG77" s="277" t="s">
        <v>1072</v>
      </c>
      <c r="FH77" s="277" t="s">
        <v>1072</v>
      </c>
      <c r="FI77" s="277" t="s">
        <v>1072</v>
      </c>
      <c r="FJ77" s="277" t="s">
        <v>1072</v>
      </c>
      <c r="FK77" s="277" t="s">
        <v>1072</v>
      </c>
      <c r="FL77" s="277" t="s">
        <v>1072</v>
      </c>
      <c r="FM77" s="277" t="s">
        <v>1072</v>
      </c>
      <c r="FN77" s="277" t="s">
        <v>1072</v>
      </c>
      <c r="FO77" s="277" t="s">
        <v>1072</v>
      </c>
      <c r="FP77" s="277" t="s">
        <v>1072</v>
      </c>
      <c r="FQ77" s="277" t="s">
        <v>1072</v>
      </c>
      <c r="FR77" s="277" t="s">
        <v>1072</v>
      </c>
      <c r="FS77" s="277" t="s">
        <v>1072</v>
      </c>
      <c r="FT77" s="277" t="s">
        <v>1072</v>
      </c>
      <c r="FU77" s="277" t="s">
        <v>1072</v>
      </c>
      <c r="FV77" s="277" t="s">
        <v>1072</v>
      </c>
      <c r="FW77" s="277" t="s">
        <v>1072</v>
      </c>
      <c r="FX77" s="277" t="s">
        <v>1072</v>
      </c>
      <c r="FY77" s="277" t="s">
        <v>1072</v>
      </c>
      <c r="FZ77" s="277" t="s">
        <v>1072</v>
      </c>
      <c r="GA77" s="277" t="s">
        <v>1072</v>
      </c>
      <c r="GB77" s="277" t="s">
        <v>1072</v>
      </c>
      <c r="GC77" s="277" t="s">
        <v>1072</v>
      </c>
      <c r="GD77" s="277" t="s">
        <v>1072</v>
      </c>
      <c r="GE77" s="277" t="s">
        <v>1072</v>
      </c>
      <c r="GF77" s="277" t="s">
        <v>1072</v>
      </c>
      <c r="GG77" s="277" t="s">
        <v>1072</v>
      </c>
      <c r="GH77" s="277" t="s">
        <v>1072</v>
      </c>
      <c r="GI77" s="277" t="s">
        <v>1072</v>
      </c>
      <c r="GJ77" s="277" t="s">
        <v>1072</v>
      </c>
      <c r="GK77" s="277" t="s">
        <v>1072</v>
      </c>
      <c r="GL77" s="277" t="s">
        <v>1072</v>
      </c>
      <c r="GM77" s="277" t="s">
        <v>1072</v>
      </c>
      <c r="GN77" s="277" t="s">
        <v>1072</v>
      </c>
      <c r="GO77" s="277" t="s">
        <v>1072</v>
      </c>
      <c r="GP77" s="277" t="s">
        <v>1072</v>
      </c>
      <c r="GQ77" s="277" t="s">
        <v>1072</v>
      </c>
      <c r="GR77" s="277" t="s">
        <v>1072</v>
      </c>
      <c r="GS77" s="277" t="s">
        <v>1072</v>
      </c>
      <c r="GT77" s="277" t="s">
        <v>1072</v>
      </c>
      <c r="GU77" s="277" t="s">
        <v>1072</v>
      </c>
      <c r="GV77" s="277" t="s">
        <v>1072</v>
      </c>
      <c r="GW77" s="277" t="s">
        <v>1072</v>
      </c>
      <c r="GX77" s="277" t="s">
        <v>1072</v>
      </c>
      <c r="GY77" s="277" t="s">
        <v>1072</v>
      </c>
      <c r="GZ77" s="277" t="s">
        <v>1072</v>
      </c>
      <c r="HA77" s="277" t="s">
        <v>1072</v>
      </c>
      <c r="HB77" s="277" t="s">
        <v>1072</v>
      </c>
      <c r="HC77" s="277" t="s">
        <v>1072</v>
      </c>
      <c r="HD77" s="277" t="s">
        <v>1072</v>
      </c>
      <c r="HE77" s="277" t="s">
        <v>1072</v>
      </c>
      <c r="HF77" s="277" t="s">
        <v>1072</v>
      </c>
      <c r="HG77" s="277" t="s">
        <v>1072</v>
      </c>
      <c r="HH77" s="277" t="s">
        <v>1072</v>
      </c>
      <c r="HI77" s="277" t="s">
        <v>1072</v>
      </c>
      <c r="HJ77" s="277" t="s">
        <v>1072</v>
      </c>
      <c r="HK77" s="277" t="s">
        <v>1072</v>
      </c>
      <c r="HL77" s="277" t="s">
        <v>1072</v>
      </c>
      <c r="HM77" s="277" t="s">
        <v>1072</v>
      </c>
      <c r="HN77" s="277" t="s">
        <v>1072</v>
      </c>
      <c r="HO77" s="277" t="s">
        <v>1072</v>
      </c>
      <c r="HP77" s="277" t="s">
        <v>1072</v>
      </c>
      <c r="HQ77" s="277" t="s">
        <v>1072</v>
      </c>
      <c r="HR77" s="277" t="s">
        <v>1072</v>
      </c>
      <c r="HS77" s="277" t="s">
        <v>1072</v>
      </c>
      <c r="HT77" s="277" t="s">
        <v>1072</v>
      </c>
      <c r="HU77" s="277" t="s">
        <v>1072</v>
      </c>
      <c r="HV77" s="277" t="s">
        <v>1072</v>
      </c>
      <c r="HW77" s="277" t="s">
        <v>1072</v>
      </c>
      <c r="HX77" s="277" t="s">
        <v>1072</v>
      </c>
      <c r="HY77" s="277" t="s">
        <v>1072</v>
      </c>
      <c r="HZ77" s="277" t="s">
        <v>1072</v>
      </c>
      <c r="IA77" s="277" t="s">
        <v>1072</v>
      </c>
      <c r="IB77" s="277" t="s">
        <v>1072</v>
      </c>
      <c r="IC77" s="277" t="s">
        <v>1072</v>
      </c>
      <c r="ID77" s="277" t="s">
        <v>1072</v>
      </c>
      <c r="IE77" s="277" t="s">
        <v>1072</v>
      </c>
      <c r="IF77" s="277" t="s">
        <v>1072</v>
      </c>
      <c r="IG77" s="277" t="s">
        <v>1072</v>
      </c>
      <c r="IH77" s="277" t="s">
        <v>1072</v>
      </c>
      <c r="II77" s="277" t="s">
        <v>1072</v>
      </c>
      <c r="IJ77" s="277" t="s">
        <v>1072</v>
      </c>
      <c r="IK77" s="277" t="s">
        <v>1072</v>
      </c>
      <c r="IL77" s="277" t="s">
        <v>1072</v>
      </c>
      <c r="IM77" s="277" t="s">
        <v>1072</v>
      </c>
      <c r="IN77" s="277" t="s">
        <v>1072</v>
      </c>
      <c r="IO77" s="277" t="s">
        <v>1072</v>
      </c>
      <c r="IP77" s="277" t="s">
        <v>1072</v>
      </c>
      <c r="IQ77" s="277" t="s">
        <v>1072</v>
      </c>
      <c r="IR77" s="277" t="s">
        <v>1072</v>
      </c>
      <c r="IS77" s="277" t="s">
        <v>1072</v>
      </c>
      <c r="IT77" s="277" t="s">
        <v>1072</v>
      </c>
      <c r="IU77" s="277" t="s">
        <v>1072</v>
      </c>
      <c r="IV77" s="277" t="s">
        <v>1072</v>
      </c>
      <c r="IW77" s="277" t="s">
        <v>1072</v>
      </c>
      <c r="IX77" s="277" t="s">
        <v>1072</v>
      </c>
      <c r="IY77" s="277" t="s">
        <v>1072</v>
      </c>
      <c r="IZ77" s="277" t="s">
        <v>1072</v>
      </c>
      <c r="JA77" s="277" t="s">
        <v>1072</v>
      </c>
      <c r="JB77" s="277" t="s">
        <v>1072</v>
      </c>
      <c r="JC77" s="277" t="s">
        <v>1072</v>
      </c>
      <c r="JD77" s="277" t="s">
        <v>1072</v>
      </c>
      <c r="JE77" s="277" t="s">
        <v>1072</v>
      </c>
      <c r="JF77" s="277" t="s">
        <v>1072</v>
      </c>
      <c r="JG77" s="277" t="s">
        <v>1072</v>
      </c>
      <c r="JH77" s="277" t="s">
        <v>1072</v>
      </c>
      <c r="JI77" s="277" t="s">
        <v>1072</v>
      </c>
      <c r="JJ77" s="277" t="s">
        <v>1072</v>
      </c>
      <c r="JK77" s="277" t="s">
        <v>1072</v>
      </c>
      <c r="JL77" s="277" t="s">
        <v>1072</v>
      </c>
      <c r="JM77" s="277" t="s">
        <v>1072</v>
      </c>
      <c r="JN77" s="277" t="s">
        <v>1072</v>
      </c>
      <c r="JO77" s="277" t="s">
        <v>1072</v>
      </c>
      <c r="JP77" s="277" t="s">
        <v>1072</v>
      </c>
      <c r="JQ77" s="277" t="s">
        <v>1072</v>
      </c>
      <c r="JR77" s="277" t="s">
        <v>1072</v>
      </c>
      <c r="JS77" s="277" t="s">
        <v>1072</v>
      </c>
      <c r="JT77" s="277" t="s">
        <v>1072</v>
      </c>
      <c r="JU77" s="277" t="s">
        <v>1072</v>
      </c>
      <c r="JV77" s="277" t="s">
        <v>1072</v>
      </c>
      <c r="JW77" s="277" t="s">
        <v>1072</v>
      </c>
      <c r="JX77" s="277" t="s">
        <v>1072</v>
      </c>
      <c r="JY77" s="277" t="s">
        <v>1072</v>
      </c>
      <c r="JZ77" s="277" t="s">
        <v>1072</v>
      </c>
      <c r="KA77" s="277" t="s">
        <v>1072</v>
      </c>
      <c r="KB77" s="277" t="s">
        <v>1072</v>
      </c>
      <c r="KC77" s="277" t="s">
        <v>1072</v>
      </c>
      <c r="KD77" s="277" t="s">
        <v>1072</v>
      </c>
      <c r="KE77" s="277" t="s">
        <v>1072</v>
      </c>
      <c r="KF77" s="277" t="s">
        <v>1072</v>
      </c>
      <c r="KG77" s="277" t="s">
        <v>1072</v>
      </c>
      <c r="KH77" s="277" t="s">
        <v>1072</v>
      </c>
      <c r="KI77" s="277" t="s">
        <v>1072</v>
      </c>
      <c r="KJ77" s="277" t="s">
        <v>1072</v>
      </c>
      <c r="KK77" s="277" t="s">
        <v>1072</v>
      </c>
      <c r="KL77" s="277" t="s">
        <v>1072</v>
      </c>
      <c r="KM77" s="277" t="s">
        <v>1072</v>
      </c>
      <c r="KN77" s="277" t="s">
        <v>1072</v>
      </c>
      <c r="KO77" s="277" t="s">
        <v>1072</v>
      </c>
      <c r="KP77" s="277" t="s">
        <v>1072</v>
      </c>
      <c r="KQ77" s="277" t="s">
        <v>1072</v>
      </c>
      <c r="KR77" s="277" t="s">
        <v>1072</v>
      </c>
      <c r="KS77" s="277" t="s">
        <v>1072</v>
      </c>
      <c r="KT77" s="277" t="s">
        <v>1072</v>
      </c>
      <c r="KU77" s="277" t="s">
        <v>1072</v>
      </c>
      <c r="KV77" s="277" t="s">
        <v>1072</v>
      </c>
      <c r="KW77" s="277" t="s">
        <v>1072</v>
      </c>
      <c r="KX77" s="277" t="s">
        <v>1072</v>
      </c>
      <c r="KY77" s="277" t="s">
        <v>1072</v>
      </c>
      <c r="KZ77" s="277" t="s">
        <v>1072</v>
      </c>
      <c r="LA77" s="277" t="s">
        <v>1072</v>
      </c>
      <c r="LB77" s="277" t="s">
        <v>1072</v>
      </c>
      <c r="LC77" s="277" t="s">
        <v>1072</v>
      </c>
      <c r="LD77" s="277" t="s">
        <v>1072</v>
      </c>
      <c r="LE77" s="277" t="s">
        <v>1072</v>
      </c>
      <c r="LF77" s="277" t="s">
        <v>1072</v>
      </c>
      <c r="LG77" s="277" t="s">
        <v>1072</v>
      </c>
      <c r="LH77" s="277" t="s">
        <v>1072</v>
      </c>
      <c r="LI77" s="277" t="s">
        <v>1072</v>
      </c>
      <c r="LJ77" s="277" t="s">
        <v>1072</v>
      </c>
      <c r="LK77" s="277" t="s">
        <v>1072</v>
      </c>
      <c r="LL77" s="277" t="s">
        <v>1072</v>
      </c>
      <c r="LM77" s="277" t="s">
        <v>1072</v>
      </c>
      <c r="LN77" s="277" t="s">
        <v>1072</v>
      </c>
      <c r="LO77" s="277" t="s">
        <v>1072</v>
      </c>
      <c r="LP77" s="277" t="s">
        <v>1072</v>
      </c>
      <c r="LQ77" s="277" t="s">
        <v>1072</v>
      </c>
      <c r="LR77" s="277" t="s">
        <v>1072</v>
      </c>
      <c r="LS77" s="277" t="s">
        <v>1072</v>
      </c>
      <c r="LT77" s="277" t="s">
        <v>1072</v>
      </c>
      <c r="LU77" s="277" t="s">
        <v>1072</v>
      </c>
      <c r="LV77" s="277" t="s">
        <v>1072</v>
      </c>
      <c r="LW77" s="277" t="s">
        <v>1072</v>
      </c>
      <c r="LX77" s="277" t="s">
        <v>1072</v>
      </c>
      <c r="LY77" s="277" t="s">
        <v>1072</v>
      </c>
      <c r="LZ77" s="277" t="s">
        <v>1072</v>
      </c>
      <c r="MA77" s="277" t="s">
        <v>1072</v>
      </c>
      <c r="MB77" s="277" t="s">
        <v>1072</v>
      </c>
      <c r="MC77" s="277" t="s">
        <v>1072</v>
      </c>
      <c r="MD77" s="277" t="s">
        <v>1072</v>
      </c>
      <c r="ME77" s="277" t="s">
        <v>1072</v>
      </c>
      <c r="MF77" s="277" t="s">
        <v>1072</v>
      </c>
      <c r="MG77" s="277" t="s">
        <v>1072</v>
      </c>
      <c r="MH77" s="277" t="s">
        <v>1072</v>
      </c>
      <c r="MI77" s="277" t="s">
        <v>1072</v>
      </c>
      <c r="MJ77" s="277" t="s">
        <v>1072</v>
      </c>
      <c r="MK77" s="277" t="s">
        <v>1072</v>
      </c>
      <c r="ML77" s="277" t="s">
        <v>1072</v>
      </c>
      <c r="MM77" s="277" t="s">
        <v>1072</v>
      </c>
      <c r="MN77" s="277" t="s">
        <v>1072</v>
      </c>
      <c r="MO77" s="277" t="s">
        <v>1072</v>
      </c>
      <c r="MP77" s="277" t="s">
        <v>1072</v>
      </c>
      <c r="MQ77" s="277" t="s">
        <v>1072</v>
      </c>
      <c r="MR77" s="277" t="s">
        <v>1072</v>
      </c>
      <c r="MS77" s="277" t="s">
        <v>1072</v>
      </c>
      <c r="MT77" s="277" t="s">
        <v>1072</v>
      </c>
      <c r="MU77" s="277" t="s">
        <v>1072</v>
      </c>
      <c r="MV77" s="277" t="s">
        <v>1072</v>
      </c>
      <c r="MW77" s="277" t="s">
        <v>1072</v>
      </c>
      <c r="MX77" s="277" t="s">
        <v>1072</v>
      </c>
      <c r="MY77" s="277" t="s">
        <v>1072</v>
      </c>
      <c r="MZ77" s="277" t="s">
        <v>1072</v>
      </c>
      <c r="NA77" s="277" t="s">
        <v>1072</v>
      </c>
      <c r="NB77" s="277" t="s">
        <v>1072</v>
      </c>
      <c r="NC77" s="277" t="s">
        <v>1072</v>
      </c>
      <c r="ND77" s="277" t="s">
        <v>1072</v>
      </c>
      <c r="NE77" s="277" t="s">
        <v>1072</v>
      </c>
      <c r="NF77" s="277" t="s">
        <v>1072</v>
      </c>
      <c r="NG77" s="277" t="s">
        <v>1072</v>
      </c>
      <c r="NH77" s="277" t="s">
        <v>1072</v>
      </c>
      <c r="NI77" s="277" t="s">
        <v>1072</v>
      </c>
      <c r="NJ77" s="277" t="s">
        <v>1072</v>
      </c>
      <c r="NK77" s="277" t="s">
        <v>1072</v>
      </c>
      <c r="NL77" s="277" t="s">
        <v>1072</v>
      </c>
      <c r="NM77" s="277" t="s">
        <v>1072</v>
      </c>
      <c r="NN77" s="277" t="s">
        <v>1072</v>
      </c>
      <c r="NO77" s="277" t="s">
        <v>1072</v>
      </c>
      <c r="NP77" s="277" t="s">
        <v>1072</v>
      </c>
      <c r="NQ77" s="277" t="s">
        <v>1072</v>
      </c>
      <c r="NR77" s="277" t="s">
        <v>1072</v>
      </c>
      <c r="NS77" s="277" t="s">
        <v>1072</v>
      </c>
      <c r="NT77" s="277" t="s">
        <v>1072</v>
      </c>
      <c r="NU77" s="277" t="s">
        <v>1072</v>
      </c>
      <c r="NV77" s="277" t="s">
        <v>1072</v>
      </c>
      <c r="NW77" s="277" t="s">
        <v>1072</v>
      </c>
      <c r="NX77" s="277" t="s">
        <v>1072</v>
      </c>
      <c r="NY77" s="277" t="s">
        <v>1072</v>
      </c>
      <c r="NZ77" s="277" t="s">
        <v>1072</v>
      </c>
      <c r="OA77" s="277" t="s">
        <v>1072</v>
      </c>
      <c r="OB77" s="277" t="s">
        <v>1072</v>
      </c>
      <c r="OC77" s="277" t="s">
        <v>1072</v>
      </c>
      <c r="OD77" s="277" t="s">
        <v>1072</v>
      </c>
      <c r="OE77" s="277" t="s">
        <v>1072</v>
      </c>
      <c r="OF77" s="277" t="s">
        <v>1072</v>
      </c>
      <c r="OG77" s="277" t="s">
        <v>1072</v>
      </c>
      <c r="OH77" s="277" t="s">
        <v>1072</v>
      </c>
      <c r="OI77" s="277" t="s">
        <v>1072</v>
      </c>
      <c r="OJ77" s="277" t="s">
        <v>1072</v>
      </c>
      <c r="OK77" s="277" t="s">
        <v>1072</v>
      </c>
      <c r="OL77" s="277" t="s">
        <v>1072</v>
      </c>
      <c r="OM77" s="277" t="s">
        <v>1072</v>
      </c>
      <c r="ON77" s="277" t="s">
        <v>1072</v>
      </c>
      <c r="OO77" s="277" t="s">
        <v>1072</v>
      </c>
      <c r="OP77" s="277" t="s">
        <v>1072</v>
      </c>
      <c r="OQ77" s="277" t="s">
        <v>1072</v>
      </c>
      <c r="OR77" s="277" t="s">
        <v>1072</v>
      </c>
      <c r="OS77" s="277" t="s">
        <v>1072</v>
      </c>
      <c r="OT77" s="277" t="s">
        <v>1072</v>
      </c>
      <c r="OU77" s="277" t="s">
        <v>1072</v>
      </c>
      <c r="OV77" s="277" t="s">
        <v>1072</v>
      </c>
      <c r="OW77" s="277" t="s">
        <v>1072</v>
      </c>
      <c r="OX77" s="277" t="s">
        <v>1072</v>
      </c>
      <c r="OY77" s="277" t="s">
        <v>1072</v>
      </c>
      <c r="OZ77" s="277" t="s">
        <v>1072</v>
      </c>
      <c r="PA77" s="277" t="s">
        <v>1072</v>
      </c>
      <c r="PB77" s="277" t="s">
        <v>1072</v>
      </c>
      <c r="PC77" s="277" t="s">
        <v>1072</v>
      </c>
      <c r="PD77" s="277" t="s">
        <v>1072</v>
      </c>
      <c r="PE77" s="277" t="s">
        <v>1072</v>
      </c>
      <c r="PF77" s="277" t="s">
        <v>1072</v>
      </c>
      <c r="PG77" s="277" t="s">
        <v>1072</v>
      </c>
      <c r="PH77" s="277" t="s">
        <v>1072</v>
      </c>
      <c r="PI77" s="277" t="s">
        <v>1072</v>
      </c>
      <c r="PJ77" s="277" t="s">
        <v>1072</v>
      </c>
      <c r="PK77" s="277" t="s">
        <v>1072</v>
      </c>
      <c r="PL77" s="277" t="s">
        <v>1072</v>
      </c>
      <c r="PM77" s="277" t="s">
        <v>1072</v>
      </c>
      <c r="PN77" s="277" t="s">
        <v>1072</v>
      </c>
      <c r="PO77" s="277" t="s">
        <v>1072</v>
      </c>
      <c r="PP77" s="277" t="s">
        <v>1072</v>
      </c>
      <c r="PQ77" s="277" t="s">
        <v>1072</v>
      </c>
      <c r="PR77" s="277" t="s">
        <v>1072</v>
      </c>
      <c r="PS77" s="277" t="s">
        <v>1072</v>
      </c>
      <c r="PT77" s="277" t="s">
        <v>1072</v>
      </c>
      <c r="PU77" s="277" t="s">
        <v>1072</v>
      </c>
      <c r="PV77" s="277" t="s">
        <v>1072</v>
      </c>
      <c r="PW77" s="277" t="s">
        <v>1072</v>
      </c>
      <c r="PX77" s="277" t="s">
        <v>1072</v>
      </c>
      <c r="PY77" s="277" t="s">
        <v>1072</v>
      </c>
      <c r="PZ77" s="277" t="s">
        <v>1072</v>
      </c>
      <c r="QA77" s="277" t="s">
        <v>1072</v>
      </c>
      <c r="QB77" s="277" t="s">
        <v>1072</v>
      </c>
      <c r="QC77" s="277" t="s">
        <v>1072</v>
      </c>
      <c r="QD77" s="277" t="s">
        <v>1072</v>
      </c>
      <c r="QE77" s="277" t="s">
        <v>1072</v>
      </c>
      <c r="QF77" s="277" t="s">
        <v>1072</v>
      </c>
      <c r="QG77" s="277" t="s">
        <v>1072</v>
      </c>
      <c r="QH77" s="277" t="s">
        <v>1072</v>
      </c>
      <c r="QI77" s="277" t="s">
        <v>1072</v>
      </c>
      <c r="QJ77" s="277" t="s">
        <v>1072</v>
      </c>
      <c r="QK77" s="277" t="s">
        <v>1072</v>
      </c>
      <c r="QL77" s="277" t="s">
        <v>1072</v>
      </c>
      <c r="QM77" s="277" t="s">
        <v>1072</v>
      </c>
      <c r="QN77" s="277" t="s">
        <v>1072</v>
      </c>
      <c r="QO77" s="277" t="s">
        <v>1072</v>
      </c>
      <c r="QP77" s="277" t="s">
        <v>1072</v>
      </c>
      <c r="QQ77" s="277" t="s">
        <v>1072</v>
      </c>
      <c r="QR77" s="277" t="s">
        <v>1072</v>
      </c>
      <c r="QS77" s="277" t="s">
        <v>1072</v>
      </c>
      <c r="QT77" s="277" t="s">
        <v>1072</v>
      </c>
      <c r="QU77" s="277" t="s">
        <v>1072</v>
      </c>
      <c r="QV77" s="277" t="s">
        <v>1072</v>
      </c>
      <c r="QW77" s="277" t="s">
        <v>1072</v>
      </c>
      <c r="QX77" s="277" t="s">
        <v>1072</v>
      </c>
      <c r="QY77" s="277" t="s">
        <v>1072</v>
      </c>
      <c r="QZ77" s="277" t="s">
        <v>1072</v>
      </c>
      <c r="RA77" s="277" t="s">
        <v>1072</v>
      </c>
      <c r="RB77" s="277" t="s">
        <v>1072</v>
      </c>
      <c r="RC77" s="277" t="s">
        <v>1072</v>
      </c>
      <c r="RD77" s="277" t="s">
        <v>1072</v>
      </c>
      <c r="RE77" s="277" t="s">
        <v>1072</v>
      </c>
      <c r="RF77" s="277" t="s">
        <v>1072</v>
      </c>
      <c r="RG77" s="277" t="s">
        <v>1072</v>
      </c>
      <c r="RH77" s="277" t="s">
        <v>1072</v>
      </c>
      <c r="RI77" s="277" t="s">
        <v>1072</v>
      </c>
      <c r="RJ77" s="277" t="s">
        <v>1072</v>
      </c>
      <c r="RK77" s="277" t="s">
        <v>1072</v>
      </c>
      <c r="RL77" s="277" t="s">
        <v>1072</v>
      </c>
      <c r="RM77" s="277" t="s">
        <v>1072</v>
      </c>
      <c r="RN77" s="277" t="s">
        <v>1072</v>
      </c>
      <c r="RO77" s="277" t="s">
        <v>1072</v>
      </c>
      <c r="RP77" s="277" t="s">
        <v>1072</v>
      </c>
      <c r="RQ77" s="277" t="s">
        <v>1072</v>
      </c>
      <c r="RR77" s="277" t="s">
        <v>1072</v>
      </c>
      <c r="RS77" s="277" t="s">
        <v>1072</v>
      </c>
      <c r="RT77" s="277" t="s">
        <v>1072</v>
      </c>
      <c r="RU77" s="277" t="s">
        <v>1072</v>
      </c>
      <c r="RV77" s="277" t="s">
        <v>1072</v>
      </c>
      <c r="RW77" s="277" t="s">
        <v>1072</v>
      </c>
      <c r="RX77" s="277" t="s">
        <v>1072</v>
      </c>
      <c r="RY77" s="277" t="s">
        <v>1072</v>
      </c>
      <c r="RZ77" s="277" t="s">
        <v>1072</v>
      </c>
      <c r="SA77" s="277" t="s">
        <v>1072</v>
      </c>
      <c r="SB77" s="277" t="s">
        <v>1072</v>
      </c>
      <c r="SC77" s="277" t="s">
        <v>1072</v>
      </c>
      <c r="SD77" s="277" t="s">
        <v>1072</v>
      </c>
      <c r="SE77" s="277" t="s">
        <v>1072</v>
      </c>
      <c r="SF77" s="277" t="s">
        <v>1072</v>
      </c>
      <c r="SG77" s="277" t="s">
        <v>1072</v>
      </c>
      <c r="SH77" s="277" t="s">
        <v>1072</v>
      </c>
      <c r="SI77" s="277" t="s">
        <v>1072</v>
      </c>
      <c r="SJ77" s="277" t="s">
        <v>1072</v>
      </c>
      <c r="SK77" s="277" t="s">
        <v>1072</v>
      </c>
      <c r="SL77" s="277" t="s">
        <v>1072</v>
      </c>
      <c r="SM77" s="277" t="s">
        <v>1072</v>
      </c>
      <c r="SN77" s="277" t="s">
        <v>1072</v>
      </c>
      <c r="SO77" s="277" t="s">
        <v>1072</v>
      </c>
      <c r="SP77" s="277" t="s">
        <v>1072</v>
      </c>
      <c r="SQ77" s="277" t="s">
        <v>1072</v>
      </c>
      <c r="SR77" s="277" t="s">
        <v>1072</v>
      </c>
      <c r="SS77" s="277" t="s">
        <v>1072</v>
      </c>
      <c r="ST77" s="277" t="s">
        <v>1072</v>
      </c>
      <c r="SU77" s="277" t="s">
        <v>1072</v>
      </c>
      <c r="SV77" s="277" t="s">
        <v>1072</v>
      </c>
      <c r="SW77" s="277" t="s">
        <v>1072</v>
      </c>
      <c r="SX77" s="277" t="s">
        <v>1072</v>
      </c>
      <c r="SY77" s="277" t="s">
        <v>1072</v>
      </c>
      <c r="SZ77" s="277" t="s">
        <v>1072</v>
      </c>
      <c r="TA77" s="277" t="s">
        <v>1072</v>
      </c>
      <c r="TB77" s="277" t="s">
        <v>1072</v>
      </c>
      <c r="TC77" s="277" t="s">
        <v>1072</v>
      </c>
      <c r="TD77" s="277" t="s">
        <v>1072</v>
      </c>
      <c r="TE77" s="277" t="s">
        <v>1072</v>
      </c>
      <c r="TF77" s="277" t="s">
        <v>1072</v>
      </c>
      <c r="TG77" s="277" t="s">
        <v>1072</v>
      </c>
      <c r="TH77" s="277" t="s">
        <v>1072</v>
      </c>
      <c r="TI77" s="277" t="s">
        <v>1072</v>
      </c>
      <c r="TJ77" s="277" t="s">
        <v>1072</v>
      </c>
      <c r="TK77" s="277" t="s">
        <v>1072</v>
      </c>
      <c r="TL77" s="277" t="s">
        <v>1072</v>
      </c>
      <c r="TM77" s="277" t="s">
        <v>1072</v>
      </c>
      <c r="TN77" s="277" t="s">
        <v>1072</v>
      </c>
      <c r="TO77" s="277" t="s">
        <v>1072</v>
      </c>
      <c r="TP77" s="277" t="s">
        <v>1072</v>
      </c>
      <c r="TQ77" s="277" t="s">
        <v>1072</v>
      </c>
      <c r="TR77" s="277" t="s">
        <v>1072</v>
      </c>
      <c r="TS77" s="277" t="s">
        <v>1072</v>
      </c>
      <c r="TT77" s="277" t="s">
        <v>1072</v>
      </c>
      <c r="TU77" s="277" t="s">
        <v>1072</v>
      </c>
      <c r="TV77" s="277" t="s">
        <v>1072</v>
      </c>
      <c r="TW77" s="277" t="s">
        <v>1072</v>
      </c>
      <c r="TX77" s="277" t="s">
        <v>1072</v>
      </c>
      <c r="TY77" s="277" t="s">
        <v>1072</v>
      </c>
      <c r="TZ77" s="277" t="s">
        <v>1072</v>
      </c>
      <c r="UA77" s="277" t="s">
        <v>1072</v>
      </c>
      <c r="UB77" s="277" t="s">
        <v>1072</v>
      </c>
      <c r="UC77" s="277" t="s">
        <v>1072</v>
      </c>
      <c r="UD77" s="277" t="s">
        <v>1072</v>
      </c>
      <c r="UE77" s="277" t="s">
        <v>1072</v>
      </c>
      <c r="UF77" s="277" t="s">
        <v>1072</v>
      </c>
      <c r="UG77" s="277" t="s">
        <v>1072</v>
      </c>
      <c r="UH77" s="277" t="s">
        <v>1072</v>
      </c>
      <c r="UI77" s="277" t="s">
        <v>1072</v>
      </c>
      <c r="UJ77" s="277" t="s">
        <v>1072</v>
      </c>
      <c r="UK77" s="277" t="s">
        <v>1072</v>
      </c>
      <c r="UL77" s="277" t="s">
        <v>1072</v>
      </c>
      <c r="UM77" s="277" t="s">
        <v>1072</v>
      </c>
      <c r="UN77" s="277" t="s">
        <v>1072</v>
      </c>
      <c r="UO77" s="277" t="s">
        <v>1072</v>
      </c>
      <c r="UP77" s="277" t="s">
        <v>1072</v>
      </c>
      <c r="UQ77" s="277" t="s">
        <v>1072</v>
      </c>
      <c r="UR77" s="277" t="s">
        <v>1072</v>
      </c>
      <c r="US77" s="277" t="s">
        <v>1072</v>
      </c>
      <c r="UT77" s="277" t="s">
        <v>1072</v>
      </c>
      <c r="UU77" s="277" t="s">
        <v>1072</v>
      </c>
      <c r="UV77" s="277" t="s">
        <v>1072</v>
      </c>
      <c r="UW77" s="277" t="s">
        <v>1072</v>
      </c>
      <c r="UX77" s="277" t="s">
        <v>1072</v>
      </c>
      <c r="UY77" s="277" t="s">
        <v>1072</v>
      </c>
      <c r="UZ77" s="277" t="s">
        <v>1072</v>
      </c>
      <c r="VA77" s="277" t="s">
        <v>1072</v>
      </c>
      <c r="VB77" s="277" t="s">
        <v>1072</v>
      </c>
      <c r="VC77" s="277" t="s">
        <v>1072</v>
      </c>
      <c r="VD77" s="277" t="s">
        <v>1072</v>
      </c>
      <c r="VE77" s="277" t="s">
        <v>1072</v>
      </c>
      <c r="VF77" s="277" t="s">
        <v>1072</v>
      </c>
      <c r="VG77" s="277" t="s">
        <v>1072</v>
      </c>
      <c r="VH77" s="277" t="s">
        <v>1072</v>
      </c>
      <c r="VI77" s="277" t="s">
        <v>1072</v>
      </c>
      <c r="VJ77" s="277" t="s">
        <v>1072</v>
      </c>
      <c r="VK77" s="277" t="s">
        <v>1072</v>
      </c>
      <c r="VL77" s="277" t="s">
        <v>1072</v>
      </c>
      <c r="VM77" s="277" t="s">
        <v>1072</v>
      </c>
      <c r="VN77" s="277" t="s">
        <v>1072</v>
      </c>
      <c r="VO77" s="277" t="s">
        <v>1072</v>
      </c>
      <c r="VP77" s="277" t="s">
        <v>1072</v>
      </c>
      <c r="VQ77" s="277" t="s">
        <v>1072</v>
      </c>
      <c r="VR77" s="277" t="s">
        <v>1072</v>
      </c>
      <c r="VS77" s="277" t="s">
        <v>1072</v>
      </c>
      <c r="VT77" s="277" t="s">
        <v>1072</v>
      </c>
      <c r="VU77" s="277" t="s">
        <v>1072</v>
      </c>
      <c r="VV77" s="277" t="s">
        <v>1072</v>
      </c>
      <c r="VW77" s="277" t="s">
        <v>1072</v>
      </c>
      <c r="VX77" s="277" t="s">
        <v>1072</v>
      </c>
      <c r="VY77" s="277" t="s">
        <v>1072</v>
      </c>
      <c r="VZ77" s="277" t="s">
        <v>1072</v>
      </c>
      <c r="WA77" s="277" t="s">
        <v>1072</v>
      </c>
      <c r="WB77" s="277" t="s">
        <v>1072</v>
      </c>
      <c r="WC77" s="277" t="s">
        <v>1072</v>
      </c>
      <c r="WD77" s="277" t="s">
        <v>1072</v>
      </c>
      <c r="WE77" s="277" t="s">
        <v>1072</v>
      </c>
      <c r="WF77" s="277" t="s">
        <v>1072</v>
      </c>
      <c r="WG77" s="277" t="s">
        <v>1072</v>
      </c>
      <c r="WH77" s="277" t="s">
        <v>1072</v>
      </c>
      <c r="WI77" s="277" t="s">
        <v>1072</v>
      </c>
      <c r="WJ77" s="277" t="s">
        <v>1072</v>
      </c>
      <c r="WK77" s="277" t="s">
        <v>1072</v>
      </c>
      <c r="WL77" s="277" t="s">
        <v>1072</v>
      </c>
      <c r="WM77" s="277" t="s">
        <v>1072</v>
      </c>
      <c r="WN77" s="277" t="s">
        <v>1072</v>
      </c>
      <c r="WO77" s="277" t="s">
        <v>1072</v>
      </c>
      <c r="WP77" s="277" t="s">
        <v>1072</v>
      </c>
      <c r="WQ77" s="277" t="s">
        <v>1072</v>
      </c>
      <c r="WR77" s="277" t="s">
        <v>1072</v>
      </c>
      <c r="WS77" s="277" t="s">
        <v>1072</v>
      </c>
      <c r="WT77" s="277" t="s">
        <v>1072</v>
      </c>
      <c r="WU77" s="277" t="s">
        <v>1072</v>
      </c>
      <c r="WV77" s="277" t="s">
        <v>1072</v>
      </c>
      <c r="WW77" s="277" t="s">
        <v>1072</v>
      </c>
      <c r="WX77" s="277" t="s">
        <v>1072</v>
      </c>
      <c r="WY77" s="277" t="s">
        <v>1072</v>
      </c>
      <c r="WZ77" s="277" t="s">
        <v>1072</v>
      </c>
      <c r="XA77" s="277" t="s">
        <v>1072</v>
      </c>
      <c r="XB77" s="277" t="s">
        <v>1072</v>
      </c>
      <c r="XC77" s="277" t="s">
        <v>1072</v>
      </c>
      <c r="XD77" s="277" t="s">
        <v>1072</v>
      </c>
      <c r="XE77" s="277" t="s">
        <v>1072</v>
      </c>
      <c r="XF77" s="277" t="s">
        <v>1072</v>
      </c>
      <c r="XG77" s="277" t="s">
        <v>1072</v>
      </c>
      <c r="XH77" s="277" t="s">
        <v>1072</v>
      </c>
      <c r="XI77" s="277" t="s">
        <v>1072</v>
      </c>
      <c r="XJ77" s="277" t="s">
        <v>1072</v>
      </c>
      <c r="XK77" s="277" t="s">
        <v>1072</v>
      </c>
      <c r="XL77" s="277" t="s">
        <v>1072</v>
      </c>
      <c r="XM77" s="277" t="s">
        <v>1072</v>
      </c>
      <c r="XN77" s="277" t="s">
        <v>1072</v>
      </c>
      <c r="XO77" s="277" t="s">
        <v>1072</v>
      </c>
      <c r="XP77" s="277" t="s">
        <v>1072</v>
      </c>
      <c r="XQ77" s="277" t="s">
        <v>1072</v>
      </c>
      <c r="XR77" s="277" t="s">
        <v>1072</v>
      </c>
      <c r="XS77" s="277" t="s">
        <v>1072</v>
      </c>
      <c r="XT77" s="277" t="s">
        <v>1072</v>
      </c>
      <c r="XU77" s="277" t="s">
        <v>1072</v>
      </c>
      <c r="XV77" s="277" t="s">
        <v>1072</v>
      </c>
      <c r="XW77" s="277" t="s">
        <v>1072</v>
      </c>
      <c r="XX77" s="277" t="s">
        <v>1072</v>
      </c>
      <c r="XY77" s="277" t="s">
        <v>1072</v>
      </c>
      <c r="XZ77" s="277" t="s">
        <v>1072</v>
      </c>
      <c r="YA77" s="277" t="s">
        <v>1072</v>
      </c>
      <c r="YB77" s="277" t="s">
        <v>1072</v>
      </c>
      <c r="YC77" s="277" t="s">
        <v>1072</v>
      </c>
      <c r="YD77" s="277" t="s">
        <v>1072</v>
      </c>
      <c r="YE77" s="277" t="s">
        <v>1072</v>
      </c>
      <c r="YF77" s="277" t="s">
        <v>1072</v>
      </c>
      <c r="YG77" s="277" t="s">
        <v>1072</v>
      </c>
      <c r="YH77" s="277" t="s">
        <v>1072</v>
      </c>
      <c r="YI77" s="277" t="s">
        <v>1072</v>
      </c>
      <c r="YJ77" s="277" t="s">
        <v>1072</v>
      </c>
      <c r="YK77" s="277" t="s">
        <v>1072</v>
      </c>
      <c r="YL77" s="277" t="s">
        <v>1072</v>
      </c>
      <c r="YM77" s="277" t="s">
        <v>1072</v>
      </c>
      <c r="YN77" s="277" t="s">
        <v>1072</v>
      </c>
      <c r="YO77" s="277" t="s">
        <v>1072</v>
      </c>
      <c r="YP77" s="277" t="s">
        <v>1072</v>
      </c>
      <c r="YQ77" s="277" t="s">
        <v>1072</v>
      </c>
      <c r="YR77" s="277" t="s">
        <v>1072</v>
      </c>
      <c r="YS77" s="277" t="s">
        <v>1072</v>
      </c>
      <c r="YT77" s="277" t="s">
        <v>1072</v>
      </c>
      <c r="YU77" s="277" t="s">
        <v>1072</v>
      </c>
      <c r="YV77" s="277" t="s">
        <v>1072</v>
      </c>
      <c r="YW77" s="277" t="s">
        <v>1072</v>
      </c>
      <c r="YX77" s="277" t="s">
        <v>1072</v>
      </c>
      <c r="YY77" s="277" t="s">
        <v>1072</v>
      </c>
      <c r="YZ77" s="277" t="s">
        <v>1072</v>
      </c>
      <c r="ZA77" s="277" t="s">
        <v>1072</v>
      </c>
      <c r="ZB77" s="277" t="s">
        <v>1072</v>
      </c>
      <c r="ZC77" s="277" t="s">
        <v>1072</v>
      </c>
      <c r="ZD77" s="277" t="s">
        <v>1072</v>
      </c>
      <c r="ZE77" s="277" t="s">
        <v>1072</v>
      </c>
      <c r="ZF77" s="277" t="s">
        <v>1072</v>
      </c>
      <c r="ZG77" s="277" t="s">
        <v>1072</v>
      </c>
      <c r="ZH77" s="277" t="s">
        <v>1072</v>
      </c>
      <c r="ZI77" s="277" t="s">
        <v>1072</v>
      </c>
      <c r="ZJ77" s="277" t="s">
        <v>1072</v>
      </c>
      <c r="ZK77" s="277" t="s">
        <v>1072</v>
      </c>
      <c r="ZL77" s="277" t="s">
        <v>1072</v>
      </c>
      <c r="ZM77" s="277" t="s">
        <v>1072</v>
      </c>
      <c r="ZN77" s="277" t="s">
        <v>1072</v>
      </c>
      <c r="ZO77" s="277" t="s">
        <v>1072</v>
      </c>
      <c r="ZP77" s="277" t="s">
        <v>1072</v>
      </c>
      <c r="ZQ77" s="277" t="s">
        <v>1072</v>
      </c>
      <c r="ZR77" s="277" t="s">
        <v>1072</v>
      </c>
      <c r="ZS77" s="277" t="s">
        <v>1072</v>
      </c>
      <c r="ZT77" s="277" t="s">
        <v>1072</v>
      </c>
      <c r="ZU77" s="277" t="s">
        <v>1072</v>
      </c>
      <c r="ZV77" s="277" t="s">
        <v>1072</v>
      </c>
      <c r="ZW77" s="277" t="s">
        <v>1072</v>
      </c>
      <c r="ZX77" s="277" t="s">
        <v>1072</v>
      </c>
      <c r="ZY77" s="277" t="s">
        <v>1072</v>
      </c>
      <c r="ZZ77" s="277" t="s">
        <v>1072</v>
      </c>
      <c r="AAA77" s="277" t="s">
        <v>1072</v>
      </c>
      <c r="AAB77" s="277" t="s">
        <v>1072</v>
      </c>
      <c r="AAC77" s="277" t="s">
        <v>1072</v>
      </c>
      <c r="AAD77" s="277" t="s">
        <v>1072</v>
      </c>
      <c r="AAE77" s="277" t="s">
        <v>1072</v>
      </c>
      <c r="AAF77" s="277" t="s">
        <v>1072</v>
      </c>
      <c r="AAG77" s="277" t="s">
        <v>1072</v>
      </c>
      <c r="AAH77" s="277" t="s">
        <v>1072</v>
      </c>
      <c r="AAI77" s="277" t="s">
        <v>1072</v>
      </c>
      <c r="AAJ77" s="277" t="s">
        <v>1072</v>
      </c>
      <c r="AAK77" s="277" t="s">
        <v>1072</v>
      </c>
      <c r="AAL77" s="277" t="s">
        <v>1072</v>
      </c>
      <c r="AAM77" s="277" t="s">
        <v>1072</v>
      </c>
      <c r="AAN77" s="277" t="s">
        <v>1072</v>
      </c>
      <c r="AAO77" s="277" t="s">
        <v>1072</v>
      </c>
      <c r="AAP77" s="277" t="s">
        <v>1072</v>
      </c>
      <c r="AAQ77" s="277" t="s">
        <v>1072</v>
      </c>
      <c r="AAR77" s="277" t="s">
        <v>1072</v>
      </c>
      <c r="AAS77" s="277" t="s">
        <v>1072</v>
      </c>
      <c r="AAT77" s="277" t="s">
        <v>1072</v>
      </c>
      <c r="AAU77" s="277" t="s">
        <v>1072</v>
      </c>
      <c r="AAV77" s="277" t="s">
        <v>1072</v>
      </c>
      <c r="AAW77" s="277" t="s">
        <v>1072</v>
      </c>
      <c r="AAX77" s="277" t="s">
        <v>1072</v>
      </c>
      <c r="AAY77" s="277" t="s">
        <v>1072</v>
      </c>
      <c r="AAZ77" s="277" t="s">
        <v>1072</v>
      </c>
      <c r="ABA77" s="277" t="s">
        <v>1072</v>
      </c>
      <c r="ABB77" s="277" t="s">
        <v>1072</v>
      </c>
      <c r="ABC77" s="277" t="s">
        <v>1072</v>
      </c>
      <c r="ABD77" s="277" t="s">
        <v>1072</v>
      </c>
      <c r="ABE77" s="277" t="s">
        <v>1072</v>
      </c>
      <c r="ABF77" s="277" t="s">
        <v>1072</v>
      </c>
      <c r="ABG77" s="277" t="s">
        <v>1072</v>
      </c>
      <c r="ABH77" s="277" t="s">
        <v>1072</v>
      </c>
      <c r="ABI77" s="277" t="s">
        <v>1072</v>
      </c>
      <c r="ABJ77" s="277" t="s">
        <v>1072</v>
      </c>
      <c r="ABK77" s="277" t="s">
        <v>1072</v>
      </c>
      <c r="ABL77" s="277" t="s">
        <v>1072</v>
      </c>
      <c r="ABM77" s="277" t="s">
        <v>1072</v>
      </c>
      <c r="ABN77" s="277" t="s">
        <v>1072</v>
      </c>
      <c r="ABO77" s="277" t="s">
        <v>1072</v>
      </c>
      <c r="ABP77" s="277" t="s">
        <v>1072</v>
      </c>
      <c r="ABQ77" s="277" t="s">
        <v>1072</v>
      </c>
      <c r="ABR77" s="277" t="s">
        <v>1072</v>
      </c>
      <c r="ABS77" s="277" t="s">
        <v>1072</v>
      </c>
      <c r="ABT77" s="277" t="s">
        <v>1072</v>
      </c>
      <c r="ABU77" s="277" t="s">
        <v>1072</v>
      </c>
      <c r="ABV77" s="277" t="s">
        <v>1072</v>
      </c>
      <c r="ABW77" s="277" t="s">
        <v>1072</v>
      </c>
      <c r="ABX77" s="277" t="s">
        <v>1072</v>
      </c>
      <c r="ABY77" s="277" t="s">
        <v>1072</v>
      </c>
      <c r="ABZ77" s="277" t="s">
        <v>1072</v>
      </c>
      <c r="ACA77" s="277" t="s">
        <v>1072</v>
      </c>
      <c r="ACB77" s="277" t="s">
        <v>1072</v>
      </c>
      <c r="ACC77" s="277" t="s">
        <v>1072</v>
      </c>
      <c r="ACD77" s="277" t="s">
        <v>1072</v>
      </c>
      <c r="ACE77" s="277" t="s">
        <v>1072</v>
      </c>
      <c r="ACF77" s="277" t="s">
        <v>1072</v>
      </c>
      <c r="ACG77" s="277" t="s">
        <v>1072</v>
      </c>
      <c r="ACH77" s="277" t="s">
        <v>1072</v>
      </c>
      <c r="ACI77" s="277" t="s">
        <v>1072</v>
      </c>
      <c r="ACJ77" s="277" t="s">
        <v>1072</v>
      </c>
      <c r="ACK77" s="277" t="s">
        <v>1072</v>
      </c>
      <c r="ACL77" s="277" t="s">
        <v>1072</v>
      </c>
      <c r="ACM77" s="277" t="s">
        <v>1072</v>
      </c>
      <c r="ACN77" s="277" t="s">
        <v>1072</v>
      </c>
      <c r="ACO77" s="277" t="s">
        <v>1072</v>
      </c>
      <c r="ACP77" s="277" t="s">
        <v>1072</v>
      </c>
      <c r="ACQ77" s="277" t="s">
        <v>1072</v>
      </c>
      <c r="ACR77" s="277" t="s">
        <v>1072</v>
      </c>
      <c r="ACS77" s="277" t="s">
        <v>1072</v>
      </c>
      <c r="ACT77" s="277" t="s">
        <v>1072</v>
      </c>
      <c r="ACU77" s="277" t="s">
        <v>1072</v>
      </c>
      <c r="ACV77" s="277" t="s">
        <v>1072</v>
      </c>
      <c r="ACW77" s="277" t="s">
        <v>1072</v>
      </c>
      <c r="ACX77" s="277" t="s">
        <v>1072</v>
      </c>
      <c r="ACY77" s="277" t="s">
        <v>1072</v>
      </c>
      <c r="ACZ77" s="277" t="s">
        <v>1072</v>
      </c>
      <c r="ADA77" s="277" t="s">
        <v>1072</v>
      </c>
      <c r="ADB77" s="277" t="s">
        <v>1072</v>
      </c>
      <c r="ADC77" s="277" t="s">
        <v>1072</v>
      </c>
      <c r="ADD77" s="277" t="s">
        <v>1072</v>
      </c>
      <c r="ADE77" s="277" t="s">
        <v>1072</v>
      </c>
      <c r="ADF77" s="277" t="s">
        <v>1072</v>
      </c>
      <c r="ADG77" s="277" t="s">
        <v>1072</v>
      </c>
      <c r="ADH77" s="277" t="s">
        <v>1072</v>
      </c>
      <c r="ADI77" s="277" t="s">
        <v>1072</v>
      </c>
      <c r="ADJ77" s="277" t="s">
        <v>1072</v>
      </c>
      <c r="ADK77" s="277" t="s">
        <v>1072</v>
      </c>
      <c r="ADL77" s="277" t="s">
        <v>1072</v>
      </c>
      <c r="ADM77" s="277" t="s">
        <v>1072</v>
      </c>
      <c r="ADN77" s="277" t="s">
        <v>1072</v>
      </c>
      <c r="ADO77" s="277" t="s">
        <v>1072</v>
      </c>
      <c r="ADP77" s="277" t="s">
        <v>1072</v>
      </c>
      <c r="ADQ77" s="277" t="s">
        <v>1072</v>
      </c>
      <c r="ADR77" s="277" t="s">
        <v>1072</v>
      </c>
      <c r="ADS77" s="277" t="s">
        <v>1072</v>
      </c>
      <c r="ADT77" s="277" t="s">
        <v>1072</v>
      </c>
      <c r="ADU77" s="277" t="s">
        <v>1072</v>
      </c>
      <c r="ADV77" s="277" t="s">
        <v>1072</v>
      </c>
      <c r="ADW77" s="277" t="s">
        <v>1072</v>
      </c>
      <c r="ADX77" s="277" t="s">
        <v>1072</v>
      </c>
      <c r="ADY77" s="277" t="s">
        <v>1072</v>
      </c>
      <c r="ADZ77" s="277" t="s">
        <v>1072</v>
      </c>
      <c r="AEA77" s="277" t="s">
        <v>1072</v>
      </c>
      <c r="AEB77" s="277" t="s">
        <v>1072</v>
      </c>
      <c r="AEC77" s="277" t="s">
        <v>1072</v>
      </c>
      <c r="AED77" s="277" t="s">
        <v>1072</v>
      </c>
      <c r="AEE77" s="277" t="s">
        <v>1072</v>
      </c>
      <c r="AEF77" s="277" t="s">
        <v>1072</v>
      </c>
      <c r="AEG77" s="277" t="s">
        <v>1072</v>
      </c>
      <c r="AEH77" s="277" t="s">
        <v>1072</v>
      </c>
      <c r="AEI77" s="277" t="s">
        <v>1072</v>
      </c>
      <c r="AEJ77" s="277" t="s">
        <v>1072</v>
      </c>
      <c r="AEK77" s="277" t="s">
        <v>1072</v>
      </c>
      <c r="AEL77" s="277" t="s">
        <v>1072</v>
      </c>
      <c r="AEM77" s="277" t="s">
        <v>1072</v>
      </c>
      <c r="AEN77" s="277" t="s">
        <v>1072</v>
      </c>
      <c r="AEO77" s="277" t="s">
        <v>1072</v>
      </c>
      <c r="AEP77" s="277" t="s">
        <v>1072</v>
      </c>
      <c r="AEQ77" s="277" t="s">
        <v>1072</v>
      </c>
      <c r="AER77" s="277" t="s">
        <v>1072</v>
      </c>
      <c r="AES77" s="277" t="s">
        <v>1072</v>
      </c>
      <c r="AET77" s="277" t="s">
        <v>1072</v>
      </c>
      <c r="AEU77" s="277" t="s">
        <v>1072</v>
      </c>
      <c r="AEV77" s="277" t="s">
        <v>1072</v>
      </c>
      <c r="AEW77" s="277" t="s">
        <v>1072</v>
      </c>
      <c r="AEX77" s="277" t="s">
        <v>1072</v>
      </c>
      <c r="AEY77" s="277" t="s">
        <v>1072</v>
      </c>
      <c r="AEZ77" s="277" t="s">
        <v>1072</v>
      </c>
      <c r="AFA77" s="277" t="s">
        <v>1072</v>
      </c>
      <c r="AFB77" s="277" t="s">
        <v>1072</v>
      </c>
      <c r="AFC77" s="277" t="s">
        <v>1072</v>
      </c>
      <c r="AFD77" s="277" t="s">
        <v>1072</v>
      </c>
      <c r="AFE77" s="277" t="s">
        <v>1072</v>
      </c>
      <c r="AFF77" s="277" t="s">
        <v>1072</v>
      </c>
      <c r="AFG77" s="277" t="s">
        <v>1072</v>
      </c>
      <c r="AFH77" s="277" t="s">
        <v>1072</v>
      </c>
      <c r="AFI77" s="277" t="s">
        <v>1072</v>
      </c>
      <c r="AFJ77" s="277" t="s">
        <v>1072</v>
      </c>
      <c r="AFK77" s="277" t="s">
        <v>1072</v>
      </c>
      <c r="AFL77" s="277" t="s">
        <v>1072</v>
      </c>
      <c r="AFM77" s="277" t="s">
        <v>1072</v>
      </c>
      <c r="AFN77" s="277" t="s">
        <v>1072</v>
      </c>
      <c r="AFO77" s="277" t="s">
        <v>1072</v>
      </c>
      <c r="AFP77" s="277" t="s">
        <v>1072</v>
      </c>
      <c r="AFQ77" s="277" t="s">
        <v>1072</v>
      </c>
      <c r="AFR77" s="277" t="s">
        <v>1072</v>
      </c>
      <c r="AFS77" s="277" t="s">
        <v>1072</v>
      </c>
      <c r="AFT77" s="277" t="s">
        <v>1072</v>
      </c>
      <c r="AFU77" s="277" t="s">
        <v>1072</v>
      </c>
      <c r="AFV77" s="277" t="s">
        <v>1072</v>
      </c>
      <c r="AFW77" s="277" t="s">
        <v>1072</v>
      </c>
      <c r="AFX77" s="277" t="s">
        <v>1072</v>
      </c>
      <c r="AFY77" s="277" t="s">
        <v>1072</v>
      </c>
      <c r="AFZ77" s="277" t="s">
        <v>1072</v>
      </c>
      <c r="AGA77" s="277" t="s">
        <v>1072</v>
      </c>
      <c r="AGB77" s="277" t="s">
        <v>1072</v>
      </c>
      <c r="AGC77" s="277" t="s">
        <v>1072</v>
      </c>
      <c r="AGD77" s="277" t="s">
        <v>1072</v>
      </c>
      <c r="AGE77" s="277" t="s">
        <v>1072</v>
      </c>
      <c r="AGF77" s="277" t="s">
        <v>1072</v>
      </c>
      <c r="AGG77" s="277" t="s">
        <v>1072</v>
      </c>
      <c r="AGH77" s="277" t="s">
        <v>1072</v>
      </c>
      <c r="AGI77" s="277" t="s">
        <v>1072</v>
      </c>
      <c r="AGJ77" s="277" t="s">
        <v>1072</v>
      </c>
      <c r="AGK77" s="277" t="s">
        <v>1072</v>
      </c>
      <c r="AGL77" s="277" t="s">
        <v>1072</v>
      </c>
      <c r="AGM77" s="277" t="s">
        <v>1072</v>
      </c>
      <c r="AGN77" s="277" t="s">
        <v>1072</v>
      </c>
      <c r="AGO77" s="277" t="s">
        <v>1072</v>
      </c>
      <c r="AGP77" s="277" t="s">
        <v>1072</v>
      </c>
      <c r="AGQ77" s="277" t="s">
        <v>1072</v>
      </c>
      <c r="AGR77" s="277" t="s">
        <v>1072</v>
      </c>
      <c r="AGS77" s="277" t="s">
        <v>1072</v>
      </c>
      <c r="AGT77" s="277" t="s">
        <v>1072</v>
      </c>
      <c r="AGU77" s="277" t="s">
        <v>1072</v>
      </c>
      <c r="AGV77" s="277" t="s">
        <v>1072</v>
      </c>
      <c r="AGW77" s="277" t="s">
        <v>1072</v>
      </c>
      <c r="AGX77" s="277" t="s">
        <v>1072</v>
      </c>
      <c r="AGY77" s="277" t="s">
        <v>1072</v>
      </c>
      <c r="AGZ77" s="277" t="s">
        <v>1072</v>
      </c>
      <c r="AHA77" s="277" t="s">
        <v>1072</v>
      </c>
      <c r="AHB77" s="277" t="s">
        <v>1072</v>
      </c>
      <c r="AHC77" s="277" t="s">
        <v>1072</v>
      </c>
      <c r="AHD77" s="277" t="s">
        <v>1072</v>
      </c>
      <c r="AHE77" s="277" t="s">
        <v>1072</v>
      </c>
      <c r="AHF77" s="277" t="s">
        <v>1072</v>
      </c>
      <c r="AHG77" s="277" t="s">
        <v>1072</v>
      </c>
      <c r="AHH77" s="277" t="s">
        <v>1072</v>
      </c>
      <c r="AHI77" s="277" t="s">
        <v>1072</v>
      </c>
      <c r="AHJ77" s="277" t="s">
        <v>1072</v>
      </c>
      <c r="AHK77" s="277" t="s">
        <v>1072</v>
      </c>
      <c r="AHL77" s="277" t="s">
        <v>1072</v>
      </c>
      <c r="AHM77" s="277" t="s">
        <v>1072</v>
      </c>
      <c r="AHN77" s="277" t="s">
        <v>1072</v>
      </c>
      <c r="AHO77" s="277" t="s">
        <v>1072</v>
      </c>
      <c r="AHP77" s="277" t="s">
        <v>1072</v>
      </c>
      <c r="AHQ77" s="277" t="s">
        <v>1072</v>
      </c>
      <c r="AHR77" s="277" t="s">
        <v>1072</v>
      </c>
      <c r="AHS77" s="277" t="s">
        <v>1072</v>
      </c>
      <c r="AHT77" s="277" t="s">
        <v>1072</v>
      </c>
      <c r="AHU77" s="277" t="s">
        <v>1072</v>
      </c>
      <c r="AHV77" s="277" t="s">
        <v>1072</v>
      </c>
      <c r="AHW77" s="277" t="s">
        <v>1072</v>
      </c>
      <c r="AHX77" s="277" t="s">
        <v>1072</v>
      </c>
      <c r="AHY77" s="277" t="s">
        <v>1072</v>
      </c>
      <c r="AHZ77" s="277" t="s">
        <v>1072</v>
      </c>
      <c r="AIA77" s="277" t="s">
        <v>1072</v>
      </c>
      <c r="AIB77" s="277" t="s">
        <v>1072</v>
      </c>
      <c r="AIC77" s="277" t="s">
        <v>1072</v>
      </c>
      <c r="AID77" s="277" t="s">
        <v>1072</v>
      </c>
      <c r="AIE77" s="277" t="s">
        <v>1072</v>
      </c>
      <c r="AIF77" s="277" t="s">
        <v>1072</v>
      </c>
      <c r="AIG77" s="277" t="s">
        <v>1072</v>
      </c>
      <c r="AIH77" s="277" t="s">
        <v>1072</v>
      </c>
      <c r="AII77" s="277" t="s">
        <v>1072</v>
      </c>
      <c r="AIJ77" s="277" t="s">
        <v>1072</v>
      </c>
      <c r="AIK77" s="277" t="s">
        <v>1072</v>
      </c>
      <c r="AIL77" s="277" t="s">
        <v>1072</v>
      </c>
      <c r="AIM77" s="277" t="s">
        <v>1072</v>
      </c>
      <c r="AIN77" s="277" t="s">
        <v>1072</v>
      </c>
      <c r="AIO77" s="277" t="s">
        <v>1072</v>
      </c>
      <c r="AIP77" s="277" t="s">
        <v>1072</v>
      </c>
      <c r="AIQ77" s="277" t="s">
        <v>1072</v>
      </c>
      <c r="AIR77" s="277" t="s">
        <v>1072</v>
      </c>
      <c r="AIS77" s="277" t="s">
        <v>1072</v>
      </c>
      <c r="AIT77" s="277" t="s">
        <v>1072</v>
      </c>
      <c r="AIU77" s="277" t="s">
        <v>1072</v>
      </c>
      <c r="AIV77" s="277" t="s">
        <v>1072</v>
      </c>
      <c r="AIW77" s="277" t="s">
        <v>1072</v>
      </c>
      <c r="AIX77" s="277" t="s">
        <v>1072</v>
      </c>
      <c r="AIY77" s="277" t="s">
        <v>1072</v>
      </c>
      <c r="AIZ77" s="277" t="s">
        <v>1072</v>
      </c>
      <c r="AJA77" s="277" t="s">
        <v>1072</v>
      </c>
      <c r="AJB77" s="277" t="s">
        <v>1072</v>
      </c>
      <c r="AJC77" s="277" t="s">
        <v>1072</v>
      </c>
      <c r="AJD77" s="277" t="s">
        <v>1072</v>
      </c>
      <c r="AJE77" s="277" t="s">
        <v>1072</v>
      </c>
      <c r="AJF77" s="277" t="s">
        <v>1072</v>
      </c>
      <c r="AJG77" s="277" t="s">
        <v>1072</v>
      </c>
      <c r="AJH77" s="277" t="s">
        <v>1072</v>
      </c>
      <c r="AJI77" s="277" t="s">
        <v>1072</v>
      </c>
      <c r="AJJ77" s="277" t="s">
        <v>1072</v>
      </c>
      <c r="AJK77" s="277" t="s">
        <v>1072</v>
      </c>
      <c r="AJL77" s="277" t="s">
        <v>1072</v>
      </c>
      <c r="AJM77" s="277" t="s">
        <v>1072</v>
      </c>
      <c r="AJN77" s="277" t="s">
        <v>1072</v>
      </c>
      <c r="AJO77" s="277" t="s">
        <v>1072</v>
      </c>
      <c r="AJP77" s="277" t="s">
        <v>1072</v>
      </c>
      <c r="AJQ77" s="277" t="s">
        <v>1072</v>
      </c>
      <c r="AJR77" s="277" t="s">
        <v>1072</v>
      </c>
      <c r="AJS77" s="277" t="s">
        <v>1072</v>
      </c>
      <c r="AJT77" s="277" t="s">
        <v>1072</v>
      </c>
      <c r="AJU77" s="277" t="s">
        <v>1072</v>
      </c>
      <c r="AJV77" s="277" t="s">
        <v>1072</v>
      </c>
      <c r="AJW77" s="277" t="s">
        <v>1072</v>
      </c>
      <c r="AJX77" s="277" t="s">
        <v>1072</v>
      </c>
      <c r="AJY77" s="277" t="s">
        <v>1072</v>
      </c>
      <c r="AJZ77" s="277" t="s">
        <v>1072</v>
      </c>
      <c r="AKA77" s="277" t="s">
        <v>1072</v>
      </c>
      <c r="AKB77" s="277" t="s">
        <v>1072</v>
      </c>
      <c r="AKC77" s="277" t="s">
        <v>1072</v>
      </c>
      <c r="AKD77" s="277" t="s">
        <v>1072</v>
      </c>
      <c r="AKE77" s="277" t="s">
        <v>1072</v>
      </c>
      <c r="AKF77" s="277" t="s">
        <v>1072</v>
      </c>
      <c r="AKG77" s="277" t="s">
        <v>1072</v>
      </c>
      <c r="AKH77" s="277" t="s">
        <v>1072</v>
      </c>
      <c r="AKI77" s="277" t="s">
        <v>1072</v>
      </c>
      <c r="AKJ77" s="277" t="s">
        <v>1072</v>
      </c>
      <c r="AKK77" s="277" t="s">
        <v>1072</v>
      </c>
      <c r="AKL77" s="277" t="s">
        <v>1072</v>
      </c>
      <c r="AKM77" s="277" t="s">
        <v>1072</v>
      </c>
      <c r="AKN77" s="277" t="s">
        <v>1072</v>
      </c>
      <c r="AKO77" s="277" t="s">
        <v>1072</v>
      </c>
      <c r="AKP77" s="277" t="s">
        <v>1072</v>
      </c>
      <c r="AKQ77" s="277" t="s">
        <v>1072</v>
      </c>
      <c r="AKR77" s="277" t="s">
        <v>1072</v>
      </c>
      <c r="AKS77" s="277" t="s">
        <v>1072</v>
      </c>
      <c r="AKT77" s="277" t="s">
        <v>1072</v>
      </c>
      <c r="AKU77" s="277" t="s">
        <v>1072</v>
      </c>
      <c r="AKV77" s="277" t="s">
        <v>1072</v>
      </c>
      <c r="AKW77" s="277" t="s">
        <v>1072</v>
      </c>
      <c r="AKX77" s="277" t="s">
        <v>1072</v>
      </c>
      <c r="AKY77" s="277" t="s">
        <v>1072</v>
      </c>
      <c r="AKZ77" s="277" t="s">
        <v>1072</v>
      </c>
      <c r="ALA77" s="277" t="s">
        <v>1072</v>
      </c>
      <c r="ALB77" s="277" t="s">
        <v>1072</v>
      </c>
      <c r="ALC77" s="277" t="s">
        <v>1072</v>
      </c>
      <c r="ALD77" s="277" t="s">
        <v>1072</v>
      </c>
      <c r="ALE77" s="277" t="s">
        <v>1072</v>
      </c>
      <c r="ALF77" s="277" t="s">
        <v>1072</v>
      </c>
      <c r="ALG77" s="277" t="s">
        <v>1072</v>
      </c>
      <c r="ALH77" s="277" t="s">
        <v>1072</v>
      </c>
      <c r="ALI77" s="277" t="s">
        <v>1072</v>
      </c>
      <c r="ALJ77" s="277" t="s">
        <v>1072</v>
      </c>
      <c r="ALK77" s="277" t="s">
        <v>1072</v>
      </c>
      <c r="ALL77" s="277" t="s">
        <v>1072</v>
      </c>
      <c r="ALM77" s="277" t="s">
        <v>1072</v>
      </c>
      <c r="ALN77" s="277" t="s">
        <v>1072</v>
      </c>
      <c r="ALO77" s="277" t="s">
        <v>1072</v>
      </c>
      <c r="ALP77" s="277" t="s">
        <v>1072</v>
      </c>
      <c r="ALQ77" s="277" t="s">
        <v>1072</v>
      </c>
      <c r="ALR77" s="277" t="s">
        <v>1072</v>
      </c>
      <c r="ALS77" s="277" t="s">
        <v>1072</v>
      </c>
      <c r="ALT77" s="277" t="s">
        <v>1072</v>
      </c>
      <c r="ALU77" s="277" t="s">
        <v>1072</v>
      </c>
      <c r="ALV77" s="277" t="s">
        <v>1072</v>
      </c>
      <c r="ALW77" s="277" t="s">
        <v>1072</v>
      </c>
      <c r="ALX77" s="277" t="s">
        <v>1072</v>
      </c>
      <c r="ALY77" s="277" t="s">
        <v>1072</v>
      </c>
      <c r="ALZ77" s="277" t="s">
        <v>1072</v>
      </c>
      <c r="AMA77" s="277" t="s">
        <v>1072</v>
      </c>
      <c r="AMB77" s="277" t="s">
        <v>1072</v>
      </c>
      <c r="AMC77" s="277" t="s">
        <v>1072</v>
      </c>
      <c r="AMD77" s="277" t="s">
        <v>1072</v>
      </c>
      <c r="AME77" s="277" t="s">
        <v>1072</v>
      </c>
      <c r="AMF77" s="277" t="s">
        <v>1072</v>
      </c>
      <c r="AMG77" s="277" t="s">
        <v>1072</v>
      </c>
      <c r="AMH77" s="277" t="s">
        <v>1072</v>
      </c>
      <c r="AMI77" s="277" t="s">
        <v>1072</v>
      </c>
      <c r="AMJ77" s="277" t="s">
        <v>1072</v>
      </c>
      <c r="AMK77" s="277" t="s">
        <v>1072</v>
      </c>
      <c r="AML77" s="277" t="s">
        <v>1072</v>
      </c>
      <c r="AMM77" s="277" t="s">
        <v>1072</v>
      </c>
      <c r="AMN77" s="277" t="s">
        <v>1072</v>
      </c>
      <c r="AMO77" s="277" t="s">
        <v>1072</v>
      </c>
      <c r="AMP77" s="277" t="s">
        <v>1072</v>
      </c>
      <c r="AMQ77" s="277" t="s">
        <v>1072</v>
      </c>
      <c r="AMR77" s="277" t="s">
        <v>1072</v>
      </c>
      <c r="AMS77" s="277" t="s">
        <v>1072</v>
      </c>
      <c r="AMT77" s="277" t="s">
        <v>1072</v>
      </c>
      <c r="AMU77" s="277" t="s">
        <v>1072</v>
      </c>
      <c r="AMV77" s="277" t="s">
        <v>1072</v>
      </c>
      <c r="AMW77" s="277" t="s">
        <v>1072</v>
      </c>
      <c r="AMX77" s="277" t="s">
        <v>1072</v>
      </c>
      <c r="AMY77" s="277" t="s">
        <v>1072</v>
      </c>
      <c r="AMZ77" s="277" t="s">
        <v>1072</v>
      </c>
      <c r="ANA77" s="277" t="s">
        <v>1072</v>
      </c>
      <c r="ANB77" s="277" t="s">
        <v>1072</v>
      </c>
      <c r="ANC77" s="277" t="s">
        <v>1072</v>
      </c>
      <c r="AND77" s="277" t="s">
        <v>1072</v>
      </c>
      <c r="ANE77" s="277" t="s">
        <v>1072</v>
      </c>
      <c r="ANF77" s="277" t="s">
        <v>1072</v>
      </c>
      <c r="ANG77" s="277" t="s">
        <v>1072</v>
      </c>
      <c r="ANH77" s="277" t="s">
        <v>1072</v>
      </c>
      <c r="ANI77" s="277" t="s">
        <v>1072</v>
      </c>
      <c r="ANJ77" s="277" t="s">
        <v>1072</v>
      </c>
      <c r="ANK77" s="277" t="s">
        <v>1072</v>
      </c>
      <c r="ANL77" s="277" t="s">
        <v>1072</v>
      </c>
      <c r="ANM77" s="277" t="s">
        <v>1072</v>
      </c>
      <c r="ANN77" s="277" t="s">
        <v>1072</v>
      </c>
      <c r="ANO77" s="277" t="s">
        <v>1072</v>
      </c>
      <c r="ANP77" s="277" t="s">
        <v>1072</v>
      </c>
      <c r="ANQ77" s="277" t="s">
        <v>1072</v>
      </c>
      <c r="ANR77" s="277" t="s">
        <v>1072</v>
      </c>
      <c r="ANS77" s="277" t="s">
        <v>1072</v>
      </c>
      <c r="ANT77" s="277" t="s">
        <v>1072</v>
      </c>
      <c r="ANU77" s="277" t="s">
        <v>1072</v>
      </c>
      <c r="ANV77" s="277" t="s">
        <v>1072</v>
      </c>
      <c r="ANW77" s="277" t="s">
        <v>1072</v>
      </c>
      <c r="ANX77" s="277" t="s">
        <v>1072</v>
      </c>
      <c r="ANY77" s="277" t="s">
        <v>1072</v>
      </c>
      <c r="ANZ77" s="277" t="s">
        <v>1072</v>
      </c>
      <c r="AOA77" s="277" t="s">
        <v>1072</v>
      </c>
      <c r="AOB77" s="277" t="s">
        <v>1072</v>
      </c>
      <c r="AOC77" s="277" t="s">
        <v>1072</v>
      </c>
      <c r="AOD77" s="277" t="s">
        <v>1072</v>
      </c>
      <c r="AOE77" s="277" t="s">
        <v>1072</v>
      </c>
      <c r="AOF77" s="277" t="s">
        <v>1072</v>
      </c>
      <c r="AOG77" s="277" t="s">
        <v>1072</v>
      </c>
      <c r="AOH77" s="277" t="s">
        <v>1072</v>
      </c>
      <c r="AOI77" s="277" t="s">
        <v>1072</v>
      </c>
      <c r="AOJ77" s="277" t="s">
        <v>1072</v>
      </c>
      <c r="AOK77" s="277" t="s">
        <v>1072</v>
      </c>
      <c r="AOL77" s="277" t="s">
        <v>1072</v>
      </c>
      <c r="AOM77" s="277" t="s">
        <v>1072</v>
      </c>
      <c r="AON77" s="277" t="s">
        <v>1072</v>
      </c>
      <c r="AOO77" s="277" t="s">
        <v>1072</v>
      </c>
      <c r="AOP77" s="277" t="s">
        <v>1072</v>
      </c>
      <c r="AOQ77" s="277" t="s">
        <v>1072</v>
      </c>
      <c r="AOR77" s="277" t="s">
        <v>1072</v>
      </c>
      <c r="AOS77" s="277" t="s">
        <v>1072</v>
      </c>
      <c r="AOT77" s="277" t="s">
        <v>1072</v>
      </c>
      <c r="AOU77" s="277" t="s">
        <v>1072</v>
      </c>
      <c r="AOV77" s="277" t="s">
        <v>1072</v>
      </c>
      <c r="AOW77" s="277" t="s">
        <v>1072</v>
      </c>
      <c r="AOX77" s="277" t="s">
        <v>1072</v>
      </c>
      <c r="AOY77" s="277" t="s">
        <v>1072</v>
      </c>
      <c r="AOZ77" s="277" t="s">
        <v>1072</v>
      </c>
      <c r="APA77" s="277" t="s">
        <v>1072</v>
      </c>
      <c r="APB77" s="277" t="s">
        <v>1072</v>
      </c>
      <c r="APC77" s="277" t="s">
        <v>1072</v>
      </c>
      <c r="APD77" s="277" t="s">
        <v>1072</v>
      </c>
      <c r="APE77" s="277" t="s">
        <v>1072</v>
      </c>
      <c r="APF77" s="277" t="s">
        <v>1072</v>
      </c>
      <c r="APG77" s="277" t="s">
        <v>1072</v>
      </c>
      <c r="APH77" s="277" t="s">
        <v>1072</v>
      </c>
      <c r="API77" s="277" t="s">
        <v>1072</v>
      </c>
      <c r="APJ77" s="277" t="s">
        <v>1072</v>
      </c>
      <c r="APK77" s="277" t="s">
        <v>1072</v>
      </c>
      <c r="APL77" s="277" t="s">
        <v>1072</v>
      </c>
      <c r="APM77" s="277" t="s">
        <v>1072</v>
      </c>
      <c r="APN77" s="277" t="s">
        <v>1072</v>
      </c>
      <c r="APO77" s="277" t="s">
        <v>1072</v>
      </c>
      <c r="APP77" s="277" t="s">
        <v>1072</v>
      </c>
      <c r="APQ77" s="277" t="s">
        <v>1072</v>
      </c>
      <c r="APR77" s="277" t="s">
        <v>1072</v>
      </c>
      <c r="APS77" s="277" t="s">
        <v>1072</v>
      </c>
      <c r="APT77" s="277" t="s">
        <v>1072</v>
      </c>
      <c r="APU77" s="277" t="s">
        <v>1072</v>
      </c>
      <c r="APV77" s="277" t="s">
        <v>1072</v>
      </c>
      <c r="APW77" s="277" t="s">
        <v>1072</v>
      </c>
      <c r="APX77" s="277" t="s">
        <v>1072</v>
      </c>
      <c r="APY77" s="277" t="s">
        <v>1072</v>
      </c>
      <c r="APZ77" s="277" t="s">
        <v>1072</v>
      </c>
      <c r="AQA77" s="277" t="s">
        <v>1072</v>
      </c>
      <c r="AQB77" s="277" t="s">
        <v>1072</v>
      </c>
      <c r="AQC77" s="277" t="s">
        <v>1072</v>
      </c>
      <c r="AQD77" s="277" t="s">
        <v>1072</v>
      </c>
      <c r="AQE77" s="277" t="s">
        <v>1072</v>
      </c>
      <c r="AQF77" s="277" t="s">
        <v>1072</v>
      </c>
      <c r="AQG77" s="277" t="s">
        <v>1072</v>
      </c>
      <c r="AQH77" s="277" t="s">
        <v>1072</v>
      </c>
      <c r="AQI77" s="277" t="s">
        <v>1072</v>
      </c>
      <c r="AQJ77" s="277" t="s">
        <v>1072</v>
      </c>
      <c r="AQK77" s="277" t="s">
        <v>1072</v>
      </c>
      <c r="AQL77" s="277" t="s">
        <v>1072</v>
      </c>
      <c r="AQM77" s="277" t="s">
        <v>1072</v>
      </c>
      <c r="AQN77" s="277" t="s">
        <v>1072</v>
      </c>
      <c r="AQO77" s="277" t="s">
        <v>1072</v>
      </c>
      <c r="AQP77" s="277" t="s">
        <v>1072</v>
      </c>
      <c r="AQQ77" s="277" t="s">
        <v>1072</v>
      </c>
      <c r="AQR77" s="277" t="s">
        <v>1072</v>
      </c>
      <c r="AQS77" s="277" t="s">
        <v>1072</v>
      </c>
      <c r="AQT77" s="277" t="s">
        <v>1072</v>
      </c>
      <c r="AQU77" s="277" t="s">
        <v>1072</v>
      </c>
      <c r="AQV77" s="277" t="s">
        <v>1072</v>
      </c>
      <c r="AQW77" s="277" t="s">
        <v>1072</v>
      </c>
      <c r="AQX77" s="277" t="s">
        <v>1072</v>
      </c>
      <c r="AQY77" s="277" t="s">
        <v>1072</v>
      </c>
      <c r="AQZ77" s="277" t="s">
        <v>1072</v>
      </c>
      <c r="ARA77" s="277" t="s">
        <v>1072</v>
      </c>
      <c r="ARB77" s="277" t="s">
        <v>1072</v>
      </c>
      <c r="ARC77" s="277" t="s">
        <v>1072</v>
      </c>
      <c r="ARD77" s="277" t="s">
        <v>1072</v>
      </c>
      <c r="ARE77" s="277" t="s">
        <v>1072</v>
      </c>
      <c r="ARF77" s="277" t="s">
        <v>1072</v>
      </c>
      <c r="ARG77" s="277" t="s">
        <v>1072</v>
      </c>
      <c r="ARH77" s="277" t="s">
        <v>1072</v>
      </c>
      <c r="ARI77" s="277" t="s">
        <v>1072</v>
      </c>
      <c r="ARJ77" s="277" t="s">
        <v>1072</v>
      </c>
      <c r="ARK77" s="277" t="s">
        <v>1072</v>
      </c>
      <c r="ARL77" s="277" t="s">
        <v>1072</v>
      </c>
      <c r="ARM77" s="277" t="s">
        <v>1072</v>
      </c>
      <c r="ARN77" s="277" t="s">
        <v>1072</v>
      </c>
      <c r="ARO77" s="277" t="s">
        <v>1072</v>
      </c>
      <c r="ARP77" s="277" t="s">
        <v>1072</v>
      </c>
      <c r="ARQ77" s="277" t="s">
        <v>1072</v>
      </c>
      <c r="ARR77" s="277" t="s">
        <v>1072</v>
      </c>
      <c r="ARS77" s="277" t="s">
        <v>1072</v>
      </c>
      <c r="ART77" s="277" t="s">
        <v>1072</v>
      </c>
      <c r="ARU77" s="277" t="s">
        <v>1072</v>
      </c>
      <c r="ARV77" s="277" t="s">
        <v>1072</v>
      </c>
      <c r="ARW77" s="277" t="s">
        <v>1072</v>
      </c>
      <c r="ARX77" s="277" t="s">
        <v>1072</v>
      </c>
      <c r="ARY77" s="277" t="s">
        <v>1072</v>
      </c>
      <c r="ARZ77" s="277" t="s">
        <v>1072</v>
      </c>
      <c r="ASA77" s="277" t="s">
        <v>1072</v>
      </c>
      <c r="ASB77" s="277" t="s">
        <v>1072</v>
      </c>
      <c r="ASC77" s="277" t="s">
        <v>1072</v>
      </c>
      <c r="ASD77" s="277" t="s">
        <v>1072</v>
      </c>
      <c r="ASE77" s="277" t="s">
        <v>1072</v>
      </c>
      <c r="ASF77" s="277" t="s">
        <v>1072</v>
      </c>
      <c r="ASG77" s="277" t="s">
        <v>1072</v>
      </c>
      <c r="ASH77" s="277" t="s">
        <v>1072</v>
      </c>
      <c r="ASI77" s="277" t="s">
        <v>1072</v>
      </c>
      <c r="ASJ77" s="277" t="s">
        <v>1072</v>
      </c>
      <c r="ASK77" s="277" t="s">
        <v>1072</v>
      </c>
      <c r="ASL77" s="277" t="s">
        <v>1072</v>
      </c>
      <c r="ASM77" s="277" t="s">
        <v>1072</v>
      </c>
      <c r="ASN77" s="277" t="s">
        <v>1072</v>
      </c>
      <c r="ASO77" s="277" t="s">
        <v>1072</v>
      </c>
      <c r="ASP77" s="277" t="s">
        <v>1072</v>
      </c>
      <c r="ASQ77" s="277" t="s">
        <v>1072</v>
      </c>
      <c r="ASR77" s="277" t="s">
        <v>1072</v>
      </c>
      <c r="ASS77" s="277" t="s">
        <v>1072</v>
      </c>
      <c r="AST77" s="277" t="s">
        <v>1072</v>
      </c>
      <c r="ASU77" s="277" t="s">
        <v>1072</v>
      </c>
      <c r="ASV77" s="277" t="s">
        <v>1072</v>
      </c>
      <c r="ASW77" s="277" t="s">
        <v>1072</v>
      </c>
      <c r="ASX77" s="277" t="s">
        <v>1072</v>
      </c>
      <c r="ASY77" s="277" t="s">
        <v>1072</v>
      </c>
      <c r="ASZ77" s="277" t="s">
        <v>1072</v>
      </c>
      <c r="ATA77" s="277" t="s">
        <v>1072</v>
      </c>
      <c r="ATB77" s="277" t="s">
        <v>1072</v>
      </c>
      <c r="ATC77" s="277" t="s">
        <v>1072</v>
      </c>
      <c r="ATD77" s="277" t="s">
        <v>1072</v>
      </c>
      <c r="ATE77" s="277" t="s">
        <v>1072</v>
      </c>
      <c r="ATF77" s="277" t="s">
        <v>1072</v>
      </c>
      <c r="ATG77" s="277" t="s">
        <v>1072</v>
      </c>
      <c r="ATH77" s="277" t="s">
        <v>1072</v>
      </c>
      <c r="ATI77" s="277" t="s">
        <v>1072</v>
      </c>
      <c r="ATJ77" s="277" t="s">
        <v>1072</v>
      </c>
      <c r="ATK77" s="277" t="s">
        <v>1072</v>
      </c>
      <c r="ATL77" s="277" t="s">
        <v>1072</v>
      </c>
      <c r="ATM77" s="277" t="s">
        <v>1072</v>
      </c>
      <c r="ATN77" s="277" t="s">
        <v>1072</v>
      </c>
      <c r="ATO77" s="277" t="s">
        <v>1072</v>
      </c>
      <c r="ATP77" s="277" t="s">
        <v>1072</v>
      </c>
      <c r="ATQ77" s="277" t="s">
        <v>1072</v>
      </c>
      <c r="ATR77" s="277" t="s">
        <v>1072</v>
      </c>
      <c r="ATS77" s="277" t="s">
        <v>1072</v>
      </c>
      <c r="ATT77" s="277" t="s">
        <v>1072</v>
      </c>
      <c r="ATU77" s="277" t="s">
        <v>1072</v>
      </c>
      <c r="ATV77" s="277" t="s">
        <v>1072</v>
      </c>
      <c r="ATW77" s="277" t="s">
        <v>1072</v>
      </c>
      <c r="ATX77" s="277" t="s">
        <v>1072</v>
      </c>
      <c r="ATY77" s="277" t="s">
        <v>1072</v>
      </c>
      <c r="ATZ77" s="277" t="s">
        <v>1072</v>
      </c>
      <c r="AUA77" s="277" t="s">
        <v>1072</v>
      </c>
      <c r="AUB77" s="277" t="s">
        <v>1072</v>
      </c>
      <c r="AUC77" s="277" t="s">
        <v>1072</v>
      </c>
      <c r="AUD77" s="277" t="s">
        <v>1072</v>
      </c>
      <c r="AUE77" s="277" t="s">
        <v>1072</v>
      </c>
      <c r="AUF77" s="277" t="s">
        <v>1072</v>
      </c>
      <c r="AUG77" s="277" t="s">
        <v>1072</v>
      </c>
      <c r="AUH77" s="277" t="s">
        <v>1072</v>
      </c>
      <c r="AUI77" s="277" t="s">
        <v>1072</v>
      </c>
      <c r="AUJ77" s="277" t="s">
        <v>1072</v>
      </c>
      <c r="AUK77" s="277" t="s">
        <v>1072</v>
      </c>
      <c r="AUL77" s="277" t="s">
        <v>1072</v>
      </c>
      <c r="AUM77" s="277" t="s">
        <v>1072</v>
      </c>
      <c r="AUN77" s="277" t="s">
        <v>1072</v>
      </c>
      <c r="AUO77" s="277" t="s">
        <v>1072</v>
      </c>
      <c r="AUP77" s="277" t="s">
        <v>1072</v>
      </c>
      <c r="AUQ77" s="277" t="s">
        <v>1072</v>
      </c>
      <c r="AUR77" s="277" t="s">
        <v>1072</v>
      </c>
      <c r="AUS77" s="277" t="s">
        <v>1072</v>
      </c>
      <c r="AUT77" s="277" t="s">
        <v>1072</v>
      </c>
      <c r="AUU77" s="277" t="s">
        <v>1072</v>
      </c>
      <c r="AUV77" s="277" t="s">
        <v>1072</v>
      </c>
      <c r="AUW77" s="277" t="s">
        <v>1072</v>
      </c>
      <c r="AUX77" s="277" t="s">
        <v>1072</v>
      </c>
      <c r="AUY77" s="277" t="s">
        <v>1072</v>
      </c>
      <c r="AUZ77" s="277" t="s">
        <v>1072</v>
      </c>
      <c r="AVA77" s="277" t="s">
        <v>1072</v>
      </c>
      <c r="AVB77" s="277" t="s">
        <v>1072</v>
      </c>
      <c r="AVC77" s="277" t="s">
        <v>1072</v>
      </c>
      <c r="AVD77" s="277" t="s">
        <v>1072</v>
      </c>
      <c r="AVE77" s="277" t="s">
        <v>1072</v>
      </c>
      <c r="AVF77" s="277" t="s">
        <v>1072</v>
      </c>
      <c r="AVG77" s="277" t="s">
        <v>1072</v>
      </c>
      <c r="AVH77" s="277" t="s">
        <v>1072</v>
      </c>
      <c r="AVI77" s="277" t="s">
        <v>1072</v>
      </c>
      <c r="AVJ77" s="277" t="s">
        <v>1072</v>
      </c>
      <c r="AVK77" s="277" t="s">
        <v>1072</v>
      </c>
      <c r="AVL77" s="277" t="s">
        <v>1072</v>
      </c>
      <c r="AVM77" s="277" t="s">
        <v>1072</v>
      </c>
      <c r="AVN77" s="277" t="s">
        <v>1072</v>
      </c>
      <c r="AVO77" s="277" t="s">
        <v>1072</v>
      </c>
      <c r="AVP77" s="277" t="s">
        <v>1072</v>
      </c>
      <c r="AVQ77" s="277" t="s">
        <v>1072</v>
      </c>
      <c r="AVR77" s="277" t="s">
        <v>1072</v>
      </c>
      <c r="AVS77" s="277" t="s">
        <v>1072</v>
      </c>
      <c r="AVT77" s="277" t="s">
        <v>1072</v>
      </c>
      <c r="AVU77" s="277" t="s">
        <v>1072</v>
      </c>
      <c r="AVV77" s="277" t="s">
        <v>1072</v>
      </c>
      <c r="AVW77" s="277" t="s">
        <v>1072</v>
      </c>
      <c r="AVX77" s="277" t="s">
        <v>1072</v>
      </c>
      <c r="AVY77" s="277" t="s">
        <v>1072</v>
      </c>
      <c r="AVZ77" s="277" t="s">
        <v>1072</v>
      </c>
      <c r="AWA77" s="277" t="s">
        <v>1072</v>
      </c>
      <c r="AWB77" s="277" t="s">
        <v>1072</v>
      </c>
      <c r="AWC77" s="277" t="s">
        <v>1072</v>
      </c>
      <c r="AWD77" s="277" t="s">
        <v>1072</v>
      </c>
      <c r="AWE77" s="277" t="s">
        <v>1072</v>
      </c>
      <c r="AWF77" s="277" t="s">
        <v>1072</v>
      </c>
      <c r="AWG77" s="277" t="s">
        <v>1072</v>
      </c>
      <c r="AWH77" s="277" t="s">
        <v>1072</v>
      </c>
      <c r="AWI77" s="277" t="s">
        <v>1072</v>
      </c>
      <c r="AWJ77" s="277" t="s">
        <v>1072</v>
      </c>
      <c r="AWK77" s="277" t="s">
        <v>1072</v>
      </c>
      <c r="AWL77" s="277" t="s">
        <v>1072</v>
      </c>
      <c r="AWM77" s="277" t="s">
        <v>1072</v>
      </c>
      <c r="AWN77" s="277" t="s">
        <v>1072</v>
      </c>
      <c r="AWO77" s="277" t="s">
        <v>1072</v>
      </c>
      <c r="AWP77" s="277" t="s">
        <v>1072</v>
      </c>
      <c r="AWQ77" s="277" t="s">
        <v>1072</v>
      </c>
      <c r="AWR77" s="277" t="s">
        <v>1072</v>
      </c>
      <c r="AWS77" s="277" t="s">
        <v>1072</v>
      </c>
      <c r="AWT77" s="277" t="s">
        <v>1072</v>
      </c>
      <c r="AWU77" s="277" t="s">
        <v>1072</v>
      </c>
      <c r="AWV77" s="277" t="s">
        <v>1072</v>
      </c>
      <c r="AWW77" s="277" t="s">
        <v>1072</v>
      </c>
      <c r="AWX77" s="277" t="s">
        <v>1072</v>
      </c>
      <c r="AWY77" s="277" t="s">
        <v>1072</v>
      </c>
      <c r="AWZ77" s="277" t="s">
        <v>1072</v>
      </c>
      <c r="AXA77" s="277" t="s">
        <v>1072</v>
      </c>
      <c r="AXB77" s="277" t="s">
        <v>1072</v>
      </c>
      <c r="AXC77" s="277" t="s">
        <v>1072</v>
      </c>
      <c r="AXD77" s="277" t="s">
        <v>1072</v>
      </c>
      <c r="AXE77" s="277" t="s">
        <v>1072</v>
      </c>
      <c r="AXF77" s="277" t="s">
        <v>1072</v>
      </c>
      <c r="AXG77" s="277" t="s">
        <v>1072</v>
      </c>
      <c r="AXH77" s="277" t="s">
        <v>1072</v>
      </c>
      <c r="AXI77" s="277" t="s">
        <v>1072</v>
      </c>
      <c r="AXJ77" s="277" t="s">
        <v>1072</v>
      </c>
      <c r="AXK77" s="277" t="s">
        <v>1072</v>
      </c>
      <c r="AXL77" s="277" t="s">
        <v>1072</v>
      </c>
      <c r="AXM77" s="277" t="s">
        <v>1072</v>
      </c>
      <c r="AXN77" s="277" t="s">
        <v>1072</v>
      </c>
      <c r="AXO77" s="277" t="s">
        <v>1072</v>
      </c>
      <c r="AXP77" s="277" t="s">
        <v>1072</v>
      </c>
      <c r="AXQ77" s="277" t="s">
        <v>1072</v>
      </c>
      <c r="AXR77" s="277" t="s">
        <v>1072</v>
      </c>
      <c r="AXS77" s="277" t="s">
        <v>1072</v>
      </c>
      <c r="AXT77" s="277" t="s">
        <v>1072</v>
      </c>
      <c r="AXU77" s="277" t="s">
        <v>1072</v>
      </c>
      <c r="AXV77" s="277" t="s">
        <v>1072</v>
      </c>
      <c r="AXW77" s="277" t="s">
        <v>1072</v>
      </c>
      <c r="AXX77" s="277" t="s">
        <v>1072</v>
      </c>
      <c r="AXY77" s="277" t="s">
        <v>1072</v>
      </c>
      <c r="AXZ77" s="277" t="s">
        <v>1072</v>
      </c>
      <c r="AYA77" s="277" t="s">
        <v>1072</v>
      </c>
      <c r="AYB77" s="277" t="s">
        <v>1072</v>
      </c>
      <c r="AYC77" s="277" t="s">
        <v>1072</v>
      </c>
      <c r="AYD77" s="277" t="s">
        <v>1072</v>
      </c>
      <c r="AYE77" s="277" t="s">
        <v>1072</v>
      </c>
      <c r="AYF77" s="277" t="s">
        <v>1072</v>
      </c>
      <c r="AYG77" s="277" t="s">
        <v>1072</v>
      </c>
      <c r="AYH77" s="277" t="s">
        <v>1072</v>
      </c>
      <c r="AYI77" s="277" t="s">
        <v>1072</v>
      </c>
      <c r="AYJ77" s="277" t="s">
        <v>1072</v>
      </c>
      <c r="AYK77" s="277" t="s">
        <v>1072</v>
      </c>
      <c r="AYL77" s="277" t="s">
        <v>1072</v>
      </c>
      <c r="AYM77" s="277" t="s">
        <v>1072</v>
      </c>
      <c r="AYN77" s="277" t="s">
        <v>1072</v>
      </c>
      <c r="AYO77" s="277" t="s">
        <v>1072</v>
      </c>
      <c r="AYP77" s="277" t="s">
        <v>1072</v>
      </c>
      <c r="AYQ77" s="277" t="s">
        <v>1072</v>
      </c>
      <c r="AYR77" s="277" t="s">
        <v>1072</v>
      </c>
      <c r="AYS77" s="277" t="s">
        <v>1072</v>
      </c>
      <c r="AYT77" s="277" t="s">
        <v>1072</v>
      </c>
      <c r="AYU77" s="277" t="s">
        <v>1072</v>
      </c>
      <c r="AYV77" s="277" t="s">
        <v>1072</v>
      </c>
      <c r="AYW77" s="277" t="s">
        <v>1072</v>
      </c>
      <c r="AYX77" s="277" t="s">
        <v>1072</v>
      </c>
      <c r="AYY77" s="277" t="s">
        <v>1072</v>
      </c>
      <c r="AYZ77" s="277" t="s">
        <v>1072</v>
      </c>
      <c r="AZA77" s="277" t="s">
        <v>1072</v>
      </c>
      <c r="AZB77" s="277" t="s">
        <v>1072</v>
      </c>
      <c r="AZC77" s="277" t="s">
        <v>1072</v>
      </c>
      <c r="AZD77" s="277" t="s">
        <v>1072</v>
      </c>
      <c r="AZE77" s="277" t="s">
        <v>1072</v>
      </c>
      <c r="AZF77" s="277" t="s">
        <v>1072</v>
      </c>
      <c r="AZG77" s="277" t="s">
        <v>1072</v>
      </c>
      <c r="AZH77" s="277" t="s">
        <v>1072</v>
      </c>
      <c r="AZI77" s="277" t="s">
        <v>1072</v>
      </c>
      <c r="AZJ77" s="277" t="s">
        <v>1072</v>
      </c>
      <c r="AZK77" s="277" t="s">
        <v>1072</v>
      </c>
      <c r="AZL77" s="277" t="s">
        <v>1072</v>
      </c>
      <c r="AZM77" s="277" t="s">
        <v>1072</v>
      </c>
      <c r="AZN77" s="277" t="s">
        <v>1072</v>
      </c>
      <c r="AZO77" s="277" t="s">
        <v>1072</v>
      </c>
      <c r="AZP77" s="277" t="s">
        <v>1072</v>
      </c>
      <c r="AZQ77" s="277" t="s">
        <v>1072</v>
      </c>
      <c r="AZR77" s="277" t="s">
        <v>1072</v>
      </c>
      <c r="AZS77" s="277" t="s">
        <v>1072</v>
      </c>
      <c r="AZT77" s="277" t="s">
        <v>1072</v>
      </c>
      <c r="AZU77" s="277" t="s">
        <v>1072</v>
      </c>
      <c r="AZV77" s="277" t="s">
        <v>1072</v>
      </c>
      <c r="AZW77" s="277" t="s">
        <v>1072</v>
      </c>
      <c r="AZX77" s="277" t="s">
        <v>1072</v>
      </c>
      <c r="AZY77" s="277" t="s">
        <v>1072</v>
      </c>
      <c r="AZZ77" s="277" t="s">
        <v>1072</v>
      </c>
      <c r="BAA77" s="277" t="s">
        <v>1072</v>
      </c>
      <c r="BAB77" s="277" t="s">
        <v>1072</v>
      </c>
      <c r="BAC77" s="277" t="s">
        <v>1072</v>
      </c>
      <c r="BAD77" s="277" t="s">
        <v>1072</v>
      </c>
      <c r="BAE77" s="277" t="s">
        <v>1072</v>
      </c>
      <c r="BAF77" s="277" t="s">
        <v>1072</v>
      </c>
      <c r="BAG77" s="277" t="s">
        <v>1072</v>
      </c>
      <c r="BAH77" s="277" t="s">
        <v>1072</v>
      </c>
      <c r="BAI77" s="277" t="s">
        <v>1072</v>
      </c>
      <c r="BAJ77" s="277" t="s">
        <v>1072</v>
      </c>
      <c r="BAK77" s="277" t="s">
        <v>1072</v>
      </c>
      <c r="BAL77" s="277" t="s">
        <v>1072</v>
      </c>
      <c r="BAM77" s="277" t="s">
        <v>1072</v>
      </c>
      <c r="BAN77" s="277" t="s">
        <v>1072</v>
      </c>
      <c r="BAO77" s="277" t="s">
        <v>1072</v>
      </c>
      <c r="BAP77" s="277" t="s">
        <v>1072</v>
      </c>
      <c r="BAQ77" s="277" t="s">
        <v>1072</v>
      </c>
      <c r="BAR77" s="277" t="s">
        <v>1072</v>
      </c>
      <c r="BAS77" s="277" t="s">
        <v>1072</v>
      </c>
      <c r="BAT77" s="277" t="s">
        <v>1072</v>
      </c>
      <c r="BAU77" s="277" t="s">
        <v>1072</v>
      </c>
      <c r="BAV77" s="277" t="s">
        <v>1072</v>
      </c>
      <c r="BAW77" s="277" t="s">
        <v>1072</v>
      </c>
      <c r="BAX77" s="277" t="s">
        <v>1072</v>
      </c>
      <c r="BAY77" s="277" t="s">
        <v>1072</v>
      </c>
      <c r="BAZ77" s="277" t="s">
        <v>1072</v>
      </c>
      <c r="BBA77" s="277" t="s">
        <v>1072</v>
      </c>
      <c r="BBB77" s="277" t="s">
        <v>1072</v>
      </c>
      <c r="BBC77" s="277" t="s">
        <v>1072</v>
      </c>
      <c r="BBD77" s="277" t="s">
        <v>1072</v>
      </c>
      <c r="BBE77" s="277" t="s">
        <v>1072</v>
      </c>
      <c r="BBF77" s="277" t="s">
        <v>1072</v>
      </c>
      <c r="BBG77" s="277" t="s">
        <v>1072</v>
      </c>
      <c r="BBH77" s="277" t="s">
        <v>1072</v>
      </c>
      <c r="BBI77" s="277" t="s">
        <v>1072</v>
      </c>
      <c r="BBJ77" s="277" t="s">
        <v>1072</v>
      </c>
      <c r="BBK77" s="277" t="s">
        <v>1072</v>
      </c>
      <c r="BBL77" s="277" t="s">
        <v>1072</v>
      </c>
      <c r="BBM77" s="277" t="s">
        <v>1072</v>
      </c>
      <c r="BBN77" s="277" t="s">
        <v>1072</v>
      </c>
      <c r="BBO77" s="277" t="s">
        <v>1072</v>
      </c>
      <c r="BBP77" s="277" t="s">
        <v>1072</v>
      </c>
      <c r="BBQ77" s="277" t="s">
        <v>1072</v>
      </c>
      <c r="BBR77" s="277" t="s">
        <v>1072</v>
      </c>
      <c r="BBS77" s="277" t="s">
        <v>1072</v>
      </c>
      <c r="BBT77" s="277" t="s">
        <v>1072</v>
      </c>
      <c r="BBU77" s="277" t="s">
        <v>1072</v>
      </c>
      <c r="BBV77" s="277" t="s">
        <v>1072</v>
      </c>
      <c r="BBW77" s="277" t="s">
        <v>1072</v>
      </c>
      <c r="BBX77" s="277" t="s">
        <v>1072</v>
      </c>
      <c r="BBY77" s="277" t="s">
        <v>1072</v>
      </c>
      <c r="BBZ77" s="277" t="s">
        <v>1072</v>
      </c>
      <c r="BCA77" s="277" t="s">
        <v>1072</v>
      </c>
      <c r="BCB77" s="277" t="s">
        <v>1072</v>
      </c>
      <c r="BCC77" s="277" t="s">
        <v>1072</v>
      </c>
      <c r="BCD77" s="277" t="s">
        <v>1072</v>
      </c>
      <c r="BCE77" s="277" t="s">
        <v>1072</v>
      </c>
      <c r="BCF77" s="277" t="s">
        <v>1072</v>
      </c>
      <c r="BCG77" s="277" t="s">
        <v>1072</v>
      </c>
      <c r="BCH77" s="277" t="s">
        <v>1072</v>
      </c>
      <c r="BCI77" s="277" t="s">
        <v>1072</v>
      </c>
      <c r="BCJ77" s="277" t="s">
        <v>1072</v>
      </c>
      <c r="BCK77" s="277" t="s">
        <v>1072</v>
      </c>
      <c r="BCL77" s="277" t="s">
        <v>1072</v>
      </c>
      <c r="BCM77" s="277" t="s">
        <v>1072</v>
      </c>
      <c r="BCN77" s="277" t="s">
        <v>1072</v>
      </c>
      <c r="BCO77" s="277" t="s">
        <v>1072</v>
      </c>
      <c r="BCP77" s="277" t="s">
        <v>1072</v>
      </c>
      <c r="BCQ77" s="277" t="s">
        <v>1072</v>
      </c>
      <c r="BCR77" s="277" t="s">
        <v>1072</v>
      </c>
      <c r="BCS77" s="277" t="s">
        <v>1072</v>
      </c>
      <c r="BCT77" s="277" t="s">
        <v>1072</v>
      </c>
      <c r="BCU77" s="277" t="s">
        <v>1072</v>
      </c>
      <c r="BCV77" s="277" t="s">
        <v>1072</v>
      </c>
      <c r="BCW77" s="277" t="s">
        <v>1072</v>
      </c>
      <c r="BCX77" s="277" t="s">
        <v>1072</v>
      </c>
      <c r="BCY77" s="277" t="s">
        <v>1072</v>
      </c>
      <c r="BCZ77" s="277" t="s">
        <v>1072</v>
      </c>
      <c r="BDA77" s="277" t="s">
        <v>1072</v>
      </c>
      <c r="BDB77" s="277" t="s">
        <v>1072</v>
      </c>
      <c r="BDC77" s="277" t="s">
        <v>1072</v>
      </c>
      <c r="BDD77" s="277" t="s">
        <v>1072</v>
      </c>
      <c r="BDE77" s="277" t="s">
        <v>1072</v>
      </c>
      <c r="BDF77" s="277" t="s">
        <v>1072</v>
      </c>
      <c r="BDG77" s="277" t="s">
        <v>1072</v>
      </c>
      <c r="BDH77" s="277" t="s">
        <v>1072</v>
      </c>
      <c r="BDI77" s="277" t="s">
        <v>1072</v>
      </c>
      <c r="BDJ77" s="277" t="s">
        <v>1072</v>
      </c>
      <c r="BDK77" s="277" t="s">
        <v>1072</v>
      </c>
      <c r="BDL77" s="277" t="s">
        <v>1072</v>
      </c>
      <c r="BDM77" s="277" t="s">
        <v>1072</v>
      </c>
      <c r="BDN77" s="277" t="s">
        <v>1072</v>
      </c>
      <c r="BDO77" s="277" t="s">
        <v>1072</v>
      </c>
      <c r="BDP77" s="277" t="s">
        <v>1072</v>
      </c>
      <c r="BDQ77" s="277" t="s">
        <v>1072</v>
      </c>
      <c r="BDR77" s="277" t="s">
        <v>1072</v>
      </c>
      <c r="BDS77" s="277" t="s">
        <v>1072</v>
      </c>
      <c r="BDT77" s="277" t="s">
        <v>1072</v>
      </c>
      <c r="BDU77" s="277" t="s">
        <v>1072</v>
      </c>
      <c r="BDV77" s="277" t="s">
        <v>1072</v>
      </c>
      <c r="BDW77" s="277" t="s">
        <v>1072</v>
      </c>
      <c r="BDX77" s="277" t="s">
        <v>1072</v>
      </c>
      <c r="BDY77" s="277" t="s">
        <v>1072</v>
      </c>
      <c r="BDZ77" s="277" t="s">
        <v>1072</v>
      </c>
      <c r="BEA77" s="277" t="s">
        <v>1072</v>
      </c>
      <c r="BEB77" s="277" t="s">
        <v>1072</v>
      </c>
      <c r="BEC77" s="277" t="s">
        <v>1072</v>
      </c>
      <c r="BED77" s="277" t="s">
        <v>1072</v>
      </c>
      <c r="BEE77" s="277" t="s">
        <v>1072</v>
      </c>
      <c r="BEF77" s="277" t="s">
        <v>1072</v>
      </c>
      <c r="BEG77" s="277" t="s">
        <v>1072</v>
      </c>
      <c r="BEH77" s="277" t="s">
        <v>1072</v>
      </c>
      <c r="BEI77" s="277" t="s">
        <v>1072</v>
      </c>
      <c r="BEJ77" s="277" t="s">
        <v>1072</v>
      </c>
      <c r="BEK77" s="277" t="s">
        <v>1072</v>
      </c>
      <c r="BEL77" s="277" t="s">
        <v>1072</v>
      </c>
      <c r="BEM77" s="277" t="s">
        <v>1072</v>
      </c>
      <c r="BEN77" s="277" t="s">
        <v>1072</v>
      </c>
      <c r="BEO77" s="277" t="s">
        <v>1072</v>
      </c>
      <c r="BEP77" s="277" t="s">
        <v>1072</v>
      </c>
      <c r="BEQ77" s="277" t="s">
        <v>1072</v>
      </c>
      <c r="BER77" s="277" t="s">
        <v>1072</v>
      </c>
      <c r="BES77" s="277" t="s">
        <v>1072</v>
      </c>
      <c r="BET77" s="277" t="s">
        <v>1072</v>
      </c>
      <c r="BEU77" s="277" t="s">
        <v>1072</v>
      </c>
      <c r="BEV77" s="277" t="s">
        <v>1072</v>
      </c>
      <c r="BEW77" s="277" t="s">
        <v>1072</v>
      </c>
      <c r="BEX77" s="277" t="s">
        <v>1072</v>
      </c>
      <c r="BEY77" s="277" t="s">
        <v>1072</v>
      </c>
      <c r="BEZ77" s="277" t="s">
        <v>1072</v>
      </c>
      <c r="BFA77" s="277" t="s">
        <v>1072</v>
      </c>
      <c r="BFB77" s="277" t="s">
        <v>1072</v>
      </c>
      <c r="BFC77" s="277" t="s">
        <v>1072</v>
      </c>
      <c r="BFD77" s="277" t="s">
        <v>1072</v>
      </c>
      <c r="BFE77" s="277" t="s">
        <v>1072</v>
      </c>
      <c r="BFF77" s="277" t="s">
        <v>1072</v>
      </c>
      <c r="BFG77" s="277" t="s">
        <v>1072</v>
      </c>
      <c r="BFH77" s="277" t="s">
        <v>1072</v>
      </c>
      <c r="BFI77" s="277" t="s">
        <v>1072</v>
      </c>
      <c r="BFJ77" s="277" t="s">
        <v>1072</v>
      </c>
      <c r="BFK77" s="277" t="s">
        <v>1072</v>
      </c>
      <c r="BFL77" s="277" t="s">
        <v>1072</v>
      </c>
      <c r="BFM77" s="277" t="s">
        <v>1072</v>
      </c>
      <c r="BFN77" s="277" t="s">
        <v>1072</v>
      </c>
      <c r="BFO77" s="277" t="s">
        <v>1072</v>
      </c>
      <c r="BFP77" s="277" t="s">
        <v>1072</v>
      </c>
      <c r="BFQ77" s="277" t="s">
        <v>1072</v>
      </c>
      <c r="BFR77" s="277" t="s">
        <v>1072</v>
      </c>
      <c r="BFS77" s="277" t="s">
        <v>1072</v>
      </c>
      <c r="BFT77" s="277" t="s">
        <v>1072</v>
      </c>
      <c r="BFU77" s="277" t="s">
        <v>1072</v>
      </c>
      <c r="BFV77" s="277" t="s">
        <v>1072</v>
      </c>
      <c r="BFW77" s="277" t="s">
        <v>1072</v>
      </c>
      <c r="BFX77" s="277" t="s">
        <v>1072</v>
      </c>
      <c r="BFY77" s="277" t="s">
        <v>1072</v>
      </c>
      <c r="BFZ77" s="277" t="s">
        <v>1072</v>
      </c>
      <c r="BGA77" s="277" t="s">
        <v>1072</v>
      </c>
      <c r="BGB77" s="277" t="s">
        <v>1072</v>
      </c>
      <c r="BGC77" s="277" t="s">
        <v>1072</v>
      </c>
      <c r="BGD77" s="277" t="s">
        <v>1072</v>
      </c>
      <c r="BGE77" s="277" t="s">
        <v>1072</v>
      </c>
      <c r="BGF77" s="277" t="s">
        <v>1072</v>
      </c>
      <c r="BGG77" s="277" t="s">
        <v>1072</v>
      </c>
      <c r="BGH77" s="277" t="s">
        <v>1072</v>
      </c>
      <c r="BGI77" s="277" t="s">
        <v>1072</v>
      </c>
      <c r="BGJ77" s="277" t="s">
        <v>1072</v>
      </c>
      <c r="BGK77" s="277" t="s">
        <v>1072</v>
      </c>
      <c r="BGL77" s="277" t="s">
        <v>1072</v>
      </c>
      <c r="BGM77" s="277" t="s">
        <v>1072</v>
      </c>
      <c r="BGN77" s="277" t="s">
        <v>1072</v>
      </c>
      <c r="BGO77" s="277" t="s">
        <v>1072</v>
      </c>
      <c r="BGP77" s="277" t="s">
        <v>1072</v>
      </c>
      <c r="BGQ77" s="277" t="s">
        <v>1072</v>
      </c>
      <c r="BGR77" s="277" t="s">
        <v>1072</v>
      </c>
      <c r="BGS77" s="277" t="s">
        <v>1072</v>
      </c>
      <c r="BGT77" s="277" t="s">
        <v>1072</v>
      </c>
      <c r="BGU77" s="277" t="s">
        <v>1072</v>
      </c>
      <c r="BGV77" s="277" t="s">
        <v>1072</v>
      </c>
      <c r="BGW77" s="277" t="s">
        <v>1072</v>
      </c>
      <c r="BGX77" s="277" t="s">
        <v>1072</v>
      </c>
      <c r="BGY77" s="277" t="s">
        <v>1072</v>
      </c>
      <c r="BGZ77" s="277" t="s">
        <v>1072</v>
      </c>
      <c r="BHA77" s="277" t="s">
        <v>1072</v>
      </c>
      <c r="BHB77" s="277" t="s">
        <v>1072</v>
      </c>
      <c r="BHC77" s="277" t="s">
        <v>1072</v>
      </c>
      <c r="BHD77" s="277" t="s">
        <v>1072</v>
      </c>
      <c r="BHE77" s="277" t="s">
        <v>1072</v>
      </c>
      <c r="BHF77" s="277" t="s">
        <v>1072</v>
      </c>
      <c r="BHG77" s="277" t="s">
        <v>1072</v>
      </c>
      <c r="BHH77" s="277" t="s">
        <v>1072</v>
      </c>
      <c r="BHI77" s="277" t="s">
        <v>1072</v>
      </c>
      <c r="BHJ77" s="277" t="s">
        <v>1072</v>
      </c>
      <c r="BHK77" s="277" t="s">
        <v>1072</v>
      </c>
      <c r="BHL77" s="277" t="s">
        <v>1072</v>
      </c>
      <c r="BHM77" s="277" t="s">
        <v>1072</v>
      </c>
      <c r="BHN77" s="277" t="s">
        <v>1072</v>
      </c>
      <c r="BHO77" s="277" t="s">
        <v>1072</v>
      </c>
      <c r="BHP77" s="277" t="s">
        <v>1072</v>
      </c>
      <c r="BHQ77" s="277" t="s">
        <v>1072</v>
      </c>
      <c r="BHR77" s="277" t="s">
        <v>1072</v>
      </c>
      <c r="BHS77" s="277" t="s">
        <v>1072</v>
      </c>
      <c r="BHT77" s="277" t="s">
        <v>1072</v>
      </c>
      <c r="BHU77" s="277" t="s">
        <v>1072</v>
      </c>
      <c r="BHV77" s="277" t="s">
        <v>1072</v>
      </c>
      <c r="BHW77" s="277" t="s">
        <v>1072</v>
      </c>
      <c r="BHX77" s="277" t="s">
        <v>1072</v>
      </c>
      <c r="BHY77" s="277" t="s">
        <v>1072</v>
      </c>
      <c r="BHZ77" s="277" t="s">
        <v>1072</v>
      </c>
      <c r="BIA77" s="277" t="s">
        <v>1072</v>
      </c>
      <c r="BIB77" s="277" t="s">
        <v>1072</v>
      </c>
      <c r="BIC77" s="277" t="s">
        <v>1072</v>
      </c>
      <c r="BID77" s="277" t="s">
        <v>1072</v>
      </c>
      <c r="BIE77" s="277" t="s">
        <v>1072</v>
      </c>
      <c r="BIF77" s="277" t="s">
        <v>1072</v>
      </c>
      <c r="BIG77" s="277" t="s">
        <v>1072</v>
      </c>
      <c r="BIH77" s="277" t="s">
        <v>1072</v>
      </c>
      <c r="BII77" s="277" t="s">
        <v>1072</v>
      </c>
      <c r="BIJ77" s="277" t="s">
        <v>1072</v>
      </c>
      <c r="BIK77" s="277" t="s">
        <v>1072</v>
      </c>
      <c r="BIL77" s="277" t="s">
        <v>1072</v>
      </c>
      <c r="BIM77" s="277" t="s">
        <v>1072</v>
      </c>
      <c r="BIN77" s="277" t="s">
        <v>1072</v>
      </c>
      <c r="BIO77" s="277" t="s">
        <v>1072</v>
      </c>
      <c r="BIP77" s="277" t="s">
        <v>1072</v>
      </c>
      <c r="BIQ77" s="277" t="s">
        <v>1072</v>
      </c>
      <c r="BIR77" s="277" t="s">
        <v>1072</v>
      </c>
      <c r="BIS77" s="277" t="s">
        <v>1072</v>
      </c>
      <c r="BIT77" s="277" t="s">
        <v>1072</v>
      </c>
      <c r="BIU77" s="277" t="s">
        <v>1072</v>
      </c>
      <c r="BIV77" s="277" t="s">
        <v>1072</v>
      </c>
      <c r="BIW77" s="277" t="s">
        <v>1072</v>
      </c>
      <c r="BIX77" s="277" t="s">
        <v>1072</v>
      </c>
      <c r="BIY77" s="277" t="s">
        <v>1072</v>
      </c>
      <c r="BIZ77" s="277" t="s">
        <v>1072</v>
      </c>
      <c r="BJA77" s="277" t="s">
        <v>1072</v>
      </c>
      <c r="BJB77" s="277" t="s">
        <v>1072</v>
      </c>
      <c r="BJC77" s="277" t="s">
        <v>1072</v>
      </c>
      <c r="BJD77" s="277" t="s">
        <v>1072</v>
      </c>
      <c r="BJE77" s="277" t="s">
        <v>1072</v>
      </c>
      <c r="BJF77" s="277" t="s">
        <v>1072</v>
      </c>
      <c r="BJG77" s="277" t="s">
        <v>1072</v>
      </c>
      <c r="BJH77" s="277" t="s">
        <v>1072</v>
      </c>
      <c r="BJI77" s="277" t="s">
        <v>1072</v>
      </c>
      <c r="BJJ77" s="277" t="s">
        <v>1072</v>
      </c>
      <c r="BJK77" s="277" t="s">
        <v>1072</v>
      </c>
      <c r="BJL77" s="277" t="s">
        <v>1072</v>
      </c>
      <c r="BJM77" s="277" t="s">
        <v>1072</v>
      </c>
      <c r="BJN77" s="277" t="s">
        <v>1072</v>
      </c>
      <c r="BJO77" s="277" t="s">
        <v>1072</v>
      </c>
      <c r="BJP77" s="277" t="s">
        <v>1072</v>
      </c>
      <c r="BJQ77" s="277" t="s">
        <v>1072</v>
      </c>
      <c r="BJR77" s="277" t="s">
        <v>1072</v>
      </c>
      <c r="BJS77" s="277" t="s">
        <v>1072</v>
      </c>
      <c r="BJT77" s="277" t="s">
        <v>1072</v>
      </c>
      <c r="BJU77" s="277" t="s">
        <v>1072</v>
      </c>
      <c r="BJV77" s="277" t="s">
        <v>1072</v>
      </c>
      <c r="BJW77" s="277" t="s">
        <v>1072</v>
      </c>
      <c r="BJX77" s="277" t="s">
        <v>1072</v>
      </c>
      <c r="BJY77" s="277" t="s">
        <v>1072</v>
      </c>
      <c r="BJZ77" s="277" t="s">
        <v>1072</v>
      </c>
      <c r="BKA77" s="277" t="s">
        <v>1072</v>
      </c>
      <c r="BKB77" s="277" t="s">
        <v>1072</v>
      </c>
      <c r="BKC77" s="277" t="s">
        <v>1072</v>
      </c>
      <c r="BKD77" s="277" t="s">
        <v>1072</v>
      </c>
      <c r="BKE77" s="277" t="s">
        <v>1072</v>
      </c>
      <c r="BKF77" s="277" t="s">
        <v>1072</v>
      </c>
      <c r="BKG77" s="277" t="s">
        <v>1072</v>
      </c>
      <c r="BKH77" s="277" t="s">
        <v>1072</v>
      </c>
      <c r="BKI77" s="277" t="s">
        <v>1072</v>
      </c>
      <c r="BKJ77" s="277" t="s">
        <v>1072</v>
      </c>
      <c r="BKK77" s="277" t="s">
        <v>1072</v>
      </c>
      <c r="BKL77" s="277" t="s">
        <v>1072</v>
      </c>
      <c r="BKM77" s="277" t="s">
        <v>1072</v>
      </c>
      <c r="BKN77" s="277" t="s">
        <v>1072</v>
      </c>
      <c r="BKO77" s="277" t="s">
        <v>1072</v>
      </c>
      <c r="BKP77" s="277" t="s">
        <v>1072</v>
      </c>
      <c r="BKQ77" s="277" t="s">
        <v>1072</v>
      </c>
      <c r="BKR77" s="277" t="s">
        <v>1072</v>
      </c>
      <c r="BKS77" s="277" t="s">
        <v>1072</v>
      </c>
      <c r="BKT77" s="277" t="s">
        <v>1072</v>
      </c>
      <c r="BKU77" s="277" t="s">
        <v>1072</v>
      </c>
      <c r="BKV77" s="277" t="s">
        <v>1072</v>
      </c>
      <c r="BKW77" s="277" t="s">
        <v>1072</v>
      </c>
      <c r="BKX77" s="277" t="s">
        <v>1072</v>
      </c>
      <c r="BKY77" s="277" t="s">
        <v>1072</v>
      </c>
      <c r="BKZ77" s="277" t="s">
        <v>1072</v>
      </c>
      <c r="BLA77" s="277" t="s">
        <v>1072</v>
      </c>
      <c r="BLB77" s="277" t="s">
        <v>1072</v>
      </c>
      <c r="BLC77" s="277" t="s">
        <v>1072</v>
      </c>
      <c r="BLD77" s="277" t="s">
        <v>1072</v>
      </c>
      <c r="BLE77" s="277" t="s">
        <v>1072</v>
      </c>
      <c r="BLF77" s="277" t="s">
        <v>1072</v>
      </c>
      <c r="BLG77" s="277" t="s">
        <v>1072</v>
      </c>
      <c r="BLH77" s="277" t="s">
        <v>1072</v>
      </c>
      <c r="BLI77" s="277" t="s">
        <v>1072</v>
      </c>
      <c r="BLJ77" s="277" t="s">
        <v>1072</v>
      </c>
      <c r="BLK77" s="277" t="s">
        <v>1072</v>
      </c>
      <c r="BLL77" s="277" t="s">
        <v>1072</v>
      </c>
      <c r="BLM77" s="277" t="s">
        <v>1072</v>
      </c>
      <c r="BLN77" s="277" t="s">
        <v>1072</v>
      </c>
      <c r="BLO77" s="277" t="s">
        <v>1072</v>
      </c>
      <c r="BLP77" s="277" t="s">
        <v>1072</v>
      </c>
      <c r="BLQ77" s="277" t="s">
        <v>1072</v>
      </c>
      <c r="BLR77" s="277" t="s">
        <v>1072</v>
      </c>
      <c r="BLS77" s="277" t="s">
        <v>1072</v>
      </c>
      <c r="BLT77" s="277" t="s">
        <v>1072</v>
      </c>
      <c r="BLU77" s="277" t="s">
        <v>1072</v>
      </c>
      <c r="BLV77" s="277" t="s">
        <v>1072</v>
      </c>
      <c r="BLW77" s="277" t="s">
        <v>1072</v>
      </c>
      <c r="BLX77" s="277" t="s">
        <v>1072</v>
      </c>
      <c r="BLY77" s="277" t="s">
        <v>1072</v>
      </c>
      <c r="BLZ77" s="277" t="s">
        <v>1072</v>
      </c>
      <c r="BMA77" s="277" t="s">
        <v>1072</v>
      </c>
      <c r="BMB77" s="277" t="s">
        <v>1072</v>
      </c>
      <c r="BMC77" s="277" t="s">
        <v>1072</v>
      </c>
      <c r="BMD77" s="277" t="s">
        <v>1072</v>
      </c>
      <c r="BME77" s="277" t="s">
        <v>1072</v>
      </c>
      <c r="BMF77" s="277" t="s">
        <v>1072</v>
      </c>
      <c r="BMG77" s="277" t="s">
        <v>1072</v>
      </c>
      <c r="BMH77" s="277" t="s">
        <v>1072</v>
      </c>
      <c r="BMI77" s="277" t="s">
        <v>1072</v>
      </c>
      <c r="BMJ77" s="277" t="s">
        <v>1072</v>
      </c>
      <c r="BMK77" s="277" t="s">
        <v>1072</v>
      </c>
      <c r="BML77" s="277" t="s">
        <v>1072</v>
      </c>
      <c r="BMM77" s="277" t="s">
        <v>1072</v>
      </c>
      <c r="BMN77" s="277" t="s">
        <v>1072</v>
      </c>
      <c r="BMO77" s="277" t="s">
        <v>1072</v>
      </c>
      <c r="BMP77" s="277" t="s">
        <v>1072</v>
      </c>
      <c r="BMQ77" s="277" t="s">
        <v>1072</v>
      </c>
      <c r="BMR77" s="277" t="s">
        <v>1072</v>
      </c>
      <c r="BMS77" s="277" t="s">
        <v>1072</v>
      </c>
      <c r="BMT77" s="277" t="s">
        <v>1072</v>
      </c>
      <c r="BMU77" s="277" t="s">
        <v>1072</v>
      </c>
      <c r="BMV77" s="277" t="s">
        <v>1072</v>
      </c>
      <c r="BMW77" s="277" t="s">
        <v>1072</v>
      </c>
      <c r="BMX77" s="277" t="s">
        <v>1072</v>
      </c>
      <c r="BMY77" s="277" t="s">
        <v>1072</v>
      </c>
      <c r="BMZ77" s="277" t="s">
        <v>1072</v>
      </c>
      <c r="BNA77" s="277" t="s">
        <v>1072</v>
      </c>
      <c r="BNB77" s="277" t="s">
        <v>1072</v>
      </c>
      <c r="BNC77" s="277" t="s">
        <v>1072</v>
      </c>
      <c r="BND77" s="277" t="s">
        <v>1072</v>
      </c>
      <c r="BNE77" s="277" t="s">
        <v>1072</v>
      </c>
      <c r="BNF77" s="277" t="s">
        <v>1072</v>
      </c>
      <c r="BNG77" s="277" t="s">
        <v>1072</v>
      </c>
      <c r="BNH77" s="277" t="s">
        <v>1072</v>
      </c>
      <c r="BNI77" s="277" t="s">
        <v>1072</v>
      </c>
      <c r="BNJ77" s="277" t="s">
        <v>1072</v>
      </c>
      <c r="BNK77" s="277" t="s">
        <v>1072</v>
      </c>
      <c r="BNL77" s="277" t="s">
        <v>1072</v>
      </c>
      <c r="BNM77" s="277" t="s">
        <v>1072</v>
      </c>
      <c r="BNN77" s="277" t="s">
        <v>1072</v>
      </c>
      <c r="BNO77" s="277" t="s">
        <v>1072</v>
      </c>
      <c r="BNP77" s="277" t="s">
        <v>1072</v>
      </c>
      <c r="BNQ77" s="277" t="s">
        <v>1072</v>
      </c>
      <c r="BNR77" s="277" t="s">
        <v>1072</v>
      </c>
      <c r="BNS77" s="277" t="s">
        <v>1072</v>
      </c>
      <c r="BNT77" s="277" t="s">
        <v>1072</v>
      </c>
      <c r="BNU77" s="277" t="s">
        <v>1072</v>
      </c>
      <c r="BNV77" s="277" t="s">
        <v>1072</v>
      </c>
      <c r="BNW77" s="277" t="s">
        <v>1072</v>
      </c>
      <c r="BNX77" s="277" t="s">
        <v>1072</v>
      </c>
      <c r="BNY77" s="277" t="s">
        <v>1072</v>
      </c>
      <c r="BNZ77" s="277" t="s">
        <v>1072</v>
      </c>
      <c r="BOA77" s="277" t="s">
        <v>1072</v>
      </c>
      <c r="BOB77" s="277" t="s">
        <v>1072</v>
      </c>
      <c r="BOC77" s="277" t="s">
        <v>1072</v>
      </c>
      <c r="BOD77" s="277" t="s">
        <v>1072</v>
      </c>
      <c r="BOE77" s="277" t="s">
        <v>1072</v>
      </c>
      <c r="BOF77" s="277" t="s">
        <v>1072</v>
      </c>
      <c r="BOG77" s="277" t="s">
        <v>1072</v>
      </c>
      <c r="BOH77" s="277" t="s">
        <v>1072</v>
      </c>
      <c r="BOI77" s="277" t="s">
        <v>1072</v>
      </c>
      <c r="BOJ77" s="277" t="s">
        <v>1072</v>
      </c>
      <c r="BOK77" s="277" t="s">
        <v>1072</v>
      </c>
      <c r="BOL77" s="277" t="s">
        <v>1072</v>
      </c>
      <c r="BOM77" s="277" t="s">
        <v>1072</v>
      </c>
      <c r="BON77" s="277" t="s">
        <v>1072</v>
      </c>
      <c r="BOO77" s="277" t="s">
        <v>1072</v>
      </c>
      <c r="BOP77" s="277" t="s">
        <v>1072</v>
      </c>
      <c r="BOQ77" s="277" t="s">
        <v>1072</v>
      </c>
      <c r="BOR77" s="277" t="s">
        <v>1072</v>
      </c>
      <c r="BOS77" s="277" t="s">
        <v>1072</v>
      </c>
      <c r="BOT77" s="277" t="s">
        <v>1072</v>
      </c>
      <c r="BOU77" s="277" t="s">
        <v>1072</v>
      </c>
      <c r="BOV77" s="277" t="s">
        <v>1072</v>
      </c>
      <c r="BOW77" s="277" t="s">
        <v>1072</v>
      </c>
      <c r="BOX77" s="277" t="s">
        <v>1072</v>
      </c>
      <c r="BOY77" s="277" t="s">
        <v>1072</v>
      </c>
      <c r="BOZ77" s="277" t="s">
        <v>1072</v>
      </c>
      <c r="BPA77" s="277" t="s">
        <v>1072</v>
      </c>
      <c r="BPB77" s="277" t="s">
        <v>1072</v>
      </c>
      <c r="BPC77" s="277" t="s">
        <v>1072</v>
      </c>
      <c r="BPD77" s="277" t="s">
        <v>1072</v>
      </c>
      <c r="BPE77" s="277" t="s">
        <v>1072</v>
      </c>
      <c r="BPF77" s="277" t="s">
        <v>1072</v>
      </c>
      <c r="BPG77" s="277" t="s">
        <v>1072</v>
      </c>
      <c r="BPH77" s="277" t="s">
        <v>1072</v>
      </c>
      <c r="BPI77" s="277" t="s">
        <v>1072</v>
      </c>
      <c r="BPJ77" s="277" t="s">
        <v>1072</v>
      </c>
      <c r="BPK77" s="277" t="s">
        <v>1072</v>
      </c>
      <c r="BPL77" s="277" t="s">
        <v>1072</v>
      </c>
      <c r="BPM77" s="277" t="s">
        <v>1072</v>
      </c>
      <c r="BPN77" s="277" t="s">
        <v>1072</v>
      </c>
      <c r="BPO77" s="277" t="s">
        <v>1072</v>
      </c>
      <c r="BPP77" s="277" t="s">
        <v>1072</v>
      </c>
      <c r="BPQ77" s="277" t="s">
        <v>1072</v>
      </c>
      <c r="BPR77" s="277" t="s">
        <v>1072</v>
      </c>
      <c r="BPS77" s="277" t="s">
        <v>1072</v>
      </c>
      <c r="BPT77" s="277" t="s">
        <v>1072</v>
      </c>
      <c r="BPU77" s="277" t="s">
        <v>1072</v>
      </c>
      <c r="BPV77" s="277" t="s">
        <v>1072</v>
      </c>
      <c r="BPW77" s="277" t="s">
        <v>1072</v>
      </c>
      <c r="BPX77" s="277" t="s">
        <v>1072</v>
      </c>
      <c r="BPY77" s="277" t="s">
        <v>1072</v>
      </c>
      <c r="BPZ77" s="277" t="s">
        <v>1072</v>
      </c>
      <c r="BQA77" s="277" t="s">
        <v>1072</v>
      </c>
      <c r="BQB77" s="277" t="s">
        <v>1072</v>
      </c>
      <c r="BQC77" s="277" t="s">
        <v>1072</v>
      </c>
      <c r="BQD77" s="277" t="s">
        <v>1072</v>
      </c>
      <c r="BQE77" s="277" t="s">
        <v>1072</v>
      </c>
      <c r="BQF77" s="277" t="s">
        <v>1072</v>
      </c>
      <c r="BQG77" s="277" t="s">
        <v>1072</v>
      </c>
      <c r="BQH77" s="277" t="s">
        <v>1072</v>
      </c>
      <c r="BQI77" s="277" t="s">
        <v>1072</v>
      </c>
      <c r="BQJ77" s="277" t="s">
        <v>1072</v>
      </c>
      <c r="BQK77" s="277" t="s">
        <v>1072</v>
      </c>
      <c r="BQL77" s="277" t="s">
        <v>1072</v>
      </c>
      <c r="BQM77" s="277" t="s">
        <v>1072</v>
      </c>
      <c r="BQN77" s="277" t="s">
        <v>1072</v>
      </c>
      <c r="BQO77" s="277" t="s">
        <v>1072</v>
      </c>
      <c r="BQP77" s="277" t="s">
        <v>1072</v>
      </c>
      <c r="BQQ77" s="277" t="s">
        <v>1072</v>
      </c>
      <c r="BQR77" s="277" t="s">
        <v>1072</v>
      </c>
      <c r="BQS77" s="277" t="s">
        <v>1072</v>
      </c>
      <c r="BQT77" s="277" t="s">
        <v>1072</v>
      </c>
      <c r="BQU77" s="277" t="s">
        <v>1072</v>
      </c>
      <c r="BQV77" s="277" t="s">
        <v>1072</v>
      </c>
      <c r="BQW77" s="277" t="s">
        <v>1072</v>
      </c>
      <c r="BQX77" s="277" t="s">
        <v>1072</v>
      </c>
      <c r="BQY77" s="277" t="s">
        <v>1072</v>
      </c>
      <c r="BQZ77" s="277" t="s">
        <v>1072</v>
      </c>
      <c r="BRA77" s="277" t="s">
        <v>1072</v>
      </c>
      <c r="BRB77" s="277" t="s">
        <v>1072</v>
      </c>
      <c r="BRC77" s="277" t="s">
        <v>1072</v>
      </c>
      <c r="BRD77" s="277" t="s">
        <v>1072</v>
      </c>
      <c r="BRE77" s="277" t="s">
        <v>1072</v>
      </c>
      <c r="BRF77" s="277" t="s">
        <v>1072</v>
      </c>
      <c r="BRG77" s="277" t="s">
        <v>1072</v>
      </c>
      <c r="BRH77" s="277" t="s">
        <v>1072</v>
      </c>
      <c r="BRI77" s="277" t="s">
        <v>1072</v>
      </c>
      <c r="BRJ77" s="277" t="s">
        <v>1072</v>
      </c>
      <c r="BRK77" s="277" t="s">
        <v>1072</v>
      </c>
      <c r="BRL77" s="277" t="s">
        <v>1072</v>
      </c>
      <c r="BRM77" s="277" t="s">
        <v>1072</v>
      </c>
      <c r="BRN77" s="277" t="s">
        <v>1072</v>
      </c>
      <c r="BRO77" s="277" t="s">
        <v>1072</v>
      </c>
      <c r="BRP77" s="277" t="s">
        <v>1072</v>
      </c>
      <c r="BRQ77" s="277" t="s">
        <v>1072</v>
      </c>
      <c r="BRR77" s="277" t="s">
        <v>1072</v>
      </c>
      <c r="BRS77" s="277" t="s">
        <v>1072</v>
      </c>
      <c r="BRT77" s="277" t="s">
        <v>1072</v>
      </c>
      <c r="BRU77" s="277" t="s">
        <v>1072</v>
      </c>
      <c r="BRV77" s="277" t="s">
        <v>1072</v>
      </c>
      <c r="BRW77" s="277" t="s">
        <v>1072</v>
      </c>
      <c r="BRX77" s="277" t="s">
        <v>1072</v>
      </c>
      <c r="BRY77" s="277" t="s">
        <v>1072</v>
      </c>
      <c r="BRZ77" s="277" t="s">
        <v>1072</v>
      </c>
      <c r="BSA77" s="277" t="s">
        <v>1072</v>
      </c>
      <c r="BSB77" s="277" t="s">
        <v>1072</v>
      </c>
      <c r="BSC77" s="277" t="s">
        <v>1072</v>
      </c>
      <c r="BSD77" s="277" t="s">
        <v>1072</v>
      </c>
      <c r="BSE77" s="277" t="s">
        <v>1072</v>
      </c>
      <c r="BSF77" s="277" t="s">
        <v>1072</v>
      </c>
      <c r="BSG77" s="277" t="s">
        <v>1072</v>
      </c>
      <c r="BSH77" s="277" t="s">
        <v>1072</v>
      </c>
      <c r="BSI77" s="277" t="s">
        <v>1072</v>
      </c>
      <c r="BSJ77" s="277" t="s">
        <v>1072</v>
      </c>
      <c r="BSK77" s="277" t="s">
        <v>1072</v>
      </c>
      <c r="BSL77" s="277" t="s">
        <v>1072</v>
      </c>
      <c r="BSM77" s="277" t="s">
        <v>1072</v>
      </c>
      <c r="BSN77" s="277" t="s">
        <v>1072</v>
      </c>
      <c r="BSO77" s="277" t="s">
        <v>1072</v>
      </c>
      <c r="BSP77" s="277" t="s">
        <v>1072</v>
      </c>
      <c r="BSQ77" s="277" t="s">
        <v>1072</v>
      </c>
      <c r="BSR77" s="277" t="s">
        <v>1072</v>
      </c>
      <c r="BSS77" s="277" t="s">
        <v>1072</v>
      </c>
      <c r="BST77" s="277" t="s">
        <v>1072</v>
      </c>
      <c r="BSU77" s="277" t="s">
        <v>1072</v>
      </c>
      <c r="BSV77" s="277" t="s">
        <v>1072</v>
      </c>
      <c r="BSW77" s="277" t="s">
        <v>1072</v>
      </c>
      <c r="BSX77" s="277" t="s">
        <v>1072</v>
      </c>
      <c r="BSY77" s="277" t="s">
        <v>1072</v>
      </c>
      <c r="BSZ77" s="277" t="s">
        <v>1072</v>
      </c>
      <c r="BTA77" s="277" t="s">
        <v>1072</v>
      </c>
      <c r="BTB77" s="277" t="s">
        <v>1072</v>
      </c>
      <c r="BTC77" s="277" t="s">
        <v>1072</v>
      </c>
      <c r="BTD77" s="277" t="s">
        <v>1072</v>
      </c>
      <c r="BTE77" s="277" t="s">
        <v>1072</v>
      </c>
      <c r="BTF77" s="277" t="s">
        <v>1072</v>
      </c>
      <c r="BTG77" s="277" t="s">
        <v>1072</v>
      </c>
      <c r="BTH77" s="277" t="s">
        <v>1072</v>
      </c>
      <c r="BTI77" s="277" t="s">
        <v>1072</v>
      </c>
      <c r="BTJ77" s="277" t="s">
        <v>1072</v>
      </c>
      <c r="BTK77" s="277" t="s">
        <v>1072</v>
      </c>
      <c r="BTL77" s="277" t="s">
        <v>1072</v>
      </c>
      <c r="BTM77" s="277" t="s">
        <v>1072</v>
      </c>
      <c r="BTN77" s="277" t="s">
        <v>1072</v>
      </c>
      <c r="BTO77" s="277" t="s">
        <v>1072</v>
      </c>
      <c r="BTP77" s="277" t="s">
        <v>1072</v>
      </c>
      <c r="BTQ77" s="277" t="s">
        <v>1072</v>
      </c>
      <c r="BTR77" s="277" t="s">
        <v>1072</v>
      </c>
      <c r="BTS77" s="277" t="s">
        <v>1072</v>
      </c>
      <c r="BTT77" s="277" t="s">
        <v>1072</v>
      </c>
      <c r="BTU77" s="277" t="s">
        <v>1072</v>
      </c>
      <c r="BTV77" s="277" t="s">
        <v>1072</v>
      </c>
      <c r="BTW77" s="277" t="s">
        <v>1072</v>
      </c>
      <c r="BTX77" s="277" t="s">
        <v>1072</v>
      </c>
      <c r="BTY77" s="277" t="s">
        <v>1072</v>
      </c>
      <c r="BTZ77" s="277" t="s">
        <v>1072</v>
      </c>
      <c r="BUA77" s="277" t="s">
        <v>1072</v>
      </c>
      <c r="BUB77" s="277" t="s">
        <v>1072</v>
      </c>
      <c r="BUC77" s="277" t="s">
        <v>1072</v>
      </c>
      <c r="BUD77" s="277" t="s">
        <v>1072</v>
      </c>
      <c r="BUE77" s="277" t="s">
        <v>1072</v>
      </c>
      <c r="BUF77" s="277" t="s">
        <v>1072</v>
      </c>
      <c r="BUG77" s="277" t="s">
        <v>1072</v>
      </c>
      <c r="BUH77" s="277" t="s">
        <v>1072</v>
      </c>
      <c r="BUI77" s="277" t="s">
        <v>1072</v>
      </c>
      <c r="BUJ77" s="277" t="s">
        <v>1072</v>
      </c>
      <c r="BUK77" s="277" t="s">
        <v>1072</v>
      </c>
      <c r="BUL77" s="277" t="s">
        <v>1072</v>
      </c>
      <c r="BUM77" s="277" t="s">
        <v>1072</v>
      </c>
      <c r="BUN77" s="277" t="s">
        <v>1072</v>
      </c>
      <c r="BUO77" s="277" t="s">
        <v>1072</v>
      </c>
      <c r="BUP77" s="277" t="s">
        <v>1072</v>
      </c>
      <c r="BUQ77" s="277" t="s">
        <v>1072</v>
      </c>
      <c r="BUR77" s="277" t="s">
        <v>1072</v>
      </c>
      <c r="BUS77" s="277" t="s">
        <v>1072</v>
      </c>
      <c r="BUT77" s="277" t="s">
        <v>1072</v>
      </c>
      <c r="BUU77" s="277" t="s">
        <v>1072</v>
      </c>
      <c r="BUV77" s="277" t="s">
        <v>1072</v>
      </c>
      <c r="BUW77" s="277" t="s">
        <v>1072</v>
      </c>
      <c r="BUX77" s="277" t="s">
        <v>1072</v>
      </c>
      <c r="BUY77" s="277" t="s">
        <v>1072</v>
      </c>
      <c r="BUZ77" s="277" t="s">
        <v>1072</v>
      </c>
      <c r="BVA77" s="277" t="s">
        <v>1072</v>
      </c>
      <c r="BVB77" s="277" t="s">
        <v>1072</v>
      </c>
      <c r="BVC77" s="277" t="s">
        <v>1072</v>
      </c>
      <c r="BVD77" s="277" t="s">
        <v>1072</v>
      </c>
      <c r="BVE77" s="277" t="s">
        <v>1072</v>
      </c>
      <c r="BVF77" s="277" t="s">
        <v>1072</v>
      </c>
      <c r="BVG77" s="277" t="s">
        <v>1072</v>
      </c>
      <c r="BVH77" s="277" t="s">
        <v>1072</v>
      </c>
      <c r="BVI77" s="277" t="s">
        <v>1072</v>
      </c>
      <c r="BVJ77" s="277" t="s">
        <v>1072</v>
      </c>
      <c r="BVK77" s="277" t="s">
        <v>1072</v>
      </c>
      <c r="BVL77" s="277" t="s">
        <v>1072</v>
      </c>
      <c r="BVM77" s="277" t="s">
        <v>1072</v>
      </c>
      <c r="BVN77" s="277" t="s">
        <v>1072</v>
      </c>
      <c r="BVO77" s="277" t="s">
        <v>1072</v>
      </c>
      <c r="BVP77" s="277" t="s">
        <v>1072</v>
      </c>
      <c r="BVQ77" s="277" t="s">
        <v>1072</v>
      </c>
      <c r="BVR77" s="277" t="s">
        <v>1072</v>
      </c>
      <c r="BVS77" s="277" t="s">
        <v>1072</v>
      </c>
      <c r="BVT77" s="277" t="s">
        <v>1072</v>
      </c>
      <c r="BVU77" s="277" t="s">
        <v>1072</v>
      </c>
      <c r="BVV77" s="277" t="s">
        <v>1072</v>
      </c>
      <c r="BVW77" s="277" t="s">
        <v>1072</v>
      </c>
      <c r="BVX77" s="277" t="s">
        <v>1072</v>
      </c>
      <c r="BVY77" s="277" t="s">
        <v>1072</v>
      </c>
      <c r="BVZ77" s="277" t="s">
        <v>1072</v>
      </c>
      <c r="BWA77" s="277" t="s">
        <v>1072</v>
      </c>
      <c r="BWB77" s="277" t="s">
        <v>1072</v>
      </c>
      <c r="BWC77" s="277" t="s">
        <v>1072</v>
      </c>
      <c r="BWD77" s="277" t="s">
        <v>1072</v>
      </c>
      <c r="BWE77" s="277" t="s">
        <v>1072</v>
      </c>
      <c r="BWF77" s="277" t="s">
        <v>1072</v>
      </c>
      <c r="BWG77" s="277" t="s">
        <v>1072</v>
      </c>
      <c r="BWH77" s="277" t="s">
        <v>1072</v>
      </c>
      <c r="BWI77" s="277" t="s">
        <v>1072</v>
      </c>
      <c r="BWJ77" s="277" t="s">
        <v>1072</v>
      </c>
      <c r="BWK77" s="277" t="s">
        <v>1072</v>
      </c>
      <c r="BWL77" s="277" t="s">
        <v>1072</v>
      </c>
      <c r="BWM77" s="277" t="s">
        <v>1072</v>
      </c>
      <c r="BWN77" s="277" t="s">
        <v>1072</v>
      </c>
      <c r="BWO77" s="277" t="s">
        <v>1072</v>
      </c>
      <c r="BWP77" s="277" t="s">
        <v>1072</v>
      </c>
      <c r="BWQ77" s="277" t="s">
        <v>1072</v>
      </c>
      <c r="BWR77" s="277" t="s">
        <v>1072</v>
      </c>
      <c r="BWS77" s="277" t="s">
        <v>1072</v>
      </c>
      <c r="BWT77" s="277" t="s">
        <v>1072</v>
      </c>
      <c r="BWU77" s="277" t="s">
        <v>1072</v>
      </c>
      <c r="BWV77" s="277" t="s">
        <v>1072</v>
      </c>
      <c r="BWW77" s="277" t="s">
        <v>1072</v>
      </c>
      <c r="BWX77" s="277" t="s">
        <v>1072</v>
      </c>
      <c r="BWY77" s="277" t="s">
        <v>1072</v>
      </c>
      <c r="BWZ77" s="277" t="s">
        <v>1072</v>
      </c>
      <c r="BXA77" s="277" t="s">
        <v>1072</v>
      </c>
      <c r="BXB77" s="277" t="s">
        <v>1072</v>
      </c>
      <c r="BXC77" s="277" t="s">
        <v>1072</v>
      </c>
      <c r="BXD77" s="277" t="s">
        <v>1072</v>
      </c>
      <c r="BXE77" s="277" t="s">
        <v>1072</v>
      </c>
      <c r="BXF77" s="277" t="s">
        <v>1072</v>
      </c>
      <c r="BXG77" s="277" t="s">
        <v>1072</v>
      </c>
      <c r="BXH77" s="277" t="s">
        <v>1072</v>
      </c>
      <c r="BXI77" s="277" t="s">
        <v>1072</v>
      </c>
      <c r="BXJ77" s="277" t="s">
        <v>1072</v>
      </c>
      <c r="BXK77" s="277" t="s">
        <v>1072</v>
      </c>
      <c r="BXL77" s="277" t="s">
        <v>1072</v>
      </c>
      <c r="BXM77" s="277" t="s">
        <v>1072</v>
      </c>
      <c r="BXN77" s="277" t="s">
        <v>1072</v>
      </c>
      <c r="BXO77" s="277" t="s">
        <v>1072</v>
      </c>
      <c r="BXP77" s="277" t="s">
        <v>1072</v>
      </c>
      <c r="BXQ77" s="277" t="s">
        <v>1072</v>
      </c>
      <c r="BXR77" s="277" t="s">
        <v>1072</v>
      </c>
      <c r="BXS77" s="277" t="s">
        <v>1072</v>
      </c>
      <c r="BXT77" s="277" t="s">
        <v>1072</v>
      </c>
      <c r="BXU77" s="277" t="s">
        <v>1072</v>
      </c>
      <c r="BXV77" s="277" t="s">
        <v>1072</v>
      </c>
      <c r="BXW77" s="277" t="s">
        <v>1072</v>
      </c>
      <c r="BXX77" s="277" t="s">
        <v>1072</v>
      </c>
      <c r="BXY77" s="277" t="s">
        <v>1072</v>
      </c>
      <c r="BXZ77" s="277" t="s">
        <v>1072</v>
      </c>
      <c r="BYA77" s="277" t="s">
        <v>1072</v>
      </c>
      <c r="BYB77" s="277" t="s">
        <v>1072</v>
      </c>
      <c r="BYC77" s="277" t="s">
        <v>1072</v>
      </c>
      <c r="BYD77" s="277" t="s">
        <v>1072</v>
      </c>
      <c r="BYE77" s="277" t="s">
        <v>1072</v>
      </c>
      <c r="BYF77" s="277" t="s">
        <v>1072</v>
      </c>
      <c r="BYG77" s="277" t="s">
        <v>1072</v>
      </c>
      <c r="BYH77" s="277" t="s">
        <v>1072</v>
      </c>
      <c r="BYI77" s="277" t="s">
        <v>1072</v>
      </c>
      <c r="BYJ77" s="277" t="s">
        <v>1072</v>
      </c>
      <c r="BYK77" s="277" t="s">
        <v>1072</v>
      </c>
      <c r="BYL77" s="277" t="s">
        <v>1072</v>
      </c>
      <c r="BYM77" s="277" t="s">
        <v>1072</v>
      </c>
      <c r="BYN77" s="277" t="s">
        <v>1072</v>
      </c>
      <c r="BYO77" s="277" t="s">
        <v>1072</v>
      </c>
      <c r="BYP77" s="277" t="s">
        <v>1072</v>
      </c>
      <c r="BYQ77" s="277" t="s">
        <v>1072</v>
      </c>
      <c r="BYR77" s="277" t="s">
        <v>1072</v>
      </c>
      <c r="BYS77" s="277" t="s">
        <v>1072</v>
      </c>
      <c r="BYT77" s="277" t="s">
        <v>1072</v>
      </c>
      <c r="BYU77" s="277" t="s">
        <v>1072</v>
      </c>
      <c r="BYV77" s="277" t="s">
        <v>1072</v>
      </c>
      <c r="BYW77" s="277" t="s">
        <v>1072</v>
      </c>
      <c r="BYX77" s="277" t="s">
        <v>1072</v>
      </c>
      <c r="BYY77" s="277" t="s">
        <v>1072</v>
      </c>
      <c r="BYZ77" s="277" t="s">
        <v>1072</v>
      </c>
      <c r="BZA77" s="277" t="s">
        <v>1072</v>
      </c>
      <c r="BZB77" s="277" t="s">
        <v>1072</v>
      </c>
      <c r="BZC77" s="277" t="s">
        <v>1072</v>
      </c>
      <c r="BZD77" s="277" t="s">
        <v>1072</v>
      </c>
      <c r="BZE77" s="277" t="s">
        <v>1072</v>
      </c>
      <c r="BZF77" s="277" t="s">
        <v>1072</v>
      </c>
      <c r="BZG77" s="277" t="s">
        <v>1072</v>
      </c>
      <c r="BZH77" s="277" t="s">
        <v>1072</v>
      </c>
      <c r="BZI77" s="277" t="s">
        <v>1072</v>
      </c>
      <c r="BZJ77" s="277" t="s">
        <v>1072</v>
      </c>
      <c r="BZK77" s="277" t="s">
        <v>1072</v>
      </c>
      <c r="BZL77" s="277" t="s">
        <v>1072</v>
      </c>
      <c r="BZM77" s="277" t="s">
        <v>1072</v>
      </c>
      <c r="BZN77" s="277" t="s">
        <v>1072</v>
      </c>
      <c r="BZO77" s="277" t="s">
        <v>1072</v>
      </c>
      <c r="BZP77" s="277" t="s">
        <v>1072</v>
      </c>
      <c r="BZQ77" s="277" t="s">
        <v>1072</v>
      </c>
      <c r="BZR77" s="277" t="s">
        <v>1072</v>
      </c>
      <c r="BZS77" s="277" t="s">
        <v>1072</v>
      </c>
      <c r="BZT77" s="277" t="s">
        <v>1072</v>
      </c>
      <c r="BZU77" s="277" t="s">
        <v>1072</v>
      </c>
      <c r="BZV77" s="277" t="s">
        <v>1072</v>
      </c>
      <c r="BZW77" s="277" t="s">
        <v>1072</v>
      </c>
      <c r="BZX77" s="277" t="s">
        <v>1072</v>
      </c>
      <c r="BZY77" s="277" t="s">
        <v>1072</v>
      </c>
      <c r="BZZ77" s="277" t="s">
        <v>1072</v>
      </c>
      <c r="CAA77" s="277" t="s">
        <v>1072</v>
      </c>
      <c r="CAB77" s="277" t="s">
        <v>1072</v>
      </c>
      <c r="CAC77" s="277" t="s">
        <v>1072</v>
      </c>
      <c r="CAD77" s="277" t="s">
        <v>1072</v>
      </c>
      <c r="CAE77" s="277" t="s">
        <v>1072</v>
      </c>
      <c r="CAF77" s="277" t="s">
        <v>1072</v>
      </c>
      <c r="CAG77" s="277" t="s">
        <v>1072</v>
      </c>
      <c r="CAH77" s="277" t="s">
        <v>1072</v>
      </c>
      <c r="CAI77" s="277" t="s">
        <v>1072</v>
      </c>
      <c r="CAJ77" s="277" t="s">
        <v>1072</v>
      </c>
      <c r="CAK77" s="277" t="s">
        <v>1072</v>
      </c>
      <c r="CAL77" s="277" t="s">
        <v>1072</v>
      </c>
      <c r="CAM77" s="277" t="s">
        <v>1072</v>
      </c>
      <c r="CAN77" s="277" t="s">
        <v>1072</v>
      </c>
      <c r="CAO77" s="277" t="s">
        <v>1072</v>
      </c>
      <c r="CAP77" s="277" t="s">
        <v>1072</v>
      </c>
      <c r="CAQ77" s="277" t="s">
        <v>1072</v>
      </c>
      <c r="CAR77" s="277" t="s">
        <v>1072</v>
      </c>
      <c r="CAS77" s="277" t="s">
        <v>1072</v>
      </c>
      <c r="CAT77" s="277" t="s">
        <v>1072</v>
      </c>
      <c r="CAU77" s="277" t="s">
        <v>1072</v>
      </c>
      <c r="CAV77" s="277" t="s">
        <v>1072</v>
      </c>
      <c r="CAW77" s="277" t="s">
        <v>1072</v>
      </c>
      <c r="CAX77" s="277" t="s">
        <v>1072</v>
      </c>
      <c r="CAY77" s="277" t="s">
        <v>1072</v>
      </c>
      <c r="CAZ77" s="277" t="s">
        <v>1072</v>
      </c>
      <c r="CBA77" s="277" t="s">
        <v>1072</v>
      </c>
      <c r="CBB77" s="277" t="s">
        <v>1072</v>
      </c>
      <c r="CBC77" s="277" t="s">
        <v>1072</v>
      </c>
      <c r="CBD77" s="277" t="s">
        <v>1072</v>
      </c>
      <c r="CBE77" s="277" t="s">
        <v>1072</v>
      </c>
      <c r="CBF77" s="277" t="s">
        <v>1072</v>
      </c>
      <c r="CBG77" s="277" t="s">
        <v>1072</v>
      </c>
      <c r="CBH77" s="277" t="s">
        <v>1072</v>
      </c>
      <c r="CBI77" s="277" t="s">
        <v>1072</v>
      </c>
      <c r="CBJ77" s="277" t="s">
        <v>1072</v>
      </c>
      <c r="CBK77" s="277" t="s">
        <v>1072</v>
      </c>
      <c r="CBL77" s="277" t="s">
        <v>1072</v>
      </c>
      <c r="CBM77" s="277" t="s">
        <v>1072</v>
      </c>
      <c r="CBN77" s="277" t="s">
        <v>1072</v>
      </c>
      <c r="CBO77" s="277" t="s">
        <v>1072</v>
      </c>
      <c r="CBP77" s="277" t="s">
        <v>1072</v>
      </c>
      <c r="CBQ77" s="277" t="s">
        <v>1072</v>
      </c>
      <c r="CBR77" s="277" t="s">
        <v>1072</v>
      </c>
      <c r="CBS77" s="277" t="s">
        <v>1072</v>
      </c>
      <c r="CBT77" s="277" t="s">
        <v>1072</v>
      </c>
      <c r="CBU77" s="277" t="s">
        <v>1072</v>
      </c>
      <c r="CBV77" s="277" t="s">
        <v>1072</v>
      </c>
      <c r="CBW77" s="277" t="s">
        <v>1072</v>
      </c>
      <c r="CBX77" s="277" t="s">
        <v>1072</v>
      </c>
      <c r="CBY77" s="277" t="s">
        <v>1072</v>
      </c>
      <c r="CBZ77" s="277" t="s">
        <v>1072</v>
      </c>
      <c r="CCA77" s="277" t="s">
        <v>1072</v>
      </c>
      <c r="CCB77" s="277" t="s">
        <v>1072</v>
      </c>
      <c r="CCC77" s="277" t="s">
        <v>1072</v>
      </c>
      <c r="CCD77" s="277" t="s">
        <v>1072</v>
      </c>
      <c r="CCE77" s="277" t="s">
        <v>1072</v>
      </c>
      <c r="CCF77" s="277" t="s">
        <v>1072</v>
      </c>
      <c r="CCG77" s="277" t="s">
        <v>1072</v>
      </c>
      <c r="CCH77" s="277" t="s">
        <v>1072</v>
      </c>
      <c r="CCI77" s="277" t="s">
        <v>1072</v>
      </c>
      <c r="CCJ77" s="277" t="s">
        <v>1072</v>
      </c>
      <c r="CCK77" s="277" t="s">
        <v>1072</v>
      </c>
      <c r="CCL77" s="277" t="s">
        <v>1072</v>
      </c>
      <c r="CCM77" s="277" t="s">
        <v>1072</v>
      </c>
      <c r="CCN77" s="277" t="s">
        <v>1072</v>
      </c>
      <c r="CCO77" s="277" t="s">
        <v>1072</v>
      </c>
      <c r="CCP77" s="277" t="s">
        <v>1072</v>
      </c>
      <c r="CCQ77" s="277" t="s">
        <v>1072</v>
      </c>
      <c r="CCR77" s="277" t="s">
        <v>1072</v>
      </c>
      <c r="CCS77" s="277" t="s">
        <v>1072</v>
      </c>
      <c r="CCT77" s="277" t="s">
        <v>1072</v>
      </c>
      <c r="CCU77" s="277" t="s">
        <v>1072</v>
      </c>
      <c r="CCV77" s="277" t="s">
        <v>1072</v>
      </c>
      <c r="CCW77" s="277" t="s">
        <v>1072</v>
      </c>
      <c r="CCX77" s="277" t="s">
        <v>1072</v>
      </c>
      <c r="CCY77" s="277" t="s">
        <v>1072</v>
      </c>
      <c r="CCZ77" s="277" t="s">
        <v>1072</v>
      </c>
      <c r="CDA77" s="277" t="s">
        <v>1072</v>
      </c>
      <c r="CDB77" s="277" t="s">
        <v>1072</v>
      </c>
      <c r="CDC77" s="277" t="s">
        <v>1072</v>
      </c>
      <c r="CDD77" s="277" t="s">
        <v>1072</v>
      </c>
      <c r="CDE77" s="277" t="s">
        <v>1072</v>
      </c>
      <c r="CDF77" s="277" t="s">
        <v>1072</v>
      </c>
      <c r="CDG77" s="277" t="s">
        <v>1072</v>
      </c>
      <c r="CDH77" s="277" t="s">
        <v>1072</v>
      </c>
      <c r="CDI77" s="277" t="s">
        <v>1072</v>
      </c>
      <c r="CDJ77" s="277" t="s">
        <v>1072</v>
      </c>
      <c r="CDK77" s="277" t="s">
        <v>1072</v>
      </c>
      <c r="CDL77" s="277" t="s">
        <v>1072</v>
      </c>
      <c r="CDM77" s="277" t="s">
        <v>1072</v>
      </c>
      <c r="CDN77" s="277" t="s">
        <v>1072</v>
      </c>
      <c r="CDO77" s="277" t="s">
        <v>1072</v>
      </c>
      <c r="CDP77" s="277" t="s">
        <v>1072</v>
      </c>
      <c r="CDQ77" s="277" t="s">
        <v>1072</v>
      </c>
      <c r="CDR77" s="277" t="s">
        <v>1072</v>
      </c>
      <c r="CDS77" s="277" t="s">
        <v>1072</v>
      </c>
      <c r="CDT77" s="277" t="s">
        <v>1072</v>
      </c>
      <c r="CDU77" s="277" t="s">
        <v>1072</v>
      </c>
      <c r="CDV77" s="277" t="s">
        <v>1072</v>
      </c>
      <c r="CDW77" s="277" t="s">
        <v>1072</v>
      </c>
      <c r="CDX77" s="277" t="s">
        <v>1072</v>
      </c>
      <c r="CDY77" s="277" t="s">
        <v>1072</v>
      </c>
      <c r="CDZ77" s="277" t="s">
        <v>1072</v>
      </c>
      <c r="CEA77" s="277" t="s">
        <v>1072</v>
      </c>
      <c r="CEB77" s="277" t="s">
        <v>1072</v>
      </c>
      <c r="CEC77" s="277" t="s">
        <v>1072</v>
      </c>
      <c r="CED77" s="277" t="s">
        <v>1072</v>
      </c>
      <c r="CEE77" s="277" t="s">
        <v>1072</v>
      </c>
      <c r="CEF77" s="277" t="s">
        <v>1072</v>
      </c>
      <c r="CEG77" s="277" t="s">
        <v>1072</v>
      </c>
      <c r="CEH77" s="277" t="s">
        <v>1072</v>
      </c>
      <c r="CEI77" s="277" t="s">
        <v>1072</v>
      </c>
      <c r="CEJ77" s="277" t="s">
        <v>1072</v>
      </c>
      <c r="CEK77" s="277" t="s">
        <v>1072</v>
      </c>
      <c r="CEL77" s="277" t="s">
        <v>1072</v>
      </c>
      <c r="CEM77" s="277" t="s">
        <v>1072</v>
      </c>
      <c r="CEN77" s="277" t="s">
        <v>1072</v>
      </c>
      <c r="CEO77" s="277" t="s">
        <v>1072</v>
      </c>
      <c r="CEP77" s="277" t="s">
        <v>1072</v>
      </c>
      <c r="CEQ77" s="277" t="s">
        <v>1072</v>
      </c>
      <c r="CER77" s="277" t="s">
        <v>1072</v>
      </c>
      <c r="CES77" s="277" t="s">
        <v>1072</v>
      </c>
      <c r="CET77" s="277" t="s">
        <v>1072</v>
      </c>
      <c r="CEU77" s="277" t="s">
        <v>1072</v>
      </c>
      <c r="CEV77" s="277" t="s">
        <v>1072</v>
      </c>
      <c r="CEW77" s="277" t="s">
        <v>1072</v>
      </c>
      <c r="CEX77" s="277" t="s">
        <v>1072</v>
      </c>
      <c r="CEY77" s="277" t="s">
        <v>1072</v>
      </c>
      <c r="CEZ77" s="277" t="s">
        <v>1072</v>
      </c>
      <c r="CFA77" s="277" t="s">
        <v>1072</v>
      </c>
      <c r="CFB77" s="277" t="s">
        <v>1072</v>
      </c>
      <c r="CFC77" s="277" t="s">
        <v>1072</v>
      </c>
      <c r="CFD77" s="277" t="s">
        <v>1072</v>
      </c>
      <c r="CFE77" s="277" t="s">
        <v>1072</v>
      </c>
      <c r="CFF77" s="277" t="s">
        <v>1072</v>
      </c>
      <c r="CFG77" s="277" t="s">
        <v>1072</v>
      </c>
      <c r="CFH77" s="277" t="s">
        <v>1072</v>
      </c>
      <c r="CFI77" s="277" t="s">
        <v>1072</v>
      </c>
      <c r="CFJ77" s="277" t="s">
        <v>1072</v>
      </c>
      <c r="CFK77" s="277" t="s">
        <v>1072</v>
      </c>
      <c r="CFL77" s="277" t="s">
        <v>1072</v>
      </c>
      <c r="CFM77" s="277" t="s">
        <v>1072</v>
      </c>
      <c r="CFN77" s="277" t="s">
        <v>1072</v>
      </c>
      <c r="CFO77" s="277" t="s">
        <v>1072</v>
      </c>
      <c r="CFP77" s="277" t="s">
        <v>1072</v>
      </c>
      <c r="CFQ77" s="277" t="s">
        <v>1072</v>
      </c>
      <c r="CFR77" s="277" t="s">
        <v>1072</v>
      </c>
      <c r="CFS77" s="277" t="s">
        <v>1072</v>
      </c>
      <c r="CFT77" s="277" t="s">
        <v>1072</v>
      </c>
      <c r="CFU77" s="277" t="s">
        <v>1072</v>
      </c>
      <c r="CFV77" s="277" t="s">
        <v>1072</v>
      </c>
      <c r="CFW77" s="277" t="s">
        <v>1072</v>
      </c>
      <c r="CFX77" s="277" t="s">
        <v>1072</v>
      </c>
      <c r="CFY77" s="277" t="s">
        <v>1072</v>
      </c>
      <c r="CFZ77" s="277" t="s">
        <v>1072</v>
      </c>
      <c r="CGA77" s="277" t="s">
        <v>1072</v>
      </c>
      <c r="CGB77" s="277" t="s">
        <v>1072</v>
      </c>
      <c r="CGC77" s="277" t="s">
        <v>1072</v>
      </c>
      <c r="CGD77" s="277" t="s">
        <v>1072</v>
      </c>
      <c r="CGE77" s="277" t="s">
        <v>1072</v>
      </c>
      <c r="CGF77" s="277" t="s">
        <v>1072</v>
      </c>
      <c r="CGG77" s="277" t="s">
        <v>1072</v>
      </c>
      <c r="CGH77" s="277" t="s">
        <v>1072</v>
      </c>
      <c r="CGI77" s="277" t="s">
        <v>1072</v>
      </c>
      <c r="CGJ77" s="277" t="s">
        <v>1072</v>
      </c>
      <c r="CGK77" s="277" t="s">
        <v>1072</v>
      </c>
      <c r="CGL77" s="277" t="s">
        <v>1072</v>
      </c>
      <c r="CGM77" s="277" t="s">
        <v>1072</v>
      </c>
      <c r="CGN77" s="277" t="s">
        <v>1072</v>
      </c>
      <c r="CGO77" s="277" t="s">
        <v>1072</v>
      </c>
      <c r="CGP77" s="277" t="s">
        <v>1072</v>
      </c>
      <c r="CGQ77" s="277" t="s">
        <v>1072</v>
      </c>
      <c r="CGR77" s="277" t="s">
        <v>1072</v>
      </c>
      <c r="CGS77" s="277" t="s">
        <v>1072</v>
      </c>
      <c r="CGT77" s="277" t="s">
        <v>1072</v>
      </c>
      <c r="CGU77" s="277" t="s">
        <v>1072</v>
      </c>
      <c r="CGV77" s="277" t="s">
        <v>1072</v>
      </c>
      <c r="CGW77" s="277" t="s">
        <v>1072</v>
      </c>
      <c r="CGX77" s="277" t="s">
        <v>1072</v>
      </c>
      <c r="CGY77" s="277" t="s">
        <v>1072</v>
      </c>
      <c r="CGZ77" s="277" t="s">
        <v>1072</v>
      </c>
      <c r="CHA77" s="277" t="s">
        <v>1072</v>
      </c>
      <c r="CHB77" s="277" t="s">
        <v>1072</v>
      </c>
      <c r="CHC77" s="277" t="s">
        <v>1072</v>
      </c>
      <c r="CHD77" s="277" t="s">
        <v>1072</v>
      </c>
      <c r="CHE77" s="277" t="s">
        <v>1072</v>
      </c>
      <c r="CHF77" s="277" t="s">
        <v>1072</v>
      </c>
      <c r="CHG77" s="277" t="s">
        <v>1072</v>
      </c>
      <c r="CHH77" s="277" t="s">
        <v>1072</v>
      </c>
      <c r="CHI77" s="277" t="s">
        <v>1072</v>
      </c>
      <c r="CHJ77" s="277" t="s">
        <v>1072</v>
      </c>
      <c r="CHK77" s="277" t="s">
        <v>1072</v>
      </c>
      <c r="CHL77" s="277" t="s">
        <v>1072</v>
      </c>
      <c r="CHM77" s="277" t="s">
        <v>1072</v>
      </c>
      <c r="CHN77" s="277" t="s">
        <v>1072</v>
      </c>
      <c r="CHO77" s="277" t="s">
        <v>1072</v>
      </c>
      <c r="CHP77" s="277" t="s">
        <v>1072</v>
      </c>
      <c r="CHQ77" s="277" t="s">
        <v>1072</v>
      </c>
      <c r="CHR77" s="277" t="s">
        <v>1072</v>
      </c>
      <c r="CHS77" s="277" t="s">
        <v>1072</v>
      </c>
      <c r="CHT77" s="277" t="s">
        <v>1072</v>
      </c>
      <c r="CHU77" s="277" t="s">
        <v>1072</v>
      </c>
      <c r="CHV77" s="277" t="s">
        <v>1072</v>
      </c>
      <c r="CHW77" s="277" t="s">
        <v>1072</v>
      </c>
      <c r="CHX77" s="277" t="s">
        <v>1072</v>
      </c>
      <c r="CHY77" s="277" t="s">
        <v>1072</v>
      </c>
      <c r="CHZ77" s="277" t="s">
        <v>1072</v>
      </c>
      <c r="CIA77" s="277" t="s">
        <v>1072</v>
      </c>
      <c r="CIB77" s="277" t="s">
        <v>1072</v>
      </c>
      <c r="CIC77" s="277" t="s">
        <v>1072</v>
      </c>
      <c r="CID77" s="277" t="s">
        <v>1072</v>
      </c>
      <c r="CIE77" s="277" t="s">
        <v>1072</v>
      </c>
      <c r="CIF77" s="277" t="s">
        <v>1072</v>
      </c>
      <c r="CIG77" s="277" t="s">
        <v>1072</v>
      </c>
      <c r="CIH77" s="277" t="s">
        <v>1072</v>
      </c>
      <c r="CII77" s="277" t="s">
        <v>1072</v>
      </c>
      <c r="CIJ77" s="277" t="s">
        <v>1072</v>
      </c>
      <c r="CIK77" s="277" t="s">
        <v>1072</v>
      </c>
      <c r="CIL77" s="277" t="s">
        <v>1072</v>
      </c>
      <c r="CIM77" s="277" t="s">
        <v>1072</v>
      </c>
      <c r="CIN77" s="277" t="s">
        <v>1072</v>
      </c>
      <c r="CIO77" s="277" t="s">
        <v>1072</v>
      </c>
      <c r="CIP77" s="277" t="s">
        <v>1072</v>
      </c>
      <c r="CIQ77" s="277" t="s">
        <v>1072</v>
      </c>
      <c r="CIR77" s="277" t="s">
        <v>1072</v>
      </c>
      <c r="CIS77" s="277" t="s">
        <v>1072</v>
      </c>
      <c r="CIT77" s="277" t="s">
        <v>1072</v>
      </c>
      <c r="CIU77" s="277" t="s">
        <v>1072</v>
      </c>
      <c r="CIV77" s="277" t="s">
        <v>1072</v>
      </c>
      <c r="CIW77" s="277" t="s">
        <v>1072</v>
      </c>
      <c r="CIX77" s="277" t="s">
        <v>1072</v>
      </c>
      <c r="CIY77" s="277" t="s">
        <v>1072</v>
      </c>
      <c r="CIZ77" s="277" t="s">
        <v>1072</v>
      </c>
      <c r="CJA77" s="277" t="s">
        <v>1072</v>
      </c>
      <c r="CJB77" s="277" t="s">
        <v>1072</v>
      </c>
      <c r="CJC77" s="277" t="s">
        <v>1072</v>
      </c>
      <c r="CJD77" s="277" t="s">
        <v>1072</v>
      </c>
      <c r="CJE77" s="277" t="s">
        <v>1072</v>
      </c>
      <c r="CJF77" s="277" t="s">
        <v>1072</v>
      </c>
      <c r="CJG77" s="277" t="s">
        <v>1072</v>
      </c>
      <c r="CJH77" s="277" t="s">
        <v>1072</v>
      </c>
      <c r="CJI77" s="277" t="s">
        <v>1072</v>
      </c>
      <c r="CJJ77" s="277" t="s">
        <v>1072</v>
      </c>
      <c r="CJK77" s="277" t="s">
        <v>1072</v>
      </c>
      <c r="CJL77" s="277" t="s">
        <v>1072</v>
      </c>
      <c r="CJM77" s="277" t="s">
        <v>1072</v>
      </c>
      <c r="CJN77" s="277" t="s">
        <v>1072</v>
      </c>
      <c r="CJO77" s="277" t="s">
        <v>1072</v>
      </c>
      <c r="CJP77" s="277" t="s">
        <v>1072</v>
      </c>
      <c r="CJQ77" s="277" t="s">
        <v>1072</v>
      </c>
      <c r="CJR77" s="277" t="s">
        <v>1072</v>
      </c>
      <c r="CJS77" s="277" t="s">
        <v>1072</v>
      </c>
      <c r="CJT77" s="277" t="s">
        <v>1072</v>
      </c>
      <c r="CJU77" s="277" t="s">
        <v>1072</v>
      </c>
      <c r="CJV77" s="277" t="s">
        <v>1072</v>
      </c>
      <c r="CJW77" s="277" t="s">
        <v>1072</v>
      </c>
      <c r="CJX77" s="277" t="s">
        <v>1072</v>
      </c>
      <c r="CJY77" s="277" t="s">
        <v>1072</v>
      </c>
      <c r="CJZ77" s="277" t="s">
        <v>1072</v>
      </c>
      <c r="CKA77" s="277" t="s">
        <v>1072</v>
      </c>
      <c r="CKB77" s="277" t="s">
        <v>1072</v>
      </c>
      <c r="CKC77" s="277" t="s">
        <v>1072</v>
      </c>
      <c r="CKD77" s="277" t="s">
        <v>1072</v>
      </c>
      <c r="CKE77" s="277" t="s">
        <v>1072</v>
      </c>
      <c r="CKF77" s="277" t="s">
        <v>1072</v>
      </c>
      <c r="CKG77" s="277" t="s">
        <v>1072</v>
      </c>
      <c r="CKH77" s="277" t="s">
        <v>1072</v>
      </c>
      <c r="CKI77" s="277" t="s">
        <v>1072</v>
      </c>
      <c r="CKJ77" s="277" t="s">
        <v>1072</v>
      </c>
      <c r="CKK77" s="277" t="s">
        <v>1072</v>
      </c>
      <c r="CKL77" s="277" t="s">
        <v>1072</v>
      </c>
      <c r="CKM77" s="277" t="s">
        <v>1072</v>
      </c>
      <c r="CKN77" s="277" t="s">
        <v>1072</v>
      </c>
      <c r="CKO77" s="277" t="s">
        <v>1072</v>
      </c>
      <c r="CKP77" s="277" t="s">
        <v>1072</v>
      </c>
      <c r="CKQ77" s="277" t="s">
        <v>1072</v>
      </c>
      <c r="CKR77" s="277" t="s">
        <v>1072</v>
      </c>
      <c r="CKS77" s="277" t="s">
        <v>1072</v>
      </c>
      <c r="CKT77" s="277" t="s">
        <v>1072</v>
      </c>
      <c r="CKU77" s="277" t="s">
        <v>1072</v>
      </c>
      <c r="CKV77" s="277" t="s">
        <v>1072</v>
      </c>
      <c r="CKW77" s="277" t="s">
        <v>1072</v>
      </c>
      <c r="CKX77" s="277" t="s">
        <v>1072</v>
      </c>
      <c r="CKY77" s="277" t="s">
        <v>1072</v>
      </c>
      <c r="CKZ77" s="277" t="s">
        <v>1072</v>
      </c>
      <c r="CLA77" s="277" t="s">
        <v>1072</v>
      </c>
      <c r="CLB77" s="277" t="s">
        <v>1072</v>
      </c>
      <c r="CLC77" s="277" t="s">
        <v>1072</v>
      </c>
      <c r="CLD77" s="277" t="s">
        <v>1072</v>
      </c>
      <c r="CLE77" s="277" t="s">
        <v>1072</v>
      </c>
      <c r="CLF77" s="277" t="s">
        <v>1072</v>
      </c>
      <c r="CLG77" s="277" t="s">
        <v>1072</v>
      </c>
      <c r="CLH77" s="277" t="s">
        <v>1072</v>
      </c>
      <c r="CLI77" s="277" t="s">
        <v>1072</v>
      </c>
      <c r="CLJ77" s="277" t="s">
        <v>1072</v>
      </c>
      <c r="CLK77" s="277" t="s">
        <v>1072</v>
      </c>
      <c r="CLL77" s="277" t="s">
        <v>1072</v>
      </c>
      <c r="CLM77" s="277" t="s">
        <v>1072</v>
      </c>
      <c r="CLN77" s="277" t="s">
        <v>1072</v>
      </c>
      <c r="CLO77" s="277" t="s">
        <v>1072</v>
      </c>
      <c r="CLP77" s="277" t="s">
        <v>1072</v>
      </c>
      <c r="CLQ77" s="277" t="s">
        <v>1072</v>
      </c>
      <c r="CLR77" s="277" t="s">
        <v>1072</v>
      </c>
      <c r="CLS77" s="277" t="s">
        <v>1072</v>
      </c>
      <c r="CLT77" s="277" t="s">
        <v>1072</v>
      </c>
      <c r="CLU77" s="277" t="s">
        <v>1072</v>
      </c>
      <c r="CLV77" s="277" t="s">
        <v>1072</v>
      </c>
      <c r="CLW77" s="277" t="s">
        <v>1072</v>
      </c>
      <c r="CLX77" s="277" t="s">
        <v>1072</v>
      </c>
      <c r="CLY77" s="277" t="s">
        <v>1072</v>
      </c>
      <c r="CLZ77" s="277" t="s">
        <v>1072</v>
      </c>
      <c r="CMA77" s="277" t="s">
        <v>1072</v>
      </c>
      <c r="CMB77" s="277" t="s">
        <v>1072</v>
      </c>
      <c r="CMC77" s="277" t="s">
        <v>1072</v>
      </c>
      <c r="CMD77" s="277" t="s">
        <v>1072</v>
      </c>
      <c r="CME77" s="277" t="s">
        <v>1072</v>
      </c>
      <c r="CMF77" s="277" t="s">
        <v>1072</v>
      </c>
      <c r="CMG77" s="277" t="s">
        <v>1072</v>
      </c>
      <c r="CMH77" s="277" t="s">
        <v>1072</v>
      </c>
      <c r="CMI77" s="277" t="s">
        <v>1072</v>
      </c>
      <c r="CMJ77" s="277" t="s">
        <v>1072</v>
      </c>
      <c r="CMK77" s="277" t="s">
        <v>1072</v>
      </c>
      <c r="CML77" s="277" t="s">
        <v>1072</v>
      </c>
      <c r="CMM77" s="277" t="s">
        <v>1072</v>
      </c>
      <c r="CMN77" s="277" t="s">
        <v>1072</v>
      </c>
      <c r="CMO77" s="277" t="s">
        <v>1072</v>
      </c>
      <c r="CMP77" s="277" t="s">
        <v>1072</v>
      </c>
      <c r="CMQ77" s="277" t="s">
        <v>1072</v>
      </c>
      <c r="CMR77" s="277" t="s">
        <v>1072</v>
      </c>
      <c r="CMS77" s="277" t="s">
        <v>1072</v>
      </c>
      <c r="CMT77" s="277" t="s">
        <v>1072</v>
      </c>
      <c r="CMU77" s="277" t="s">
        <v>1072</v>
      </c>
      <c r="CMV77" s="277" t="s">
        <v>1072</v>
      </c>
      <c r="CMW77" s="277" t="s">
        <v>1072</v>
      </c>
      <c r="CMX77" s="277" t="s">
        <v>1072</v>
      </c>
      <c r="CMY77" s="277" t="s">
        <v>1072</v>
      </c>
      <c r="CMZ77" s="277" t="s">
        <v>1072</v>
      </c>
      <c r="CNA77" s="277" t="s">
        <v>1072</v>
      </c>
      <c r="CNB77" s="277" t="s">
        <v>1072</v>
      </c>
      <c r="CNC77" s="277" t="s">
        <v>1072</v>
      </c>
      <c r="CND77" s="277" t="s">
        <v>1072</v>
      </c>
      <c r="CNE77" s="277" t="s">
        <v>1072</v>
      </c>
      <c r="CNF77" s="277" t="s">
        <v>1072</v>
      </c>
      <c r="CNG77" s="277" t="s">
        <v>1072</v>
      </c>
      <c r="CNH77" s="277" t="s">
        <v>1072</v>
      </c>
      <c r="CNI77" s="277" t="s">
        <v>1072</v>
      </c>
      <c r="CNJ77" s="277" t="s">
        <v>1072</v>
      </c>
      <c r="CNK77" s="277" t="s">
        <v>1072</v>
      </c>
      <c r="CNL77" s="277" t="s">
        <v>1072</v>
      </c>
      <c r="CNM77" s="277" t="s">
        <v>1072</v>
      </c>
      <c r="CNN77" s="277" t="s">
        <v>1072</v>
      </c>
      <c r="CNO77" s="277" t="s">
        <v>1072</v>
      </c>
      <c r="CNP77" s="277" t="s">
        <v>1072</v>
      </c>
      <c r="CNQ77" s="277" t="s">
        <v>1072</v>
      </c>
      <c r="CNR77" s="277" t="s">
        <v>1072</v>
      </c>
      <c r="CNS77" s="277" t="s">
        <v>1072</v>
      </c>
      <c r="CNT77" s="277" t="s">
        <v>1072</v>
      </c>
      <c r="CNU77" s="277" t="s">
        <v>1072</v>
      </c>
      <c r="CNV77" s="277" t="s">
        <v>1072</v>
      </c>
      <c r="CNW77" s="277" t="s">
        <v>1072</v>
      </c>
      <c r="CNX77" s="277" t="s">
        <v>1072</v>
      </c>
      <c r="CNY77" s="277" t="s">
        <v>1072</v>
      </c>
      <c r="CNZ77" s="277" t="s">
        <v>1072</v>
      </c>
      <c r="COA77" s="277" t="s">
        <v>1072</v>
      </c>
      <c r="COB77" s="277" t="s">
        <v>1072</v>
      </c>
      <c r="COC77" s="277" t="s">
        <v>1072</v>
      </c>
      <c r="COD77" s="277" t="s">
        <v>1072</v>
      </c>
      <c r="COE77" s="277" t="s">
        <v>1072</v>
      </c>
      <c r="COF77" s="277" t="s">
        <v>1072</v>
      </c>
      <c r="COG77" s="277" t="s">
        <v>1072</v>
      </c>
      <c r="COH77" s="277" t="s">
        <v>1072</v>
      </c>
      <c r="COI77" s="277" t="s">
        <v>1072</v>
      </c>
      <c r="COJ77" s="277" t="s">
        <v>1072</v>
      </c>
      <c r="COK77" s="277" t="s">
        <v>1072</v>
      </c>
      <c r="COL77" s="277" t="s">
        <v>1072</v>
      </c>
      <c r="COM77" s="277" t="s">
        <v>1072</v>
      </c>
      <c r="CON77" s="277" t="s">
        <v>1072</v>
      </c>
      <c r="COO77" s="277" t="s">
        <v>1072</v>
      </c>
      <c r="COP77" s="277" t="s">
        <v>1072</v>
      </c>
      <c r="COQ77" s="277" t="s">
        <v>1072</v>
      </c>
      <c r="COR77" s="277" t="s">
        <v>1072</v>
      </c>
      <c r="COS77" s="277" t="s">
        <v>1072</v>
      </c>
      <c r="COT77" s="277" t="s">
        <v>1072</v>
      </c>
      <c r="COU77" s="277" t="s">
        <v>1072</v>
      </c>
      <c r="COV77" s="277" t="s">
        <v>1072</v>
      </c>
      <c r="COW77" s="277" t="s">
        <v>1072</v>
      </c>
      <c r="COX77" s="277" t="s">
        <v>1072</v>
      </c>
      <c r="COY77" s="277" t="s">
        <v>1072</v>
      </c>
      <c r="COZ77" s="277" t="s">
        <v>1072</v>
      </c>
      <c r="CPA77" s="277" t="s">
        <v>1072</v>
      </c>
      <c r="CPB77" s="277" t="s">
        <v>1072</v>
      </c>
      <c r="CPC77" s="277" t="s">
        <v>1072</v>
      </c>
      <c r="CPD77" s="277" t="s">
        <v>1072</v>
      </c>
      <c r="CPE77" s="277" t="s">
        <v>1072</v>
      </c>
      <c r="CPF77" s="277" t="s">
        <v>1072</v>
      </c>
      <c r="CPG77" s="277" t="s">
        <v>1072</v>
      </c>
      <c r="CPH77" s="277" t="s">
        <v>1072</v>
      </c>
      <c r="CPI77" s="277" t="s">
        <v>1072</v>
      </c>
      <c r="CPJ77" s="277" t="s">
        <v>1072</v>
      </c>
      <c r="CPK77" s="277" t="s">
        <v>1072</v>
      </c>
      <c r="CPL77" s="277" t="s">
        <v>1072</v>
      </c>
      <c r="CPM77" s="277" t="s">
        <v>1072</v>
      </c>
      <c r="CPN77" s="277" t="s">
        <v>1072</v>
      </c>
      <c r="CPO77" s="277" t="s">
        <v>1072</v>
      </c>
      <c r="CPP77" s="277" t="s">
        <v>1072</v>
      </c>
      <c r="CPQ77" s="277" t="s">
        <v>1072</v>
      </c>
      <c r="CPR77" s="277" t="s">
        <v>1072</v>
      </c>
      <c r="CPS77" s="277" t="s">
        <v>1072</v>
      </c>
      <c r="CPT77" s="277" t="s">
        <v>1072</v>
      </c>
      <c r="CPU77" s="277" t="s">
        <v>1072</v>
      </c>
      <c r="CPV77" s="277" t="s">
        <v>1072</v>
      </c>
      <c r="CPW77" s="277" t="s">
        <v>1072</v>
      </c>
      <c r="CPX77" s="277" t="s">
        <v>1072</v>
      </c>
      <c r="CPY77" s="277" t="s">
        <v>1072</v>
      </c>
      <c r="CPZ77" s="277" t="s">
        <v>1072</v>
      </c>
      <c r="CQA77" s="277" t="s">
        <v>1072</v>
      </c>
      <c r="CQB77" s="277" t="s">
        <v>1072</v>
      </c>
      <c r="CQC77" s="277" t="s">
        <v>1072</v>
      </c>
      <c r="CQD77" s="277" t="s">
        <v>1072</v>
      </c>
      <c r="CQE77" s="277" t="s">
        <v>1072</v>
      </c>
      <c r="CQF77" s="277" t="s">
        <v>1072</v>
      </c>
      <c r="CQG77" s="277" t="s">
        <v>1072</v>
      </c>
      <c r="CQH77" s="277" t="s">
        <v>1072</v>
      </c>
      <c r="CQI77" s="277" t="s">
        <v>1072</v>
      </c>
      <c r="CQJ77" s="277" t="s">
        <v>1072</v>
      </c>
      <c r="CQK77" s="277" t="s">
        <v>1072</v>
      </c>
      <c r="CQL77" s="277" t="s">
        <v>1072</v>
      </c>
      <c r="CQM77" s="277" t="s">
        <v>1072</v>
      </c>
      <c r="CQN77" s="277" t="s">
        <v>1072</v>
      </c>
      <c r="CQO77" s="277" t="s">
        <v>1072</v>
      </c>
      <c r="CQP77" s="277" t="s">
        <v>1072</v>
      </c>
      <c r="CQQ77" s="277" t="s">
        <v>1072</v>
      </c>
      <c r="CQR77" s="277" t="s">
        <v>1072</v>
      </c>
      <c r="CQS77" s="277" t="s">
        <v>1072</v>
      </c>
      <c r="CQT77" s="277" t="s">
        <v>1072</v>
      </c>
      <c r="CQU77" s="277" t="s">
        <v>1072</v>
      </c>
      <c r="CQV77" s="277" t="s">
        <v>1072</v>
      </c>
      <c r="CQW77" s="277" t="s">
        <v>1072</v>
      </c>
      <c r="CQX77" s="277" t="s">
        <v>1072</v>
      </c>
      <c r="CQY77" s="277" t="s">
        <v>1072</v>
      </c>
      <c r="CQZ77" s="277" t="s">
        <v>1072</v>
      </c>
      <c r="CRA77" s="277" t="s">
        <v>1072</v>
      </c>
      <c r="CRB77" s="277" t="s">
        <v>1072</v>
      </c>
      <c r="CRC77" s="277" t="s">
        <v>1072</v>
      </c>
      <c r="CRD77" s="277" t="s">
        <v>1072</v>
      </c>
      <c r="CRE77" s="277" t="s">
        <v>1072</v>
      </c>
      <c r="CRF77" s="277" t="s">
        <v>1072</v>
      </c>
      <c r="CRG77" s="277" t="s">
        <v>1072</v>
      </c>
      <c r="CRH77" s="277" t="s">
        <v>1072</v>
      </c>
      <c r="CRI77" s="277" t="s">
        <v>1072</v>
      </c>
      <c r="CRJ77" s="277" t="s">
        <v>1072</v>
      </c>
      <c r="CRK77" s="277" t="s">
        <v>1072</v>
      </c>
      <c r="CRL77" s="277" t="s">
        <v>1072</v>
      </c>
      <c r="CRM77" s="277" t="s">
        <v>1072</v>
      </c>
      <c r="CRN77" s="277" t="s">
        <v>1072</v>
      </c>
      <c r="CRO77" s="277" t="s">
        <v>1072</v>
      </c>
      <c r="CRP77" s="277" t="s">
        <v>1072</v>
      </c>
      <c r="CRQ77" s="277" t="s">
        <v>1072</v>
      </c>
      <c r="CRR77" s="277" t="s">
        <v>1072</v>
      </c>
      <c r="CRS77" s="277" t="s">
        <v>1072</v>
      </c>
      <c r="CRT77" s="277" t="s">
        <v>1072</v>
      </c>
      <c r="CRU77" s="277" t="s">
        <v>1072</v>
      </c>
      <c r="CRV77" s="277" t="s">
        <v>1072</v>
      </c>
      <c r="CRW77" s="277" t="s">
        <v>1072</v>
      </c>
      <c r="CRX77" s="277" t="s">
        <v>1072</v>
      </c>
      <c r="CRY77" s="277" t="s">
        <v>1072</v>
      </c>
      <c r="CRZ77" s="277" t="s">
        <v>1072</v>
      </c>
      <c r="CSA77" s="277" t="s">
        <v>1072</v>
      </c>
      <c r="CSB77" s="277" t="s">
        <v>1072</v>
      </c>
      <c r="CSC77" s="277" t="s">
        <v>1072</v>
      </c>
      <c r="CSD77" s="277" t="s">
        <v>1072</v>
      </c>
      <c r="CSE77" s="277" t="s">
        <v>1072</v>
      </c>
      <c r="CSF77" s="277" t="s">
        <v>1072</v>
      </c>
      <c r="CSG77" s="277" t="s">
        <v>1072</v>
      </c>
      <c r="CSH77" s="277" t="s">
        <v>1072</v>
      </c>
      <c r="CSI77" s="277" t="s">
        <v>1072</v>
      </c>
      <c r="CSJ77" s="277" t="s">
        <v>1072</v>
      </c>
      <c r="CSK77" s="277" t="s">
        <v>1072</v>
      </c>
      <c r="CSL77" s="277" t="s">
        <v>1072</v>
      </c>
      <c r="CSM77" s="277" t="s">
        <v>1072</v>
      </c>
      <c r="CSN77" s="277" t="s">
        <v>1072</v>
      </c>
      <c r="CSO77" s="277" t="s">
        <v>1072</v>
      </c>
      <c r="CSP77" s="277" t="s">
        <v>1072</v>
      </c>
      <c r="CSQ77" s="277" t="s">
        <v>1072</v>
      </c>
      <c r="CSR77" s="277" t="s">
        <v>1072</v>
      </c>
      <c r="CSS77" s="277" t="s">
        <v>1072</v>
      </c>
      <c r="CST77" s="277" t="s">
        <v>1072</v>
      </c>
      <c r="CSU77" s="277" t="s">
        <v>1072</v>
      </c>
      <c r="CSV77" s="277" t="s">
        <v>1072</v>
      </c>
      <c r="CSW77" s="277" t="s">
        <v>1072</v>
      </c>
      <c r="CSX77" s="277" t="s">
        <v>1072</v>
      </c>
      <c r="CSY77" s="277" t="s">
        <v>1072</v>
      </c>
      <c r="CSZ77" s="277" t="s">
        <v>1072</v>
      </c>
      <c r="CTA77" s="277" t="s">
        <v>1072</v>
      </c>
      <c r="CTB77" s="277" t="s">
        <v>1072</v>
      </c>
      <c r="CTC77" s="277" t="s">
        <v>1072</v>
      </c>
      <c r="CTD77" s="277" t="s">
        <v>1072</v>
      </c>
      <c r="CTE77" s="277" t="s">
        <v>1072</v>
      </c>
      <c r="CTF77" s="277" t="s">
        <v>1072</v>
      </c>
      <c r="CTG77" s="277" t="s">
        <v>1072</v>
      </c>
      <c r="CTH77" s="277" t="s">
        <v>1072</v>
      </c>
      <c r="CTI77" s="277" t="s">
        <v>1072</v>
      </c>
      <c r="CTJ77" s="277" t="s">
        <v>1072</v>
      </c>
      <c r="CTK77" s="277" t="s">
        <v>1072</v>
      </c>
      <c r="CTL77" s="277" t="s">
        <v>1072</v>
      </c>
      <c r="CTM77" s="277" t="s">
        <v>1072</v>
      </c>
      <c r="CTN77" s="277" t="s">
        <v>1072</v>
      </c>
      <c r="CTO77" s="277" t="s">
        <v>1072</v>
      </c>
      <c r="CTP77" s="277" t="s">
        <v>1072</v>
      </c>
      <c r="CTQ77" s="277" t="s">
        <v>1072</v>
      </c>
      <c r="CTR77" s="277" t="s">
        <v>1072</v>
      </c>
      <c r="CTS77" s="277" t="s">
        <v>1072</v>
      </c>
      <c r="CTT77" s="277" t="s">
        <v>1072</v>
      </c>
      <c r="CTU77" s="277" t="s">
        <v>1072</v>
      </c>
      <c r="CTV77" s="277" t="s">
        <v>1072</v>
      </c>
      <c r="CTW77" s="277" t="s">
        <v>1072</v>
      </c>
      <c r="CTX77" s="277" t="s">
        <v>1072</v>
      </c>
      <c r="CTY77" s="277" t="s">
        <v>1072</v>
      </c>
      <c r="CTZ77" s="277" t="s">
        <v>1072</v>
      </c>
      <c r="CUA77" s="277" t="s">
        <v>1072</v>
      </c>
      <c r="CUB77" s="277" t="s">
        <v>1072</v>
      </c>
      <c r="CUC77" s="277" t="s">
        <v>1072</v>
      </c>
      <c r="CUD77" s="277" t="s">
        <v>1072</v>
      </c>
      <c r="CUE77" s="277" t="s">
        <v>1072</v>
      </c>
      <c r="CUF77" s="277" t="s">
        <v>1072</v>
      </c>
      <c r="CUG77" s="277" t="s">
        <v>1072</v>
      </c>
      <c r="CUH77" s="277" t="s">
        <v>1072</v>
      </c>
      <c r="CUI77" s="277" t="s">
        <v>1072</v>
      </c>
      <c r="CUJ77" s="277" t="s">
        <v>1072</v>
      </c>
      <c r="CUK77" s="277" t="s">
        <v>1072</v>
      </c>
      <c r="CUL77" s="277" t="s">
        <v>1072</v>
      </c>
      <c r="CUM77" s="277" t="s">
        <v>1072</v>
      </c>
      <c r="CUN77" s="277" t="s">
        <v>1072</v>
      </c>
      <c r="CUO77" s="277" t="s">
        <v>1072</v>
      </c>
      <c r="CUP77" s="277" t="s">
        <v>1072</v>
      </c>
      <c r="CUQ77" s="277" t="s">
        <v>1072</v>
      </c>
      <c r="CUR77" s="277" t="s">
        <v>1072</v>
      </c>
      <c r="CUS77" s="277" t="s">
        <v>1072</v>
      </c>
      <c r="CUT77" s="277" t="s">
        <v>1072</v>
      </c>
      <c r="CUU77" s="277" t="s">
        <v>1072</v>
      </c>
      <c r="CUV77" s="277" t="s">
        <v>1072</v>
      </c>
      <c r="CUW77" s="277" t="s">
        <v>1072</v>
      </c>
      <c r="CUX77" s="277" t="s">
        <v>1072</v>
      </c>
      <c r="CUY77" s="277" t="s">
        <v>1072</v>
      </c>
      <c r="CUZ77" s="277" t="s">
        <v>1072</v>
      </c>
      <c r="CVA77" s="277" t="s">
        <v>1072</v>
      </c>
      <c r="CVB77" s="277" t="s">
        <v>1072</v>
      </c>
      <c r="CVC77" s="277" t="s">
        <v>1072</v>
      </c>
      <c r="CVD77" s="277" t="s">
        <v>1072</v>
      </c>
      <c r="CVE77" s="277" t="s">
        <v>1072</v>
      </c>
      <c r="CVF77" s="277" t="s">
        <v>1072</v>
      </c>
      <c r="CVG77" s="277" t="s">
        <v>1072</v>
      </c>
      <c r="CVH77" s="277" t="s">
        <v>1072</v>
      </c>
      <c r="CVI77" s="277" t="s">
        <v>1072</v>
      </c>
      <c r="CVJ77" s="277" t="s">
        <v>1072</v>
      </c>
      <c r="CVK77" s="277" t="s">
        <v>1072</v>
      </c>
      <c r="CVL77" s="277" t="s">
        <v>1072</v>
      </c>
      <c r="CVM77" s="277" t="s">
        <v>1072</v>
      </c>
      <c r="CVN77" s="277" t="s">
        <v>1072</v>
      </c>
      <c r="CVO77" s="277" t="s">
        <v>1072</v>
      </c>
      <c r="CVP77" s="277" t="s">
        <v>1072</v>
      </c>
      <c r="CVQ77" s="277" t="s">
        <v>1072</v>
      </c>
      <c r="CVR77" s="277" t="s">
        <v>1072</v>
      </c>
      <c r="CVS77" s="277" t="s">
        <v>1072</v>
      </c>
      <c r="CVT77" s="277" t="s">
        <v>1072</v>
      </c>
      <c r="CVU77" s="277" t="s">
        <v>1072</v>
      </c>
      <c r="CVV77" s="277" t="s">
        <v>1072</v>
      </c>
      <c r="CVW77" s="277" t="s">
        <v>1072</v>
      </c>
      <c r="CVX77" s="277" t="s">
        <v>1072</v>
      </c>
      <c r="CVY77" s="277" t="s">
        <v>1072</v>
      </c>
      <c r="CVZ77" s="277" t="s">
        <v>1072</v>
      </c>
      <c r="CWA77" s="277" t="s">
        <v>1072</v>
      </c>
      <c r="CWB77" s="277" t="s">
        <v>1072</v>
      </c>
      <c r="CWC77" s="277" t="s">
        <v>1072</v>
      </c>
      <c r="CWD77" s="277" t="s">
        <v>1072</v>
      </c>
      <c r="CWE77" s="277" t="s">
        <v>1072</v>
      </c>
      <c r="CWF77" s="277" t="s">
        <v>1072</v>
      </c>
      <c r="CWG77" s="277" t="s">
        <v>1072</v>
      </c>
      <c r="CWH77" s="277" t="s">
        <v>1072</v>
      </c>
      <c r="CWI77" s="277" t="s">
        <v>1072</v>
      </c>
      <c r="CWJ77" s="277" t="s">
        <v>1072</v>
      </c>
      <c r="CWK77" s="277" t="s">
        <v>1072</v>
      </c>
      <c r="CWL77" s="277" t="s">
        <v>1072</v>
      </c>
      <c r="CWM77" s="277" t="s">
        <v>1072</v>
      </c>
      <c r="CWN77" s="277" t="s">
        <v>1072</v>
      </c>
      <c r="CWO77" s="277" t="s">
        <v>1072</v>
      </c>
      <c r="CWP77" s="277" t="s">
        <v>1072</v>
      </c>
      <c r="CWQ77" s="277" t="s">
        <v>1072</v>
      </c>
      <c r="CWR77" s="277" t="s">
        <v>1072</v>
      </c>
      <c r="CWS77" s="277" t="s">
        <v>1072</v>
      </c>
      <c r="CWT77" s="277" t="s">
        <v>1072</v>
      </c>
      <c r="CWU77" s="277" t="s">
        <v>1072</v>
      </c>
      <c r="CWV77" s="277" t="s">
        <v>1072</v>
      </c>
      <c r="CWW77" s="277" t="s">
        <v>1072</v>
      </c>
      <c r="CWX77" s="277" t="s">
        <v>1072</v>
      </c>
      <c r="CWY77" s="277" t="s">
        <v>1072</v>
      </c>
      <c r="CWZ77" s="277" t="s">
        <v>1072</v>
      </c>
      <c r="CXA77" s="277" t="s">
        <v>1072</v>
      </c>
      <c r="CXB77" s="277" t="s">
        <v>1072</v>
      </c>
      <c r="CXC77" s="277" t="s">
        <v>1072</v>
      </c>
      <c r="CXD77" s="277" t="s">
        <v>1072</v>
      </c>
      <c r="CXE77" s="277" t="s">
        <v>1072</v>
      </c>
      <c r="CXF77" s="277" t="s">
        <v>1072</v>
      </c>
      <c r="CXG77" s="277" t="s">
        <v>1072</v>
      </c>
      <c r="CXH77" s="277" t="s">
        <v>1072</v>
      </c>
      <c r="CXI77" s="277" t="s">
        <v>1072</v>
      </c>
      <c r="CXJ77" s="277" t="s">
        <v>1072</v>
      </c>
      <c r="CXK77" s="277" t="s">
        <v>1072</v>
      </c>
      <c r="CXL77" s="277" t="s">
        <v>1072</v>
      </c>
      <c r="CXM77" s="277" t="s">
        <v>1072</v>
      </c>
      <c r="CXN77" s="277" t="s">
        <v>1072</v>
      </c>
      <c r="CXO77" s="277" t="s">
        <v>1072</v>
      </c>
      <c r="CXP77" s="277" t="s">
        <v>1072</v>
      </c>
      <c r="CXQ77" s="277" t="s">
        <v>1072</v>
      </c>
      <c r="CXR77" s="277" t="s">
        <v>1072</v>
      </c>
      <c r="CXS77" s="277" t="s">
        <v>1072</v>
      </c>
      <c r="CXT77" s="277" t="s">
        <v>1072</v>
      </c>
      <c r="CXU77" s="277" t="s">
        <v>1072</v>
      </c>
      <c r="CXV77" s="277" t="s">
        <v>1072</v>
      </c>
      <c r="CXW77" s="277" t="s">
        <v>1072</v>
      </c>
      <c r="CXX77" s="277" t="s">
        <v>1072</v>
      </c>
      <c r="CXY77" s="277" t="s">
        <v>1072</v>
      </c>
      <c r="CXZ77" s="277" t="s">
        <v>1072</v>
      </c>
      <c r="CYA77" s="277" t="s">
        <v>1072</v>
      </c>
      <c r="CYB77" s="277" t="s">
        <v>1072</v>
      </c>
      <c r="CYC77" s="277" t="s">
        <v>1072</v>
      </c>
      <c r="CYD77" s="277" t="s">
        <v>1072</v>
      </c>
      <c r="CYE77" s="277" t="s">
        <v>1072</v>
      </c>
      <c r="CYF77" s="277" t="s">
        <v>1072</v>
      </c>
      <c r="CYG77" s="277" t="s">
        <v>1072</v>
      </c>
      <c r="CYH77" s="277" t="s">
        <v>1072</v>
      </c>
      <c r="CYI77" s="277" t="s">
        <v>1072</v>
      </c>
      <c r="CYJ77" s="277" t="s">
        <v>1072</v>
      </c>
      <c r="CYK77" s="277" t="s">
        <v>1072</v>
      </c>
      <c r="CYL77" s="277" t="s">
        <v>1072</v>
      </c>
      <c r="CYM77" s="277" t="s">
        <v>1072</v>
      </c>
      <c r="CYN77" s="277" t="s">
        <v>1072</v>
      </c>
      <c r="CYO77" s="277" t="s">
        <v>1072</v>
      </c>
      <c r="CYP77" s="277" t="s">
        <v>1072</v>
      </c>
      <c r="CYQ77" s="277" t="s">
        <v>1072</v>
      </c>
      <c r="CYR77" s="277" t="s">
        <v>1072</v>
      </c>
      <c r="CYS77" s="277" t="s">
        <v>1072</v>
      </c>
      <c r="CYT77" s="277" t="s">
        <v>1072</v>
      </c>
      <c r="CYU77" s="277" t="s">
        <v>1072</v>
      </c>
      <c r="CYV77" s="277" t="s">
        <v>1072</v>
      </c>
      <c r="CYW77" s="277" t="s">
        <v>1072</v>
      </c>
      <c r="CYX77" s="277" t="s">
        <v>1072</v>
      </c>
      <c r="CYY77" s="277" t="s">
        <v>1072</v>
      </c>
      <c r="CYZ77" s="277" t="s">
        <v>1072</v>
      </c>
      <c r="CZA77" s="277" t="s">
        <v>1072</v>
      </c>
      <c r="CZB77" s="277" t="s">
        <v>1072</v>
      </c>
      <c r="CZC77" s="277" t="s">
        <v>1072</v>
      </c>
      <c r="CZD77" s="277" t="s">
        <v>1072</v>
      </c>
      <c r="CZE77" s="277" t="s">
        <v>1072</v>
      </c>
      <c r="CZF77" s="277" t="s">
        <v>1072</v>
      </c>
      <c r="CZG77" s="277" t="s">
        <v>1072</v>
      </c>
      <c r="CZH77" s="277" t="s">
        <v>1072</v>
      </c>
      <c r="CZI77" s="277" t="s">
        <v>1072</v>
      </c>
      <c r="CZJ77" s="277" t="s">
        <v>1072</v>
      </c>
      <c r="CZK77" s="277" t="s">
        <v>1072</v>
      </c>
      <c r="CZL77" s="277" t="s">
        <v>1072</v>
      </c>
      <c r="CZM77" s="277" t="s">
        <v>1072</v>
      </c>
      <c r="CZN77" s="277" t="s">
        <v>1072</v>
      </c>
      <c r="CZO77" s="277" t="s">
        <v>1072</v>
      </c>
      <c r="CZP77" s="277" t="s">
        <v>1072</v>
      </c>
      <c r="CZQ77" s="277" t="s">
        <v>1072</v>
      </c>
      <c r="CZR77" s="277" t="s">
        <v>1072</v>
      </c>
      <c r="CZS77" s="277" t="s">
        <v>1072</v>
      </c>
      <c r="CZT77" s="277" t="s">
        <v>1072</v>
      </c>
      <c r="CZU77" s="277" t="s">
        <v>1072</v>
      </c>
      <c r="CZV77" s="277" t="s">
        <v>1072</v>
      </c>
      <c r="CZW77" s="277" t="s">
        <v>1072</v>
      </c>
      <c r="CZX77" s="277" t="s">
        <v>1072</v>
      </c>
      <c r="CZY77" s="277" t="s">
        <v>1072</v>
      </c>
      <c r="CZZ77" s="277" t="s">
        <v>1072</v>
      </c>
      <c r="DAA77" s="277" t="s">
        <v>1072</v>
      </c>
      <c r="DAB77" s="277" t="s">
        <v>1072</v>
      </c>
      <c r="DAC77" s="277" t="s">
        <v>1072</v>
      </c>
      <c r="DAD77" s="277" t="s">
        <v>1072</v>
      </c>
      <c r="DAE77" s="277" t="s">
        <v>1072</v>
      </c>
      <c r="DAF77" s="277" t="s">
        <v>1072</v>
      </c>
      <c r="DAG77" s="277" t="s">
        <v>1072</v>
      </c>
      <c r="DAH77" s="277" t="s">
        <v>1072</v>
      </c>
      <c r="DAI77" s="277" t="s">
        <v>1072</v>
      </c>
      <c r="DAJ77" s="277" t="s">
        <v>1072</v>
      </c>
      <c r="DAK77" s="277" t="s">
        <v>1072</v>
      </c>
      <c r="DAL77" s="277" t="s">
        <v>1072</v>
      </c>
      <c r="DAM77" s="277" t="s">
        <v>1072</v>
      </c>
      <c r="DAN77" s="277" t="s">
        <v>1072</v>
      </c>
      <c r="DAO77" s="277" t="s">
        <v>1072</v>
      </c>
      <c r="DAP77" s="277" t="s">
        <v>1072</v>
      </c>
      <c r="DAQ77" s="277" t="s">
        <v>1072</v>
      </c>
      <c r="DAR77" s="277" t="s">
        <v>1072</v>
      </c>
      <c r="DAS77" s="277" t="s">
        <v>1072</v>
      </c>
      <c r="DAT77" s="277" t="s">
        <v>1072</v>
      </c>
      <c r="DAU77" s="277" t="s">
        <v>1072</v>
      </c>
      <c r="DAV77" s="277" t="s">
        <v>1072</v>
      </c>
      <c r="DAW77" s="277" t="s">
        <v>1072</v>
      </c>
      <c r="DAX77" s="277" t="s">
        <v>1072</v>
      </c>
      <c r="DAY77" s="277" t="s">
        <v>1072</v>
      </c>
      <c r="DAZ77" s="277" t="s">
        <v>1072</v>
      </c>
      <c r="DBA77" s="277" t="s">
        <v>1072</v>
      </c>
      <c r="DBB77" s="277" t="s">
        <v>1072</v>
      </c>
      <c r="DBC77" s="277" t="s">
        <v>1072</v>
      </c>
      <c r="DBD77" s="277" t="s">
        <v>1072</v>
      </c>
      <c r="DBE77" s="277" t="s">
        <v>1072</v>
      </c>
      <c r="DBF77" s="277" t="s">
        <v>1072</v>
      </c>
      <c r="DBG77" s="277" t="s">
        <v>1072</v>
      </c>
      <c r="DBH77" s="277" t="s">
        <v>1072</v>
      </c>
      <c r="DBI77" s="277" t="s">
        <v>1072</v>
      </c>
      <c r="DBJ77" s="277" t="s">
        <v>1072</v>
      </c>
      <c r="DBK77" s="277" t="s">
        <v>1072</v>
      </c>
      <c r="DBL77" s="277" t="s">
        <v>1072</v>
      </c>
      <c r="DBM77" s="277" t="s">
        <v>1072</v>
      </c>
      <c r="DBN77" s="277" t="s">
        <v>1072</v>
      </c>
      <c r="DBO77" s="277" t="s">
        <v>1072</v>
      </c>
      <c r="DBP77" s="277" t="s">
        <v>1072</v>
      </c>
      <c r="DBQ77" s="277" t="s">
        <v>1072</v>
      </c>
      <c r="DBR77" s="277" t="s">
        <v>1072</v>
      </c>
      <c r="DBS77" s="277" t="s">
        <v>1072</v>
      </c>
      <c r="DBT77" s="277" t="s">
        <v>1072</v>
      </c>
      <c r="DBU77" s="277" t="s">
        <v>1072</v>
      </c>
      <c r="DBV77" s="277" t="s">
        <v>1072</v>
      </c>
      <c r="DBW77" s="277" t="s">
        <v>1072</v>
      </c>
      <c r="DBX77" s="277" t="s">
        <v>1072</v>
      </c>
      <c r="DBY77" s="277" t="s">
        <v>1072</v>
      </c>
      <c r="DBZ77" s="277" t="s">
        <v>1072</v>
      </c>
      <c r="DCA77" s="277" t="s">
        <v>1072</v>
      </c>
      <c r="DCB77" s="277" t="s">
        <v>1072</v>
      </c>
      <c r="DCC77" s="277" t="s">
        <v>1072</v>
      </c>
      <c r="DCD77" s="277" t="s">
        <v>1072</v>
      </c>
      <c r="DCE77" s="277" t="s">
        <v>1072</v>
      </c>
      <c r="DCF77" s="277" t="s">
        <v>1072</v>
      </c>
      <c r="DCG77" s="277" t="s">
        <v>1072</v>
      </c>
      <c r="DCH77" s="277" t="s">
        <v>1072</v>
      </c>
      <c r="DCI77" s="277" t="s">
        <v>1072</v>
      </c>
      <c r="DCJ77" s="277" t="s">
        <v>1072</v>
      </c>
      <c r="DCK77" s="277" t="s">
        <v>1072</v>
      </c>
      <c r="DCL77" s="277" t="s">
        <v>1072</v>
      </c>
      <c r="DCM77" s="277" t="s">
        <v>1072</v>
      </c>
      <c r="DCN77" s="277" t="s">
        <v>1072</v>
      </c>
      <c r="DCO77" s="277" t="s">
        <v>1072</v>
      </c>
      <c r="DCP77" s="277" t="s">
        <v>1072</v>
      </c>
      <c r="DCQ77" s="277" t="s">
        <v>1072</v>
      </c>
      <c r="DCR77" s="277" t="s">
        <v>1072</v>
      </c>
      <c r="DCS77" s="277" t="s">
        <v>1072</v>
      </c>
      <c r="DCT77" s="277" t="s">
        <v>1072</v>
      </c>
      <c r="DCU77" s="277" t="s">
        <v>1072</v>
      </c>
      <c r="DCV77" s="277" t="s">
        <v>1072</v>
      </c>
      <c r="DCW77" s="277" t="s">
        <v>1072</v>
      </c>
      <c r="DCX77" s="277" t="s">
        <v>1072</v>
      </c>
      <c r="DCY77" s="277" t="s">
        <v>1072</v>
      </c>
      <c r="DCZ77" s="277" t="s">
        <v>1072</v>
      </c>
      <c r="DDA77" s="277" t="s">
        <v>1072</v>
      </c>
      <c r="DDB77" s="277" t="s">
        <v>1072</v>
      </c>
      <c r="DDC77" s="277" t="s">
        <v>1072</v>
      </c>
      <c r="DDD77" s="277" t="s">
        <v>1072</v>
      </c>
      <c r="DDE77" s="277" t="s">
        <v>1072</v>
      </c>
      <c r="DDF77" s="277" t="s">
        <v>1072</v>
      </c>
      <c r="DDG77" s="277" t="s">
        <v>1072</v>
      </c>
      <c r="DDH77" s="277" t="s">
        <v>1072</v>
      </c>
      <c r="DDI77" s="277" t="s">
        <v>1072</v>
      </c>
      <c r="DDJ77" s="277" t="s">
        <v>1072</v>
      </c>
      <c r="DDK77" s="277" t="s">
        <v>1072</v>
      </c>
      <c r="DDL77" s="277" t="s">
        <v>1072</v>
      </c>
      <c r="DDM77" s="277" t="s">
        <v>1072</v>
      </c>
      <c r="DDN77" s="277" t="s">
        <v>1072</v>
      </c>
      <c r="DDO77" s="277" t="s">
        <v>1072</v>
      </c>
      <c r="DDP77" s="277" t="s">
        <v>1072</v>
      </c>
      <c r="DDQ77" s="277" t="s">
        <v>1072</v>
      </c>
      <c r="DDR77" s="277" t="s">
        <v>1072</v>
      </c>
      <c r="DDS77" s="277" t="s">
        <v>1072</v>
      </c>
      <c r="DDT77" s="277" t="s">
        <v>1072</v>
      </c>
      <c r="DDU77" s="277" t="s">
        <v>1072</v>
      </c>
      <c r="DDV77" s="277" t="s">
        <v>1072</v>
      </c>
      <c r="DDW77" s="277" t="s">
        <v>1072</v>
      </c>
      <c r="DDX77" s="277" t="s">
        <v>1072</v>
      </c>
      <c r="DDY77" s="277" t="s">
        <v>1072</v>
      </c>
      <c r="DDZ77" s="277" t="s">
        <v>1072</v>
      </c>
      <c r="DEA77" s="277" t="s">
        <v>1072</v>
      </c>
      <c r="DEB77" s="277" t="s">
        <v>1072</v>
      </c>
      <c r="DEC77" s="277" t="s">
        <v>1072</v>
      </c>
      <c r="DED77" s="277" t="s">
        <v>1072</v>
      </c>
      <c r="DEE77" s="277" t="s">
        <v>1072</v>
      </c>
      <c r="DEF77" s="277" t="s">
        <v>1072</v>
      </c>
      <c r="DEG77" s="277" t="s">
        <v>1072</v>
      </c>
      <c r="DEH77" s="277" t="s">
        <v>1072</v>
      </c>
      <c r="DEI77" s="277" t="s">
        <v>1072</v>
      </c>
      <c r="DEJ77" s="277" t="s">
        <v>1072</v>
      </c>
      <c r="DEK77" s="277" t="s">
        <v>1072</v>
      </c>
      <c r="DEL77" s="277" t="s">
        <v>1072</v>
      </c>
      <c r="DEM77" s="277" t="s">
        <v>1072</v>
      </c>
      <c r="DEN77" s="277" t="s">
        <v>1072</v>
      </c>
      <c r="DEO77" s="277" t="s">
        <v>1072</v>
      </c>
      <c r="DEP77" s="277" t="s">
        <v>1072</v>
      </c>
      <c r="DEQ77" s="277" t="s">
        <v>1072</v>
      </c>
      <c r="DER77" s="277" t="s">
        <v>1072</v>
      </c>
      <c r="DES77" s="277" t="s">
        <v>1072</v>
      </c>
      <c r="DET77" s="277" t="s">
        <v>1072</v>
      </c>
      <c r="DEU77" s="277" t="s">
        <v>1072</v>
      </c>
      <c r="DEV77" s="277" t="s">
        <v>1072</v>
      </c>
      <c r="DEW77" s="277" t="s">
        <v>1072</v>
      </c>
      <c r="DEX77" s="277" t="s">
        <v>1072</v>
      </c>
      <c r="DEY77" s="277" t="s">
        <v>1072</v>
      </c>
      <c r="DEZ77" s="277" t="s">
        <v>1072</v>
      </c>
      <c r="DFA77" s="277" t="s">
        <v>1072</v>
      </c>
      <c r="DFB77" s="277" t="s">
        <v>1072</v>
      </c>
      <c r="DFC77" s="277" t="s">
        <v>1072</v>
      </c>
      <c r="DFD77" s="277" t="s">
        <v>1072</v>
      </c>
      <c r="DFE77" s="277" t="s">
        <v>1072</v>
      </c>
      <c r="DFF77" s="277" t="s">
        <v>1072</v>
      </c>
      <c r="DFG77" s="277" t="s">
        <v>1072</v>
      </c>
      <c r="DFH77" s="277" t="s">
        <v>1072</v>
      </c>
      <c r="DFI77" s="277" t="s">
        <v>1072</v>
      </c>
      <c r="DFJ77" s="277" t="s">
        <v>1072</v>
      </c>
      <c r="DFK77" s="277" t="s">
        <v>1072</v>
      </c>
      <c r="DFL77" s="277" t="s">
        <v>1072</v>
      </c>
      <c r="DFM77" s="277" t="s">
        <v>1072</v>
      </c>
      <c r="DFN77" s="277" t="s">
        <v>1072</v>
      </c>
      <c r="DFO77" s="277" t="s">
        <v>1072</v>
      </c>
      <c r="DFP77" s="277" t="s">
        <v>1072</v>
      </c>
      <c r="DFQ77" s="277" t="s">
        <v>1072</v>
      </c>
      <c r="DFR77" s="277" t="s">
        <v>1072</v>
      </c>
      <c r="DFS77" s="277" t="s">
        <v>1072</v>
      </c>
      <c r="DFT77" s="277" t="s">
        <v>1072</v>
      </c>
      <c r="DFU77" s="277" t="s">
        <v>1072</v>
      </c>
      <c r="DFV77" s="277" t="s">
        <v>1072</v>
      </c>
      <c r="DFW77" s="277" t="s">
        <v>1072</v>
      </c>
      <c r="DFX77" s="277" t="s">
        <v>1072</v>
      </c>
      <c r="DFY77" s="277" t="s">
        <v>1072</v>
      </c>
      <c r="DFZ77" s="277" t="s">
        <v>1072</v>
      </c>
      <c r="DGA77" s="277" t="s">
        <v>1072</v>
      </c>
      <c r="DGB77" s="277" t="s">
        <v>1072</v>
      </c>
      <c r="DGC77" s="277" t="s">
        <v>1072</v>
      </c>
      <c r="DGD77" s="277" t="s">
        <v>1072</v>
      </c>
      <c r="DGE77" s="277" t="s">
        <v>1072</v>
      </c>
      <c r="DGF77" s="277" t="s">
        <v>1072</v>
      </c>
      <c r="DGG77" s="277" t="s">
        <v>1072</v>
      </c>
      <c r="DGH77" s="277" t="s">
        <v>1072</v>
      </c>
      <c r="DGI77" s="277" t="s">
        <v>1072</v>
      </c>
      <c r="DGJ77" s="277" t="s">
        <v>1072</v>
      </c>
      <c r="DGK77" s="277" t="s">
        <v>1072</v>
      </c>
      <c r="DGL77" s="277" t="s">
        <v>1072</v>
      </c>
      <c r="DGM77" s="277" t="s">
        <v>1072</v>
      </c>
      <c r="DGN77" s="277" t="s">
        <v>1072</v>
      </c>
      <c r="DGO77" s="277" t="s">
        <v>1072</v>
      </c>
      <c r="DGP77" s="277" t="s">
        <v>1072</v>
      </c>
      <c r="DGQ77" s="277" t="s">
        <v>1072</v>
      </c>
      <c r="DGR77" s="277" t="s">
        <v>1072</v>
      </c>
      <c r="DGS77" s="277" t="s">
        <v>1072</v>
      </c>
      <c r="DGT77" s="277" t="s">
        <v>1072</v>
      </c>
      <c r="DGU77" s="277" t="s">
        <v>1072</v>
      </c>
      <c r="DGV77" s="277" t="s">
        <v>1072</v>
      </c>
      <c r="DGW77" s="277" t="s">
        <v>1072</v>
      </c>
      <c r="DGX77" s="277" t="s">
        <v>1072</v>
      </c>
      <c r="DGY77" s="277" t="s">
        <v>1072</v>
      </c>
      <c r="DGZ77" s="277" t="s">
        <v>1072</v>
      </c>
      <c r="DHA77" s="277" t="s">
        <v>1072</v>
      </c>
      <c r="DHB77" s="277" t="s">
        <v>1072</v>
      </c>
      <c r="DHC77" s="277" t="s">
        <v>1072</v>
      </c>
      <c r="DHD77" s="277" t="s">
        <v>1072</v>
      </c>
      <c r="DHE77" s="277" t="s">
        <v>1072</v>
      </c>
      <c r="DHF77" s="277" t="s">
        <v>1072</v>
      </c>
      <c r="DHG77" s="277" t="s">
        <v>1072</v>
      </c>
      <c r="DHH77" s="277" t="s">
        <v>1072</v>
      </c>
      <c r="DHI77" s="277" t="s">
        <v>1072</v>
      </c>
      <c r="DHJ77" s="277" t="s">
        <v>1072</v>
      </c>
      <c r="DHK77" s="277" t="s">
        <v>1072</v>
      </c>
      <c r="DHL77" s="277" t="s">
        <v>1072</v>
      </c>
      <c r="DHM77" s="277" t="s">
        <v>1072</v>
      </c>
      <c r="DHN77" s="277" t="s">
        <v>1072</v>
      </c>
      <c r="DHO77" s="277" t="s">
        <v>1072</v>
      </c>
      <c r="DHP77" s="277" t="s">
        <v>1072</v>
      </c>
      <c r="DHQ77" s="277" t="s">
        <v>1072</v>
      </c>
      <c r="DHR77" s="277" t="s">
        <v>1072</v>
      </c>
      <c r="DHS77" s="277" t="s">
        <v>1072</v>
      </c>
      <c r="DHT77" s="277" t="s">
        <v>1072</v>
      </c>
      <c r="DHU77" s="277" t="s">
        <v>1072</v>
      </c>
      <c r="DHV77" s="277" t="s">
        <v>1072</v>
      </c>
      <c r="DHW77" s="277" t="s">
        <v>1072</v>
      </c>
      <c r="DHX77" s="277" t="s">
        <v>1072</v>
      </c>
      <c r="DHY77" s="277" t="s">
        <v>1072</v>
      </c>
      <c r="DHZ77" s="277" t="s">
        <v>1072</v>
      </c>
      <c r="DIA77" s="277" t="s">
        <v>1072</v>
      </c>
      <c r="DIB77" s="277" t="s">
        <v>1072</v>
      </c>
      <c r="DIC77" s="277" t="s">
        <v>1072</v>
      </c>
      <c r="DID77" s="277" t="s">
        <v>1072</v>
      </c>
      <c r="DIE77" s="277" t="s">
        <v>1072</v>
      </c>
      <c r="DIF77" s="277" t="s">
        <v>1072</v>
      </c>
      <c r="DIG77" s="277" t="s">
        <v>1072</v>
      </c>
      <c r="DIH77" s="277" t="s">
        <v>1072</v>
      </c>
      <c r="DII77" s="277" t="s">
        <v>1072</v>
      </c>
      <c r="DIJ77" s="277" t="s">
        <v>1072</v>
      </c>
      <c r="DIK77" s="277" t="s">
        <v>1072</v>
      </c>
      <c r="DIL77" s="277" t="s">
        <v>1072</v>
      </c>
      <c r="DIM77" s="277" t="s">
        <v>1072</v>
      </c>
      <c r="DIN77" s="277" t="s">
        <v>1072</v>
      </c>
      <c r="DIO77" s="277" t="s">
        <v>1072</v>
      </c>
      <c r="DIP77" s="277" t="s">
        <v>1072</v>
      </c>
      <c r="DIQ77" s="277" t="s">
        <v>1072</v>
      </c>
      <c r="DIR77" s="277" t="s">
        <v>1072</v>
      </c>
      <c r="DIS77" s="277" t="s">
        <v>1072</v>
      </c>
      <c r="DIT77" s="277" t="s">
        <v>1072</v>
      </c>
      <c r="DIU77" s="277" t="s">
        <v>1072</v>
      </c>
      <c r="DIV77" s="277" t="s">
        <v>1072</v>
      </c>
      <c r="DIW77" s="277" t="s">
        <v>1072</v>
      </c>
      <c r="DIX77" s="277" t="s">
        <v>1072</v>
      </c>
      <c r="DIY77" s="277" t="s">
        <v>1072</v>
      </c>
      <c r="DIZ77" s="277" t="s">
        <v>1072</v>
      </c>
      <c r="DJA77" s="277" t="s">
        <v>1072</v>
      </c>
      <c r="DJB77" s="277" t="s">
        <v>1072</v>
      </c>
      <c r="DJC77" s="277" t="s">
        <v>1072</v>
      </c>
      <c r="DJD77" s="277" t="s">
        <v>1072</v>
      </c>
      <c r="DJE77" s="277" t="s">
        <v>1072</v>
      </c>
      <c r="DJF77" s="277" t="s">
        <v>1072</v>
      </c>
      <c r="DJG77" s="277" t="s">
        <v>1072</v>
      </c>
      <c r="DJH77" s="277" t="s">
        <v>1072</v>
      </c>
      <c r="DJI77" s="277" t="s">
        <v>1072</v>
      </c>
      <c r="DJJ77" s="277" t="s">
        <v>1072</v>
      </c>
      <c r="DJK77" s="277" t="s">
        <v>1072</v>
      </c>
      <c r="DJL77" s="277" t="s">
        <v>1072</v>
      </c>
      <c r="DJM77" s="277" t="s">
        <v>1072</v>
      </c>
      <c r="DJN77" s="277" t="s">
        <v>1072</v>
      </c>
      <c r="DJO77" s="277" t="s">
        <v>1072</v>
      </c>
      <c r="DJP77" s="277" t="s">
        <v>1072</v>
      </c>
      <c r="DJQ77" s="277" t="s">
        <v>1072</v>
      </c>
      <c r="DJR77" s="277" t="s">
        <v>1072</v>
      </c>
      <c r="DJS77" s="277" t="s">
        <v>1072</v>
      </c>
      <c r="DJT77" s="277" t="s">
        <v>1072</v>
      </c>
      <c r="DJU77" s="277" t="s">
        <v>1072</v>
      </c>
      <c r="DJV77" s="277" t="s">
        <v>1072</v>
      </c>
      <c r="DJW77" s="277" t="s">
        <v>1072</v>
      </c>
      <c r="DJX77" s="277" t="s">
        <v>1072</v>
      </c>
      <c r="DJY77" s="277" t="s">
        <v>1072</v>
      </c>
      <c r="DJZ77" s="277" t="s">
        <v>1072</v>
      </c>
      <c r="DKA77" s="277" t="s">
        <v>1072</v>
      </c>
      <c r="DKB77" s="277" t="s">
        <v>1072</v>
      </c>
      <c r="DKC77" s="277" t="s">
        <v>1072</v>
      </c>
      <c r="DKD77" s="277" t="s">
        <v>1072</v>
      </c>
      <c r="DKE77" s="277" t="s">
        <v>1072</v>
      </c>
      <c r="DKF77" s="277" t="s">
        <v>1072</v>
      </c>
      <c r="DKG77" s="277" t="s">
        <v>1072</v>
      </c>
      <c r="DKH77" s="277" t="s">
        <v>1072</v>
      </c>
      <c r="DKI77" s="277" t="s">
        <v>1072</v>
      </c>
      <c r="DKJ77" s="277" t="s">
        <v>1072</v>
      </c>
      <c r="DKK77" s="277" t="s">
        <v>1072</v>
      </c>
      <c r="DKL77" s="277" t="s">
        <v>1072</v>
      </c>
      <c r="DKM77" s="277" t="s">
        <v>1072</v>
      </c>
      <c r="DKN77" s="277" t="s">
        <v>1072</v>
      </c>
      <c r="DKO77" s="277" t="s">
        <v>1072</v>
      </c>
      <c r="DKP77" s="277" t="s">
        <v>1072</v>
      </c>
      <c r="DKQ77" s="277" t="s">
        <v>1072</v>
      </c>
      <c r="DKR77" s="277" t="s">
        <v>1072</v>
      </c>
      <c r="DKS77" s="277" t="s">
        <v>1072</v>
      </c>
      <c r="DKT77" s="277" t="s">
        <v>1072</v>
      </c>
      <c r="DKU77" s="277" t="s">
        <v>1072</v>
      </c>
      <c r="DKV77" s="277" t="s">
        <v>1072</v>
      </c>
      <c r="DKW77" s="277" t="s">
        <v>1072</v>
      </c>
      <c r="DKX77" s="277" t="s">
        <v>1072</v>
      </c>
      <c r="DKY77" s="277" t="s">
        <v>1072</v>
      </c>
      <c r="DKZ77" s="277" t="s">
        <v>1072</v>
      </c>
      <c r="DLA77" s="277" t="s">
        <v>1072</v>
      </c>
      <c r="DLB77" s="277" t="s">
        <v>1072</v>
      </c>
      <c r="DLC77" s="277" t="s">
        <v>1072</v>
      </c>
      <c r="DLD77" s="277" t="s">
        <v>1072</v>
      </c>
      <c r="DLE77" s="277" t="s">
        <v>1072</v>
      </c>
      <c r="DLF77" s="277" t="s">
        <v>1072</v>
      </c>
      <c r="DLG77" s="277" t="s">
        <v>1072</v>
      </c>
      <c r="DLH77" s="277" t="s">
        <v>1072</v>
      </c>
      <c r="DLI77" s="277" t="s">
        <v>1072</v>
      </c>
      <c r="DLJ77" s="277" t="s">
        <v>1072</v>
      </c>
      <c r="DLK77" s="277" t="s">
        <v>1072</v>
      </c>
      <c r="DLL77" s="277" t="s">
        <v>1072</v>
      </c>
      <c r="DLM77" s="277" t="s">
        <v>1072</v>
      </c>
      <c r="DLN77" s="277" t="s">
        <v>1072</v>
      </c>
      <c r="DLO77" s="277" t="s">
        <v>1072</v>
      </c>
      <c r="DLP77" s="277" t="s">
        <v>1072</v>
      </c>
      <c r="DLQ77" s="277" t="s">
        <v>1072</v>
      </c>
      <c r="DLR77" s="277" t="s">
        <v>1072</v>
      </c>
      <c r="DLS77" s="277" t="s">
        <v>1072</v>
      </c>
      <c r="DLT77" s="277" t="s">
        <v>1072</v>
      </c>
      <c r="DLU77" s="277" t="s">
        <v>1072</v>
      </c>
      <c r="DLV77" s="277" t="s">
        <v>1072</v>
      </c>
      <c r="DLW77" s="277" t="s">
        <v>1072</v>
      </c>
      <c r="DLX77" s="277" t="s">
        <v>1072</v>
      </c>
      <c r="DLY77" s="277" t="s">
        <v>1072</v>
      </c>
      <c r="DLZ77" s="277" t="s">
        <v>1072</v>
      </c>
      <c r="DMA77" s="277" t="s">
        <v>1072</v>
      </c>
      <c r="DMB77" s="277" t="s">
        <v>1072</v>
      </c>
      <c r="DMC77" s="277" t="s">
        <v>1072</v>
      </c>
      <c r="DMD77" s="277" t="s">
        <v>1072</v>
      </c>
      <c r="DME77" s="277" t="s">
        <v>1072</v>
      </c>
      <c r="DMF77" s="277" t="s">
        <v>1072</v>
      </c>
      <c r="DMG77" s="277" t="s">
        <v>1072</v>
      </c>
      <c r="DMH77" s="277" t="s">
        <v>1072</v>
      </c>
      <c r="DMI77" s="277" t="s">
        <v>1072</v>
      </c>
      <c r="DMJ77" s="277" t="s">
        <v>1072</v>
      </c>
      <c r="DMK77" s="277" t="s">
        <v>1072</v>
      </c>
      <c r="DML77" s="277" t="s">
        <v>1072</v>
      </c>
      <c r="DMM77" s="277" t="s">
        <v>1072</v>
      </c>
      <c r="DMN77" s="277" t="s">
        <v>1072</v>
      </c>
      <c r="DMO77" s="277" t="s">
        <v>1072</v>
      </c>
      <c r="DMP77" s="277" t="s">
        <v>1072</v>
      </c>
      <c r="DMQ77" s="277" t="s">
        <v>1072</v>
      </c>
      <c r="DMR77" s="277" t="s">
        <v>1072</v>
      </c>
      <c r="DMS77" s="277" t="s">
        <v>1072</v>
      </c>
      <c r="DMT77" s="277" t="s">
        <v>1072</v>
      </c>
      <c r="DMU77" s="277" t="s">
        <v>1072</v>
      </c>
      <c r="DMV77" s="277" t="s">
        <v>1072</v>
      </c>
      <c r="DMW77" s="277" t="s">
        <v>1072</v>
      </c>
      <c r="DMX77" s="277" t="s">
        <v>1072</v>
      </c>
      <c r="DMY77" s="277" t="s">
        <v>1072</v>
      </c>
      <c r="DMZ77" s="277" t="s">
        <v>1072</v>
      </c>
      <c r="DNA77" s="277" t="s">
        <v>1072</v>
      </c>
      <c r="DNB77" s="277" t="s">
        <v>1072</v>
      </c>
      <c r="DNC77" s="277" t="s">
        <v>1072</v>
      </c>
      <c r="DND77" s="277" t="s">
        <v>1072</v>
      </c>
      <c r="DNE77" s="277" t="s">
        <v>1072</v>
      </c>
      <c r="DNF77" s="277" t="s">
        <v>1072</v>
      </c>
      <c r="DNG77" s="277" t="s">
        <v>1072</v>
      </c>
      <c r="DNH77" s="277" t="s">
        <v>1072</v>
      </c>
      <c r="DNI77" s="277" t="s">
        <v>1072</v>
      </c>
      <c r="DNJ77" s="277" t="s">
        <v>1072</v>
      </c>
      <c r="DNK77" s="277" t="s">
        <v>1072</v>
      </c>
      <c r="DNL77" s="277" t="s">
        <v>1072</v>
      </c>
      <c r="DNM77" s="277" t="s">
        <v>1072</v>
      </c>
      <c r="DNN77" s="277" t="s">
        <v>1072</v>
      </c>
      <c r="DNO77" s="277" t="s">
        <v>1072</v>
      </c>
      <c r="DNP77" s="277" t="s">
        <v>1072</v>
      </c>
      <c r="DNQ77" s="277" t="s">
        <v>1072</v>
      </c>
      <c r="DNR77" s="277" t="s">
        <v>1072</v>
      </c>
      <c r="DNS77" s="277" t="s">
        <v>1072</v>
      </c>
      <c r="DNT77" s="277" t="s">
        <v>1072</v>
      </c>
      <c r="DNU77" s="277" t="s">
        <v>1072</v>
      </c>
      <c r="DNV77" s="277" t="s">
        <v>1072</v>
      </c>
      <c r="DNW77" s="277" t="s">
        <v>1072</v>
      </c>
      <c r="DNX77" s="277" t="s">
        <v>1072</v>
      </c>
      <c r="DNY77" s="277" t="s">
        <v>1072</v>
      </c>
      <c r="DNZ77" s="277" t="s">
        <v>1072</v>
      </c>
      <c r="DOA77" s="277" t="s">
        <v>1072</v>
      </c>
      <c r="DOB77" s="277" t="s">
        <v>1072</v>
      </c>
      <c r="DOC77" s="277" t="s">
        <v>1072</v>
      </c>
      <c r="DOD77" s="277" t="s">
        <v>1072</v>
      </c>
      <c r="DOE77" s="277" t="s">
        <v>1072</v>
      </c>
      <c r="DOF77" s="277" t="s">
        <v>1072</v>
      </c>
      <c r="DOG77" s="277" t="s">
        <v>1072</v>
      </c>
      <c r="DOH77" s="277" t="s">
        <v>1072</v>
      </c>
      <c r="DOI77" s="277" t="s">
        <v>1072</v>
      </c>
      <c r="DOJ77" s="277" t="s">
        <v>1072</v>
      </c>
      <c r="DOK77" s="277" t="s">
        <v>1072</v>
      </c>
      <c r="DOL77" s="277" t="s">
        <v>1072</v>
      </c>
      <c r="DOM77" s="277" t="s">
        <v>1072</v>
      </c>
      <c r="DON77" s="277" t="s">
        <v>1072</v>
      </c>
      <c r="DOO77" s="277" t="s">
        <v>1072</v>
      </c>
      <c r="DOP77" s="277" t="s">
        <v>1072</v>
      </c>
      <c r="DOQ77" s="277" t="s">
        <v>1072</v>
      </c>
      <c r="DOR77" s="277" t="s">
        <v>1072</v>
      </c>
      <c r="DOS77" s="277" t="s">
        <v>1072</v>
      </c>
      <c r="DOT77" s="277" t="s">
        <v>1072</v>
      </c>
      <c r="DOU77" s="277" t="s">
        <v>1072</v>
      </c>
      <c r="DOV77" s="277" t="s">
        <v>1072</v>
      </c>
      <c r="DOW77" s="277" t="s">
        <v>1072</v>
      </c>
      <c r="DOX77" s="277" t="s">
        <v>1072</v>
      </c>
      <c r="DOY77" s="277" t="s">
        <v>1072</v>
      </c>
      <c r="DOZ77" s="277" t="s">
        <v>1072</v>
      </c>
      <c r="DPA77" s="277" t="s">
        <v>1072</v>
      </c>
      <c r="DPB77" s="277" t="s">
        <v>1072</v>
      </c>
      <c r="DPC77" s="277" t="s">
        <v>1072</v>
      </c>
      <c r="DPD77" s="277" t="s">
        <v>1072</v>
      </c>
      <c r="DPE77" s="277" t="s">
        <v>1072</v>
      </c>
      <c r="DPF77" s="277" t="s">
        <v>1072</v>
      </c>
      <c r="DPG77" s="277" t="s">
        <v>1072</v>
      </c>
      <c r="DPH77" s="277" t="s">
        <v>1072</v>
      </c>
      <c r="DPI77" s="277" t="s">
        <v>1072</v>
      </c>
      <c r="DPJ77" s="277" t="s">
        <v>1072</v>
      </c>
      <c r="DPK77" s="277" t="s">
        <v>1072</v>
      </c>
      <c r="DPL77" s="277" t="s">
        <v>1072</v>
      </c>
      <c r="DPM77" s="277" t="s">
        <v>1072</v>
      </c>
      <c r="DPN77" s="277" t="s">
        <v>1072</v>
      </c>
      <c r="DPO77" s="277" t="s">
        <v>1072</v>
      </c>
      <c r="DPP77" s="277" t="s">
        <v>1072</v>
      </c>
      <c r="DPQ77" s="277" t="s">
        <v>1072</v>
      </c>
      <c r="DPR77" s="277" t="s">
        <v>1072</v>
      </c>
      <c r="DPS77" s="277" t="s">
        <v>1072</v>
      </c>
      <c r="DPT77" s="277" t="s">
        <v>1072</v>
      </c>
      <c r="DPU77" s="277" t="s">
        <v>1072</v>
      </c>
      <c r="DPV77" s="277" t="s">
        <v>1072</v>
      </c>
      <c r="DPW77" s="277" t="s">
        <v>1072</v>
      </c>
      <c r="DPX77" s="277" t="s">
        <v>1072</v>
      </c>
      <c r="DPY77" s="277" t="s">
        <v>1072</v>
      </c>
      <c r="DPZ77" s="277" t="s">
        <v>1072</v>
      </c>
      <c r="DQA77" s="277" t="s">
        <v>1072</v>
      </c>
      <c r="DQB77" s="277" t="s">
        <v>1072</v>
      </c>
      <c r="DQC77" s="277" t="s">
        <v>1072</v>
      </c>
      <c r="DQD77" s="277" t="s">
        <v>1072</v>
      </c>
      <c r="DQE77" s="277" t="s">
        <v>1072</v>
      </c>
      <c r="DQF77" s="277" t="s">
        <v>1072</v>
      </c>
      <c r="DQG77" s="277" t="s">
        <v>1072</v>
      </c>
      <c r="DQH77" s="277" t="s">
        <v>1072</v>
      </c>
      <c r="DQI77" s="277" t="s">
        <v>1072</v>
      </c>
      <c r="DQJ77" s="277" t="s">
        <v>1072</v>
      </c>
      <c r="DQK77" s="277" t="s">
        <v>1072</v>
      </c>
      <c r="DQL77" s="277" t="s">
        <v>1072</v>
      </c>
      <c r="DQM77" s="277" t="s">
        <v>1072</v>
      </c>
      <c r="DQN77" s="277" t="s">
        <v>1072</v>
      </c>
      <c r="DQO77" s="277" t="s">
        <v>1072</v>
      </c>
      <c r="DQP77" s="277" t="s">
        <v>1072</v>
      </c>
      <c r="DQQ77" s="277" t="s">
        <v>1072</v>
      </c>
      <c r="DQR77" s="277" t="s">
        <v>1072</v>
      </c>
      <c r="DQS77" s="277" t="s">
        <v>1072</v>
      </c>
      <c r="DQT77" s="277" t="s">
        <v>1072</v>
      </c>
      <c r="DQU77" s="277" t="s">
        <v>1072</v>
      </c>
      <c r="DQV77" s="277" t="s">
        <v>1072</v>
      </c>
      <c r="DQW77" s="277" t="s">
        <v>1072</v>
      </c>
      <c r="DQX77" s="277" t="s">
        <v>1072</v>
      </c>
      <c r="DQY77" s="277" t="s">
        <v>1072</v>
      </c>
      <c r="DQZ77" s="277" t="s">
        <v>1072</v>
      </c>
      <c r="DRA77" s="277" t="s">
        <v>1072</v>
      </c>
      <c r="DRB77" s="277" t="s">
        <v>1072</v>
      </c>
      <c r="DRC77" s="277" t="s">
        <v>1072</v>
      </c>
      <c r="DRD77" s="277" t="s">
        <v>1072</v>
      </c>
      <c r="DRE77" s="277" t="s">
        <v>1072</v>
      </c>
      <c r="DRF77" s="277" t="s">
        <v>1072</v>
      </c>
      <c r="DRG77" s="277" t="s">
        <v>1072</v>
      </c>
      <c r="DRH77" s="277" t="s">
        <v>1072</v>
      </c>
      <c r="DRI77" s="277" t="s">
        <v>1072</v>
      </c>
      <c r="DRJ77" s="277" t="s">
        <v>1072</v>
      </c>
      <c r="DRK77" s="277" t="s">
        <v>1072</v>
      </c>
      <c r="DRL77" s="277" t="s">
        <v>1072</v>
      </c>
      <c r="DRM77" s="277" t="s">
        <v>1072</v>
      </c>
      <c r="DRN77" s="277" t="s">
        <v>1072</v>
      </c>
      <c r="DRO77" s="277" t="s">
        <v>1072</v>
      </c>
      <c r="DRP77" s="277" t="s">
        <v>1072</v>
      </c>
      <c r="DRQ77" s="277" t="s">
        <v>1072</v>
      </c>
      <c r="DRR77" s="277" t="s">
        <v>1072</v>
      </c>
      <c r="DRS77" s="277" t="s">
        <v>1072</v>
      </c>
      <c r="DRT77" s="277" t="s">
        <v>1072</v>
      </c>
      <c r="DRU77" s="277" t="s">
        <v>1072</v>
      </c>
      <c r="DRV77" s="277" t="s">
        <v>1072</v>
      </c>
      <c r="DRW77" s="277" t="s">
        <v>1072</v>
      </c>
      <c r="DRX77" s="277" t="s">
        <v>1072</v>
      </c>
      <c r="DRY77" s="277" t="s">
        <v>1072</v>
      </c>
      <c r="DRZ77" s="277" t="s">
        <v>1072</v>
      </c>
      <c r="DSA77" s="277" t="s">
        <v>1072</v>
      </c>
      <c r="DSB77" s="277" t="s">
        <v>1072</v>
      </c>
      <c r="DSC77" s="277" t="s">
        <v>1072</v>
      </c>
      <c r="DSD77" s="277" t="s">
        <v>1072</v>
      </c>
      <c r="DSE77" s="277" t="s">
        <v>1072</v>
      </c>
      <c r="DSF77" s="277" t="s">
        <v>1072</v>
      </c>
      <c r="DSG77" s="277" t="s">
        <v>1072</v>
      </c>
      <c r="DSH77" s="277" t="s">
        <v>1072</v>
      </c>
      <c r="DSI77" s="277" t="s">
        <v>1072</v>
      </c>
      <c r="DSJ77" s="277" t="s">
        <v>1072</v>
      </c>
      <c r="DSK77" s="277" t="s">
        <v>1072</v>
      </c>
      <c r="DSL77" s="277" t="s">
        <v>1072</v>
      </c>
      <c r="DSM77" s="277" t="s">
        <v>1072</v>
      </c>
      <c r="DSN77" s="277" t="s">
        <v>1072</v>
      </c>
      <c r="DSO77" s="277" t="s">
        <v>1072</v>
      </c>
      <c r="DSP77" s="277" t="s">
        <v>1072</v>
      </c>
      <c r="DSQ77" s="277" t="s">
        <v>1072</v>
      </c>
      <c r="DSR77" s="277" t="s">
        <v>1072</v>
      </c>
      <c r="DSS77" s="277" t="s">
        <v>1072</v>
      </c>
      <c r="DST77" s="277" t="s">
        <v>1072</v>
      </c>
      <c r="DSU77" s="277" t="s">
        <v>1072</v>
      </c>
      <c r="DSV77" s="277" t="s">
        <v>1072</v>
      </c>
      <c r="DSW77" s="277" t="s">
        <v>1072</v>
      </c>
      <c r="DSX77" s="277" t="s">
        <v>1072</v>
      </c>
      <c r="DSY77" s="277" t="s">
        <v>1072</v>
      </c>
      <c r="DSZ77" s="277" t="s">
        <v>1072</v>
      </c>
      <c r="DTA77" s="277" t="s">
        <v>1072</v>
      </c>
      <c r="DTB77" s="277" t="s">
        <v>1072</v>
      </c>
      <c r="DTC77" s="277" t="s">
        <v>1072</v>
      </c>
      <c r="DTD77" s="277" t="s">
        <v>1072</v>
      </c>
      <c r="DTE77" s="277" t="s">
        <v>1072</v>
      </c>
      <c r="DTF77" s="277" t="s">
        <v>1072</v>
      </c>
      <c r="DTG77" s="277" t="s">
        <v>1072</v>
      </c>
      <c r="DTH77" s="277" t="s">
        <v>1072</v>
      </c>
      <c r="DTI77" s="277" t="s">
        <v>1072</v>
      </c>
      <c r="DTJ77" s="277" t="s">
        <v>1072</v>
      </c>
      <c r="DTK77" s="277" t="s">
        <v>1072</v>
      </c>
      <c r="DTL77" s="277" t="s">
        <v>1072</v>
      </c>
      <c r="DTM77" s="277" t="s">
        <v>1072</v>
      </c>
      <c r="DTN77" s="277" t="s">
        <v>1072</v>
      </c>
      <c r="DTO77" s="277" t="s">
        <v>1072</v>
      </c>
      <c r="DTP77" s="277" t="s">
        <v>1072</v>
      </c>
      <c r="DTQ77" s="277" t="s">
        <v>1072</v>
      </c>
      <c r="DTR77" s="277" t="s">
        <v>1072</v>
      </c>
      <c r="DTS77" s="277" t="s">
        <v>1072</v>
      </c>
      <c r="DTT77" s="277" t="s">
        <v>1072</v>
      </c>
      <c r="DTU77" s="277" t="s">
        <v>1072</v>
      </c>
      <c r="DTV77" s="277" t="s">
        <v>1072</v>
      </c>
      <c r="DTW77" s="277" t="s">
        <v>1072</v>
      </c>
      <c r="DTX77" s="277" t="s">
        <v>1072</v>
      </c>
      <c r="DTY77" s="277" t="s">
        <v>1072</v>
      </c>
      <c r="DTZ77" s="277" t="s">
        <v>1072</v>
      </c>
      <c r="DUA77" s="277" t="s">
        <v>1072</v>
      </c>
      <c r="DUB77" s="277" t="s">
        <v>1072</v>
      </c>
      <c r="DUC77" s="277" t="s">
        <v>1072</v>
      </c>
      <c r="DUD77" s="277" t="s">
        <v>1072</v>
      </c>
      <c r="DUE77" s="277" t="s">
        <v>1072</v>
      </c>
      <c r="DUF77" s="277" t="s">
        <v>1072</v>
      </c>
      <c r="DUG77" s="277" t="s">
        <v>1072</v>
      </c>
      <c r="DUH77" s="277" t="s">
        <v>1072</v>
      </c>
      <c r="DUI77" s="277" t="s">
        <v>1072</v>
      </c>
      <c r="DUJ77" s="277" t="s">
        <v>1072</v>
      </c>
      <c r="DUK77" s="277" t="s">
        <v>1072</v>
      </c>
      <c r="DUL77" s="277" t="s">
        <v>1072</v>
      </c>
      <c r="DUM77" s="277" t="s">
        <v>1072</v>
      </c>
      <c r="DUN77" s="277" t="s">
        <v>1072</v>
      </c>
      <c r="DUO77" s="277" t="s">
        <v>1072</v>
      </c>
      <c r="DUP77" s="277" t="s">
        <v>1072</v>
      </c>
      <c r="DUQ77" s="277" t="s">
        <v>1072</v>
      </c>
      <c r="DUR77" s="277" t="s">
        <v>1072</v>
      </c>
      <c r="DUS77" s="277" t="s">
        <v>1072</v>
      </c>
      <c r="DUT77" s="277" t="s">
        <v>1072</v>
      </c>
      <c r="DUU77" s="277" t="s">
        <v>1072</v>
      </c>
      <c r="DUV77" s="277" t="s">
        <v>1072</v>
      </c>
      <c r="DUW77" s="277" t="s">
        <v>1072</v>
      </c>
      <c r="DUX77" s="277" t="s">
        <v>1072</v>
      </c>
      <c r="DUY77" s="277" t="s">
        <v>1072</v>
      </c>
      <c r="DUZ77" s="277" t="s">
        <v>1072</v>
      </c>
      <c r="DVA77" s="277" t="s">
        <v>1072</v>
      </c>
      <c r="DVB77" s="277" t="s">
        <v>1072</v>
      </c>
      <c r="DVC77" s="277" t="s">
        <v>1072</v>
      </c>
      <c r="DVD77" s="277" t="s">
        <v>1072</v>
      </c>
      <c r="DVE77" s="277" t="s">
        <v>1072</v>
      </c>
      <c r="DVF77" s="277" t="s">
        <v>1072</v>
      </c>
      <c r="DVG77" s="277" t="s">
        <v>1072</v>
      </c>
      <c r="DVH77" s="277" t="s">
        <v>1072</v>
      </c>
      <c r="DVI77" s="277" t="s">
        <v>1072</v>
      </c>
      <c r="DVJ77" s="277" t="s">
        <v>1072</v>
      </c>
      <c r="DVK77" s="277" t="s">
        <v>1072</v>
      </c>
      <c r="DVL77" s="277" t="s">
        <v>1072</v>
      </c>
      <c r="DVM77" s="277" t="s">
        <v>1072</v>
      </c>
      <c r="DVN77" s="277" t="s">
        <v>1072</v>
      </c>
      <c r="DVO77" s="277" t="s">
        <v>1072</v>
      </c>
      <c r="DVP77" s="277" t="s">
        <v>1072</v>
      </c>
      <c r="DVQ77" s="277" t="s">
        <v>1072</v>
      </c>
      <c r="DVR77" s="277" t="s">
        <v>1072</v>
      </c>
      <c r="DVS77" s="277" t="s">
        <v>1072</v>
      </c>
      <c r="DVT77" s="277" t="s">
        <v>1072</v>
      </c>
      <c r="DVU77" s="277" t="s">
        <v>1072</v>
      </c>
      <c r="DVV77" s="277" t="s">
        <v>1072</v>
      </c>
      <c r="DVW77" s="277" t="s">
        <v>1072</v>
      </c>
      <c r="DVX77" s="277" t="s">
        <v>1072</v>
      </c>
      <c r="DVY77" s="277" t="s">
        <v>1072</v>
      </c>
      <c r="DVZ77" s="277" t="s">
        <v>1072</v>
      </c>
      <c r="DWA77" s="277" t="s">
        <v>1072</v>
      </c>
      <c r="DWB77" s="277" t="s">
        <v>1072</v>
      </c>
      <c r="DWC77" s="277" t="s">
        <v>1072</v>
      </c>
      <c r="DWD77" s="277" t="s">
        <v>1072</v>
      </c>
      <c r="DWE77" s="277" t="s">
        <v>1072</v>
      </c>
      <c r="DWF77" s="277" t="s">
        <v>1072</v>
      </c>
      <c r="DWG77" s="277" t="s">
        <v>1072</v>
      </c>
      <c r="DWH77" s="277" t="s">
        <v>1072</v>
      </c>
      <c r="DWI77" s="277" t="s">
        <v>1072</v>
      </c>
      <c r="DWJ77" s="277" t="s">
        <v>1072</v>
      </c>
      <c r="DWK77" s="277" t="s">
        <v>1072</v>
      </c>
      <c r="DWL77" s="277" t="s">
        <v>1072</v>
      </c>
      <c r="DWM77" s="277" t="s">
        <v>1072</v>
      </c>
      <c r="DWN77" s="277" t="s">
        <v>1072</v>
      </c>
      <c r="DWO77" s="277" t="s">
        <v>1072</v>
      </c>
      <c r="DWP77" s="277" t="s">
        <v>1072</v>
      </c>
      <c r="DWQ77" s="277" t="s">
        <v>1072</v>
      </c>
      <c r="DWR77" s="277" t="s">
        <v>1072</v>
      </c>
      <c r="DWS77" s="277" t="s">
        <v>1072</v>
      </c>
      <c r="DWT77" s="277" t="s">
        <v>1072</v>
      </c>
      <c r="DWU77" s="277" t="s">
        <v>1072</v>
      </c>
      <c r="DWV77" s="277" t="s">
        <v>1072</v>
      </c>
      <c r="DWW77" s="277" t="s">
        <v>1072</v>
      </c>
      <c r="DWX77" s="277" t="s">
        <v>1072</v>
      </c>
      <c r="DWY77" s="277" t="s">
        <v>1072</v>
      </c>
      <c r="DWZ77" s="277" t="s">
        <v>1072</v>
      </c>
      <c r="DXA77" s="277" t="s">
        <v>1072</v>
      </c>
      <c r="DXB77" s="277" t="s">
        <v>1072</v>
      </c>
      <c r="DXC77" s="277" t="s">
        <v>1072</v>
      </c>
      <c r="DXD77" s="277" t="s">
        <v>1072</v>
      </c>
      <c r="DXE77" s="277" t="s">
        <v>1072</v>
      </c>
      <c r="DXF77" s="277" t="s">
        <v>1072</v>
      </c>
      <c r="DXG77" s="277" t="s">
        <v>1072</v>
      </c>
      <c r="DXH77" s="277" t="s">
        <v>1072</v>
      </c>
      <c r="DXI77" s="277" t="s">
        <v>1072</v>
      </c>
      <c r="DXJ77" s="277" t="s">
        <v>1072</v>
      </c>
      <c r="DXK77" s="277" t="s">
        <v>1072</v>
      </c>
      <c r="DXL77" s="277" t="s">
        <v>1072</v>
      </c>
      <c r="DXM77" s="277" t="s">
        <v>1072</v>
      </c>
      <c r="DXN77" s="277" t="s">
        <v>1072</v>
      </c>
      <c r="DXO77" s="277" t="s">
        <v>1072</v>
      </c>
      <c r="DXP77" s="277" t="s">
        <v>1072</v>
      </c>
      <c r="DXQ77" s="277" t="s">
        <v>1072</v>
      </c>
      <c r="DXR77" s="277" t="s">
        <v>1072</v>
      </c>
      <c r="DXS77" s="277" t="s">
        <v>1072</v>
      </c>
      <c r="DXT77" s="277" t="s">
        <v>1072</v>
      </c>
      <c r="DXU77" s="277" t="s">
        <v>1072</v>
      </c>
      <c r="DXV77" s="277" t="s">
        <v>1072</v>
      </c>
      <c r="DXW77" s="277" t="s">
        <v>1072</v>
      </c>
      <c r="DXX77" s="277" t="s">
        <v>1072</v>
      </c>
      <c r="DXY77" s="277" t="s">
        <v>1072</v>
      </c>
      <c r="DXZ77" s="277" t="s">
        <v>1072</v>
      </c>
      <c r="DYA77" s="277" t="s">
        <v>1072</v>
      </c>
      <c r="DYB77" s="277" t="s">
        <v>1072</v>
      </c>
      <c r="DYC77" s="277" t="s">
        <v>1072</v>
      </c>
      <c r="DYD77" s="277" t="s">
        <v>1072</v>
      </c>
      <c r="DYE77" s="277" t="s">
        <v>1072</v>
      </c>
      <c r="DYF77" s="277" t="s">
        <v>1072</v>
      </c>
      <c r="DYG77" s="277" t="s">
        <v>1072</v>
      </c>
      <c r="DYH77" s="277" t="s">
        <v>1072</v>
      </c>
      <c r="DYI77" s="277" t="s">
        <v>1072</v>
      </c>
      <c r="DYJ77" s="277" t="s">
        <v>1072</v>
      </c>
      <c r="DYK77" s="277" t="s">
        <v>1072</v>
      </c>
      <c r="DYL77" s="277" t="s">
        <v>1072</v>
      </c>
      <c r="DYM77" s="277" t="s">
        <v>1072</v>
      </c>
      <c r="DYN77" s="277" t="s">
        <v>1072</v>
      </c>
      <c r="DYO77" s="277" t="s">
        <v>1072</v>
      </c>
      <c r="DYP77" s="277" t="s">
        <v>1072</v>
      </c>
      <c r="DYQ77" s="277" t="s">
        <v>1072</v>
      </c>
      <c r="DYR77" s="277" t="s">
        <v>1072</v>
      </c>
      <c r="DYS77" s="277" t="s">
        <v>1072</v>
      </c>
      <c r="DYT77" s="277" t="s">
        <v>1072</v>
      </c>
      <c r="DYU77" s="277" t="s">
        <v>1072</v>
      </c>
      <c r="DYV77" s="277" t="s">
        <v>1072</v>
      </c>
      <c r="DYW77" s="277" t="s">
        <v>1072</v>
      </c>
      <c r="DYX77" s="277" t="s">
        <v>1072</v>
      </c>
      <c r="DYY77" s="277" t="s">
        <v>1072</v>
      </c>
      <c r="DYZ77" s="277" t="s">
        <v>1072</v>
      </c>
      <c r="DZA77" s="277" t="s">
        <v>1072</v>
      </c>
      <c r="DZB77" s="277" t="s">
        <v>1072</v>
      </c>
      <c r="DZC77" s="277" t="s">
        <v>1072</v>
      </c>
      <c r="DZD77" s="277" t="s">
        <v>1072</v>
      </c>
      <c r="DZE77" s="277" t="s">
        <v>1072</v>
      </c>
      <c r="DZF77" s="277" t="s">
        <v>1072</v>
      </c>
      <c r="DZG77" s="277" t="s">
        <v>1072</v>
      </c>
      <c r="DZH77" s="277" t="s">
        <v>1072</v>
      </c>
      <c r="DZI77" s="277" t="s">
        <v>1072</v>
      </c>
      <c r="DZJ77" s="277" t="s">
        <v>1072</v>
      </c>
      <c r="DZK77" s="277" t="s">
        <v>1072</v>
      </c>
      <c r="DZL77" s="277" t="s">
        <v>1072</v>
      </c>
      <c r="DZM77" s="277" t="s">
        <v>1072</v>
      </c>
      <c r="DZN77" s="277" t="s">
        <v>1072</v>
      </c>
      <c r="DZO77" s="277" t="s">
        <v>1072</v>
      </c>
      <c r="DZP77" s="277" t="s">
        <v>1072</v>
      </c>
      <c r="DZQ77" s="277" t="s">
        <v>1072</v>
      </c>
      <c r="DZR77" s="277" t="s">
        <v>1072</v>
      </c>
      <c r="DZS77" s="277" t="s">
        <v>1072</v>
      </c>
      <c r="DZT77" s="277" t="s">
        <v>1072</v>
      </c>
      <c r="DZU77" s="277" t="s">
        <v>1072</v>
      </c>
      <c r="DZV77" s="277" t="s">
        <v>1072</v>
      </c>
      <c r="DZW77" s="277" t="s">
        <v>1072</v>
      </c>
      <c r="DZX77" s="277" t="s">
        <v>1072</v>
      </c>
      <c r="DZY77" s="277" t="s">
        <v>1072</v>
      </c>
      <c r="DZZ77" s="277" t="s">
        <v>1072</v>
      </c>
      <c r="EAA77" s="277" t="s">
        <v>1072</v>
      </c>
      <c r="EAB77" s="277" t="s">
        <v>1072</v>
      </c>
      <c r="EAC77" s="277" t="s">
        <v>1072</v>
      </c>
      <c r="EAD77" s="277" t="s">
        <v>1072</v>
      </c>
      <c r="EAE77" s="277" t="s">
        <v>1072</v>
      </c>
      <c r="EAF77" s="277" t="s">
        <v>1072</v>
      </c>
      <c r="EAG77" s="277" t="s">
        <v>1072</v>
      </c>
      <c r="EAH77" s="277" t="s">
        <v>1072</v>
      </c>
      <c r="EAI77" s="277" t="s">
        <v>1072</v>
      </c>
      <c r="EAJ77" s="277" t="s">
        <v>1072</v>
      </c>
      <c r="EAK77" s="277" t="s">
        <v>1072</v>
      </c>
      <c r="EAL77" s="277" t="s">
        <v>1072</v>
      </c>
      <c r="EAM77" s="277" t="s">
        <v>1072</v>
      </c>
      <c r="EAN77" s="277" t="s">
        <v>1072</v>
      </c>
      <c r="EAO77" s="277" t="s">
        <v>1072</v>
      </c>
      <c r="EAP77" s="277" t="s">
        <v>1072</v>
      </c>
      <c r="EAQ77" s="277" t="s">
        <v>1072</v>
      </c>
      <c r="EAR77" s="277" t="s">
        <v>1072</v>
      </c>
      <c r="EAS77" s="277" t="s">
        <v>1072</v>
      </c>
      <c r="EAT77" s="277" t="s">
        <v>1072</v>
      </c>
      <c r="EAU77" s="277" t="s">
        <v>1072</v>
      </c>
      <c r="EAV77" s="277" t="s">
        <v>1072</v>
      </c>
      <c r="EAW77" s="277" t="s">
        <v>1072</v>
      </c>
      <c r="EAX77" s="277" t="s">
        <v>1072</v>
      </c>
      <c r="EAY77" s="277" t="s">
        <v>1072</v>
      </c>
      <c r="EAZ77" s="277" t="s">
        <v>1072</v>
      </c>
      <c r="EBA77" s="277" t="s">
        <v>1072</v>
      </c>
      <c r="EBB77" s="277" t="s">
        <v>1072</v>
      </c>
      <c r="EBC77" s="277" t="s">
        <v>1072</v>
      </c>
      <c r="EBD77" s="277" t="s">
        <v>1072</v>
      </c>
      <c r="EBE77" s="277" t="s">
        <v>1072</v>
      </c>
      <c r="EBF77" s="277" t="s">
        <v>1072</v>
      </c>
      <c r="EBG77" s="277" t="s">
        <v>1072</v>
      </c>
      <c r="EBH77" s="277" t="s">
        <v>1072</v>
      </c>
      <c r="EBI77" s="277" t="s">
        <v>1072</v>
      </c>
      <c r="EBJ77" s="277" t="s">
        <v>1072</v>
      </c>
      <c r="EBK77" s="277" t="s">
        <v>1072</v>
      </c>
      <c r="EBL77" s="277" t="s">
        <v>1072</v>
      </c>
      <c r="EBM77" s="277" t="s">
        <v>1072</v>
      </c>
      <c r="EBN77" s="277" t="s">
        <v>1072</v>
      </c>
      <c r="EBO77" s="277" t="s">
        <v>1072</v>
      </c>
      <c r="EBP77" s="277" t="s">
        <v>1072</v>
      </c>
      <c r="EBQ77" s="277" t="s">
        <v>1072</v>
      </c>
      <c r="EBR77" s="277" t="s">
        <v>1072</v>
      </c>
      <c r="EBS77" s="277" t="s">
        <v>1072</v>
      </c>
      <c r="EBT77" s="277" t="s">
        <v>1072</v>
      </c>
      <c r="EBU77" s="277" t="s">
        <v>1072</v>
      </c>
      <c r="EBV77" s="277" t="s">
        <v>1072</v>
      </c>
      <c r="EBW77" s="277" t="s">
        <v>1072</v>
      </c>
      <c r="EBX77" s="277" t="s">
        <v>1072</v>
      </c>
      <c r="EBY77" s="277" t="s">
        <v>1072</v>
      </c>
      <c r="EBZ77" s="277" t="s">
        <v>1072</v>
      </c>
      <c r="ECA77" s="277" t="s">
        <v>1072</v>
      </c>
      <c r="ECB77" s="277" t="s">
        <v>1072</v>
      </c>
      <c r="ECC77" s="277" t="s">
        <v>1072</v>
      </c>
      <c r="ECD77" s="277" t="s">
        <v>1072</v>
      </c>
      <c r="ECE77" s="277" t="s">
        <v>1072</v>
      </c>
      <c r="ECF77" s="277" t="s">
        <v>1072</v>
      </c>
      <c r="ECG77" s="277" t="s">
        <v>1072</v>
      </c>
      <c r="ECH77" s="277" t="s">
        <v>1072</v>
      </c>
      <c r="ECI77" s="277" t="s">
        <v>1072</v>
      </c>
      <c r="ECJ77" s="277" t="s">
        <v>1072</v>
      </c>
      <c r="ECK77" s="277" t="s">
        <v>1072</v>
      </c>
      <c r="ECL77" s="277" t="s">
        <v>1072</v>
      </c>
      <c r="ECM77" s="277" t="s">
        <v>1072</v>
      </c>
      <c r="ECN77" s="277" t="s">
        <v>1072</v>
      </c>
      <c r="ECO77" s="277" t="s">
        <v>1072</v>
      </c>
      <c r="ECP77" s="277" t="s">
        <v>1072</v>
      </c>
      <c r="ECQ77" s="277" t="s">
        <v>1072</v>
      </c>
      <c r="ECR77" s="277" t="s">
        <v>1072</v>
      </c>
      <c r="ECS77" s="277" t="s">
        <v>1072</v>
      </c>
      <c r="ECT77" s="277" t="s">
        <v>1072</v>
      </c>
      <c r="ECU77" s="277" t="s">
        <v>1072</v>
      </c>
      <c r="ECV77" s="277" t="s">
        <v>1072</v>
      </c>
      <c r="ECW77" s="277" t="s">
        <v>1072</v>
      </c>
      <c r="ECX77" s="277" t="s">
        <v>1072</v>
      </c>
      <c r="ECY77" s="277" t="s">
        <v>1072</v>
      </c>
      <c r="ECZ77" s="277" t="s">
        <v>1072</v>
      </c>
      <c r="EDA77" s="277" t="s">
        <v>1072</v>
      </c>
      <c r="EDB77" s="277" t="s">
        <v>1072</v>
      </c>
      <c r="EDC77" s="277" t="s">
        <v>1072</v>
      </c>
      <c r="EDD77" s="277" t="s">
        <v>1072</v>
      </c>
      <c r="EDE77" s="277" t="s">
        <v>1072</v>
      </c>
      <c r="EDF77" s="277" t="s">
        <v>1072</v>
      </c>
      <c r="EDG77" s="277" t="s">
        <v>1072</v>
      </c>
      <c r="EDH77" s="277" t="s">
        <v>1072</v>
      </c>
      <c r="EDI77" s="277" t="s">
        <v>1072</v>
      </c>
      <c r="EDJ77" s="277" t="s">
        <v>1072</v>
      </c>
      <c r="EDK77" s="277" t="s">
        <v>1072</v>
      </c>
      <c r="EDL77" s="277" t="s">
        <v>1072</v>
      </c>
      <c r="EDM77" s="277" t="s">
        <v>1072</v>
      </c>
      <c r="EDN77" s="277" t="s">
        <v>1072</v>
      </c>
      <c r="EDO77" s="277" t="s">
        <v>1072</v>
      </c>
      <c r="EDP77" s="277" t="s">
        <v>1072</v>
      </c>
      <c r="EDQ77" s="277" t="s">
        <v>1072</v>
      </c>
      <c r="EDR77" s="277" t="s">
        <v>1072</v>
      </c>
      <c r="EDS77" s="277" t="s">
        <v>1072</v>
      </c>
      <c r="EDT77" s="277" t="s">
        <v>1072</v>
      </c>
      <c r="EDU77" s="277" t="s">
        <v>1072</v>
      </c>
      <c r="EDV77" s="277" t="s">
        <v>1072</v>
      </c>
      <c r="EDW77" s="277" t="s">
        <v>1072</v>
      </c>
      <c r="EDX77" s="277" t="s">
        <v>1072</v>
      </c>
      <c r="EDY77" s="277" t="s">
        <v>1072</v>
      </c>
      <c r="EDZ77" s="277" t="s">
        <v>1072</v>
      </c>
      <c r="EEA77" s="277" t="s">
        <v>1072</v>
      </c>
      <c r="EEB77" s="277" t="s">
        <v>1072</v>
      </c>
      <c r="EEC77" s="277" t="s">
        <v>1072</v>
      </c>
      <c r="EED77" s="277" t="s">
        <v>1072</v>
      </c>
      <c r="EEE77" s="277" t="s">
        <v>1072</v>
      </c>
      <c r="EEF77" s="277" t="s">
        <v>1072</v>
      </c>
      <c r="EEG77" s="277" t="s">
        <v>1072</v>
      </c>
      <c r="EEH77" s="277" t="s">
        <v>1072</v>
      </c>
      <c r="EEI77" s="277" t="s">
        <v>1072</v>
      </c>
      <c r="EEJ77" s="277" t="s">
        <v>1072</v>
      </c>
      <c r="EEK77" s="277" t="s">
        <v>1072</v>
      </c>
      <c r="EEL77" s="277" t="s">
        <v>1072</v>
      </c>
      <c r="EEM77" s="277" t="s">
        <v>1072</v>
      </c>
      <c r="EEN77" s="277" t="s">
        <v>1072</v>
      </c>
      <c r="EEO77" s="277" t="s">
        <v>1072</v>
      </c>
      <c r="EEP77" s="277" t="s">
        <v>1072</v>
      </c>
      <c r="EEQ77" s="277" t="s">
        <v>1072</v>
      </c>
      <c r="EER77" s="277" t="s">
        <v>1072</v>
      </c>
      <c r="EES77" s="277" t="s">
        <v>1072</v>
      </c>
      <c r="EET77" s="277" t="s">
        <v>1072</v>
      </c>
      <c r="EEU77" s="277" t="s">
        <v>1072</v>
      </c>
      <c r="EEV77" s="277" t="s">
        <v>1072</v>
      </c>
      <c r="EEW77" s="277" t="s">
        <v>1072</v>
      </c>
      <c r="EEX77" s="277" t="s">
        <v>1072</v>
      </c>
      <c r="EEY77" s="277" t="s">
        <v>1072</v>
      </c>
      <c r="EEZ77" s="277" t="s">
        <v>1072</v>
      </c>
      <c r="EFA77" s="277" t="s">
        <v>1072</v>
      </c>
      <c r="EFB77" s="277" t="s">
        <v>1072</v>
      </c>
      <c r="EFC77" s="277" t="s">
        <v>1072</v>
      </c>
      <c r="EFD77" s="277" t="s">
        <v>1072</v>
      </c>
      <c r="EFE77" s="277" t="s">
        <v>1072</v>
      </c>
      <c r="EFF77" s="277" t="s">
        <v>1072</v>
      </c>
      <c r="EFG77" s="277" t="s">
        <v>1072</v>
      </c>
      <c r="EFH77" s="277" t="s">
        <v>1072</v>
      </c>
      <c r="EFI77" s="277" t="s">
        <v>1072</v>
      </c>
      <c r="EFJ77" s="277" t="s">
        <v>1072</v>
      </c>
      <c r="EFK77" s="277" t="s">
        <v>1072</v>
      </c>
      <c r="EFL77" s="277" t="s">
        <v>1072</v>
      </c>
      <c r="EFM77" s="277" t="s">
        <v>1072</v>
      </c>
      <c r="EFN77" s="277" t="s">
        <v>1072</v>
      </c>
      <c r="EFO77" s="277" t="s">
        <v>1072</v>
      </c>
      <c r="EFP77" s="277" t="s">
        <v>1072</v>
      </c>
      <c r="EFQ77" s="277" t="s">
        <v>1072</v>
      </c>
      <c r="EFR77" s="277" t="s">
        <v>1072</v>
      </c>
      <c r="EFS77" s="277" t="s">
        <v>1072</v>
      </c>
      <c r="EFT77" s="277" t="s">
        <v>1072</v>
      </c>
      <c r="EFU77" s="277" t="s">
        <v>1072</v>
      </c>
      <c r="EFV77" s="277" t="s">
        <v>1072</v>
      </c>
      <c r="EFW77" s="277" t="s">
        <v>1072</v>
      </c>
      <c r="EFX77" s="277" t="s">
        <v>1072</v>
      </c>
      <c r="EFY77" s="277" t="s">
        <v>1072</v>
      </c>
      <c r="EFZ77" s="277" t="s">
        <v>1072</v>
      </c>
      <c r="EGA77" s="277" t="s">
        <v>1072</v>
      </c>
      <c r="EGB77" s="277" t="s">
        <v>1072</v>
      </c>
      <c r="EGC77" s="277" t="s">
        <v>1072</v>
      </c>
      <c r="EGD77" s="277" t="s">
        <v>1072</v>
      </c>
      <c r="EGE77" s="277" t="s">
        <v>1072</v>
      </c>
      <c r="EGF77" s="277" t="s">
        <v>1072</v>
      </c>
      <c r="EGG77" s="277" t="s">
        <v>1072</v>
      </c>
      <c r="EGH77" s="277" t="s">
        <v>1072</v>
      </c>
      <c r="EGI77" s="277" t="s">
        <v>1072</v>
      </c>
      <c r="EGJ77" s="277" t="s">
        <v>1072</v>
      </c>
      <c r="EGK77" s="277" t="s">
        <v>1072</v>
      </c>
      <c r="EGL77" s="277" t="s">
        <v>1072</v>
      </c>
      <c r="EGM77" s="277" t="s">
        <v>1072</v>
      </c>
      <c r="EGN77" s="277" t="s">
        <v>1072</v>
      </c>
      <c r="EGO77" s="277" t="s">
        <v>1072</v>
      </c>
      <c r="EGP77" s="277" t="s">
        <v>1072</v>
      </c>
      <c r="EGQ77" s="277" t="s">
        <v>1072</v>
      </c>
      <c r="EGR77" s="277" t="s">
        <v>1072</v>
      </c>
      <c r="EGS77" s="277" t="s">
        <v>1072</v>
      </c>
      <c r="EGT77" s="277" t="s">
        <v>1072</v>
      </c>
      <c r="EGU77" s="277" t="s">
        <v>1072</v>
      </c>
      <c r="EGV77" s="277" t="s">
        <v>1072</v>
      </c>
      <c r="EGW77" s="277" t="s">
        <v>1072</v>
      </c>
      <c r="EGX77" s="277" t="s">
        <v>1072</v>
      </c>
      <c r="EGY77" s="277" t="s">
        <v>1072</v>
      </c>
      <c r="EGZ77" s="277" t="s">
        <v>1072</v>
      </c>
      <c r="EHA77" s="277" t="s">
        <v>1072</v>
      </c>
      <c r="EHB77" s="277" t="s">
        <v>1072</v>
      </c>
      <c r="EHC77" s="277" t="s">
        <v>1072</v>
      </c>
      <c r="EHD77" s="277" t="s">
        <v>1072</v>
      </c>
      <c r="EHE77" s="277" t="s">
        <v>1072</v>
      </c>
      <c r="EHF77" s="277" t="s">
        <v>1072</v>
      </c>
      <c r="EHG77" s="277" t="s">
        <v>1072</v>
      </c>
      <c r="EHH77" s="277" t="s">
        <v>1072</v>
      </c>
      <c r="EHI77" s="277" t="s">
        <v>1072</v>
      </c>
      <c r="EHJ77" s="277" t="s">
        <v>1072</v>
      </c>
      <c r="EHK77" s="277" t="s">
        <v>1072</v>
      </c>
      <c r="EHL77" s="277" t="s">
        <v>1072</v>
      </c>
      <c r="EHM77" s="277" t="s">
        <v>1072</v>
      </c>
      <c r="EHN77" s="277" t="s">
        <v>1072</v>
      </c>
      <c r="EHO77" s="277" t="s">
        <v>1072</v>
      </c>
      <c r="EHP77" s="277" t="s">
        <v>1072</v>
      </c>
      <c r="EHQ77" s="277" t="s">
        <v>1072</v>
      </c>
      <c r="EHR77" s="277" t="s">
        <v>1072</v>
      </c>
      <c r="EHS77" s="277" t="s">
        <v>1072</v>
      </c>
      <c r="EHT77" s="277" t="s">
        <v>1072</v>
      </c>
      <c r="EHU77" s="277" t="s">
        <v>1072</v>
      </c>
      <c r="EHV77" s="277" t="s">
        <v>1072</v>
      </c>
      <c r="EHW77" s="277" t="s">
        <v>1072</v>
      </c>
      <c r="EHX77" s="277" t="s">
        <v>1072</v>
      </c>
      <c r="EHY77" s="277" t="s">
        <v>1072</v>
      </c>
      <c r="EHZ77" s="277" t="s">
        <v>1072</v>
      </c>
      <c r="EIA77" s="277" t="s">
        <v>1072</v>
      </c>
      <c r="EIB77" s="277" t="s">
        <v>1072</v>
      </c>
      <c r="EIC77" s="277" t="s">
        <v>1072</v>
      </c>
      <c r="EID77" s="277" t="s">
        <v>1072</v>
      </c>
      <c r="EIE77" s="277" t="s">
        <v>1072</v>
      </c>
      <c r="EIF77" s="277" t="s">
        <v>1072</v>
      </c>
      <c r="EIG77" s="277" t="s">
        <v>1072</v>
      </c>
      <c r="EIH77" s="277" t="s">
        <v>1072</v>
      </c>
      <c r="EII77" s="277" t="s">
        <v>1072</v>
      </c>
      <c r="EIJ77" s="277" t="s">
        <v>1072</v>
      </c>
      <c r="EIK77" s="277" t="s">
        <v>1072</v>
      </c>
      <c r="EIL77" s="277" t="s">
        <v>1072</v>
      </c>
      <c r="EIM77" s="277" t="s">
        <v>1072</v>
      </c>
      <c r="EIN77" s="277" t="s">
        <v>1072</v>
      </c>
      <c r="EIO77" s="277" t="s">
        <v>1072</v>
      </c>
      <c r="EIP77" s="277" t="s">
        <v>1072</v>
      </c>
      <c r="EIQ77" s="277" t="s">
        <v>1072</v>
      </c>
      <c r="EIR77" s="277" t="s">
        <v>1072</v>
      </c>
      <c r="EIS77" s="277" t="s">
        <v>1072</v>
      </c>
      <c r="EIT77" s="277" t="s">
        <v>1072</v>
      </c>
      <c r="EIU77" s="277" t="s">
        <v>1072</v>
      </c>
      <c r="EIV77" s="277" t="s">
        <v>1072</v>
      </c>
      <c r="EIW77" s="277" t="s">
        <v>1072</v>
      </c>
      <c r="EIX77" s="277" t="s">
        <v>1072</v>
      </c>
      <c r="EIY77" s="277" t="s">
        <v>1072</v>
      </c>
      <c r="EIZ77" s="277" t="s">
        <v>1072</v>
      </c>
      <c r="EJA77" s="277" t="s">
        <v>1072</v>
      </c>
      <c r="EJB77" s="277" t="s">
        <v>1072</v>
      </c>
      <c r="EJC77" s="277" t="s">
        <v>1072</v>
      </c>
      <c r="EJD77" s="277" t="s">
        <v>1072</v>
      </c>
      <c r="EJE77" s="277" t="s">
        <v>1072</v>
      </c>
      <c r="EJF77" s="277" t="s">
        <v>1072</v>
      </c>
      <c r="EJG77" s="277" t="s">
        <v>1072</v>
      </c>
      <c r="EJH77" s="277" t="s">
        <v>1072</v>
      </c>
      <c r="EJI77" s="277" t="s">
        <v>1072</v>
      </c>
      <c r="EJJ77" s="277" t="s">
        <v>1072</v>
      </c>
      <c r="EJK77" s="277" t="s">
        <v>1072</v>
      </c>
      <c r="EJL77" s="277" t="s">
        <v>1072</v>
      </c>
      <c r="EJM77" s="277" t="s">
        <v>1072</v>
      </c>
      <c r="EJN77" s="277" t="s">
        <v>1072</v>
      </c>
      <c r="EJO77" s="277" t="s">
        <v>1072</v>
      </c>
      <c r="EJP77" s="277" t="s">
        <v>1072</v>
      </c>
      <c r="EJQ77" s="277" t="s">
        <v>1072</v>
      </c>
      <c r="EJR77" s="277" t="s">
        <v>1072</v>
      </c>
      <c r="EJS77" s="277" t="s">
        <v>1072</v>
      </c>
      <c r="EJT77" s="277" t="s">
        <v>1072</v>
      </c>
      <c r="EJU77" s="277" t="s">
        <v>1072</v>
      </c>
      <c r="EJV77" s="277" t="s">
        <v>1072</v>
      </c>
      <c r="EJW77" s="277" t="s">
        <v>1072</v>
      </c>
      <c r="EJX77" s="277" t="s">
        <v>1072</v>
      </c>
      <c r="EJY77" s="277" t="s">
        <v>1072</v>
      </c>
      <c r="EJZ77" s="277" t="s">
        <v>1072</v>
      </c>
      <c r="EKA77" s="277" t="s">
        <v>1072</v>
      </c>
      <c r="EKB77" s="277" t="s">
        <v>1072</v>
      </c>
      <c r="EKC77" s="277" t="s">
        <v>1072</v>
      </c>
      <c r="EKD77" s="277" t="s">
        <v>1072</v>
      </c>
      <c r="EKE77" s="277" t="s">
        <v>1072</v>
      </c>
      <c r="EKF77" s="277" t="s">
        <v>1072</v>
      </c>
      <c r="EKG77" s="277" t="s">
        <v>1072</v>
      </c>
      <c r="EKH77" s="277" t="s">
        <v>1072</v>
      </c>
      <c r="EKI77" s="277" t="s">
        <v>1072</v>
      </c>
      <c r="EKJ77" s="277" t="s">
        <v>1072</v>
      </c>
      <c r="EKK77" s="277" t="s">
        <v>1072</v>
      </c>
      <c r="EKL77" s="277" t="s">
        <v>1072</v>
      </c>
      <c r="EKM77" s="277" t="s">
        <v>1072</v>
      </c>
      <c r="EKN77" s="277" t="s">
        <v>1072</v>
      </c>
      <c r="EKO77" s="277" t="s">
        <v>1072</v>
      </c>
      <c r="EKP77" s="277" t="s">
        <v>1072</v>
      </c>
      <c r="EKQ77" s="277" t="s">
        <v>1072</v>
      </c>
      <c r="EKR77" s="277" t="s">
        <v>1072</v>
      </c>
      <c r="EKS77" s="277" t="s">
        <v>1072</v>
      </c>
      <c r="EKT77" s="277" t="s">
        <v>1072</v>
      </c>
      <c r="EKU77" s="277" t="s">
        <v>1072</v>
      </c>
      <c r="EKV77" s="277" t="s">
        <v>1072</v>
      </c>
      <c r="EKW77" s="277" t="s">
        <v>1072</v>
      </c>
      <c r="EKX77" s="277" t="s">
        <v>1072</v>
      </c>
      <c r="EKY77" s="277" t="s">
        <v>1072</v>
      </c>
      <c r="EKZ77" s="277" t="s">
        <v>1072</v>
      </c>
      <c r="ELA77" s="277" t="s">
        <v>1072</v>
      </c>
      <c r="ELB77" s="277" t="s">
        <v>1072</v>
      </c>
      <c r="ELC77" s="277" t="s">
        <v>1072</v>
      </c>
      <c r="ELD77" s="277" t="s">
        <v>1072</v>
      </c>
      <c r="ELE77" s="277" t="s">
        <v>1072</v>
      </c>
      <c r="ELF77" s="277" t="s">
        <v>1072</v>
      </c>
      <c r="ELG77" s="277" t="s">
        <v>1072</v>
      </c>
      <c r="ELH77" s="277" t="s">
        <v>1072</v>
      </c>
      <c r="ELI77" s="277" t="s">
        <v>1072</v>
      </c>
      <c r="ELJ77" s="277" t="s">
        <v>1072</v>
      </c>
      <c r="ELK77" s="277" t="s">
        <v>1072</v>
      </c>
      <c r="ELL77" s="277" t="s">
        <v>1072</v>
      </c>
      <c r="ELM77" s="277" t="s">
        <v>1072</v>
      </c>
      <c r="ELN77" s="277" t="s">
        <v>1072</v>
      </c>
      <c r="ELO77" s="277" t="s">
        <v>1072</v>
      </c>
      <c r="ELP77" s="277" t="s">
        <v>1072</v>
      </c>
      <c r="ELQ77" s="277" t="s">
        <v>1072</v>
      </c>
      <c r="ELR77" s="277" t="s">
        <v>1072</v>
      </c>
      <c r="ELS77" s="277" t="s">
        <v>1072</v>
      </c>
      <c r="ELT77" s="277" t="s">
        <v>1072</v>
      </c>
      <c r="ELU77" s="277" t="s">
        <v>1072</v>
      </c>
      <c r="ELV77" s="277" t="s">
        <v>1072</v>
      </c>
      <c r="ELW77" s="277" t="s">
        <v>1072</v>
      </c>
      <c r="ELX77" s="277" t="s">
        <v>1072</v>
      </c>
      <c r="ELY77" s="277" t="s">
        <v>1072</v>
      </c>
      <c r="ELZ77" s="277" t="s">
        <v>1072</v>
      </c>
      <c r="EMA77" s="277" t="s">
        <v>1072</v>
      </c>
      <c r="EMB77" s="277" t="s">
        <v>1072</v>
      </c>
      <c r="EMC77" s="277" t="s">
        <v>1072</v>
      </c>
      <c r="EMD77" s="277" t="s">
        <v>1072</v>
      </c>
      <c r="EME77" s="277" t="s">
        <v>1072</v>
      </c>
      <c r="EMF77" s="277" t="s">
        <v>1072</v>
      </c>
      <c r="EMG77" s="277" t="s">
        <v>1072</v>
      </c>
      <c r="EMH77" s="277" t="s">
        <v>1072</v>
      </c>
      <c r="EMI77" s="277" t="s">
        <v>1072</v>
      </c>
      <c r="EMJ77" s="277" t="s">
        <v>1072</v>
      </c>
      <c r="EMK77" s="277" t="s">
        <v>1072</v>
      </c>
      <c r="EML77" s="277" t="s">
        <v>1072</v>
      </c>
      <c r="EMM77" s="277" t="s">
        <v>1072</v>
      </c>
      <c r="EMN77" s="277" t="s">
        <v>1072</v>
      </c>
      <c r="EMO77" s="277" t="s">
        <v>1072</v>
      </c>
      <c r="EMP77" s="277" t="s">
        <v>1072</v>
      </c>
      <c r="EMQ77" s="277" t="s">
        <v>1072</v>
      </c>
      <c r="EMR77" s="277" t="s">
        <v>1072</v>
      </c>
      <c r="EMS77" s="277" t="s">
        <v>1072</v>
      </c>
      <c r="EMT77" s="277" t="s">
        <v>1072</v>
      </c>
      <c r="EMU77" s="277" t="s">
        <v>1072</v>
      </c>
      <c r="EMV77" s="277" t="s">
        <v>1072</v>
      </c>
      <c r="EMW77" s="277" t="s">
        <v>1072</v>
      </c>
      <c r="EMX77" s="277" t="s">
        <v>1072</v>
      </c>
      <c r="EMY77" s="277" t="s">
        <v>1072</v>
      </c>
      <c r="EMZ77" s="277" t="s">
        <v>1072</v>
      </c>
      <c r="ENA77" s="277" t="s">
        <v>1072</v>
      </c>
      <c r="ENB77" s="277" t="s">
        <v>1072</v>
      </c>
      <c r="ENC77" s="277" t="s">
        <v>1072</v>
      </c>
      <c r="END77" s="277" t="s">
        <v>1072</v>
      </c>
      <c r="ENE77" s="277" t="s">
        <v>1072</v>
      </c>
      <c r="ENF77" s="277" t="s">
        <v>1072</v>
      </c>
      <c r="ENG77" s="277" t="s">
        <v>1072</v>
      </c>
      <c r="ENH77" s="277" t="s">
        <v>1072</v>
      </c>
      <c r="ENI77" s="277" t="s">
        <v>1072</v>
      </c>
      <c r="ENJ77" s="277" t="s">
        <v>1072</v>
      </c>
      <c r="ENK77" s="277" t="s">
        <v>1072</v>
      </c>
      <c r="ENL77" s="277" t="s">
        <v>1072</v>
      </c>
      <c r="ENM77" s="277" t="s">
        <v>1072</v>
      </c>
      <c r="ENN77" s="277" t="s">
        <v>1072</v>
      </c>
      <c r="ENO77" s="277" t="s">
        <v>1072</v>
      </c>
      <c r="ENP77" s="277" t="s">
        <v>1072</v>
      </c>
      <c r="ENQ77" s="277" t="s">
        <v>1072</v>
      </c>
      <c r="ENR77" s="277" t="s">
        <v>1072</v>
      </c>
      <c r="ENS77" s="277" t="s">
        <v>1072</v>
      </c>
      <c r="ENT77" s="277" t="s">
        <v>1072</v>
      </c>
      <c r="ENU77" s="277" t="s">
        <v>1072</v>
      </c>
      <c r="ENV77" s="277" t="s">
        <v>1072</v>
      </c>
      <c r="ENW77" s="277" t="s">
        <v>1072</v>
      </c>
      <c r="ENX77" s="277" t="s">
        <v>1072</v>
      </c>
      <c r="ENY77" s="277" t="s">
        <v>1072</v>
      </c>
      <c r="ENZ77" s="277" t="s">
        <v>1072</v>
      </c>
      <c r="EOA77" s="277" t="s">
        <v>1072</v>
      </c>
      <c r="EOB77" s="277" t="s">
        <v>1072</v>
      </c>
      <c r="EOC77" s="277" t="s">
        <v>1072</v>
      </c>
      <c r="EOD77" s="277" t="s">
        <v>1072</v>
      </c>
      <c r="EOE77" s="277" t="s">
        <v>1072</v>
      </c>
      <c r="EOF77" s="277" t="s">
        <v>1072</v>
      </c>
      <c r="EOG77" s="277" t="s">
        <v>1072</v>
      </c>
      <c r="EOH77" s="277" t="s">
        <v>1072</v>
      </c>
      <c r="EOI77" s="277" t="s">
        <v>1072</v>
      </c>
      <c r="EOJ77" s="277" t="s">
        <v>1072</v>
      </c>
      <c r="EOK77" s="277" t="s">
        <v>1072</v>
      </c>
      <c r="EOL77" s="277" t="s">
        <v>1072</v>
      </c>
      <c r="EOM77" s="277" t="s">
        <v>1072</v>
      </c>
      <c r="EON77" s="277" t="s">
        <v>1072</v>
      </c>
      <c r="EOO77" s="277" t="s">
        <v>1072</v>
      </c>
      <c r="EOP77" s="277" t="s">
        <v>1072</v>
      </c>
      <c r="EOQ77" s="277" t="s">
        <v>1072</v>
      </c>
      <c r="EOR77" s="277" t="s">
        <v>1072</v>
      </c>
      <c r="EOS77" s="277" t="s">
        <v>1072</v>
      </c>
      <c r="EOT77" s="277" t="s">
        <v>1072</v>
      </c>
      <c r="EOU77" s="277" t="s">
        <v>1072</v>
      </c>
      <c r="EOV77" s="277" t="s">
        <v>1072</v>
      </c>
      <c r="EOW77" s="277" t="s">
        <v>1072</v>
      </c>
      <c r="EOX77" s="277" t="s">
        <v>1072</v>
      </c>
      <c r="EOY77" s="277" t="s">
        <v>1072</v>
      </c>
      <c r="EOZ77" s="277" t="s">
        <v>1072</v>
      </c>
      <c r="EPA77" s="277" t="s">
        <v>1072</v>
      </c>
      <c r="EPB77" s="277" t="s">
        <v>1072</v>
      </c>
      <c r="EPC77" s="277" t="s">
        <v>1072</v>
      </c>
      <c r="EPD77" s="277" t="s">
        <v>1072</v>
      </c>
      <c r="EPE77" s="277" t="s">
        <v>1072</v>
      </c>
      <c r="EPF77" s="277" t="s">
        <v>1072</v>
      </c>
      <c r="EPG77" s="277" t="s">
        <v>1072</v>
      </c>
      <c r="EPH77" s="277" t="s">
        <v>1072</v>
      </c>
      <c r="EPI77" s="277" t="s">
        <v>1072</v>
      </c>
      <c r="EPJ77" s="277" t="s">
        <v>1072</v>
      </c>
      <c r="EPK77" s="277" t="s">
        <v>1072</v>
      </c>
      <c r="EPL77" s="277" t="s">
        <v>1072</v>
      </c>
      <c r="EPM77" s="277" t="s">
        <v>1072</v>
      </c>
      <c r="EPN77" s="277" t="s">
        <v>1072</v>
      </c>
      <c r="EPO77" s="277" t="s">
        <v>1072</v>
      </c>
      <c r="EPP77" s="277" t="s">
        <v>1072</v>
      </c>
      <c r="EPQ77" s="277" t="s">
        <v>1072</v>
      </c>
      <c r="EPR77" s="277" t="s">
        <v>1072</v>
      </c>
      <c r="EPS77" s="277" t="s">
        <v>1072</v>
      </c>
      <c r="EPT77" s="277" t="s">
        <v>1072</v>
      </c>
      <c r="EPU77" s="277" t="s">
        <v>1072</v>
      </c>
      <c r="EPV77" s="277" t="s">
        <v>1072</v>
      </c>
      <c r="EPW77" s="277" t="s">
        <v>1072</v>
      </c>
      <c r="EPX77" s="277" t="s">
        <v>1072</v>
      </c>
      <c r="EPY77" s="277" t="s">
        <v>1072</v>
      </c>
      <c r="EPZ77" s="277" t="s">
        <v>1072</v>
      </c>
      <c r="EQA77" s="277" t="s">
        <v>1072</v>
      </c>
      <c r="EQB77" s="277" t="s">
        <v>1072</v>
      </c>
      <c r="EQC77" s="277" t="s">
        <v>1072</v>
      </c>
      <c r="EQD77" s="277" t="s">
        <v>1072</v>
      </c>
      <c r="EQE77" s="277" t="s">
        <v>1072</v>
      </c>
      <c r="EQF77" s="277" t="s">
        <v>1072</v>
      </c>
      <c r="EQG77" s="277" t="s">
        <v>1072</v>
      </c>
      <c r="EQH77" s="277" t="s">
        <v>1072</v>
      </c>
      <c r="EQI77" s="277" t="s">
        <v>1072</v>
      </c>
      <c r="EQJ77" s="277" t="s">
        <v>1072</v>
      </c>
      <c r="EQK77" s="277" t="s">
        <v>1072</v>
      </c>
      <c r="EQL77" s="277" t="s">
        <v>1072</v>
      </c>
      <c r="EQM77" s="277" t="s">
        <v>1072</v>
      </c>
      <c r="EQN77" s="277" t="s">
        <v>1072</v>
      </c>
      <c r="EQO77" s="277" t="s">
        <v>1072</v>
      </c>
      <c r="EQP77" s="277" t="s">
        <v>1072</v>
      </c>
      <c r="EQQ77" s="277" t="s">
        <v>1072</v>
      </c>
      <c r="EQR77" s="277" t="s">
        <v>1072</v>
      </c>
      <c r="EQS77" s="277" t="s">
        <v>1072</v>
      </c>
      <c r="EQT77" s="277" t="s">
        <v>1072</v>
      </c>
      <c r="EQU77" s="277" t="s">
        <v>1072</v>
      </c>
      <c r="EQV77" s="277" t="s">
        <v>1072</v>
      </c>
      <c r="EQW77" s="277" t="s">
        <v>1072</v>
      </c>
      <c r="EQX77" s="277" t="s">
        <v>1072</v>
      </c>
      <c r="EQY77" s="277" t="s">
        <v>1072</v>
      </c>
      <c r="EQZ77" s="277" t="s">
        <v>1072</v>
      </c>
      <c r="ERA77" s="277" t="s">
        <v>1072</v>
      </c>
      <c r="ERB77" s="277" t="s">
        <v>1072</v>
      </c>
      <c r="ERC77" s="277" t="s">
        <v>1072</v>
      </c>
      <c r="ERD77" s="277" t="s">
        <v>1072</v>
      </c>
      <c r="ERE77" s="277" t="s">
        <v>1072</v>
      </c>
      <c r="ERF77" s="277" t="s">
        <v>1072</v>
      </c>
      <c r="ERG77" s="277" t="s">
        <v>1072</v>
      </c>
      <c r="ERH77" s="277" t="s">
        <v>1072</v>
      </c>
      <c r="ERI77" s="277" t="s">
        <v>1072</v>
      </c>
      <c r="ERJ77" s="277" t="s">
        <v>1072</v>
      </c>
      <c r="ERK77" s="277" t="s">
        <v>1072</v>
      </c>
      <c r="ERL77" s="277" t="s">
        <v>1072</v>
      </c>
      <c r="ERM77" s="277" t="s">
        <v>1072</v>
      </c>
      <c r="ERN77" s="277" t="s">
        <v>1072</v>
      </c>
      <c r="ERO77" s="277" t="s">
        <v>1072</v>
      </c>
      <c r="ERP77" s="277" t="s">
        <v>1072</v>
      </c>
      <c r="ERQ77" s="277" t="s">
        <v>1072</v>
      </c>
      <c r="ERR77" s="277" t="s">
        <v>1072</v>
      </c>
      <c r="ERS77" s="277" t="s">
        <v>1072</v>
      </c>
      <c r="ERT77" s="277" t="s">
        <v>1072</v>
      </c>
      <c r="ERU77" s="277" t="s">
        <v>1072</v>
      </c>
      <c r="ERV77" s="277" t="s">
        <v>1072</v>
      </c>
      <c r="ERW77" s="277" t="s">
        <v>1072</v>
      </c>
      <c r="ERX77" s="277" t="s">
        <v>1072</v>
      </c>
      <c r="ERY77" s="277" t="s">
        <v>1072</v>
      </c>
      <c r="ERZ77" s="277" t="s">
        <v>1072</v>
      </c>
      <c r="ESA77" s="277" t="s">
        <v>1072</v>
      </c>
      <c r="ESB77" s="277" t="s">
        <v>1072</v>
      </c>
      <c r="ESC77" s="277" t="s">
        <v>1072</v>
      </c>
      <c r="ESD77" s="277" t="s">
        <v>1072</v>
      </c>
      <c r="ESE77" s="277" t="s">
        <v>1072</v>
      </c>
      <c r="ESF77" s="277" t="s">
        <v>1072</v>
      </c>
      <c r="ESG77" s="277" t="s">
        <v>1072</v>
      </c>
      <c r="ESH77" s="277" t="s">
        <v>1072</v>
      </c>
      <c r="ESI77" s="277" t="s">
        <v>1072</v>
      </c>
      <c r="ESJ77" s="277" t="s">
        <v>1072</v>
      </c>
      <c r="ESK77" s="277" t="s">
        <v>1072</v>
      </c>
      <c r="ESL77" s="277" t="s">
        <v>1072</v>
      </c>
      <c r="ESM77" s="277" t="s">
        <v>1072</v>
      </c>
      <c r="ESN77" s="277" t="s">
        <v>1072</v>
      </c>
      <c r="ESO77" s="277" t="s">
        <v>1072</v>
      </c>
      <c r="ESP77" s="277" t="s">
        <v>1072</v>
      </c>
      <c r="ESQ77" s="277" t="s">
        <v>1072</v>
      </c>
      <c r="ESR77" s="277" t="s">
        <v>1072</v>
      </c>
      <c r="ESS77" s="277" t="s">
        <v>1072</v>
      </c>
      <c r="EST77" s="277" t="s">
        <v>1072</v>
      </c>
      <c r="ESU77" s="277" t="s">
        <v>1072</v>
      </c>
      <c r="ESV77" s="277" t="s">
        <v>1072</v>
      </c>
      <c r="ESW77" s="277" t="s">
        <v>1072</v>
      </c>
      <c r="ESX77" s="277" t="s">
        <v>1072</v>
      </c>
      <c r="ESY77" s="277" t="s">
        <v>1072</v>
      </c>
      <c r="ESZ77" s="277" t="s">
        <v>1072</v>
      </c>
      <c r="ETA77" s="277" t="s">
        <v>1072</v>
      </c>
      <c r="ETB77" s="277" t="s">
        <v>1072</v>
      </c>
      <c r="ETC77" s="277" t="s">
        <v>1072</v>
      </c>
      <c r="ETD77" s="277" t="s">
        <v>1072</v>
      </c>
      <c r="ETE77" s="277" t="s">
        <v>1072</v>
      </c>
      <c r="ETF77" s="277" t="s">
        <v>1072</v>
      </c>
      <c r="ETG77" s="277" t="s">
        <v>1072</v>
      </c>
      <c r="ETH77" s="277" t="s">
        <v>1072</v>
      </c>
      <c r="ETI77" s="277" t="s">
        <v>1072</v>
      </c>
      <c r="ETJ77" s="277" t="s">
        <v>1072</v>
      </c>
      <c r="ETK77" s="277" t="s">
        <v>1072</v>
      </c>
      <c r="ETL77" s="277" t="s">
        <v>1072</v>
      </c>
      <c r="ETM77" s="277" t="s">
        <v>1072</v>
      </c>
      <c r="ETN77" s="277" t="s">
        <v>1072</v>
      </c>
      <c r="ETO77" s="277" t="s">
        <v>1072</v>
      </c>
      <c r="ETP77" s="277" t="s">
        <v>1072</v>
      </c>
      <c r="ETQ77" s="277" t="s">
        <v>1072</v>
      </c>
      <c r="ETR77" s="277" t="s">
        <v>1072</v>
      </c>
      <c r="ETS77" s="277" t="s">
        <v>1072</v>
      </c>
      <c r="ETT77" s="277" t="s">
        <v>1072</v>
      </c>
      <c r="ETU77" s="277" t="s">
        <v>1072</v>
      </c>
      <c r="ETV77" s="277" t="s">
        <v>1072</v>
      </c>
      <c r="ETW77" s="277" t="s">
        <v>1072</v>
      </c>
      <c r="ETX77" s="277" t="s">
        <v>1072</v>
      </c>
      <c r="ETY77" s="277" t="s">
        <v>1072</v>
      </c>
      <c r="ETZ77" s="277" t="s">
        <v>1072</v>
      </c>
      <c r="EUA77" s="277" t="s">
        <v>1072</v>
      </c>
      <c r="EUB77" s="277" t="s">
        <v>1072</v>
      </c>
      <c r="EUC77" s="277" t="s">
        <v>1072</v>
      </c>
      <c r="EUD77" s="277" t="s">
        <v>1072</v>
      </c>
      <c r="EUE77" s="277" t="s">
        <v>1072</v>
      </c>
      <c r="EUF77" s="277" t="s">
        <v>1072</v>
      </c>
      <c r="EUG77" s="277" t="s">
        <v>1072</v>
      </c>
      <c r="EUH77" s="277" t="s">
        <v>1072</v>
      </c>
      <c r="EUI77" s="277" t="s">
        <v>1072</v>
      </c>
      <c r="EUJ77" s="277" t="s">
        <v>1072</v>
      </c>
      <c r="EUK77" s="277" t="s">
        <v>1072</v>
      </c>
      <c r="EUL77" s="277" t="s">
        <v>1072</v>
      </c>
      <c r="EUM77" s="277" t="s">
        <v>1072</v>
      </c>
      <c r="EUN77" s="277" t="s">
        <v>1072</v>
      </c>
      <c r="EUO77" s="277" t="s">
        <v>1072</v>
      </c>
      <c r="EUP77" s="277" t="s">
        <v>1072</v>
      </c>
      <c r="EUQ77" s="277" t="s">
        <v>1072</v>
      </c>
      <c r="EUR77" s="277" t="s">
        <v>1072</v>
      </c>
      <c r="EUS77" s="277" t="s">
        <v>1072</v>
      </c>
      <c r="EUT77" s="277" t="s">
        <v>1072</v>
      </c>
      <c r="EUU77" s="277" t="s">
        <v>1072</v>
      </c>
      <c r="EUV77" s="277" t="s">
        <v>1072</v>
      </c>
      <c r="EUW77" s="277" t="s">
        <v>1072</v>
      </c>
      <c r="EUX77" s="277" t="s">
        <v>1072</v>
      </c>
      <c r="EUY77" s="277" t="s">
        <v>1072</v>
      </c>
      <c r="EUZ77" s="277" t="s">
        <v>1072</v>
      </c>
      <c r="EVA77" s="277" t="s">
        <v>1072</v>
      </c>
      <c r="EVB77" s="277" t="s">
        <v>1072</v>
      </c>
      <c r="EVC77" s="277" t="s">
        <v>1072</v>
      </c>
      <c r="EVD77" s="277" t="s">
        <v>1072</v>
      </c>
      <c r="EVE77" s="277" t="s">
        <v>1072</v>
      </c>
      <c r="EVF77" s="277" t="s">
        <v>1072</v>
      </c>
      <c r="EVG77" s="277" t="s">
        <v>1072</v>
      </c>
      <c r="EVH77" s="277" t="s">
        <v>1072</v>
      </c>
      <c r="EVI77" s="277" t="s">
        <v>1072</v>
      </c>
      <c r="EVJ77" s="277" t="s">
        <v>1072</v>
      </c>
      <c r="EVK77" s="277" t="s">
        <v>1072</v>
      </c>
      <c r="EVL77" s="277" t="s">
        <v>1072</v>
      </c>
      <c r="EVM77" s="277" t="s">
        <v>1072</v>
      </c>
      <c r="EVN77" s="277" t="s">
        <v>1072</v>
      </c>
      <c r="EVO77" s="277" t="s">
        <v>1072</v>
      </c>
      <c r="EVP77" s="277" t="s">
        <v>1072</v>
      </c>
      <c r="EVQ77" s="277" t="s">
        <v>1072</v>
      </c>
      <c r="EVR77" s="277" t="s">
        <v>1072</v>
      </c>
      <c r="EVS77" s="277" t="s">
        <v>1072</v>
      </c>
      <c r="EVT77" s="277" t="s">
        <v>1072</v>
      </c>
      <c r="EVU77" s="277" t="s">
        <v>1072</v>
      </c>
      <c r="EVV77" s="277" t="s">
        <v>1072</v>
      </c>
      <c r="EVW77" s="277" t="s">
        <v>1072</v>
      </c>
      <c r="EVX77" s="277" t="s">
        <v>1072</v>
      </c>
      <c r="EVY77" s="277" t="s">
        <v>1072</v>
      </c>
      <c r="EVZ77" s="277" t="s">
        <v>1072</v>
      </c>
      <c r="EWA77" s="277" t="s">
        <v>1072</v>
      </c>
      <c r="EWB77" s="277" t="s">
        <v>1072</v>
      </c>
      <c r="EWC77" s="277" t="s">
        <v>1072</v>
      </c>
      <c r="EWD77" s="277" t="s">
        <v>1072</v>
      </c>
      <c r="EWE77" s="277" t="s">
        <v>1072</v>
      </c>
      <c r="EWF77" s="277" t="s">
        <v>1072</v>
      </c>
      <c r="EWG77" s="277" t="s">
        <v>1072</v>
      </c>
      <c r="EWH77" s="277" t="s">
        <v>1072</v>
      </c>
      <c r="EWI77" s="277" t="s">
        <v>1072</v>
      </c>
      <c r="EWJ77" s="277" t="s">
        <v>1072</v>
      </c>
      <c r="EWK77" s="277" t="s">
        <v>1072</v>
      </c>
      <c r="EWL77" s="277" t="s">
        <v>1072</v>
      </c>
      <c r="EWM77" s="277" t="s">
        <v>1072</v>
      </c>
      <c r="EWN77" s="277" t="s">
        <v>1072</v>
      </c>
      <c r="EWO77" s="277" t="s">
        <v>1072</v>
      </c>
      <c r="EWP77" s="277" t="s">
        <v>1072</v>
      </c>
      <c r="EWQ77" s="277" t="s">
        <v>1072</v>
      </c>
      <c r="EWR77" s="277" t="s">
        <v>1072</v>
      </c>
      <c r="EWS77" s="277" t="s">
        <v>1072</v>
      </c>
      <c r="EWT77" s="277" t="s">
        <v>1072</v>
      </c>
      <c r="EWU77" s="277" t="s">
        <v>1072</v>
      </c>
      <c r="EWV77" s="277" t="s">
        <v>1072</v>
      </c>
      <c r="EWW77" s="277" t="s">
        <v>1072</v>
      </c>
      <c r="EWX77" s="277" t="s">
        <v>1072</v>
      </c>
      <c r="EWY77" s="277" t="s">
        <v>1072</v>
      </c>
      <c r="EWZ77" s="277" t="s">
        <v>1072</v>
      </c>
      <c r="EXA77" s="277" t="s">
        <v>1072</v>
      </c>
      <c r="EXB77" s="277" t="s">
        <v>1072</v>
      </c>
      <c r="EXC77" s="277" t="s">
        <v>1072</v>
      </c>
      <c r="EXD77" s="277" t="s">
        <v>1072</v>
      </c>
      <c r="EXE77" s="277" t="s">
        <v>1072</v>
      </c>
      <c r="EXF77" s="277" t="s">
        <v>1072</v>
      </c>
      <c r="EXG77" s="277" t="s">
        <v>1072</v>
      </c>
      <c r="EXH77" s="277" t="s">
        <v>1072</v>
      </c>
      <c r="EXI77" s="277" t="s">
        <v>1072</v>
      </c>
      <c r="EXJ77" s="277" t="s">
        <v>1072</v>
      </c>
      <c r="EXK77" s="277" t="s">
        <v>1072</v>
      </c>
      <c r="EXL77" s="277" t="s">
        <v>1072</v>
      </c>
      <c r="EXM77" s="277" t="s">
        <v>1072</v>
      </c>
      <c r="EXN77" s="277" t="s">
        <v>1072</v>
      </c>
      <c r="EXO77" s="277" t="s">
        <v>1072</v>
      </c>
      <c r="EXP77" s="277" t="s">
        <v>1072</v>
      </c>
      <c r="EXQ77" s="277" t="s">
        <v>1072</v>
      </c>
      <c r="EXR77" s="277" t="s">
        <v>1072</v>
      </c>
      <c r="EXS77" s="277" t="s">
        <v>1072</v>
      </c>
      <c r="EXT77" s="277" t="s">
        <v>1072</v>
      </c>
      <c r="EXU77" s="277" t="s">
        <v>1072</v>
      </c>
      <c r="EXV77" s="277" t="s">
        <v>1072</v>
      </c>
      <c r="EXW77" s="277" t="s">
        <v>1072</v>
      </c>
      <c r="EXX77" s="277" t="s">
        <v>1072</v>
      </c>
      <c r="EXY77" s="277" t="s">
        <v>1072</v>
      </c>
      <c r="EXZ77" s="277" t="s">
        <v>1072</v>
      </c>
      <c r="EYA77" s="277" t="s">
        <v>1072</v>
      </c>
      <c r="EYB77" s="277" t="s">
        <v>1072</v>
      </c>
      <c r="EYC77" s="277" t="s">
        <v>1072</v>
      </c>
      <c r="EYD77" s="277" t="s">
        <v>1072</v>
      </c>
      <c r="EYE77" s="277" t="s">
        <v>1072</v>
      </c>
      <c r="EYF77" s="277" t="s">
        <v>1072</v>
      </c>
      <c r="EYG77" s="277" t="s">
        <v>1072</v>
      </c>
      <c r="EYH77" s="277" t="s">
        <v>1072</v>
      </c>
      <c r="EYI77" s="277" t="s">
        <v>1072</v>
      </c>
      <c r="EYJ77" s="277" t="s">
        <v>1072</v>
      </c>
      <c r="EYK77" s="277" t="s">
        <v>1072</v>
      </c>
      <c r="EYL77" s="277" t="s">
        <v>1072</v>
      </c>
      <c r="EYM77" s="277" t="s">
        <v>1072</v>
      </c>
      <c r="EYN77" s="277" t="s">
        <v>1072</v>
      </c>
      <c r="EYO77" s="277" t="s">
        <v>1072</v>
      </c>
      <c r="EYP77" s="277" t="s">
        <v>1072</v>
      </c>
      <c r="EYQ77" s="277" t="s">
        <v>1072</v>
      </c>
      <c r="EYR77" s="277" t="s">
        <v>1072</v>
      </c>
      <c r="EYS77" s="277" t="s">
        <v>1072</v>
      </c>
      <c r="EYT77" s="277" t="s">
        <v>1072</v>
      </c>
      <c r="EYU77" s="277" t="s">
        <v>1072</v>
      </c>
      <c r="EYV77" s="277" t="s">
        <v>1072</v>
      </c>
      <c r="EYW77" s="277" t="s">
        <v>1072</v>
      </c>
      <c r="EYX77" s="277" t="s">
        <v>1072</v>
      </c>
      <c r="EYY77" s="277" t="s">
        <v>1072</v>
      </c>
      <c r="EYZ77" s="277" t="s">
        <v>1072</v>
      </c>
      <c r="EZA77" s="277" t="s">
        <v>1072</v>
      </c>
      <c r="EZB77" s="277" t="s">
        <v>1072</v>
      </c>
      <c r="EZC77" s="277" t="s">
        <v>1072</v>
      </c>
      <c r="EZD77" s="277" t="s">
        <v>1072</v>
      </c>
      <c r="EZE77" s="277" t="s">
        <v>1072</v>
      </c>
      <c r="EZF77" s="277" t="s">
        <v>1072</v>
      </c>
      <c r="EZG77" s="277" t="s">
        <v>1072</v>
      </c>
      <c r="EZH77" s="277" t="s">
        <v>1072</v>
      </c>
      <c r="EZI77" s="277" t="s">
        <v>1072</v>
      </c>
      <c r="EZJ77" s="277" t="s">
        <v>1072</v>
      </c>
      <c r="EZK77" s="277" t="s">
        <v>1072</v>
      </c>
      <c r="EZL77" s="277" t="s">
        <v>1072</v>
      </c>
      <c r="EZM77" s="277" t="s">
        <v>1072</v>
      </c>
      <c r="EZN77" s="277" t="s">
        <v>1072</v>
      </c>
      <c r="EZO77" s="277" t="s">
        <v>1072</v>
      </c>
      <c r="EZP77" s="277" t="s">
        <v>1072</v>
      </c>
      <c r="EZQ77" s="277" t="s">
        <v>1072</v>
      </c>
      <c r="EZR77" s="277" t="s">
        <v>1072</v>
      </c>
      <c r="EZS77" s="277" t="s">
        <v>1072</v>
      </c>
      <c r="EZT77" s="277" t="s">
        <v>1072</v>
      </c>
      <c r="EZU77" s="277" t="s">
        <v>1072</v>
      </c>
      <c r="EZV77" s="277" t="s">
        <v>1072</v>
      </c>
      <c r="EZW77" s="277" t="s">
        <v>1072</v>
      </c>
      <c r="EZX77" s="277" t="s">
        <v>1072</v>
      </c>
      <c r="EZY77" s="277" t="s">
        <v>1072</v>
      </c>
      <c r="EZZ77" s="277" t="s">
        <v>1072</v>
      </c>
      <c r="FAA77" s="277" t="s">
        <v>1072</v>
      </c>
      <c r="FAB77" s="277" t="s">
        <v>1072</v>
      </c>
      <c r="FAC77" s="277" t="s">
        <v>1072</v>
      </c>
      <c r="FAD77" s="277" t="s">
        <v>1072</v>
      </c>
      <c r="FAE77" s="277" t="s">
        <v>1072</v>
      </c>
      <c r="FAF77" s="277" t="s">
        <v>1072</v>
      </c>
      <c r="FAG77" s="277" t="s">
        <v>1072</v>
      </c>
      <c r="FAH77" s="277" t="s">
        <v>1072</v>
      </c>
      <c r="FAI77" s="277" t="s">
        <v>1072</v>
      </c>
      <c r="FAJ77" s="277" t="s">
        <v>1072</v>
      </c>
      <c r="FAK77" s="277" t="s">
        <v>1072</v>
      </c>
      <c r="FAL77" s="277" t="s">
        <v>1072</v>
      </c>
      <c r="FAM77" s="277" t="s">
        <v>1072</v>
      </c>
      <c r="FAN77" s="277" t="s">
        <v>1072</v>
      </c>
      <c r="FAO77" s="277" t="s">
        <v>1072</v>
      </c>
      <c r="FAP77" s="277" t="s">
        <v>1072</v>
      </c>
      <c r="FAQ77" s="277" t="s">
        <v>1072</v>
      </c>
      <c r="FAR77" s="277" t="s">
        <v>1072</v>
      </c>
      <c r="FAS77" s="277" t="s">
        <v>1072</v>
      </c>
      <c r="FAT77" s="277" t="s">
        <v>1072</v>
      </c>
      <c r="FAU77" s="277" t="s">
        <v>1072</v>
      </c>
      <c r="FAV77" s="277" t="s">
        <v>1072</v>
      </c>
      <c r="FAW77" s="277" t="s">
        <v>1072</v>
      </c>
      <c r="FAX77" s="277" t="s">
        <v>1072</v>
      </c>
      <c r="FAY77" s="277" t="s">
        <v>1072</v>
      </c>
      <c r="FAZ77" s="277" t="s">
        <v>1072</v>
      </c>
      <c r="FBA77" s="277" t="s">
        <v>1072</v>
      </c>
      <c r="FBB77" s="277" t="s">
        <v>1072</v>
      </c>
      <c r="FBC77" s="277" t="s">
        <v>1072</v>
      </c>
      <c r="FBD77" s="277" t="s">
        <v>1072</v>
      </c>
      <c r="FBE77" s="277" t="s">
        <v>1072</v>
      </c>
      <c r="FBF77" s="277" t="s">
        <v>1072</v>
      </c>
      <c r="FBG77" s="277" t="s">
        <v>1072</v>
      </c>
      <c r="FBH77" s="277" t="s">
        <v>1072</v>
      </c>
      <c r="FBI77" s="277" t="s">
        <v>1072</v>
      </c>
      <c r="FBJ77" s="277" t="s">
        <v>1072</v>
      </c>
      <c r="FBK77" s="277" t="s">
        <v>1072</v>
      </c>
      <c r="FBL77" s="277" t="s">
        <v>1072</v>
      </c>
      <c r="FBM77" s="277" t="s">
        <v>1072</v>
      </c>
      <c r="FBN77" s="277" t="s">
        <v>1072</v>
      </c>
      <c r="FBO77" s="277" t="s">
        <v>1072</v>
      </c>
      <c r="FBP77" s="277" t="s">
        <v>1072</v>
      </c>
      <c r="FBQ77" s="277" t="s">
        <v>1072</v>
      </c>
      <c r="FBR77" s="277" t="s">
        <v>1072</v>
      </c>
      <c r="FBS77" s="277" t="s">
        <v>1072</v>
      </c>
      <c r="FBT77" s="277" t="s">
        <v>1072</v>
      </c>
      <c r="FBU77" s="277" t="s">
        <v>1072</v>
      </c>
      <c r="FBV77" s="277" t="s">
        <v>1072</v>
      </c>
      <c r="FBW77" s="277" t="s">
        <v>1072</v>
      </c>
      <c r="FBX77" s="277" t="s">
        <v>1072</v>
      </c>
      <c r="FBY77" s="277" t="s">
        <v>1072</v>
      </c>
      <c r="FBZ77" s="277" t="s">
        <v>1072</v>
      </c>
      <c r="FCA77" s="277" t="s">
        <v>1072</v>
      </c>
      <c r="FCB77" s="277" t="s">
        <v>1072</v>
      </c>
      <c r="FCC77" s="277" t="s">
        <v>1072</v>
      </c>
      <c r="FCD77" s="277" t="s">
        <v>1072</v>
      </c>
      <c r="FCE77" s="277" t="s">
        <v>1072</v>
      </c>
      <c r="FCF77" s="277" t="s">
        <v>1072</v>
      </c>
      <c r="FCG77" s="277" t="s">
        <v>1072</v>
      </c>
      <c r="FCH77" s="277" t="s">
        <v>1072</v>
      </c>
      <c r="FCI77" s="277" t="s">
        <v>1072</v>
      </c>
      <c r="FCJ77" s="277" t="s">
        <v>1072</v>
      </c>
      <c r="FCK77" s="277" t="s">
        <v>1072</v>
      </c>
      <c r="FCL77" s="277" t="s">
        <v>1072</v>
      </c>
      <c r="FCM77" s="277" t="s">
        <v>1072</v>
      </c>
      <c r="FCN77" s="277" t="s">
        <v>1072</v>
      </c>
      <c r="FCO77" s="277" t="s">
        <v>1072</v>
      </c>
      <c r="FCP77" s="277" t="s">
        <v>1072</v>
      </c>
      <c r="FCQ77" s="277" t="s">
        <v>1072</v>
      </c>
      <c r="FCR77" s="277" t="s">
        <v>1072</v>
      </c>
      <c r="FCS77" s="277" t="s">
        <v>1072</v>
      </c>
      <c r="FCT77" s="277" t="s">
        <v>1072</v>
      </c>
      <c r="FCU77" s="277" t="s">
        <v>1072</v>
      </c>
      <c r="FCV77" s="277" t="s">
        <v>1072</v>
      </c>
      <c r="FCW77" s="277" t="s">
        <v>1072</v>
      </c>
      <c r="FCX77" s="277" t="s">
        <v>1072</v>
      </c>
      <c r="FCY77" s="277" t="s">
        <v>1072</v>
      </c>
      <c r="FCZ77" s="277" t="s">
        <v>1072</v>
      </c>
      <c r="FDA77" s="277" t="s">
        <v>1072</v>
      </c>
      <c r="FDB77" s="277" t="s">
        <v>1072</v>
      </c>
      <c r="FDC77" s="277" t="s">
        <v>1072</v>
      </c>
      <c r="FDD77" s="277" t="s">
        <v>1072</v>
      </c>
      <c r="FDE77" s="277" t="s">
        <v>1072</v>
      </c>
      <c r="FDF77" s="277" t="s">
        <v>1072</v>
      </c>
      <c r="FDG77" s="277" t="s">
        <v>1072</v>
      </c>
      <c r="FDH77" s="277" t="s">
        <v>1072</v>
      </c>
      <c r="FDI77" s="277" t="s">
        <v>1072</v>
      </c>
      <c r="FDJ77" s="277" t="s">
        <v>1072</v>
      </c>
      <c r="FDK77" s="277" t="s">
        <v>1072</v>
      </c>
      <c r="FDL77" s="277" t="s">
        <v>1072</v>
      </c>
      <c r="FDM77" s="277" t="s">
        <v>1072</v>
      </c>
      <c r="FDN77" s="277" t="s">
        <v>1072</v>
      </c>
      <c r="FDO77" s="277" t="s">
        <v>1072</v>
      </c>
      <c r="FDP77" s="277" t="s">
        <v>1072</v>
      </c>
      <c r="FDQ77" s="277" t="s">
        <v>1072</v>
      </c>
      <c r="FDR77" s="277" t="s">
        <v>1072</v>
      </c>
      <c r="FDS77" s="277" t="s">
        <v>1072</v>
      </c>
      <c r="FDT77" s="277" t="s">
        <v>1072</v>
      </c>
      <c r="FDU77" s="277" t="s">
        <v>1072</v>
      </c>
      <c r="FDV77" s="277" t="s">
        <v>1072</v>
      </c>
      <c r="FDW77" s="277" t="s">
        <v>1072</v>
      </c>
      <c r="FDX77" s="277" t="s">
        <v>1072</v>
      </c>
      <c r="FDY77" s="277" t="s">
        <v>1072</v>
      </c>
      <c r="FDZ77" s="277" t="s">
        <v>1072</v>
      </c>
      <c r="FEA77" s="277" t="s">
        <v>1072</v>
      </c>
      <c r="FEB77" s="277" t="s">
        <v>1072</v>
      </c>
      <c r="FEC77" s="277" t="s">
        <v>1072</v>
      </c>
      <c r="FED77" s="277" t="s">
        <v>1072</v>
      </c>
      <c r="FEE77" s="277" t="s">
        <v>1072</v>
      </c>
      <c r="FEF77" s="277" t="s">
        <v>1072</v>
      </c>
      <c r="FEG77" s="277" t="s">
        <v>1072</v>
      </c>
      <c r="FEH77" s="277" t="s">
        <v>1072</v>
      </c>
      <c r="FEI77" s="277" t="s">
        <v>1072</v>
      </c>
      <c r="FEJ77" s="277" t="s">
        <v>1072</v>
      </c>
      <c r="FEK77" s="277" t="s">
        <v>1072</v>
      </c>
      <c r="FEL77" s="277" t="s">
        <v>1072</v>
      </c>
      <c r="FEM77" s="277" t="s">
        <v>1072</v>
      </c>
      <c r="FEN77" s="277" t="s">
        <v>1072</v>
      </c>
      <c r="FEO77" s="277" t="s">
        <v>1072</v>
      </c>
      <c r="FEP77" s="277" t="s">
        <v>1072</v>
      </c>
      <c r="FEQ77" s="277" t="s">
        <v>1072</v>
      </c>
      <c r="FER77" s="277" t="s">
        <v>1072</v>
      </c>
      <c r="FES77" s="277" t="s">
        <v>1072</v>
      </c>
      <c r="FET77" s="277" t="s">
        <v>1072</v>
      </c>
      <c r="FEU77" s="277" t="s">
        <v>1072</v>
      </c>
      <c r="FEV77" s="277" t="s">
        <v>1072</v>
      </c>
      <c r="FEW77" s="277" t="s">
        <v>1072</v>
      </c>
      <c r="FEX77" s="277" t="s">
        <v>1072</v>
      </c>
      <c r="FEY77" s="277" t="s">
        <v>1072</v>
      </c>
      <c r="FEZ77" s="277" t="s">
        <v>1072</v>
      </c>
      <c r="FFA77" s="277" t="s">
        <v>1072</v>
      </c>
      <c r="FFB77" s="277" t="s">
        <v>1072</v>
      </c>
      <c r="FFC77" s="277" t="s">
        <v>1072</v>
      </c>
      <c r="FFD77" s="277" t="s">
        <v>1072</v>
      </c>
      <c r="FFE77" s="277" t="s">
        <v>1072</v>
      </c>
      <c r="FFF77" s="277" t="s">
        <v>1072</v>
      </c>
      <c r="FFG77" s="277" t="s">
        <v>1072</v>
      </c>
      <c r="FFH77" s="277" t="s">
        <v>1072</v>
      </c>
      <c r="FFI77" s="277" t="s">
        <v>1072</v>
      </c>
      <c r="FFJ77" s="277" t="s">
        <v>1072</v>
      </c>
      <c r="FFK77" s="277" t="s">
        <v>1072</v>
      </c>
      <c r="FFL77" s="277" t="s">
        <v>1072</v>
      </c>
      <c r="FFM77" s="277" t="s">
        <v>1072</v>
      </c>
      <c r="FFN77" s="277" t="s">
        <v>1072</v>
      </c>
      <c r="FFO77" s="277" t="s">
        <v>1072</v>
      </c>
      <c r="FFP77" s="277" t="s">
        <v>1072</v>
      </c>
      <c r="FFQ77" s="277" t="s">
        <v>1072</v>
      </c>
      <c r="FFR77" s="277" t="s">
        <v>1072</v>
      </c>
      <c r="FFS77" s="277" t="s">
        <v>1072</v>
      </c>
      <c r="FFT77" s="277" t="s">
        <v>1072</v>
      </c>
      <c r="FFU77" s="277" t="s">
        <v>1072</v>
      </c>
      <c r="FFV77" s="277" t="s">
        <v>1072</v>
      </c>
      <c r="FFW77" s="277" t="s">
        <v>1072</v>
      </c>
      <c r="FFX77" s="277" t="s">
        <v>1072</v>
      </c>
      <c r="FFY77" s="277" t="s">
        <v>1072</v>
      </c>
      <c r="FFZ77" s="277" t="s">
        <v>1072</v>
      </c>
      <c r="FGA77" s="277" t="s">
        <v>1072</v>
      </c>
      <c r="FGB77" s="277" t="s">
        <v>1072</v>
      </c>
      <c r="FGC77" s="277" t="s">
        <v>1072</v>
      </c>
      <c r="FGD77" s="277" t="s">
        <v>1072</v>
      </c>
      <c r="FGE77" s="277" t="s">
        <v>1072</v>
      </c>
      <c r="FGF77" s="277" t="s">
        <v>1072</v>
      </c>
      <c r="FGG77" s="277" t="s">
        <v>1072</v>
      </c>
      <c r="FGH77" s="277" t="s">
        <v>1072</v>
      </c>
      <c r="FGI77" s="277" t="s">
        <v>1072</v>
      </c>
      <c r="FGJ77" s="277" t="s">
        <v>1072</v>
      </c>
      <c r="FGK77" s="277" t="s">
        <v>1072</v>
      </c>
      <c r="FGL77" s="277" t="s">
        <v>1072</v>
      </c>
      <c r="FGM77" s="277" t="s">
        <v>1072</v>
      </c>
      <c r="FGN77" s="277" t="s">
        <v>1072</v>
      </c>
      <c r="FGO77" s="277" t="s">
        <v>1072</v>
      </c>
      <c r="FGP77" s="277" t="s">
        <v>1072</v>
      </c>
      <c r="FGQ77" s="277" t="s">
        <v>1072</v>
      </c>
      <c r="FGR77" s="277" t="s">
        <v>1072</v>
      </c>
      <c r="FGS77" s="277" t="s">
        <v>1072</v>
      </c>
      <c r="FGT77" s="277" t="s">
        <v>1072</v>
      </c>
      <c r="FGU77" s="277" t="s">
        <v>1072</v>
      </c>
      <c r="FGV77" s="277" t="s">
        <v>1072</v>
      </c>
      <c r="FGW77" s="277" t="s">
        <v>1072</v>
      </c>
      <c r="FGX77" s="277" t="s">
        <v>1072</v>
      </c>
      <c r="FGY77" s="277" t="s">
        <v>1072</v>
      </c>
      <c r="FGZ77" s="277" t="s">
        <v>1072</v>
      </c>
      <c r="FHA77" s="277" t="s">
        <v>1072</v>
      </c>
      <c r="FHB77" s="277" t="s">
        <v>1072</v>
      </c>
      <c r="FHC77" s="277" t="s">
        <v>1072</v>
      </c>
      <c r="FHD77" s="277" t="s">
        <v>1072</v>
      </c>
      <c r="FHE77" s="277" t="s">
        <v>1072</v>
      </c>
      <c r="FHF77" s="277" t="s">
        <v>1072</v>
      </c>
      <c r="FHG77" s="277" t="s">
        <v>1072</v>
      </c>
      <c r="FHH77" s="277" t="s">
        <v>1072</v>
      </c>
      <c r="FHI77" s="277" t="s">
        <v>1072</v>
      </c>
      <c r="FHJ77" s="277" t="s">
        <v>1072</v>
      </c>
      <c r="FHK77" s="277" t="s">
        <v>1072</v>
      </c>
      <c r="FHL77" s="277" t="s">
        <v>1072</v>
      </c>
      <c r="FHM77" s="277" t="s">
        <v>1072</v>
      </c>
      <c r="FHN77" s="277" t="s">
        <v>1072</v>
      </c>
      <c r="FHO77" s="277" t="s">
        <v>1072</v>
      </c>
      <c r="FHP77" s="277" t="s">
        <v>1072</v>
      </c>
      <c r="FHQ77" s="277" t="s">
        <v>1072</v>
      </c>
      <c r="FHR77" s="277" t="s">
        <v>1072</v>
      </c>
      <c r="FHS77" s="277" t="s">
        <v>1072</v>
      </c>
      <c r="FHT77" s="277" t="s">
        <v>1072</v>
      </c>
      <c r="FHU77" s="277" t="s">
        <v>1072</v>
      </c>
      <c r="FHV77" s="277" t="s">
        <v>1072</v>
      </c>
      <c r="FHW77" s="277" t="s">
        <v>1072</v>
      </c>
      <c r="FHX77" s="277" t="s">
        <v>1072</v>
      </c>
      <c r="FHY77" s="277" t="s">
        <v>1072</v>
      </c>
      <c r="FHZ77" s="277" t="s">
        <v>1072</v>
      </c>
      <c r="FIA77" s="277" t="s">
        <v>1072</v>
      </c>
      <c r="FIB77" s="277" t="s">
        <v>1072</v>
      </c>
      <c r="FIC77" s="277" t="s">
        <v>1072</v>
      </c>
      <c r="FID77" s="277" t="s">
        <v>1072</v>
      </c>
      <c r="FIE77" s="277" t="s">
        <v>1072</v>
      </c>
      <c r="FIF77" s="277" t="s">
        <v>1072</v>
      </c>
      <c r="FIG77" s="277" t="s">
        <v>1072</v>
      </c>
      <c r="FIH77" s="277" t="s">
        <v>1072</v>
      </c>
      <c r="FII77" s="277" t="s">
        <v>1072</v>
      </c>
      <c r="FIJ77" s="277" t="s">
        <v>1072</v>
      </c>
      <c r="FIK77" s="277" t="s">
        <v>1072</v>
      </c>
      <c r="FIL77" s="277" t="s">
        <v>1072</v>
      </c>
      <c r="FIM77" s="277" t="s">
        <v>1072</v>
      </c>
      <c r="FIN77" s="277" t="s">
        <v>1072</v>
      </c>
      <c r="FIO77" s="277" t="s">
        <v>1072</v>
      </c>
      <c r="FIP77" s="277" t="s">
        <v>1072</v>
      </c>
      <c r="FIQ77" s="277" t="s">
        <v>1072</v>
      </c>
      <c r="FIR77" s="277" t="s">
        <v>1072</v>
      </c>
      <c r="FIS77" s="277" t="s">
        <v>1072</v>
      </c>
      <c r="FIT77" s="277" t="s">
        <v>1072</v>
      </c>
      <c r="FIU77" s="277" t="s">
        <v>1072</v>
      </c>
      <c r="FIV77" s="277" t="s">
        <v>1072</v>
      </c>
      <c r="FIW77" s="277" t="s">
        <v>1072</v>
      </c>
      <c r="FIX77" s="277" t="s">
        <v>1072</v>
      </c>
      <c r="FIY77" s="277" t="s">
        <v>1072</v>
      </c>
      <c r="FIZ77" s="277" t="s">
        <v>1072</v>
      </c>
      <c r="FJA77" s="277" t="s">
        <v>1072</v>
      </c>
      <c r="FJB77" s="277" t="s">
        <v>1072</v>
      </c>
      <c r="FJC77" s="277" t="s">
        <v>1072</v>
      </c>
      <c r="FJD77" s="277" t="s">
        <v>1072</v>
      </c>
      <c r="FJE77" s="277" t="s">
        <v>1072</v>
      </c>
      <c r="FJF77" s="277" t="s">
        <v>1072</v>
      </c>
      <c r="FJG77" s="277" t="s">
        <v>1072</v>
      </c>
      <c r="FJH77" s="277" t="s">
        <v>1072</v>
      </c>
      <c r="FJI77" s="277" t="s">
        <v>1072</v>
      </c>
      <c r="FJJ77" s="277" t="s">
        <v>1072</v>
      </c>
      <c r="FJK77" s="277" t="s">
        <v>1072</v>
      </c>
      <c r="FJL77" s="277" t="s">
        <v>1072</v>
      </c>
      <c r="FJM77" s="277" t="s">
        <v>1072</v>
      </c>
      <c r="FJN77" s="277" t="s">
        <v>1072</v>
      </c>
      <c r="FJO77" s="277" t="s">
        <v>1072</v>
      </c>
      <c r="FJP77" s="277" t="s">
        <v>1072</v>
      </c>
      <c r="FJQ77" s="277" t="s">
        <v>1072</v>
      </c>
      <c r="FJR77" s="277" t="s">
        <v>1072</v>
      </c>
      <c r="FJS77" s="277" t="s">
        <v>1072</v>
      </c>
      <c r="FJT77" s="277" t="s">
        <v>1072</v>
      </c>
      <c r="FJU77" s="277" t="s">
        <v>1072</v>
      </c>
      <c r="FJV77" s="277" t="s">
        <v>1072</v>
      </c>
      <c r="FJW77" s="277" t="s">
        <v>1072</v>
      </c>
      <c r="FJX77" s="277" t="s">
        <v>1072</v>
      </c>
      <c r="FJY77" s="277" t="s">
        <v>1072</v>
      </c>
      <c r="FJZ77" s="277" t="s">
        <v>1072</v>
      </c>
      <c r="FKA77" s="277" t="s">
        <v>1072</v>
      </c>
      <c r="FKB77" s="277" t="s">
        <v>1072</v>
      </c>
      <c r="FKC77" s="277" t="s">
        <v>1072</v>
      </c>
      <c r="FKD77" s="277" t="s">
        <v>1072</v>
      </c>
      <c r="FKE77" s="277" t="s">
        <v>1072</v>
      </c>
      <c r="FKF77" s="277" t="s">
        <v>1072</v>
      </c>
      <c r="FKG77" s="277" t="s">
        <v>1072</v>
      </c>
      <c r="FKH77" s="277" t="s">
        <v>1072</v>
      </c>
      <c r="FKI77" s="277" t="s">
        <v>1072</v>
      </c>
      <c r="FKJ77" s="277" t="s">
        <v>1072</v>
      </c>
      <c r="FKK77" s="277" t="s">
        <v>1072</v>
      </c>
      <c r="FKL77" s="277" t="s">
        <v>1072</v>
      </c>
      <c r="FKM77" s="277" t="s">
        <v>1072</v>
      </c>
      <c r="FKN77" s="277" t="s">
        <v>1072</v>
      </c>
      <c r="FKO77" s="277" t="s">
        <v>1072</v>
      </c>
      <c r="FKP77" s="277" t="s">
        <v>1072</v>
      </c>
      <c r="FKQ77" s="277" t="s">
        <v>1072</v>
      </c>
      <c r="FKR77" s="277" t="s">
        <v>1072</v>
      </c>
      <c r="FKS77" s="277" t="s">
        <v>1072</v>
      </c>
      <c r="FKT77" s="277" t="s">
        <v>1072</v>
      </c>
      <c r="FKU77" s="277" t="s">
        <v>1072</v>
      </c>
      <c r="FKV77" s="277" t="s">
        <v>1072</v>
      </c>
      <c r="FKW77" s="277" t="s">
        <v>1072</v>
      </c>
      <c r="FKX77" s="277" t="s">
        <v>1072</v>
      </c>
      <c r="FKY77" s="277" t="s">
        <v>1072</v>
      </c>
      <c r="FKZ77" s="277" t="s">
        <v>1072</v>
      </c>
      <c r="FLA77" s="277" t="s">
        <v>1072</v>
      </c>
      <c r="FLB77" s="277" t="s">
        <v>1072</v>
      </c>
      <c r="FLC77" s="277" t="s">
        <v>1072</v>
      </c>
      <c r="FLD77" s="277" t="s">
        <v>1072</v>
      </c>
      <c r="FLE77" s="277" t="s">
        <v>1072</v>
      </c>
      <c r="FLF77" s="277" t="s">
        <v>1072</v>
      </c>
      <c r="FLG77" s="277" t="s">
        <v>1072</v>
      </c>
      <c r="FLH77" s="277" t="s">
        <v>1072</v>
      </c>
      <c r="FLI77" s="277" t="s">
        <v>1072</v>
      </c>
      <c r="FLJ77" s="277" t="s">
        <v>1072</v>
      </c>
      <c r="FLK77" s="277" t="s">
        <v>1072</v>
      </c>
      <c r="FLL77" s="277" t="s">
        <v>1072</v>
      </c>
      <c r="FLM77" s="277" t="s">
        <v>1072</v>
      </c>
      <c r="FLN77" s="277" t="s">
        <v>1072</v>
      </c>
      <c r="FLO77" s="277" t="s">
        <v>1072</v>
      </c>
      <c r="FLP77" s="277" t="s">
        <v>1072</v>
      </c>
      <c r="FLQ77" s="277" t="s">
        <v>1072</v>
      </c>
      <c r="FLR77" s="277" t="s">
        <v>1072</v>
      </c>
      <c r="FLS77" s="277" t="s">
        <v>1072</v>
      </c>
      <c r="FLT77" s="277" t="s">
        <v>1072</v>
      </c>
      <c r="FLU77" s="277" t="s">
        <v>1072</v>
      </c>
      <c r="FLV77" s="277" t="s">
        <v>1072</v>
      </c>
      <c r="FLW77" s="277" t="s">
        <v>1072</v>
      </c>
      <c r="FLX77" s="277" t="s">
        <v>1072</v>
      </c>
      <c r="FLY77" s="277" t="s">
        <v>1072</v>
      </c>
      <c r="FLZ77" s="277" t="s">
        <v>1072</v>
      </c>
      <c r="FMA77" s="277" t="s">
        <v>1072</v>
      </c>
      <c r="FMB77" s="277" t="s">
        <v>1072</v>
      </c>
      <c r="FMC77" s="277" t="s">
        <v>1072</v>
      </c>
      <c r="FMD77" s="277" t="s">
        <v>1072</v>
      </c>
      <c r="FME77" s="277" t="s">
        <v>1072</v>
      </c>
      <c r="FMF77" s="277" t="s">
        <v>1072</v>
      </c>
      <c r="FMG77" s="277" t="s">
        <v>1072</v>
      </c>
      <c r="FMH77" s="277" t="s">
        <v>1072</v>
      </c>
      <c r="FMI77" s="277" t="s">
        <v>1072</v>
      </c>
      <c r="FMJ77" s="277" t="s">
        <v>1072</v>
      </c>
      <c r="FMK77" s="277" t="s">
        <v>1072</v>
      </c>
      <c r="FML77" s="277" t="s">
        <v>1072</v>
      </c>
      <c r="FMM77" s="277" t="s">
        <v>1072</v>
      </c>
      <c r="FMN77" s="277" t="s">
        <v>1072</v>
      </c>
      <c r="FMO77" s="277" t="s">
        <v>1072</v>
      </c>
      <c r="FMP77" s="277" t="s">
        <v>1072</v>
      </c>
      <c r="FMQ77" s="277" t="s">
        <v>1072</v>
      </c>
      <c r="FMR77" s="277" t="s">
        <v>1072</v>
      </c>
      <c r="FMS77" s="277" t="s">
        <v>1072</v>
      </c>
      <c r="FMT77" s="277" t="s">
        <v>1072</v>
      </c>
      <c r="FMU77" s="277" t="s">
        <v>1072</v>
      </c>
      <c r="FMV77" s="277" t="s">
        <v>1072</v>
      </c>
      <c r="FMW77" s="277" t="s">
        <v>1072</v>
      </c>
      <c r="FMX77" s="277" t="s">
        <v>1072</v>
      </c>
      <c r="FMY77" s="277" t="s">
        <v>1072</v>
      </c>
      <c r="FMZ77" s="277" t="s">
        <v>1072</v>
      </c>
      <c r="FNA77" s="277" t="s">
        <v>1072</v>
      </c>
      <c r="FNB77" s="277" t="s">
        <v>1072</v>
      </c>
      <c r="FNC77" s="277" t="s">
        <v>1072</v>
      </c>
      <c r="FND77" s="277" t="s">
        <v>1072</v>
      </c>
      <c r="FNE77" s="277" t="s">
        <v>1072</v>
      </c>
      <c r="FNF77" s="277" t="s">
        <v>1072</v>
      </c>
      <c r="FNG77" s="277" t="s">
        <v>1072</v>
      </c>
      <c r="FNH77" s="277" t="s">
        <v>1072</v>
      </c>
      <c r="FNI77" s="277" t="s">
        <v>1072</v>
      </c>
      <c r="FNJ77" s="277" t="s">
        <v>1072</v>
      </c>
      <c r="FNK77" s="277" t="s">
        <v>1072</v>
      </c>
      <c r="FNL77" s="277" t="s">
        <v>1072</v>
      </c>
      <c r="FNM77" s="277" t="s">
        <v>1072</v>
      </c>
      <c r="FNN77" s="277" t="s">
        <v>1072</v>
      </c>
      <c r="FNO77" s="277" t="s">
        <v>1072</v>
      </c>
      <c r="FNP77" s="277" t="s">
        <v>1072</v>
      </c>
      <c r="FNQ77" s="277" t="s">
        <v>1072</v>
      </c>
      <c r="FNR77" s="277" t="s">
        <v>1072</v>
      </c>
      <c r="FNS77" s="277" t="s">
        <v>1072</v>
      </c>
      <c r="FNT77" s="277" t="s">
        <v>1072</v>
      </c>
      <c r="FNU77" s="277" t="s">
        <v>1072</v>
      </c>
      <c r="FNV77" s="277" t="s">
        <v>1072</v>
      </c>
      <c r="FNW77" s="277" t="s">
        <v>1072</v>
      </c>
      <c r="FNX77" s="277" t="s">
        <v>1072</v>
      </c>
      <c r="FNY77" s="277" t="s">
        <v>1072</v>
      </c>
      <c r="FNZ77" s="277" t="s">
        <v>1072</v>
      </c>
      <c r="FOA77" s="277" t="s">
        <v>1072</v>
      </c>
      <c r="FOB77" s="277" t="s">
        <v>1072</v>
      </c>
      <c r="FOC77" s="277" t="s">
        <v>1072</v>
      </c>
      <c r="FOD77" s="277" t="s">
        <v>1072</v>
      </c>
      <c r="FOE77" s="277" t="s">
        <v>1072</v>
      </c>
      <c r="FOF77" s="277" t="s">
        <v>1072</v>
      </c>
      <c r="FOG77" s="277" t="s">
        <v>1072</v>
      </c>
      <c r="FOH77" s="277" t="s">
        <v>1072</v>
      </c>
      <c r="FOI77" s="277" t="s">
        <v>1072</v>
      </c>
      <c r="FOJ77" s="277" t="s">
        <v>1072</v>
      </c>
      <c r="FOK77" s="277" t="s">
        <v>1072</v>
      </c>
      <c r="FOL77" s="277" t="s">
        <v>1072</v>
      </c>
      <c r="FOM77" s="277" t="s">
        <v>1072</v>
      </c>
      <c r="FON77" s="277" t="s">
        <v>1072</v>
      </c>
      <c r="FOO77" s="277" t="s">
        <v>1072</v>
      </c>
      <c r="FOP77" s="277" t="s">
        <v>1072</v>
      </c>
      <c r="FOQ77" s="277" t="s">
        <v>1072</v>
      </c>
      <c r="FOR77" s="277" t="s">
        <v>1072</v>
      </c>
      <c r="FOS77" s="277" t="s">
        <v>1072</v>
      </c>
      <c r="FOT77" s="277" t="s">
        <v>1072</v>
      </c>
      <c r="FOU77" s="277" t="s">
        <v>1072</v>
      </c>
      <c r="FOV77" s="277" t="s">
        <v>1072</v>
      </c>
      <c r="FOW77" s="277" t="s">
        <v>1072</v>
      </c>
      <c r="FOX77" s="277" t="s">
        <v>1072</v>
      </c>
      <c r="FOY77" s="277" t="s">
        <v>1072</v>
      </c>
      <c r="FOZ77" s="277" t="s">
        <v>1072</v>
      </c>
      <c r="FPA77" s="277" t="s">
        <v>1072</v>
      </c>
      <c r="FPB77" s="277" t="s">
        <v>1072</v>
      </c>
      <c r="FPC77" s="277" t="s">
        <v>1072</v>
      </c>
      <c r="FPD77" s="277" t="s">
        <v>1072</v>
      </c>
      <c r="FPE77" s="277" t="s">
        <v>1072</v>
      </c>
      <c r="FPF77" s="277" t="s">
        <v>1072</v>
      </c>
      <c r="FPG77" s="277" t="s">
        <v>1072</v>
      </c>
      <c r="FPH77" s="277" t="s">
        <v>1072</v>
      </c>
      <c r="FPI77" s="277" t="s">
        <v>1072</v>
      </c>
      <c r="FPJ77" s="277" t="s">
        <v>1072</v>
      </c>
      <c r="FPK77" s="277" t="s">
        <v>1072</v>
      </c>
      <c r="FPL77" s="277" t="s">
        <v>1072</v>
      </c>
      <c r="FPM77" s="277" t="s">
        <v>1072</v>
      </c>
      <c r="FPN77" s="277" t="s">
        <v>1072</v>
      </c>
      <c r="FPO77" s="277" t="s">
        <v>1072</v>
      </c>
      <c r="FPP77" s="277" t="s">
        <v>1072</v>
      </c>
      <c r="FPQ77" s="277" t="s">
        <v>1072</v>
      </c>
      <c r="FPR77" s="277" t="s">
        <v>1072</v>
      </c>
      <c r="FPS77" s="277" t="s">
        <v>1072</v>
      </c>
      <c r="FPT77" s="277" t="s">
        <v>1072</v>
      </c>
      <c r="FPU77" s="277" t="s">
        <v>1072</v>
      </c>
      <c r="FPV77" s="277" t="s">
        <v>1072</v>
      </c>
      <c r="FPW77" s="277" t="s">
        <v>1072</v>
      </c>
      <c r="FPX77" s="277" t="s">
        <v>1072</v>
      </c>
      <c r="FPY77" s="277" t="s">
        <v>1072</v>
      </c>
      <c r="FPZ77" s="277" t="s">
        <v>1072</v>
      </c>
      <c r="FQA77" s="277" t="s">
        <v>1072</v>
      </c>
      <c r="FQB77" s="277" t="s">
        <v>1072</v>
      </c>
      <c r="FQC77" s="277" t="s">
        <v>1072</v>
      </c>
      <c r="FQD77" s="277" t="s">
        <v>1072</v>
      </c>
      <c r="FQE77" s="277" t="s">
        <v>1072</v>
      </c>
      <c r="FQF77" s="277" t="s">
        <v>1072</v>
      </c>
      <c r="FQG77" s="277" t="s">
        <v>1072</v>
      </c>
      <c r="FQH77" s="277" t="s">
        <v>1072</v>
      </c>
      <c r="FQI77" s="277" t="s">
        <v>1072</v>
      </c>
      <c r="FQJ77" s="277" t="s">
        <v>1072</v>
      </c>
      <c r="FQK77" s="277" t="s">
        <v>1072</v>
      </c>
      <c r="FQL77" s="277" t="s">
        <v>1072</v>
      </c>
      <c r="FQM77" s="277" t="s">
        <v>1072</v>
      </c>
      <c r="FQN77" s="277" t="s">
        <v>1072</v>
      </c>
      <c r="FQO77" s="277" t="s">
        <v>1072</v>
      </c>
      <c r="FQP77" s="277" t="s">
        <v>1072</v>
      </c>
      <c r="FQQ77" s="277" t="s">
        <v>1072</v>
      </c>
      <c r="FQR77" s="277" t="s">
        <v>1072</v>
      </c>
      <c r="FQS77" s="277" t="s">
        <v>1072</v>
      </c>
      <c r="FQT77" s="277" t="s">
        <v>1072</v>
      </c>
      <c r="FQU77" s="277" t="s">
        <v>1072</v>
      </c>
      <c r="FQV77" s="277" t="s">
        <v>1072</v>
      </c>
      <c r="FQW77" s="277" t="s">
        <v>1072</v>
      </c>
      <c r="FQX77" s="277" t="s">
        <v>1072</v>
      </c>
      <c r="FQY77" s="277" t="s">
        <v>1072</v>
      </c>
      <c r="FQZ77" s="277" t="s">
        <v>1072</v>
      </c>
      <c r="FRA77" s="277" t="s">
        <v>1072</v>
      </c>
      <c r="FRB77" s="277" t="s">
        <v>1072</v>
      </c>
      <c r="FRC77" s="277" t="s">
        <v>1072</v>
      </c>
      <c r="FRD77" s="277" t="s">
        <v>1072</v>
      </c>
      <c r="FRE77" s="277" t="s">
        <v>1072</v>
      </c>
      <c r="FRF77" s="277" t="s">
        <v>1072</v>
      </c>
      <c r="FRG77" s="277" t="s">
        <v>1072</v>
      </c>
      <c r="FRH77" s="277" t="s">
        <v>1072</v>
      </c>
      <c r="FRI77" s="277" t="s">
        <v>1072</v>
      </c>
      <c r="FRJ77" s="277" t="s">
        <v>1072</v>
      </c>
      <c r="FRK77" s="277" t="s">
        <v>1072</v>
      </c>
      <c r="FRL77" s="277" t="s">
        <v>1072</v>
      </c>
      <c r="FRM77" s="277" t="s">
        <v>1072</v>
      </c>
      <c r="FRN77" s="277" t="s">
        <v>1072</v>
      </c>
      <c r="FRO77" s="277" t="s">
        <v>1072</v>
      </c>
      <c r="FRP77" s="277" t="s">
        <v>1072</v>
      </c>
      <c r="FRQ77" s="277" t="s">
        <v>1072</v>
      </c>
      <c r="FRR77" s="277" t="s">
        <v>1072</v>
      </c>
      <c r="FRS77" s="277" t="s">
        <v>1072</v>
      </c>
      <c r="FRT77" s="277" t="s">
        <v>1072</v>
      </c>
      <c r="FRU77" s="277" t="s">
        <v>1072</v>
      </c>
      <c r="FRV77" s="277" t="s">
        <v>1072</v>
      </c>
      <c r="FRW77" s="277" t="s">
        <v>1072</v>
      </c>
      <c r="FRX77" s="277" t="s">
        <v>1072</v>
      </c>
      <c r="FRY77" s="277" t="s">
        <v>1072</v>
      </c>
      <c r="FRZ77" s="277" t="s">
        <v>1072</v>
      </c>
      <c r="FSA77" s="277" t="s">
        <v>1072</v>
      </c>
      <c r="FSB77" s="277" t="s">
        <v>1072</v>
      </c>
      <c r="FSC77" s="277" t="s">
        <v>1072</v>
      </c>
      <c r="FSD77" s="277" t="s">
        <v>1072</v>
      </c>
      <c r="FSE77" s="277" t="s">
        <v>1072</v>
      </c>
      <c r="FSF77" s="277" t="s">
        <v>1072</v>
      </c>
      <c r="FSG77" s="277" t="s">
        <v>1072</v>
      </c>
      <c r="FSH77" s="277" t="s">
        <v>1072</v>
      </c>
      <c r="FSI77" s="277" t="s">
        <v>1072</v>
      </c>
      <c r="FSJ77" s="277" t="s">
        <v>1072</v>
      </c>
      <c r="FSK77" s="277" t="s">
        <v>1072</v>
      </c>
      <c r="FSL77" s="277" t="s">
        <v>1072</v>
      </c>
      <c r="FSM77" s="277" t="s">
        <v>1072</v>
      </c>
      <c r="FSN77" s="277" t="s">
        <v>1072</v>
      </c>
      <c r="FSO77" s="277" t="s">
        <v>1072</v>
      </c>
      <c r="FSP77" s="277" t="s">
        <v>1072</v>
      </c>
      <c r="FSQ77" s="277" t="s">
        <v>1072</v>
      </c>
      <c r="FSR77" s="277" t="s">
        <v>1072</v>
      </c>
      <c r="FSS77" s="277" t="s">
        <v>1072</v>
      </c>
      <c r="FST77" s="277" t="s">
        <v>1072</v>
      </c>
      <c r="FSU77" s="277" t="s">
        <v>1072</v>
      </c>
      <c r="FSV77" s="277" t="s">
        <v>1072</v>
      </c>
      <c r="FSW77" s="277" t="s">
        <v>1072</v>
      </c>
      <c r="FSX77" s="277" t="s">
        <v>1072</v>
      </c>
      <c r="FSY77" s="277" t="s">
        <v>1072</v>
      </c>
      <c r="FSZ77" s="277" t="s">
        <v>1072</v>
      </c>
      <c r="FTA77" s="277" t="s">
        <v>1072</v>
      </c>
      <c r="FTB77" s="277" t="s">
        <v>1072</v>
      </c>
      <c r="FTC77" s="277" t="s">
        <v>1072</v>
      </c>
      <c r="FTD77" s="277" t="s">
        <v>1072</v>
      </c>
      <c r="FTE77" s="277" t="s">
        <v>1072</v>
      </c>
      <c r="FTF77" s="277" t="s">
        <v>1072</v>
      </c>
      <c r="FTG77" s="277" t="s">
        <v>1072</v>
      </c>
      <c r="FTH77" s="277" t="s">
        <v>1072</v>
      </c>
      <c r="FTI77" s="277" t="s">
        <v>1072</v>
      </c>
      <c r="FTJ77" s="277" t="s">
        <v>1072</v>
      </c>
      <c r="FTK77" s="277" t="s">
        <v>1072</v>
      </c>
      <c r="FTL77" s="277" t="s">
        <v>1072</v>
      </c>
      <c r="FTM77" s="277" t="s">
        <v>1072</v>
      </c>
      <c r="FTN77" s="277" t="s">
        <v>1072</v>
      </c>
      <c r="FTO77" s="277" t="s">
        <v>1072</v>
      </c>
      <c r="FTP77" s="277" t="s">
        <v>1072</v>
      </c>
      <c r="FTQ77" s="277" t="s">
        <v>1072</v>
      </c>
      <c r="FTR77" s="277" t="s">
        <v>1072</v>
      </c>
      <c r="FTS77" s="277" t="s">
        <v>1072</v>
      </c>
      <c r="FTT77" s="277" t="s">
        <v>1072</v>
      </c>
      <c r="FTU77" s="277" t="s">
        <v>1072</v>
      </c>
      <c r="FTV77" s="277" t="s">
        <v>1072</v>
      </c>
      <c r="FTW77" s="277" t="s">
        <v>1072</v>
      </c>
      <c r="FTX77" s="277" t="s">
        <v>1072</v>
      </c>
      <c r="FTY77" s="277" t="s">
        <v>1072</v>
      </c>
      <c r="FTZ77" s="277" t="s">
        <v>1072</v>
      </c>
      <c r="FUA77" s="277" t="s">
        <v>1072</v>
      </c>
      <c r="FUB77" s="277" t="s">
        <v>1072</v>
      </c>
      <c r="FUC77" s="277" t="s">
        <v>1072</v>
      </c>
      <c r="FUD77" s="277" t="s">
        <v>1072</v>
      </c>
      <c r="FUE77" s="277" t="s">
        <v>1072</v>
      </c>
      <c r="FUF77" s="277" t="s">
        <v>1072</v>
      </c>
      <c r="FUG77" s="277" t="s">
        <v>1072</v>
      </c>
      <c r="FUH77" s="277" t="s">
        <v>1072</v>
      </c>
      <c r="FUI77" s="277" t="s">
        <v>1072</v>
      </c>
      <c r="FUJ77" s="277" t="s">
        <v>1072</v>
      </c>
      <c r="FUK77" s="277" t="s">
        <v>1072</v>
      </c>
      <c r="FUL77" s="277" t="s">
        <v>1072</v>
      </c>
      <c r="FUM77" s="277" t="s">
        <v>1072</v>
      </c>
      <c r="FUN77" s="277" t="s">
        <v>1072</v>
      </c>
      <c r="FUO77" s="277" t="s">
        <v>1072</v>
      </c>
      <c r="FUP77" s="277" t="s">
        <v>1072</v>
      </c>
      <c r="FUQ77" s="277" t="s">
        <v>1072</v>
      </c>
      <c r="FUR77" s="277" t="s">
        <v>1072</v>
      </c>
      <c r="FUS77" s="277" t="s">
        <v>1072</v>
      </c>
      <c r="FUT77" s="277" t="s">
        <v>1072</v>
      </c>
      <c r="FUU77" s="277" t="s">
        <v>1072</v>
      </c>
      <c r="FUV77" s="277" t="s">
        <v>1072</v>
      </c>
      <c r="FUW77" s="277" t="s">
        <v>1072</v>
      </c>
      <c r="FUX77" s="277" t="s">
        <v>1072</v>
      </c>
      <c r="FUY77" s="277" t="s">
        <v>1072</v>
      </c>
      <c r="FUZ77" s="277" t="s">
        <v>1072</v>
      </c>
      <c r="FVA77" s="277" t="s">
        <v>1072</v>
      </c>
      <c r="FVB77" s="277" t="s">
        <v>1072</v>
      </c>
      <c r="FVC77" s="277" t="s">
        <v>1072</v>
      </c>
      <c r="FVD77" s="277" t="s">
        <v>1072</v>
      </c>
      <c r="FVE77" s="277" t="s">
        <v>1072</v>
      </c>
      <c r="FVF77" s="277" t="s">
        <v>1072</v>
      </c>
      <c r="FVG77" s="277" t="s">
        <v>1072</v>
      </c>
      <c r="FVH77" s="277" t="s">
        <v>1072</v>
      </c>
      <c r="FVI77" s="277" t="s">
        <v>1072</v>
      </c>
      <c r="FVJ77" s="277" t="s">
        <v>1072</v>
      </c>
      <c r="FVK77" s="277" t="s">
        <v>1072</v>
      </c>
      <c r="FVL77" s="277" t="s">
        <v>1072</v>
      </c>
      <c r="FVM77" s="277" t="s">
        <v>1072</v>
      </c>
      <c r="FVN77" s="277" t="s">
        <v>1072</v>
      </c>
      <c r="FVO77" s="277" t="s">
        <v>1072</v>
      </c>
      <c r="FVP77" s="277" t="s">
        <v>1072</v>
      </c>
      <c r="FVQ77" s="277" t="s">
        <v>1072</v>
      </c>
      <c r="FVR77" s="277" t="s">
        <v>1072</v>
      </c>
      <c r="FVS77" s="277" t="s">
        <v>1072</v>
      </c>
      <c r="FVT77" s="277" t="s">
        <v>1072</v>
      </c>
      <c r="FVU77" s="277" t="s">
        <v>1072</v>
      </c>
      <c r="FVV77" s="277" t="s">
        <v>1072</v>
      </c>
      <c r="FVW77" s="277" t="s">
        <v>1072</v>
      </c>
      <c r="FVX77" s="277" t="s">
        <v>1072</v>
      </c>
      <c r="FVY77" s="277" t="s">
        <v>1072</v>
      </c>
      <c r="FVZ77" s="277" t="s">
        <v>1072</v>
      </c>
      <c r="FWA77" s="277" t="s">
        <v>1072</v>
      </c>
      <c r="FWB77" s="277" t="s">
        <v>1072</v>
      </c>
      <c r="FWC77" s="277" t="s">
        <v>1072</v>
      </c>
      <c r="FWD77" s="277" t="s">
        <v>1072</v>
      </c>
      <c r="FWE77" s="277" t="s">
        <v>1072</v>
      </c>
      <c r="FWF77" s="277" t="s">
        <v>1072</v>
      </c>
      <c r="FWG77" s="277" t="s">
        <v>1072</v>
      </c>
      <c r="FWH77" s="277" t="s">
        <v>1072</v>
      </c>
      <c r="FWI77" s="277" t="s">
        <v>1072</v>
      </c>
      <c r="FWJ77" s="277" t="s">
        <v>1072</v>
      </c>
      <c r="FWK77" s="277" t="s">
        <v>1072</v>
      </c>
      <c r="FWL77" s="277" t="s">
        <v>1072</v>
      </c>
      <c r="FWM77" s="277" t="s">
        <v>1072</v>
      </c>
      <c r="FWN77" s="277" t="s">
        <v>1072</v>
      </c>
      <c r="FWO77" s="277" t="s">
        <v>1072</v>
      </c>
      <c r="FWP77" s="277" t="s">
        <v>1072</v>
      </c>
      <c r="FWQ77" s="277" t="s">
        <v>1072</v>
      </c>
      <c r="FWR77" s="277" t="s">
        <v>1072</v>
      </c>
      <c r="FWS77" s="277" t="s">
        <v>1072</v>
      </c>
      <c r="FWT77" s="277" t="s">
        <v>1072</v>
      </c>
      <c r="FWU77" s="277" t="s">
        <v>1072</v>
      </c>
      <c r="FWV77" s="277" t="s">
        <v>1072</v>
      </c>
      <c r="FWW77" s="277" t="s">
        <v>1072</v>
      </c>
      <c r="FWX77" s="277" t="s">
        <v>1072</v>
      </c>
      <c r="FWY77" s="277" t="s">
        <v>1072</v>
      </c>
      <c r="FWZ77" s="277" t="s">
        <v>1072</v>
      </c>
      <c r="FXA77" s="277" t="s">
        <v>1072</v>
      </c>
      <c r="FXB77" s="277" t="s">
        <v>1072</v>
      </c>
      <c r="FXC77" s="277" t="s">
        <v>1072</v>
      </c>
      <c r="FXD77" s="277" t="s">
        <v>1072</v>
      </c>
      <c r="FXE77" s="277" t="s">
        <v>1072</v>
      </c>
      <c r="FXF77" s="277" t="s">
        <v>1072</v>
      </c>
      <c r="FXG77" s="277" t="s">
        <v>1072</v>
      </c>
      <c r="FXH77" s="277" t="s">
        <v>1072</v>
      </c>
      <c r="FXI77" s="277" t="s">
        <v>1072</v>
      </c>
      <c r="FXJ77" s="277" t="s">
        <v>1072</v>
      </c>
      <c r="FXK77" s="277" t="s">
        <v>1072</v>
      </c>
      <c r="FXL77" s="277" t="s">
        <v>1072</v>
      </c>
      <c r="FXM77" s="277" t="s">
        <v>1072</v>
      </c>
      <c r="FXN77" s="277" t="s">
        <v>1072</v>
      </c>
      <c r="FXO77" s="277" t="s">
        <v>1072</v>
      </c>
      <c r="FXP77" s="277" t="s">
        <v>1072</v>
      </c>
      <c r="FXQ77" s="277" t="s">
        <v>1072</v>
      </c>
      <c r="FXR77" s="277" t="s">
        <v>1072</v>
      </c>
      <c r="FXS77" s="277" t="s">
        <v>1072</v>
      </c>
      <c r="FXT77" s="277" t="s">
        <v>1072</v>
      </c>
      <c r="FXU77" s="277" t="s">
        <v>1072</v>
      </c>
      <c r="FXV77" s="277" t="s">
        <v>1072</v>
      </c>
      <c r="FXW77" s="277" t="s">
        <v>1072</v>
      </c>
      <c r="FXX77" s="277" t="s">
        <v>1072</v>
      </c>
      <c r="FXY77" s="277" t="s">
        <v>1072</v>
      </c>
      <c r="FXZ77" s="277" t="s">
        <v>1072</v>
      </c>
      <c r="FYA77" s="277" t="s">
        <v>1072</v>
      </c>
      <c r="FYB77" s="277" t="s">
        <v>1072</v>
      </c>
      <c r="FYC77" s="277" t="s">
        <v>1072</v>
      </c>
      <c r="FYD77" s="277" t="s">
        <v>1072</v>
      </c>
      <c r="FYE77" s="277" t="s">
        <v>1072</v>
      </c>
      <c r="FYF77" s="277" t="s">
        <v>1072</v>
      </c>
      <c r="FYG77" s="277" t="s">
        <v>1072</v>
      </c>
      <c r="FYH77" s="277" t="s">
        <v>1072</v>
      </c>
      <c r="FYI77" s="277" t="s">
        <v>1072</v>
      </c>
      <c r="FYJ77" s="277" t="s">
        <v>1072</v>
      </c>
      <c r="FYK77" s="277" t="s">
        <v>1072</v>
      </c>
      <c r="FYL77" s="277" t="s">
        <v>1072</v>
      </c>
      <c r="FYM77" s="277" t="s">
        <v>1072</v>
      </c>
      <c r="FYN77" s="277" t="s">
        <v>1072</v>
      </c>
      <c r="FYO77" s="277" t="s">
        <v>1072</v>
      </c>
      <c r="FYP77" s="277" t="s">
        <v>1072</v>
      </c>
      <c r="FYQ77" s="277" t="s">
        <v>1072</v>
      </c>
      <c r="FYR77" s="277" t="s">
        <v>1072</v>
      </c>
      <c r="FYS77" s="277" t="s">
        <v>1072</v>
      </c>
      <c r="FYT77" s="277" t="s">
        <v>1072</v>
      </c>
      <c r="FYU77" s="277" t="s">
        <v>1072</v>
      </c>
      <c r="FYV77" s="277" t="s">
        <v>1072</v>
      </c>
      <c r="FYW77" s="277" t="s">
        <v>1072</v>
      </c>
      <c r="FYX77" s="277" t="s">
        <v>1072</v>
      </c>
      <c r="FYY77" s="277" t="s">
        <v>1072</v>
      </c>
      <c r="FYZ77" s="277" t="s">
        <v>1072</v>
      </c>
      <c r="FZA77" s="277" t="s">
        <v>1072</v>
      </c>
      <c r="FZB77" s="277" t="s">
        <v>1072</v>
      </c>
      <c r="FZC77" s="277" t="s">
        <v>1072</v>
      </c>
      <c r="FZD77" s="277" t="s">
        <v>1072</v>
      </c>
      <c r="FZE77" s="277" t="s">
        <v>1072</v>
      </c>
      <c r="FZF77" s="277" t="s">
        <v>1072</v>
      </c>
      <c r="FZG77" s="277" t="s">
        <v>1072</v>
      </c>
      <c r="FZH77" s="277" t="s">
        <v>1072</v>
      </c>
      <c r="FZI77" s="277" t="s">
        <v>1072</v>
      </c>
      <c r="FZJ77" s="277" t="s">
        <v>1072</v>
      </c>
      <c r="FZK77" s="277" t="s">
        <v>1072</v>
      </c>
      <c r="FZL77" s="277" t="s">
        <v>1072</v>
      </c>
      <c r="FZM77" s="277" t="s">
        <v>1072</v>
      </c>
      <c r="FZN77" s="277" t="s">
        <v>1072</v>
      </c>
      <c r="FZO77" s="277" t="s">
        <v>1072</v>
      </c>
      <c r="FZP77" s="277" t="s">
        <v>1072</v>
      </c>
      <c r="FZQ77" s="277" t="s">
        <v>1072</v>
      </c>
      <c r="FZR77" s="277" t="s">
        <v>1072</v>
      </c>
      <c r="FZS77" s="277" t="s">
        <v>1072</v>
      </c>
      <c r="FZT77" s="277" t="s">
        <v>1072</v>
      </c>
      <c r="FZU77" s="277" t="s">
        <v>1072</v>
      </c>
      <c r="FZV77" s="277" t="s">
        <v>1072</v>
      </c>
      <c r="FZW77" s="277" t="s">
        <v>1072</v>
      </c>
      <c r="FZX77" s="277" t="s">
        <v>1072</v>
      </c>
      <c r="FZY77" s="277" t="s">
        <v>1072</v>
      </c>
      <c r="FZZ77" s="277" t="s">
        <v>1072</v>
      </c>
      <c r="GAA77" s="277" t="s">
        <v>1072</v>
      </c>
      <c r="GAB77" s="277" t="s">
        <v>1072</v>
      </c>
      <c r="GAC77" s="277" t="s">
        <v>1072</v>
      </c>
      <c r="GAD77" s="277" t="s">
        <v>1072</v>
      </c>
      <c r="GAE77" s="277" t="s">
        <v>1072</v>
      </c>
      <c r="GAF77" s="277" t="s">
        <v>1072</v>
      </c>
      <c r="GAG77" s="277" t="s">
        <v>1072</v>
      </c>
      <c r="GAH77" s="277" t="s">
        <v>1072</v>
      </c>
      <c r="GAI77" s="277" t="s">
        <v>1072</v>
      </c>
      <c r="GAJ77" s="277" t="s">
        <v>1072</v>
      </c>
      <c r="GAK77" s="277" t="s">
        <v>1072</v>
      </c>
      <c r="GAL77" s="277" t="s">
        <v>1072</v>
      </c>
      <c r="GAM77" s="277" t="s">
        <v>1072</v>
      </c>
      <c r="GAN77" s="277" t="s">
        <v>1072</v>
      </c>
      <c r="GAO77" s="277" t="s">
        <v>1072</v>
      </c>
      <c r="GAP77" s="277" t="s">
        <v>1072</v>
      </c>
      <c r="GAQ77" s="277" t="s">
        <v>1072</v>
      </c>
      <c r="GAR77" s="277" t="s">
        <v>1072</v>
      </c>
      <c r="GAS77" s="277" t="s">
        <v>1072</v>
      </c>
      <c r="GAT77" s="277" t="s">
        <v>1072</v>
      </c>
      <c r="GAU77" s="277" t="s">
        <v>1072</v>
      </c>
      <c r="GAV77" s="277" t="s">
        <v>1072</v>
      </c>
      <c r="GAW77" s="277" t="s">
        <v>1072</v>
      </c>
      <c r="GAX77" s="277" t="s">
        <v>1072</v>
      </c>
      <c r="GAY77" s="277" t="s">
        <v>1072</v>
      </c>
      <c r="GAZ77" s="277" t="s">
        <v>1072</v>
      </c>
      <c r="GBA77" s="277" t="s">
        <v>1072</v>
      </c>
      <c r="GBB77" s="277" t="s">
        <v>1072</v>
      </c>
      <c r="GBC77" s="277" t="s">
        <v>1072</v>
      </c>
      <c r="GBD77" s="277" t="s">
        <v>1072</v>
      </c>
      <c r="GBE77" s="277" t="s">
        <v>1072</v>
      </c>
      <c r="GBF77" s="277" t="s">
        <v>1072</v>
      </c>
      <c r="GBG77" s="277" t="s">
        <v>1072</v>
      </c>
      <c r="GBH77" s="277" t="s">
        <v>1072</v>
      </c>
      <c r="GBI77" s="277" t="s">
        <v>1072</v>
      </c>
      <c r="GBJ77" s="277" t="s">
        <v>1072</v>
      </c>
      <c r="GBK77" s="277" t="s">
        <v>1072</v>
      </c>
      <c r="GBL77" s="277" t="s">
        <v>1072</v>
      </c>
      <c r="GBM77" s="277" t="s">
        <v>1072</v>
      </c>
      <c r="GBN77" s="277" t="s">
        <v>1072</v>
      </c>
      <c r="GBO77" s="277" t="s">
        <v>1072</v>
      </c>
      <c r="GBP77" s="277" t="s">
        <v>1072</v>
      </c>
      <c r="GBQ77" s="277" t="s">
        <v>1072</v>
      </c>
      <c r="GBR77" s="277" t="s">
        <v>1072</v>
      </c>
      <c r="GBS77" s="277" t="s">
        <v>1072</v>
      </c>
      <c r="GBT77" s="277" t="s">
        <v>1072</v>
      </c>
      <c r="GBU77" s="277" t="s">
        <v>1072</v>
      </c>
      <c r="GBV77" s="277" t="s">
        <v>1072</v>
      </c>
      <c r="GBW77" s="277" t="s">
        <v>1072</v>
      </c>
      <c r="GBX77" s="277" t="s">
        <v>1072</v>
      </c>
      <c r="GBY77" s="277" t="s">
        <v>1072</v>
      </c>
      <c r="GBZ77" s="277" t="s">
        <v>1072</v>
      </c>
      <c r="GCA77" s="277" t="s">
        <v>1072</v>
      </c>
      <c r="GCB77" s="277" t="s">
        <v>1072</v>
      </c>
      <c r="GCC77" s="277" t="s">
        <v>1072</v>
      </c>
      <c r="GCD77" s="277" t="s">
        <v>1072</v>
      </c>
      <c r="GCE77" s="277" t="s">
        <v>1072</v>
      </c>
      <c r="GCF77" s="277" t="s">
        <v>1072</v>
      </c>
      <c r="GCG77" s="277" t="s">
        <v>1072</v>
      </c>
      <c r="GCH77" s="277" t="s">
        <v>1072</v>
      </c>
      <c r="GCI77" s="277" t="s">
        <v>1072</v>
      </c>
      <c r="GCJ77" s="277" t="s">
        <v>1072</v>
      </c>
      <c r="GCK77" s="277" t="s">
        <v>1072</v>
      </c>
      <c r="GCL77" s="277" t="s">
        <v>1072</v>
      </c>
      <c r="GCM77" s="277" t="s">
        <v>1072</v>
      </c>
      <c r="GCN77" s="277" t="s">
        <v>1072</v>
      </c>
      <c r="GCO77" s="277" t="s">
        <v>1072</v>
      </c>
      <c r="GCP77" s="277" t="s">
        <v>1072</v>
      </c>
      <c r="GCQ77" s="277" t="s">
        <v>1072</v>
      </c>
      <c r="GCR77" s="277" t="s">
        <v>1072</v>
      </c>
      <c r="GCS77" s="277" t="s">
        <v>1072</v>
      </c>
      <c r="GCT77" s="277" t="s">
        <v>1072</v>
      </c>
      <c r="GCU77" s="277" t="s">
        <v>1072</v>
      </c>
      <c r="GCV77" s="277" t="s">
        <v>1072</v>
      </c>
      <c r="GCW77" s="277" t="s">
        <v>1072</v>
      </c>
      <c r="GCX77" s="277" t="s">
        <v>1072</v>
      </c>
      <c r="GCY77" s="277" t="s">
        <v>1072</v>
      </c>
      <c r="GCZ77" s="277" t="s">
        <v>1072</v>
      </c>
      <c r="GDA77" s="277" t="s">
        <v>1072</v>
      </c>
      <c r="GDB77" s="277" t="s">
        <v>1072</v>
      </c>
      <c r="GDC77" s="277" t="s">
        <v>1072</v>
      </c>
      <c r="GDD77" s="277" t="s">
        <v>1072</v>
      </c>
      <c r="GDE77" s="277" t="s">
        <v>1072</v>
      </c>
      <c r="GDF77" s="277" t="s">
        <v>1072</v>
      </c>
      <c r="GDG77" s="277" t="s">
        <v>1072</v>
      </c>
      <c r="GDH77" s="277" t="s">
        <v>1072</v>
      </c>
      <c r="GDI77" s="277" t="s">
        <v>1072</v>
      </c>
      <c r="GDJ77" s="277" t="s">
        <v>1072</v>
      </c>
      <c r="GDK77" s="277" t="s">
        <v>1072</v>
      </c>
      <c r="GDL77" s="277" t="s">
        <v>1072</v>
      </c>
      <c r="GDM77" s="277" t="s">
        <v>1072</v>
      </c>
      <c r="GDN77" s="277" t="s">
        <v>1072</v>
      </c>
      <c r="GDO77" s="277" t="s">
        <v>1072</v>
      </c>
      <c r="GDP77" s="277" t="s">
        <v>1072</v>
      </c>
      <c r="GDQ77" s="277" t="s">
        <v>1072</v>
      </c>
      <c r="GDR77" s="277" t="s">
        <v>1072</v>
      </c>
      <c r="GDS77" s="277" t="s">
        <v>1072</v>
      </c>
      <c r="GDT77" s="277" t="s">
        <v>1072</v>
      </c>
      <c r="GDU77" s="277" t="s">
        <v>1072</v>
      </c>
      <c r="GDV77" s="277" t="s">
        <v>1072</v>
      </c>
      <c r="GDW77" s="277" t="s">
        <v>1072</v>
      </c>
      <c r="GDX77" s="277" t="s">
        <v>1072</v>
      </c>
      <c r="GDY77" s="277" t="s">
        <v>1072</v>
      </c>
      <c r="GDZ77" s="277" t="s">
        <v>1072</v>
      </c>
      <c r="GEA77" s="277" t="s">
        <v>1072</v>
      </c>
      <c r="GEB77" s="277" t="s">
        <v>1072</v>
      </c>
      <c r="GEC77" s="277" t="s">
        <v>1072</v>
      </c>
      <c r="GED77" s="277" t="s">
        <v>1072</v>
      </c>
      <c r="GEE77" s="277" t="s">
        <v>1072</v>
      </c>
      <c r="GEF77" s="277" t="s">
        <v>1072</v>
      </c>
      <c r="GEG77" s="277" t="s">
        <v>1072</v>
      </c>
      <c r="GEH77" s="277" t="s">
        <v>1072</v>
      </c>
      <c r="GEI77" s="277" t="s">
        <v>1072</v>
      </c>
      <c r="GEJ77" s="277" t="s">
        <v>1072</v>
      </c>
      <c r="GEK77" s="277" t="s">
        <v>1072</v>
      </c>
      <c r="GEL77" s="277" t="s">
        <v>1072</v>
      </c>
      <c r="GEM77" s="277" t="s">
        <v>1072</v>
      </c>
      <c r="GEN77" s="277" t="s">
        <v>1072</v>
      </c>
      <c r="GEO77" s="277" t="s">
        <v>1072</v>
      </c>
      <c r="GEP77" s="277" t="s">
        <v>1072</v>
      </c>
      <c r="GEQ77" s="277" t="s">
        <v>1072</v>
      </c>
      <c r="GER77" s="277" t="s">
        <v>1072</v>
      </c>
      <c r="GES77" s="277" t="s">
        <v>1072</v>
      </c>
      <c r="GET77" s="277" t="s">
        <v>1072</v>
      </c>
      <c r="GEU77" s="277" t="s">
        <v>1072</v>
      </c>
      <c r="GEV77" s="277" t="s">
        <v>1072</v>
      </c>
      <c r="GEW77" s="277" t="s">
        <v>1072</v>
      </c>
      <c r="GEX77" s="277" t="s">
        <v>1072</v>
      </c>
      <c r="GEY77" s="277" t="s">
        <v>1072</v>
      </c>
      <c r="GEZ77" s="277" t="s">
        <v>1072</v>
      </c>
      <c r="GFA77" s="277" t="s">
        <v>1072</v>
      </c>
      <c r="GFB77" s="277" t="s">
        <v>1072</v>
      </c>
      <c r="GFC77" s="277" t="s">
        <v>1072</v>
      </c>
      <c r="GFD77" s="277" t="s">
        <v>1072</v>
      </c>
      <c r="GFE77" s="277" t="s">
        <v>1072</v>
      </c>
      <c r="GFF77" s="277" t="s">
        <v>1072</v>
      </c>
      <c r="GFG77" s="277" t="s">
        <v>1072</v>
      </c>
      <c r="GFH77" s="277" t="s">
        <v>1072</v>
      </c>
      <c r="GFI77" s="277" t="s">
        <v>1072</v>
      </c>
      <c r="GFJ77" s="277" t="s">
        <v>1072</v>
      </c>
      <c r="GFK77" s="277" t="s">
        <v>1072</v>
      </c>
      <c r="GFL77" s="277" t="s">
        <v>1072</v>
      </c>
      <c r="GFM77" s="277" t="s">
        <v>1072</v>
      </c>
      <c r="GFN77" s="277" t="s">
        <v>1072</v>
      </c>
      <c r="GFO77" s="277" t="s">
        <v>1072</v>
      </c>
      <c r="GFP77" s="277" t="s">
        <v>1072</v>
      </c>
      <c r="GFQ77" s="277" t="s">
        <v>1072</v>
      </c>
      <c r="GFR77" s="277" t="s">
        <v>1072</v>
      </c>
      <c r="GFS77" s="277" t="s">
        <v>1072</v>
      </c>
      <c r="GFT77" s="277" t="s">
        <v>1072</v>
      </c>
      <c r="GFU77" s="277" t="s">
        <v>1072</v>
      </c>
      <c r="GFV77" s="277" t="s">
        <v>1072</v>
      </c>
      <c r="GFW77" s="277" t="s">
        <v>1072</v>
      </c>
      <c r="GFX77" s="277" t="s">
        <v>1072</v>
      </c>
      <c r="GFY77" s="277" t="s">
        <v>1072</v>
      </c>
      <c r="GFZ77" s="277" t="s">
        <v>1072</v>
      </c>
      <c r="GGA77" s="277" t="s">
        <v>1072</v>
      </c>
      <c r="GGB77" s="277" t="s">
        <v>1072</v>
      </c>
      <c r="GGC77" s="277" t="s">
        <v>1072</v>
      </c>
      <c r="GGD77" s="277" t="s">
        <v>1072</v>
      </c>
      <c r="GGE77" s="277" t="s">
        <v>1072</v>
      </c>
      <c r="GGF77" s="277" t="s">
        <v>1072</v>
      </c>
      <c r="GGG77" s="277" t="s">
        <v>1072</v>
      </c>
      <c r="GGH77" s="277" t="s">
        <v>1072</v>
      </c>
      <c r="GGI77" s="277" t="s">
        <v>1072</v>
      </c>
      <c r="GGJ77" s="277" t="s">
        <v>1072</v>
      </c>
      <c r="GGK77" s="277" t="s">
        <v>1072</v>
      </c>
      <c r="GGL77" s="277" t="s">
        <v>1072</v>
      </c>
      <c r="GGM77" s="277" t="s">
        <v>1072</v>
      </c>
      <c r="GGN77" s="277" t="s">
        <v>1072</v>
      </c>
      <c r="GGO77" s="277" t="s">
        <v>1072</v>
      </c>
      <c r="GGP77" s="277" t="s">
        <v>1072</v>
      </c>
      <c r="GGQ77" s="277" t="s">
        <v>1072</v>
      </c>
      <c r="GGR77" s="277" t="s">
        <v>1072</v>
      </c>
      <c r="GGS77" s="277" t="s">
        <v>1072</v>
      </c>
      <c r="GGT77" s="277" t="s">
        <v>1072</v>
      </c>
      <c r="GGU77" s="277" t="s">
        <v>1072</v>
      </c>
      <c r="GGV77" s="277" t="s">
        <v>1072</v>
      </c>
      <c r="GGW77" s="277" t="s">
        <v>1072</v>
      </c>
      <c r="GGX77" s="277" t="s">
        <v>1072</v>
      </c>
      <c r="GGY77" s="277" t="s">
        <v>1072</v>
      </c>
      <c r="GGZ77" s="277" t="s">
        <v>1072</v>
      </c>
      <c r="GHA77" s="277" t="s">
        <v>1072</v>
      </c>
      <c r="GHB77" s="277" t="s">
        <v>1072</v>
      </c>
      <c r="GHC77" s="277" t="s">
        <v>1072</v>
      </c>
      <c r="GHD77" s="277" t="s">
        <v>1072</v>
      </c>
      <c r="GHE77" s="277" t="s">
        <v>1072</v>
      </c>
      <c r="GHF77" s="277" t="s">
        <v>1072</v>
      </c>
      <c r="GHG77" s="277" t="s">
        <v>1072</v>
      </c>
      <c r="GHH77" s="277" t="s">
        <v>1072</v>
      </c>
      <c r="GHI77" s="277" t="s">
        <v>1072</v>
      </c>
      <c r="GHJ77" s="277" t="s">
        <v>1072</v>
      </c>
      <c r="GHK77" s="277" t="s">
        <v>1072</v>
      </c>
      <c r="GHL77" s="277" t="s">
        <v>1072</v>
      </c>
      <c r="GHM77" s="277" t="s">
        <v>1072</v>
      </c>
      <c r="GHN77" s="277" t="s">
        <v>1072</v>
      </c>
      <c r="GHO77" s="277" t="s">
        <v>1072</v>
      </c>
      <c r="GHP77" s="277" t="s">
        <v>1072</v>
      </c>
      <c r="GHQ77" s="277" t="s">
        <v>1072</v>
      </c>
      <c r="GHR77" s="277" t="s">
        <v>1072</v>
      </c>
      <c r="GHS77" s="277" t="s">
        <v>1072</v>
      </c>
      <c r="GHT77" s="277" t="s">
        <v>1072</v>
      </c>
      <c r="GHU77" s="277" t="s">
        <v>1072</v>
      </c>
      <c r="GHV77" s="277" t="s">
        <v>1072</v>
      </c>
      <c r="GHW77" s="277" t="s">
        <v>1072</v>
      </c>
      <c r="GHX77" s="277" t="s">
        <v>1072</v>
      </c>
      <c r="GHY77" s="277" t="s">
        <v>1072</v>
      </c>
      <c r="GHZ77" s="277" t="s">
        <v>1072</v>
      </c>
      <c r="GIA77" s="277" t="s">
        <v>1072</v>
      </c>
      <c r="GIB77" s="277" t="s">
        <v>1072</v>
      </c>
      <c r="GIC77" s="277" t="s">
        <v>1072</v>
      </c>
      <c r="GID77" s="277" t="s">
        <v>1072</v>
      </c>
      <c r="GIE77" s="277" t="s">
        <v>1072</v>
      </c>
      <c r="GIF77" s="277" t="s">
        <v>1072</v>
      </c>
      <c r="GIG77" s="277" t="s">
        <v>1072</v>
      </c>
      <c r="GIH77" s="277" t="s">
        <v>1072</v>
      </c>
      <c r="GII77" s="277" t="s">
        <v>1072</v>
      </c>
      <c r="GIJ77" s="277" t="s">
        <v>1072</v>
      </c>
      <c r="GIK77" s="277" t="s">
        <v>1072</v>
      </c>
      <c r="GIL77" s="277" t="s">
        <v>1072</v>
      </c>
      <c r="GIM77" s="277" t="s">
        <v>1072</v>
      </c>
      <c r="GIN77" s="277" t="s">
        <v>1072</v>
      </c>
      <c r="GIO77" s="277" t="s">
        <v>1072</v>
      </c>
      <c r="GIP77" s="277" t="s">
        <v>1072</v>
      </c>
      <c r="GIQ77" s="277" t="s">
        <v>1072</v>
      </c>
      <c r="GIR77" s="277" t="s">
        <v>1072</v>
      </c>
      <c r="GIS77" s="277" t="s">
        <v>1072</v>
      </c>
      <c r="GIT77" s="277" t="s">
        <v>1072</v>
      </c>
      <c r="GIU77" s="277" t="s">
        <v>1072</v>
      </c>
      <c r="GIV77" s="277" t="s">
        <v>1072</v>
      </c>
      <c r="GIW77" s="277" t="s">
        <v>1072</v>
      </c>
      <c r="GIX77" s="277" t="s">
        <v>1072</v>
      </c>
      <c r="GIY77" s="277" t="s">
        <v>1072</v>
      </c>
      <c r="GIZ77" s="277" t="s">
        <v>1072</v>
      </c>
      <c r="GJA77" s="277" t="s">
        <v>1072</v>
      </c>
      <c r="GJB77" s="277" t="s">
        <v>1072</v>
      </c>
      <c r="GJC77" s="277" t="s">
        <v>1072</v>
      </c>
      <c r="GJD77" s="277" t="s">
        <v>1072</v>
      </c>
      <c r="GJE77" s="277" t="s">
        <v>1072</v>
      </c>
      <c r="GJF77" s="277" t="s">
        <v>1072</v>
      </c>
      <c r="GJG77" s="277" t="s">
        <v>1072</v>
      </c>
      <c r="GJH77" s="277" t="s">
        <v>1072</v>
      </c>
      <c r="GJI77" s="277" t="s">
        <v>1072</v>
      </c>
      <c r="GJJ77" s="277" t="s">
        <v>1072</v>
      </c>
      <c r="GJK77" s="277" t="s">
        <v>1072</v>
      </c>
      <c r="GJL77" s="277" t="s">
        <v>1072</v>
      </c>
      <c r="GJM77" s="277" t="s">
        <v>1072</v>
      </c>
      <c r="GJN77" s="277" t="s">
        <v>1072</v>
      </c>
      <c r="GJO77" s="277" t="s">
        <v>1072</v>
      </c>
      <c r="GJP77" s="277" t="s">
        <v>1072</v>
      </c>
      <c r="GJQ77" s="277" t="s">
        <v>1072</v>
      </c>
      <c r="GJR77" s="277" t="s">
        <v>1072</v>
      </c>
      <c r="GJS77" s="277" t="s">
        <v>1072</v>
      </c>
      <c r="GJT77" s="277" t="s">
        <v>1072</v>
      </c>
      <c r="GJU77" s="277" t="s">
        <v>1072</v>
      </c>
      <c r="GJV77" s="277" t="s">
        <v>1072</v>
      </c>
      <c r="GJW77" s="277" t="s">
        <v>1072</v>
      </c>
      <c r="GJX77" s="277" t="s">
        <v>1072</v>
      </c>
      <c r="GJY77" s="277" t="s">
        <v>1072</v>
      </c>
      <c r="GJZ77" s="277" t="s">
        <v>1072</v>
      </c>
      <c r="GKA77" s="277" t="s">
        <v>1072</v>
      </c>
      <c r="GKB77" s="277" t="s">
        <v>1072</v>
      </c>
      <c r="GKC77" s="277" t="s">
        <v>1072</v>
      </c>
      <c r="GKD77" s="277" t="s">
        <v>1072</v>
      </c>
      <c r="GKE77" s="277" t="s">
        <v>1072</v>
      </c>
      <c r="GKF77" s="277" t="s">
        <v>1072</v>
      </c>
      <c r="GKG77" s="277" t="s">
        <v>1072</v>
      </c>
      <c r="GKH77" s="277" t="s">
        <v>1072</v>
      </c>
      <c r="GKI77" s="277" t="s">
        <v>1072</v>
      </c>
      <c r="GKJ77" s="277" t="s">
        <v>1072</v>
      </c>
      <c r="GKK77" s="277" t="s">
        <v>1072</v>
      </c>
      <c r="GKL77" s="277" t="s">
        <v>1072</v>
      </c>
      <c r="GKM77" s="277" t="s">
        <v>1072</v>
      </c>
      <c r="GKN77" s="277" t="s">
        <v>1072</v>
      </c>
      <c r="GKO77" s="277" t="s">
        <v>1072</v>
      </c>
      <c r="GKP77" s="277" t="s">
        <v>1072</v>
      </c>
      <c r="GKQ77" s="277" t="s">
        <v>1072</v>
      </c>
      <c r="GKR77" s="277" t="s">
        <v>1072</v>
      </c>
      <c r="GKS77" s="277" t="s">
        <v>1072</v>
      </c>
      <c r="GKT77" s="277" t="s">
        <v>1072</v>
      </c>
      <c r="GKU77" s="277" t="s">
        <v>1072</v>
      </c>
      <c r="GKV77" s="277" t="s">
        <v>1072</v>
      </c>
      <c r="GKW77" s="277" t="s">
        <v>1072</v>
      </c>
      <c r="GKX77" s="277" t="s">
        <v>1072</v>
      </c>
      <c r="GKY77" s="277" t="s">
        <v>1072</v>
      </c>
      <c r="GKZ77" s="277" t="s">
        <v>1072</v>
      </c>
      <c r="GLA77" s="277" t="s">
        <v>1072</v>
      </c>
      <c r="GLB77" s="277" t="s">
        <v>1072</v>
      </c>
      <c r="GLC77" s="277" t="s">
        <v>1072</v>
      </c>
      <c r="GLD77" s="277" t="s">
        <v>1072</v>
      </c>
      <c r="GLE77" s="277" t="s">
        <v>1072</v>
      </c>
      <c r="GLF77" s="277" t="s">
        <v>1072</v>
      </c>
      <c r="GLG77" s="277" t="s">
        <v>1072</v>
      </c>
      <c r="GLH77" s="277" t="s">
        <v>1072</v>
      </c>
      <c r="GLI77" s="277" t="s">
        <v>1072</v>
      </c>
      <c r="GLJ77" s="277" t="s">
        <v>1072</v>
      </c>
      <c r="GLK77" s="277" t="s">
        <v>1072</v>
      </c>
      <c r="GLL77" s="277" t="s">
        <v>1072</v>
      </c>
      <c r="GLM77" s="277" t="s">
        <v>1072</v>
      </c>
      <c r="GLN77" s="277" t="s">
        <v>1072</v>
      </c>
      <c r="GLO77" s="277" t="s">
        <v>1072</v>
      </c>
      <c r="GLP77" s="277" t="s">
        <v>1072</v>
      </c>
      <c r="GLQ77" s="277" t="s">
        <v>1072</v>
      </c>
      <c r="GLR77" s="277" t="s">
        <v>1072</v>
      </c>
      <c r="GLS77" s="277" t="s">
        <v>1072</v>
      </c>
      <c r="GLT77" s="277" t="s">
        <v>1072</v>
      </c>
      <c r="GLU77" s="277" t="s">
        <v>1072</v>
      </c>
      <c r="GLV77" s="277" t="s">
        <v>1072</v>
      </c>
      <c r="GLW77" s="277" t="s">
        <v>1072</v>
      </c>
      <c r="GLX77" s="277" t="s">
        <v>1072</v>
      </c>
      <c r="GLY77" s="277" t="s">
        <v>1072</v>
      </c>
      <c r="GLZ77" s="277" t="s">
        <v>1072</v>
      </c>
      <c r="GMA77" s="277" t="s">
        <v>1072</v>
      </c>
      <c r="GMB77" s="277" t="s">
        <v>1072</v>
      </c>
      <c r="GMC77" s="277" t="s">
        <v>1072</v>
      </c>
      <c r="GMD77" s="277" t="s">
        <v>1072</v>
      </c>
      <c r="GME77" s="277" t="s">
        <v>1072</v>
      </c>
      <c r="GMF77" s="277" t="s">
        <v>1072</v>
      </c>
      <c r="GMG77" s="277" t="s">
        <v>1072</v>
      </c>
      <c r="GMH77" s="277" t="s">
        <v>1072</v>
      </c>
      <c r="GMI77" s="277" t="s">
        <v>1072</v>
      </c>
      <c r="GMJ77" s="277" t="s">
        <v>1072</v>
      </c>
      <c r="GMK77" s="277" t="s">
        <v>1072</v>
      </c>
      <c r="GML77" s="277" t="s">
        <v>1072</v>
      </c>
      <c r="GMM77" s="277" t="s">
        <v>1072</v>
      </c>
      <c r="GMN77" s="277" t="s">
        <v>1072</v>
      </c>
      <c r="GMO77" s="277" t="s">
        <v>1072</v>
      </c>
      <c r="GMP77" s="277" t="s">
        <v>1072</v>
      </c>
      <c r="GMQ77" s="277" t="s">
        <v>1072</v>
      </c>
      <c r="GMR77" s="277" t="s">
        <v>1072</v>
      </c>
      <c r="GMS77" s="277" t="s">
        <v>1072</v>
      </c>
      <c r="GMT77" s="277" t="s">
        <v>1072</v>
      </c>
      <c r="GMU77" s="277" t="s">
        <v>1072</v>
      </c>
      <c r="GMV77" s="277" t="s">
        <v>1072</v>
      </c>
      <c r="GMW77" s="277" t="s">
        <v>1072</v>
      </c>
      <c r="GMX77" s="277" t="s">
        <v>1072</v>
      </c>
      <c r="GMY77" s="277" t="s">
        <v>1072</v>
      </c>
      <c r="GMZ77" s="277" t="s">
        <v>1072</v>
      </c>
      <c r="GNA77" s="277" t="s">
        <v>1072</v>
      </c>
      <c r="GNB77" s="277" t="s">
        <v>1072</v>
      </c>
      <c r="GNC77" s="277" t="s">
        <v>1072</v>
      </c>
      <c r="GND77" s="277" t="s">
        <v>1072</v>
      </c>
      <c r="GNE77" s="277" t="s">
        <v>1072</v>
      </c>
      <c r="GNF77" s="277" t="s">
        <v>1072</v>
      </c>
      <c r="GNG77" s="277" t="s">
        <v>1072</v>
      </c>
      <c r="GNH77" s="277" t="s">
        <v>1072</v>
      </c>
      <c r="GNI77" s="277" t="s">
        <v>1072</v>
      </c>
      <c r="GNJ77" s="277" t="s">
        <v>1072</v>
      </c>
      <c r="GNK77" s="277" t="s">
        <v>1072</v>
      </c>
      <c r="GNL77" s="277" t="s">
        <v>1072</v>
      </c>
      <c r="GNM77" s="277" t="s">
        <v>1072</v>
      </c>
      <c r="GNN77" s="277" t="s">
        <v>1072</v>
      </c>
      <c r="GNO77" s="277" t="s">
        <v>1072</v>
      </c>
      <c r="GNP77" s="277" t="s">
        <v>1072</v>
      </c>
      <c r="GNQ77" s="277" t="s">
        <v>1072</v>
      </c>
      <c r="GNR77" s="277" t="s">
        <v>1072</v>
      </c>
      <c r="GNS77" s="277" t="s">
        <v>1072</v>
      </c>
      <c r="GNT77" s="277" t="s">
        <v>1072</v>
      </c>
      <c r="GNU77" s="277" t="s">
        <v>1072</v>
      </c>
      <c r="GNV77" s="277" t="s">
        <v>1072</v>
      </c>
      <c r="GNW77" s="277" t="s">
        <v>1072</v>
      </c>
      <c r="GNX77" s="277" t="s">
        <v>1072</v>
      </c>
      <c r="GNY77" s="277" t="s">
        <v>1072</v>
      </c>
      <c r="GNZ77" s="277" t="s">
        <v>1072</v>
      </c>
      <c r="GOA77" s="277" t="s">
        <v>1072</v>
      </c>
      <c r="GOB77" s="277" t="s">
        <v>1072</v>
      </c>
      <c r="GOC77" s="277" t="s">
        <v>1072</v>
      </c>
      <c r="GOD77" s="277" t="s">
        <v>1072</v>
      </c>
      <c r="GOE77" s="277" t="s">
        <v>1072</v>
      </c>
      <c r="GOF77" s="277" t="s">
        <v>1072</v>
      </c>
      <c r="GOG77" s="277" t="s">
        <v>1072</v>
      </c>
      <c r="GOH77" s="277" t="s">
        <v>1072</v>
      </c>
      <c r="GOI77" s="277" t="s">
        <v>1072</v>
      </c>
      <c r="GOJ77" s="277" t="s">
        <v>1072</v>
      </c>
      <c r="GOK77" s="277" t="s">
        <v>1072</v>
      </c>
      <c r="GOL77" s="277" t="s">
        <v>1072</v>
      </c>
      <c r="GOM77" s="277" t="s">
        <v>1072</v>
      </c>
      <c r="GON77" s="277" t="s">
        <v>1072</v>
      </c>
      <c r="GOO77" s="277" t="s">
        <v>1072</v>
      </c>
      <c r="GOP77" s="277" t="s">
        <v>1072</v>
      </c>
      <c r="GOQ77" s="277" t="s">
        <v>1072</v>
      </c>
      <c r="GOR77" s="277" t="s">
        <v>1072</v>
      </c>
      <c r="GOS77" s="277" t="s">
        <v>1072</v>
      </c>
      <c r="GOT77" s="277" t="s">
        <v>1072</v>
      </c>
      <c r="GOU77" s="277" t="s">
        <v>1072</v>
      </c>
      <c r="GOV77" s="277" t="s">
        <v>1072</v>
      </c>
      <c r="GOW77" s="277" t="s">
        <v>1072</v>
      </c>
      <c r="GOX77" s="277" t="s">
        <v>1072</v>
      </c>
      <c r="GOY77" s="277" t="s">
        <v>1072</v>
      </c>
      <c r="GOZ77" s="277" t="s">
        <v>1072</v>
      </c>
      <c r="GPA77" s="277" t="s">
        <v>1072</v>
      </c>
      <c r="GPB77" s="277" t="s">
        <v>1072</v>
      </c>
      <c r="GPC77" s="277" t="s">
        <v>1072</v>
      </c>
      <c r="GPD77" s="277" t="s">
        <v>1072</v>
      </c>
      <c r="GPE77" s="277" t="s">
        <v>1072</v>
      </c>
      <c r="GPF77" s="277" t="s">
        <v>1072</v>
      </c>
      <c r="GPG77" s="277" t="s">
        <v>1072</v>
      </c>
      <c r="GPH77" s="277" t="s">
        <v>1072</v>
      </c>
      <c r="GPI77" s="277" t="s">
        <v>1072</v>
      </c>
      <c r="GPJ77" s="277" t="s">
        <v>1072</v>
      </c>
      <c r="GPK77" s="277" t="s">
        <v>1072</v>
      </c>
      <c r="GPL77" s="277" t="s">
        <v>1072</v>
      </c>
      <c r="GPM77" s="277" t="s">
        <v>1072</v>
      </c>
      <c r="GPN77" s="277" t="s">
        <v>1072</v>
      </c>
      <c r="GPO77" s="277" t="s">
        <v>1072</v>
      </c>
      <c r="GPP77" s="277" t="s">
        <v>1072</v>
      </c>
      <c r="GPQ77" s="277" t="s">
        <v>1072</v>
      </c>
      <c r="GPR77" s="277" t="s">
        <v>1072</v>
      </c>
      <c r="GPS77" s="277" t="s">
        <v>1072</v>
      </c>
      <c r="GPT77" s="277" t="s">
        <v>1072</v>
      </c>
      <c r="GPU77" s="277" t="s">
        <v>1072</v>
      </c>
      <c r="GPV77" s="277" t="s">
        <v>1072</v>
      </c>
      <c r="GPW77" s="277" t="s">
        <v>1072</v>
      </c>
      <c r="GPX77" s="277" t="s">
        <v>1072</v>
      </c>
      <c r="GPY77" s="277" t="s">
        <v>1072</v>
      </c>
      <c r="GPZ77" s="277" t="s">
        <v>1072</v>
      </c>
      <c r="GQA77" s="277" t="s">
        <v>1072</v>
      </c>
      <c r="GQB77" s="277" t="s">
        <v>1072</v>
      </c>
      <c r="GQC77" s="277" t="s">
        <v>1072</v>
      </c>
      <c r="GQD77" s="277" t="s">
        <v>1072</v>
      </c>
      <c r="GQE77" s="277" t="s">
        <v>1072</v>
      </c>
      <c r="GQF77" s="277" t="s">
        <v>1072</v>
      </c>
      <c r="GQG77" s="277" t="s">
        <v>1072</v>
      </c>
      <c r="GQH77" s="277" t="s">
        <v>1072</v>
      </c>
      <c r="GQI77" s="277" t="s">
        <v>1072</v>
      </c>
      <c r="GQJ77" s="277" t="s">
        <v>1072</v>
      </c>
      <c r="GQK77" s="277" t="s">
        <v>1072</v>
      </c>
      <c r="GQL77" s="277" t="s">
        <v>1072</v>
      </c>
      <c r="GQM77" s="277" t="s">
        <v>1072</v>
      </c>
      <c r="GQN77" s="277" t="s">
        <v>1072</v>
      </c>
      <c r="GQO77" s="277" t="s">
        <v>1072</v>
      </c>
      <c r="GQP77" s="277" t="s">
        <v>1072</v>
      </c>
      <c r="GQQ77" s="277" t="s">
        <v>1072</v>
      </c>
      <c r="GQR77" s="277" t="s">
        <v>1072</v>
      </c>
      <c r="GQS77" s="277" t="s">
        <v>1072</v>
      </c>
      <c r="GQT77" s="277" t="s">
        <v>1072</v>
      </c>
      <c r="GQU77" s="277" t="s">
        <v>1072</v>
      </c>
      <c r="GQV77" s="277" t="s">
        <v>1072</v>
      </c>
      <c r="GQW77" s="277" t="s">
        <v>1072</v>
      </c>
      <c r="GQX77" s="277" t="s">
        <v>1072</v>
      </c>
      <c r="GQY77" s="277" t="s">
        <v>1072</v>
      </c>
      <c r="GQZ77" s="277" t="s">
        <v>1072</v>
      </c>
      <c r="GRA77" s="277" t="s">
        <v>1072</v>
      </c>
      <c r="GRB77" s="277" t="s">
        <v>1072</v>
      </c>
      <c r="GRC77" s="277" t="s">
        <v>1072</v>
      </c>
      <c r="GRD77" s="277" t="s">
        <v>1072</v>
      </c>
      <c r="GRE77" s="277" t="s">
        <v>1072</v>
      </c>
      <c r="GRF77" s="277" t="s">
        <v>1072</v>
      </c>
      <c r="GRG77" s="277" t="s">
        <v>1072</v>
      </c>
      <c r="GRH77" s="277" t="s">
        <v>1072</v>
      </c>
      <c r="GRI77" s="277" t="s">
        <v>1072</v>
      </c>
      <c r="GRJ77" s="277" t="s">
        <v>1072</v>
      </c>
      <c r="GRK77" s="277" t="s">
        <v>1072</v>
      </c>
      <c r="GRL77" s="277" t="s">
        <v>1072</v>
      </c>
      <c r="GRM77" s="277" t="s">
        <v>1072</v>
      </c>
      <c r="GRN77" s="277" t="s">
        <v>1072</v>
      </c>
      <c r="GRO77" s="277" t="s">
        <v>1072</v>
      </c>
      <c r="GRP77" s="277" t="s">
        <v>1072</v>
      </c>
      <c r="GRQ77" s="277" t="s">
        <v>1072</v>
      </c>
      <c r="GRR77" s="277" t="s">
        <v>1072</v>
      </c>
      <c r="GRS77" s="277" t="s">
        <v>1072</v>
      </c>
      <c r="GRT77" s="277" t="s">
        <v>1072</v>
      </c>
      <c r="GRU77" s="277" t="s">
        <v>1072</v>
      </c>
      <c r="GRV77" s="277" t="s">
        <v>1072</v>
      </c>
      <c r="GRW77" s="277" t="s">
        <v>1072</v>
      </c>
      <c r="GRX77" s="277" t="s">
        <v>1072</v>
      </c>
      <c r="GRY77" s="277" t="s">
        <v>1072</v>
      </c>
      <c r="GRZ77" s="277" t="s">
        <v>1072</v>
      </c>
      <c r="GSA77" s="277" t="s">
        <v>1072</v>
      </c>
      <c r="GSB77" s="277" t="s">
        <v>1072</v>
      </c>
      <c r="GSC77" s="277" t="s">
        <v>1072</v>
      </c>
      <c r="GSD77" s="277" t="s">
        <v>1072</v>
      </c>
      <c r="GSE77" s="277" t="s">
        <v>1072</v>
      </c>
      <c r="GSF77" s="277" t="s">
        <v>1072</v>
      </c>
      <c r="GSG77" s="277" t="s">
        <v>1072</v>
      </c>
      <c r="GSH77" s="277" t="s">
        <v>1072</v>
      </c>
      <c r="GSI77" s="277" t="s">
        <v>1072</v>
      </c>
      <c r="GSJ77" s="277" t="s">
        <v>1072</v>
      </c>
      <c r="GSK77" s="277" t="s">
        <v>1072</v>
      </c>
      <c r="GSL77" s="277" t="s">
        <v>1072</v>
      </c>
      <c r="GSM77" s="277" t="s">
        <v>1072</v>
      </c>
      <c r="GSN77" s="277" t="s">
        <v>1072</v>
      </c>
      <c r="GSO77" s="277" t="s">
        <v>1072</v>
      </c>
      <c r="GSP77" s="277" t="s">
        <v>1072</v>
      </c>
      <c r="GSQ77" s="277" t="s">
        <v>1072</v>
      </c>
      <c r="GSR77" s="277" t="s">
        <v>1072</v>
      </c>
      <c r="GSS77" s="277" t="s">
        <v>1072</v>
      </c>
      <c r="GST77" s="277" t="s">
        <v>1072</v>
      </c>
      <c r="GSU77" s="277" t="s">
        <v>1072</v>
      </c>
      <c r="GSV77" s="277" t="s">
        <v>1072</v>
      </c>
      <c r="GSW77" s="277" t="s">
        <v>1072</v>
      </c>
      <c r="GSX77" s="277" t="s">
        <v>1072</v>
      </c>
      <c r="GSY77" s="277" t="s">
        <v>1072</v>
      </c>
      <c r="GSZ77" s="277" t="s">
        <v>1072</v>
      </c>
      <c r="GTA77" s="277" t="s">
        <v>1072</v>
      </c>
      <c r="GTB77" s="277" t="s">
        <v>1072</v>
      </c>
      <c r="GTC77" s="277" t="s">
        <v>1072</v>
      </c>
      <c r="GTD77" s="277" t="s">
        <v>1072</v>
      </c>
      <c r="GTE77" s="277" t="s">
        <v>1072</v>
      </c>
      <c r="GTF77" s="277" t="s">
        <v>1072</v>
      </c>
      <c r="GTG77" s="277" t="s">
        <v>1072</v>
      </c>
      <c r="GTH77" s="277" t="s">
        <v>1072</v>
      </c>
      <c r="GTI77" s="277" t="s">
        <v>1072</v>
      </c>
      <c r="GTJ77" s="277" t="s">
        <v>1072</v>
      </c>
      <c r="GTK77" s="277" t="s">
        <v>1072</v>
      </c>
      <c r="GTL77" s="277" t="s">
        <v>1072</v>
      </c>
      <c r="GTM77" s="277" t="s">
        <v>1072</v>
      </c>
      <c r="GTN77" s="277" t="s">
        <v>1072</v>
      </c>
      <c r="GTO77" s="277" t="s">
        <v>1072</v>
      </c>
      <c r="GTP77" s="277" t="s">
        <v>1072</v>
      </c>
      <c r="GTQ77" s="277" t="s">
        <v>1072</v>
      </c>
      <c r="GTR77" s="277" t="s">
        <v>1072</v>
      </c>
      <c r="GTS77" s="277" t="s">
        <v>1072</v>
      </c>
      <c r="GTT77" s="277" t="s">
        <v>1072</v>
      </c>
      <c r="GTU77" s="277" t="s">
        <v>1072</v>
      </c>
      <c r="GTV77" s="277" t="s">
        <v>1072</v>
      </c>
      <c r="GTW77" s="277" t="s">
        <v>1072</v>
      </c>
      <c r="GTX77" s="277" t="s">
        <v>1072</v>
      </c>
      <c r="GTY77" s="277" t="s">
        <v>1072</v>
      </c>
      <c r="GTZ77" s="277" t="s">
        <v>1072</v>
      </c>
      <c r="GUA77" s="277" t="s">
        <v>1072</v>
      </c>
      <c r="GUB77" s="277" t="s">
        <v>1072</v>
      </c>
      <c r="GUC77" s="277" t="s">
        <v>1072</v>
      </c>
      <c r="GUD77" s="277" t="s">
        <v>1072</v>
      </c>
      <c r="GUE77" s="277" t="s">
        <v>1072</v>
      </c>
      <c r="GUF77" s="277" t="s">
        <v>1072</v>
      </c>
      <c r="GUG77" s="277" t="s">
        <v>1072</v>
      </c>
      <c r="GUH77" s="277" t="s">
        <v>1072</v>
      </c>
      <c r="GUI77" s="277" t="s">
        <v>1072</v>
      </c>
      <c r="GUJ77" s="277" t="s">
        <v>1072</v>
      </c>
      <c r="GUK77" s="277" t="s">
        <v>1072</v>
      </c>
      <c r="GUL77" s="277" t="s">
        <v>1072</v>
      </c>
      <c r="GUM77" s="277" t="s">
        <v>1072</v>
      </c>
      <c r="GUN77" s="277" t="s">
        <v>1072</v>
      </c>
      <c r="GUO77" s="277" t="s">
        <v>1072</v>
      </c>
      <c r="GUP77" s="277" t="s">
        <v>1072</v>
      </c>
      <c r="GUQ77" s="277" t="s">
        <v>1072</v>
      </c>
      <c r="GUR77" s="277" t="s">
        <v>1072</v>
      </c>
      <c r="GUS77" s="277" t="s">
        <v>1072</v>
      </c>
      <c r="GUT77" s="277" t="s">
        <v>1072</v>
      </c>
      <c r="GUU77" s="277" t="s">
        <v>1072</v>
      </c>
      <c r="GUV77" s="277" t="s">
        <v>1072</v>
      </c>
      <c r="GUW77" s="277" t="s">
        <v>1072</v>
      </c>
      <c r="GUX77" s="277" t="s">
        <v>1072</v>
      </c>
      <c r="GUY77" s="277" t="s">
        <v>1072</v>
      </c>
      <c r="GUZ77" s="277" t="s">
        <v>1072</v>
      </c>
      <c r="GVA77" s="277" t="s">
        <v>1072</v>
      </c>
      <c r="GVB77" s="277" t="s">
        <v>1072</v>
      </c>
      <c r="GVC77" s="277" t="s">
        <v>1072</v>
      </c>
      <c r="GVD77" s="277" t="s">
        <v>1072</v>
      </c>
      <c r="GVE77" s="277" t="s">
        <v>1072</v>
      </c>
      <c r="GVF77" s="277" t="s">
        <v>1072</v>
      </c>
      <c r="GVG77" s="277" t="s">
        <v>1072</v>
      </c>
      <c r="GVH77" s="277" t="s">
        <v>1072</v>
      </c>
      <c r="GVI77" s="277" t="s">
        <v>1072</v>
      </c>
      <c r="GVJ77" s="277" t="s">
        <v>1072</v>
      </c>
      <c r="GVK77" s="277" t="s">
        <v>1072</v>
      </c>
      <c r="GVL77" s="277" t="s">
        <v>1072</v>
      </c>
      <c r="GVM77" s="277" t="s">
        <v>1072</v>
      </c>
      <c r="GVN77" s="277" t="s">
        <v>1072</v>
      </c>
      <c r="GVO77" s="277" t="s">
        <v>1072</v>
      </c>
      <c r="GVP77" s="277" t="s">
        <v>1072</v>
      </c>
      <c r="GVQ77" s="277" t="s">
        <v>1072</v>
      </c>
      <c r="GVR77" s="277" t="s">
        <v>1072</v>
      </c>
      <c r="GVS77" s="277" t="s">
        <v>1072</v>
      </c>
      <c r="GVT77" s="277" t="s">
        <v>1072</v>
      </c>
      <c r="GVU77" s="277" t="s">
        <v>1072</v>
      </c>
      <c r="GVV77" s="277" t="s">
        <v>1072</v>
      </c>
      <c r="GVW77" s="277" t="s">
        <v>1072</v>
      </c>
      <c r="GVX77" s="277" t="s">
        <v>1072</v>
      </c>
      <c r="GVY77" s="277" t="s">
        <v>1072</v>
      </c>
      <c r="GVZ77" s="277" t="s">
        <v>1072</v>
      </c>
      <c r="GWA77" s="277" t="s">
        <v>1072</v>
      </c>
      <c r="GWB77" s="277" t="s">
        <v>1072</v>
      </c>
      <c r="GWC77" s="277" t="s">
        <v>1072</v>
      </c>
      <c r="GWD77" s="277" t="s">
        <v>1072</v>
      </c>
      <c r="GWE77" s="277" t="s">
        <v>1072</v>
      </c>
      <c r="GWF77" s="277" t="s">
        <v>1072</v>
      </c>
      <c r="GWG77" s="277" t="s">
        <v>1072</v>
      </c>
      <c r="GWH77" s="277" t="s">
        <v>1072</v>
      </c>
      <c r="GWI77" s="277" t="s">
        <v>1072</v>
      </c>
      <c r="GWJ77" s="277" t="s">
        <v>1072</v>
      </c>
      <c r="GWK77" s="277" t="s">
        <v>1072</v>
      </c>
      <c r="GWL77" s="277" t="s">
        <v>1072</v>
      </c>
      <c r="GWM77" s="277" t="s">
        <v>1072</v>
      </c>
      <c r="GWN77" s="277" t="s">
        <v>1072</v>
      </c>
      <c r="GWO77" s="277" t="s">
        <v>1072</v>
      </c>
      <c r="GWP77" s="277" t="s">
        <v>1072</v>
      </c>
      <c r="GWQ77" s="277" t="s">
        <v>1072</v>
      </c>
      <c r="GWR77" s="277" t="s">
        <v>1072</v>
      </c>
      <c r="GWS77" s="277" t="s">
        <v>1072</v>
      </c>
      <c r="GWT77" s="277" t="s">
        <v>1072</v>
      </c>
      <c r="GWU77" s="277" t="s">
        <v>1072</v>
      </c>
      <c r="GWV77" s="277" t="s">
        <v>1072</v>
      </c>
      <c r="GWW77" s="277" t="s">
        <v>1072</v>
      </c>
      <c r="GWX77" s="277" t="s">
        <v>1072</v>
      </c>
      <c r="GWY77" s="277" t="s">
        <v>1072</v>
      </c>
      <c r="GWZ77" s="277" t="s">
        <v>1072</v>
      </c>
      <c r="GXA77" s="277" t="s">
        <v>1072</v>
      </c>
      <c r="GXB77" s="277" t="s">
        <v>1072</v>
      </c>
      <c r="GXC77" s="277" t="s">
        <v>1072</v>
      </c>
      <c r="GXD77" s="277" t="s">
        <v>1072</v>
      </c>
      <c r="GXE77" s="277" t="s">
        <v>1072</v>
      </c>
      <c r="GXF77" s="277" t="s">
        <v>1072</v>
      </c>
      <c r="GXG77" s="277" t="s">
        <v>1072</v>
      </c>
      <c r="GXH77" s="277" t="s">
        <v>1072</v>
      </c>
      <c r="GXI77" s="277" t="s">
        <v>1072</v>
      </c>
      <c r="GXJ77" s="277" t="s">
        <v>1072</v>
      </c>
      <c r="GXK77" s="277" t="s">
        <v>1072</v>
      </c>
      <c r="GXL77" s="277" t="s">
        <v>1072</v>
      </c>
      <c r="GXM77" s="277" t="s">
        <v>1072</v>
      </c>
      <c r="GXN77" s="277" t="s">
        <v>1072</v>
      </c>
      <c r="GXO77" s="277" t="s">
        <v>1072</v>
      </c>
      <c r="GXP77" s="277" t="s">
        <v>1072</v>
      </c>
      <c r="GXQ77" s="277" t="s">
        <v>1072</v>
      </c>
      <c r="GXR77" s="277" t="s">
        <v>1072</v>
      </c>
      <c r="GXS77" s="277" t="s">
        <v>1072</v>
      </c>
      <c r="GXT77" s="277" t="s">
        <v>1072</v>
      </c>
      <c r="GXU77" s="277" t="s">
        <v>1072</v>
      </c>
      <c r="GXV77" s="277" t="s">
        <v>1072</v>
      </c>
      <c r="GXW77" s="277" t="s">
        <v>1072</v>
      </c>
      <c r="GXX77" s="277" t="s">
        <v>1072</v>
      </c>
      <c r="GXY77" s="277" t="s">
        <v>1072</v>
      </c>
      <c r="GXZ77" s="277" t="s">
        <v>1072</v>
      </c>
      <c r="GYA77" s="277" t="s">
        <v>1072</v>
      </c>
      <c r="GYB77" s="277" t="s">
        <v>1072</v>
      </c>
      <c r="GYC77" s="277" t="s">
        <v>1072</v>
      </c>
      <c r="GYD77" s="277" t="s">
        <v>1072</v>
      </c>
      <c r="GYE77" s="277" t="s">
        <v>1072</v>
      </c>
      <c r="GYF77" s="277" t="s">
        <v>1072</v>
      </c>
      <c r="GYG77" s="277" t="s">
        <v>1072</v>
      </c>
      <c r="GYH77" s="277" t="s">
        <v>1072</v>
      </c>
      <c r="GYI77" s="277" t="s">
        <v>1072</v>
      </c>
      <c r="GYJ77" s="277" t="s">
        <v>1072</v>
      </c>
      <c r="GYK77" s="277" t="s">
        <v>1072</v>
      </c>
      <c r="GYL77" s="277" t="s">
        <v>1072</v>
      </c>
      <c r="GYM77" s="277" t="s">
        <v>1072</v>
      </c>
      <c r="GYN77" s="277" t="s">
        <v>1072</v>
      </c>
      <c r="GYO77" s="277" t="s">
        <v>1072</v>
      </c>
      <c r="GYP77" s="277" t="s">
        <v>1072</v>
      </c>
      <c r="GYQ77" s="277" t="s">
        <v>1072</v>
      </c>
      <c r="GYR77" s="277" t="s">
        <v>1072</v>
      </c>
      <c r="GYS77" s="277" t="s">
        <v>1072</v>
      </c>
      <c r="GYT77" s="277" t="s">
        <v>1072</v>
      </c>
      <c r="GYU77" s="277" t="s">
        <v>1072</v>
      </c>
      <c r="GYV77" s="277" t="s">
        <v>1072</v>
      </c>
      <c r="GYW77" s="277" t="s">
        <v>1072</v>
      </c>
      <c r="GYX77" s="277" t="s">
        <v>1072</v>
      </c>
      <c r="GYY77" s="277" t="s">
        <v>1072</v>
      </c>
      <c r="GYZ77" s="277" t="s">
        <v>1072</v>
      </c>
      <c r="GZA77" s="277" t="s">
        <v>1072</v>
      </c>
      <c r="GZB77" s="277" t="s">
        <v>1072</v>
      </c>
      <c r="GZC77" s="277" t="s">
        <v>1072</v>
      </c>
      <c r="GZD77" s="277" t="s">
        <v>1072</v>
      </c>
      <c r="GZE77" s="277" t="s">
        <v>1072</v>
      </c>
      <c r="GZF77" s="277" t="s">
        <v>1072</v>
      </c>
      <c r="GZG77" s="277" t="s">
        <v>1072</v>
      </c>
      <c r="GZH77" s="277" t="s">
        <v>1072</v>
      </c>
      <c r="GZI77" s="277" t="s">
        <v>1072</v>
      </c>
      <c r="GZJ77" s="277" t="s">
        <v>1072</v>
      </c>
      <c r="GZK77" s="277" t="s">
        <v>1072</v>
      </c>
      <c r="GZL77" s="277" t="s">
        <v>1072</v>
      </c>
      <c r="GZM77" s="277" t="s">
        <v>1072</v>
      </c>
      <c r="GZN77" s="277" t="s">
        <v>1072</v>
      </c>
      <c r="GZO77" s="277" t="s">
        <v>1072</v>
      </c>
      <c r="GZP77" s="277" t="s">
        <v>1072</v>
      </c>
      <c r="GZQ77" s="277" t="s">
        <v>1072</v>
      </c>
      <c r="GZR77" s="277" t="s">
        <v>1072</v>
      </c>
      <c r="GZS77" s="277" t="s">
        <v>1072</v>
      </c>
      <c r="GZT77" s="277" t="s">
        <v>1072</v>
      </c>
      <c r="GZU77" s="277" t="s">
        <v>1072</v>
      </c>
      <c r="GZV77" s="277" t="s">
        <v>1072</v>
      </c>
      <c r="GZW77" s="277" t="s">
        <v>1072</v>
      </c>
      <c r="GZX77" s="277" t="s">
        <v>1072</v>
      </c>
      <c r="GZY77" s="277" t="s">
        <v>1072</v>
      </c>
      <c r="GZZ77" s="277" t="s">
        <v>1072</v>
      </c>
      <c r="HAA77" s="277" t="s">
        <v>1072</v>
      </c>
      <c r="HAB77" s="277" t="s">
        <v>1072</v>
      </c>
      <c r="HAC77" s="277" t="s">
        <v>1072</v>
      </c>
      <c r="HAD77" s="277" t="s">
        <v>1072</v>
      </c>
      <c r="HAE77" s="277" t="s">
        <v>1072</v>
      </c>
      <c r="HAF77" s="277" t="s">
        <v>1072</v>
      </c>
      <c r="HAG77" s="277" t="s">
        <v>1072</v>
      </c>
      <c r="HAH77" s="277" t="s">
        <v>1072</v>
      </c>
      <c r="HAI77" s="277" t="s">
        <v>1072</v>
      </c>
      <c r="HAJ77" s="277" t="s">
        <v>1072</v>
      </c>
      <c r="HAK77" s="277" t="s">
        <v>1072</v>
      </c>
      <c r="HAL77" s="277" t="s">
        <v>1072</v>
      </c>
      <c r="HAM77" s="277" t="s">
        <v>1072</v>
      </c>
      <c r="HAN77" s="277" t="s">
        <v>1072</v>
      </c>
      <c r="HAO77" s="277" t="s">
        <v>1072</v>
      </c>
      <c r="HAP77" s="277" t="s">
        <v>1072</v>
      </c>
      <c r="HAQ77" s="277" t="s">
        <v>1072</v>
      </c>
      <c r="HAR77" s="277" t="s">
        <v>1072</v>
      </c>
      <c r="HAS77" s="277" t="s">
        <v>1072</v>
      </c>
      <c r="HAT77" s="277" t="s">
        <v>1072</v>
      </c>
      <c r="HAU77" s="277" t="s">
        <v>1072</v>
      </c>
      <c r="HAV77" s="277" t="s">
        <v>1072</v>
      </c>
      <c r="HAW77" s="277" t="s">
        <v>1072</v>
      </c>
      <c r="HAX77" s="277" t="s">
        <v>1072</v>
      </c>
      <c r="HAY77" s="277" t="s">
        <v>1072</v>
      </c>
      <c r="HAZ77" s="277" t="s">
        <v>1072</v>
      </c>
      <c r="HBA77" s="277" t="s">
        <v>1072</v>
      </c>
      <c r="HBB77" s="277" t="s">
        <v>1072</v>
      </c>
      <c r="HBC77" s="277" t="s">
        <v>1072</v>
      </c>
      <c r="HBD77" s="277" t="s">
        <v>1072</v>
      </c>
      <c r="HBE77" s="277" t="s">
        <v>1072</v>
      </c>
      <c r="HBF77" s="277" t="s">
        <v>1072</v>
      </c>
      <c r="HBG77" s="277" t="s">
        <v>1072</v>
      </c>
      <c r="HBH77" s="277" t="s">
        <v>1072</v>
      </c>
      <c r="HBI77" s="277" t="s">
        <v>1072</v>
      </c>
      <c r="HBJ77" s="277" t="s">
        <v>1072</v>
      </c>
      <c r="HBK77" s="277" t="s">
        <v>1072</v>
      </c>
      <c r="HBL77" s="277" t="s">
        <v>1072</v>
      </c>
      <c r="HBM77" s="277" t="s">
        <v>1072</v>
      </c>
      <c r="HBN77" s="277" t="s">
        <v>1072</v>
      </c>
      <c r="HBO77" s="277" t="s">
        <v>1072</v>
      </c>
      <c r="HBP77" s="277" t="s">
        <v>1072</v>
      </c>
      <c r="HBQ77" s="277" t="s">
        <v>1072</v>
      </c>
      <c r="HBR77" s="277" t="s">
        <v>1072</v>
      </c>
      <c r="HBS77" s="277" t="s">
        <v>1072</v>
      </c>
      <c r="HBT77" s="277" t="s">
        <v>1072</v>
      </c>
      <c r="HBU77" s="277" t="s">
        <v>1072</v>
      </c>
      <c r="HBV77" s="277" t="s">
        <v>1072</v>
      </c>
      <c r="HBW77" s="277" t="s">
        <v>1072</v>
      </c>
      <c r="HBX77" s="277" t="s">
        <v>1072</v>
      </c>
      <c r="HBY77" s="277" t="s">
        <v>1072</v>
      </c>
      <c r="HBZ77" s="277" t="s">
        <v>1072</v>
      </c>
      <c r="HCA77" s="277" t="s">
        <v>1072</v>
      </c>
      <c r="HCB77" s="277" t="s">
        <v>1072</v>
      </c>
      <c r="HCC77" s="277" t="s">
        <v>1072</v>
      </c>
      <c r="HCD77" s="277" t="s">
        <v>1072</v>
      </c>
      <c r="HCE77" s="277" t="s">
        <v>1072</v>
      </c>
      <c r="HCF77" s="277" t="s">
        <v>1072</v>
      </c>
      <c r="HCG77" s="277" t="s">
        <v>1072</v>
      </c>
      <c r="HCH77" s="277" t="s">
        <v>1072</v>
      </c>
      <c r="HCI77" s="277" t="s">
        <v>1072</v>
      </c>
      <c r="HCJ77" s="277" t="s">
        <v>1072</v>
      </c>
      <c r="HCK77" s="277" t="s">
        <v>1072</v>
      </c>
      <c r="HCL77" s="277" t="s">
        <v>1072</v>
      </c>
      <c r="HCM77" s="277" t="s">
        <v>1072</v>
      </c>
      <c r="HCN77" s="277" t="s">
        <v>1072</v>
      </c>
      <c r="HCO77" s="277" t="s">
        <v>1072</v>
      </c>
      <c r="HCP77" s="277" t="s">
        <v>1072</v>
      </c>
      <c r="HCQ77" s="277" t="s">
        <v>1072</v>
      </c>
      <c r="HCR77" s="277" t="s">
        <v>1072</v>
      </c>
      <c r="HCS77" s="277" t="s">
        <v>1072</v>
      </c>
      <c r="HCT77" s="277" t="s">
        <v>1072</v>
      </c>
      <c r="HCU77" s="277" t="s">
        <v>1072</v>
      </c>
      <c r="HCV77" s="277" t="s">
        <v>1072</v>
      </c>
      <c r="HCW77" s="277" t="s">
        <v>1072</v>
      </c>
      <c r="HCX77" s="277" t="s">
        <v>1072</v>
      </c>
      <c r="HCY77" s="277" t="s">
        <v>1072</v>
      </c>
      <c r="HCZ77" s="277" t="s">
        <v>1072</v>
      </c>
      <c r="HDA77" s="277" t="s">
        <v>1072</v>
      </c>
      <c r="HDB77" s="277" t="s">
        <v>1072</v>
      </c>
      <c r="HDC77" s="277" t="s">
        <v>1072</v>
      </c>
      <c r="HDD77" s="277" t="s">
        <v>1072</v>
      </c>
      <c r="HDE77" s="277" t="s">
        <v>1072</v>
      </c>
      <c r="HDF77" s="277" t="s">
        <v>1072</v>
      </c>
      <c r="HDG77" s="277" t="s">
        <v>1072</v>
      </c>
      <c r="HDH77" s="277" t="s">
        <v>1072</v>
      </c>
      <c r="HDI77" s="277" t="s">
        <v>1072</v>
      </c>
      <c r="HDJ77" s="277" t="s">
        <v>1072</v>
      </c>
      <c r="HDK77" s="277" t="s">
        <v>1072</v>
      </c>
      <c r="HDL77" s="277" t="s">
        <v>1072</v>
      </c>
      <c r="HDM77" s="277" t="s">
        <v>1072</v>
      </c>
      <c r="HDN77" s="277" t="s">
        <v>1072</v>
      </c>
      <c r="HDO77" s="277" t="s">
        <v>1072</v>
      </c>
      <c r="HDP77" s="277" t="s">
        <v>1072</v>
      </c>
      <c r="HDQ77" s="277" t="s">
        <v>1072</v>
      </c>
      <c r="HDR77" s="277" t="s">
        <v>1072</v>
      </c>
      <c r="HDS77" s="277" t="s">
        <v>1072</v>
      </c>
      <c r="HDT77" s="277" t="s">
        <v>1072</v>
      </c>
      <c r="HDU77" s="277" t="s">
        <v>1072</v>
      </c>
      <c r="HDV77" s="277" t="s">
        <v>1072</v>
      </c>
      <c r="HDW77" s="277" t="s">
        <v>1072</v>
      </c>
      <c r="HDX77" s="277" t="s">
        <v>1072</v>
      </c>
      <c r="HDY77" s="277" t="s">
        <v>1072</v>
      </c>
      <c r="HDZ77" s="277" t="s">
        <v>1072</v>
      </c>
      <c r="HEA77" s="277" t="s">
        <v>1072</v>
      </c>
      <c r="HEB77" s="277" t="s">
        <v>1072</v>
      </c>
      <c r="HEC77" s="277" t="s">
        <v>1072</v>
      </c>
      <c r="HED77" s="277" t="s">
        <v>1072</v>
      </c>
      <c r="HEE77" s="277" t="s">
        <v>1072</v>
      </c>
      <c r="HEF77" s="277" t="s">
        <v>1072</v>
      </c>
      <c r="HEG77" s="277" t="s">
        <v>1072</v>
      </c>
      <c r="HEH77" s="277" t="s">
        <v>1072</v>
      </c>
      <c r="HEI77" s="277" t="s">
        <v>1072</v>
      </c>
      <c r="HEJ77" s="277" t="s">
        <v>1072</v>
      </c>
      <c r="HEK77" s="277" t="s">
        <v>1072</v>
      </c>
      <c r="HEL77" s="277" t="s">
        <v>1072</v>
      </c>
      <c r="HEM77" s="277" t="s">
        <v>1072</v>
      </c>
      <c r="HEN77" s="277" t="s">
        <v>1072</v>
      </c>
      <c r="HEO77" s="277" t="s">
        <v>1072</v>
      </c>
      <c r="HEP77" s="277" t="s">
        <v>1072</v>
      </c>
      <c r="HEQ77" s="277" t="s">
        <v>1072</v>
      </c>
      <c r="HER77" s="277" t="s">
        <v>1072</v>
      </c>
      <c r="HES77" s="277" t="s">
        <v>1072</v>
      </c>
      <c r="HET77" s="277" t="s">
        <v>1072</v>
      </c>
      <c r="HEU77" s="277" t="s">
        <v>1072</v>
      </c>
      <c r="HEV77" s="277" t="s">
        <v>1072</v>
      </c>
      <c r="HEW77" s="277" t="s">
        <v>1072</v>
      </c>
      <c r="HEX77" s="277" t="s">
        <v>1072</v>
      </c>
      <c r="HEY77" s="277" t="s">
        <v>1072</v>
      </c>
      <c r="HEZ77" s="277" t="s">
        <v>1072</v>
      </c>
      <c r="HFA77" s="277" t="s">
        <v>1072</v>
      </c>
      <c r="HFB77" s="277" t="s">
        <v>1072</v>
      </c>
      <c r="HFC77" s="277" t="s">
        <v>1072</v>
      </c>
      <c r="HFD77" s="277" t="s">
        <v>1072</v>
      </c>
      <c r="HFE77" s="277" t="s">
        <v>1072</v>
      </c>
      <c r="HFF77" s="277" t="s">
        <v>1072</v>
      </c>
      <c r="HFG77" s="277" t="s">
        <v>1072</v>
      </c>
      <c r="HFH77" s="277" t="s">
        <v>1072</v>
      </c>
      <c r="HFI77" s="277" t="s">
        <v>1072</v>
      </c>
      <c r="HFJ77" s="277" t="s">
        <v>1072</v>
      </c>
      <c r="HFK77" s="277" t="s">
        <v>1072</v>
      </c>
      <c r="HFL77" s="277" t="s">
        <v>1072</v>
      </c>
      <c r="HFM77" s="277" t="s">
        <v>1072</v>
      </c>
      <c r="HFN77" s="277" t="s">
        <v>1072</v>
      </c>
      <c r="HFO77" s="277" t="s">
        <v>1072</v>
      </c>
      <c r="HFP77" s="277" t="s">
        <v>1072</v>
      </c>
      <c r="HFQ77" s="277" t="s">
        <v>1072</v>
      </c>
      <c r="HFR77" s="277" t="s">
        <v>1072</v>
      </c>
      <c r="HFS77" s="277" t="s">
        <v>1072</v>
      </c>
      <c r="HFT77" s="277" t="s">
        <v>1072</v>
      </c>
      <c r="HFU77" s="277" t="s">
        <v>1072</v>
      </c>
      <c r="HFV77" s="277" t="s">
        <v>1072</v>
      </c>
      <c r="HFW77" s="277" t="s">
        <v>1072</v>
      </c>
      <c r="HFX77" s="277" t="s">
        <v>1072</v>
      </c>
      <c r="HFY77" s="277" t="s">
        <v>1072</v>
      </c>
      <c r="HFZ77" s="277" t="s">
        <v>1072</v>
      </c>
      <c r="HGA77" s="277" t="s">
        <v>1072</v>
      </c>
      <c r="HGB77" s="277" t="s">
        <v>1072</v>
      </c>
      <c r="HGC77" s="277" t="s">
        <v>1072</v>
      </c>
      <c r="HGD77" s="277" t="s">
        <v>1072</v>
      </c>
      <c r="HGE77" s="277" t="s">
        <v>1072</v>
      </c>
      <c r="HGF77" s="277" t="s">
        <v>1072</v>
      </c>
      <c r="HGG77" s="277" t="s">
        <v>1072</v>
      </c>
      <c r="HGH77" s="277" t="s">
        <v>1072</v>
      </c>
      <c r="HGI77" s="277" t="s">
        <v>1072</v>
      </c>
      <c r="HGJ77" s="277" t="s">
        <v>1072</v>
      </c>
      <c r="HGK77" s="277" t="s">
        <v>1072</v>
      </c>
      <c r="HGL77" s="277" t="s">
        <v>1072</v>
      </c>
      <c r="HGM77" s="277" t="s">
        <v>1072</v>
      </c>
      <c r="HGN77" s="277" t="s">
        <v>1072</v>
      </c>
      <c r="HGO77" s="277" t="s">
        <v>1072</v>
      </c>
      <c r="HGP77" s="277" t="s">
        <v>1072</v>
      </c>
      <c r="HGQ77" s="277" t="s">
        <v>1072</v>
      </c>
      <c r="HGR77" s="277" t="s">
        <v>1072</v>
      </c>
      <c r="HGS77" s="277" t="s">
        <v>1072</v>
      </c>
      <c r="HGT77" s="277" t="s">
        <v>1072</v>
      </c>
      <c r="HGU77" s="277" t="s">
        <v>1072</v>
      </c>
      <c r="HGV77" s="277" t="s">
        <v>1072</v>
      </c>
      <c r="HGW77" s="277" t="s">
        <v>1072</v>
      </c>
      <c r="HGX77" s="277" t="s">
        <v>1072</v>
      </c>
      <c r="HGY77" s="277" t="s">
        <v>1072</v>
      </c>
      <c r="HGZ77" s="277" t="s">
        <v>1072</v>
      </c>
      <c r="HHA77" s="277" t="s">
        <v>1072</v>
      </c>
      <c r="HHB77" s="277" t="s">
        <v>1072</v>
      </c>
      <c r="HHC77" s="277" t="s">
        <v>1072</v>
      </c>
      <c r="HHD77" s="277" t="s">
        <v>1072</v>
      </c>
      <c r="HHE77" s="277" t="s">
        <v>1072</v>
      </c>
      <c r="HHF77" s="277" t="s">
        <v>1072</v>
      </c>
      <c r="HHG77" s="277" t="s">
        <v>1072</v>
      </c>
      <c r="HHH77" s="277" t="s">
        <v>1072</v>
      </c>
      <c r="HHI77" s="277" t="s">
        <v>1072</v>
      </c>
      <c r="HHJ77" s="277" t="s">
        <v>1072</v>
      </c>
      <c r="HHK77" s="277" t="s">
        <v>1072</v>
      </c>
      <c r="HHL77" s="277" t="s">
        <v>1072</v>
      </c>
      <c r="HHM77" s="277" t="s">
        <v>1072</v>
      </c>
      <c r="HHN77" s="277" t="s">
        <v>1072</v>
      </c>
      <c r="HHO77" s="277" t="s">
        <v>1072</v>
      </c>
      <c r="HHP77" s="277" t="s">
        <v>1072</v>
      </c>
      <c r="HHQ77" s="277" t="s">
        <v>1072</v>
      </c>
      <c r="HHR77" s="277" t="s">
        <v>1072</v>
      </c>
      <c r="HHS77" s="277" t="s">
        <v>1072</v>
      </c>
      <c r="HHT77" s="277" t="s">
        <v>1072</v>
      </c>
      <c r="HHU77" s="277" t="s">
        <v>1072</v>
      </c>
      <c r="HHV77" s="277" t="s">
        <v>1072</v>
      </c>
      <c r="HHW77" s="277" t="s">
        <v>1072</v>
      </c>
      <c r="HHX77" s="277" t="s">
        <v>1072</v>
      </c>
      <c r="HHY77" s="277" t="s">
        <v>1072</v>
      </c>
      <c r="HHZ77" s="277" t="s">
        <v>1072</v>
      </c>
      <c r="HIA77" s="277" t="s">
        <v>1072</v>
      </c>
      <c r="HIB77" s="277" t="s">
        <v>1072</v>
      </c>
      <c r="HIC77" s="277" t="s">
        <v>1072</v>
      </c>
      <c r="HID77" s="277" t="s">
        <v>1072</v>
      </c>
      <c r="HIE77" s="277" t="s">
        <v>1072</v>
      </c>
      <c r="HIF77" s="277" t="s">
        <v>1072</v>
      </c>
      <c r="HIG77" s="277" t="s">
        <v>1072</v>
      </c>
      <c r="HIH77" s="277" t="s">
        <v>1072</v>
      </c>
      <c r="HII77" s="277" t="s">
        <v>1072</v>
      </c>
      <c r="HIJ77" s="277" t="s">
        <v>1072</v>
      </c>
      <c r="HIK77" s="277" t="s">
        <v>1072</v>
      </c>
      <c r="HIL77" s="277" t="s">
        <v>1072</v>
      </c>
      <c r="HIM77" s="277" t="s">
        <v>1072</v>
      </c>
      <c r="HIN77" s="277" t="s">
        <v>1072</v>
      </c>
      <c r="HIO77" s="277" t="s">
        <v>1072</v>
      </c>
      <c r="HIP77" s="277" t="s">
        <v>1072</v>
      </c>
      <c r="HIQ77" s="277" t="s">
        <v>1072</v>
      </c>
      <c r="HIR77" s="277" t="s">
        <v>1072</v>
      </c>
      <c r="HIS77" s="277" t="s">
        <v>1072</v>
      </c>
      <c r="HIT77" s="277" t="s">
        <v>1072</v>
      </c>
      <c r="HIU77" s="277" t="s">
        <v>1072</v>
      </c>
      <c r="HIV77" s="277" t="s">
        <v>1072</v>
      </c>
      <c r="HIW77" s="277" t="s">
        <v>1072</v>
      </c>
      <c r="HIX77" s="277" t="s">
        <v>1072</v>
      </c>
      <c r="HIY77" s="277" t="s">
        <v>1072</v>
      </c>
      <c r="HIZ77" s="277" t="s">
        <v>1072</v>
      </c>
      <c r="HJA77" s="277" t="s">
        <v>1072</v>
      </c>
      <c r="HJB77" s="277" t="s">
        <v>1072</v>
      </c>
      <c r="HJC77" s="277" t="s">
        <v>1072</v>
      </c>
      <c r="HJD77" s="277" t="s">
        <v>1072</v>
      </c>
      <c r="HJE77" s="277" t="s">
        <v>1072</v>
      </c>
      <c r="HJF77" s="277" t="s">
        <v>1072</v>
      </c>
      <c r="HJG77" s="277" t="s">
        <v>1072</v>
      </c>
      <c r="HJH77" s="277" t="s">
        <v>1072</v>
      </c>
      <c r="HJI77" s="277" t="s">
        <v>1072</v>
      </c>
      <c r="HJJ77" s="277" t="s">
        <v>1072</v>
      </c>
      <c r="HJK77" s="277" t="s">
        <v>1072</v>
      </c>
      <c r="HJL77" s="277" t="s">
        <v>1072</v>
      </c>
      <c r="HJM77" s="277" t="s">
        <v>1072</v>
      </c>
      <c r="HJN77" s="277" t="s">
        <v>1072</v>
      </c>
      <c r="HJO77" s="277" t="s">
        <v>1072</v>
      </c>
      <c r="HJP77" s="277" t="s">
        <v>1072</v>
      </c>
      <c r="HJQ77" s="277" t="s">
        <v>1072</v>
      </c>
      <c r="HJR77" s="277" t="s">
        <v>1072</v>
      </c>
      <c r="HJS77" s="277" t="s">
        <v>1072</v>
      </c>
      <c r="HJT77" s="277" t="s">
        <v>1072</v>
      </c>
      <c r="HJU77" s="277" t="s">
        <v>1072</v>
      </c>
      <c r="HJV77" s="277" t="s">
        <v>1072</v>
      </c>
      <c r="HJW77" s="277" t="s">
        <v>1072</v>
      </c>
      <c r="HJX77" s="277" t="s">
        <v>1072</v>
      </c>
      <c r="HJY77" s="277" t="s">
        <v>1072</v>
      </c>
      <c r="HJZ77" s="277" t="s">
        <v>1072</v>
      </c>
      <c r="HKA77" s="277" t="s">
        <v>1072</v>
      </c>
      <c r="HKB77" s="277" t="s">
        <v>1072</v>
      </c>
      <c r="HKC77" s="277" t="s">
        <v>1072</v>
      </c>
      <c r="HKD77" s="277" t="s">
        <v>1072</v>
      </c>
      <c r="HKE77" s="277" t="s">
        <v>1072</v>
      </c>
      <c r="HKF77" s="277" t="s">
        <v>1072</v>
      </c>
      <c r="HKG77" s="277" t="s">
        <v>1072</v>
      </c>
      <c r="HKH77" s="277" t="s">
        <v>1072</v>
      </c>
      <c r="HKI77" s="277" t="s">
        <v>1072</v>
      </c>
      <c r="HKJ77" s="277" t="s">
        <v>1072</v>
      </c>
      <c r="HKK77" s="277" t="s">
        <v>1072</v>
      </c>
      <c r="HKL77" s="277" t="s">
        <v>1072</v>
      </c>
      <c r="HKM77" s="277" t="s">
        <v>1072</v>
      </c>
      <c r="HKN77" s="277" t="s">
        <v>1072</v>
      </c>
      <c r="HKO77" s="277" t="s">
        <v>1072</v>
      </c>
      <c r="HKP77" s="277" t="s">
        <v>1072</v>
      </c>
      <c r="HKQ77" s="277" t="s">
        <v>1072</v>
      </c>
      <c r="HKR77" s="277" t="s">
        <v>1072</v>
      </c>
      <c r="HKS77" s="277" t="s">
        <v>1072</v>
      </c>
      <c r="HKT77" s="277" t="s">
        <v>1072</v>
      </c>
      <c r="HKU77" s="277" t="s">
        <v>1072</v>
      </c>
      <c r="HKV77" s="277" t="s">
        <v>1072</v>
      </c>
      <c r="HKW77" s="277" t="s">
        <v>1072</v>
      </c>
      <c r="HKX77" s="277" t="s">
        <v>1072</v>
      </c>
      <c r="HKY77" s="277" t="s">
        <v>1072</v>
      </c>
      <c r="HKZ77" s="277" t="s">
        <v>1072</v>
      </c>
      <c r="HLA77" s="277" t="s">
        <v>1072</v>
      </c>
      <c r="HLB77" s="277" t="s">
        <v>1072</v>
      </c>
      <c r="HLC77" s="277" t="s">
        <v>1072</v>
      </c>
      <c r="HLD77" s="277" t="s">
        <v>1072</v>
      </c>
      <c r="HLE77" s="277" t="s">
        <v>1072</v>
      </c>
      <c r="HLF77" s="277" t="s">
        <v>1072</v>
      </c>
      <c r="HLG77" s="277" t="s">
        <v>1072</v>
      </c>
      <c r="HLH77" s="277" t="s">
        <v>1072</v>
      </c>
      <c r="HLI77" s="277" t="s">
        <v>1072</v>
      </c>
      <c r="HLJ77" s="277" t="s">
        <v>1072</v>
      </c>
      <c r="HLK77" s="277" t="s">
        <v>1072</v>
      </c>
      <c r="HLL77" s="277" t="s">
        <v>1072</v>
      </c>
      <c r="HLM77" s="277" t="s">
        <v>1072</v>
      </c>
      <c r="HLN77" s="277" t="s">
        <v>1072</v>
      </c>
      <c r="HLO77" s="277" t="s">
        <v>1072</v>
      </c>
      <c r="HLP77" s="277" t="s">
        <v>1072</v>
      </c>
      <c r="HLQ77" s="277" t="s">
        <v>1072</v>
      </c>
      <c r="HLR77" s="277" t="s">
        <v>1072</v>
      </c>
      <c r="HLS77" s="277" t="s">
        <v>1072</v>
      </c>
      <c r="HLT77" s="277" t="s">
        <v>1072</v>
      </c>
      <c r="HLU77" s="277" t="s">
        <v>1072</v>
      </c>
      <c r="HLV77" s="277" t="s">
        <v>1072</v>
      </c>
      <c r="HLW77" s="277" t="s">
        <v>1072</v>
      </c>
      <c r="HLX77" s="277" t="s">
        <v>1072</v>
      </c>
      <c r="HLY77" s="277" t="s">
        <v>1072</v>
      </c>
      <c r="HLZ77" s="277" t="s">
        <v>1072</v>
      </c>
      <c r="HMA77" s="277" t="s">
        <v>1072</v>
      </c>
      <c r="HMB77" s="277" t="s">
        <v>1072</v>
      </c>
      <c r="HMC77" s="277" t="s">
        <v>1072</v>
      </c>
      <c r="HMD77" s="277" t="s">
        <v>1072</v>
      </c>
      <c r="HME77" s="277" t="s">
        <v>1072</v>
      </c>
      <c r="HMF77" s="277" t="s">
        <v>1072</v>
      </c>
      <c r="HMG77" s="277" t="s">
        <v>1072</v>
      </c>
      <c r="HMH77" s="277" t="s">
        <v>1072</v>
      </c>
      <c r="HMI77" s="277" t="s">
        <v>1072</v>
      </c>
      <c r="HMJ77" s="277" t="s">
        <v>1072</v>
      </c>
      <c r="HMK77" s="277" t="s">
        <v>1072</v>
      </c>
      <c r="HML77" s="277" t="s">
        <v>1072</v>
      </c>
      <c r="HMM77" s="277" t="s">
        <v>1072</v>
      </c>
      <c r="HMN77" s="277" t="s">
        <v>1072</v>
      </c>
      <c r="HMO77" s="277" t="s">
        <v>1072</v>
      </c>
      <c r="HMP77" s="277" t="s">
        <v>1072</v>
      </c>
      <c r="HMQ77" s="277" t="s">
        <v>1072</v>
      </c>
      <c r="HMR77" s="277" t="s">
        <v>1072</v>
      </c>
      <c r="HMS77" s="277" t="s">
        <v>1072</v>
      </c>
      <c r="HMT77" s="277" t="s">
        <v>1072</v>
      </c>
      <c r="HMU77" s="277" t="s">
        <v>1072</v>
      </c>
      <c r="HMV77" s="277" t="s">
        <v>1072</v>
      </c>
      <c r="HMW77" s="277" t="s">
        <v>1072</v>
      </c>
      <c r="HMX77" s="277" t="s">
        <v>1072</v>
      </c>
      <c r="HMY77" s="277" t="s">
        <v>1072</v>
      </c>
      <c r="HMZ77" s="277" t="s">
        <v>1072</v>
      </c>
      <c r="HNA77" s="277" t="s">
        <v>1072</v>
      </c>
      <c r="HNB77" s="277" t="s">
        <v>1072</v>
      </c>
      <c r="HNC77" s="277" t="s">
        <v>1072</v>
      </c>
      <c r="HND77" s="277" t="s">
        <v>1072</v>
      </c>
      <c r="HNE77" s="277" t="s">
        <v>1072</v>
      </c>
      <c r="HNF77" s="277" t="s">
        <v>1072</v>
      </c>
      <c r="HNG77" s="277" t="s">
        <v>1072</v>
      </c>
      <c r="HNH77" s="277" t="s">
        <v>1072</v>
      </c>
      <c r="HNI77" s="277" t="s">
        <v>1072</v>
      </c>
      <c r="HNJ77" s="277" t="s">
        <v>1072</v>
      </c>
      <c r="HNK77" s="277" t="s">
        <v>1072</v>
      </c>
      <c r="HNL77" s="277" t="s">
        <v>1072</v>
      </c>
      <c r="HNM77" s="277" t="s">
        <v>1072</v>
      </c>
      <c r="HNN77" s="277" t="s">
        <v>1072</v>
      </c>
      <c r="HNO77" s="277" t="s">
        <v>1072</v>
      </c>
      <c r="HNP77" s="277" t="s">
        <v>1072</v>
      </c>
      <c r="HNQ77" s="277" t="s">
        <v>1072</v>
      </c>
      <c r="HNR77" s="277" t="s">
        <v>1072</v>
      </c>
      <c r="HNS77" s="277" t="s">
        <v>1072</v>
      </c>
      <c r="HNT77" s="277" t="s">
        <v>1072</v>
      </c>
      <c r="HNU77" s="277" t="s">
        <v>1072</v>
      </c>
      <c r="HNV77" s="277" t="s">
        <v>1072</v>
      </c>
      <c r="HNW77" s="277" t="s">
        <v>1072</v>
      </c>
      <c r="HNX77" s="277" t="s">
        <v>1072</v>
      </c>
      <c r="HNY77" s="277" t="s">
        <v>1072</v>
      </c>
      <c r="HNZ77" s="277" t="s">
        <v>1072</v>
      </c>
      <c r="HOA77" s="277" t="s">
        <v>1072</v>
      </c>
      <c r="HOB77" s="277" t="s">
        <v>1072</v>
      </c>
      <c r="HOC77" s="277" t="s">
        <v>1072</v>
      </c>
      <c r="HOD77" s="277" t="s">
        <v>1072</v>
      </c>
      <c r="HOE77" s="277" t="s">
        <v>1072</v>
      </c>
      <c r="HOF77" s="277" t="s">
        <v>1072</v>
      </c>
      <c r="HOG77" s="277" t="s">
        <v>1072</v>
      </c>
      <c r="HOH77" s="277" t="s">
        <v>1072</v>
      </c>
      <c r="HOI77" s="277" t="s">
        <v>1072</v>
      </c>
      <c r="HOJ77" s="277" t="s">
        <v>1072</v>
      </c>
      <c r="HOK77" s="277" t="s">
        <v>1072</v>
      </c>
      <c r="HOL77" s="277" t="s">
        <v>1072</v>
      </c>
      <c r="HOM77" s="277" t="s">
        <v>1072</v>
      </c>
      <c r="HON77" s="277" t="s">
        <v>1072</v>
      </c>
      <c r="HOO77" s="277" t="s">
        <v>1072</v>
      </c>
      <c r="HOP77" s="277" t="s">
        <v>1072</v>
      </c>
      <c r="HOQ77" s="277" t="s">
        <v>1072</v>
      </c>
      <c r="HOR77" s="277" t="s">
        <v>1072</v>
      </c>
      <c r="HOS77" s="277" t="s">
        <v>1072</v>
      </c>
      <c r="HOT77" s="277" t="s">
        <v>1072</v>
      </c>
      <c r="HOU77" s="277" t="s">
        <v>1072</v>
      </c>
      <c r="HOV77" s="277" t="s">
        <v>1072</v>
      </c>
      <c r="HOW77" s="277" t="s">
        <v>1072</v>
      </c>
      <c r="HOX77" s="277" t="s">
        <v>1072</v>
      </c>
      <c r="HOY77" s="277" t="s">
        <v>1072</v>
      </c>
      <c r="HOZ77" s="277" t="s">
        <v>1072</v>
      </c>
      <c r="HPA77" s="277" t="s">
        <v>1072</v>
      </c>
      <c r="HPB77" s="277" t="s">
        <v>1072</v>
      </c>
      <c r="HPC77" s="277" t="s">
        <v>1072</v>
      </c>
      <c r="HPD77" s="277" t="s">
        <v>1072</v>
      </c>
      <c r="HPE77" s="277" t="s">
        <v>1072</v>
      </c>
      <c r="HPF77" s="277" t="s">
        <v>1072</v>
      </c>
      <c r="HPG77" s="277" t="s">
        <v>1072</v>
      </c>
      <c r="HPH77" s="277" t="s">
        <v>1072</v>
      </c>
      <c r="HPI77" s="277" t="s">
        <v>1072</v>
      </c>
      <c r="HPJ77" s="277" t="s">
        <v>1072</v>
      </c>
      <c r="HPK77" s="277" t="s">
        <v>1072</v>
      </c>
      <c r="HPL77" s="277" t="s">
        <v>1072</v>
      </c>
      <c r="HPM77" s="277" t="s">
        <v>1072</v>
      </c>
      <c r="HPN77" s="277" t="s">
        <v>1072</v>
      </c>
      <c r="HPO77" s="277" t="s">
        <v>1072</v>
      </c>
      <c r="HPP77" s="277" t="s">
        <v>1072</v>
      </c>
      <c r="HPQ77" s="277" t="s">
        <v>1072</v>
      </c>
      <c r="HPR77" s="277" t="s">
        <v>1072</v>
      </c>
      <c r="HPS77" s="277" t="s">
        <v>1072</v>
      </c>
      <c r="HPT77" s="277" t="s">
        <v>1072</v>
      </c>
      <c r="HPU77" s="277" t="s">
        <v>1072</v>
      </c>
      <c r="HPV77" s="277" t="s">
        <v>1072</v>
      </c>
      <c r="HPW77" s="277" t="s">
        <v>1072</v>
      </c>
      <c r="HPX77" s="277" t="s">
        <v>1072</v>
      </c>
      <c r="HPY77" s="277" t="s">
        <v>1072</v>
      </c>
      <c r="HPZ77" s="277" t="s">
        <v>1072</v>
      </c>
      <c r="HQA77" s="277" t="s">
        <v>1072</v>
      </c>
      <c r="HQB77" s="277" t="s">
        <v>1072</v>
      </c>
      <c r="HQC77" s="277" t="s">
        <v>1072</v>
      </c>
      <c r="HQD77" s="277" t="s">
        <v>1072</v>
      </c>
      <c r="HQE77" s="277" t="s">
        <v>1072</v>
      </c>
      <c r="HQF77" s="277" t="s">
        <v>1072</v>
      </c>
      <c r="HQG77" s="277" t="s">
        <v>1072</v>
      </c>
      <c r="HQH77" s="277" t="s">
        <v>1072</v>
      </c>
      <c r="HQI77" s="277" t="s">
        <v>1072</v>
      </c>
      <c r="HQJ77" s="277" t="s">
        <v>1072</v>
      </c>
      <c r="HQK77" s="277" t="s">
        <v>1072</v>
      </c>
      <c r="HQL77" s="277" t="s">
        <v>1072</v>
      </c>
      <c r="HQM77" s="277" t="s">
        <v>1072</v>
      </c>
      <c r="HQN77" s="277" t="s">
        <v>1072</v>
      </c>
      <c r="HQO77" s="277" t="s">
        <v>1072</v>
      </c>
      <c r="HQP77" s="277" t="s">
        <v>1072</v>
      </c>
      <c r="HQQ77" s="277" t="s">
        <v>1072</v>
      </c>
      <c r="HQR77" s="277" t="s">
        <v>1072</v>
      </c>
      <c r="HQS77" s="277" t="s">
        <v>1072</v>
      </c>
      <c r="HQT77" s="277" t="s">
        <v>1072</v>
      </c>
      <c r="HQU77" s="277" t="s">
        <v>1072</v>
      </c>
      <c r="HQV77" s="277" t="s">
        <v>1072</v>
      </c>
      <c r="HQW77" s="277" t="s">
        <v>1072</v>
      </c>
      <c r="HQX77" s="277" t="s">
        <v>1072</v>
      </c>
      <c r="HQY77" s="277" t="s">
        <v>1072</v>
      </c>
      <c r="HQZ77" s="277" t="s">
        <v>1072</v>
      </c>
      <c r="HRA77" s="277" t="s">
        <v>1072</v>
      </c>
      <c r="HRB77" s="277" t="s">
        <v>1072</v>
      </c>
      <c r="HRC77" s="277" t="s">
        <v>1072</v>
      </c>
      <c r="HRD77" s="277" t="s">
        <v>1072</v>
      </c>
      <c r="HRE77" s="277" t="s">
        <v>1072</v>
      </c>
      <c r="HRF77" s="277" t="s">
        <v>1072</v>
      </c>
      <c r="HRG77" s="277" t="s">
        <v>1072</v>
      </c>
      <c r="HRH77" s="277" t="s">
        <v>1072</v>
      </c>
      <c r="HRI77" s="277" t="s">
        <v>1072</v>
      </c>
      <c r="HRJ77" s="277" t="s">
        <v>1072</v>
      </c>
      <c r="HRK77" s="277" t="s">
        <v>1072</v>
      </c>
      <c r="HRL77" s="277" t="s">
        <v>1072</v>
      </c>
      <c r="HRM77" s="277" t="s">
        <v>1072</v>
      </c>
      <c r="HRN77" s="277" t="s">
        <v>1072</v>
      </c>
      <c r="HRO77" s="277" t="s">
        <v>1072</v>
      </c>
      <c r="HRP77" s="277" t="s">
        <v>1072</v>
      </c>
      <c r="HRQ77" s="277" t="s">
        <v>1072</v>
      </c>
      <c r="HRR77" s="277" t="s">
        <v>1072</v>
      </c>
      <c r="HRS77" s="277" t="s">
        <v>1072</v>
      </c>
      <c r="HRT77" s="277" t="s">
        <v>1072</v>
      </c>
      <c r="HRU77" s="277" t="s">
        <v>1072</v>
      </c>
      <c r="HRV77" s="277" t="s">
        <v>1072</v>
      </c>
      <c r="HRW77" s="277" t="s">
        <v>1072</v>
      </c>
      <c r="HRX77" s="277" t="s">
        <v>1072</v>
      </c>
      <c r="HRY77" s="277" t="s">
        <v>1072</v>
      </c>
      <c r="HRZ77" s="277" t="s">
        <v>1072</v>
      </c>
      <c r="HSA77" s="277" t="s">
        <v>1072</v>
      </c>
      <c r="HSB77" s="277" t="s">
        <v>1072</v>
      </c>
      <c r="HSC77" s="277" t="s">
        <v>1072</v>
      </c>
      <c r="HSD77" s="277" t="s">
        <v>1072</v>
      </c>
      <c r="HSE77" s="277" t="s">
        <v>1072</v>
      </c>
      <c r="HSF77" s="277" t="s">
        <v>1072</v>
      </c>
      <c r="HSG77" s="277" t="s">
        <v>1072</v>
      </c>
      <c r="HSH77" s="277" t="s">
        <v>1072</v>
      </c>
      <c r="HSI77" s="277" t="s">
        <v>1072</v>
      </c>
      <c r="HSJ77" s="277" t="s">
        <v>1072</v>
      </c>
      <c r="HSK77" s="277" t="s">
        <v>1072</v>
      </c>
      <c r="HSL77" s="277" t="s">
        <v>1072</v>
      </c>
      <c r="HSM77" s="277" t="s">
        <v>1072</v>
      </c>
      <c r="HSN77" s="277" t="s">
        <v>1072</v>
      </c>
      <c r="HSO77" s="277" t="s">
        <v>1072</v>
      </c>
      <c r="HSP77" s="277" t="s">
        <v>1072</v>
      </c>
      <c r="HSQ77" s="277" t="s">
        <v>1072</v>
      </c>
      <c r="HSR77" s="277" t="s">
        <v>1072</v>
      </c>
      <c r="HSS77" s="277" t="s">
        <v>1072</v>
      </c>
      <c r="HST77" s="277" t="s">
        <v>1072</v>
      </c>
      <c r="HSU77" s="277" t="s">
        <v>1072</v>
      </c>
      <c r="HSV77" s="277" t="s">
        <v>1072</v>
      </c>
      <c r="HSW77" s="277" t="s">
        <v>1072</v>
      </c>
      <c r="HSX77" s="277" t="s">
        <v>1072</v>
      </c>
      <c r="HSY77" s="277" t="s">
        <v>1072</v>
      </c>
      <c r="HSZ77" s="277" t="s">
        <v>1072</v>
      </c>
      <c r="HTA77" s="277" t="s">
        <v>1072</v>
      </c>
      <c r="HTB77" s="277" t="s">
        <v>1072</v>
      </c>
      <c r="HTC77" s="277" t="s">
        <v>1072</v>
      </c>
      <c r="HTD77" s="277" t="s">
        <v>1072</v>
      </c>
      <c r="HTE77" s="277" t="s">
        <v>1072</v>
      </c>
      <c r="HTF77" s="277" t="s">
        <v>1072</v>
      </c>
      <c r="HTG77" s="277" t="s">
        <v>1072</v>
      </c>
      <c r="HTH77" s="277" t="s">
        <v>1072</v>
      </c>
      <c r="HTI77" s="277" t="s">
        <v>1072</v>
      </c>
      <c r="HTJ77" s="277" t="s">
        <v>1072</v>
      </c>
      <c r="HTK77" s="277" t="s">
        <v>1072</v>
      </c>
      <c r="HTL77" s="277" t="s">
        <v>1072</v>
      </c>
      <c r="HTM77" s="277" t="s">
        <v>1072</v>
      </c>
      <c r="HTN77" s="277" t="s">
        <v>1072</v>
      </c>
      <c r="HTO77" s="277" t="s">
        <v>1072</v>
      </c>
      <c r="HTP77" s="277" t="s">
        <v>1072</v>
      </c>
      <c r="HTQ77" s="277" t="s">
        <v>1072</v>
      </c>
      <c r="HTR77" s="277" t="s">
        <v>1072</v>
      </c>
      <c r="HTS77" s="277" t="s">
        <v>1072</v>
      </c>
      <c r="HTT77" s="277" t="s">
        <v>1072</v>
      </c>
      <c r="HTU77" s="277" t="s">
        <v>1072</v>
      </c>
      <c r="HTV77" s="277" t="s">
        <v>1072</v>
      </c>
      <c r="HTW77" s="277" t="s">
        <v>1072</v>
      </c>
      <c r="HTX77" s="277" t="s">
        <v>1072</v>
      </c>
      <c r="HTY77" s="277" t="s">
        <v>1072</v>
      </c>
      <c r="HTZ77" s="277" t="s">
        <v>1072</v>
      </c>
      <c r="HUA77" s="277" t="s">
        <v>1072</v>
      </c>
      <c r="HUB77" s="277" t="s">
        <v>1072</v>
      </c>
      <c r="HUC77" s="277" t="s">
        <v>1072</v>
      </c>
      <c r="HUD77" s="277" t="s">
        <v>1072</v>
      </c>
      <c r="HUE77" s="277" t="s">
        <v>1072</v>
      </c>
      <c r="HUF77" s="277" t="s">
        <v>1072</v>
      </c>
      <c r="HUG77" s="277" t="s">
        <v>1072</v>
      </c>
      <c r="HUH77" s="277" t="s">
        <v>1072</v>
      </c>
      <c r="HUI77" s="277" t="s">
        <v>1072</v>
      </c>
      <c r="HUJ77" s="277" t="s">
        <v>1072</v>
      </c>
      <c r="HUK77" s="277" t="s">
        <v>1072</v>
      </c>
      <c r="HUL77" s="277" t="s">
        <v>1072</v>
      </c>
      <c r="HUM77" s="277" t="s">
        <v>1072</v>
      </c>
      <c r="HUN77" s="277" t="s">
        <v>1072</v>
      </c>
      <c r="HUO77" s="277" t="s">
        <v>1072</v>
      </c>
      <c r="HUP77" s="277" t="s">
        <v>1072</v>
      </c>
      <c r="HUQ77" s="277" t="s">
        <v>1072</v>
      </c>
      <c r="HUR77" s="277" t="s">
        <v>1072</v>
      </c>
      <c r="HUS77" s="277" t="s">
        <v>1072</v>
      </c>
      <c r="HUT77" s="277" t="s">
        <v>1072</v>
      </c>
      <c r="HUU77" s="277" t="s">
        <v>1072</v>
      </c>
      <c r="HUV77" s="277" t="s">
        <v>1072</v>
      </c>
      <c r="HUW77" s="277" t="s">
        <v>1072</v>
      </c>
      <c r="HUX77" s="277" t="s">
        <v>1072</v>
      </c>
      <c r="HUY77" s="277" t="s">
        <v>1072</v>
      </c>
      <c r="HUZ77" s="277" t="s">
        <v>1072</v>
      </c>
      <c r="HVA77" s="277" t="s">
        <v>1072</v>
      </c>
      <c r="HVB77" s="277" t="s">
        <v>1072</v>
      </c>
      <c r="HVC77" s="277" t="s">
        <v>1072</v>
      </c>
      <c r="HVD77" s="277" t="s">
        <v>1072</v>
      </c>
      <c r="HVE77" s="277" t="s">
        <v>1072</v>
      </c>
      <c r="HVF77" s="277" t="s">
        <v>1072</v>
      </c>
      <c r="HVG77" s="277" t="s">
        <v>1072</v>
      </c>
      <c r="HVH77" s="277" t="s">
        <v>1072</v>
      </c>
      <c r="HVI77" s="277" t="s">
        <v>1072</v>
      </c>
      <c r="HVJ77" s="277" t="s">
        <v>1072</v>
      </c>
      <c r="HVK77" s="277" t="s">
        <v>1072</v>
      </c>
      <c r="HVL77" s="277" t="s">
        <v>1072</v>
      </c>
      <c r="HVM77" s="277" t="s">
        <v>1072</v>
      </c>
      <c r="HVN77" s="277" t="s">
        <v>1072</v>
      </c>
      <c r="HVO77" s="277" t="s">
        <v>1072</v>
      </c>
      <c r="HVP77" s="277" t="s">
        <v>1072</v>
      </c>
      <c r="HVQ77" s="277" t="s">
        <v>1072</v>
      </c>
      <c r="HVR77" s="277" t="s">
        <v>1072</v>
      </c>
      <c r="HVS77" s="277" t="s">
        <v>1072</v>
      </c>
      <c r="HVT77" s="277" t="s">
        <v>1072</v>
      </c>
      <c r="HVU77" s="277" t="s">
        <v>1072</v>
      </c>
      <c r="HVV77" s="277" t="s">
        <v>1072</v>
      </c>
      <c r="HVW77" s="277" t="s">
        <v>1072</v>
      </c>
      <c r="HVX77" s="277" t="s">
        <v>1072</v>
      </c>
      <c r="HVY77" s="277" t="s">
        <v>1072</v>
      </c>
      <c r="HVZ77" s="277" t="s">
        <v>1072</v>
      </c>
      <c r="HWA77" s="277" t="s">
        <v>1072</v>
      </c>
      <c r="HWB77" s="277" t="s">
        <v>1072</v>
      </c>
      <c r="HWC77" s="277" t="s">
        <v>1072</v>
      </c>
      <c r="HWD77" s="277" t="s">
        <v>1072</v>
      </c>
      <c r="HWE77" s="277" t="s">
        <v>1072</v>
      </c>
      <c r="HWF77" s="277" t="s">
        <v>1072</v>
      </c>
      <c r="HWG77" s="277" t="s">
        <v>1072</v>
      </c>
      <c r="HWH77" s="277" t="s">
        <v>1072</v>
      </c>
      <c r="HWI77" s="277" t="s">
        <v>1072</v>
      </c>
      <c r="HWJ77" s="277" t="s">
        <v>1072</v>
      </c>
      <c r="HWK77" s="277" t="s">
        <v>1072</v>
      </c>
      <c r="HWL77" s="277" t="s">
        <v>1072</v>
      </c>
      <c r="HWM77" s="277" t="s">
        <v>1072</v>
      </c>
      <c r="HWN77" s="277" t="s">
        <v>1072</v>
      </c>
      <c r="HWO77" s="277" t="s">
        <v>1072</v>
      </c>
      <c r="HWP77" s="277" t="s">
        <v>1072</v>
      </c>
      <c r="HWQ77" s="277" t="s">
        <v>1072</v>
      </c>
      <c r="HWR77" s="277" t="s">
        <v>1072</v>
      </c>
      <c r="HWS77" s="277" t="s">
        <v>1072</v>
      </c>
      <c r="HWT77" s="277" t="s">
        <v>1072</v>
      </c>
      <c r="HWU77" s="277" t="s">
        <v>1072</v>
      </c>
      <c r="HWV77" s="277" t="s">
        <v>1072</v>
      </c>
      <c r="HWW77" s="277" t="s">
        <v>1072</v>
      </c>
      <c r="HWX77" s="277" t="s">
        <v>1072</v>
      </c>
      <c r="HWY77" s="277" t="s">
        <v>1072</v>
      </c>
      <c r="HWZ77" s="277" t="s">
        <v>1072</v>
      </c>
      <c r="HXA77" s="277" t="s">
        <v>1072</v>
      </c>
      <c r="HXB77" s="277" t="s">
        <v>1072</v>
      </c>
      <c r="HXC77" s="277" t="s">
        <v>1072</v>
      </c>
      <c r="HXD77" s="277" t="s">
        <v>1072</v>
      </c>
      <c r="HXE77" s="277" t="s">
        <v>1072</v>
      </c>
      <c r="HXF77" s="277" t="s">
        <v>1072</v>
      </c>
      <c r="HXG77" s="277" t="s">
        <v>1072</v>
      </c>
      <c r="HXH77" s="277" t="s">
        <v>1072</v>
      </c>
      <c r="HXI77" s="277" t="s">
        <v>1072</v>
      </c>
      <c r="HXJ77" s="277" t="s">
        <v>1072</v>
      </c>
      <c r="HXK77" s="277" t="s">
        <v>1072</v>
      </c>
      <c r="HXL77" s="277" t="s">
        <v>1072</v>
      </c>
      <c r="HXM77" s="277" t="s">
        <v>1072</v>
      </c>
      <c r="HXN77" s="277" t="s">
        <v>1072</v>
      </c>
      <c r="HXO77" s="277" t="s">
        <v>1072</v>
      </c>
      <c r="HXP77" s="277" t="s">
        <v>1072</v>
      </c>
      <c r="HXQ77" s="277" t="s">
        <v>1072</v>
      </c>
      <c r="HXR77" s="277" t="s">
        <v>1072</v>
      </c>
      <c r="HXS77" s="277" t="s">
        <v>1072</v>
      </c>
      <c r="HXT77" s="277" t="s">
        <v>1072</v>
      </c>
      <c r="HXU77" s="277" t="s">
        <v>1072</v>
      </c>
      <c r="HXV77" s="277" t="s">
        <v>1072</v>
      </c>
      <c r="HXW77" s="277" t="s">
        <v>1072</v>
      </c>
      <c r="HXX77" s="277" t="s">
        <v>1072</v>
      </c>
      <c r="HXY77" s="277" t="s">
        <v>1072</v>
      </c>
      <c r="HXZ77" s="277" t="s">
        <v>1072</v>
      </c>
      <c r="HYA77" s="277" t="s">
        <v>1072</v>
      </c>
      <c r="HYB77" s="277" t="s">
        <v>1072</v>
      </c>
      <c r="HYC77" s="277" t="s">
        <v>1072</v>
      </c>
      <c r="HYD77" s="277" t="s">
        <v>1072</v>
      </c>
      <c r="HYE77" s="277" t="s">
        <v>1072</v>
      </c>
      <c r="HYF77" s="277" t="s">
        <v>1072</v>
      </c>
      <c r="HYG77" s="277" t="s">
        <v>1072</v>
      </c>
      <c r="HYH77" s="277" t="s">
        <v>1072</v>
      </c>
      <c r="HYI77" s="277" t="s">
        <v>1072</v>
      </c>
      <c r="HYJ77" s="277" t="s">
        <v>1072</v>
      </c>
      <c r="HYK77" s="277" t="s">
        <v>1072</v>
      </c>
      <c r="HYL77" s="277" t="s">
        <v>1072</v>
      </c>
      <c r="HYM77" s="277" t="s">
        <v>1072</v>
      </c>
      <c r="HYN77" s="277" t="s">
        <v>1072</v>
      </c>
      <c r="HYO77" s="277" t="s">
        <v>1072</v>
      </c>
      <c r="HYP77" s="277" t="s">
        <v>1072</v>
      </c>
      <c r="HYQ77" s="277" t="s">
        <v>1072</v>
      </c>
      <c r="HYR77" s="277" t="s">
        <v>1072</v>
      </c>
      <c r="HYS77" s="277" t="s">
        <v>1072</v>
      </c>
      <c r="HYT77" s="277" t="s">
        <v>1072</v>
      </c>
      <c r="HYU77" s="277" t="s">
        <v>1072</v>
      </c>
      <c r="HYV77" s="277" t="s">
        <v>1072</v>
      </c>
      <c r="HYW77" s="277" t="s">
        <v>1072</v>
      </c>
      <c r="HYX77" s="277" t="s">
        <v>1072</v>
      </c>
      <c r="HYY77" s="277" t="s">
        <v>1072</v>
      </c>
      <c r="HYZ77" s="277" t="s">
        <v>1072</v>
      </c>
      <c r="HZA77" s="277" t="s">
        <v>1072</v>
      </c>
      <c r="HZB77" s="277" t="s">
        <v>1072</v>
      </c>
      <c r="HZC77" s="277" t="s">
        <v>1072</v>
      </c>
      <c r="HZD77" s="277" t="s">
        <v>1072</v>
      </c>
      <c r="HZE77" s="277" t="s">
        <v>1072</v>
      </c>
      <c r="HZF77" s="277" t="s">
        <v>1072</v>
      </c>
      <c r="HZG77" s="277" t="s">
        <v>1072</v>
      </c>
      <c r="HZH77" s="277" t="s">
        <v>1072</v>
      </c>
      <c r="HZI77" s="277" t="s">
        <v>1072</v>
      </c>
      <c r="HZJ77" s="277" t="s">
        <v>1072</v>
      </c>
      <c r="HZK77" s="277" t="s">
        <v>1072</v>
      </c>
      <c r="HZL77" s="277" t="s">
        <v>1072</v>
      </c>
      <c r="HZM77" s="277" t="s">
        <v>1072</v>
      </c>
      <c r="HZN77" s="277" t="s">
        <v>1072</v>
      </c>
      <c r="HZO77" s="277" t="s">
        <v>1072</v>
      </c>
      <c r="HZP77" s="277" t="s">
        <v>1072</v>
      </c>
      <c r="HZQ77" s="277" t="s">
        <v>1072</v>
      </c>
      <c r="HZR77" s="277" t="s">
        <v>1072</v>
      </c>
      <c r="HZS77" s="277" t="s">
        <v>1072</v>
      </c>
      <c r="HZT77" s="277" t="s">
        <v>1072</v>
      </c>
      <c r="HZU77" s="277" t="s">
        <v>1072</v>
      </c>
      <c r="HZV77" s="277" t="s">
        <v>1072</v>
      </c>
      <c r="HZW77" s="277" t="s">
        <v>1072</v>
      </c>
      <c r="HZX77" s="277" t="s">
        <v>1072</v>
      </c>
      <c r="HZY77" s="277" t="s">
        <v>1072</v>
      </c>
      <c r="HZZ77" s="277" t="s">
        <v>1072</v>
      </c>
      <c r="IAA77" s="277" t="s">
        <v>1072</v>
      </c>
      <c r="IAB77" s="277" t="s">
        <v>1072</v>
      </c>
      <c r="IAC77" s="277" t="s">
        <v>1072</v>
      </c>
      <c r="IAD77" s="277" t="s">
        <v>1072</v>
      </c>
      <c r="IAE77" s="277" t="s">
        <v>1072</v>
      </c>
      <c r="IAF77" s="277" t="s">
        <v>1072</v>
      </c>
      <c r="IAG77" s="277" t="s">
        <v>1072</v>
      </c>
      <c r="IAH77" s="277" t="s">
        <v>1072</v>
      </c>
      <c r="IAI77" s="277" t="s">
        <v>1072</v>
      </c>
      <c r="IAJ77" s="277" t="s">
        <v>1072</v>
      </c>
      <c r="IAK77" s="277" t="s">
        <v>1072</v>
      </c>
      <c r="IAL77" s="277" t="s">
        <v>1072</v>
      </c>
      <c r="IAM77" s="277" t="s">
        <v>1072</v>
      </c>
      <c r="IAN77" s="277" t="s">
        <v>1072</v>
      </c>
      <c r="IAO77" s="277" t="s">
        <v>1072</v>
      </c>
      <c r="IAP77" s="277" t="s">
        <v>1072</v>
      </c>
      <c r="IAQ77" s="277" t="s">
        <v>1072</v>
      </c>
      <c r="IAR77" s="277" t="s">
        <v>1072</v>
      </c>
      <c r="IAS77" s="277" t="s">
        <v>1072</v>
      </c>
      <c r="IAT77" s="277" t="s">
        <v>1072</v>
      </c>
      <c r="IAU77" s="277" t="s">
        <v>1072</v>
      </c>
      <c r="IAV77" s="277" t="s">
        <v>1072</v>
      </c>
      <c r="IAW77" s="277" t="s">
        <v>1072</v>
      </c>
      <c r="IAX77" s="277" t="s">
        <v>1072</v>
      </c>
      <c r="IAY77" s="277" t="s">
        <v>1072</v>
      </c>
      <c r="IAZ77" s="277" t="s">
        <v>1072</v>
      </c>
      <c r="IBA77" s="277" t="s">
        <v>1072</v>
      </c>
      <c r="IBB77" s="277" t="s">
        <v>1072</v>
      </c>
      <c r="IBC77" s="277" t="s">
        <v>1072</v>
      </c>
      <c r="IBD77" s="277" t="s">
        <v>1072</v>
      </c>
      <c r="IBE77" s="277" t="s">
        <v>1072</v>
      </c>
      <c r="IBF77" s="277" t="s">
        <v>1072</v>
      </c>
      <c r="IBG77" s="277" t="s">
        <v>1072</v>
      </c>
      <c r="IBH77" s="277" t="s">
        <v>1072</v>
      </c>
      <c r="IBI77" s="277" t="s">
        <v>1072</v>
      </c>
      <c r="IBJ77" s="277" t="s">
        <v>1072</v>
      </c>
      <c r="IBK77" s="277" t="s">
        <v>1072</v>
      </c>
      <c r="IBL77" s="277" t="s">
        <v>1072</v>
      </c>
      <c r="IBM77" s="277" t="s">
        <v>1072</v>
      </c>
      <c r="IBN77" s="277" t="s">
        <v>1072</v>
      </c>
      <c r="IBO77" s="277" t="s">
        <v>1072</v>
      </c>
      <c r="IBP77" s="277" t="s">
        <v>1072</v>
      </c>
      <c r="IBQ77" s="277" t="s">
        <v>1072</v>
      </c>
      <c r="IBR77" s="277" t="s">
        <v>1072</v>
      </c>
      <c r="IBS77" s="277" t="s">
        <v>1072</v>
      </c>
      <c r="IBT77" s="277" t="s">
        <v>1072</v>
      </c>
      <c r="IBU77" s="277" t="s">
        <v>1072</v>
      </c>
      <c r="IBV77" s="277" t="s">
        <v>1072</v>
      </c>
      <c r="IBW77" s="277" t="s">
        <v>1072</v>
      </c>
      <c r="IBX77" s="277" t="s">
        <v>1072</v>
      </c>
      <c r="IBY77" s="277" t="s">
        <v>1072</v>
      </c>
      <c r="IBZ77" s="277" t="s">
        <v>1072</v>
      </c>
      <c r="ICA77" s="277" t="s">
        <v>1072</v>
      </c>
      <c r="ICB77" s="277" t="s">
        <v>1072</v>
      </c>
      <c r="ICC77" s="277" t="s">
        <v>1072</v>
      </c>
      <c r="ICD77" s="277" t="s">
        <v>1072</v>
      </c>
      <c r="ICE77" s="277" t="s">
        <v>1072</v>
      </c>
      <c r="ICF77" s="277" t="s">
        <v>1072</v>
      </c>
      <c r="ICG77" s="277" t="s">
        <v>1072</v>
      </c>
      <c r="ICH77" s="277" t="s">
        <v>1072</v>
      </c>
      <c r="ICI77" s="277" t="s">
        <v>1072</v>
      </c>
      <c r="ICJ77" s="277" t="s">
        <v>1072</v>
      </c>
      <c r="ICK77" s="277" t="s">
        <v>1072</v>
      </c>
      <c r="ICL77" s="277" t="s">
        <v>1072</v>
      </c>
      <c r="ICM77" s="277" t="s">
        <v>1072</v>
      </c>
      <c r="ICN77" s="277" t="s">
        <v>1072</v>
      </c>
      <c r="ICO77" s="277" t="s">
        <v>1072</v>
      </c>
      <c r="ICP77" s="277" t="s">
        <v>1072</v>
      </c>
      <c r="ICQ77" s="277" t="s">
        <v>1072</v>
      </c>
      <c r="ICR77" s="277" t="s">
        <v>1072</v>
      </c>
      <c r="ICS77" s="277" t="s">
        <v>1072</v>
      </c>
      <c r="ICT77" s="277" t="s">
        <v>1072</v>
      </c>
      <c r="ICU77" s="277" t="s">
        <v>1072</v>
      </c>
      <c r="ICV77" s="277" t="s">
        <v>1072</v>
      </c>
      <c r="ICW77" s="277" t="s">
        <v>1072</v>
      </c>
      <c r="ICX77" s="277" t="s">
        <v>1072</v>
      </c>
      <c r="ICY77" s="277" t="s">
        <v>1072</v>
      </c>
      <c r="ICZ77" s="277" t="s">
        <v>1072</v>
      </c>
      <c r="IDA77" s="277" t="s">
        <v>1072</v>
      </c>
      <c r="IDB77" s="277" t="s">
        <v>1072</v>
      </c>
      <c r="IDC77" s="277" t="s">
        <v>1072</v>
      </c>
      <c r="IDD77" s="277" t="s">
        <v>1072</v>
      </c>
      <c r="IDE77" s="277" t="s">
        <v>1072</v>
      </c>
      <c r="IDF77" s="277" t="s">
        <v>1072</v>
      </c>
      <c r="IDG77" s="277" t="s">
        <v>1072</v>
      </c>
      <c r="IDH77" s="277" t="s">
        <v>1072</v>
      </c>
      <c r="IDI77" s="277" t="s">
        <v>1072</v>
      </c>
      <c r="IDJ77" s="277" t="s">
        <v>1072</v>
      </c>
      <c r="IDK77" s="277" t="s">
        <v>1072</v>
      </c>
      <c r="IDL77" s="277" t="s">
        <v>1072</v>
      </c>
      <c r="IDM77" s="277" t="s">
        <v>1072</v>
      </c>
      <c r="IDN77" s="277" t="s">
        <v>1072</v>
      </c>
      <c r="IDO77" s="277" t="s">
        <v>1072</v>
      </c>
      <c r="IDP77" s="277" t="s">
        <v>1072</v>
      </c>
      <c r="IDQ77" s="277" t="s">
        <v>1072</v>
      </c>
      <c r="IDR77" s="277" t="s">
        <v>1072</v>
      </c>
      <c r="IDS77" s="277" t="s">
        <v>1072</v>
      </c>
      <c r="IDT77" s="277" t="s">
        <v>1072</v>
      </c>
      <c r="IDU77" s="277" t="s">
        <v>1072</v>
      </c>
      <c r="IDV77" s="277" t="s">
        <v>1072</v>
      </c>
      <c r="IDW77" s="277" t="s">
        <v>1072</v>
      </c>
      <c r="IDX77" s="277" t="s">
        <v>1072</v>
      </c>
      <c r="IDY77" s="277" t="s">
        <v>1072</v>
      </c>
      <c r="IDZ77" s="277" t="s">
        <v>1072</v>
      </c>
      <c r="IEA77" s="277" t="s">
        <v>1072</v>
      </c>
      <c r="IEB77" s="277" t="s">
        <v>1072</v>
      </c>
      <c r="IEC77" s="277" t="s">
        <v>1072</v>
      </c>
      <c r="IED77" s="277" t="s">
        <v>1072</v>
      </c>
      <c r="IEE77" s="277" t="s">
        <v>1072</v>
      </c>
      <c r="IEF77" s="277" t="s">
        <v>1072</v>
      </c>
      <c r="IEG77" s="277" t="s">
        <v>1072</v>
      </c>
      <c r="IEH77" s="277" t="s">
        <v>1072</v>
      </c>
      <c r="IEI77" s="277" t="s">
        <v>1072</v>
      </c>
      <c r="IEJ77" s="277" t="s">
        <v>1072</v>
      </c>
      <c r="IEK77" s="277" t="s">
        <v>1072</v>
      </c>
      <c r="IEL77" s="277" t="s">
        <v>1072</v>
      </c>
      <c r="IEM77" s="277" t="s">
        <v>1072</v>
      </c>
      <c r="IEN77" s="277" t="s">
        <v>1072</v>
      </c>
      <c r="IEO77" s="277" t="s">
        <v>1072</v>
      </c>
      <c r="IEP77" s="277" t="s">
        <v>1072</v>
      </c>
      <c r="IEQ77" s="277" t="s">
        <v>1072</v>
      </c>
      <c r="IER77" s="277" t="s">
        <v>1072</v>
      </c>
      <c r="IES77" s="277" t="s">
        <v>1072</v>
      </c>
      <c r="IET77" s="277" t="s">
        <v>1072</v>
      </c>
      <c r="IEU77" s="277" t="s">
        <v>1072</v>
      </c>
      <c r="IEV77" s="277" t="s">
        <v>1072</v>
      </c>
      <c r="IEW77" s="277" t="s">
        <v>1072</v>
      </c>
      <c r="IEX77" s="277" t="s">
        <v>1072</v>
      </c>
      <c r="IEY77" s="277" t="s">
        <v>1072</v>
      </c>
      <c r="IEZ77" s="277" t="s">
        <v>1072</v>
      </c>
      <c r="IFA77" s="277" t="s">
        <v>1072</v>
      </c>
      <c r="IFB77" s="277" t="s">
        <v>1072</v>
      </c>
      <c r="IFC77" s="277" t="s">
        <v>1072</v>
      </c>
      <c r="IFD77" s="277" t="s">
        <v>1072</v>
      </c>
      <c r="IFE77" s="277" t="s">
        <v>1072</v>
      </c>
      <c r="IFF77" s="277" t="s">
        <v>1072</v>
      </c>
      <c r="IFG77" s="277" t="s">
        <v>1072</v>
      </c>
      <c r="IFH77" s="277" t="s">
        <v>1072</v>
      </c>
      <c r="IFI77" s="277" t="s">
        <v>1072</v>
      </c>
      <c r="IFJ77" s="277" t="s">
        <v>1072</v>
      </c>
      <c r="IFK77" s="277" t="s">
        <v>1072</v>
      </c>
      <c r="IFL77" s="277" t="s">
        <v>1072</v>
      </c>
      <c r="IFM77" s="277" t="s">
        <v>1072</v>
      </c>
      <c r="IFN77" s="277" t="s">
        <v>1072</v>
      </c>
      <c r="IFO77" s="277" t="s">
        <v>1072</v>
      </c>
      <c r="IFP77" s="277" t="s">
        <v>1072</v>
      </c>
      <c r="IFQ77" s="277" t="s">
        <v>1072</v>
      </c>
      <c r="IFR77" s="277" t="s">
        <v>1072</v>
      </c>
      <c r="IFS77" s="277" t="s">
        <v>1072</v>
      </c>
      <c r="IFT77" s="277" t="s">
        <v>1072</v>
      </c>
      <c r="IFU77" s="277" t="s">
        <v>1072</v>
      </c>
      <c r="IFV77" s="277" t="s">
        <v>1072</v>
      </c>
      <c r="IFW77" s="277" t="s">
        <v>1072</v>
      </c>
      <c r="IFX77" s="277" t="s">
        <v>1072</v>
      </c>
      <c r="IFY77" s="277" t="s">
        <v>1072</v>
      </c>
      <c r="IFZ77" s="277" t="s">
        <v>1072</v>
      </c>
      <c r="IGA77" s="277" t="s">
        <v>1072</v>
      </c>
      <c r="IGB77" s="277" t="s">
        <v>1072</v>
      </c>
      <c r="IGC77" s="277" t="s">
        <v>1072</v>
      </c>
      <c r="IGD77" s="277" t="s">
        <v>1072</v>
      </c>
      <c r="IGE77" s="277" t="s">
        <v>1072</v>
      </c>
      <c r="IGF77" s="277" t="s">
        <v>1072</v>
      </c>
      <c r="IGG77" s="277" t="s">
        <v>1072</v>
      </c>
      <c r="IGH77" s="277" t="s">
        <v>1072</v>
      </c>
      <c r="IGI77" s="277" t="s">
        <v>1072</v>
      </c>
      <c r="IGJ77" s="277" t="s">
        <v>1072</v>
      </c>
      <c r="IGK77" s="277" t="s">
        <v>1072</v>
      </c>
      <c r="IGL77" s="277" t="s">
        <v>1072</v>
      </c>
      <c r="IGM77" s="277" t="s">
        <v>1072</v>
      </c>
      <c r="IGN77" s="277" t="s">
        <v>1072</v>
      </c>
      <c r="IGO77" s="277" t="s">
        <v>1072</v>
      </c>
      <c r="IGP77" s="277" t="s">
        <v>1072</v>
      </c>
      <c r="IGQ77" s="277" t="s">
        <v>1072</v>
      </c>
      <c r="IGR77" s="277" t="s">
        <v>1072</v>
      </c>
      <c r="IGS77" s="277" t="s">
        <v>1072</v>
      </c>
      <c r="IGT77" s="277" t="s">
        <v>1072</v>
      </c>
      <c r="IGU77" s="277" t="s">
        <v>1072</v>
      </c>
      <c r="IGV77" s="277" t="s">
        <v>1072</v>
      </c>
      <c r="IGW77" s="277" t="s">
        <v>1072</v>
      </c>
      <c r="IGX77" s="277" t="s">
        <v>1072</v>
      </c>
      <c r="IGY77" s="277" t="s">
        <v>1072</v>
      </c>
      <c r="IGZ77" s="277" t="s">
        <v>1072</v>
      </c>
      <c r="IHA77" s="277" t="s">
        <v>1072</v>
      </c>
      <c r="IHB77" s="277" t="s">
        <v>1072</v>
      </c>
      <c r="IHC77" s="277" t="s">
        <v>1072</v>
      </c>
      <c r="IHD77" s="277" t="s">
        <v>1072</v>
      </c>
      <c r="IHE77" s="277" t="s">
        <v>1072</v>
      </c>
      <c r="IHF77" s="277" t="s">
        <v>1072</v>
      </c>
      <c r="IHG77" s="277" t="s">
        <v>1072</v>
      </c>
      <c r="IHH77" s="277" t="s">
        <v>1072</v>
      </c>
      <c r="IHI77" s="277" t="s">
        <v>1072</v>
      </c>
      <c r="IHJ77" s="277" t="s">
        <v>1072</v>
      </c>
      <c r="IHK77" s="277" t="s">
        <v>1072</v>
      </c>
      <c r="IHL77" s="277" t="s">
        <v>1072</v>
      </c>
      <c r="IHM77" s="277" t="s">
        <v>1072</v>
      </c>
      <c r="IHN77" s="277" t="s">
        <v>1072</v>
      </c>
      <c r="IHO77" s="277" t="s">
        <v>1072</v>
      </c>
      <c r="IHP77" s="277" t="s">
        <v>1072</v>
      </c>
      <c r="IHQ77" s="277" t="s">
        <v>1072</v>
      </c>
      <c r="IHR77" s="277" t="s">
        <v>1072</v>
      </c>
      <c r="IHS77" s="277" t="s">
        <v>1072</v>
      </c>
      <c r="IHT77" s="277" t="s">
        <v>1072</v>
      </c>
      <c r="IHU77" s="277" t="s">
        <v>1072</v>
      </c>
      <c r="IHV77" s="277" t="s">
        <v>1072</v>
      </c>
      <c r="IHW77" s="277" t="s">
        <v>1072</v>
      </c>
      <c r="IHX77" s="277" t="s">
        <v>1072</v>
      </c>
      <c r="IHY77" s="277" t="s">
        <v>1072</v>
      </c>
      <c r="IHZ77" s="277" t="s">
        <v>1072</v>
      </c>
      <c r="IIA77" s="277" t="s">
        <v>1072</v>
      </c>
      <c r="IIB77" s="277" t="s">
        <v>1072</v>
      </c>
      <c r="IIC77" s="277" t="s">
        <v>1072</v>
      </c>
      <c r="IID77" s="277" t="s">
        <v>1072</v>
      </c>
      <c r="IIE77" s="277" t="s">
        <v>1072</v>
      </c>
      <c r="IIF77" s="277" t="s">
        <v>1072</v>
      </c>
      <c r="IIG77" s="277" t="s">
        <v>1072</v>
      </c>
      <c r="IIH77" s="277" t="s">
        <v>1072</v>
      </c>
      <c r="III77" s="277" t="s">
        <v>1072</v>
      </c>
      <c r="IIJ77" s="277" t="s">
        <v>1072</v>
      </c>
      <c r="IIK77" s="277" t="s">
        <v>1072</v>
      </c>
      <c r="IIL77" s="277" t="s">
        <v>1072</v>
      </c>
      <c r="IIM77" s="277" t="s">
        <v>1072</v>
      </c>
      <c r="IIN77" s="277" t="s">
        <v>1072</v>
      </c>
      <c r="IIO77" s="277" t="s">
        <v>1072</v>
      </c>
      <c r="IIP77" s="277" t="s">
        <v>1072</v>
      </c>
      <c r="IIQ77" s="277" t="s">
        <v>1072</v>
      </c>
      <c r="IIR77" s="277" t="s">
        <v>1072</v>
      </c>
      <c r="IIS77" s="277" t="s">
        <v>1072</v>
      </c>
      <c r="IIT77" s="277" t="s">
        <v>1072</v>
      </c>
      <c r="IIU77" s="277" t="s">
        <v>1072</v>
      </c>
      <c r="IIV77" s="277" t="s">
        <v>1072</v>
      </c>
      <c r="IIW77" s="277" t="s">
        <v>1072</v>
      </c>
      <c r="IIX77" s="277" t="s">
        <v>1072</v>
      </c>
      <c r="IIY77" s="277" t="s">
        <v>1072</v>
      </c>
      <c r="IIZ77" s="277" t="s">
        <v>1072</v>
      </c>
      <c r="IJA77" s="277" t="s">
        <v>1072</v>
      </c>
      <c r="IJB77" s="277" t="s">
        <v>1072</v>
      </c>
      <c r="IJC77" s="277" t="s">
        <v>1072</v>
      </c>
      <c r="IJD77" s="277" t="s">
        <v>1072</v>
      </c>
      <c r="IJE77" s="277" t="s">
        <v>1072</v>
      </c>
      <c r="IJF77" s="277" t="s">
        <v>1072</v>
      </c>
      <c r="IJG77" s="277" t="s">
        <v>1072</v>
      </c>
      <c r="IJH77" s="277" t="s">
        <v>1072</v>
      </c>
      <c r="IJI77" s="277" t="s">
        <v>1072</v>
      </c>
      <c r="IJJ77" s="277" t="s">
        <v>1072</v>
      </c>
      <c r="IJK77" s="277" t="s">
        <v>1072</v>
      </c>
      <c r="IJL77" s="277" t="s">
        <v>1072</v>
      </c>
      <c r="IJM77" s="277" t="s">
        <v>1072</v>
      </c>
      <c r="IJN77" s="277" t="s">
        <v>1072</v>
      </c>
      <c r="IJO77" s="277" t="s">
        <v>1072</v>
      </c>
      <c r="IJP77" s="277" t="s">
        <v>1072</v>
      </c>
      <c r="IJQ77" s="277" t="s">
        <v>1072</v>
      </c>
      <c r="IJR77" s="277" t="s">
        <v>1072</v>
      </c>
      <c r="IJS77" s="277" t="s">
        <v>1072</v>
      </c>
      <c r="IJT77" s="277" t="s">
        <v>1072</v>
      </c>
      <c r="IJU77" s="277" t="s">
        <v>1072</v>
      </c>
      <c r="IJV77" s="277" t="s">
        <v>1072</v>
      </c>
      <c r="IJW77" s="277" t="s">
        <v>1072</v>
      </c>
      <c r="IJX77" s="277" t="s">
        <v>1072</v>
      </c>
      <c r="IJY77" s="277" t="s">
        <v>1072</v>
      </c>
      <c r="IJZ77" s="277" t="s">
        <v>1072</v>
      </c>
      <c r="IKA77" s="277" t="s">
        <v>1072</v>
      </c>
      <c r="IKB77" s="277" t="s">
        <v>1072</v>
      </c>
      <c r="IKC77" s="277" t="s">
        <v>1072</v>
      </c>
      <c r="IKD77" s="277" t="s">
        <v>1072</v>
      </c>
      <c r="IKE77" s="277" t="s">
        <v>1072</v>
      </c>
      <c r="IKF77" s="277" t="s">
        <v>1072</v>
      </c>
      <c r="IKG77" s="277" t="s">
        <v>1072</v>
      </c>
      <c r="IKH77" s="277" t="s">
        <v>1072</v>
      </c>
      <c r="IKI77" s="277" t="s">
        <v>1072</v>
      </c>
      <c r="IKJ77" s="277" t="s">
        <v>1072</v>
      </c>
      <c r="IKK77" s="277" t="s">
        <v>1072</v>
      </c>
      <c r="IKL77" s="277" t="s">
        <v>1072</v>
      </c>
      <c r="IKM77" s="277" t="s">
        <v>1072</v>
      </c>
      <c r="IKN77" s="277" t="s">
        <v>1072</v>
      </c>
      <c r="IKO77" s="277" t="s">
        <v>1072</v>
      </c>
      <c r="IKP77" s="277" t="s">
        <v>1072</v>
      </c>
      <c r="IKQ77" s="277" t="s">
        <v>1072</v>
      </c>
      <c r="IKR77" s="277" t="s">
        <v>1072</v>
      </c>
      <c r="IKS77" s="277" t="s">
        <v>1072</v>
      </c>
      <c r="IKT77" s="277" t="s">
        <v>1072</v>
      </c>
      <c r="IKU77" s="277" t="s">
        <v>1072</v>
      </c>
      <c r="IKV77" s="277" t="s">
        <v>1072</v>
      </c>
      <c r="IKW77" s="277" t="s">
        <v>1072</v>
      </c>
      <c r="IKX77" s="277" t="s">
        <v>1072</v>
      </c>
      <c r="IKY77" s="277" t="s">
        <v>1072</v>
      </c>
      <c r="IKZ77" s="277" t="s">
        <v>1072</v>
      </c>
      <c r="ILA77" s="277" t="s">
        <v>1072</v>
      </c>
      <c r="ILB77" s="277" t="s">
        <v>1072</v>
      </c>
      <c r="ILC77" s="277" t="s">
        <v>1072</v>
      </c>
      <c r="ILD77" s="277" t="s">
        <v>1072</v>
      </c>
      <c r="ILE77" s="277" t="s">
        <v>1072</v>
      </c>
      <c r="ILF77" s="277" t="s">
        <v>1072</v>
      </c>
      <c r="ILG77" s="277" t="s">
        <v>1072</v>
      </c>
      <c r="ILH77" s="277" t="s">
        <v>1072</v>
      </c>
      <c r="ILI77" s="277" t="s">
        <v>1072</v>
      </c>
      <c r="ILJ77" s="277" t="s">
        <v>1072</v>
      </c>
      <c r="ILK77" s="277" t="s">
        <v>1072</v>
      </c>
      <c r="ILL77" s="277" t="s">
        <v>1072</v>
      </c>
      <c r="ILM77" s="277" t="s">
        <v>1072</v>
      </c>
      <c r="ILN77" s="277" t="s">
        <v>1072</v>
      </c>
      <c r="ILO77" s="277" t="s">
        <v>1072</v>
      </c>
      <c r="ILP77" s="277" t="s">
        <v>1072</v>
      </c>
      <c r="ILQ77" s="277" t="s">
        <v>1072</v>
      </c>
      <c r="ILR77" s="277" t="s">
        <v>1072</v>
      </c>
      <c r="ILS77" s="277" t="s">
        <v>1072</v>
      </c>
      <c r="ILT77" s="277" t="s">
        <v>1072</v>
      </c>
      <c r="ILU77" s="277" t="s">
        <v>1072</v>
      </c>
      <c r="ILV77" s="277" t="s">
        <v>1072</v>
      </c>
      <c r="ILW77" s="277" t="s">
        <v>1072</v>
      </c>
      <c r="ILX77" s="277" t="s">
        <v>1072</v>
      </c>
      <c r="ILY77" s="277" t="s">
        <v>1072</v>
      </c>
      <c r="ILZ77" s="277" t="s">
        <v>1072</v>
      </c>
      <c r="IMA77" s="277" t="s">
        <v>1072</v>
      </c>
      <c r="IMB77" s="277" t="s">
        <v>1072</v>
      </c>
      <c r="IMC77" s="277" t="s">
        <v>1072</v>
      </c>
      <c r="IMD77" s="277" t="s">
        <v>1072</v>
      </c>
      <c r="IME77" s="277" t="s">
        <v>1072</v>
      </c>
      <c r="IMF77" s="277" t="s">
        <v>1072</v>
      </c>
      <c r="IMG77" s="277" t="s">
        <v>1072</v>
      </c>
      <c r="IMH77" s="277" t="s">
        <v>1072</v>
      </c>
      <c r="IMI77" s="277" t="s">
        <v>1072</v>
      </c>
      <c r="IMJ77" s="277" t="s">
        <v>1072</v>
      </c>
      <c r="IMK77" s="277" t="s">
        <v>1072</v>
      </c>
      <c r="IML77" s="277" t="s">
        <v>1072</v>
      </c>
      <c r="IMM77" s="277" t="s">
        <v>1072</v>
      </c>
      <c r="IMN77" s="277" t="s">
        <v>1072</v>
      </c>
      <c r="IMO77" s="277" t="s">
        <v>1072</v>
      </c>
      <c r="IMP77" s="277" t="s">
        <v>1072</v>
      </c>
      <c r="IMQ77" s="277" t="s">
        <v>1072</v>
      </c>
      <c r="IMR77" s="277" t="s">
        <v>1072</v>
      </c>
      <c r="IMS77" s="277" t="s">
        <v>1072</v>
      </c>
      <c r="IMT77" s="277" t="s">
        <v>1072</v>
      </c>
      <c r="IMU77" s="277" t="s">
        <v>1072</v>
      </c>
      <c r="IMV77" s="277" t="s">
        <v>1072</v>
      </c>
      <c r="IMW77" s="277" t="s">
        <v>1072</v>
      </c>
      <c r="IMX77" s="277" t="s">
        <v>1072</v>
      </c>
      <c r="IMY77" s="277" t="s">
        <v>1072</v>
      </c>
      <c r="IMZ77" s="277" t="s">
        <v>1072</v>
      </c>
      <c r="INA77" s="277" t="s">
        <v>1072</v>
      </c>
      <c r="INB77" s="277" t="s">
        <v>1072</v>
      </c>
      <c r="INC77" s="277" t="s">
        <v>1072</v>
      </c>
      <c r="IND77" s="277" t="s">
        <v>1072</v>
      </c>
      <c r="INE77" s="277" t="s">
        <v>1072</v>
      </c>
      <c r="INF77" s="277" t="s">
        <v>1072</v>
      </c>
      <c r="ING77" s="277" t="s">
        <v>1072</v>
      </c>
      <c r="INH77" s="277" t="s">
        <v>1072</v>
      </c>
      <c r="INI77" s="277" t="s">
        <v>1072</v>
      </c>
      <c r="INJ77" s="277" t="s">
        <v>1072</v>
      </c>
      <c r="INK77" s="277" t="s">
        <v>1072</v>
      </c>
      <c r="INL77" s="277" t="s">
        <v>1072</v>
      </c>
      <c r="INM77" s="277" t="s">
        <v>1072</v>
      </c>
      <c r="INN77" s="277" t="s">
        <v>1072</v>
      </c>
      <c r="INO77" s="277" t="s">
        <v>1072</v>
      </c>
      <c r="INP77" s="277" t="s">
        <v>1072</v>
      </c>
      <c r="INQ77" s="277" t="s">
        <v>1072</v>
      </c>
      <c r="INR77" s="277" t="s">
        <v>1072</v>
      </c>
      <c r="INS77" s="277" t="s">
        <v>1072</v>
      </c>
      <c r="INT77" s="277" t="s">
        <v>1072</v>
      </c>
      <c r="INU77" s="277" t="s">
        <v>1072</v>
      </c>
      <c r="INV77" s="277" t="s">
        <v>1072</v>
      </c>
      <c r="INW77" s="277" t="s">
        <v>1072</v>
      </c>
      <c r="INX77" s="277" t="s">
        <v>1072</v>
      </c>
      <c r="INY77" s="277" t="s">
        <v>1072</v>
      </c>
      <c r="INZ77" s="277" t="s">
        <v>1072</v>
      </c>
      <c r="IOA77" s="277" t="s">
        <v>1072</v>
      </c>
      <c r="IOB77" s="277" t="s">
        <v>1072</v>
      </c>
      <c r="IOC77" s="277" t="s">
        <v>1072</v>
      </c>
      <c r="IOD77" s="277" t="s">
        <v>1072</v>
      </c>
      <c r="IOE77" s="277" t="s">
        <v>1072</v>
      </c>
      <c r="IOF77" s="277" t="s">
        <v>1072</v>
      </c>
      <c r="IOG77" s="277" t="s">
        <v>1072</v>
      </c>
      <c r="IOH77" s="277" t="s">
        <v>1072</v>
      </c>
      <c r="IOI77" s="277" t="s">
        <v>1072</v>
      </c>
      <c r="IOJ77" s="277" t="s">
        <v>1072</v>
      </c>
      <c r="IOK77" s="277" t="s">
        <v>1072</v>
      </c>
      <c r="IOL77" s="277" t="s">
        <v>1072</v>
      </c>
      <c r="IOM77" s="277" t="s">
        <v>1072</v>
      </c>
      <c r="ION77" s="277" t="s">
        <v>1072</v>
      </c>
      <c r="IOO77" s="277" t="s">
        <v>1072</v>
      </c>
      <c r="IOP77" s="277" t="s">
        <v>1072</v>
      </c>
      <c r="IOQ77" s="277" t="s">
        <v>1072</v>
      </c>
      <c r="IOR77" s="277" t="s">
        <v>1072</v>
      </c>
      <c r="IOS77" s="277" t="s">
        <v>1072</v>
      </c>
      <c r="IOT77" s="277" t="s">
        <v>1072</v>
      </c>
      <c r="IOU77" s="277" t="s">
        <v>1072</v>
      </c>
      <c r="IOV77" s="277" t="s">
        <v>1072</v>
      </c>
      <c r="IOW77" s="277" t="s">
        <v>1072</v>
      </c>
      <c r="IOX77" s="277" t="s">
        <v>1072</v>
      </c>
      <c r="IOY77" s="277" t="s">
        <v>1072</v>
      </c>
      <c r="IOZ77" s="277" t="s">
        <v>1072</v>
      </c>
      <c r="IPA77" s="277" t="s">
        <v>1072</v>
      </c>
      <c r="IPB77" s="277" t="s">
        <v>1072</v>
      </c>
      <c r="IPC77" s="277" t="s">
        <v>1072</v>
      </c>
      <c r="IPD77" s="277" t="s">
        <v>1072</v>
      </c>
      <c r="IPE77" s="277" t="s">
        <v>1072</v>
      </c>
      <c r="IPF77" s="277" t="s">
        <v>1072</v>
      </c>
      <c r="IPG77" s="277" t="s">
        <v>1072</v>
      </c>
      <c r="IPH77" s="277" t="s">
        <v>1072</v>
      </c>
      <c r="IPI77" s="277" t="s">
        <v>1072</v>
      </c>
      <c r="IPJ77" s="277" t="s">
        <v>1072</v>
      </c>
      <c r="IPK77" s="277" t="s">
        <v>1072</v>
      </c>
      <c r="IPL77" s="277" t="s">
        <v>1072</v>
      </c>
      <c r="IPM77" s="277" t="s">
        <v>1072</v>
      </c>
      <c r="IPN77" s="277" t="s">
        <v>1072</v>
      </c>
      <c r="IPO77" s="277" t="s">
        <v>1072</v>
      </c>
      <c r="IPP77" s="277" t="s">
        <v>1072</v>
      </c>
      <c r="IPQ77" s="277" t="s">
        <v>1072</v>
      </c>
      <c r="IPR77" s="277" t="s">
        <v>1072</v>
      </c>
      <c r="IPS77" s="277" t="s">
        <v>1072</v>
      </c>
      <c r="IPT77" s="277" t="s">
        <v>1072</v>
      </c>
      <c r="IPU77" s="277" t="s">
        <v>1072</v>
      </c>
      <c r="IPV77" s="277" t="s">
        <v>1072</v>
      </c>
      <c r="IPW77" s="277" t="s">
        <v>1072</v>
      </c>
      <c r="IPX77" s="277" t="s">
        <v>1072</v>
      </c>
      <c r="IPY77" s="277" t="s">
        <v>1072</v>
      </c>
      <c r="IPZ77" s="277" t="s">
        <v>1072</v>
      </c>
      <c r="IQA77" s="277" t="s">
        <v>1072</v>
      </c>
      <c r="IQB77" s="277" t="s">
        <v>1072</v>
      </c>
      <c r="IQC77" s="277" t="s">
        <v>1072</v>
      </c>
      <c r="IQD77" s="277" t="s">
        <v>1072</v>
      </c>
      <c r="IQE77" s="277" t="s">
        <v>1072</v>
      </c>
      <c r="IQF77" s="277" t="s">
        <v>1072</v>
      </c>
      <c r="IQG77" s="277" t="s">
        <v>1072</v>
      </c>
      <c r="IQH77" s="277" t="s">
        <v>1072</v>
      </c>
      <c r="IQI77" s="277" t="s">
        <v>1072</v>
      </c>
      <c r="IQJ77" s="277" t="s">
        <v>1072</v>
      </c>
      <c r="IQK77" s="277" t="s">
        <v>1072</v>
      </c>
      <c r="IQL77" s="277" t="s">
        <v>1072</v>
      </c>
      <c r="IQM77" s="277" t="s">
        <v>1072</v>
      </c>
      <c r="IQN77" s="277" t="s">
        <v>1072</v>
      </c>
      <c r="IQO77" s="277" t="s">
        <v>1072</v>
      </c>
      <c r="IQP77" s="277" t="s">
        <v>1072</v>
      </c>
      <c r="IQQ77" s="277" t="s">
        <v>1072</v>
      </c>
      <c r="IQR77" s="277" t="s">
        <v>1072</v>
      </c>
      <c r="IQS77" s="277" t="s">
        <v>1072</v>
      </c>
      <c r="IQT77" s="277" t="s">
        <v>1072</v>
      </c>
      <c r="IQU77" s="277" t="s">
        <v>1072</v>
      </c>
      <c r="IQV77" s="277" t="s">
        <v>1072</v>
      </c>
      <c r="IQW77" s="277" t="s">
        <v>1072</v>
      </c>
      <c r="IQX77" s="277" t="s">
        <v>1072</v>
      </c>
      <c r="IQY77" s="277" t="s">
        <v>1072</v>
      </c>
      <c r="IQZ77" s="277" t="s">
        <v>1072</v>
      </c>
      <c r="IRA77" s="277" t="s">
        <v>1072</v>
      </c>
      <c r="IRB77" s="277" t="s">
        <v>1072</v>
      </c>
      <c r="IRC77" s="277" t="s">
        <v>1072</v>
      </c>
      <c r="IRD77" s="277" t="s">
        <v>1072</v>
      </c>
      <c r="IRE77" s="277" t="s">
        <v>1072</v>
      </c>
      <c r="IRF77" s="277" t="s">
        <v>1072</v>
      </c>
      <c r="IRG77" s="277" t="s">
        <v>1072</v>
      </c>
      <c r="IRH77" s="277" t="s">
        <v>1072</v>
      </c>
      <c r="IRI77" s="277" t="s">
        <v>1072</v>
      </c>
      <c r="IRJ77" s="277" t="s">
        <v>1072</v>
      </c>
      <c r="IRK77" s="277" t="s">
        <v>1072</v>
      </c>
      <c r="IRL77" s="277" t="s">
        <v>1072</v>
      </c>
      <c r="IRM77" s="277" t="s">
        <v>1072</v>
      </c>
      <c r="IRN77" s="277" t="s">
        <v>1072</v>
      </c>
      <c r="IRO77" s="277" t="s">
        <v>1072</v>
      </c>
      <c r="IRP77" s="277" t="s">
        <v>1072</v>
      </c>
      <c r="IRQ77" s="277" t="s">
        <v>1072</v>
      </c>
      <c r="IRR77" s="277" t="s">
        <v>1072</v>
      </c>
      <c r="IRS77" s="277" t="s">
        <v>1072</v>
      </c>
      <c r="IRT77" s="277" t="s">
        <v>1072</v>
      </c>
      <c r="IRU77" s="277" t="s">
        <v>1072</v>
      </c>
      <c r="IRV77" s="277" t="s">
        <v>1072</v>
      </c>
      <c r="IRW77" s="277" t="s">
        <v>1072</v>
      </c>
      <c r="IRX77" s="277" t="s">
        <v>1072</v>
      </c>
      <c r="IRY77" s="277" t="s">
        <v>1072</v>
      </c>
      <c r="IRZ77" s="277" t="s">
        <v>1072</v>
      </c>
      <c r="ISA77" s="277" t="s">
        <v>1072</v>
      </c>
      <c r="ISB77" s="277" t="s">
        <v>1072</v>
      </c>
      <c r="ISC77" s="277" t="s">
        <v>1072</v>
      </c>
      <c r="ISD77" s="277" t="s">
        <v>1072</v>
      </c>
      <c r="ISE77" s="277" t="s">
        <v>1072</v>
      </c>
      <c r="ISF77" s="277" t="s">
        <v>1072</v>
      </c>
      <c r="ISG77" s="277" t="s">
        <v>1072</v>
      </c>
      <c r="ISH77" s="277" t="s">
        <v>1072</v>
      </c>
      <c r="ISI77" s="277" t="s">
        <v>1072</v>
      </c>
      <c r="ISJ77" s="277" t="s">
        <v>1072</v>
      </c>
      <c r="ISK77" s="277" t="s">
        <v>1072</v>
      </c>
      <c r="ISL77" s="277" t="s">
        <v>1072</v>
      </c>
      <c r="ISM77" s="277" t="s">
        <v>1072</v>
      </c>
      <c r="ISN77" s="277" t="s">
        <v>1072</v>
      </c>
      <c r="ISO77" s="277" t="s">
        <v>1072</v>
      </c>
      <c r="ISP77" s="277" t="s">
        <v>1072</v>
      </c>
      <c r="ISQ77" s="277" t="s">
        <v>1072</v>
      </c>
      <c r="ISR77" s="277" t="s">
        <v>1072</v>
      </c>
      <c r="ISS77" s="277" t="s">
        <v>1072</v>
      </c>
      <c r="IST77" s="277" t="s">
        <v>1072</v>
      </c>
      <c r="ISU77" s="277" t="s">
        <v>1072</v>
      </c>
      <c r="ISV77" s="277" t="s">
        <v>1072</v>
      </c>
      <c r="ISW77" s="277" t="s">
        <v>1072</v>
      </c>
      <c r="ISX77" s="277" t="s">
        <v>1072</v>
      </c>
      <c r="ISY77" s="277" t="s">
        <v>1072</v>
      </c>
      <c r="ISZ77" s="277" t="s">
        <v>1072</v>
      </c>
      <c r="ITA77" s="277" t="s">
        <v>1072</v>
      </c>
      <c r="ITB77" s="277" t="s">
        <v>1072</v>
      </c>
      <c r="ITC77" s="277" t="s">
        <v>1072</v>
      </c>
      <c r="ITD77" s="277" t="s">
        <v>1072</v>
      </c>
      <c r="ITE77" s="277" t="s">
        <v>1072</v>
      </c>
      <c r="ITF77" s="277" t="s">
        <v>1072</v>
      </c>
      <c r="ITG77" s="277" t="s">
        <v>1072</v>
      </c>
      <c r="ITH77" s="277" t="s">
        <v>1072</v>
      </c>
      <c r="ITI77" s="277" t="s">
        <v>1072</v>
      </c>
      <c r="ITJ77" s="277" t="s">
        <v>1072</v>
      </c>
      <c r="ITK77" s="277" t="s">
        <v>1072</v>
      </c>
      <c r="ITL77" s="277" t="s">
        <v>1072</v>
      </c>
      <c r="ITM77" s="277" t="s">
        <v>1072</v>
      </c>
      <c r="ITN77" s="277" t="s">
        <v>1072</v>
      </c>
      <c r="ITO77" s="277" t="s">
        <v>1072</v>
      </c>
      <c r="ITP77" s="277" t="s">
        <v>1072</v>
      </c>
      <c r="ITQ77" s="277" t="s">
        <v>1072</v>
      </c>
      <c r="ITR77" s="277" t="s">
        <v>1072</v>
      </c>
      <c r="ITS77" s="277" t="s">
        <v>1072</v>
      </c>
      <c r="ITT77" s="277" t="s">
        <v>1072</v>
      </c>
      <c r="ITU77" s="277" t="s">
        <v>1072</v>
      </c>
      <c r="ITV77" s="277" t="s">
        <v>1072</v>
      </c>
      <c r="ITW77" s="277" t="s">
        <v>1072</v>
      </c>
      <c r="ITX77" s="277" t="s">
        <v>1072</v>
      </c>
      <c r="ITY77" s="277" t="s">
        <v>1072</v>
      </c>
      <c r="ITZ77" s="277" t="s">
        <v>1072</v>
      </c>
      <c r="IUA77" s="277" t="s">
        <v>1072</v>
      </c>
      <c r="IUB77" s="277" t="s">
        <v>1072</v>
      </c>
      <c r="IUC77" s="277" t="s">
        <v>1072</v>
      </c>
      <c r="IUD77" s="277" t="s">
        <v>1072</v>
      </c>
      <c r="IUE77" s="277" t="s">
        <v>1072</v>
      </c>
      <c r="IUF77" s="277" t="s">
        <v>1072</v>
      </c>
      <c r="IUG77" s="277" t="s">
        <v>1072</v>
      </c>
      <c r="IUH77" s="277" t="s">
        <v>1072</v>
      </c>
      <c r="IUI77" s="277" t="s">
        <v>1072</v>
      </c>
      <c r="IUJ77" s="277" t="s">
        <v>1072</v>
      </c>
      <c r="IUK77" s="277" t="s">
        <v>1072</v>
      </c>
      <c r="IUL77" s="277" t="s">
        <v>1072</v>
      </c>
      <c r="IUM77" s="277" t="s">
        <v>1072</v>
      </c>
      <c r="IUN77" s="277" t="s">
        <v>1072</v>
      </c>
      <c r="IUO77" s="277" t="s">
        <v>1072</v>
      </c>
      <c r="IUP77" s="277" t="s">
        <v>1072</v>
      </c>
      <c r="IUQ77" s="277" t="s">
        <v>1072</v>
      </c>
      <c r="IUR77" s="277" t="s">
        <v>1072</v>
      </c>
      <c r="IUS77" s="277" t="s">
        <v>1072</v>
      </c>
      <c r="IUT77" s="277" t="s">
        <v>1072</v>
      </c>
      <c r="IUU77" s="277" t="s">
        <v>1072</v>
      </c>
      <c r="IUV77" s="277" t="s">
        <v>1072</v>
      </c>
      <c r="IUW77" s="277" t="s">
        <v>1072</v>
      </c>
      <c r="IUX77" s="277" t="s">
        <v>1072</v>
      </c>
      <c r="IUY77" s="277" t="s">
        <v>1072</v>
      </c>
      <c r="IUZ77" s="277" t="s">
        <v>1072</v>
      </c>
      <c r="IVA77" s="277" t="s">
        <v>1072</v>
      </c>
      <c r="IVB77" s="277" t="s">
        <v>1072</v>
      </c>
      <c r="IVC77" s="277" t="s">
        <v>1072</v>
      </c>
      <c r="IVD77" s="277" t="s">
        <v>1072</v>
      </c>
      <c r="IVE77" s="277" t="s">
        <v>1072</v>
      </c>
      <c r="IVF77" s="277" t="s">
        <v>1072</v>
      </c>
      <c r="IVG77" s="277" t="s">
        <v>1072</v>
      </c>
      <c r="IVH77" s="277" t="s">
        <v>1072</v>
      </c>
      <c r="IVI77" s="277" t="s">
        <v>1072</v>
      </c>
      <c r="IVJ77" s="277" t="s">
        <v>1072</v>
      </c>
      <c r="IVK77" s="277" t="s">
        <v>1072</v>
      </c>
      <c r="IVL77" s="277" t="s">
        <v>1072</v>
      </c>
      <c r="IVM77" s="277" t="s">
        <v>1072</v>
      </c>
      <c r="IVN77" s="277" t="s">
        <v>1072</v>
      </c>
      <c r="IVO77" s="277" t="s">
        <v>1072</v>
      </c>
      <c r="IVP77" s="277" t="s">
        <v>1072</v>
      </c>
      <c r="IVQ77" s="277" t="s">
        <v>1072</v>
      </c>
      <c r="IVR77" s="277" t="s">
        <v>1072</v>
      </c>
      <c r="IVS77" s="277" t="s">
        <v>1072</v>
      </c>
      <c r="IVT77" s="277" t="s">
        <v>1072</v>
      </c>
      <c r="IVU77" s="277" t="s">
        <v>1072</v>
      </c>
      <c r="IVV77" s="277" t="s">
        <v>1072</v>
      </c>
      <c r="IVW77" s="277" t="s">
        <v>1072</v>
      </c>
      <c r="IVX77" s="277" t="s">
        <v>1072</v>
      </c>
      <c r="IVY77" s="277" t="s">
        <v>1072</v>
      </c>
      <c r="IVZ77" s="277" t="s">
        <v>1072</v>
      </c>
      <c r="IWA77" s="277" t="s">
        <v>1072</v>
      </c>
      <c r="IWB77" s="277" t="s">
        <v>1072</v>
      </c>
      <c r="IWC77" s="277" t="s">
        <v>1072</v>
      </c>
      <c r="IWD77" s="277" t="s">
        <v>1072</v>
      </c>
      <c r="IWE77" s="277" t="s">
        <v>1072</v>
      </c>
      <c r="IWF77" s="277" t="s">
        <v>1072</v>
      </c>
      <c r="IWG77" s="277" t="s">
        <v>1072</v>
      </c>
      <c r="IWH77" s="277" t="s">
        <v>1072</v>
      </c>
      <c r="IWI77" s="277" t="s">
        <v>1072</v>
      </c>
      <c r="IWJ77" s="277" t="s">
        <v>1072</v>
      </c>
      <c r="IWK77" s="277" t="s">
        <v>1072</v>
      </c>
      <c r="IWL77" s="277" t="s">
        <v>1072</v>
      </c>
      <c r="IWM77" s="277" t="s">
        <v>1072</v>
      </c>
      <c r="IWN77" s="277" t="s">
        <v>1072</v>
      </c>
      <c r="IWO77" s="277" t="s">
        <v>1072</v>
      </c>
      <c r="IWP77" s="277" t="s">
        <v>1072</v>
      </c>
      <c r="IWQ77" s="277" t="s">
        <v>1072</v>
      </c>
      <c r="IWR77" s="277" t="s">
        <v>1072</v>
      </c>
      <c r="IWS77" s="277" t="s">
        <v>1072</v>
      </c>
      <c r="IWT77" s="277" t="s">
        <v>1072</v>
      </c>
      <c r="IWU77" s="277" t="s">
        <v>1072</v>
      </c>
      <c r="IWV77" s="277" t="s">
        <v>1072</v>
      </c>
      <c r="IWW77" s="277" t="s">
        <v>1072</v>
      </c>
      <c r="IWX77" s="277" t="s">
        <v>1072</v>
      </c>
      <c r="IWY77" s="277" t="s">
        <v>1072</v>
      </c>
      <c r="IWZ77" s="277" t="s">
        <v>1072</v>
      </c>
      <c r="IXA77" s="277" t="s">
        <v>1072</v>
      </c>
      <c r="IXB77" s="277" t="s">
        <v>1072</v>
      </c>
      <c r="IXC77" s="277" t="s">
        <v>1072</v>
      </c>
      <c r="IXD77" s="277" t="s">
        <v>1072</v>
      </c>
      <c r="IXE77" s="277" t="s">
        <v>1072</v>
      </c>
      <c r="IXF77" s="277" t="s">
        <v>1072</v>
      </c>
      <c r="IXG77" s="277" t="s">
        <v>1072</v>
      </c>
      <c r="IXH77" s="277" t="s">
        <v>1072</v>
      </c>
      <c r="IXI77" s="277" t="s">
        <v>1072</v>
      </c>
      <c r="IXJ77" s="277" t="s">
        <v>1072</v>
      </c>
      <c r="IXK77" s="277" t="s">
        <v>1072</v>
      </c>
      <c r="IXL77" s="277" t="s">
        <v>1072</v>
      </c>
      <c r="IXM77" s="277" t="s">
        <v>1072</v>
      </c>
      <c r="IXN77" s="277" t="s">
        <v>1072</v>
      </c>
      <c r="IXO77" s="277" t="s">
        <v>1072</v>
      </c>
      <c r="IXP77" s="277" t="s">
        <v>1072</v>
      </c>
      <c r="IXQ77" s="277" t="s">
        <v>1072</v>
      </c>
      <c r="IXR77" s="277" t="s">
        <v>1072</v>
      </c>
      <c r="IXS77" s="277" t="s">
        <v>1072</v>
      </c>
      <c r="IXT77" s="277" t="s">
        <v>1072</v>
      </c>
      <c r="IXU77" s="277" t="s">
        <v>1072</v>
      </c>
      <c r="IXV77" s="277" t="s">
        <v>1072</v>
      </c>
      <c r="IXW77" s="277" t="s">
        <v>1072</v>
      </c>
      <c r="IXX77" s="277" t="s">
        <v>1072</v>
      </c>
      <c r="IXY77" s="277" t="s">
        <v>1072</v>
      </c>
      <c r="IXZ77" s="277" t="s">
        <v>1072</v>
      </c>
      <c r="IYA77" s="277" t="s">
        <v>1072</v>
      </c>
      <c r="IYB77" s="277" t="s">
        <v>1072</v>
      </c>
      <c r="IYC77" s="277" t="s">
        <v>1072</v>
      </c>
      <c r="IYD77" s="277" t="s">
        <v>1072</v>
      </c>
      <c r="IYE77" s="277" t="s">
        <v>1072</v>
      </c>
      <c r="IYF77" s="277" t="s">
        <v>1072</v>
      </c>
      <c r="IYG77" s="277" t="s">
        <v>1072</v>
      </c>
      <c r="IYH77" s="277" t="s">
        <v>1072</v>
      </c>
      <c r="IYI77" s="277" t="s">
        <v>1072</v>
      </c>
      <c r="IYJ77" s="277" t="s">
        <v>1072</v>
      </c>
      <c r="IYK77" s="277" t="s">
        <v>1072</v>
      </c>
      <c r="IYL77" s="277" t="s">
        <v>1072</v>
      </c>
      <c r="IYM77" s="277" t="s">
        <v>1072</v>
      </c>
      <c r="IYN77" s="277" t="s">
        <v>1072</v>
      </c>
      <c r="IYO77" s="277" t="s">
        <v>1072</v>
      </c>
      <c r="IYP77" s="277" t="s">
        <v>1072</v>
      </c>
      <c r="IYQ77" s="277" t="s">
        <v>1072</v>
      </c>
      <c r="IYR77" s="277" t="s">
        <v>1072</v>
      </c>
      <c r="IYS77" s="277" t="s">
        <v>1072</v>
      </c>
      <c r="IYT77" s="277" t="s">
        <v>1072</v>
      </c>
      <c r="IYU77" s="277" t="s">
        <v>1072</v>
      </c>
      <c r="IYV77" s="277" t="s">
        <v>1072</v>
      </c>
      <c r="IYW77" s="277" t="s">
        <v>1072</v>
      </c>
      <c r="IYX77" s="277" t="s">
        <v>1072</v>
      </c>
      <c r="IYY77" s="277" t="s">
        <v>1072</v>
      </c>
      <c r="IYZ77" s="277" t="s">
        <v>1072</v>
      </c>
      <c r="IZA77" s="277" t="s">
        <v>1072</v>
      </c>
      <c r="IZB77" s="277" t="s">
        <v>1072</v>
      </c>
      <c r="IZC77" s="277" t="s">
        <v>1072</v>
      </c>
      <c r="IZD77" s="277" t="s">
        <v>1072</v>
      </c>
      <c r="IZE77" s="277" t="s">
        <v>1072</v>
      </c>
      <c r="IZF77" s="277" t="s">
        <v>1072</v>
      </c>
      <c r="IZG77" s="277" t="s">
        <v>1072</v>
      </c>
      <c r="IZH77" s="277" t="s">
        <v>1072</v>
      </c>
      <c r="IZI77" s="277" t="s">
        <v>1072</v>
      </c>
      <c r="IZJ77" s="277" t="s">
        <v>1072</v>
      </c>
      <c r="IZK77" s="277" t="s">
        <v>1072</v>
      </c>
      <c r="IZL77" s="277" t="s">
        <v>1072</v>
      </c>
      <c r="IZM77" s="277" t="s">
        <v>1072</v>
      </c>
      <c r="IZN77" s="277" t="s">
        <v>1072</v>
      </c>
      <c r="IZO77" s="277" t="s">
        <v>1072</v>
      </c>
      <c r="IZP77" s="277" t="s">
        <v>1072</v>
      </c>
      <c r="IZQ77" s="277" t="s">
        <v>1072</v>
      </c>
      <c r="IZR77" s="277" t="s">
        <v>1072</v>
      </c>
      <c r="IZS77" s="277" t="s">
        <v>1072</v>
      </c>
      <c r="IZT77" s="277" t="s">
        <v>1072</v>
      </c>
      <c r="IZU77" s="277" t="s">
        <v>1072</v>
      </c>
      <c r="IZV77" s="277" t="s">
        <v>1072</v>
      </c>
      <c r="IZW77" s="277" t="s">
        <v>1072</v>
      </c>
      <c r="IZX77" s="277" t="s">
        <v>1072</v>
      </c>
      <c r="IZY77" s="277" t="s">
        <v>1072</v>
      </c>
      <c r="IZZ77" s="277" t="s">
        <v>1072</v>
      </c>
      <c r="JAA77" s="277" t="s">
        <v>1072</v>
      </c>
      <c r="JAB77" s="277" t="s">
        <v>1072</v>
      </c>
      <c r="JAC77" s="277" t="s">
        <v>1072</v>
      </c>
      <c r="JAD77" s="277" t="s">
        <v>1072</v>
      </c>
      <c r="JAE77" s="277" t="s">
        <v>1072</v>
      </c>
      <c r="JAF77" s="277" t="s">
        <v>1072</v>
      </c>
      <c r="JAG77" s="277" t="s">
        <v>1072</v>
      </c>
      <c r="JAH77" s="277" t="s">
        <v>1072</v>
      </c>
      <c r="JAI77" s="277" t="s">
        <v>1072</v>
      </c>
      <c r="JAJ77" s="277" t="s">
        <v>1072</v>
      </c>
      <c r="JAK77" s="277" t="s">
        <v>1072</v>
      </c>
      <c r="JAL77" s="277" t="s">
        <v>1072</v>
      </c>
      <c r="JAM77" s="277" t="s">
        <v>1072</v>
      </c>
      <c r="JAN77" s="277" t="s">
        <v>1072</v>
      </c>
      <c r="JAO77" s="277" t="s">
        <v>1072</v>
      </c>
      <c r="JAP77" s="277" t="s">
        <v>1072</v>
      </c>
      <c r="JAQ77" s="277" t="s">
        <v>1072</v>
      </c>
      <c r="JAR77" s="277" t="s">
        <v>1072</v>
      </c>
      <c r="JAS77" s="277" t="s">
        <v>1072</v>
      </c>
      <c r="JAT77" s="277" t="s">
        <v>1072</v>
      </c>
      <c r="JAU77" s="277" t="s">
        <v>1072</v>
      </c>
      <c r="JAV77" s="277" t="s">
        <v>1072</v>
      </c>
      <c r="JAW77" s="277" t="s">
        <v>1072</v>
      </c>
      <c r="JAX77" s="277" t="s">
        <v>1072</v>
      </c>
      <c r="JAY77" s="277" t="s">
        <v>1072</v>
      </c>
      <c r="JAZ77" s="277" t="s">
        <v>1072</v>
      </c>
      <c r="JBA77" s="277" t="s">
        <v>1072</v>
      </c>
      <c r="JBB77" s="277" t="s">
        <v>1072</v>
      </c>
      <c r="JBC77" s="277" t="s">
        <v>1072</v>
      </c>
      <c r="JBD77" s="277" t="s">
        <v>1072</v>
      </c>
      <c r="JBE77" s="277" t="s">
        <v>1072</v>
      </c>
      <c r="JBF77" s="277" t="s">
        <v>1072</v>
      </c>
      <c r="JBG77" s="277" t="s">
        <v>1072</v>
      </c>
      <c r="JBH77" s="277" t="s">
        <v>1072</v>
      </c>
      <c r="JBI77" s="277" t="s">
        <v>1072</v>
      </c>
      <c r="JBJ77" s="277" t="s">
        <v>1072</v>
      </c>
      <c r="JBK77" s="277" t="s">
        <v>1072</v>
      </c>
      <c r="JBL77" s="277" t="s">
        <v>1072</v>
      </c>
      <c r="JBM77" s="277" t="s">
        <v>1072</v>
      </c>
      <c r="JBN77" s="277" t="s">
        <v>1072</v>
      </c>
      <c r="JBO77" s="277" t="s">
        <v>1072</v>
      </c>
      <c r="JBP77" s="277" t="s">
        <v>1072</v>
      </c>
      <c r="JBQ77" s="277" t="s">
        <v>1072</v>
      </c>
      <c r="JBR77" s="277" t="s">
        <v>1072</v>
      </c>
      <c r="JBS77" s="277" t="s">
        <v>1072</v>
      </c>
      <c r="JBT77" s="277" t="s">
        <v>1072</v>
      </c>
      <c r="JBU77" s="277" t="s">
        <v>1072</v>
      </c>
      <c r="JBV77" s="277" t="s">
        <v>1072</v>
      </c>
      <c r="JBW77" s="277" t="s">
        <v>1072</v>
      </c>
      <c r="JBX77" s="277" t="s">
        <v>1072</v>
      </c>
      <c r="JBY77" s="277" t="s">
        <v>1072</v>
      </c>
      <c r="JBZ77" s="277" t="s">
        <v>1072</v>
      </c>
      <c r="JCA77" s="277" t="s">
        <v>1072</v>
      </c>
      <c r="JCB77" s="277" t="s">
        <v>1072</v>
      </c>
      <c r="JCC77" s="277" t="s">
        <v>1072</v>
      </c>
      <c r="JCD77" s="277" t="s">
        <v>1072</v>
      </c>
      <c r="JCE77" s="277" t="s">
        <v>1072</v>
      </c>
      <c r="JCF77" s="277" t="s">
        <v>1072</v>
      </c>
      <c r="JCG77" s="277" t="s">
        <v>1072</v>
      </c>
      <c r="JCH77" s="277" t="s">
        <v>1072</v>
      </c>
      <c r="JCI77" s="277" t="s">
        <v>1072</v>
      </c>
      <c r="JCJ77" s="277" t="s">
        <v>1072</v>
      </c>
      <c r="JCK77" s="277" t="s">
        <v>1072</v>
      </c>
      <c r="JCL77" s="277" t="s">
        <v>1072</v>
      </c>
      <c r="JCM77" s="277" t="s">
        <v>1072</v>
      </c>
      <c r="JCN77" s="277" t="s">
        <v>1072</v>
      </c>
      <c r="JCO77" s="277" t="s">
        <v>1072</v>
      </c>
      <c r="JCP77" s="277" t="s">
        <v>1072</v>
      </c>
      <c r="JCQ77" s="277" t="s">
        <v>1072</v>
      </c>
      <c r="JCR77" s="277" t="s">
        <v>1072</v>
      </c>
      <c r="JCS77" s="277" t="s">
        <v>1072</v>
      </c>
      <c r="JCT77" s="277" t="s">
        <v>1072</v>
      </c>
      <c r="JCU77" s="277" t="s">
        <v>1072</v>
      </c>
      <c r="JCV77" s="277" t="s">
        <v>1072</v>
      </c>
      <c r="JCW77" s="277" t="s">
        <v>1072</v>
      </c>
      <c r="JCX77" s="277" t="s">
        <v>1072</v>
      </c>
      <c r="JCY77" s="277" t="s">
        <v>1072</v>
      </c>
      <c r="JCZ77" s="277" t="s">
        <v>1072</v>
      </c>
      <c r="JDA77" s="277" t="s">
        <v>1072</v>
      </c>
      <c r="JDB77" s="277" t="s">
        <v>1072</v>
      </c>
      <c r="JDC77" s="277" t="s">
        <v>1072</v>
      </c>
      <c r="JDD77" s="277" t="s">
        <v>1072</v>
      </c>
      <c r="JDE77" s="277" t="s">
        <v>1072</v>
      </c>
      <c r="JDF77" s="277" t="s">
        <v>1072</v>
      </c>
      <c r="JDG77" s="277" t="s">
        <v>1072</v>
      </c>
      <c r="JDH77" s="277" t="s">
        <v>1072</v>
      </c>
      <c r="JDI77" s="277" t="s">
        <v>1072</v>
      </c>
      <c r="JDJ77" s="277" t="s">
        <v>1072</v>
      </c>
      <c r="JDK77" s="277" t="s">
        <v>1072</v>
      </c>
      <c r="JDL77" s="277" t="s">
        <v>1072</v>
      </c>
      <c r="JDM77" s="277" t="s">
        <v>1072</v>
      </c>
      <c r="JDN77" s="277" t="s">
        <v>1072</v>
      </c>
      <c r="JDO77" s="277" t="s">
        <v>1072</v>
      </c>
      <c r="JDP77" s="277" t="s">
        <v>1072</v>
      </c>
      <c r="JDQ77" s="277" t="s">
        <v>1072</v>
      </c>
      <c r="JDR77" s="277" t="s">
        <v>1072</v>
      </c>
      <c r="JDS77" s="277" t="s">
        <v>1072</v>
      </c>
      <c r="JDT77" s="277" t="s">
        <v>1072</v>
      </c>
      <c r="JDU77" s="277" t="s">
        <v>1072</v>
      </c>
      <c r="JDV77" s="277" t="s">
        <v>1072</v>
      </c>
      <c r="JDW77" s="277" t="s">
        <v>1072</v>
      </c>
      <c r="JDX77" s="277" t="s">
        <v>1072</v>
      </c>
      <c r="JDY77" s="277" t="s">
        <v>1072</v>
      </c>
      <c r="JDZ77" s="277" t="s">
        <v>1072</v>
      </c>
      <c r="JEA77" s="277" t="s">
        <v>1072</v>
      </c>
      <c r="JEB77" s="277" t="s">
        <v>1072</v>
      </c>
      <c r="JEC77" s="277" t="s">
        <v>1072</v>
      </c>
      <c r="JED77" s="277" t="s">
        <v>1072</v>
      </c>
      <c r="JEE77" s="277" t="s">
        <v>1072</v>
      </c>
      <c r="JEF77" s="277" t="s">
        <v>1072</v>
      </c>
      <c r="JEG77" s="277" t="s">
        <v>1072</v>
      </c>
      <c r="JEH77" s="277" t="s">
        <v>1072</v>
      </c>
      <c r="JEI77" s="277" t="s">
        <v>1072</v>
      </c>
      <c r="JEJ77" s="277" t="s">
        <v>1072</v>
      </c>
      <c r="JEK77" s="277" t="s">
        <v>1072</v>
      </c>
      <c r="JEL77" s="277" t="s">
        <v>1072</v>
      </c>
      <c r="JEM77" s="277" t="s">
        <v>1072</v>
      </c>
      <c r="JEN77" s="277" t="s">
        <v>1072</v>
      </c>
      <c r="JEO77" s="277" t="s">
        <v>1072</v>
      </c>
      <c r="JEP77" s="277" t="s">
        <v>1072</v>
      </c>
      <c r="JEQ77" s="277" t="s">
        <v>1072</v>
      </c>
      <c r="JER77" s="277" t="s">
        <v>1072</v>
      </c>
      <c r="JES77" s="277" t="s">
        <v>1072</v>
      </c>
      <c r="JET77" s="277" t="s">
        <v>1072</v>
      </c>
      <c r="JEU77" s="277" t="s">
        <v>1072</v>
      </c>
      <c r="JEV77" s="277" t="s">
        <v>1072</v>
      </c>
      <c r="JEW77" s="277" t="s">
        <v>1072</v>
      </c>
      <c r="JEX77" s="277" t="s">
        <v>1072</v>
      </c>
      <c r="JEY77" s="277" t="s">
        <v>1072</v>
      </c>
      <c r="JEZ77" s="277" t="s">
        <v>1072</v>
      </c>
      <c r="JFA77" s="277" t="s">
        <v>1072</v>
      </c>
      <c r="JFB77" s="277" t="s">
        <v>1072</v>
      </c>
      <c r="JFC77" s="277" t="s">
        <v>1072</v>
      </c>
      <c r="JFD77" s="277" t="s">
        <v>1072</v>
      </c>
      <c r="JFE77" s="277" t="s">
        <v>1072</v>
      </c>
      <c r="JFF77" s="277" t="s">
        <v>1072</v>
      </c>
      <c r="JFG77" s="277" t="s">
        <v>1072</v>
      </c>
      <c r="JFH77" s="277" t="s">
        <v>1072</v>
      </c>
      <c r="JFI77" s="277" t="s">
        <v>1072</v>
      </c>
      <c r="JFJ77" s="277" t="s">
        <v>1072</v>
      </c>
      <c r="JFK77" s="277" t="s">
        <v>1072</v>
      </c>
      <c r="JFL77" s="277" t="s">
        <v>1072</v>
      </c>
      <c r="JFM77" s="277" t="s">
        <v>1072</v>
      </c>
      <c r="JFN77" s="277" t="s">
        <v>1072</v>
      </c>
      <c r="JFO77" s="277" t="s">
        <v>1072</v>
      </c>
      <c r="JFP77" s="277" t="s">
        <v>1072</v>
      </c>
      <c r="JFQ77" s="277" t="s">
        <v>1072</v>
      </c>
      <c r="JFR77" s="277" t="s">
        <v>1072</v>
      </c>
      <c r="JFS77" s="277" t="s">
        <v>1072</v>
      </c>
      <c r="JFT77" s="277" t="s">
        <v>1072</v>
      </c>
      <c r="JFU77" s="277" t="s">
        <v>1072</v>
      </c>
      <c r="JFV77" s="277" t="s">
        <v>1072</v>
      </c>
      <c r="JFW77" s="277" t="s">
        <v>1072</v>
      </c>
      <c r="JFX77" s="277" t="s">
        <v>1072</v>
      </c>
      <c r="JFY77" s="277" t="s">
        <v>1072</v>
      </c>
      <c r="JFZ77" s="277" t="s">
        <v>1072</v>
      </c>
      <c r="JGA77" s="277" t="s">
        <v>1072</v>
      </c>
      <c r="JGB77" s="277" t="s">
        <v>1072</v>
      </c>
      <c r="JGC77" s="277" t="s">
        <v>1072</v>
      </c>
      <c r="JGD77" s="277" t="s">
        <v>1072</v>
      </c>
      <c r="JGE77" s="277" t="s">
        <v>1072</v>
      </c>
      <c r="JGF77" s="277" t="s">
        <v>1072</v>
      </c>
      <c r="JGG77" s="277" t="s">
        <v>1072</v>
      </c>
      <c r="JGH77" s="277" t="s">
        <v>1072</v>
      </c>
      <c r="JGI77" s="277" t="s">
        <v>1072</v>
      </c>
      <c r="JGJ77" s="277" t="s">
        <v>1072</v>
      </c>
      <c r="JGK77" s="277" t="s">
        <v>1072</v>
      </c>
      <c r="JGL77" s="277" t="s">
        <v>1072</v>
      </c>
      <c r="JGM77" s="277" t="s">
        <v>1072</v>
      </c>
      <c r="JGN77" s="277" t="s">
        <v>1072</v>
      </c>
      <c r="JGO77" s="277" t="s">
        <v>1072</v>
      </c>
      <c r="JGP77" s="277" t="s">
        <v>1072</v>
      </c>
      <c r="JGQ77" s="277" t="s">
        <v>1072</v>
      </c>
      <c r="JGR77" s="277" t="s">
        <v>1072</v>
      </c>
      <c r="JGS77" s="277" t="s">
        <v>1072</v>
      </c>
      <c r="JGT77" s="277" t="s">
        <v>1072</v>
      </c>
      <c r="JGU77" s="277" t="s">
        <v>1072</v>
      </c>
      <c r="JGV77" s="277" t="s">
        <v>1072</v>
      </c>
      <c r="JGW77" s="277" t="s">
        <v>1072</v>
      </c>
      <c r="JGX77" s="277" t="s">
        <v>1072</v>
      </c>
      <c r="JGY77" s="277" t="s">
        <v>1072</v>
      </c>
      <c r="JGZ77" s="277" t="s">
        <v>1072</v>
      </c>
      <c r="JHA77" s="277" t="s">
        <v>1072</v>
      </c>
      <c r="JHB77" s="277" t="s">
        <v>1072</v>
      </c>
      <c r="JHC77" s="277" t="s">
        <v>1072</v>
      </c>
      <c r="JHD77" s="277" t="s">
        <v>1072</v>
      </c>
      <c r="JHE77" s="277" t="s">
        <v>1072</v>
      </c>
      <c r="JHF77" s="277" t="s">
        <v>1072</v>
      </c>
      <c r="JHG77" s="277" t="s">
        <v>1072</v>
      </c>
      <c r="JHH77" s="277" t="s">
        <v>1072</v>
      </c>
      <c r="JHI77" s="277" t="s">
        <v>1072</v>
      </c>
      <c r="JHJ77" s="277" t="s">
        <v>1072</v>
      </c>
      <c r="JHK77" s="277" t="s">
        <v>1072</v>
      </c>
      <c r="JHL77" s="277" t="s">
        <v>1072</v>
      </c>
      <c r="JHM77" s="277" t="s">
        <v>1072</v>
      </c>
      <c r="JHN77" s="277" t="s">
        <v>1072</v>
      </c>
      <c r="JHO77" s="277" t="s">
        <v>1072</v>
      </c>
      <c r="JHP77" s="277" t="s">
        <v>1072</v>
      </c>
      <c r="JHQ77" s="277" t="s">
        <v>1072</v>
      </c>
      <c r="JHR77" s="277" t="s">
        <v>1072</v>
      </c>
      <c r="JHS77" s="277" t="s">
        <v>1072</v>
      </c>
      <c r="JHT77" s="277" t="s">
        <v>1072</v>
      </c>
      <c r="JHU77" s="277" t="s">
        <v>1072</v>
      </c>
      <c r="JHV77" s="277" t="s">
        <v>1072</v>
      </c>
      <c r="JHW77" s="277" t="s">
        <v>1072</v>
      </c>
      <c r="JHX77" s="277" t="s">
        <v>1072</v>
      </c>
      <c r="JHY77" s="277" t="s">
        <v>1072</v>
      </c>
      <c r="JHZ77" s="277" t="s">
        <v>1072</v>
      </c>
      <c r="JIA77" s="277" t="s">
        <v>1072</v>
      </c>
      <c r="JIB77" s="277" t="s">
        <v>1072</v>
      </c>
      <c r="JIC77" s="277" t="s">
        <v>1072</v>
      </c>
      <c r="JID77" s="277" t="s">
        <v>1072</v>
      </c>
      <c r="JIE77" s="277" t="s">
        <v>1072</v>
      </c>
      <c r="JIF77" s="277" t="s">
        <v>1072</v>
      </c>
      <c r="JIG77" s="277" t="s">
        <v>1072</v>
      </c>
      <c r="JIH77" s="277" t="s">
        <v>1072</v>
      </c>
      <c r="JII77" s="277" t="s">
        <v>1072</v>
      </c>
      <c r="JIJ77" s="277" t="s">
        <v>1072</v>
      </c>
      <c r="JIK77" s="277" t="s">
        <v>1072</v>
      </c>
      <c r="JIL77" s="277" t="s">
        <v>1072</v>
      </c>
      <c r="JIM77" s="277" t="s">
        <v>1072</v>
      </c>
      <c r="JIN77" s="277" t="s">
        <v>1072</v>
      </c>
      <c r="JIO77" s="277" t="s">
        <v>1072</v>
      </c>
      <c r="JIP77" s="277" t="s">
        <v>1072</v>
      </c>
      <c r="JIQ77" s="277" t="s">
        <v>1072</v>
      </c>
      <c r="JIR77" s="277" t="s">
        <v>1072</v>
      </c>
      <c r="JIS77" s="277" t="s">
        <v>1072</v>
      </c>
      <c r="JIT77" s="277" t="s">
        <v>1072</v>
      </c>
      <c r="JIU77" s="277" t="s">
        <v>1072</v>
      </c>
      <c r="JIV77" s="277" t="s">
        <v>1072</v>
      </c>
      <c r="JIW77" s="277" t="s">
        <v>1072</v>
      </c>
      <c r="JIX77" s="277" t="s">
        <v>1072</v>
      </c>
      <c r="JIY77" s="277" t="s">
        <v>1072</v>
      </c>
      <c r="JIZ77" s="277" t="s">
        <v>1072</v>
      </c>
      <c r="JJA77" s="277" t="s">
        <v>1072</v>
      </c>
      <c r="JJB77" s="277" t="s">
        <v>1072</v>
      </c>
      <c r="JJC77" s="277" t="s">
        <v>1072</v>
      </c>
      <c r="JJD77" s="277" t="s">
        <v>1072</v>
      </c>
      <c r="JJE77" s="277" t="s">
        <v>1072</v>
      </c>
      <c r="JJF77" s="277" t="s">
        <v>1072</v>
      </c>
      <c r="JJG77" s="277" t="s">
        <v>1072</v>
      </c>
      <c r="JJH77" s="277" t="s">
        <v>1072</v>
      </c>
      <c r="JJI77" s="277" t="s">
        <v>1072</v>
      </c>
      <c r="JJJ77" s="277" t="s">
        <v>1072</v>
      </c>
      <c r="JJK77" s="277" t="s">
        <v>1072</v>
      </c>
      <c r="JJL77" s="277" t="s">
        <v>1072</v>
      </c>
      <c r="JJM77" s="277" t="s">
        <v>1072</v>
      </c>
      <c r="JJN77" s="277" t="s">
        <v>1072</v>
      </c>
      <c r="JJO77" s="277" t="s">
        <v>1072</v>
      </c>
      <c r="JJP77" s="277" t="s">
        <v>1072</v>
      </c>
      <c r="JJQ77" s="277" t="s">
        <v>1072</v>
      </c>
      <c r="JJR77" s="277" t="s">
        <v>1072</v>
      </c>
      <c r="JJS77" s="277" t="s">
        <v>1072</v>
      </c>
      <c r="JJT77" s="277" t="s">
        <v>1072</v>
      </c>
      <c r="JJU77" s="277" t="s">
        <v>1072</v>
      </c>
      <c r="JJV77" s="277" t="s">
        <v>1072</v>
      </c>
      <c r="JJW77" s="277" t="s">
        <v>1072</v>
      </c>
      <c r="JJX77" s="277" t="s">
        <v>1072</v>
      </c>
      <c r="JJY77" s="277" t="s">
        <v>1072</v>
      </c>
      <c r="JJZ77" s="277" t="s">
        <v>1072</v>
      </c>
      <c r="JKA77" s="277" t="s">
        <v>1072</v>
      </c>
      <c r="JKB77" s="277" t="s">
        <v>1072</v>
      </c>
      <c r="JKC77" s="277" t="s">
        <v>1072</v>
      </c>
      <c r="JKD77" s="277" t="s">
        <v>1072</v>
      </c>
      <c r="JKE77" s="277" t="s">
        <v>1072</v>
      </c>
      <c r="JKF77" s="277" t="s">
        <v>1072</v>
      </c>
      <c r="JKG77" s="277" t="s">
        <v>1072</v>
      </c>
      <c r="JKH77" s="277" t="s">
        <v>1072</v>
      </c>
      <c r="JKI77" s="277" t="s">
        <v>1072</v>
      </c>
      <c r="JKJ77" s="277" t="s">
        <v>1072</v>
      </c>
      <c r="JKK77" s="277" t="s">
        <v>1072</v>
      </c>
      <c r="JKL77" s="277" t="s">
        <v>1072</v>
      </c>
      <c r="JKM77" s="277" t="s">
        <v>1072</v>
      </c>
      <c r="JKN77" s="277" t="s">
        <v>1072</v>
      </c>
      <c r="JKO77" s="277" t="s">
        <v>1072</v>
      </c>
      <c r="JKP77" s="277" t="s">
        <v>1072</v>
      </c>
      <c r="JKQ77" s="277" t="s">
        <v>1072</v>
      </c>
      <c r="JKR77" s="277" t="s">
        <v>1072</v>
      </c>
      <c r="JKS77" s="277" t="s">
        <v>1072</v>
      </c>
      <c r="JKT77" s="277" t="s">
        <v>1072</v>
      </c>
      <c r="JKU77" s="277" t="s">
        <v>1072</v>
      </c>
      <c r="JKV77" s="277" t="s">
        <v>1072</v>
      </c>
      <c r="JKW77" s="277" t="s">
        <v>1072</v>
      </c>
      <c r="JKX77" s="277" t="s">
        <v>1072</v>
      </c>
      <c r="JKY77" s="277" t="s">
        <v>1072</v>
      </c>
      <c r="JKZ77" s="277" t="s">
        <v>1072</v>
      </c>
      <c r="JLA77" s="277" t="s">
        <v>1072</v>
      </c>
      <c r="JLB77" s="277" t="s">
        <v>1072</v>
      </c>
      <c r="JLC77" s="277" t="s">
        <v>1072</v>
      </c>
      <c r="JLD77" s="277" t="s">
        <v>1072</v>
      </c>
      <c r="JLE77" s="277" t="s">
        <v>1072</v>
      </c>
      <c r="JLF77" s="277" t="s">
        <v>1072</v>
      </c>
      <c r="JLG77" s="277" t="s">
        <v>1072</v>
      </c>
      <c r="JLH77" s="277" t="s">
        <v>1072</v>
      </c>
      <c r="JLI77" s="277" t="s">
        <v>1072</v>
      </c>
      <c r="JLJ77" s="277" t="s">
        <v>1072</v>
      </c>
      <c r="JLK77" s="277" t="s">
        <v>1072</v>
      </c>
      <c r="JLL77" s="277" t="s">
        <v>1072</v>
      </c>
      <c r="JLM77" s="277" t="s">
        <v>1072</v>
      </c>
      <c r="JLN77" s="277" t="s">
        <v>1072</v>
      </c>
      <c r="JLO77" s="277" t="s">
        <v>1072</v>
      </c>
      <c r="JLP77" s="277" t="s">
        <v>1072</v>
      </c>
      <c r="JLQ77" s="277" t="s">
        <v>1072</v>
      </c>
      <c r="JLR77" s="277" t="s">
        <v>1072</v>
      </c>
      <c r="JLS77" s="277" t="s">
        <v>1072</v>
      </c>
      <c r="JLT77" s="277" t="s">
        <v>1072</v>
      </c>
      <c r="JLU77" s="277" t="s">
        <v>1072</v>
      </c>
      <c r="JLV77" s="277" t="s">
        <v>1072</v>
      </c>
      <c r="JLW77" s="277" t="s">
        <v>1072</v>
      </c>
      <c r="JLX77" s="277" t="s">
        <v>1072</v>
      </c>
      <c r="JLY77" s="277" t="s">
        <v>1072</v>
      </c>
      <c r="JLZ77" s="277" t="s">
        <v>1072</v>
      </c>
      <c r="JMA77" s="277" t="s">
        <v>1072</v>
      </c>
      <c r="JMB77" s="277" t="s">
        <v>1072</v>
      </c>
      <c r="JMC77" s="277" t="s">
        <v>1072</v>
      </c>
      <c r="JMD77" s="277" t="s">
        <v>1072</v>
      </c>
      <c r="JME77" s="277" t="s">
        <v>1072</v>
      </c>
      <c r="JMF77" s="277" t="s">
        <v>1072</v>
      </c>
      <c r="JMG77" s="277" t="s">
        <v>1072</v>
      </c>
      <c r="JMH77" s="277" t="s">
        <v>1072</v>
      </c>
      <c r="JMI77" s="277" t="s">
        <v>1072</v>
      </c>
      <c r="JMJ77" s="277" t="s">
        <v>1072</v>
      </c>
      <c r="JMK77" s="277" t="s">
        <v>1072</v>
      </c>
      <c r="JML77" s="277" t="s">
        <v>1072</v>
      </c>
      <c r="JMM77" s="277" t="s">
        <v>1072</v>
      </c>
      <c r="JMN77" s="277" t="s">
        <v>1072</v>
      </c>
      <c r="JMO77" s="277" t="s">
        <v>1072</v>
      </c>
      <c r="JMP77" s="277" t="s">
        <v>1072</v>
      </c>
      <c r="JMQ77" s="277" t="s">
        <v>1072</v>
      </c>
      <c r="JMR77" s="277" t="s">
        <v>1072</v>
      </c>
      <c r="JMS77" s="277" t="s">
        <v>1072</v>
      </c>
      <c r="JMT77" s="277" t="s">
        <v>1072</v>
      </c>
      <c r="JMU77" s="277" t="s">
        <v>1072</v>
      </c>
      <c r="JMV77" s="277" t="s">
        <v>1072</v>
      </c>
      <c r="JMW77" s="277" t="s">
        <v>1072</v>
      </c>
      <c r="JMX77" s="277" t="s">
        <v>1072</v>
      </c>
      <c r="JMY77" s="277" t="s">
        <v>1072</v>
      </c>
      <c r="JMZ77" s="277" t="s">
        <v>1072</v>
      </c>
      <c r="JNA77" s="277" t="s">
        <v>1072</v>
      </c>
      <c r="JNB77" s="277" t="s">
        <v>1072</v>
      </c>
      <c r="JNC77" s="277" t="s">
        <v>1072</v>
      </c>
      <c r="JND77" s="277" t="s">
        <v>1072</v>
      </c>
      <c r="JNE77" s="277" t="s">
        <v>1072</v>
      </c>
      <c r="JNF77" s="277" t="s">
        <v>1072</v>
      </c>
      <c r="JNG77" s="277" t="s">
        <v>1072</v>
      </c>
      <c r="JNH77" s="277" t="s">
        <v>1072</v>
      </c>
      <c r="JNI77" s="277" t="s">
        <v>1072</v>
      </c>
      <c r="JNJ77" s="277" t="s">
        <v>1072</v>
      </c>
      <c r="JNK77" s="277" t="s">
        <v>1072</v>
      </c>
      <c r="JNL77" s="277" t="s">
        <v>1072</v>
      </c>
      <c r="JNM77" s="277" t="s">
        <v>1072</v>
      </c>
      <c r="JNN77" s="277" t="s">
        <v>1072</v>
      </c>
      <c r="JNO77" s="277" t="s">
        <v>1072</v>
      </c>
      <c r="JNP77" s="277" t="s">
        <v>1072</v>
      </c>
      <c r="JNQ77" s="277" t="s">
        <v>1072</v>
      </c>
      <c r="JNR77" s="277" t="s">
        <v>1072</v>
      </c>
      <c r="JNS77" s="277" t="s">
        <v>1072</v>
      </c>
      <c r="JNT77" s="277" t="s">
        <v>1072</v>
      </c>
      <c r="JNU77" s="277" t="s">
        <v>1072</v>
      </c>
      <c r="JNV77" s="277" t="s">
        <v>1072</v>
      </c>
      <c r="JNW77" s="277" t="s">
        <v>1072</v>
      </c>
      <c r="JNX77" s="277" t="s">
        <v>1072</v>
      </c>
      <c r="JNY77" s="277" t="s">
        <v>1072</v>
      </c>
      <c r="JNZ77" s="277" t="s">
        <v>1072</v>
      </c>
      <c r="JOA77" s="277" t="s">
        <v>1072</v>
      </c>
      <c r="JOB77" s="277" t="s">
        <v>1072</v>
      </c>
      <c r="JOC77" s="277" t="s">
        <v>1072</v>
      </c>
      <c r="JOD77" s="277" t="s">
        <v>1072</v>
      </c>
      <c r="JOE77" s="277" t="s">
        <v>1072</v>
      </c>
      <c r="JOF77" s="277" t="s">
        <v>1072</v>
      </c>
      <c r="JOG77" s="277" t="s">
        <v>1072</v>
      </c>
      <c r="JOH77" s="277" t="s">
        <v>1072</v>
      </c>
      <c r="JOI77" s="277" t="s">
        <v>1072</v>
      </c>
      <c r="JOJ77" s="277" t="s">
        <v>1072</v>
      </c>
      <c r="JOK77" s="277" t="s">
        <v>1072</v>
      </c>
      <c r="JOL77" s="277" t="s">
        <v>1072</v>
      </c>
      <c r="JOM77" s="277" t="s">
        <v>1072</v>
      </c>
      <c r="JON77" s="277" t="s">
        <v>1072</v>
      </c>
      <c r="JOO77" s="277" t="s">
        <v>1072</v>
      </c>
      <c r="JOP77" s="277" t="s">
        <v>1072</v>
      </c>
      <c r="JOQ77" s="277" t="s">
        <v>1072</v>
      </c>
      <c r="JOR77" s="277" t="s">
        <v>1072</v>
      </c>
      <c r="JOS77" s="277" t="s">
        <v>1072</v>
      </c>
      <c r="JOT77" s="277" t="s">
        <v>1072</v>
      </c>
      <c r="JOU77" s="277" t="s">
        <v>1072</v>
      </c>
      <c r="JOV77" s="277" t="s">
        <v>1072</v>
      </c>
      <c r="JOW77" s="277" t="s">
        <v>1072</v>
      </c>
      <c r="JOX77" s="277" t="s">
        <v>1072</v>
      </c>
      <c r="JOY77" s="277" t="s">
        <v>1072</v>
      </c>
      <c r="JOZ77" s="277" t="s">
        <v>1072</v>
      </c>
      <c r="JPA77" s="277" t="s">
        <v>1072</v>
      </c>
      <c r="JPB77" s="277" t="s">
        <v>1072</v>
      </c>
      <c r="JPC77" s="277" t="s">
        <v>1072</v>
      </c>
      <c r="JPD77" s="277" t="s">
        <v>1072</v>
      </c>
      <c r="JPE77" s="277" t="s">
        <v>1072</v>
      </c>
      <c r="JPF77" s="277" t="s">
        <v>1072</v>
      </c>
      <c r="JPG77" s="277" t="s">
        <v>1072</v>
      </c>
      <c r="JPH77" s="277" t="s">
        <v>1072</v>
      </c>
      <c r="JPI77" s="277" t="s">
        <v>1072</v>
      </c>
      <c r="JPJ77" s="277" t="s">
        <v>1072</v>
      </c>
      <c r="JPK77" s="277" t="s">
        <v>1072</v>
      </c>
      <c r="JPL77" s="277" t="s">
        <v>1072</v>
      </c>
      <c r="JPM77" s="277" t="s">
        <v>1072</v>
      </c>
      <c r="JPN77" s="277" t="s">
        <v>1072</v>
      </c>
      <c r="JPO77" s="277" t="s">
        <v>1072</v>
      </c>
      <c r="JPP77" s="277" t="s">
        <v>1072</v>
      </c>
      <c r="JPQ77" s="277" t="s">
        <v>1072</v>
      </c>
      <c r="JPR77" s="277" t="s">
        <v>1072</v>
      </c>
      <c r="JPS77" s="277" t="s">
        <v>1072</v>
      </c>
      <c r="JPT77" s="277" t="s">
        <v>1072</v>
      </c>
      <c r="JPU77" s="277" t="s">
        <v>1072</v>
      </c>
      <c r="JPV77" s="277" t="s">
        <v>1072</v>
      </c>
      <c r="JPW77" s="277" t="s">
        <v>1072</v>
      </c>
      <c r="JPX77" s="277" t="s">
        <v>1072</v>
      </c>
      <c r="JPY77" s="277" t="s">
        <v>1072</v>
      </c>
      <c r="JPZ77" s="277" t="s">
        <v>1072</v>
      </c>
      <c r="JQA77" s="277" t="s">
        <v>1072</v>
      </c>
      <c r="JQB77" s="277" t="s">
        <v>1072</v>
      </c>
      <c r="JQC77" s="277" t="s">
        <v>1072</v>
      </c>
      <c r="JQD77" s="277" t="s">
        <v>1072</v>
      </c>
      <c r="JQE77" s="277" t="s">
        <v>1072</v>
      </c>
      <c r="JQF77" s="277" t="s">
        <v>1072</v>
      </c>
      <c r="JQG77" s="277" t="s">
        <v>1072</v>
      </c>
      <c r="JQH77" s="277" t="s">
        <v>1072</v>
      </c>
      <c r="JQI77" s="277" t="s">
        <v>1072</v>
      </c>
      <c r="JQJ77" s="277" t="s">
        <v>1072</v>
      </c>
      <c r="JQK77" s="277" t="s">
        <v>1072</v>
      </c>
      <c r="JQL77" s="277" t="s">
        <v>1072</v>
      </c>
      <c r="JQM77" s="277" t="s">
        <v>1072</v>
      </c>
      <c r="JQN77" s="277" t="s">
        <v>1072</v>
      </c>
      <c r="JQO77" s="277" t="s">
        <v>1072</v>
      </c>
      <c r="JQP77" s="277" t="s">
        <v>1072</v>
      </c>
      <c r="JQQ77" s="277" t="s">
        <v>1072</v>
      </c>
      <c r="JQR77" s="277" t="s">
        <v>1072</v>
      </c>
      <c r="JQS77" s="277" t="s">
        <v>1072</v>
      </c>
      <c r="JQT77" s="277" t="s">
        <v>1072</v>
      </c>
      <c r="JQU77" s="277" t="s">
        <v>1072</v>
      </c>
      <c r="JQV77" s="277" t="s">
        <v>1072</v>
      </c>
      <c r="JQW77" s="277" t="s">
        <v>1072</v>
      </c>
      <c r="JQX77" s="277" t="s">
        <v>1072</v>
      </c>
      <c r="JQY77" s="277" t="s">
        <v>1072</v>
      </c>
      <c r="JQZ77" s="277" t="s">
        <v>1072</v>
      </c>
      <c r="JRA77" s="277" t="s">
        <v>1072</v>
      </c>
      <c r="JRB77" s="277" t="s">
        <v>1072</v>
      </c>
      <c r="JRC77" s="277" t="s">
        <v>1072</v>
      </c>
      <c r="JRD77" s="277" t="s">
        <v>1072</v>
      </c>
      <c r="JRE77" s="277" t="s">
        <v>1072</v>
      </c>
      <c r="JRF77" s="277" t="s">
        <v>1072</v>
      </c>
      <c r="JRG77" s="277" t="s">
        <v>1072</v>
      </c>
      <c r="JRH77" s="277" t="s">
        <v>1072</v>
      </c>
      <c r="JRI77" s="277" t="s">
        <v>1072</v>
      </c>
      <c r="JRJ77" s="277" t="s">
        <v>1072</v>
      </c>
      <c r="JRK77" s="277" t="s">
        <v>1072</v>
      </c>
      <c r="JRL77" s="277" t="s">
        <v>1072</v>
      </c>
      <c r="JRM77" s="277" t="s">
        <v>1072</v>
      </c>
      <c r="JRN77" s="277" t="s">
        <v>1072</v>
      </c>
      <c r="JRO77" s="277" t="s">
        <v>1072</v>
      </c>
      <c r="JRP77" s="277" t="s">
        <v>1072</v>
      </c>
      <c r="JRQ77" s="277" t="s">
        <v>1072</v>
      </c>
      <c r="JRR77" s="277" t="s">
        <v>1072</v>
      </c>
      <c r="JRS77" s="277" t="s">
        <v>1072</v>
      </c>
      <c r="JRT77" s="277" t="s">
        <v>1072</v>
      </c>
      <c r="JRU77" s="277" t="s">
        <v>1072</v>
      </c>
      <c r="JRV77" s="277" t="s">
        <v>1072</v>
      </c>
      <c r="JRW77" s="277" t="s">
        <v>1072</v>
      </c>
      <c r="JRX77" s="277" t="s">
        <v>1072</v>
      </c>
      <c r="JRY77" s="277" t="s">
        <v>1072</v>
      </c>
      <c r="JRZ77" s="277" t="s">
        <v>1072</v>
      </c>
      <c r="JSA77" s="277" t="s">
        <v>1072</v>
      </c>
      <c r="JSB77" s="277" t="s">
        <v>1072</v>
      </c>
      <c r="JSC77" s="277" t="s">
        <v>1072</v>
      </c>
      <c r="JSD77" s="277" t="s">
        <v>1072</v>
      </c>
      <c r="JSE77" s="277" t="s">
        <v>1072</v>
      </c>
      <c r="JSF77" s="277" t="s">
        <v>1072</v>
      </c>
      <c r="JSG77" s="277" t="s">
        <v>1072</v>
      </c>
      <c r="JSH77" s="277" t="s">
        <v>1072</v>
      </c>
      <c r="JSI77" s="277" t="s">
        <v>1072</v>
      </c>
      <c r="JSJ77" s="277" t="s">
        <v>1072</v>
      </c>
      <c r="JSK77" s="277" t="s">
        <v>1072</v>
      </c>
      <c r="JSL77" s="277" t="s">
        <v>1072</v>
      </c>
      <c r="JSM77" s="277" t="s">
        <v>1072</v>
      </c>
      <c r="JSN77" s="277" t="s">
        <v>1072</v>
      </c>
      <c r="JSO77" s="277" t="s">
        <v>1072</v>
      </c>
      <c r="JSP77" s="277" t="s">
        <v>1072</v>
      </c>
      <c r="JSQ77" s="277" t="s">
        <v>1072</v>
      </c>
      <c r="JSR77" s="277" t="s">
        <v>1072</v>
      </c>
      <c r="JSS77" s="277" t="s">
        <v>1072</v>
      </c>
      <c r="JST77" s="277" t="s">
        <v>1072</v>
      </c>
      <c r="JSU77" s="277" t="s">
        <v>1072</v>
      </c>
      <c r="JSV77" s="277" t="s">
        <v>1072</v>
      </c>
      <c r="JSW77" s="277" t="s">
        <v>1072</v>
      </c>
      <c r="JSX77" s="277" t="s">
        <v>1072</v>
      </c>
      <c r="JSY77" s="277" t="s">
        <v>1072</v>
      </c>
      <c r="JSZ77" s="277" t="s">
        <v>1072</v>
      </c>
      <c r="JTA77" s="277" t="s">
        <v>1072</v>
      </c>
      <c r="JTB77" s="277" t="s">
        <v>1072</v>
      </c>
      <c r="JTC77" s="277" t="s">
        <v>1072</v>
      </c>
      <c r="JTD77" s="277" t="s">
        <v>1072</v>
      </c>
      <c r="JTE77" s="277" t="s">
        <v>1072</v>
      </c>
      <c r="JTF77" s="277" t="s">
        <v>1072</v>
      </c>
      <c r="JTG77" s="277" t="s">
        <v>1072</v>
      </c>
      <c r="JTH77" s="277" t="s">
        <v>1072</v>
      </c>
      <c r="JTI77" s="277" t="s">
        <v>1072</v>
      </c>
      <c r="JTJ77" s="277" t="s">
        <v>1072</v>
      </c>
      <c r="JTK77" s="277" t="s">
        <v>1072</v>
      </c>
      <c r="JTL77" s="277" t="s">
        <v>1072</v>
      </c>
      <c r="JTM77" s="277" t="s">
        <v>1072</v>
      </c>
      <c r="JTN77" s="277" t="s">
        <v>1072</v>
      </c>
      <c r="JTO77" s="277" t="s">
        <v>1072</v>
      </c>
      <c r="JTP77" s="277" t="s">
        <v>1072</v>
      </c>
      <c r="JTQ77" s="277" t="s">
        <v>1072</v>
      </c>
      <c r="JTR77" s="277" t="s">
        <v>1072</v>
      </c>
      <c r="JTS77" s="277" t="s">
        <v>1072</v>
      </c>
      <c r="JTT77" s="277" t="s">
        <v>1072</v>
      </c>
      <c r="JTU77" s="277" t="s">
        <v>1072</v>
      </c>
      <c r="JTV77" s="277" t="s">
        <v>1072</v>
      </c>
      <c r="JTW77" s="277" t="s">
        <v>1072</v>
      </c>
      <c r="JTX77" s="277" t="s">
        <v>1072</v>
      </c>
      <c r="JTY77" s="277" t="s">
        <v>1072</v>
      </c>
      <c r="JTZ77" s="277" t="s">
        <v>1072</v>
      </c>
      <c r="JUA77" s="277" t="s">
        <v>1072</v>
      </c>
      <c r="JUB77" s="277" t="s">
        <v>1072</v>
      </c>
      <c r="JUC77" s="277" t="s">
        <v>1072</v>
      </c>
      <c r="JUD77" s="277" t="s">
        <v>1072</v>
      </c>
      <c r="JUE77" s="277" t="s">
        <v>1072</v>
      </c>
      <c r="JUF77" s="277" t="s">
        <v>1072</v>
      </c>
      <c r="JUG77" s="277" t="s">
        <v>1072</v>
      </c>
      <c r="JUH77" s="277" t="s">
        <v>1072</v>
      </c>
      <c r="JUI77" s="277" t="s">
        <v>1072</v>
      </c>
      <c r="JUJ77" s="277" t="s">
        <v>1072</v>
      </c>
      <c r="JUK77" s="277" t="s">
        <v>1072</v>
      </c>
      <c r="JUL77" s="277" t="s">
        <v>1072</v>
      </c>
      <c r="JUM77" s="277" t="s">
        <v>1072</v>
      </c>
      <c r="JUN77" s="277" t="s">
        <v>1072</v>
      </c>
      <c r="JUO77" s="277" t="s">
        <v>1072</v>
      </c>
      <c r="JUP77" s="277" t="s">
        <v>1072</v>
      </c>
      <c r="JUQ77" s="277" t="s">
        <v>1072</v>
      </c>
      <c r="JUR77" s="277" t="s">
        <v>1072</v>
      </c>
      <c r="JUS77" s="277" t="s">
        <v>1072</v>
      </c>
      <c r="JUT77" s="277" t="s">
        <v>1072</v>
      </c>
      <c r="JUU77" s="277" t="s">
        <v>1072</v>
      </c>
      <c r="JUV77" s="277" t="s">
        <v>1072</v>
      </c>
      <c r="JUW77" s="277" t="s">
        <v>1072</v>
      </c>
      <c r="JUX77" s="277" t="s">
        <v>1072</v>
      </c>
      <c r="JUY77" s="277" t="s">
        <v>1072</v>
      </c>
      <c r="JUZ77" s="277" t="s">
        <v>1072</v>
      </c>
      <c r="JVA77" s="277" t="s">
        <v>1072</v>
      </c>
      <c r="JVB77" s="277" t="s">
        <v>1072</v>
      </c>
      <c r="JVC77" s="277" t="s">
        <v>1072</v>
      </c>
      <c r="JVD77" s="277" t="s">
        <v>1072</v>
      </c>
      <c r="JVE77" s="277" t="s">
        <v>1072</v>
      </c>
      <c r="JVF77" s="277" t="s">
        <v>1072</v>
      </c>
      <c r="JVG77" s="277" t="s">
        <v>1072</v>
      </c>
      <c r="JVH77" s="277" t="s">
        <v>1072</v>
      </c>
      <c r="JVI77" s="277" t="s">
        <v>1072</v>
      </c>
      <c r="JVJ77" s="277" t="s">
        <v>1072</v>
      </c>
      <c r="JVK77" s="277" t="s">
        <v>1072</v>
      </c>
      <c r="JVL77" s="277" t="s">
        <v>1072</v>
      </c>
      <c r="JVM77" s="277" t="s">
        <v>1072</v>
      </c>
      <c r="JVN77" s="277" t="s">
        <v>1072</v>
      </c>
      <c r="JVO77" s="277" t="s">
        <v>1072</v>
      </c>
      <c r="JVP77" s="277" t="s">
        <v>1072</v>
      </c>
      <c r="JVQ77" s="277" t="s">
        <v>1072</v>
      </c>
      <c r="JVR77" s="277" t="s">
        <v>1072</v>
      </c>
      <c r="JVS77" s="277" t="s">
        <v>1072</v>
      </c>
      <c r="JVT77" s="277" t="s">
        <v>1072</v>
      </c>
      <c r="JVU77" s="277" t="s">
        <v>1072</v>
      </c>
      <c r="JVV77" s="277" t="s">
        <v>1072</v>
      </c>
      <c r="JVW77" s="277" t="s">
        <v>1072</v>
      </c>
      <c r="JVX77" s="277" t="s">
        <v>1072</v>
      </c>
      <c r="JVY77" s="277" t="s">
        <v>1072</v>
      </c>
      <c r="JVZ77" s="277" t="s">
        <v>1072</v>
      </c>
      <c r="JWA77" s="277" t="s">
        <v>1072</v>
      </c>
      <c r="JWB77" s="277" t="s">
        <v>1072</v>
      </c>
      <c r="JWC77" s="277" t="s">
        <v>1072</v>
      </c>
      <c r="JWD77" s="277" t="s">
        <v>1072</v>
      </c>
      <c r="JWE77" s="277" t="s">
        <v>1072</v>
      </c>
      <c r="JWF77" s="277" t="s">
        <v>1072</v>
      </c>
      <c r="JWG77" s="277" t="s">
        <v>1072</v>
      </c>
      <c r="JWH77" s="277" t="s">
        <v>1072</v>
      </c>
      <c r="JWI77" s="277" t="s">
        <v>1072</v>
      </c>
      <c r="JWJ77" s="277" t="s">
        <v>1072</v>
      </c>
      <c r="JWK77" s="277" t="s">
        <v>1072</v>
      </c>
      <c r="JWL77" s="277" t="s">
        <v>1072</v>
      </c>
      <c r="JWM77" s="277" t="s">
        <v>1072</v>
      </c>
      <c r="JWN77" s="277" t="s">
        <v>1072</v>
      </c>
      <c r="JWO77" s="277" t="s">
        <v>1072</v>
      </c>
      <c r="JWP77" s="277" t="s">
        <v>1072</v>
      </c>
      <c r="JWQ77" s="277" t="s">
        <v>1072</v>
      </c>
      <c r="JWR77" s="277" t="s">
        <v>1072</v>
      </c>
      <c r="JWS77" s="277" t="s">
        <v>1072</v>
      </c>
      <c r="JWT77" s="277" t="s">
        <v>1072</v>
      </c>
      <c r="JWU77" s="277" t="s">
        <v>1072</v>
      </c>
      <c r="JWV77" s="277" t="s">
        <v>1072</v>
      </c>
      <c r="JWW77" s="277" t="s">
        <v>1072</v>
      </c>
      <c r="JWX77" s="277" t="s">
        <v>1072</v>
      </c>
      <c r="JWY77" s="277" t="s">
        <v>1072</v>
      </c>
      <c r="JWZ77" s="277" t="s">
        <v>1072</v>
      </c>
      <c r="JXA77" s="277" t="s">
        <v>1072</v>
      </c>
      <c r="JXB77" s="277" t="s">
        <v>1072</v>
      </c>
      <c r="JXC77" s="277" t="s">
        <v>1072</v>
      </c>
      <c r="JXD77" s="277" t="s">
        <v>1072</v>
      </c>
      <c r="JXE77" s="277" t="s">
        <v>1072</v>
      </c>
      <c r="JXF77" s="277" t="s">
        <v>1072</v>
      </c>
      <c r="JXG77" s="277" t="s">
        <v>1072</v>
      </c>
      <c r="JXH77" s="277" t="s">
        <v>1072</v>
      </c>
      <c r="JXI77" s="277" t="s">
        <v>1072</v>
      </c>
      <c r="JXJ77" s="277" t="s">
        <v>1072</v>
      </c>
      <c r="JXK77" s="277" t="s">
        <v>1072</v>
      </c>
      <c r="JXL77" s="277" t="s">
        <v>1072</v>
      </c>
      <c r="JXM77" s="277" t="s">
        <v>1072</v>
      </c>
      <c r="JXN77" s="277" t="s">
        <v>1072</v>
      </c>
      <c r="JXO77" s="277" t="s">
        <v>1072</v>
      </c>
      <c r="JXP77" s="277" t="s">
        <v>1072</v>
      </c>
      <c r="JXQ77" s="277" t="s">
        <v>1072</v>
      </c>
      <c r="JXR77" s="277" t="s">
        <v>1072</v>
      </c>
      <c r="JXS77" s="277" t="s">
        <v>1072</v>
      </c>
      <c r="JXT77" s="277" t="s">
        <v>1072</v>
      </c>
      <c r="JXU77" s="277" t="s">
        <v>1072</v>
      </c>
      <c r="JXV77" s="277" t="s">
        <v>1072</v>
      </c>
      <c r="JXW77" s="277" t="s">
        <v>1072</v>
      </c>
      <c r="JXX77" s="277" t="s">
        <v>1072</v>
      </c>
      <c r="JXY77" s="277" t="s">
        <v>1072</v>
      </c>
      <c r="JXZ77" s="277" t="s">
        <v>1072</v>
      </c>
      <c r="JYA77" s="277" t="s">
        <v>1072</v>
      </c>
      <c r="JYB77" s="277" t="s">
        <v>1072</v>
      </c>
      <c r="JYC77" s="277" t="s">
        <v>1072</v>
      </c>
      <c r="JYD77" s="277" t="s">
        <v>1072</v>
      </c>
      <c r="JYE77" s="277" t="s">
        <v>1072</v>
      </c>
      <c r="JYF77" s="277" t="s">
        <v>1072</v>
      </c>
      <c r="JYG77" s="277" t="s">
        <v>1072</v>
      </c>
      <c r="JYH77" s="277" t="s">
        <v>1072</v>
      </c>
      <c r="JYI77" s="277" t="s">
        <v>1072</v>
      </c>
      <c r="JYJ77" s="277" t="s">
        <v>1072</v>
      </c>
      <c r="JYK77" s="277" t="s">
        <v>1072</v>
      </c>
      <c r="JYL77" s="277" t="s">
        <v>1072</v>
      </c>
      <c r="JYM77" s="277" t="s">
        <v>1072</v>
      </c>
      <c r="JYN77" s="277" t="s">
        <v>1072</v>
      </c>
      <c r="JYO77" s="277" t="s">
        <v>1072</v>
      </c>
      <c r="JYP77" s="277" t="s">
        <v>1072</v>
      </c>
      <c r="JYQ77" s="277" t="s">
        <v>1072</v>
      </c>
      <c r="JYR77" s="277" t="s">
        <v>1072</v>
      </c>
      <c r="JYS77" s="277" t="s">
        <v>1072</v>
      </c>
      <c r="JYT77" s="277" t="s">
        <v>1072</v>
      </c>
      <c r="JYU77" s="277" t="s">
        <v>1072</v>
      </c>
      <c r="JYV77" s="277" t="s">
        <v>1072</v>
      </c>
      <c r="JYW77" s="277" t="s">
        <v>1072</v>
      </c>
      <c r="JYX77" s="277" t="s">
        <v>1072</v>
      </c>
      <c r="JYY77" s="277" t="s">
        <v>1072</v>
      </c>
      <c r="JYZ77" s="277" t="s">
        <v>1072</v>
      </c>
      <c r="JZA77" s="277" t="s">
        <v>1072</v>
      </c>
      <c r="JZB77" s="277" t="s">
        <v>1072</v>
      </c>
      <c r="JZC77" s="277" t="s">
        <v>1072</v>
      </c>
      <c r="JZD77" s="277" t="s">
        <v>1072</v>
      </c>
      <c r="JZE77" s="277" t="s">
        <v>1072</v>
      </c>
      <c r="JZF77" s="277" t="s">
        <v>1072</v>
      </c>
      <c r="JZG77" s="277" t="s">
        <v>1072</v>
      </c>
      <c r="JZH77" s="277" t="s">
        <v>1072</v>
      </c>
      <c r="JZI77" s="277" t="s">
        <v>1072</v>
      </c>
      <c r="JZJ77" s="277" t="s">
        <v>1072</v>
      </c>
      <c r="JZK77" s="277" t="s">
        <v>1072</v>
      </c>
      <c r="JZL77" s="277" t="s">
        <v>1072</v>
      </c>
      <c r="JZM77" s="277" t="s">
        <v>1072</v>
      </c>
      <c r="JZN77" s="277" t="s">
        <v>1072</v>
      </c>
      <c r="JZO77" s="277" t="s">
        <v>1072</v>
      </c>
      <c r="JZP77" s="277" t="s">
        <v>1072</v>
      </c>
      <c r="JZQ77" s="277" t="s">
        <v>1072</v>
      </c>
      <c r="JZR77" s="277" t="s">
        <v>1072</v>
      </c>
      <c r="JZS77" s="277" t="s">
        <v>1072</v>
      </c>
      <c r="JZT77" s="277" t="s">
        <v>1072</v>
      </c>
      <c r="JZU77" s="277" t="s">
        <v>1072</v>
      </c>
      <c r="JZV77" s="277" t="s">
        <v>1072</v>
      </c>
      <c r="JZW77" s="277" t="s">
        <v>1072</v>
      </c>
      <c r="JZX77" s="277" t="s">
        <v>1072</v>
      </c>
      <c r="JZY77" s="277" t="s">
        <v>1072</v>
      </c>
      <c r="JZZ77" s="277" t="s">
        <v>1072</v>
      </c>
      <c r="KAA77" s="277" t="s">
        <v>1072</v>
      </c>
      <c r="KAB77" s="277" t="s">
        <v>1072</v>
      </c>
      <c r="KAC77" s="277" t="s">
        <v>1072</v>
      </c>
      <c r="KAD77" s="277" t="s">
        <v>1072</v>
      </c>
      <c r="KAE77" s="277" t="s">
        <v>1072</v>
      </c>
      <c r="KAF77" s="277" t="s">
        <v>1072</v>
      </c>
      <c r="KAG77" s="277" t="s">
        <v>1072</v>
      </c>
      <c r="KAH77" s="277" t="s">
        <v>1072</v>
      </c>
      <c r="KAI77" s="277" t="s">
        <v>1072</v>
      </c>
      <c r="KAJ77" s="277" t="s">
        <v>1072</v>
      </c>
      <c r="KAK77" s="277" t="s">
        <v>1072</v>
      </c>
      <c r="KAL77" s="277" t="s">
        <v>1072</v>
      </c>
      <c r="KAM77" s="277" t="s">
        <v>1072</v>
      </c>
      <c r="KAN77" s="277" t="s">
        <v>1072</v>
      </c>
      <c r="KAO77" s="277" t="s">
        <v>1072</v>
      </c>
      <c r="KAP77" s="277" t="s">
        <v>1072</v>
      </c>
      <c r="KAQ77" s="277" t="s">
        <v>1072</v>
      </c>
      <c r="KAR77" s="277" t="s">
        <v>1072</v>
      </c>
      <c r="KAS77" s="277" t="s">
        <v>1072</v>
      </c>
      <c r="KAT77" s="277" t="s">
        <v>1072</v>
      </c>
      <c r="KAU77" s="277" t="s">
        <v>1072</v>
      </c>
      <c r="KAV77" s="277" t="s">
        <v>1072</v>
      </c>
      <c r="KAW77" s="277" t="s">
        <v>1072</v>
      </c>
      <c r="KAX77" s="277" t="s">
        <v>1072</v>
      </c>
      <c r="KAY77" s="277" t="s">
        <v>1072</v>
      </c>
      <c r="KAZ77" s="277" t="s">
        <v>1072</v>
      </c>
      <c r="KBA77" s="277" t="s">
        <v>1072</v>
      </c>
      <c r="KBB77" s="277" t="s">
        <v>1072</v>
      </c>
      <c r="KBC77" s="277" t="s">
        <v>1072</v>
      </c>
      <c r="KBD77" s="277" t="s">
        <v>1072</v>
      </c>
      <c r="KBE77" s="277" t="s">
        <v>1072</v>
      </c>
      <c r="KBF77" s="277" t="s">
        <v>1072</v>
      </c>
      <c r="KBG77" s="277" t="s">
        <v>1072</v>
      </c>
      <c r="KBH77" s="277" t="s">
        <v>1072</v>
      </c>
      <c r="KBI77" s="277" t="s">
        <v>1072</v>
      </c>
      <c r="KBJ77" s="277" t="s">
        <v>1072</v>
      </c>
      <c r="KBK77" s="277" t="s">
        <v>1072</v>
      </c>
      <c r="KBL77" s="277" t="s">
        <v>1072</v>
      </c>
      <c r="KBM77" s="277" t="s">
        <v>1072</v>
      </c>
      <c r="KBN77" s="277" t="s">
        <v>1072</v>
      </c>
      <c r="KBO77" s="277" t="s">
        <v>1072</v>
      </c>
      <c r="KBP77" s="277" t="s">
        <v>1072</v>
      </c>
      <c r="KBQ77" s="277" t="s">
        <v>1072</v>
      </c>
      <c r="KBR77" s="277" t="s">
        <v>1072</v>
      </c>
      <c r="KBS77" s="277" t="s">
        <v>1072</v>
      </c>
      <c r="KBT77" s="277" t="s">
        <v>1072</v>
      </c>
      <c r="KBU77" s="277" t="s">
        <v>1072</v>
      </c>
      <c r="KBV77" s="277" t="s">
        <v>1072</v>
      </c>
      <c r="KBW77" s="277" t="s">
        <v>1072</v>
      </c>
      <c r="KBX77" s="277" t="s">
        <v>1072</v>
      </c>
      <c r="KBY77" s="277" t="s">
        <v>1072</v>
      </c>
      <c r="KBZ77" s="277" t="s">
        <v>1072</v>
      </c>
      <c r="KCA77" s="277" t="s">
        <v>1072</v>
      </c>
      <c r="KCB77" s="277" t="s">
        <v>1072</v>
      </c>
      <c r="KCC77" s="277" t="s">
        <v>1072</v>
      </c>
      <c r="KCD77" s="277" t="s">
        <v>1072</v>
      </c>
      <c r="KCE77" s="277" t="s">
        <v>1072</v>
      </c>
      <c r="KCF77" s="277" t="s">
        <v>1072</v>
      </c>
      <c r="KCG77" s="277" t="s">
        <v>1072</v>
      </c>
      <c r="KCH77" s="277" t="s">
        <v>1072</v>
      </c>
      <c r="KCI77" s="277" t="s">
        <v>1072</v>
      </c>
      <c r="KCJ77" s="277" t="s">
        <v>1072</v>
      </c>
      <c r="KCK77" s="277" t="s">
        <v>1072</v>
      </c>
      <c r="KCL77" s="277" t="s">
        <v>1072</v>
      </c>
      <c r="KCM77" s="277" t="s">
        <v>1072</v>
      </c>
      <c r="KCN77" s="277" t="s">
        <v>1072</v>
      </c>
      <c r="KCO77" s="277" t="s">
        <v>1072</v>
      </c>
      <c r="KCP77" s="277" t="s">
        <v>1072</v>
      </c>
      <c r="KCQ77" s="277" t="s">
        <v>1072</v>
      </c>
      <c r="KCR77" s="277" t="s">
        <v>1072</v>
      </c>
      <c r="KCS77" s="277" t="s">
        <v>1072</v>
      </c>
      <c r="KCT77" s="277" t="s">
        <v>1072</v>
      </c>
      <c r="KCU77" s="277" t="s">
        <v>1072</v>
      </c>
      <c r="KCV77" s="277" t="s">
        <v>1072</v>
      </c>
      <c r="KCW77" s="277" t="s">
        <v>1072</v>
      </c>
      <c r="KCX77" s="277" t="s">
        <v>1072</v>
      </c>
      <c r="KCY77" s="277" t="s">
        <v>1072</v>
      </c>
      <c r="KCZ77" s="277" t="s">
        <v>1072</v>
      </c>
      <c r="KDA77" s="277" t="s">
        <v>1072</v>
      </c>
      <c r="KDB77" s="277" t="s">
        <v>1072</v>
      </c>
      <c r="KDC77" s="277" t="s">
        <v>1072</v>
      </c>
      <c r="KDD77" s="277" t="s">
        <v>1072</v>
      </c>
      <c r="KDE77" s="277" t="s">
        <v>1072</v>
      </c>
      <c r="KDF77" s="277" t="s">
        <v>1072</v>
      </c>
      <c r="KDG77" s="277" t="s">
        <v>1072</v>
      </c>
      <c r="KDH77" s="277" t="s">
        <v>1072</v>
      </c>
      <c r="KDI77" s="277" t="s">
        <v>1072</v>
      </c>
      <c r="KDJ77" s="277" t="s">
        <v>1072</v>
      </c>
      <c r="KDK77" s="277" t="s">
        <v>1072</v>
      </c>
      <c r="KDL77" s="277" t="s">
        <v>1072</v>
      </c>
      <c r="KDM77" s="277" t="s">
        <v>1072</v>
      </c>
      <c r="KDN77" s="277" t="s">
        <v>1072</v>
      </c>
      <c r="KDO77" s="277" t="s">
        <v>1072</v>
      </c>
      <c r="KDP77" s="277" t="s">
        <v>1072</v>
      </c>
      <c r="KDQ77" s="277" t="s">
        <v>1072</v>
      </c>
      <c r="KDR77" s="277" t="s">
        <v>1072</v>
      </c>
      <c r="KDS77" s="277" t="s">
        <v>1072</v>
      </c>
      <c r="KDT77" s="277" t="s">
        <v>1072</v>
      </c>
      <c r="KDU77" s="277" t="s">
        <v>1072</v>
      </c>
      <c r="KDV77" s="277" t="s">
        <v>1072</v>
      </c>
      <c r="KDW77" s="277" t="s">
        <v>1072</v>
      </c>
      <c r="KDX77" s="277" t="s">
        <v>1072</v>
      </c>
      <c r="KDY77" s="277" t="s">
        <v>1072</v>
      </c>
      <c r="KDZ77" s="277" t="s">
        <v>1072</v>
      </c>
      <c r="KEA77" s="277" t="s">
        <v>1072</v>
      </c>
      <c r="KEB77" s="277" t="s">
        <v>1072</v>
      </c>
      <c r="KEC77" s="277" t="s">
        <v>1072</v>
      </c>
      <c r="KED77" s="277" t="s">
        <v>1072</v>
      </c>
      <c r="KEE77" s="277" t="s">
        <v>1072</v>
      </c>
      <c r="KEF77" s="277" t="s">
        <v>1072</v>
      </c>
      <c r="KEG77" s="277" t="s">
        <v>1072</v>
      </c>
      <c r="KEH77" s="277" t="s">
        <v>1072</v>
      </c>
      <c r="KEI77" s="277" t="s">
        <v>1072</v>
      </c>
      <c r="KEJ77" s="277" t="s">
        <v>1072</v>
      </c>
      <c r="KEK77" s="277" t="s">
        <v>1072</v>
      </c>
      <c r="KEL77" s="277" t="s">
        <v>1072</v>
      </c>
      <c r="KEM77" s="277" t="s">
        <v>1072</v>
      </c>
      <c r="KEN77" s="277" t="s">
        <v>1072</v>
      </c>
      <c r="KEO77" s="277" t="s">
        <v>1072</v>
      </c>
      <c r="KEP77" s="277" t="s">
        <v>1072</v>
      </c>
      <c r="KEQ77" s="277" t="s">
        <v>1072</v>
      </c>
      <c r="KER77" s="277" t="s">
        <v>1072</v>
      </c>
      <c r="KES77" s="277" t="s">
        <v>1072</v>
      </c>
      <c r="KET77" s="277" t="s">
        <v>1072</v>
      </c>
      <c r="KEU77" s="277" t="s">
        <v>1072</v>
      </c>
      <c r="KEV77" s="277" t="s">
        <v>1072</v>
      </c>
      <c r="KEW77" s="277" t="s">
        <v>1072</v>
      </c>
      <c r="KEX77" s="277" t="s">
        <v>1072</v>
      </c>
      <c r="KEY77" s="277" t="s">
        <v>1072</v>
      </c>
      <c r="KEZ77" s="277" t="s">
        <v>1072</v>
      </c>
      <c r="KFA77" s="277" t="s">
        <v>1072</v>
      </c>
      <c r="KFB77" s="277" t="s">
        <v>1072</v>
      </c>
      <c r="KFC77" s="277" t="s">
        <v>1072</v>
      </c>
      <c r="KFD77" s="277" t="s">
        <v>1072</v>
      </c>
      <c r="KFE77" s="277" t="s">
        <v>1072</v>
      </c>
      <c r="KFF77" s="277" t="s">
        <v>1072</v>
      </c>
      <c r="KFG77" s="277" t="s">
        <v>1072</v>
      </c>
      <c r="KFH77" s="277" t="s">
        <v>1072</v>
      </c>
      <c r="KFI77" s="277" t="s">
        <v>1072</v>
      </c>
      <c r="KFJ77" s="277" t="s">
        <v>1072</v>
      </c>
      <c r="KFK77" s="277" t="s">
        <v>1072</v>
      </c>
      <c r="KFL77" s="277" t="s">
        <v>1072</v>
      </c>
      <c r="KFM77" s="277" t="s">
        <v>1072</v>
      </c>
      <c r="KFN77" s="277" t="s">
        <v>1072</v>
      </c>
      <c r="KFO77" s="277" t="s">
        <v>1072</v>
      </c>
      <c r="KFP77" s="277" t="s">
        <v>1072</v>
      </c>
      <c r="KFQ77" s="277" t="s">
        <v>1072</v>
      </c>
      <c r="KFR77" s="277" t="s">
        <v>1072</v>
      </c>
      <c r="KFS77" s="277" t="s">
        <v>1072</v>
      </c>
      <c r="KFT77" s="277" t="s">
        <v>1072</v>
      </c>
      <c r="KFU77" s="277" t="s">
        <v>1072</v>
      </c>
      <c r="KFV77" s="277" t="s">
        <v>1072</v>
      </c>
      <c r="KFW77" s="277" t="s">
        <v>1072</v>
      </c>
      <c r="KFX77" s="277" t="s">
        <v>1072</v>
      </c>
      <c r="KFY77" s="277" t="s">
        <v>1072</v>
      </c>
      <c r="KFZ77" s="277" t="s">
        <v>1072</v>
      </c>
      <c r="KGA77" s="277" t="s">
        <v>1072</v>
      </c>
      <c r="KGB77" s="277" t="s">
        <v>1072</v>
      </c>
      <c r="KGC77" s="277" t="s">
        <v>1072</v>
      </c>
      <c r="KGD77" s="277" t="s">
        <v>1072</v>
      </c>
      <c r="KGE77" s="277" t="s">
        <v>1072</v>
      </c>
      <c r="KGF77" s="277" t="s">
        <v>1072</v>
      </c>
      <c r="KGG77" s="277" t="s">
        <v>1072</v>
      </c>
      <c r="KGH77" s="277" t="s">
        <v>1072</v>
      </c>
      <c r="KGI77" s="277" t="s">
        <v>1072</v>
      </c>
      <c r="KGJ77" s="277" t="s">
        <v>1072</v>
      </c>
      <c r="KGK77" s="277" t="s">
        <v>1072</v>
      </c>
      <c r="KGL77" s="277" t="s">
        <v>1072</v>
      </c>
      <c r="KGM77" s="277" t="s">
        <v>1072</v>
      </c>
      <c r="KGN77" s="277" t="s">
        <v>1072</v>
      </c>
      <c r="KGO77" s="277" t="s">
        <v>1072</v>
      </c>
      <c r="KGP77" s="277" t="s">
        <v>1072</v>
      </c>
      <c r="KGQ77" s="277" t="s">
        <v>1072</v>
      </c>
      <c r="KGR77" s="277" t="s">
        <v>1072</v>
      </c>
      <c r="KGS77" s="277" t="s">
        <v>1072</v>
      </c>
      <c r="KGT77" s="277" t="s">
        <v>1072</v>
      </c>
      <c r="KGU77" s="277" t="s">
        <v>1072</v>
      </c>
      <c r="KGV77" s="277" t="s">
        <v>1072</v>
      </c>
      <c r="KGW77" s="277" t="s">
        <v>1072</v>
      </c>
      <c r="KGX77" s="277" t="s">
        <v>1072</v>
      </c>
      <c r="KGY77" s="277" t="s">
        <v>1072</v>
      </c>
      <c r="KGZ77" s="277" t="s">
        <v>1072</v>
      </c>
      <c r="KHA77" s="277" t="s">
        <v>1072</v>
      </c>
      <c r="KHB77" s="277" t="s">
        <v>1072</v>
      </c>
      <c r="KHC77" s="277" t="s">
        <v>1072</v>
      </c>
      <c r="KHD77" s="277" t="s">
        <v>1072</v>
      </c>
      <c r="KHE77" s="277" t="s">
        <v>1072</v>
      </c>
      <c r="KHF77" s="277" t="s">
        <v>1072</v>
      </c>
      <c r="KHG77" s="277" t="s">
        <v>1072</v>
      </c>
      <c r="KHH77" s="277" t="s">
        <v>1072</v>
      </c>
      <c r="KHI77" s="277" t="s">
        <v>1072</v>
      </c>
      <c r="KHJ77" s="277" t="s">
        <v>1072</v>
      </c>
      <c r="KHK77" s="277" t="s">
        <v>1072</v>
      </c>
      <c r="KHL77" s="277" t="s">
        <v>1072</v>
      </c>
      <c r="KHM77" s="277" t="s">
        <v>1072</v>
      </c>
      <c r="KHN77" s="277" t="s">
        <v>1072</v>
      </c>
      <c r="KHO77" s="277" t="s">
        <v>1072</v>
      </c>
      <c r="KHP77" s="277" t="s">
        <v>1072</v>
      </c>
      <c r="KHQ77" s="277" t="s">
        <v>1072</v>
      </c>
      <c r="KHR77" s="277" t="s">
        <v>1072</v>
      </c>
      <c r="KHS77" s="277" t="s">
        <v>1072</v>
      </c>
      <c r="KHT77" s="277" t="s">
        <v>1072</v>
      </c>
      <c r="KHU77" s="277" t="s">
        <v>1072</v>
      </c>
      <c r="KHV77" s="277" t="s">
        <v>1072</v>
      </c>
      <c r="KHW77" s="277" t="s">
        <v>1072</v>
      </c>
      <c r="KHX77" s="277" t="s">
        <v>1072</v>
      </c>
      <c r="KHY77" s="277" t="s">
        <v>1072</v>
      </c>
      <c r="KHZ77" s="277" t="s">
        <v>1072</v>
      </c>
      <c r="KIA77" s="277" t="s">
        <v>1072</v>
      </c>
      <c r="KIB77" s="277" t="s">
        <v>1072</v>
      </c>
      <c r="KIC77" s="277" t="s">
        <v>1072</v>
      </c>
      <c r="KID77" s="277" t="s">
        <v>1072</v>
      </c>
      <c r="KIE77" s="277" t="s">
        <v>1072</v>
      </c>
      <c r="KIF77" s="277" t="s">
        <v>1072</v>
      </c>
      <c r="KIG77" s="277" t="s">
        <v>1072</v>
      </c>
      <c r="KIH77" s="277" t="s">
        <v>1072</v>
      </c>
      <c r="KII77" s="277" t="s">
        <v>1072</v>
      </c>
      <c r="KIJ77" s="277" t="s">
        <v>1072</v>
      </c>
      <c r="KIK77" s="277" t="s">
        <v>1072</v>
      </c>
      <c r="KIL77" s="277" t="s">
        <v>1072</v>
      </c>
      <c r="KIM77" s="277" t="s">
        <v>1072</v>
      </c>
      <c r="KIN77" s="277" t="s">
        <v>1072</v>
      </c>
      <c r="KIO77" s="277" t="s">
        <v>1072</v>
      </c>
      <c r="KIP77" s="277" t="s">
        <v>1072</v>
      </c>
      <c r="KIQ77" s="277" t="s">
        <v>1072</v>
      </c>
      <c r="KIR77" s="277" t="s">
        <v>1072</v>
      </c>
      <c r="KIS77" s="277" t="s">
        <v>1072</v>
      </c>
      <c r="KIT77" s="277" t="s">
        <v>1072</v>
      </c>
      <c r="KIU77" s="277" t="s">
        <v>1072</v>
      </c>
      <c r="KIV77" s="277" t="s">
        <v>1072</v>
      </c>
      <c r="KIW77" s="277" t="s">
        <v>1072</v>
      </c>
      <c r="KIX77" s="277" t="s">
        <v>1072</v>
      </c>
      <c r="KIY77" s="277" t="s">
        <v>1072</v>
      </c>
      <c r="KIZ77" s="277" t="s">
        <v>1072</v>
      </c>
      <c r="KJA77" s="277" t="s">
        <v>1072</v>
      </c>
      <c r="KJB77" s="277" t="s">
        <v>1072</v>
      </c>
      <c r="KJC77" s="277" t="s">
        <v>1072</v>
      </c>
      <c r="KJD77" s="277" t="s">
        <v>1072</v>
      </c>
      <c r="KJE77" s="277" t="s">
        <v>1072</v>
      </c>
      <c r="KJF77" s="277" t="s">
        <v>1072</v>
      </c>
      <c r="KJG77" s="277" t="s">
        <v>1072</v>
      </c>
      <c r="KJH77" s="277" t="s">
        <v>1072</v>
      </c>
      <c r="KJI77" s="277" t="s">
        <v>1072</v>
      </c>
      <c r="KJJ77" s="277" t="s">
        <v>1072</v>
      </c>
      <c r="KJK77" s="277" t="s">
        <v>1072</v>
      </c>
      <c r="KJL77" s="277" t="s">
        <v>1072</v>
      </c>
      <c r="KJM77" s="277" t="s">
        <v>1072</v>
      </c>
      <c r="KJN77" s="277" t="s">
        <v>1072</v>
      </c>
      <c r="KJO77" s="277" t="s">
        <v>1072</v>
      </c>
      <c r="KJP77" s="277" t="s">
        <v>1072</v>
      </c>
      <c r="KJQ77" s="277" t="s">
        <v>1072</v>
      </c>
      <c r="KJR77" s="277" t="s">
        <v>1072</v>
      </c>
      <c r="KJS77" s="277" t="s">
        <v>1072</v>
      </c>
      <c r="KJT77" s="277" t="s">
        <v>1072</v>
      </c>
      <c r="KJU77" s="277" t="s">
        <v>1072</v>
      </c>
      <c r="KJV77" s="277" t="s">
        <v>1072</v>
      </c>
      <c r="KJW77" s="277" t="s">
        <v>1072</v>
      </c>
      <c r="KJX77" s="277" t="s">
        <v>1072</v>
      </c>
      <c r="KJY77" s="277" t="s">
        <v>1072</v>
      </c>
      <c r="KJZ77" s="277" t="s">
        <v>1072</v>
      </c>
      <c r="KKA77" s="277" t="s">
        <v>1072</v>
      </c>
      <c r="KKB77" s="277" t="s">
        <v>1072</v>
      </c>
      <c r="KKC77" s="277" t="s">
        <v>1072</v>
      </c>
      <c r="KKD77" s="277" t="s">
        <v>1072</v>
      </c>
      <c r="KKE77" s="277" t="s">
        <v>1072</v>
      </c>
      <c r="KKF77" s="277" t="s">
        <v>1072</v>
      </c>
      <c r="KKG77" s="277" t="s">
        <v>1072</v>
      </c>
      <c r="KKH77" s="277" t="s">
        <v>1072</v>
      </c>
      <c r="KKI77" s="277" t="s">
        <v>1072</v>
      </c>
      <c r="KKJ77" s="277" t="s">
        <v>1072</v>
      </c>
      <c r="KKK77" s="277" t="s">
        <v>1072</v>
      </c>
      <c r="KKL77" s="277" t="s">
        <v>1072</v>
      </c>
      <c r="KKM77" s="277" t="s">
        <v>1072</v>
      </c>
      <c r="KKN77" s="277" t="s">
        <v>1072</v>
      </c>
      <c r="KKO77" s="277" t="s">
        <v>1072</v>
      </c>
      <c r="KKP77" s="277" t="s">
        <v>1072</v>
      </c>
      <c r="KKQ77" s="277" t="s">
        <v>1072</v>
      </c>
      <c r="KKR77" s="277" t="s">
        <v>1072</v>
      </c>
      <c r="KKS77" s="277" t="s">
        <v>1072</v>
      </c>
      <c r="KKT77" s="277" t="s">
        <v>1072</v>
      </c>
      <c r="KKU77" s="277" t="s">
        <v>1072</v>
      </c>
      <c r="KKV77" s="277" t="s">
        <v>1072</v>
      </c>
      <c r="KKW77" s="277" t="s">
        <v>1072</v>
      </c>
      <c r="KKX77" s="277" t="s">
        <v>1072</v>
      </c>
      <c r="KKY77" s="277" t="s">
        <v>1072</v>
      </c>
      <c r="KKZ77" s="277" t="s">
        <v>1072</v>
      </c>
      <c r="KLA77" s="277" t="s">
        <v>1072</v>
      </c>
      <c r="KLB77" s="277" t="s">
        <v>1072</v>
      </c>
      <c r="KLC77" s="277" t="s">
        <v>1072</v>
      </c>
      <c r="KLD77" s="277" t="s">
        <v>1072</v>
      </c>
      <c r="KLE77" s="277" t="s">
        <v>1072</v>
      </c>
      <c r="KLF77" s="277" t="s">
        <v>1072</v>
      </c>
      <c r="KLG77" s="277" t="s">
        <v>1072</v>
      </c>
      <c r="KLH77" s="277" t="s">
        <v>1072</v>
      </c>
      <c r="KLI77" s="277" t="s">
        <v>1072</v>
      </c>
      <c r="KLJ77" s="277" t="s">
        <v>1072</v>
      </c>
      <c r="KLK77" s="277" t="s">
        <v>1072</v>
      </c>
      <c r="KLL77" s="277" t="s">
        <v>1072</v>
      </c>
      <c r="KLM77" s="277" t="s">
        <v>1072</v>
      </c>
      <c r="KLN77" s="277" t="s">
        <v>1072</v>
      </c>
      <c r="KLO77" s="277" t="s">
        <v>1072</v>
      </c>
      <c r="KLP77" s="277" t="s">
        <v>1072</v>
      </c>
      <c r="KLQ77" s="277" t="s">
        <v>1072</v>
      </c>
      <c r="KLR77" s="277" t="s">
        <v>1072</v>
      </c>
      <c r="KLS77" s="277" t="s">
        <v>1072</v>
      </c>
      <c r="KLT77" s="277" t="s">
        <v>1072</v>
      </c>
      <c r="KLU77" s="277" t="s">
        <v>1072</v>
      </c>
      <c r="KLV77" s="277" t="s">
        <v>1072</v>
      </c>
      <c r="KLW77" s="277" t="s">
        <v>1072</v>
      </c>
      <c r="KLX77" s="277" t="s">
        <v>1072</v>
      </c>
      <c r="KLY77" s="277" t="s">
        <v>1072</v>
      </c>
      <c r="KLZ77" s="277" t="s">
        <v>1072</v>
      </c>
      <c r="KMA77" s="277" t="s">
        <v>1072</v>
      </c>
      <c r="KMB77" s="277" t="s">
        <v>1072</v>
      </c>
      <c r="KMC77" s="277" t="s">
        <v>1072</v>
      </c>
      <c r="KMD77" s="277" t="s">
        <v>1072</v>
      </c>
      <c r="KME77" s="277" t="s">
        <v>1072</v>
      </c>
      <c r="KMF77" s="277" t="s">
        <v>1072</v>
      </c>
      <c r="KMG77" s="277" t="s">
        <v>1072</v>
      </c>
      <c r="KMH77" s="277" t="s">
        <v>1072</v>
      </c>
      <c r="KMI77" s="277" t="s">
        <v>1072</v>
      </c>
      <c r="KMJ77" s="277" t="s">
        <v>1072</v>
      </c>
      <c r="KMK77" s="277" t="s">
        <v>1072</v>
      </c>
      <c r="KML77" s="277" t="s">
        <v>1072</v>
      </c>
      <c r="KMM77" s="277" t="s">
        <v>1072</v>
      </c>
      <c r="KMN77" s="277" t="s">
        <v>1072</v>
      </c>
      <c r="KMO77" s="277" t="s">
        <v>1072</v>
      </c>
      <c r="KMP77" s="277" t="s">
        <v>1072</v>
      </c>
      <c r="KMQ77" s="277" t="s">
        <v>1072</v>
      </c>
      <c r="KMR77" s="277" t="s">
        <v>1072</v>
      </c>
      <c r="KMS77" s="277" t="s">
        <v>1072</v>
      </c>
      <c r="KMT77" s="277" t="s">
        <v>1072</v>
      </c>
      <c r="KMU77" s="277" t="s">
        <v>1072</v>
      </c>
      <c r="KMV77" s="277" t="s">
        <v>1072</v>
      </c>
      <c r="KMW77" s="277" t="s">
        <v>1072</v>
      </c>
      <c r="KMX77" s="277" t="s">
        <v>1072</v>
      </c>
      <c r="KMY77" s="277" t="s">
        <v>1072</v>
      </c>
      <c r="KMZ77" s="277" t="s">
        <v>1072</v>
      </c>
      <c r="KNA77" s="277" t="s">
        <v>1072</v>
      </c>
      <c r="KNB77" s="277" t="s">
        <v>1072</v>
      </c>
      <c r="KNC77" s="277" t="s">
        <v>1072</v>
      </c>
      <c r="KND77" s="277" t="s">
        <v>1072</v>
      </c>
      <c r="KNE77" s="277" t="s">
        <v>1072</v>
      </c>
      <c r="KNF77" s="277" t="s">
        <v>1072</v>
      </c>
      <c r="KNG77" s="277" t="s">
        <v>1072</v>
      </c>
      <c r="KNH77" s="277" t="s">
        <v>1072</v>
      </c>
      <c r="KNI77" s="277" t="s">
        <v>1072</v>
      </c>
      <c r="KNJ77" s="277" t="s">
        <v>1072</v>
      </c>
      <c r="KNK77" s="277" t="s">
        <v>1072</v>
      </c>
      <c r="KNL77" s="277" t="s">
        <v>1072</v>
      </c>
      <c r="KNM77" s="277" t="s">
        <v>1072</v>
      </c>
      <c r="KNN77" s="277" t="s">
        <v>1072</v>
      </c>
      <c r="KNO77" s="277" t="s">
        <v>1072</v>
      </c>
      <c r="KNP77" s="277" t="s">
        <v>1072</v>
      </c>
      <c r="KNQ77" s="277" t="s">
        <v>1072</v>
      </c>
      <c r="KNR77" s="277" t="s">
        <v>1072</v>
      </c>
      <c r="KNS77" s="277" t="s">
        <v>1072</v>
      </c>
      <c r="KNT77" s="277" t="s">
        <v>1072</v>
      </c>
      <c r="KNU77" s="277" t="s">
        <v>1072</v>
      </c>
      <c r="KNV77" s="277" t="s">
        <v>1072</v>
      </c>
      <c r="KNW77" s="277" t="s">
        <v>1072</v>
      </c>
      <c r="KNX77" s="277" t="s">
        <v>1072</v>
      </c>
      <c r="KNY77" s="277" t="s">
        <v>1072</v>
      </c>
      <c r="KNZ77" s="277" t="s">
        <v>1072</v>
      </c>
      <c r="KOA77" s="277" t="s">
        <v>1072</v>
      </c>
      <c r="KOB77" s="277" t="s">
        <v>1072</v>
      </c>
      <c r="KOC77" s="277" t="s">
        <v>1072</v>
      </c>
      <c r="KOD77" s="277" t="s">
        <v>1072</v>
      </c>
      <c r="KOE77" s="277" t="s">
        <v>1072</v>
      </c>
      <c r="KOF77" s="277" t="s">
        <v>1072</v>
      </c>
      <c r="KOG77" s="277" t="s">
        <v>1072</v>
      </c>
      <c r="KOH77" s="277" t="s">
        <v>1072</v>
      </c>
      <c r="KOI77" s="277" t="s">
        <v>1072</v>
      </c>
      <c r="KOJ77" s="277" t="s">
        <v>1072</v>
      </c>
      <c r="KOK77" s="277" t="s">
        <v>1072</v>
      </c>
      <c r="KOL77" s="277" t="s">
        <v>1072</v>
      </c>
      <c r="KOM77" s="277" t="s">
        <v>1072</v>
      </c>
      <c r="KON77" s="277" t="s">
        <v>1072</v>
      </c>
      <c r="KOO77" s="277" t="s">
        <v>1072</v>
      </c>
      <c r="KOP77" s="277" t="s">
        <v>1072</v>
      </c>
      <c r="KOQ77" s="277" t="s">
        <v>1072</v>
      </c>
      <c r="KOR77" s="277" t="s">
        <v>1072</v>
      </c>
      <c r="KOS77" s="277" t="s">
        <v>1072</v>
      </c>
      <c r="KOT77" s="277" t="s">
        <v>1072</v>
      </c>
      <c r="KOU77" s="277" t="s">
        <v>1072</v>
      </c>
      <c r="KOV77" s="277" t="s">
        <v>1072</v>
      </c>
      <c r="KOW77" s="277" t="s">
        <v>1072</v>
      </c>
      <c r="KOX77" s="277" t="s">
        <v>1072</v>
      </c>
      <c r="KOY77" s="277" t="s">
        <v>1072</v>
      </c>
      <c r="KOZ77" s="277" t="s">
        <v>1072</v>
      </c>
      <c r="KPA77" s="277" t="s">
        <v>1072</v>
      </c>
      <c r="KPB77" s="277" t="s">
        <v>1072</v>
      </c>
      <c r="KPC77" s="277" t="s">
        <v>1072</v>
      </c>
      <c r="KPD77" s="277" t="s">
        <v>1072</v>
      </c>
      <c r="KPE77" s="277" t="s">
        <v>1072</v>
      </c>
      <c r="KPF77" s="277" t="s">
        <v>1072</v>
      </c>
      <c r="KPG77" s="277" t="s">
        <v>1072</v>
      </c>
      <c r="KPH77" s="277" t="s">
        <v>1072</v>
      </c>
      <c r="KPI77" s="277" t="s">
        <v>1072</v>
      </c>
      <c r="KPJ77" s="277" t="s">
        <v>1072</v>
      </c>
      <c r="KPK77" s="277" t="s">
        <v>1072</v>
      </c>
      <c r="KPL77" s="277" t="s">
        <v>1072</v>
      </c>
      <c r="KPM77" s="277" t="s">
        <v>1072</v>
      </c>
      <c r="KPN77" s="277" t="s">
        <v>1072</v>
      </c>
      <c r="KPO77" s="277" t="s">
        <v>1072</v>
      </c>
      <c r="KPP77" s="277" t="s">
        <v>1072</v>
      </c>
      <c r="KPQ77" s="277" t="s">
        <v>1072</v>
      </c>
      <c r="KPR77" s="277" t="s">
        <v>1072</v>
      </c>
      <c r="KPS77" s="277" t="s">
        <v>1072</v>
      </c>
      <c r="KPT77" s="277" t="s">
        <v>1072</v>
      </c>
      <c r="KPU77" s="277" t="s">
        <v>1072</v>
      </c>
      <c r="KPV77" s="277" t="s">
        <v>1072</v>
      </c>
      <c r="KPW77" s="277" t="s">
        <v>1072</v>
      </c>
      <c r="KPX77" s="277" t="s">
        <v>1072</v>
      </c>
      <c r="KPY77" s="277" t="s">
        <v>1072</v>
      </c>
      <c r="KPZ77" s="277" t="s">
        <v>1072</v>
      </c>
      <c r="KQA77" s="277" t="s">
        <v>1072</v>
      </c>
      <c r="KQB77" s="277" t="s">
        <v>1072</v>
      </c>
      <c r="KQC77" s="277" t="s">
        <v>1072</v>
      </c>
      <c r="KQD77" s="277" t="s">
        <v>1072</v>
      </c>
      <c r="KQE77" s="277" t="s">
        <v>1072</v>
      </c>
      <c r="KQF77" s="277" t="s">
        <v>1072</v>
      </c>
      <c r="KQG77" s="277" t="s">
        <v>1072</v>
      </c>
      <c r="KQH77" s="277" t="s">
        <v>1072</v>
      </c>
      <c r="KQI77" s="277" t="s">
        <v>1072</v>
      </c>
      <c r="KQJ77" s="277" t="s">
        <v>1072</v>
      </c>
      <c r="KQK77" s="277" t="s">
        <v>1072</v>
      </c>
      <c r="KQL77" s="277" t="s">
        <v>1072</v>
      </c>
      <c r="KQM77" s="277" t="s">
        <v>1072</v>
      </c>
      <c r="KQN77" s="277" t="s">
        <v>1072</v>
      </c>
      <c r="KQO77" s="277" t="s">
        <v>1072</v>
      </c>
      <c r="KQP77" s="277" t="s">
        <v>1072</v>
      </c>
      <c r="KQQ77" s="277" t="s">
        <v>1072</v>
      </c>
      <c r="KQR77" s="277" t="s">
        <v>1072</v>
      </c>
      <c r="KQS77" s="277" t="s">
        <v>1072</v>
      </c>
      <c r="KQT77" s="277" t="s">
        <v>1072</v>
      </c>
      <c r="KQU77" s="277" t="s">
        <v>1072</v>
      </c>
      <c r="KQV77" s="277" t="s">
        <v>1072</v>
      </c>
      <c r="KQW77" s="277" t="s">
        <v>1072</v>
      </c>
      <c r="KQX77" s="277" t="s">
        <v>1072</v>
      </c>
      <c r="KQY77" s="277" t="s">
        <v>1072</v>
      </c>
      <c r="KQZ77" s="277" t="s">
        <v>1072</v>
      </c>
      <c r="KRA77" s="277" t="s">
        <v>1072</v>
      </c>
      <c r="KRB77" s="277" t="s">
        <v>1072</v>
      </c>
      <c r="KRC77" s="277" t="s">
        <v>1072</v>
      </c>
      <c r="KRD77" s="277" t="s">
        <v>1072</v>
      </c>
      <c r="KRE77" s="277" t="s">
        <v>1072</v>
      </c>
      <c r="KRF77" s="277" t="s">
        <v>1072</v>
      </c>
      <c r="KRG77" s="277" t="s">
        <v>1072</v>
      </c>
      <c r="KRH77" s="277" t="s">
        <v>1072</v>
      </c>
      <c r="KRI77" s="277" t="s">
        <v>1072</v>
      </c>
      <c r="KRJ77" s="277" t="s">
        <v>1072</v>
      </c>
      <c r="KRK77" s="277" t="s">
        <v>1072</v>
      </c>
      <c r="KRL77" s="277" t="s">
        <v>1072</v>
      </c>
      <c r="KRM77" s="277" t="s">
        <v>1072</v>
      </c>
      <c r="KRN77" s="277" t="s">
        <v>1072</v>
      </c>
      <c r="KRO77" s="277" t="s">
        <v>1072</v>
      </c>
      <c r="KRP77" s="277" t="s">
        <v>1072</v>
      </c>
      <c r="KRQ77" s="277" t="s">
        <v>1072</v>
      </c>
      <c r="KRR77" s="277" t="s">
        <v>1072</v>
      </c>
      <c r="KRS77" s="277" t="s">
        <v>1072</v>
      </c>
      <c r="KRT77" s="277" t="s">
        <v>1072</v>
      </c>
      <c r="KRU77" s="277" t="s">
        <v>1072</v>
      </c>
      <c r="KRV77" s="277" t="s">
        <v>1072</v>
      </c>
      <c r="KRW77" s="277" t="s">
        <v>1072</v>
      </c>
      <c r="KRX77" s="277" t="s">
        <v>1072</v>
      </c>
      <c r="KRY77" s="277" t="s">
        <v>1072</v>
      </c>
      <c r="KRZ77" s="277" t="s">
        <v>1072</v>
      </c>
      <c r="KSA77" s="277" t="s">
        <v>1072</v>
      </c>
      <c r="KSB77" s="277" t="s">
        <v>1072</v>
      </c>
      <c r="KSC77" s="277" t="s">
        <v>1072</v>
      </c>
      <c r="KSD77" s="277" t="s">
        <v>1072</v>
      </c>
      <c r="KSE77" s="277" t="s">
        <v>1072</v>
      </c>
      <c r="KSF77" s="277" t="s">
        <v>1072</v>
      </c>
      <c r="KSG77" s="277" t="s">
        <v>1072</v>
      </c>
      <c r="KSH77" s="277" t="s">
        <v>1072</v>
      </c>
      <c r="KSI77" s="277" t="s">
        <v>1072</v>
      </c>
      <c r="KSJ77" s="277" t="s">
        <v>1072</v>
      </c>
      <c r="KSK77" s="277" t="s">
        <v>1072</v>
      </c>
      <c r="KSL77" s="277" t="s">
        <v>1072</v>
      </c>
      <c r="KSM77" s="277" t="s">
        <v>1072</v>
      </c>
      <c r="KSN77" s="277" t="s">
        <v>1072</v>
      </c>
      <c r="KSO77" s="277" t="s">
        <v>1072</v>
      </c>
      <c r="KSP77" s="277" t="s">
        <v>1072</v>
      </c>
      <c r="KSQ77" s="277" t="s">
        <v>1072</v>
      </c>
      <c r="KSR77" s="277" t="s">
        <v>1072</v>
      </c>
      <c r="KSS77" s="277" t="s">
        <v>1072</v>
      </c>
      <c r="KST77" s="277" t="s">
        <v>1072</v>
      </c>
      <c r="KSU77" s="277" t="s">
        <v>1072</v>
      </c>
      <c r="KSV77" s="277" t="s">
        <v>1072</v>
      </c>
      <c r="KSW77" s="277" t="s">
        <v>1072</v>
      </c>
      <c r="KSX77" s="277" t="s">
        <v>1072</v>
      </c>
      <c r="KSY77" s="277" t="s">
        <v>1072</v>
      </c>
      <c r="KSZ77" s="277" t="s">
        <v>1072</v>
      </c>
      <c r="KTA77" s="277" t="s">
        <v>1072</v>
      </c>
      <c r="KTB77" s="277" t="s">
        <v>1072</v>
      </c>
      <c r="KTC77" s="277" t="s">
        <v>1072</v>
      </c>
      <c r="KTD77" s="277" t="s">
        <v>1072</v>
      </c>
      <c r="KTE77" s="277" t="s">
        <v>1072</v>
      </c>
      <c r="KTF77" s="277" t="s">
        <v>1072</v>
      </c>
      <c r="KTG77" s="277" t="s">
        <v>1072</v>
      </c>
      <c r="KTH77" s="277" t="s">
        <v>1072</v>
      </c>
      <c r="KTI77" s="277" t="s">
        <v>1072</v>
      </c>
      <c r="KTJ77" s="277" t="s">
        <v>1072</v>
      </c>
      <c r="KTK77" s="277" t="s">
        <v>1072</v>
      </c>
      <c r="KTL77" s="277" t="s">
        <v>1072</v>
      </c>
      <c r="KTM77" s="277" t="s">
        <v>1072</v>
      </c>
      <c r="KTN77" s="277" t="s">
        <v>1072</v>
      </c>
      <c r="KTO77" s="277" t="s">
        <v>1072</v>
      </c>
      <c r="KTP77" s="277" t="s">
        <v>1072</v>
      </c>
      <c r="KTQ77" s="277" t="s">
        <v>1072</v>
      </c>
      <c r="KTR77" s="277" t="s">
        <v>1072</v>
      </c>
      <c r="KTS77" s="277" t="s">
        <v>1072</v>
      </c>
      <c r="KTT77" s="277" t="s">
        <v>1072</v>
      </c>
      <c r="KTU77" s="277" t="s">
        <v>1072</v>
      </c>
      <c r="KTV77" s="277" t="s">
        <v>1072</v>
      </c>
      <c r="KTW77" s="277" t="s">
        <v>1072</v>
      </c>
      <c r="KTX77" s="277" t="s">
        <v>1072</v>
      </c>
      <c r="KTY77" s="277" t="s">
        <v>1072</v>
      </c>
      <c r="KTZ77" s="277" t="s">
        <v>1072</v>
      </c>
      <c r="KUA77" s="277" t="s">
        <v>1072</v>
      </c>
      <c r="KUB77" s="277" t="s">
        <v>1072</v>
      </c>
      <c r="KUC77" s="277" t="s">
        <v>1072</v>
      </c>
      <c r="KUD77" s="277" t="s">
        <v>1072</v>
      </c>
      <c r="KUE77" s="277" t="s">
        <v>1072</v>
      </c>
      <c r="KUF77" s="277" t="s">
        <v>1072</v>
      </c>
      <c r="KUG77" s="277" t="s">
        <v>1072</v>
      </c>
      <c r="KUH77" s="277" t="s">
        <v>1072</v>
      </c>
      <c r="KUI77" s="277" t="s">
        <v>1072</v>
      </c>
      <c r="KUJ77" s="277" t="s">
        <v>1072</v>
      </c>
      <c r="KUK77" s="277" t="s">
        <v>1072</v>
      </c>
      <c r="KUL77" s="277" t="s">
        <v>1072</v>
      </c>
      <c r="KUM77" s="277" t="s">
        <v>1072</v>
      </c>
      <c r="KUN77" s="277" t="s">
        <v>1072</v>
      </c>
      <c r="KUO77" s="277" t="s">
        <v>1072</v>
      </c>
      <c r="KUP77" s="277" t="s">
        <v>1072</v>
      </c>
      <c r="KUQ77" s="277" t="s">
        <v>1072</v>
      </c>
      <c r="KUR77" s="277" t="s">
        <v>1072</v>
      </c>
      <c r="KUS77" s="277" t="s">
        <v>1072</v>
      </c>
      <c r="KUT77" s="277" t="s">
        <v>1072</v>
      </c>
      <c r="KUU77" s="277" t="s">
        <v>1072</v>
      </c>
      <c r="KUV77" s="277" t="s">
        <v>1072</v>
      </c>
      <c r="KUW77" s="277" t="s">
        <v>1072</v>
      </c>
      <c r="KUX77" s="277" t="s">
        <v>1072</v>
      </c>
      <c r="KUY77" s="277" t="s">
        <v>1072</v>
      </c>
      <c r="KUZ77" s="277" t="s">
        <v>1072</v>
      </c>
      <c r="KVA77" s="277" t="s">
        <v>1072</v>
      </c>
      <c r="KVB77" s="277" t="s">
        <v>1072</v>
      </c>
      <c r="KVC77" s="277" t="s">
        <v>1072</v>
      </c>
      <c r="KVD77" s="277" t="s">
        <v>1072</v>
      </c>
      <c r="KVE77" s="277" t="s">
        <v>1072</v>
      </c>
      <c r="KVF77" s="277" t="s">
        <v>1072</v>
      </c>
      <c r="KVG77" s="277" t="s">
        <v>1072</v>
      </c>
      <c r="KVH77" s="277" t="s">
        <v>1072</v>
      </c>
      <c r="KVI77" s="277" t="s">
        <v>1072</v>
      </c>
      <c r="KVJ77" s="277" t="s">
        <v>1072</v>
      </c>
      <c r="KVK77" s="277" t="s">
        <v>1072</v>
      </c>
      <c r="KVL77" s="277" t="s">
        <v>1072</v>
      </c>
      <c r="KVM77" s="277" t="s">
        <v>1072</v>
      </c>
      <c r="KVN77" s="277" t="s">
        <v>1072</v>
      </c>
      <c r="KVO77" s="277" t="s">
        <v>1072</v>
      </c>
      <c r="KVP77" s="277" t="s">
        <v>1072</v>
      </c>
      <c r="KVQ77" s="277" t="s">
        <v>1072</v>
      </c>
      <c r="KVR77" s="277" t="s">
        <v>1072</v>
      </c>
      <c r="KVS77" s="277" t="s">
        <v>1072</v>
      </c>
      <c r="KVT77" s="277" t="s">
        <v>1072</v>
      </c>
      <c r="KVU77" s="277" t="s">
        <v>1072</v>
      </c>
      <c r="KVV77" s="277" t="s">
        <v>1072</v>
      </c>
      <c r="KVW77" s="277" t="s">
        <v>1072</v>
      </c>
      <c r="KVX77" s="277" t="s">
        <v>1072</v>
      </c>
      <c r="KVY77" s="277" t="s">
        <v>1072</v>
      </c>
      <c r="KVZ77" s="277" t="s">
        <v>1072</v>
      </c>
      <c r="KWA77" s="277" t="s">
        <v>1072</v>
      </c>
      <c r="KWB77" s="277" t="s">
        <v>1072</v>
      </c>
      <c r="KWC77" s="277" t="s">
        <v>1072</v>
      </c>
      <c r="KWD77" s="277" t="s">
        <v>1072</v>
      </c>
      <c r="KWE77" s="277" t="s">
        <v>1072</v>
      </c>
      <c r="KWF77" s="277" t="s">
        <v>1072</v>
      </c>
      <c r="KWG77" s="277" t="s">
        <v>1072</v>
      </c>
      <c r="KWH77" s="277" t="s">
        <v>1072</v>
      </c>
      <c r="KWI77" s="277" t="s">
        <v>1072</v>
      </c>
      <c r="KWJ77" s="277" t="s">
        <v>1072</v>
      </c>
      <c r="KWK77" s="277" t="s">
        <v>1072</v>
      </c>
      <c r="KWL77" s="277" t="s">
        <v>1072</v>
      </c>
      <c r="KWM77" s="277" t="s">
        <v>1072</v>
      </c>
      <c r="KWN77" s="277" t="s">
        <v>1072</v>
      </c>
      <c r="KWO77" s="277" t="s">
        <v>1072</v>
      </c>
      <c r="KWP77" s="277" t="s">
        <v>1072</v>
      </c>
      <c r="KWQ77" s="277" t="s">
        <v>1072</v>
      </c>
      <c r="KWR77" s="277" t="s">
        <v>1072</v>
      </c>
      <c r="KWS77" s="277" t="s">
        <v>1072</v>
      </c>
      <c r="KWT77" s="277" t="s">
        <v>1072</v>
      </c>
      <c r="KWU77" s="277" t="s">
        <v>1072</v>
      </c>
      <c r="KWV77" s="277" t="s">
        <v>1072</v>
      </c>
      <c r="KWW77" s="277" t="s">
        <v>1072</v>
      </c>
      <c r="KWX77" s="277" t="s">
        <v>1072</v>
      </c>
      <c r="KWY77" s="277" t="s">
        <v>1072</v>
      </c>
      <c r="KWZ77" s="277" t="s">
        <v>1072</v>
      </c>
      <c r="KXA77" s="277" t="s">
        <v>1072</v>
      </c>
      <c r="KXB77" s="277" t="s">
        <v>1072</v>
      </c>
      <c r="KXC77" s="277" t="s">
        <v>1072</v>
      </c>
      <c r="KXD77" s="277" t="s">
        <v>1072</v>
      </c>
      <c r="KXE77" s="277" t="s">
        <v>1072</v>
      </c>
      <c r="KXF77" s="277" t="s">
        <v>1072</v>
      </c>
      <c r="KXG77" s="277" t="s">
        <v>1072</v>
      </c>
      <c r="KXH77" s="277" t="s">
        <v>1072</v>
      </c>
      <c r="KXI77" s="277" t="s">
        <v>1072</v>
      </c>
      <c r="KXJ77" s="277" t="s">
        <v>1072</v>
      </c>
      <c r="KXK77" s="277" t="s">
        <v>1072</v>
      </c>
      <c r="KXL77" s="277" t="s">
        <v>1072</v>
      </c>
      <c r="KXM77" s="277" t="s">
        <v>1072</v>
      </c>
      <c r="KXN77" s="277" t="s">
        <v>1072</v>
      </c>
      <c r="KXO77" s="277" t="s">
        <v>1072</v>
      </c>
      <c r="KXP77" s="277" t="s">
        <v>1072</v>
      </c>
      <c r="KXQ77" s="277" t="s">
        <v>1072</v>
      </c>
      <c r="KXR77" s="277" t="s">
        <v>1072</v>
      </c>
      <c r="KXS77" s="277" t="s">
        <v>1072</v>
      </c>
      <c r="KXT77" s="277" t="s">
        <v>1072</v>
      </c>
      <c r="KXU77" s="277" t="s">
        <v>1072</v>
      </c>
      <c r="KXV77" s="277" t="s">
        <v>1072</v>
      </c>
      <c r="KXW77" s="277" t="s">
        <v>1072</v>
      </c>
      <c r="KXX77" s="277" t="s">
        <v>1072</v>
      </c>
      <c r="KXY77" s="277" t="s">
        <v>1072</v>
      </c>
      <c r="KXZ77" s="277" t="s">
        <v>1072</v>
      </c>
      <c r="KYA77" s="277" t="s">
        <v>1072</v>
      </c>
      <c r="KYB77" s="277" t="s">
        <v>1072</v>
      </c>
      <c r="KYC77" s="277" t="s">
        <v>1072</v>
      </c>
      <c r="KYD77" s="277" t="s">
        <v>1072</v>
      </c>
      <c r="KYE77" s="277" t="s">
        <v>1072</v>
      </c>
      <c r="KYF77" s="277" t="s">
        <v>1072</v>
      </c>
      <c r="KYG77" s="277" t="s">
        <v>1072</v>
      </c>
      <c r="KYH77" s="277" t="s">
        <v>1072</v>
      </c>
      <c r="KYI77" s="277" t="s">
        <v>1072</v>
      </c>
      <c r="KYJ77" s="277" t="s">
        <v>1072</v>
      </c>
      <c r="KYK77" s="277" t="s">
        <v>1072</v>
      </c>
      <c r="KYL77" s="277" t="s">
        <v>1072</v>
      </c>
      <c r="KYM77" s="277" t="s">
        <v>1072</v>
      </c>
      <c r="KYN77" s="277" t="s">
        <v>1072</v>
      </c>
      <c r="KYO77" s="277" t="s">
        <v>1072</v>
      </c>
      <c r="KYP77" s="277" t="s">
        <v>1072</v>
      </c>
      <c r="KYQ77" s="277" t="s">
        <v>1072</v>
      </c>
      <c r="KYR77" s="277" t="s">
        <v>1072</v>
      </c>
      <c r="KYS77" s="277" t="s">
        <v>1072</v>
      </c>
      <c r="KYT77" s="277" t="s">
        <v>1072</v>
      </c>
      <c r="KYU77" s="277" t="s">
        <v>1072</v>
      </c>
      <c r="KYV77" s="277" t="s">
        <v>1072</v>
      </c>
      <c r="KYW77" s="277" t="s">
        <v>1072</v>
      </c>
      <c r="KYX77" s="277" t="s">
        <v>1072</v>
      </c>
      <c r="KYY77" s="277" t="s">
        <v>1072</v>
      </c>
      <c r="KYZ77" s="277" t="s">
        <v>1072</v>
      </c>
      <c r="KZA77" s="277" t="s">
        <v>1072</v>
      </c>
      <c r="KZB77" s="277" t="s">
        <v>1072</v>
      </c>
      <c r="KZC77" s="277" t="s">
        <v>1072</v>
      </c>
      <c r="KZD77" s="277" t="s">
        <v>1072</v>
      </c>
      <c r="KZE77" s="277" t="s">
        <v>1072</v>
      </c>
      <c r="KZF77" s="277" t="s">
        <v>1072</v>
      </c>
      <c r="KZG77" s="277" t="s">
        <v>1072</v>
      </c>
      <c r="KZH77" s="277" t="s">
        <v>1072</v>
      </c>
      <c r="KZI77" s="277" t="s">
        <v>1072</v>
      </c>
      <c r="KZJ77" s="277" t="s">
        <v>1072</v>
      </c>
      <c r="KZK77" s="277" t="s">
        <v>1072</v>
      </c>
      <c r="KZL77" s="277" t="s">
        <v>1072</v>
      </c>
      <c r="KZM77" s="277" t="s">
        <v>1072</v>
      </c>
      <c r="KZN77" s="277" t="s">
        <v>1072</v>
      </c>
      <c r="KZO77" s="277" t="s">
        <v>1072</v>
      </c>
      <c r="KZP77" s="277" t="s">
        <v>1072</v>
      </c>
      <c r="KZQ77" s="277" t="s">
        <v>1072</v>
      </c>
      <c r="KZR77" s="277" t="s">
        <v>1072</v>
      </c>
      <c r="KZS77" s="277" t="s">
        <v>1072</v>
      </c>
      <c r="KZT77" s="277" t="s">
        <v>1072</v>
      </c>
      <c r="KZU77" s="277" t="s">
        <v>1072</v>
      </c>
      <c r="KZV77" s="277" t="s">
        <v>1072</v>
      </c>
      <c r="KZW77" s="277" t="s">
        <v>1072</v>
      </c>
      <c r="KZX77" s="277" t="s">
        <v>1072</v>
      </c>
      <c r="KZY77" s="277" t="s">
        <v>1072</v>
      </c>
      <c r="KZZ77" s="277" t="s">
        <v>1072</v>
      </c>
      <c r="LAA77" s="277" t="s">
        <v>1072</v>
      </c>
      <c r="LAB77" s="277" t="s">
        <v>1072</v>
      </c>
      <c r="LAC77" s="277" t="s">
        <v>1072</v>
      </c>
      <c r="LAD77" s="277" t="s">
        <v>1072</v>
      </c>
      <c r="LAE77" s="277" t="s">
        <v>1072</v>
      </c>
      <c r="LAF77" s="277" t="s">
        <v>1072</v>
      </c>
      <c r="LAG77" s="277" t="s">
        <v>1072</v>
      </c>
      <c r="LAH77" s="277" t="s">
        <v>1072</v>
      </c>
      <c r="LAI77" s="277" t="s">
        <v>1072</v>
      </c>
      <c r="LAJ77" s="277" t="s">
        <v>1072</v>
      </c>
      <c r="LAK77" s="277" t="s">
        <v>1072</v>
      </c>
      <c r="LAL77" s="277" t="s">
        <v>1072</v>
      </c>
      <c r="LAM77" s="277" t="s">
        <v>1072</v>
      </c>
      <c r="LAN77" s="277" t="s">
        <v>1072</v>
      </c>
      <c r="LAO77" s="277" t="s">
        <v>1072</v>
      </c>
      <c r="LAP77" s="277" t="s">
        <v>1072</v>
      </c>
      <c r="LAQ77" s="277" t="s">
        <v>1072</v>
      </c>
      <c r="LAR77" s="277" t="s">
        <v>1072</v>
      </c>
      <c r="LAS77" s="277" t="s">
        <v>1072</v>
      </c>
      <c r="LAT77" s="277" t="s">
        <v>1072</v>
      </c>
      <c r="LAU77" s="277" t="s">
        <v>1072</v>
      </c>
      <c r="LAV77" s="277" t="s">
        <v>1072</v>
      </c>
      <c r="LAW77" s="277" t="s">
        <v>1072</v>
      </c>
      <c r="LAX77" s="277" t="s">
        <v>1072</v>
      </c>
      <c r="LAY77" s="277" t="s">
        <v>1072</v>
      </c>
      <c r="LAZ77" s="277" t="s">
        <v>1072</v>
      </c>
      <c r="LBA77" s="277" t="s">
        <v>1072</v>
      </c>
      <c r="LBB77" s="277" t="s">
        <v>1072</v>
      </c>
      <c r="LBC77" s="277" t="s">
        <v>1072</v>
      </c>
      <c r="LBD77" s="277" t="s">
        <v>1072</v>
      </c>
      <c r="LBE77" s="277" t="s">
        <v>1072</v>
      </c>
      <c r="LBF77" s="277" t="s">
        <v>1072</v>
      </c>
      <c r="LBG77" s="277" t="s">
        <v>1072</v>
      </c>
      <c r="LBH77" s="277" t="s">
        <v>1072</v>
      </c>
      <c r="LBI77" s="277" t="s">
        <v>1072</v>
      </c>
      <c r="LBJ77" s="277" t="s">
        <v>1072</v>
      </c>
      <c r="LBK77" s="277" t="s">
        <v>1072</v>
      </c>
      <c r="LBL77" s="277" t="s">
        <v>1072</v>
      </c>
      <c r="LBM77" s="277" t="s">
        <v>1072</v>
      </c>
      <c r="LBN77" s="277" t="s">
        <v>1072</v>
      </c>
      <c r="LBO77" s="277" t="s">
        <v>1072</v>
      </c>
      <c r="LBP77" s="277" t="s">
        <v>1072</v>
      </c>
      <c r="LBQ77" s="277" t="s">
        <v>1072</v>
      </c>
      <c r="LBR77" s="277" t="s">
        <v>1072</v>
      </c>
      <c r="LBS77" s="277" t="s">
        <v>1072</v>
      </c>
      <c r="LBT77" s="277" t="s">
        <v>1072</v>
      </c>
      <c r="LBU77" s="277" t="s">
        <v>1072</v>
      </c>
      <c r="LBV77" s="277" t="s">
        <v>1072</v>
      </c>
      <c r="LBW77" s="277" t="s">
        <v>1072</v>
      </c>
      <c r="LBX77" s="277" t="s">
        <v>1072</v>
      </c>
      <c r="LBY77" s="277" t="s">
        <v>1072</v>
      </c>
      <c r="LBZ77" s="277" t="s">
        <v>1072</v>
      </c>
      <c r="LCA77" s="277" t="s">
        <v>1072</v>
      </c>
      <c r="LCB77" s="277" t="s">
        <v>1072</v>
      </c>
      <c r="LCC77" s="277" t="s">
        <v>1072</v>
      </c>
      <c r="LCD77" s="277" t="s">
        <v>1072</v>
      </c>
      <c r="LCE77" s="277" t="s">
        <v>1072</v>
      </c>
      <c r="LCF77" s="277" t="s">
        <v>1072</v>
      </c>
      <c r="LCG77" s="277" t="s">
        <v>1072</v>
      </c>
      <c r="LCH77" s="277" t="s">
        <v>1072</v>
      </c>
      <c r="LCI77" s="277" t="s">
        <v>1072</v>
      </c>
      <c r="LCJ77" s="277" t="s">
        <v>1072</v>
      </c>
      <c r="LCK77" s="277" t="s">
        <v>1072</v>
      </c>
      <c r="LCL77" s="277" t="s">
        <v>1072</v>
      </c>
      <c r="LCM77" s="277" t="s">
        <v>1072</v>
      </c>
      <c r="LCN77" s="277" t="s">
        <v>1072</v>
      </c>
      <c r="LCO77" s="277" t="s">
        <v>1072</v>
      </c>
      <c r="LCP77" s="277" t="s">
        <v>1072</v>
      </c>
      <c r="LCQ77" s="277" t="s">
        <v>1072</v>
      </c>
      <c r="LCR77" s="277" t="s">
        <v>1072</v>
      </c>
      <c r="LCS77" s="277" t="s">
        <v>1072</v>
      </c>
      <c r="LCT77" s="277" t="s">
        <v>1072</v>
      </c>
      <c r="LCU77" s="277" t="s">
        <v>1072</v>
      </c>
      <c r="LCV77" s="277" t="s">
        <v>1072</v>
      </c>
      <c r="LCW77" s="277" t="s">
        <v>1072</v>
      </c>
      <c r="LCX77" s="277" t="s">
        <v>1072</v>
      </c>
      <c r="LCY77" s="277" t="s">
        <v>1072</v>
      </c>
      <c r="LCZ77" s="277" t="s">
        <v>1072</v>
      </c>
      <c r="LDA77" s="277" t="s">
        <v>1072</v>
      </c>
      <c r="LDB77" s="277" t="s">
        <v>1072</v>
      </c>
      <c r="LDC77" s="277" t="s">
        <v>1072</v>
      </c>
      <c r="LDD77" s="277" t="s">
        <v>1072</v>
      </c>
      <c r="LDE77" s="277" t="s">
        <v>1072</v>
      </c>
      <c r="LDF77" s="277" t="s">
        <v>1072</v>
      </c>
      <c r="LDG77" s="277" t="s">
        <v>1072</v>
      </c>
      <c r="LDH77" s="277" t="s">
        <v>1072</v>
      </c>
      <c r="LDI77" s="277" t="s">
        <v>1072</v>
      </c>
      <c r="LDJ77" s="277" t="s">
        <v>1072</v>
      </c>
      <c r="LDK77" s="277" t="s">
        <v>1072</v>
      </c>
      <c r="LDL77" s="277" t="s">
        <v>1072</v>
      </c>
      <c r="LDM77" s="277" t="s">
        <v>1072</v>
      </c>
      <c r="LDN77" s="277" t="s">
        <v>1072</v>
      </c>
      <c r="LDO77" s="277" t="s">
        <v>1072</v>
      </c>
      <c r="LDP77" s="277" t="s">
        <v>1072</v>
      </c>
      <c r="LDQ77" s="277" t="s">
        <v>1072</v>
      </c>
      <c r="LDR77" s="277" t="s">
        <v>1072</v>
      </c>
      <c r="LDS77" s="277" t="s">
        <v>1072</v>
      </c>
      <c r="LDT77" s="277" t="s">
        <v>1072</v>
      </c>
      <c r="LDU77" s="277" t="s">
        <v>1072</v>
      </c>
      <c r="LDV77" s="277" t="s">
        <v>1072</v>
      </c>
      <c r="LDW77" s="277" t="s">
        <v>1072</v>
      </c>
      <c r="LDX77" s="277" t="s">
        <v>1072</v>
      </c>
      <c r="LDY77" s="277" t="s">
        <v>1072</v>
      </c>
      <c r="LDZ77" s="277" t="s">
        <v>1072</v>
      </c>
      <c r="LEA77" s="277" t="s">
        <v>1072</v>
      </c>
      <c r="LEB77" s="277" t="s">
        <v>1072</v>
      </c>
      <c r="LEC77" s="277" t="s">
        <v>1072</v>
      </c>
      <c r="LED77" s="277" t="s">
        <v>1072</v>
      </c>
      <c r="LEE77" s="277" t="s">
        <v>1072</v>
      </c>
      <c r="LEF77" s="277" t="s">
        <v>1072</v>
      </c>
      <c r="LEG77" s="277" t="s">
        <v>1072</v>
      </c>
      <c r="LEH77" s="277" t="s">
        <v>1072</v>
      </c>
      <c r="LEI77" s="277" t="s">
        <v>1072</v>
      </c>
      <c r="LEJ77" s="277" t="s">
        <v>1072</v>
      </c>
      <c r="LEK77" s="277" t="s">
        <v>1072</v>
      </c>
      <c r="LEL77" s="277" t="s">
        <v>1072</v>
      </c>
      <c r="LEM77" s="277" t="s">
        <v>1072</v>
      </c>
      <c r="LEN77" s="277" t="s">
        <v>1072</v>
      </c>
      <c r="LEO77" s="277" t="s">
        <v>1072</v>
      </c>
      <c r="LEP77" s="277" t="s">
        <v>1072</v>
      </c>
      <c r="LEQ77" s="277" t="s">
        <v>1072</v>
      </c>
      <c r="LER77" s="277" t="s">
        <v>1072</v>
      </c>
      <c r="LES77" s="277" t="s">
        <v>1072</v>
      </c>
      <c r="LET77" s="277" t="s">
        <v>1072</v>
      </c>
      <c r="LEU77" s="277" t="s">
        <v>1072</v>
      </c>
      <c r="LEV77" s="277" t="s">
        <v>1072</v>
      </c>
      <c r="LEW77" s="277" t="s">
        <v>1072</v>
      </c>
      <c r="LEX77" s="277" t="s">
        <v>1072</v>
      </c>
      <c r="LEY77" s="277" t="s">
        <v>1072</v>
      </c>
      <c r="LEZ77" s="277" t="s">
        <v>1072</v>
      </c>
      <c r="LFA77" s="277" t="s">
        <v>1072</v>
      </c>
      <c r="LFB77" s="277" t="s">
        <v>1072</v>
      </c>
      <c r="LFC77" s="277" t="s">
        <v>1072</v>
      </c>
      <c r="LFD77" s="277" t="s">
        <v>1072</v>
      </c>
      <c r="LFE77" s="277" t="s">
        <v>1072</v>
      </c>
      <c r="LFF77" s="277" t="s">
        <v>1072</v>
      </c>
      <c r="LFG77" s="277" t="s">
        <v>1072</v>
      </c>
      <c r="LFH77" s="277" t="s">
        <v>1072</v>
      </c>
      <c r="LFI77" s="277" t="s">
        <v>1072</v>
      </c>
      <c r="LFJ77" s="277" t="s">
        <v>1072</v>
      </c>
      <c r="LFK77" s="277" t="s">
        <v>1072</v>
      </c>
      <c r="LFL77" s="277" t="s">
        <v>1072</v>
      </c>
      <c r="LFM77" s="277" t="s">
        <v>1072</v>
      </c>
      <c r="LFN77" s="277" t="s">
        <v>1072</v>
      </c>
      <c r="LFO77" s="277" t="s">
        <v>1072</v>
      </c>
      <c r="LFP77" s="277" t="s">
        <v>1072</v>
      </c>
      <c r="LFQ77" s="277" t="s">
        <v>1072</v>
      </c>
      <c r="LFR77" s="277" t="s">
        <v>1072</v>
      </c>
      <c r="LFS77" s="277" t="s">
        <v>1072</v>
      </c>
      <c r="LFT77" s="277" t="s">
        <v>1072</v>
      </c>
      <c r="LFU77" s="277" t="s">
        <v>1072</v>
      </c>
      <c r="LFV77" s="277" t="s">
        <v>1072</v>
      </c>
      <c r="LFW77" s="277" t="s">
        <v>1072</v>
      </c>
      <c r="LFX77" s="277" t="s">
        <v>1072</v>
      </c>
      <c r="LFY77" s="277" t="s">
        <v>1072</v>
      </c>
      <c r="LFZ77" s="277" t="s">
        <v>1072</v>
      </c>
      <c r="LGA77" s="277" t="s">
        <v>1072</v>
      </c>
      <c r="LGB77" s="277" t="s">
        <v>1072</v>
      </c>
      <c r="LGC77" s="277" t="s">
        <v>1072</v>
      </c>
      <c r="LGD77" s="277" t="s">
        <v>1072</v>
      </c>
      <c r="LGE77" s="277" t="s">
        <v>1072</v>
      </c>
      <c r="LGF77" s="277" t="s">
        <v>1072</v>
      </c>
      <c r="LGG77" s="277" t="s">
        <v>1072</v>
      </c>
      <c r="LGH77" s="277" t="s">
        <v>1072</v>
      </c>
      <c r="LGI77" s="277" t="s">
        <v>1072</v>
      </c>
      <c r="LGJ77" s="277" t="s">
        <v>1072</v>
      </c>
      <c r="LGK77" s="277" t="s">
        <v>1072</v>
      </c>
      <c r="LGL77" s="277" t="s">
        <v>1072</v>
      </c>
      <c r="LGM77" s="277" t="s">
        <v>1072</v>
      </c>
      <c r="LGN77" s="277" t="s">
        <v>1072</v>
      </c>
      <c r="LGO77" s="277" t="s">
        <v>1072</v>
      </c>
      <c r="LGP77" s="277" t="s">
        <v>1072</v>
      </c>
      <c r="LGQ77" s="277" t="s">
        <v>1072</v>
      </c>
      <c r="LGR77" s="277" t="s">
        <v>1072</v>
      </c>
      <c r="LGS77" s="277" t="s">
        <v>1072</v>
      </c>
      <c r="LGT77" s="277" t="s">
        <v>1072</v>
      </c>
      <c r="LGU77" s="277" t="s">
        <v>1072</v>
      </c>
      <c r="LGV77" s="277" t="s">
        <v>1072</v>
      </c>
      <c r="LGW77" s="277" t="s">
        <v>1072</v>
      </c>
      <c r="LGX77" s="277" t="s">
        <v>1072</v>
      </c>
      <c r="LGY77" s="277" t="s">
        <v>1072</v>
      </c>
      <c r="LGZ77" s="277" t="s">
        <v>1072</v>
      </c>
      <c r="LHA77" s="277" t="s">
        <v>1072</v>
      </c>
      <c r="LHB77" s="277" t="s">
        <v>1072</v>
      </c>
      <c r="LHC77" s="277" t="s">
        <v>1072</v>
      </c>
      <c r="LHD77" s="277" t="s">
        <v>1072</v>
      </c>
      <c r="LHE77" s="277" t="s">
        <v>1072</v>
      </c>
      <c r="LHF77" s="277" t="s">
        <v>1072</v>
      </c>
      <c r="LHG77" s="277" t="s">
        <v>1072</v>
      </c>
      <c r="LHH77" s="277" t="s">
        <v>1072</v>
      </c>
      <c r="LHI77" s="277" t="s">
        <v>1072</v>
      </c>
      <c r="LHJ77" s="277" t="s">
        <v>1072</v>
      </c>
      <c r="LHK77" s="277" t="s">
        <v>1072</v>
      </c>
      <c r="LHL77" s="277" t="s">
        <v>1072</v>
      </c>
      <c r="LHM77" s="277" t="s">
        <v>1072</v>
      </c>
      <c r="LHN77" s="277" t="s">
        <v>1072</v>
      </c>
      <c r="LHO77" s="277" t="s">
        <v>1072</v>
      </c>
      <c r="LHP77" s="277" t="s">
        <v>1072</v>
      </c>
      <c r="LHQ77" s="277" t="s">
        <v>1072</v>
      </c>
      <c r="LHR77" s="277" t="s">
        <v>1072</v>
      </c>
      <c r="LHS77" s="277" t="s">
        <v>1072</v>
      </c>
      <c r="LHT77" s="277" t="s">
        <v>1072</v>
      </c>
      <c r="LHU77" s="277" t="s">
        <v>1072</v>
      </c>
      <c r="LHV77" s="277" t="s">
        <v>1072</v>
      </c>
      <c r="LHW77" s="277" t="s">
        <v>1072</v>
      </c>
      <c r="LHX77" s="277" t="s">
        <v>1072</v>
      </c>
      <c r="LHY77" s="277" t="s">
        <v>1072</v>
      </c>
      <c r="LHZ77" s="277" t="s">
        <v>1072</v>
      </c>
      <c r="LIA77" s="277" t="s">
        <v>1072</v>
      </c>
      <c r="LIB77" s="277" t="s">
        <v>1072</v>
      </c>
      <c r="LIC77" s="277" t="s">
        <v>1072</v>
      </c>
      <c r="LID77" s="277" t="s">
        <v>1072</v>
      </c>
      <c r="LIE77" s="277" t="s">
        <v>1072</v>
      </c>
      <c r="LIF77" s="277" t="s">
        <v>1072</v>
      </c>
      <c r="LIG77" s="277" t="s">
        <v>1072</v>
      </c>
      <c r="LIH77" s="277" t="s">
        <v>1072</v>
      </c>
      <c r="LII77" s="277" t="s">
        <v>1072</v>
      </c>
      <c r="LIJ77" s="277" t="s">
        <v>1072</v>
      </c>
      <c r="LIK77" s="277" t="s">
        <v>1072</v>
      </c>
      <c r="LIL77" s="277" t="s">
        <v>1072</v>
      </c>
      <c r="LIM77" s="277" t="s">
        <v>1072</v>
      </c>
      <c r="LIN77" s="277" t="s">
        <v>1072</v>
      </c>
      <c r="LIO77" s="277" t="s">
        <v>1072</v>
      </c>
      <c r="LIP77" s="277" t="s">
        <v>1072</v>
      </c>
      <c r="LIQ77" s="277" t="s">
        <v>1072</v>
      </c>
      <c r="LIR77" s="277" t="s">
        <v>1072</v>
      </c>
      <c r="LIS77" s="277" t="s">
        <v>1072</v>
      </c>
      <c r="LIT77" s="277" t="s">
        <v>1072</v>
      </c>
      <c r="LIU77" s="277" t="s">
        <v>1072</v>
      </c>
      <c r="LIV77" s="277" t="s">
        <v>1072</v>
      </c>
      <c r="LIW77" s="277" t="s">
        <v>1072</v>
      </c>
      <c r="LIX77" s="277" t="s">
        <v>1072</v>
      </c>
      <c r="LIY77" s="277" t="s">
        <v>1072</v>
      </c>
      <c r="LIZ77" s="277" t="s">
        <v>1072</v>
      </c>
      <c r="LJA77" s="277" t="s">
        <v>1072</v>
      </c>
      <c r="LJB77" s="277" t="s">
        <v>1072</v>
      </c>
      <c r="LJC77" s="277" t="s">
        <v>1072</v>
      </c>
      <c r="LJD77" s="277" t="s">
        <v>1072</v>
      </c>
      <c r="LJE77" s="277" t="s">
        <v>1072</v>
      </c>
      <c r="LJF77" s="277" t="s">
        <v>1072</v>
      </c>
      <c r="LJG77" s="277" t="s">
        <v>1072</v>
      </c>
      <c r="LJH77" s="277" t="s">
        <v>1072</v>
      </c>
      <c r="LJI77" s="277" t="s">
        <v>1072</v>
      </c>
      <c r="LJJ77" s="277" t="s">
        <v>1072</v>
      </c>
      <c r="LJK77" s="277" t="s">
        <v>1072</v>
      </c>
      <c r="LJL77" s="277" t="s">
        <v>1072</v>
      </c>
      <c r="LJM77" s="277" t="s">
        <v>1072</v>
      </c>
      <c r="LJN77" s="277" t="s">
        <v>1072</v>
      </c>
      <c r="LJO77" s="277" t="s">
        <v>1072</v>
      </c>
      <c r="LJP77" s="277" t="s">
        <v>1072</v>
      </c>
      <c r="LJQ77" s="277" t="s">
        <v>1072</v>
      </c>
      <c r="LJR77" s="277" t="s">
        <v>1072</v>
      </c>
      <c r="LJS77" s="277" t="s">
        <v>1072</v>
      </c>
      <c r="LJT77" s="277" t="s">
        <v>1072</v>
      </c>
      <c r="LJU77" s="277" t="s">
        <v>1072</v>
      </c>
      <c r="LJV77" s="277" t="s">
        <v>1072</v>
      </c>
      <c r="LJW77" s="277" t="s">
        <v>1072</v>
      </c>
      <c r="LJX77" s="277" t="s">
        <v>1072</v>
      </c>
      <c r="LJY77" s="277" t="s">
        <v>1072</v>
      </c>
      <c r="LJZ77" s="277" t="s">
        <v>1072</v>
      </c>
      <c r="LKA77" s="277" t="s">
        <v>1072</v>
      </c>
      <c r="LKB77" s="277" t="s">
        <v>1072</v>
      </c>
      <c r="LKC77" s="277" t="s">
        <v>1072</v>
      </c>
      <c r="LKD77" s="277" t="s">
        <v>1072</v>
      </c>
      <c r="LKE77" s="277" t="s">
        <v>1072</v>
      </c>
      <c r="LKF77" s="277" t="s">
        <v>1072</v>
      </c>
      <c r="LKG77" s="277" t="s">
        <v>1072</v>
      </c>
      <c r="LKH77" s="277" t="s">
        <v>1072</v>
      </c>
      <c r="LKI77" s="277" t="s">
        <v>1072</v>
      </c>
      <c r="LKJ77" s="277" t="s">
        <v>1072</v>
      </c>
      <c r="LKK77" s="277" t="s">
        <v>1072</v>
      </c>
      <c r="LKL77" s="277" t="s">
        <v>1072</v>
      </c>
      <c r="LKM77" s="277" t="s">
        <v>1072</v>
      </c>
      <c r="LKN77" s="277" t="s">
        <v>1072</v>
      </c>
      <c r="LKO77" s="277" t="s">
        <v>1072</v>
      </c>
      <c r="LKP77" s="277" t="s">
        <v>1072</v>
      </c>
      <c r="LKQ77" s="277" t="s">
        <v>1072</v>
      </c>
      <c r="LKR77" s="277" t="s">
        <v>1072</v>
      </c>
      <c r="LKS77" s="277" t="s">
        <v>1072</v>
      </c>
      <c r="LKT77" s="277" t="s">
        <v>1072</v>
      </c>
      <c r="LKU77" s="277" t="s">
        <v>1072</v>
      </c>
      <c r="LKV77" s="277" t="s">
        <v>1072</v>
      </c>
      <c r="LKW77" s="277" t="s">
        <v>1072</v>
      </c>
      <c r="LKX77" s="277" t="s">
        <v>1072</v>
      </c>
      <c r="LKY77" s="277" t="s">
        <v>1072</v>
      </c>
      <c r="LKZ77" s="277" t="s">
        <v>1072</v>
      </c>
      <c r="LLA77" s="277" t="s">
        <v>1072</v>
      </c>
      <c r="LLB77" s="277" t="s">
        <v>1072</v>
      </c>
      <c r="LLC77" s="277" t="s">
        <v>1072</v>
      </c>
      <c r="LLD77" s="277" t="s">
        <v>1072</v>
      </c>
      <c r="LLE77" s="277" t="s">
        <v>1072</v>
      </c>
      <c r="LLF77" s="277" t="s">
        <v>1072</v>
      </c>
      <c r="LLG77" s="277" t="s">
        <v>1072</v>
      </c>
      <c r="LLH77" s="277" t="s">
        <v>1072</v>
      </c>
      <c r="LLI77" s="277" t="s">
        <v>1072</v>
      </c>
      <c r="LLJ77" s="277" t="s">
        <v>1072</v>
      </c>
      <c r="LLK77" s="277" t="s">
        <v>1072</v>
      </c>
      <c r="LLL77" s="277" t="s">
        <v>1072</v>
      </c>
      <c r="LLM77" s="277" t="s">
        <v>1072</v>
      </c>
      <c r="LLN77" s="277" t="s">
        <v>1072</v>
      </c>
      <c r="LLO77" s="277" t="s">
        <v>1072</v>
      </c>
      <c r="LLP77" s="277" t="s">
        <v>1072</v>
      </c>
      <c r="LLQ77" s="277" t="s">
        <v>1072</v>
      </c>
      <c r="LLR77" s="277" t="s">
        <v>1072</v>
      </c>
      <c r="LLS77" s="277" t="s">
        <v>1072</v>
      </c>
      <c r="LLT77" s="277" t="s">
        <v>1072</v>
      </c>
      <c r="LLU77" s="277" t="s">
        <v>1072</v>
      </c>
      <c r="LLV77" s="277" t="s">
        <v>1072</v>
      </c>
      <c r="LLW77" s="277" t="s">
        <v>1072</v>
      </c>
      <c r="LLX77" s="277" t="s">
        <v>1072</v>
      </c>
      <c r="LLY77" s="277" t="s">
        <v>1072</v>
      </c>
      <c r="LLZ77" s="277" t="s">
        <v>1072</v>
      </c>
      <c r="LMA77" s="277" t="s">
        <v>1072</v>
      </c>
      <c r="LMB77" s="277" t="s">
        <v>1072</v>
      </c>
      <c r="LMC77" s="277" t="s">
        <v>1072</v>
      </c>
      <c r="LMD77" s="277" t="s">
        <v>1072</v>
      </c>
      <c r="LME77" s="277" t="s">
        <v>1072</v>
      </c>
      <c r="LMF77" s="277" t="s">
        <v>1072</v>
      </c>
      <c r="LMG77" s="277" t="s">
        <v>1072</v>
      </c>
      <c r="LMH77" s="277" t="s">
        <v>1072</v>
      </c>
      <c r="LMI77" s="277" t="s">
        <v>1072</v>
      </c>
      <c r="LMJ77" s="277" t="s">
        <v>1072</v>
      </c>
      <c r="LMK77" s="277" t="s">
        <v>1072</v>
      </c>
      <c r="LML77" s="277" t="s">
        <v>1072</v>
      </c>
      <c r="LMM77" s="277" t="s">
        <v>1072</v>
      </c>
      <c r="LMN77" s="277" t="s">
        <v>1072</v>
      </c>
      <c r="LMO77" s="277" t="s">
        <v>1072</v>
      </c>
      <c r="LMP77" s="277" t="s">
        <v>1072</v>
      </c>
      <c r="LMQ77" s="277" t="s">
        <v>1072</v>
      </c>
      <c r="LMR77" s="277" t="s">
        <v>1072</v>
      </c>
      <c r="LMS77" s="277" t="s">
        <v>1072</v>
      </c>
      <c r="LMT77" s="277" t="s">
        <v>1072</v>
      </c>
      <c r="LMU77" s="277" t="s">
        <v>1072</v>
      </c>
      <c r="LMV77" s="277" t="s">
        <v>1072</v>
      </c>
      <c r="LMW77" s="277" t="s">
        <v>1072</v>
      </c>
      <c r="LMX77" s="277" t="s">
        <v>1072</v>
      </c>
      <c r="LMY77" s="277" t="s">
        <v>1072</v>
      </c>
      <c r="LMZ77" s="277" t="s">
        <v>1072</v>
      </c>
      <c r="LNA77" s="277" t="s">
        <v>1072</v>
      </c>
      <c r="LNB77" s="277" t="s">
        <v>1072</v>
      </c>
      <c r="LNC77" s="277" t="s">
        <v>1072</v>
      </c>
      <c r="LND77" s="277" t="s">
        <v>1072</v>
      </c>
      <c r="LNE77" s="277" t="s">
        <v>1072</v>
      </c>
      <c r="LNF77" s="277" t="s">
        <v>1072</v>
      </c>
      <c r="LNG77" s="277" t="s">
        <v>1072</v>
      </c>
      <c r="LNH77" s="277" t="s">
        <v>1072</v>
      </c>
      <c r="LNI77" s="277" t="s">
        <v>1072</v>
      </c>
      <c r="LNJ77" s="277" t="s">
        <v>1072</v>
      </c>
      <c r="LNK77" s="277" t="s">
        <v>1072</v>
      </c>
      <c r="LNL77" s="277" t="s">
        <v>1072</v>
      </c>
      <c r="LNM77" s="277" t="s">
        <v>1072</v>
      </c>
      <c r="LNN77" s="277" t="s">
        <v>1072</v>
      </c>
      <c r="LNO77" s="277" t="s">
        <v>1072</v>
      </c>
      <c r="LNP77" s="277" t="s">
        <v>1072</v>
      </c>
      <c r="LNQ77" s="277" t="s">
        <v>1072</v>
      </c>
      <c r="LNR77" s="277" t="s">
        <v>1072</v>
      </c>
      <c r="LNS77" s="277" t="s">
        <v>1072</v>
      </c>
      <c r="LNT77" s="277" t="s">
        <v>1072</v>
      </c>
      <c r="LNU77" s="277" t="s">
        <v>1072</v>
      </c>
      <c r="LNV77" s="277" t="s">
        <v>1072</v>
      </c>
      <c r="LNW77" s="277" t="s">
        <v>1072</v>
      </c>
      <c r="LNX77" s="277" t="s">
        <v>1072</v>
      </c>
      <c r="LNY77" s="277" t="s">
        <v>1072</v>
      </c>
      <c r="LNZ77" s="277" t="s">
        <v>1072</v>
      </c>
      <c r="LOA77" s="277" t="s">
        <v>1072</v>
      </c>
      <c r="LOB77" s="277" t="s">
        <v>1072</v>
      </c>
      <c r="LOC77" s="277" t="s">
        <v>1072</v>
      </c>
      <c r="LOD77" s="277" t="s">
        <v>1072</v>
      </c>
      <c r="LOE77" s="277" t="s">
        <v>1072</v>
      </c>
      <c r="LOF77" s="277" t="s">
        <v>1072</v>
      </c>
      <c r="LOG77" s="277" t="s">
        <v>1072</v>
      </c>
      <c r="LOH77" s="277" t="s">
        <v>1072</v>
      </c>
      <c r="LOI77" s="277" t="s">
        <v>1072</v>
      </c>
      <c r="LOJ77" s="277" t="s">
        <v>1072</v>
      </c>
      <c r="LOK77" s="277" t="s">
        <v>1072</v>
      </c>
      <c r="LOL77" s="277" t="s">
        <v>1072</v>
      </c>
      <c r="LOM77" s="277" t="s">
        <v>1072</v>
      </c>
      <c r="LON77" s="277" t="s">
        <v>1072</v>
      </c>
      <c r="LOO77" s="277" t="s">
        <v>1072</v>
      </c>
      <c r="LOP77" s="277" t="s">
        <v>1072</v>
      </c>
      <c r="LOQ77" s="277" t="s">
        <v>1072</v>
      </c>
      <c r="LOR77" s="277" t="s">
        <v>1072</v>
      </c>
      <c r="LOS77" s="277" t="s">
        <v>1072</v>
      </c>
      <c r="LOT77" s="277" t="s">
        <v>1072</v>
      </c>
      <c r="LOU77" s="277" t="s">
        <v>1072</v>
      </c>
      <c r="LOV77" s="277" t="s">
        <v>1072</v>
      </c>
      <c r="LOW77" s="277" t="s">
        <v>1072</v>
      </c>
      <c r="LOX77" s="277" t="s">
        <v>1072</v>
      </c>
      <c r="LOY77" s="277" t="s">
        <v>1072</v>
      </c>
      <c r="LOZ77" s="277" t="s">
        <v>1072</v>
      </c>
      <c r="LPA77" s="277" t="s">
        <v>1072</v>
      </c>
      <c r="LPB77" s="277" t="s">
        <v>1072</v>
      </c>
      <c r="LPC77" s="277" t="s">
        <v>1072</v>
      </c>
      <c r="LPD77" s="277" t="s">
        <v>1072</v>
      </c>
      <c r="LPE77" s="277" t="s">
        <v>1072</v>
      </c>
      <c r="LPF77" s="277" t="s">
        <v>1072</v>
      </c>
      <c r="LPG77" s="277" t="s">
        <v>1072</v>
      </c>
      <c r="LPH77" s="277" t="s">
        <v>1072</v>
      </c>
      <c r="LPI77" s="277" t="s">
        <v>1072</v>
      </c>
      <c r="LPJ77" s="277" t="s">
        <v>1072</v>
      </c>
      <c r="LPK77" s="277" t="s">
        <v>1072</v>
      </c>
      <c r="LPL77" s="277" t="s">
        <v>1072</v>
      </c>
      <c r="LPM77" s="277" t="s">
        <v>1072</v>
      </c>
      <c r="LPN77" s="277" t="s">
        <v>1072</v>
      </c>
      <c r="LPO77" s="277" t="s">
        <v>1072</v>
      </c>
      <c r="LPP77" s="277" t="s">
        <v>1072</v>
      </c>
      <c r="LPQ77" s="277" t="s">
        <v>1072</v>
      </c>
      <c r="LPR77" s="277" t="s">
        <v>1072</v>
      </c>
      <c r="LPS77" s="277" t="s">
        <v>1072</v>
      </c>
      <c r="LPT77" s="277" t="s">
        <v>1072</v>
      </c>
      <c r="LPU77" s="277" t="s">
        <v>1072</v>
      </c>
      <c r="LPV77" s="277" t="s">
        <v>1072</v>
      </c>
      <c r="LPW77" s="277" t="s">
        <v>1072</v>
      </c>
      <c r="LPX77" s="277" t="s">
        <v>1072</v>
      </c>
      <c r="LPY77" s="277" t="s">
        <v>1072</v>
      </c>
      <c r="LPZ77" s="277" t="s">
        <v>1072</v>
      </c>
      <c r="LQA77" s="277" t="s">
        <v>1072</v>
      </c>
      <c r="LQB77" s="277" t="s">
        <v>1072</v>
      </c>
      <c r="LQC77" s="277" t="s">
        <v>1072</v>
      </c>
      <c r="LQD77" s="277" t="s">
        <v>1072</v>
      </c>
      <c r="LQE77" s="277" t="s">
        <v>1072</v>
      </c>
      <c r="LQF77" s="277" t="s">
        <v>1072</v>
      </c>
      <c r="LQG77" s="277" t="s">
        <v>1072</v>
      </c>
      <c r="LQH77" s="277" t="s">
        <v>1072</v>
      </c>
      <c r="LQI77" s="277" t="s">
        <v>1072</v>
      </c>
      <c r="LQJ77" s="277" t="s">
        <v>1072</v>
      </c>
      <c r="LQK77" s="277" t="s">
        <v>1072</v>
      </c>
      <c r="LQL77" s="277" t="s">
        <v>1072</v>
      </c>
      <c r="LQM77" s="277" t="s">
        <v>1072</v>
      </c>
      <c r="LQN77" s="277" t="s">
        <v>1072</v>
      </c>
      <c r="LQO77" s="277" t="s">
        <v>1072</v>
      </c>
      <c r="LQP77" s="277" t="s">
        <v>1072</v>
      </c>
      <c r="LQQ77" s="277" t="s">
        <v>1072</v>
      </c>
      <c r="LQR77" s="277" t="s">
        <v>1072</v>
      </c>
      <c r="LQS77" s="277" t="s">
        <v>1072</v>
      </c>
      <c r="LQT77" s="277" t="s">
        <v>1072</v>
      </c>
      <c r="LQU77" s="277" t="s">
        <v>1072</v>
      </c>
      <c r="LQV77" s="277" t="s">
        <v>1072</v>
      </c>
      <c r="LQW77" s="277" t="s">
        <v>1072</v>
      </c>
      <c r="LQX77" s="277" t="s">
        <v>1072</v>
      </c>
      <c r="LQY77" s="277" t="s">
        <v>1072</v>
      </c>
      <c r="LQZ77" s="277" t="s">
        <v>1072</v>
      </c>
      <c r="LRA77" s="277" t="s">
        <v>1072</v>
      </c>
      <c r="LRB77" s="277" t="s">
        <v>1072</v>
      </c>
      <c r="LRC77" s="277" t="s">
        <v>1072</v>
      </c>
      <c r="LRD77" s="277" t="s">
        <v>1072</v>
      </c>
      <c r="LRE77" s="277" t="s">
        <v>1072</v>
      </c>
      <c r="LRF77" s="277" t="s">
        <v>1072</v>
      </c>
      <c r="LRG77" s="277" t="s">
        <v>1072</v>
      </c>
      <c r="LRH77" s="277" t="s">
        <v>1072</v>
      </c>
      <c r="LRI77" s="277" t="s">
        <v>1072</v>
      </c>
      <c r="LRJ77" s="277" t="s">
        <v>1072</v>
      </c>
      <c r="LRK77" s="277" t="s">
        <v>1072</v>
      </c>
      <c r="LRL77" s="277" t="s">
        <v>1072</v>
      </c>
      <c r="LRM77" s="277" t="s">
        <v>1072</v>
      </c>
      <c r="LRN77" s="277" t="s">
        <v>1072</v>
      </c>
      <c r="LRO77" s="277" t="s">
        <v>1072</v>
      </c>
      <c r="LRP77" s="277" t="s">
        <v>1072</v>
      </c>
      <c r="LRQ77" s="277" t="s">
        <v>1072</v>
      </c>
      <c r="LRR77" s="277" t="s">
        <v>1072</v>
      </c>
      <c r="LRS77" s="277" t="s">
        <v>1072</v>
      </c>
      <c r="LRT77" s="277" t="s">
        <v>1072</v>
      </c>
      <c r="LRU77" s="277" t="s">
        <v>1072</v>
      </c>
      <c r="LRV77" s="277" t="s">
        <v>1072</v>
      </c>
      <c r="LRW77" s="277" t="s">
        <v>1072</v>
      </c>
      <c r="LRX77" s="277" t="s">
        <v>1072</v>
      </c>
      <c r="LRY77" s="277" t="s">
        <v>1072</v>
      </c>
      <c r="LRZ77" s="277" t="s">
        <v>1072</v>
      </c>
      <c r="LSA77" s="277" t="s">
        <v>1072</v>
      </c>
      <c r="LSB77" s="277" t="s">
        <v>1072</v>
      </c>
      <c r="LSC77" s="277" t="s">
        <v>1072</v>
      </c>
      <c r="LSD77" s="277" t="s">
        <v>1072</v>
      </c>
      <c r="LSE77" s="277" t="s">
        <v>1072</v>
      </c>
      <c r="LSF77" s="277" t="s">
        <v>1072</v>
      </c>
      <c r="LSG77" s="277" t="s">
        <v>1072</v>
      </c>
      <c r="LSH77" s="277" t="s">
        <v>1072</v>
      </c>
      <c r="LSI77" s="277" t="s">
        <v>1072</v>
      </c>
      <c r="LSJ77" s="277" t="s">
        <v>1072</v>
      </c>
      <c r="LSK77" s="277" t="s">
        <v>1072</v>
      </c>
      <c r="LSL77" s="277" t="s">
        <v>1072</v>
      </c>
      <c r="LSM77" s="277" t="s">
        <v>1072</v>
      </c>
      <c r="LSN77" s="277" t="s">
        <v>1072</v>
      </c>
      <c r="LSO77" s="277" t="s">
        <v>1072</v>
      </c>
      <c r="LSP77" s="277" t="s">
        <v>1072</v>
      </c>
      <c r="LSQ77" s="277" t="s">
        <v>1072</v>
      </c>
      <c r="LSR77" s="277" t="s">
        <v>1072</v>
      </c>
      <c r="LSS77" s="277" t="s">
        <v>1072</v>
      </c>
      <c r="LST77" s="277" t="s">
        <v>1072</v>
      </c>
      <c r="LSU77" s="277" t="s">
        <v>1072</v>
      </c>
      <c r="LSV77" s="277" t="s">
        <v>1072</v>
      </c>
      <c r="LSW77" s="277" t="s">
        <v>1072</v>
      </c>
      <c r="LSX77" s="277" t="s">
        <v>1072</v>
      </c>
      <c r="LSY77" s="277" t="s">
        <v>1072</v>
      </c>
      <c r="LSZ77" s="277" t="s">
        <v>1072</v>
      </c>
      <c r="LTA77" s="277" t="s">
        <v>1072</v>
      </c>
      <c r="LTB77" s="277" t="s">
        <v>1072</v>
      </c>
      <c r="LTC77" s="277" t="s">
        <v>1072</v>
      </c>
      <c r="LTD77" s="277" t="s">
        <v>1072</v>
      </c>
      <c r="LTE77" s="277" t="s">
        <v>1072</v>
      </c>
      <c r="LTF77" s="277" t="s">
        <v>1072</v>
      </c>
      <c r="LTG77" s="277" t="s">
        <v>1072</v>
      </c>
      <c r="LTH77" s="277" t="s">
        <v>1072</v>
      </c>
      <c r="LTI77" s="277" t="s">
        <v>1072</v>
      </c>
      <c r="LTJ77" s="277" t="s">
        <v>1072</v>
      </c>
      <c r="LTK77" s="277" t="s">
        <v>1072</v>
      </c>
      <c r="LTL77" s="277" t="s">
        <v>1072</v>
      </c>
      <c r="LTM77" s="277" t="s">
        <v>1072</v>
      </c>
      <c r="LTN77" s="277" t="s">
        <v>1072</v>
      </c>
      <c r="LTO77" s="277" t="s">
        <v>1072</v>
      </c>
      <c r="LTP77" s="277" t="s">
        <v>1072</v>
      </c>
      <c r="LTQ77" s="277" t="s">
        <v>1072</v>
      </c>
      <c r="LTR77" s="277" t="s">
        <v>1072</v>
      </c>
      <c r="LTS77" s="277" t="s">
        <v>1072</v>
      </c>
      <c r="LTT77" s="277" t="s">
        <v>1072</v>
      </c>
      <c r="LTU77" s="277" t="s">
        <v>1072</v>
      </c>
      <c r="LTV77" s="277" t="s">
        <v>1072</v>
      </c>
      <c r="LTW77" s="277" t="s">
        <v>1072</v>
      </c>
      <c r="LTX77" s="277" t="s">
        <v>1072</v>
      </c>
      <c r="LTY77" s="277" t="s">
        <v>1072</v>
      </c>
      <c r="LTZ77" s="277" t="s">
        <v>1072</v>
      </c>
      <c r="LUA77" s="277" t="s">
        <v>1072</v>
      </c>
      <c r="LUB77" s="277" t="s">
        <v>1072</v>
      </c>
      <c r="LUC77" s="277" t="s">
        <v>1072</v>
      </c>
      <c r="LUD77" s="277" t="s">
        <v>1072</v>
      </c>
      <c r="LUE77" s="277" t="s">
        <v>1072</v>
      </c>
      <c r="LUF77" s="277" t="s">
        <v>1072</v>
      </c>
      <c r="LUG77" s="277" t="s">
        <v>1072</v>
      </c>
      <c r="LUH77" s="277" t="s">
        <v>1072</v>
      </c>
      <c r="LUI77" s="277" t="s">
        <v>1072</v>
      </c>
      <c r="LUJ77" s="277" t="s">
        <v>1072</v>
      </c>
      <c r="LUK77" s="277" t="s">
        <v>1072</v>
      </c>
      <c r="LUL77" s="277" t="s">
        <v>1072</v>
      </c>
      <c r="LUM77" s="277" t="s">
        <v>1072</v>
      </c>
      <c r="LUN77" s="277" t="s">
        <v>1072</v>
      </c>
      <c r="LUO77" s="277" t="s">
        <v>1072</v>
      </c>
      <c r="LUP77" s="277" t="s">
        <v>1072</v>
      </c>
      <c r="LUQ77" s="277" t="s">
        <v>1072</v>
      </c>
      <c r="LUR77" s="277" t="s">
        <v>1072</v>
      </c>
      <c r="LUS77" s="277" t="s">
        <v>1072</v>
      </c>
      <c r="LUT77" s="277" t="s">
        <v>1072</v>
      </c>
      <c r="LUU77" s="277" t="s">
        <v>1072</v>
      </c>
      <c r="LUV77" s="277" t="s">
        <v>1072</v>
      </c>
      <c r="LUW77" s="277" t="s">
        <v>1072</v>
      </c>
      <c r="LUX77" s="277" t="s">
        <v>1072</v>
      </c>
      <c r="LUY77" s="277" t="s">
        <v>1072</v>
      </c>
      <c r="LUZ77" s="277" t="s">
        <v>1072</v>
      </c>
      <c r="LVA77" s="277" t="s">
        <v>1072</v>
      </c>
      <c r="LVB77" s="277" t="s">
        <v>1072</v>
      </c>
      <c r="LVC77" s="277" t="s">
        <v>1072</v>
      </c>
      <c r="LVD77" s="277" t="s">
        <v>1072</v>
      </c>
      <c r="LVE77" s="277" t="s">
        <v>1072</v>
      </c>
      <c r="LVF77" s="277" t="s">
        <v>1072</v>
      </c>
      <c r="LVG77" s="277" t="s">
        <v>1072</v>
      </c>
      <c r="LVH77" s="277" t="s">
        <v>1072</v>
      </c>
      <c r="LVI77" s="277" t="s">
        <v>1072</v>
      </c>
      <c r="LVJ77" s="277" t="s">
        <v>1072</v>
      </c>
      <c r="LVK77" s="277" t="s">
        <v>1072</v>
      </c>
      <c r="LVL77" s="277" t="s">
        <v>1072</v>
      </c>
      <c r="LVM77" s="277" t="s">
        <v>1072</v>
      </c>
      <c r="LVN77" s="277" t="s">
        <v>1072</v>
      </c>
      <c r="LVO77" s="277" t="s">
        <v>1072</v>
      </c>
      <c r="LVP77" s="277" t="s">
        <v>1072</v>
      </c>
      <c r="LVQ77" s="277" t="s">
        <v>1072</v>
      </c>
      <c r="LVR77" s="277" t="s">
        <v>1072</v>
      </c>
      <c r="LVS77" s="277" t="s">
        <v>1072</v>
      </c>
      <c r="LVT77" s="277" t="s">
        <v>1072</v>
      </c>
      <c r="LVU77" s="277" t="s">
        <v>1072</v>
      </c>
      <c r="LVV77" s="277" t="s">
        <v>1072</v>
      </c>
      <c r="LVW77" s="277" t="s">
        <v>1072</v>
      </c>
      <c r="LVX77" s="277" t="s">
        <v>1072</v>
      </c>
      <c r="LVY77" s="277" t="s">
        <v>1072</v>
      </c>
      <c r="LVZ77" s="277" t="s">
        <v>1072</v>
      </c>
      <c r="LWA77" s="277" t="s">
        <v>1072</v>
      </c>
      <c r="LWB77" s="277" t="s">
        <v>1072</v>
      </c>
      <c r="LWC77" s="277" t="s">
        <v>1072</v>
      </c>
      <c r="LWD77" s="277" t="s">
        <v>1072</v>
      </c>
      <c r="LWE77" s="277" t="s">
        <v>1072</v>
      </c>
      <c r="LWF77" s="277" t="s">
        <v>1072</v>
      </c>
      <c r="LWG77" s="277" t="s">
        <v>1072</v>
      </c>
      <c r="LWH77" s="277" t="s">
        <v>1072</v>
      </c>
      <c r="LWI77" s="277" t="s">
        <v>1072</v>
      </c>
      <c r="LWJ77" s="277" t="s">
        <v>1072</v>
      </c>
      <c r="LWK77" s="277" t="s">
        <v>1072</v>
      </c>
      <c r="LWL77" s="277" t="s">
        <v>1072</v>
      </c>
      <c r="LWM77" s="277" t="s">
        <v>1072</v>
      </c>
      <c r="LWN77" s="277" t="s">
        <v>1072</v>
      </c>
      <c r="LWO77" s="277" t="s">
        <v>1072</v>
      </c>
      <c r="LWP77" s="277" t="s">
        <v>1072</v>
      </c>
      <c r="LWQ77" s="277" t="s">
        <v>1072</v>
      </c>
      <c r="LWR77" s="277" t="s">
        <v>1072</v>
      </c>
      <c r="LWS77" s="277" t="s">
        <v>1072</v>
      </c>
      <c r="LWT77" s="277" t="s">
        <v>1072</v>
      </c>
      <c r="LWU77" s="277" t="s">
        <v>1072</v>
      </c>
      <c r="LWV77" s="277" t="s">
        <v>1072</v>
      </c>
      <c r="LWW77" s="277" t="s">
        <v>1072</v>
      </c>
      <c r="LWX77" s="277" t="s">
        <v>1072</v>
      </c>
      <c r="LWY77" s="277" t="s">
        <v>1072</v>
      </c>
      <c r="LWZ77" s="277" t="s">
        <v>1072</v>
      </c>
      <c r="LXA77" s="277" t="s">
        <v>1072</v>
      </c>
      <c r="LXB77" s="277" t="s">
        <v>1072</v>
      </c>
      <c r="LXC77" s="277" t="s">
        <v>1072</v>
      </c>
      <c r="LXD77" s="277" t="s">
        <v>1072</v>
      </c>
      <c r="LXE77" s="277" t="s">
        <v>1072</v>
      </c>
      <c r="LXF77" s="277" t="s">
        <v>1072</v>
      </c>
      <c r="LXG77" s="277" t="s">
        <v>1072</v>
      </c>
      <c r="LXH77" s="277" t="s">
        <v>1072</v>
      </c>
      <c r="LXI77" s="277" t="s">
        <v>1072</v>
      </c>
      <c r="LXJ77" s="277" t="s">
        <v>1072</v>
      </c>
      <c r="LXK77" s="277" t="s">
        <v>1072</v>
      </c>
      <c r="LXL77" s="277" t="s">
        <v>1072</v>
      </c>
      <c r="LXM77" s="277" t="s">
        <v>1072</v>
      </c>
      <c r="LXN77" s="277" t="s">
        <v>1072</v>
      </c>
      <c r="LXO77" s="277" t="s">
        <v>1072</v>
      </c>
      <c r="LXP77" s="277" t="s">
        <v>1072</v>
      </c>
      <c r="LXQ77" s="277" t="s">
        <v>1072</v>
      </c>
      <c r="LXR77" s="277" t="s">
        <v>1072</v>
      </c>
      <c r="LXS77" s="277" t="s">
        <v>1072</v>
      </c>
      <c r="LXT77" s="277" t="s">
        <v>1072</v>
      </c>
      <c r="LXU77" s="277" t="s">
        <v>1072</v>
      </c>
      <c r="LXV77" s="277" t="s">
        <v>1072</v>
      </c>
      <c r="LXW77" s="277" t="s">
        <v>1072</v>
      </c>
      <c r="LXX77" s="277" t="s">
        <v>1072</v>
      </c>
      <c r="LXY77" s="277" t="s">
        <v>1072</v>
      </c>
      <c r="LXZ77" s="277" t="s">
        <v>1072</v>
      </c>
      <c r="LYA77" s="277" t="s">
        <v>1072</v>
      </c>
      <c r="LYB77" s="277" t="s">
        <v>1072</v>
      </c>
      <c r="LYC77" s="277" t="s">
        <v>1072</v>
      </c>
      <c r="LYD77" s="277" t="s">
        <v>1072</v>
      </c>
      <c r="LYE77" s="277" t="s">
        <v>1072</v>
      </c>
      <c r="LYF77" s="277" t="s">
        <v>1072</v>
      </c>
      <c r="LYG77" s="277" t="s">
        <v>1072</v>
      </c>
      <c r="LYH77" s="277" t="s">
        <v>1072</v>
      </c>
      <c r="LYI77" s="277" t="s">
        <v>1072</v>
      </c>
      <c r="LYJ77" s="277" t="s">
        <v>1072</v>
      </c>
      <c r="LYK77" s="277" t="s">
        <v>1072</v>
      </c>
      <c r="LYL77" s="277" t="s">
        <v>1072</v>
      </c>
      <c r="LYM77" s="277" t="s">
        <v>1072</v>
      </c>
      <c r="LYN77" s="277" t="s">
        <v>1072</v>
      </c>
      <c r="LYO77" s="277" t="s">
        <v>1072</v>
      </c>
      <c r="LYP77" s="277" t="s">
        <v>1072</v>
      </c>
      <c r="LYQ77" s="277" t="s">
        <v>1072</v>
      </c>
      <c r="LYR77" s="277" t="s">
        <v>1072</v>
      </c>
      <c r="LYS77" s="277" t="s">
        <v>1072</v>
      </c>
      <c r="LYT77" s="277" t="s">
        <v>1072</v>
      </c>
      <c r="LYU77" s="277" t="s">
        <v>1072</v>
      </c>
      <c r="LYV77" s="277" t="s">
        <v>1072</v>
      </c>
      <c r="LYW77" s="277" t="s">
        <v>1072</v>
      </c>
      <c r="LYX77" s="277" t="s">
        <v>1072</v>
      </c>
      <c r="LYY77" s="277" t="s">
        <v>1072</v>
      </c>
      <c r="LYZ77" s="277" t="s">
        <v>1072</v>
      </c>
      <c r="LZA77" s="277" t="s">
        <v>1072</v>
      </c>
      <c r="LZB77" s="277" t="s">
        <v>1072</v>
      </c>
      <c r="LZC77" s="277" t="s">
        <v>1072</v>
      </c>
      <c r="LZD77" s="277" t="s">
        <v>1072</v>
      </c>
      <c r="LZE77" s="277" t="s">
        <v>1072</v>
      </c>
      <c r="LZF77" s="277" t="s">
        <v>1072</v>
      </c>
      <c r="LZG77" s="277" t="s">
        <v>1072</v>
      </c>
      <c r="LZH77" s="277" t="s">
        <v>1072</v>
      </c>
      <c r="LZI77" s="277" t="s">
        <v>1072</v>
      </c>
      <c r="LZJ77" s="277" t="s">
        <v>1072</v>
      </c>
      <c r="LZK77" s="277" t="s">
        <v>1072</v>
      </c>
      <c r="LZL77" s="277" t="s">
        <v>1072</v>
      </c>
      <c r="LZM77" s="277" t="s">
        <v>1072</v>
      </c>
      <c r="LZN77" s="277" t="s">
        <v>1072</v>
      </c>
      <c r="LZO77" s="277" t="s">
        <v>1072</v>
      </c>
      <c r="LZP77" s="277" t="s">
        <v>1072</v>
      </c>
      <c r="LZQ77" s="277" t="s">
        <v>1072</v>
      </c>
      <c r="LZR77" s="277" t="s">
        <v>1072</v>
      </c>
      <c r="LZS77" s="277" t="s">
        <v>1072</v>
      </c>
      <c r="LZT77" s="277" t="s">
        <v>1072</v>
      </c>
      <c r="LZU77" s="277" t="s">
        <v>1072</v>
      </c>
      <c r="LZV77" s="277" t="s">
        <v>1072</v>
      </c>
      <c r="LZW77" s="277" t="s">
        <v>1072</v>
      </c>
      <c r="LZX77" s="277" t="s">
        <v>1072</v>
      </c>
      <c r="LZY77" s="277" t="s">
        <v>1072</v>
      </c>
      <c r="LZZ77" s="277" t="s">
        <v>1072</v>
      </c>
      <c r="MAA77" s="277" t="s">
        <v>1072</v>
      </c>
      <c r="MAB77" s="277" t="s">
        <v>1072</v>
      </c>
      <c r="MAC77" s="277" t="s">
        <v>1072</v>
      </c>
      <c r="MAD77" s="277" t="s">
        <v>1072</v>
      </c>
      <c r="MAE77" s="277" t="s">
        <v>1072</v>
      </c>
      <c r="MAF77" s="277" t="s">
        <v>1072</v>
      </c>
      <c r="MAG77" s="277" t="s">
        <v>1072</v>
      </c>
      <c r="MAH77" s="277" t="s">
        <v>1072</v>
      </c>
      <c r="MAI77" s="277" t="s">
        <v>1072</v>
      </c>
      <c r="MAJ77" s="277" t="s">
        <v>1072</v>
      </c>
      <c r="MAK77" s="277" t="s">
        <v>1072</v>
      </c>
      <c r="MAL77" s="277" t="s">
        <v>1072</v>
      </c>
      <c r="MAM77" s="277" t="s">
        <v>1072</v>
      </c>
      <c r="MAN77" s="277" t="s">
        <v>1072</v>
      </c>
      <c r="MAO77" s="277" t="s">
        <v>1072</v>
      </c>
      <c r="MAP77" s="277" t="s">
        <v>1072</v>
      </c>
      <c r="MAQ77" s="277" t="s">
        <v>1072</v>
      </c>
      <c r="MAR77" s="277" t="s">
        <v>1072</v>
      </c>
      <c r="MAS77" s="277" t="s">
        <v>1072</v>
      </c>
      <c r="MAT77" s="277" t="s">
        <v>1072</v>
      </c>
      <c r="MAU77" s="277" t="s">
        <v>1072</v>
      </c>
      <c r="MAV77" s="277" t="s">
        <v>1072</v>
      </c>
      <c r="MAW77" s="277" t="s">
        <v>1072</v>
      </c>
      <c r="MAX77" s="277" t="s">
        <v>1072</v>
      </c>
      <c r="MAY77" s="277" t="s">
        <v>1072</v>
      </c>
      <c r="MAZ77" s="277" t="s">
        <v>1072</v>
      </c>
      <c r="MBA77" s="277" t="s">
        <v>1072</v>
      </c>
      <c r="MBB77" s="277" t="s">
        <v>1072</v>
      </c>
      <c r="MBC77" s="277" t="s">
        <v>1072</v>
      </c>
      <c r="MBD77" s="277" t="s">
        <v>1072</v>
      </c>
      <c r="MBE77" s="277" t="s">
        <v>1072</v>
      </c>
      <c r="MBF77" s="277" t="s">
        <v>1072</v>
      </c>
      <c r="MBG77" s="277" t="s">
        <v>1072</v>
      </c>
      <c r="MBH77" s="277" t="s">
        <v>1072</v>
      </c>
      <c r="MBI77" s="277" t="s">
        <v>1072</v>
      </c>
      <c r="MBJ77" s="277" t="s">
        <v>1072</v>
      </c>
      <c r="MBK77" s="277" t="s">
        <v>1072</v>
      </c>
      <c r="MBL77" s="277" t="s">
        <v>1072</v>
      </c>
      <c r="MBM77" s="277" t="s">
        <v>1072</v>
      </c>
      <c r="MBN77" s="277" t="s">
        <v>1072</v>
      </c>
      <c r="MBO77" s="277" t="s">
        <v>1072</v>
      </c>
      <c r="MBP77" s="277" t="s">
        <v>1072</v>
      </c>
      <c r="MBQ77" s="277" t="s">
        <v>1072</v>
      </c>
      <c r="MBR77" s="277" t="s">
        <v>1072</v>
      </c>
      <c r="MBS77" s="277" t="s">
        <v>1072</v>
      </c>
      <c r="MBT77" s="277" t="s">
        <v>1072</v>
      </c>
      <c r="MBU77" s="277" t="s">
        <v>1072</v>
      </c>
      <c r="MBV77" s="277" t="s">
        <v>1072</v>
      </c>
      <c r="MBW77" s="277" t="s">
        <v>1072</v>
      </c>
      <c r="MBX77" s="277" t="s">
        <v>1072</v>
      </c>
      <c r="MBY77" s="277" t="s">
        <v>1072</v>
      </c>
      <c r="MBZ77" s="277" t="s">
        <v>1072</v>
      </c>
      <c r="MCA77" s="277" t="s">
        <v>1072</v>
      </c>
      <c r="MCB77" s="277" t="s">
        <v>1072</v>
      </c>
      <c r="MCC77" s="277" t="s">
        <v>1072</v>
      </c>
      <c r="MCD77" s="277" t="s">
        <v>1072</v>
      </c>
      <c r="MCE77" s="277" t="s">
        <v>1072</v>
      </c>
      <c r="MCF77" s="277" t="s">
        <v>1072</v>
      </c>
      <c r="MCG77" s="277" t="s">
        <v>1072</v>
      </c>
      <c r="MCH77" s="277" t="s">
        <v>1072</v>
      </c>
      <c r="MCI77" s="277" t="s">
        <v>1072</v>
      </c>
      <c r="MCJ77" s="277" t="s">
        <v>1072</v>
      </c>
      <c r="MCK77" s="277" t="s">
        <v>1072</v>
      </c>
      <c r="MCL77" s="277" t="s">
        <v>1072</v>
      </c>
      <c r="MCM77" s="277" t="s">
        <v>1072</v>
      </c>
      <c r="MCN77" s="277" t="s">
        <v>1072</v>
      </c>
      <c r="MCO77" s="277" t="s">
        <v>1072</v>
      </c>
      <c r="MCP77" s="277" t="s">
        <v>1072</v>
      </c>
      <c r="MCQ77" s="277" t="s">
        <v>1072</v>
      </c>
      <c r="MCR77" s="277" t="s">
        <v>1072</v>
      </c>
      <c r="MCS77" s="277" t="s">
        <v>1072</v>
      </c>
      <c r="MCT77" s="277" t="s">
        <v>1072</v>
      </c>
      <c r="MCU77" s="277" t="s">
        <v>1072</v>
      </c>
      <c r="MCV77" s="277" t="s">
        <v>1072</v>
      </c>
      <c r="MCW77" s="277" t="s">
        <v>1072</v>
      </c>
      <c r="MCX77" s="277" t="s">
        <v>1072</v>
      </c>
      <c r="MCY77" s="277" t="s">
        <v>1072</v>
      </c>
      <c r="MCZ77" s="277" t="s">
        <v>1072</v>
      </c>
      <c r="MDA77" s="277" t="s">
        <v>1072</v>
      </c>
      <c r="MDB77" s="277" t="s">
        <v>1072</v>
      </c>
      <c r="MDC77" s="277" t="s">
        <v>1072</v>
      </c>
      <c r="MDD77" s="277" t="s">
        <v>1072</v>
      </c>
      <c r="MDE77" s="277" t="s">
        <v>1072</v>
      </c>
      <c r="MDF77" s="277" t="s">
        <v>1072</v>
      </c>
      <c r="MDG77" s="277" t="s">
        <v>1072</v>
      </c>
      <c r="MDH77" s="277" t="s">
        <v>1072</v>
      </c>
      <c r="MDI77" s="277" t="s">
        <v>1072</v>
      </c>
      <c r="MDJ77" s="277" t="s">
        <v>1072</v>
      </c>
      <c r="MDK77" s="277" t="s">
        <v>1072</v>
      </c>
      <c r="MDL77" s="277" t="s">
        <v>1072</v>
      </c>
      <c r="MDM77" s="277" t="s">
        <v>1072</v>
      </c>
      <c r="MDN77" s="277" t="s">
        <v>1072</v>
      </c>
      <c r="MDO77" s="277" t="s">
        <v>1072</v>
      </c>
      <c r="MDP77" s="277" t="s">
        <v>1072</v>
      </c>
      <c r="MDQ77" s="277" t="s">
        <v>1072</v>
      </c>
      <c r="MDR77" s="277" t="s">
        <v>1072</v>
      </c>
      <c r="MDS77" s="277" t="s">
        <v>1072</v>
      </c>
      <c r="MDT77" s="277" t="s">
        <v>1072</v>
      </c>
      <c r="MDU77" s="277" t="s">
        <v>1072</v>
      </c>
      <c r="MDV77" s="277" t="s">
        <v>1072</v>
      </c>
      <c r="MDW77" s="277" t="s">
        <v>1072</v>
      </c>
      <c r="MDX77" s="277" t="s">
        <v>1072</v>
      </c>
      <c r="MDY77" s="277" t="s">
        <v>1072</v>
      </c>
      <c r="MDZ77" s="277" t="s">
        <v>1072</v>
      </c>
      <c r="MEA77" s="277" t="s">
        <v>1072</v>
      </c>
      <c r="MEB77" s="277" t="s">
        <v>1072</v>
      </c>
      <c r="MEC77" s="277" t="s">
        <v>1072</v>
      </c>
      <c r="MED77" s="277" t="s">
        <v>1072</v>
      </c>
      <c r="MEE77" s="277" t="s">
        <v>1072</v>
      </c>
      <c r="MEF77" s="277" t="s">
        <v>1072</v>
      </c>
      <c r="MEG77" s="277" t="s">
        <v>1072</v>
      </c>
      <c r="MEH77" s="277" t="s">
        <v>1072</v>
      </c>
      <c r="MEI77" s="277" t="s">
        <v>1072</v>
      </c>
      <c r="MEJ77" s="277" t="s">
        <v>1072</v>
      </c>
      <c r="MEK77" s="277" t="s">
        <v>1072</v>
      </c>
      <c r="MEL77" s="277" t="s">
        <v>1072</v>
      </c>
      <c r="MEM77" s="277" t="s">
        <v>1072</v>
      </c>
      <c r="MEN77" s="277" t="s">
        <v>1072</v>
      </c>
      <c r="MEO77" s="277" t="s">
        <v>1072</v>
      </c>
      <c r="MEP77" s="277" t="s">
        <v>1072</v>
      </c>
      <c r="MEQ77" s="277" t="s">
        <v>1072</v>
      </c>
      <c r="MER77" s="277" t="s">
        <v>1072</v>
      </c>
      <c r="MES77" s="277" t="s">
        <v>1072</v>
      </c>
      <c r="MET77" s="277" t="s">
        <v>1072</v>
      </c>
      <c r="MEU77" s="277" t="s">
        <v>1072</v>
      </c>
      <c r="MEV77" s="277" t="s">
        <v>1072</v>
      </c>
      <c r="MEW77" s="277" t="s">
        <v>1072</v>
      </c>
      <c r="MEX77" s="277" t="s">
        <v>1072</v>
      </c>
      <c r="MEY77" s="277" t="s">
        <v>1072</v>
      </c>
      <c r="MEZ77" s="277" t="s">
        <v>1072</v>
      </c>
      <c r="MFA77" s="277" t="s">
        <v>1072</v>
      </c>
      <c r="MFB77" s="277" t="s">
        <v>1072</v>
      </c>
      <c r="MFC77" s="277" t="s">
        <v>1072</v>
      </c>
      <c r="MFD77" s="277" t="s">
        <v>1072</v>
      </c>
      <c r="MFE77" s="277" t="s">
        <v>1072</v>
      </c>
      <c r="MFF77" s="277" t="s">
        <v>1072</v>
      </c>
      <c r="MFG77" s="277" t="s">
        <v>1072</v>
      </c>
      <c r="MFH77" s="277" t="s">
        <v>1072</v>
      </c>
      <c r="MFI77" s="277" t="s">
        <v>1072</v>
      </c>
      <c r="MFJ77" s="277" t="s">
        <v>1072</v>
      </c>
      <c r="MFK77" s="277" t="s">
        <v>1072</v>
      </c>
      <c r="MFL77" s="277" t="s">
        <v>1072</v>
      </c>
      <c r="MFM77" s="277" t="s">
        <v>1072</v>
      </c>
      <c r="MFN77" s="277" t="s">
        <v>1072</v>
      </c>
      <c r="MFO77" s="277" t="s">
        <v>1072</v>
      </c>
      <c r="MFP77" s="277" t="s">
        <v>1072</v>
      </c>
      <c r="MFQ77" s="277" t="s">
        <v>1072</v>
      </c>
      <c r="MFR77" s="277" t="s">
        <v>1072</v>
      </c>
      <c r="MFS77" s="277" t="s">
        <v>1072</v>
      </c>
      <c r="MFT77" s="277" t="s">
        <v>1072</v>
      </c>
      <c r="MFU77" s="277" t="s">
        <v>1072</v>
      </c>
      <c r="MFV77" s="277" t="s">
        <v>1072</v>
      </c>
      <c r="MFW77" s="277" t="s">
        <v>1072</v>
      </c>
      <c r="MFX77" s="277" t="s">
        <v>1072</v>
      </c>
      <c r="MFY77" s="277" t="s">
        <v>1072</v>
      </c>
      <c r="MFZ77" s="277" t="s">
        <v>1072</v>
      </c>
      <c r="MGA77" s="277" t="s">
        <v>1072</v>
      </c>
      <c r="MGB77" s="277" t="s">
        <v>1072</v>
      </c>
      <c r="MGC77" s="277" t="s">
        <v>1072</v>
      </c>
      <c r="MGD77" s="277" t="s">
        <v>1072</v>
      </c>
      <c r="MGE77" s="277" t="s">
        <v>1072</v>
      </c>
      <c r="MGF77" s="277" t="s">
        <v>1072</v>
      </c>
      <c r="MGG77" s="277" t="s">
        <v>1072</v>
      </c>
      <c r="MGH77" s="277" t="s">
        <v>1072</v>
      </c>
      <c r="MGI77" s="277" t="s">
        <v>1072</v>
      </c>
      <c r="MGJ77" s="277" t="s">
        <v>1072</v>
      </c>
      <c r="MGK77" s="277" t="s">
        <v>1072</v>
      </c>
      <c r="MGL77" s="277" t="s">
        <v>1072</v>
      </c>
      <c r="MGM77" s="277" t="s">
        <v>1072</v>
      </c>
      <c r="MGN77" s="277" t="s">
        <v>1072</v>
      </c>
      <c r="MGO77" s="277" t="s">
        <v>1072</v>
      </c>
      <c r="MGP77" s="277" t="s">
        <v>1072</v>
      </c>
      <c r="MGQ77" s="277" t="s">
        <v>1072</v>
      </c>
      <c r="MGR77" s="277" t="s">
        <v>1072</v>
      </c>
      <c r="MGS77" s="277" t="s">
        <v>1072</v>
      </c>
      <c r="MGT77" s="277" t="s">
        <v>1072</v>
      </c>
      <c r="MGU77" s="277" t="s">
        <v>1072</v>
      </c>
      <c r="MGV77" s="277" t="s">
        <v>1072</v>
      </c>
      <c r="MGW77" s="277" t="s">
        <v>1072</v>
      </c>
      <c r="MGX77" s="277" t="s">
        <v>1072</v>
      </c>
      <c r="MGY77" s="277" t="s">
        <v>1072</v>
      </c>
      <c r="MGZ77" s="277" t="s">
        <v>1072</v>
      </c>
      <c r="MHA77" s="277" t="s">
        <v>1072</v>
      </c>
      <c r="MHB77" s="277" t="s">
        <v>1072</v>
      </c>
      <c r="MHC77" s="277" t="s">
        <v>1072</v>
      </c>
      <c r="MHD77" s="277" t="s">
        <v>1072</v>
      </c>
      <c r="MHE77" s="277" t="s">
        <v>1072</v>
      </c>
      <c r="MHF77" s="277" t="s">
        <v>1072</v>
      </c>
      <c r="MHG77" s="277" t="s">
        <v>1072</v>
      </c>
      <c r="MHH77" s="277" t="s">
        <v>1072</v>
      </c>
      <c r="MHI77" s="277" t="s">
        <v>1072</v>
      </c>
      <c r="MHJ77" s="277" t="s">
        <v>1072</v>
      </c>
      <c r="MHK77" s="277" t="s">
        <v>1072</v>
      </c>
      <c r="MHL77" s="277" t="s">
        <v>1072</v>
      </c>
      <c r="MHM77" s="277" t="s">
        <v>1072</v>
      </c>
      <c r="MHN77" s="277" t="s">
        <v>1072</v>
      </c>
      <c r="MHO77" s="277" t="s">
        <v>1072</v>
      </c>
      <c r="MHP77" s="277" t="s">
        <v>1072</v>
      </c>
      <c r="MHQ77" s="277" t="s">
        <v>1072</v>
      </c>
      <c r="MHR77" s="277" t="s">
        <v>1072</v>
      </c>
      <c r="MHS77" s="277" t="s">
        <v>1072</v>
      </c>
      <c r="MHT77" s="277" t="s">
        <v>1072</v>
      </c>
      <c r="MHU77" s="277" t="s">
        <v>1072</v>
      </c>
      <c r="MHV77" s="277" t="s">
        <v>1072</v>
      </c>
      <c r="MHW77" s="277" t="s">
        <v>1072</v>
      </c>
      <c r="MHX77" s="277" t="s">
        <v>1072</v>
      </c>
      <c r="MHY77" s="277" t="s">
        <v>1072</v>
      </c>
      <c r="MHZ77" s="277" t="s">
        <v>1072</v>
      </c>
      <c r="MIA77" s="277" t="s">
        <v>1072</v>
      </c>
      <c r="MIB77" s="277" t="s">
        <v>1072</v>
      </c>
      <c r="MIC77" s="277" t="s">
        <v>1072</v>
      </c>
      <c r="MID77" s="277" t="s">
        <v>1072</v>
      </c>
      <c r="MIE77" s="277" t="s">
        <v>1072</v>
      </c>
      <c r="MIF77" s="277" t="s">
        <v>1072</v>
      </c>
      <c r="MIG77" s="277" t="s">
        <v>1072</v>
      </c>
      <c r="MIH77" s="277" t="s">
        <v>1072</v>
      </c>
      <c r="MII77" s="277" t="s">
        <v>1072</v>
      </c>
      <c r="MIJ77" s="277" t="s">
        <v>1072</v>
      </c>
      <c r="MIK77" s="277" t="s">
        <v>1072</v>
      </c>
      <c r="MIL77" s="277" t="s">
        <v>1072</v>
      </c>
      <c r="MIM77" s="277" t="s">
        <v>1072</v>
      </c>
      <c r="MIN77" s="277" t="s">
        <v>1072</v>
      </c>
      <c r="MIO77" s="277" t="s">
        <v>1072</v>
      </c>
      <c r="MIP77" s="277" t="s">
        <v>1072</v>
      </c>
      <c r="MIQ77" s="277" t="s">
        <v>1072</v>
      </c>
      <c r="MIR77" s="277" t="s">
        <v>1072</v>
      </c>
      <c r="MIS77" s="277" t="s">
        <v>1072</v>
      </c>
      <c r="MIT77" s="277" t="s">
        <v>1072</v>
      </c>
      <c r="MIU77" s="277" t="s">
        <v>1072</v>
      </c>
      <c r="MIV77" s="277" t="s">
        <v>1072</v>
      </c>
      <c r="MIW77" s="277" t="s">
        <v>1072</v>
      </c>
      <c r="MIX77" s="277" t="s">
        <v>1072</v>
      </c>
      <c r="MIY77" s="277" t="s">
        <v>1072</v>
      </c>
      <c r="MIZ77" s="277" t="s">
        <v>1072</v>
      </c>
      <c r="MJA77" s="277" t="s">
        <v>1072</v>
      </c>
      <c r="MJB77" s="277" t="s">
        <v>1072</v>
      </c>
      <c r="MJC77" s="277" t="s">
        <v>1072</v>
      </c>
      <c r="MJD77" s="277" t="s">
        <v>1072</v>
      </c>
      <c r="MJE77" s="277" t="s">
        <v>1072</v>
      </c>
      <c r="MJF77" s="277" t="s">
        <v>1072</v>
      </c>
      <c r="MJG77" s="277" t="s">
        <v>1072</v>
      </c>
      <c r="MJH77" s="277" t="s">
        <v>1072</v>
      </c>
      <c r="MJI77" s="277" t="s">
        <v>1072</v>
      </c>
      <c r="MJJ77" s="277" t="s">
        <v>1072</v>
      </c>
      <c r="MJK77" s="277" t="s">
        <v>1072</v>
      </c>
      <c r="MJL77" s="277" t="s">
        <v>1072</v>
      </c>
      <c r="MJM77" s="277" t="s">
        <v>1072</v>
      </c>
      <c r="MJN77" s="277" t="s">
        <v>1072</v>
      </c>
      <c r="MJO77" s="277" t="s">
        <v>1072</v>
      </c>
      <c r="MJP77" s="277" t="s">
        <v>1072</v>
      </c>
      <c r="MJQ77" s="277" t="s">
        <v>1072</v>
      </c>
      <c r="MJR77" s="277" t="s">
        <v>1072</v>
      </c>
      <c r="MJS77" s="277" t="s">
        <v>1072</v>
      </c>
      <c r="MJT77" s="277" t="s">
        <v>1072</v>
      </c>
      <c r="MJU77" s="277" t="s">
        <v>1072</v>
      </c>
      <c r="MJV77" s="277" t="s">
        <v>1072</v>
      </c>
      <c r="MJW77" s="277" t="s">
        <v>1072</v>
      </c>
      <c r="MJX77" s="277" t="s">
        <v>1072</v>
      </c>
      <c r="MJY77" s="277" t="s">
        <v>1072</v>
      </c>
      <c r="MJZ77" s="277" t="s">
        <v>1072</v>
      </c>
      <c r="MKA77" s="277" t="s">
        <v>1072</v>
      </c>
      <c r="MKB77" s="277" t="s">
        <v>1072</v>
      </c>
      <c r="MKC77" s="277" t="s">
        <v>1072</v>
      </c>
      <c r="MKD77" s="277" t="s">
        <v>1072</v>
      </c>
      <c r="MKE77" s="277" t="s">
        <v>1072</v>
      </c>
      <c r="MKF77" s="277" t="s">
        <v>1072</v>
      </c>
      <c r="MKG77" s="277" t="s">
        <v>1072</v>
      </c>
      <c r="MKH77" s="277" t="s">
        <v>1072</v>
      </c>
      <c r="MKI77" s="277" t="s">
        <v>1072</v>
      </c>
      <c r="MKJ77" s="277" t="s">
        <v>1072</v>
      </c>
      <c r="MKK77" s="277" t="s">
        <v>1072</v>
      </c>
      <c r="MKL77" s="277" t="s">
        <v>1072</v>
      </c>
      <c r="MKM77" s="277" t="s">
        <v>1072</v>
      </c>
      <c r="MKN77" s="277" t="s">
        <v>1072</v>
      </c>
      <c r="MKO77" s="277" t="s">
        <v>1072</v>
      </c>
      <c r="MKP77" s="277" t="s">
        <v>1072</v>
      </c>
      <c r="MKQ77" s="277" t="s">
        <v>1072</v>
      </c>
      <c r="MKR77" s="277" t="s">
        <v>1072</v>
      </c>
      <c r="MKS77" s="277" t="s">
        <v>1072</v>
      </c>
      <c r="MKT77" s="277" t="s">
        <v>1072</v>
      </c>
      <c r="MKU77" s="277" t="s">
        <v>1072</v>
      </c>
      <c r="MKV77" s="277" t="s">
        <v>1072</v>
      </c>
      <c r="MKW77" s="277" t="s">
        <v>1072</v>
      </c>
      <c r="MKX77" s="277" t="s">
        <v>1072</v>
      </c>
      <c r="MKY77" s="277" t="s">
        <v>1072</v>
      </c>
      <c r="MKZ77" s="277" t="s">
        <v>1072</v>
      </c>
      <c r="MLA77" s="277" t="s">
        <v>1072</v>
      </c>
      <c r="MLB77" s="277" t="s">
        <v>1072</v>
      </c>
      <c r="MLC77" s="277" t="s">
        <v>1072</v>
      </c>
      <c r="MLD77" s="277" t="s">
        <v>1072</v>
      </c>
      <c r="MLE77" s="277" t="s">
        <v>1072</v>
      </c>
      <c r="MLF77" s="277" t="s">
        <v>1072</v>
      </c>
      <c r="MLG77" s="277" t="s">
        <v>1072</v>
      </c>
      <c r="MLH77" s="277" t="s">
        <v>1072</v>
      </c>
      <c r="MLI77" s="277" t="s">
        <v>1072</v>
      </c>
      <c r="MLJ77" s="277" t="s">
        <v>1072</v>
      </c>
      <c r="MLK77" s="277" t="s">
        <v>1072</v>
      </c>
      <c r="MLL77" s="277" t="s">
        <v>1072</v>
      </c>
      <c r="MLM77" s="277" t="s">
        <v>1072</v>
      </c>
      <c r="MLN77" s="277" t="s">
        <v>1072</v>
      </c>
      <c r="MLO77" s="277" t="s">
        <v>1072</v>
      </c>
      <c r="MLP77" s="277" t="s">
        <v>1072</v>
      </c>
      <c r="MLQ77" s="277" t="s">
        <v>1072</v>
      </c>
      <c r="MLR77" s="277" t="s">
        <v>1072</v>
      </c>
      <c r="MLS77" s="277" t="s">
        <v>1072</v>
      </c>
      <c r="MLT77" s="277" t="s">
        <v>1072</v>
      </c>
      <c r="MLU77" s="277" t="s">
        <v>1072</v>
      </c>
      <c r="MLV77" s="277" t="s">
        <v>1072</v>
      </c>
      <c r="MLW77" s="277" t="s">
        <v>1072</v>
      </c>
      <c r="MLX77" s="277" t="s">
        <v>1072</v>
      </c>
      <c r="MLY77" s="277" t="s">
        <v>1072</v>
      </c>
      <c r="MLZ77" s="277" t="s">
        <v>1072</v>
      </c>
      <c r="MMA77" s="277" t="s">
        <v>1072</v>
      </c>
      <c r="MMB77" s="277" t="s">
        <v>1072</v>
      </c>
      <c r="MMC77" s="277" t="s">
        <v>1072</v>
      </c>
      <c r="MMD77" s="277" t="s">
        <v>1072</v>
      </c>
      <c r="MME77" s="277" t="s">
        <v>1072</v>
      </c>
      <c r="MMF77" s="277" t="s">
        <v>1072</v>
      </c>
      <c r="MMG77" s="277" t="s">
        <v>1072</v>
      </c>
      <c r="MMH77" s="277" t="s">
        <v>1072</v>
      </c>
      <c r="MMI77" s="277" t="s">
        <v>1072</v>
      </c>
      <c r="MMJ77" s="277" t="s">
        <v>1072</v>
      </c>
      <c r="MMK77" s="277" t="s">
        <v>1072</v>
      </c>
      <c r="MML77" s="277" t="s">
        <v>1072</v>
      </c>
      <c r="MMM77" s="277" t="s">
        <v>1072</v>
      </c>
      <c r="MMN77" s="277" t="s">
        <v>1072</v>
      </c>
      <c r="MMO77" s="277" t="s">
        <v>1072</v>
      </c>
      <c r="MMP77" s="277" t="s">
        <v>1072</v>
      </c>
      <c r="MMQ77" s="277" t="s">
        <v>1072</v>
      </c>
      <c r="MMR77" s="277" t="s">
        <v>1072</v>
      </c>
      <c r="MMS77" s="277" t="s">
        <v>1072</v>
      </c>
      <c r="MMT77" s="277" t="s">
        <v>1072</v>
      </c>
      <c r="MMU77" s="277" t="s">
        <v>1072</v>
      </c>
      <c r="MMV77" s="277" t="s">
        <v>1072</v>
      </c>
      <c r="MMW77" s="277" t="s">
        <v>1072</v>
      </c>
      <c r="MMX77" s="277" t="s">
        <v>1072</v>
      </c>
      <c r="MMY77" s="277" t="s">
        <v>1072</v>
      </c>
      <c r="MMZ77" s="277" t="s">
        <v>1072</v>
      </c>
      <c r="MNA77" s="277" t="s">
        <v>1072</v>
      </c>
      <c r="MNB77" s="277" t="s">
        <v>1072</v>
      </c>
      <c r="MNC77" s="277" t="s">
        <v>1072</v>
      </c>
      <c r="MND77" s="277" t="s">
        <v>1072</v>
      </c>
      <c r="MNE77" s="277" t="s">
        <v>1072</v>
      </c>
      <c r="MNF77" s="277" t="s">
        <v>1072</v>
      </c>
      <c r="MNG77" s="277" t="s">
        <v>1072</v>
      </c>
      <c r="MNH77" s="277" t="s">
        <v>1072</v>
      </c>
      <c r="MNI77" s="277" t="s">
        <v>1072</v>
      </c>
      <c r="MNJ77" s="277" t="s">
        <v>1072</v>
      </c>
      <c r="MNK77" s="277" t="s">
        <v>1072</v>
      </c>
      <c r="MNL77" s="277" t="s">
        <v>1072</v>
      </c>
      <c r="MNM77" s="277" t="s">
        <v>1072</v>
      </c>
      <c r="MNN77" s="277" t="s">
        <v>1072</v>
      </c>
      <c r="MNO77" s="277" t="s">
        <v>1072</v>
      </c>
      <c r="MNP77" s="277" t="s">
        <v>1072</v>
      </c>
      <c r="MNQ77" s="277" t="s">
        <v>1072</v>
      </c>
      <c r="MNR77" s="277" t="s">
        <v>1072</v>
      </c>
      <c r="MNS77" s="277" t="s">
        <v>1072</v>
      </c>
      <c r="MNT77" s="277" t="s">
        <v>1072</v>
      </c>
      <c r="MNU77" s="277" t="s">
        <v>1072</v>
      </c>
      <c r="MNV77" s="277" t="s">
        <v>1072</v>
      </c>
      <c r="MNW77" s="277" t="s">
        <v>1072</v>
      </c>
      <c r="MNX77" s="277" t="s">
        <v>1072</v>
      </c>
      <c r="MNY77" s="277" t="s">
        <v>1072</v>
      </c>
      <c r="MNZ77" s="277" t="s">
        <v>1072</v>
      </c>
      <c r="MOA77" s="277" t="s">
        <v>1072</v>
      </c>
      <c r="MOB77" s="277" t="s">
        <v>1072</v>
      </c>
      <c r="MOC77" s="277" t="s">
        <v>1072</v>
      </c>
      <c r="MOD77" s="277" t="s">
        <v>1072</v>
      </c>
      <c r="MOE77" s="277" t="s">
        <v>1072</v>
      </c>
      <c r="MOF77" s="277" t="s">
        <v>1072</v>
      </c>
      <c r="MOG77" s="277" t="s">
        <v>1072</v>
      </c>
      <c r="MOH77" s="277" t="s">
        <v>1072</v>
      </c>
      <c r="MOI77" s="277" t="s">
        <v>1072</v>
      </c>
      <c r="MOJ77" s="277" t="s">
        <v>1072</v>
      </c>
      <c r="MOK77" s="277" t="s">
        <v>1072</v>
      </c>
      <c r="MOL77" s="277" t="s">
        <v>1072</v>
      </c>
      <c r="MOM77" s="277" t="s">
        <v>1072</v>
      </c>
      <c r="MON77" s="277" t="s">
        <v>1072</v>
      </c>
      <c r="MOO77" s="277" t="s">
        <v>1072</v>
      </c>
      <c r="MOP77" s="277" t="s">
        <v>1072</v>
      </c>
      <c r="MOQ77" s="277" t="s">
        <v>1072</v>
      </c>
      <c r="MOR77" s="277" t="s">
        <v>1072</v>
      </c>
      <c r="MOS77" s="277" t="s">
        <v>1072</v>
      </c>
      <c r="MOT77" s="277" t="s">
        <v>1072</v>
      </c>
      <c r="MOU77" s="277" t="s">
        <v>1072</v>
      </c>
      <c r="MOV77" s="277" t="s">
        <v>1072</v>
      </c>
      <c r="MOW77" s="277" t="s">
        <v>1072</v>
      </c>
      <c r="MOX77" s="277" t="s">
        <v>1072</v>
      </c>
      <c r="MOY77" s="277" t="s">
        <v>1072</v>
      </c>
      <c r="MOZ77" s="277" t="s">
        <v>1072</v>
      </c>
      <c r="MPA77" s="277" t="s">
        <v>1072</v>
      </c>
      <c r="MPB77" s="277" t="s">
        <v>1072</v>
      </c>
      <c r="MPC77" s="277" t="s">
        <v>1072</v>
      </c>
      <c r="MPD77" s="277" t="s">
        <v>1072</v>
      </c>
      <c r="MPE77" s="277" t="s">
        <v>1072</v>
      </c>
      <c r="MPF77" s="277" t="s">
        <v>1072</v>
      </c>
      <c r="MPG77" s="277" t="s">
        <v>1072</v>
      </c>
      <c r="MPH77" s="277" t="s">
        <v>1072</v>
      </c>
      <c r="MPI77" s="277" t="s">
        <v>1072</v>
      </c>
      <c r="MPJ77" s="277" t="s">
        <v>1072</v>
      </c>
      <c r="MPK77" s="277" t="s">
        <v>1072</v>
      </c>
      <c r="MPL77" s="277" t="s">
        <v>1072</v>
      </c>
      <c r="MPM77" s="277" t="s">
        <v>1072</v>
      </c>
      <c r="MPN77" s="277" t="s">
        <v>1072</v>
      </c>
      <c r="MPO77" s="277" t="s">
        <v>1072</v>
      </c>
      <c r="MPP77" s="277" t="s">
        <v>1072</v>
      </c>
      <c r="MPQ77" s="277" t="s">
        <v>1072</v>
      </c>
      <c r="MPR77" s="277" t="s">
        <v>1072</v>
      </c>
      <c r="MPS77" s="277" t="s">
        <v>1072</v>
      </c>
      <c r="MPT77" s="277" t="s">
        <v>1072</v>
      </c>
      <c r="MPU77" s="277" t="s">
        <v>1072</v>
      </c>
      <c r="MPV77" s="277" t="s">
        <v>1072</v>
      </c>
      <c r="MPW77" s="277" t="s">
        <v>1072</v>
      </c>
      <c r="MPX77" s="277" t="s">
        <v>1072</v>
      </c>
      <c r="MPY77" s="277" t="s">
        <v>1072</v>
      </c>
      <c r="MPZ77" s="277" t="s">
        <v>1072</v>
      </c>
      <c r="MQA77" s="277" t="s">
        <v>1072</v>
      </c>
      <c r="MQB77" s="277" t="s">
        <v>1072</v>
      </c>
      <c r="MQC77" s="277" t="s">
        <v>1072</v>
      </c>
      <c r="MQD77" s="277" t="s">
        <v>1072</v>
      </c>
      <c r="MQE77" s="277" t="s">
        <v>1072</v>
      </c>
      <c r="MQF77" s="277" t="s">
        <v>1072</v>
      </c>
      <c r="MQG77" s="277" t="s">
        <v>1072</v>
      </c>
      <c r="MQH77" s="277" t="s">
        <v>1072</v>
      </c>
      <c r="MQI77" s="277" t="s">
        <v>1072</v>
      </c>
      <c r="MQJ77" s="277" t="s">
        <v>1072</v>
      </c>
      <c r="MQK77" s="277" t="s">
        <v>1072</v>
      </c>
      <c r="MQL77" s="277" t="s">
        <v>1072</v>
      </c>
      <c r="MQM77" s="277" t="s">
        <v>1072</v>
      </c>
      <c r="MQN77" s="277" t="s">
        <v>1072</v>
      </c>
      <c r="MQO77" s="277" t="s">
        <v>1072</v>
      </c>
      <c r="MQP77" s="277" t="s">
        <v>1072</v>
      </c>
      <c r="MQQ77" s="277" t="s">
        <v>1072</v>
      </c>
      <c r="MQR77" s="277" t="s">
        <v>1072</v>
      </c>
      <c r="MQS77" s="277" t="s">
        <v>1072</v>
      </c>
      <c r="MQT77" s="277" t="s">
        <v>1072</v>
      </c>
      <c r="MQU77" s="277" t="s">
        <v>1072</v>
      </c>
      <c r="MQV77" s="277" t="s">
        <v>1072</v>
      </c>
      <c r="MQW77" s="277" t="s">
        <v>1072</v>
      </c>
      <c r="MQX77" s="277" t="s">
        <v>1072</v>
      </c>
      <c r="MQY77" s="277" t="s">
        <v>1072</v>
      </c>
      <c r="MQZ77" s="277" t="s">
        <v>1072</v>
      </c>
      <c r="MRA77" s="277" t="s">
        <v>1072</v>
      </c>
      <c r="MRB77" s="277" t="s">
        <v>1072</v>
      </c>
      <c r="MRC77" s="277" t="s">
        <v>1072</v>
      </c>
      <c r="MRD77" s="277" t="s">
        <v>1072</v>
      </c>
      <c r="MRE77" s="277" t="s">
        <v>1072</v>
      </c>
      <c r="MRF77" s="277" t="s">
        <v>1072</v>
      </c>
      <c r="MRG77" s="277" t="s">
        <v>1072</v>
      </c>
      <c r="MRH77" s="277" t="s">
        <v>1072</v>
      </c>
      <c r="MRI77" s="277" t="s">
        <v>1072</v>
      </c>
      <c r="MRJ77" s="277" t="s">
        <v>1072</v>
      </c>
      <c r="MRK77" s="277" t="s">
        <v>1072</v>
      </c>
      <c r="MRL77" s="277" t="s">
        <v>1072</v>
      </c>
      <c r="MRM77" s="277" t="s">
        <v>1072</v>
      </c>
      <c r="MRN77" s="277" t="s">
        <v>1072</v>
      </c>
      <c r="MRO77" s="277" t="s">
        <v>1072</v>
      </c>
      <c r="MRP77" s="277" t="s">
        <v>1072</v>
      </c>
      <c r="MRQ77" s="277" t="s">
        <v>1072</v>
      </c>
      <c r="MRR77" s="277" t="s">
        <v>1072</v>
      </c>
      <c r="MRS77" s="277" t="s">
        <v>1072</v>
      </c>
      <c r="MRT77" s="277" t="s">
        <v>1072</v>
      </c>
      <c r="MRU77" s="277" t="s">
        <v>1072</v>
      </c>
      <c r="MRV77" s="277" t="s">
        <v>1072</v>
      </c>
      <c r="MRW77" s="277" t="s">
        <v>1072</v>
      </c>
      <c r="MRX77" s="277" t="s">
        <v>1072</v>
      </c>
      <c r="MRY77" s="277" t="s">
        <v>1072</v>
      </c>
      <c r="MRZ77" s="277" t="s">
        <v>1072</v>
      </c>
      <c r="MSA77" s="277" t="s">
        <v>1072</v>
      </c>
      <c r="MSB77" s="277" t="s">
        <v>1072</v>
      </c>
      <c r="MSC77" s="277" t="s">
        <v>1072</v>
      </c>
      <c r="MSD77" s="277" t="s">
        <v>1072</v>
      </c>
      <c r="MSE77" s="277" t="s">
        <v>1072</v>
      </c>
      <c r="MSF77" s="277" t="s">
        <v>1072</v>
      </c>
      <c r="MSG77" s="277" t="s">
        <v>1072</v>
      </c>
      <c r="MSH77" s="277" t="s">
        <v>1072</v>
      </c>
      <c r="MSI77" s="277" t="s">
        <v>1072</v>
      </c>
      <c r="MSJ77" s="277" t="s">
        <v>1072</v>
      </c>
      <c r="MSK77" s="277" t="s">
        <v>1072</v>
      </c>
      <c r="MSL77" s="277" t="s">
        <v>1072</v>
      </c>
      <c r="MSM77" s="277" t="s">
        <v>1072</v>
      </c>
      <c r="MSN77" s="277" t="s">
        <v>1072</v>
      </c>
      <c r="MSO77" s="277" t="s">
        <v>1072</v>
      </c>
      <c r="MSP77" s="277" t="s">
        <v>1072</v>
      </c>
      <c r="MSQ77" s="277" t="s">
        <v>1072</v>
      </c>
      <c r="MSR77" s="277" t="s">
        <v>1072</v>
      </c>
      <c r="MSS77" s="277" t="s">
        <v>1072</v>
      </c>
      <c r="MST77" s="277" t="s">
        <v>1072</v>
      </c>
      <c r="MSU77" s="277" t="s">
        <v>1072</v>
      </c>
      <c r="MSV77" s="277" t="s">
        <v>1072</v>
      </c>
      <c r="MSW77" s="277" t="s">
        <v>1072</v>
      </c>
      <c r="MSX77" s="277" t="s">
        <v>1072</v>
      </c>
      <c r="MSY77" s="277" t="s">
        <v>1072</v>
      </c>
      <c r="MSZ77" s="277" t="s">
        <v>1072</v>
      </c>
      <c r="MTA77" s="277" t="s">
        <v>1072</v>
      </c>
      <c r="MTB77" s="277" t="s">
        <v>1072</v>
      </c>
      <c r="MTC77" s="277" t="s">
        <v>1072</v>
      </c>
      <c r="MTD77" s="277" t="s">
        <v>1072</v>
      </c>
      <c r="MTE77" s="277" t="s">
        <v>1072</v>
      </c>
      <c r="MTF77" s="277" t="s">
        <v>1072</v>
      </c>
      <c r="MTG77" s="277" t="s">
        <v>1072</v>
      </c>
      <c r="MTH77" s="277" t="s">
        <v>1072</v>
      </c>
      <c r="MTI77" s="277" t="s">
        <v>1072</v>
      </c>
      <c r="MTJ77" s="277" t="s">
        <v>1072</v>
      </c>
      <c r="MTK77" s="277" t="s">
        <v>1072</v>
      </c>
      <c r="MTL77" s="277" t="s">
        <v>1072</v>
      </c>
      <c r="MTM77" s="277" t="s">
        <v>1072</v>
      </c>
      <c r="MTN77" s="277" t="s">
        <v>1072</v>
      </c>
      <c r="MTO77" s="277" t="s">
        <v>1072</v>
      </c>
      <c r="MTP77" s="277" t="s">
        <v>1072</v>
      </c>
      <c r="MTQ77" s="277" t="s">
        <v>1072</v>
      </c>
      <c r="MTR77" s="277" t="s">
        <v>1072</v>
      </c>
      <c r="MTS77" s="277" t="s">
        <v>1072</v>
      </c>
      <c r="MTT77" s="277" t="s">
        <v>1072</v>
      </c>
      <c r="MTU77" s="277" t="s">
        <v>1072</v>
      </c>
      <c r="MTV77" s="277" t="s">
        <v>1072</v>
      </c>
      <c r="MTW77" s="277" t="s">
        <v>1072</v>
      </c>
      <c r="MTX77" s="277" t="s">
        <v>1072</v>
      </c>
      <c r="MTY77" s="277" t="s">
        <v>1072</v>
      </c>
      <c r="MTZ77" s="277" t="s">
        <v>1072</v>
      </c>
      <c r="MUA77" s="277" t="s">
        <v>1072</v>
      </c>
      <c r="MUB77" s="277" t="s">
        <v>1072</v>
      </c>
      <c r="MUC77" s="277" t="s">
        <v>1072</v>
      </c>
      <c r="MUD77" s="277" t="s">
        <v>1072</v>
      </c>
      <c r="MUE77" s="277" t="s">
        <v>1072</v>
      </c>
      <c r="MUF77" s="277" t="s">
        <v>1072</v>
      </c>
      <c r="MUG77" s="277" t="s">
        <v>1072</v>
      </c>
      <c r="MUH77" s="277" t="s">
        <v>1072</v>
      </c>
      <c r="MUI77" s="277" t="s">
        <v>1072</v>
      </c>
      <c r="MUJ77" s="277" t="s">
        <v>1072</v>
      </c>
      <c r="MUK77" s="277" t="s">
        <v>1072</v>
      </c>
      <c r="MUL77" s="277" t="s">
        <v>1072</v>
      </c>
      <c r="MUM77" s="277" t="s">
        <v>1072</v>
      </c>
      <c r="MUN77" s="277" t="s">
        <v>1072</v>
      </c>
      <c r="MUO77" s="277" t="s">
        <v>1072</v>
      </c>
      <c r="MUP77" s="277" t="s">
        <v>1072</v>
      </c>
      <c r="MUQ77" s="277" t="s">
        <v>1072</v>
      </c>
      <c r="MUR77" s="277" t="s">
        <v>1072</v>
      </c>
      <c r="MUS77" s="277" t="s">
        <v>1072</v>
      </c>
      <c r="MUT77" s="277" t="s">
        <v>1072</v>
      </c>
      <c r="MUU77" s="277" t="s">
        <v>1072</v>
      </c>
      <c r="MUV77" s="277" t="s">
        <v>1072</v>
      </c>
      <c r="MUW77" s="277" t="s">
        <v>1072</v>
      </c>
      <c r="MUX77" s="277" t="s">
        <v>1072</v>
      </c>
      <c r="MUY77" s="277" t="s">
        <v>1072</v>
      </c>
      <c r="MUZ77" s="277" t="s">
        <v>1072</v>
      </c>
      <c r="MVA77" s="277" t="s">
        <v>1072</v>
      </c>
      <c r="MVB77" s="277" t="s">
        <v>1072</v>
      </c>
      <c r="MVC77" s="277" t="s">
        <v>1072</v>
      </c>
      <c r="MVD77" s="277" t="s">
        <v>1072</v>
      </c>
      <c r="MVE77" s="277" t="s">
        <v>1072</v>
      </c>
      <c r="MVF77" s="277" t="s">
        <v>1072</v>
      </c>
      <c r="MVG77" s="277" t="s">
        <v>1072</v>
      </c>
      <c r="MVH77" s="277" t="s">
        <v>1072</v>
      </c>
      <c r="MVI77" s="277" t="s">
        <v>1072</v>
      </c>
      <c r="MVJ77" s="277" t="s">
        <v>1072</v>
      </c>
      <c r="MVK77" s="277" t="s">
        <v>1072</v>
      </c>
      <c r="MVL77" s="277" t="s">
        <v>1072</v>
      </c>
      <c r="MVM77" s="277" t="s">
        <v>1072</v>
      </c>
      <c r="MVN77" s="277" t="s">
        <v>1072</v>
      </c>
      <c r="MVO77" s="277" t="s">
        <v>1072</v>
      </c>
      <c r="MVP77" s="277" t="s">
        <v>1072</v>
      </c>
      <c r="MVQ77" s="277" t="s">
        <v>1072</v>
      </c>
      <c r="MVR77" s="277" t="s">
        <v>1072</v>
      </c>
      <c r="MVS77" s="277" t="s">
        <v>1072</v>
      </c>
      <c r="MVT77" s="277" t="s">
        <v>1072</v>
      </c>
      <c r="MVU77" s="277" t="s">
        <v>1072</v>
      </c>
      <c r="MVV77" s="277" t="s">
        <v>1072</v>
      </c>
      <c r="MVW77" s="277" t="s">
        <v>1072</v>
      </c>
      <c r="MVX77" s="277" t="s">
        <v>1072</v>
      </c>
      <c r="MVY77" s="277" t="s">
        <v>1072</v>
      </c>
      <c r="MVZ77" s="277" t="s">
        <v>1072</v>
      </c>
      <c r="MWA77" s="277" t="s">
        <v>1072</v>
      </c>
      <c r="MWB77" s="277" t="s">
        <v>1072</v>
      </c>
      <c r="MWC77" s="277" t="s">
        <v>1072</v>
      </c>
      <c r="MWD77" s="277" t="s">
        <v>1072</v>
      </c>
      <c r="MWE77" s="277" t="s">
        <v>1072</v>
      </c>
      <c r="MWF77" s="277" t="s">
        <v>1072</v>
      </c>
      <c r="MWG77" s="277" t="s">
        <v>1072</v>
      </c>
      <c r="MWH77" s="277" t="s">
        <v>1072</v>
      </c>
      <c r="MWI77" s="277" t="s">
        <v>1072</v>
      </c>
      <c r="MWJ77" s="277" t="s">
        <v>1072</v>
      </c>
      <c r="MWK77" s="277" t="s">
        <v>1072</v>
      </c>
      <c r="MWL77" s="277" t="s">
        <v>1072</v>
      </c>
      <c r="MWM77" s="277" t="s">
        <v>1072</v>
      </c>
      <c r="MWN77" s="277" t="s">
        <v>1072</v>
      </c>
      <c r="MWO77" s="277" t="s">
        <v>1072</v>
      </c>
      <c r="MWP77" s="277" t="s">
        <v>1072</v>
      </c>
      <c r="MWQ77" s="277" t="s">
        <v>1072</v>
      </c>
      <c r="MWR77" s="277" t="s">
        <v>1072</v>
      </c>
      <c r="MWS77" s="277" t="s">
        <v>1072</v>
      </c>
      <c r="MWT77" s="277" t="s">
        <v>1072</v>
      </c>
      <c r="MWU77" s="277" t="s">
        <v>1072</v>
      </c>
      <c r="MWV77" s="277" t="s">
        <v>1072</v>
      </c>
      <c r="MWW77" s="277" t="s">
        <v>1072</v>
      </c>
      <c r="MWX77" s="277" t="s">
        <v>1072</v>
      </c>
      <c r="MWY77" s="277" t="s">
        <v>1072</v>
      </c>
      <c r="MWZ77" s="277" t="s">
        <v>1072</v>
      </c>
      <c r="MXA77" s="277" t="s">
        <v>1072</v>
      </c>
      <c r="MXB77" s="277" t="s">
        <v>1072</v>
      </c>
      <c r="MXC77" s="277" t="s">
        <v>1072</v>
      </c>
      <c r="MXD77" s="277" t="s">
        <v>1072</v>
      </c>
      <c r="MXE77" s="277" t="s">
        <v>1072</v>
      </c>
      <c r="MXF77" s="277" t="s">
        <v>1072</v>
      </c>
      <c r="MXG77" s="277" t="s">
        <v>1072</v>
      </c>
      <c r="MXH77" s="277" t="s">
        <v>1072</v>
      </c>
      <c r="MXI77" s="277" t="s">
        <v>1072</v>
      </c>
      <c r="MXJ77" s="277" t="s">
        <v>1072</v>
      </c>
      <c r="MXK77" s="277" t="s">
        <v>1072</v>
      </c>
      <c r="MXL77" s="277" t="s">
        <v>1072</v>
      </c>
      <c r="MXM77" s="277" t="s">
        <v>1072</v>
      </c>
      <c r="MXN77" s="277" t="s">
        <v>1072</v>
      </c>
      <c r="MXO77" s="277" t="s">
        <v>1072</v>
      </c>
      <c r="MXP77" s="277" t="s">
        <v>1072</v>
      </c>
      <c r="MXQ77" s="277" t="s">
        <v>1072</v>
      </c>
      <c r="MXR77" s="277" t="s">
        <v>1072</v>
      </c>
      <c r="MXS77" s="277" t="s">
        <v>1072</v>
      </c>
      <c r="MXT77" s="277" t="s">
        <v>1072</v>
      </c>
      <c r="MXU77" s="277" t="s">
        <v>1072</v>
      </c>
      <c r="MXV77" s="277" t="s">
        <v>1072</v>
      </c>
      <c r="MXW77" s="277" t="s">
        <v>1072</v>
      </c>
      <c r="MXX77" s="277" t="s">
        <v>1072</v>
      </c>
      <c r="MXY77" s="277" t="s">
        <v>1072</v>
      </c>
      <c r="MXZ77" s="277" t="s">
        <v>1072</v>
      </c>
      <c r="MYA77" s="277" t="s">
        <v>1072</v>
      </c>
      <c r="MYB77" s="277" t="s">
        <v>1072</v>
      </c>
      <c r="MYC77" s="277" t="s">
        <v>1072</v>
      </c>
      <c r="MYD77" s="277" t="s">
        <v>1072</v>
      </c>
      <c r="MYE77" s="277" t="s">
        <v>1072</v>
      </c>
      <c r="MYF77" s="277" t="s">
        <v>1072</v>
      </c>
      <c r="MYG77" s="277" t="s">
        <v>1072</v>
      </c>
      <c r="MYH77" s="277" t="s">
        <v>1072</v>
      </c>
      <c r="MYI77" s="277" t="s">
        <v>1072</v>
      </c>
      <c r="MYJ77" s="277" t="s">
        <v>1072</v>
      </c>
      <c r="MYK77" s="277" t="s">
        <v>1072</v>
      </c>
      <c r="MYL77" s="277" t="s">
        <v>1072</v>
      </c>
      <c r="MYM77" s="277" t="s">
        <v>1072</v>
      </c>
      <c r="MYN77" s="277" t="s">
        <v>1072</v>
      </c>
      <c r="MYO77" s="277" t="s">
        <v>1072</v>
      </c>
      <c r="MYP77" s="277" t="s">
        <v>1072</v>
      </c>
      <c r="MYQ77" s="277" t="s">
        <v>1072</v>
      </c>
      <c r="MYR77" s="277" t="s">
        <v>1072</v>
      </c>
      <c r="MYS77" s="277" t="s">
        <v>1072</v>
      </c>
      <c r="MYT77" s="277" t="s">
        <v>1072</v>
      </c>
      <c r="MYU77" s="277" t="s">
        <v>1072</v>
      </c>
      <c r="MYV77" s="277" t="s">
        <v>1072</v>
      </c>
      <c r="MYW77" s="277" t="s">
        <v>1072</v>
      </c>
      <c r="MYX77" s="277" t="s">
        <v>1072</v>
      </c>
      <c r="MYY77" s="277" t="s">
        <v>1072</v>
      </c>
      <c r="MYZ77" s="277" t="s">
        <v>1072</v>
      </c>
      <c r="MZA77" s="277" t="s">
        <v>1072</v>
      </c>
      <c r="MZB77" s="277" t="s">
        <v>1072</v>
      </c>
      <c r="MZC77" s="277" t="s">
        <v>1072</v>
      </c>
      <c r="MZD77" s="277" t="s">
        <v>1072</v>
      </c>
      <c r="MZE77" s="277" t="s">
        <v>1072</v>
      </c>
      <c r="MZF77" s="277" t="s">
        <v>1072</v>
      </c>
      <c r="MZG77" s="277" t="s">
        <v>1072</v>
      </c>
      <c r="MZH77" s="277" t="s">
        <v>1072</v>
      </c>
      <c r="MZI77" s="277" t="s">
        <v>1072</v>
      </c>
      <c r="MZJ77" s="277" t="s">
        <v>1072</v>
      </c>
      <c r="MZK77" s="277" t="s">
        <v>1072</v>
      </c>
      <c r="MZL77" s="277" t="s">
        <v>1072</v>
      </c>
      <c r="MZM77" s="277" t="s">
        <v>1072</v>
      </c>
      <c r="MZN77" s="277" t="s">
        <v>1072</v>
      </c>
      <c r="MZO77" s="277" t="s">
        <v>1072</v>
      </c>
      <c r="MZP77" s="277" t="s">
        <v>1072</v>
      </c>
      <c r="MZQ77" s="277" t="s">
        <v>1072</v>
      </c>
      <c r="MZR77" s="277" t="s">
        <v>1072</v>
      </c>
      <c r="MZS77" s="277" t="s">
        <v>1072</v>
      </c>
      <c r="MZT77" s="277" t="s">
        <v>1072</v>
      </c>
      <c r="MZU77" s="277" t="s">
        <v>1072</v>
      </c>
      <c r="MZV77" s="277" t="s">
        <v>1072</v>
      </c>
      <c r="MZW77" s="277" t="s">
        <v>1072</v>
      </c>
      <c r="MZX77" s="277" t="s">
        <v>1072</v>
      </c>
      <c r="MZY77" s="277" t="s">
        <v>1072</v>
      </c>
      <c r="MZZ77" s="277" t="s">
        <v>1072</v>
      </c>
      <c r="NAA77" s="277" t="s">
        <v>1072</v>
      </c>
      <c r="NAB77" s="277" t="s">
        <v>1072</v>
      </c>
      <c r="NAC77" s="277" t="s">
        <v>1072</v>
      </c>
      <c r="NAD77" s="277" t="s">
        <v>1072</v>
      </c>
      <c r="NAE77" s="277" t="s">
        <v>1072</v>
      </c>
      <c r="NAF77" s="277" t="s">
        <v>1072</v>
      </c>
      <c r="NAG77" s="277" t="s">
        <v>1072</v>
      </c>
      <c r="NAH77" s="277" t="s">
        <v>1072</v>
      </c>
      <c r="NAI77" s="277" t="s">
        <v>1072</v>
      </c>
      <c r="NAJ77" s="277" t="s">
        <v>1072</v>
      </c>
      <c r="NAK77" s="277" t="s">
        <v>1072</v>
      </c>
      <c r="NAL77" s="277" t="s">
        <v>1072</v>
      </c>
      <c r="NAM77" s="277" t="s">
        <v>1072</v>
      </c>
      <c r="NAN77" s="277" t="s">
        <v>1072</v>
      </c>
      <c r="NAO77" s="277" t="s">
        <v>1072</v>
      </c>
      <c r="NAP77" s="277" t="s">
        <v>1072</v>
      </c>
      <c r="NAQ77" s="277" t="s">
        <v>1072</v>
      </c>
      <c r="NAR77" s="277" t="s">
        <v>1072</v>
      </c>
      <c r="NAS77" s="277" t="s">
        <v>1072</v>
      </c>
      <c r="NAT77" s="277" t="s">
        <v>1072</v>
      </c>
      <c r="NAU77" s="277" t="s">
        <v>1072</v>
      </c>
      <c r="NAV77" s="277" t="s">
        <v>1072</v>
      </c>
      <c r="NAW77" s="277" t="s">
        <v>1072</v>
      </c>
      <c r="NAX77" s="277" t="s">
        <v>1072</v>
      </c>
      <c r="NAY77" s="277" t="s">
        <v>1072</v>
      </c>
      <c r="NAZ77" s="277" t="s">
        <v>1072</v>
      </c>
      <c r="NBA77" s="277" t="s">
        <v>1072</v>
      </c>
      <c r="NBB77" s="277" t="s">
        <v>1072</v>
      </c>
      <c r="NBC77" s="277" t="s">
        <v>1072</v>
      </c>
      <c r="NBD77" s="277" t="s">
        <v>1072</v>
      </c>
      <c r="NBE77" s="277" t="s">
        <v>1072</v>
      </c>
      <c r="NBF77" s="277" t="s">
        <v>1072</v>
      </c>
      <c r="NBG77" s="277" t="s">
        <v>1072</v>
      </c>
      <c r="NBH77" s="277" t="s">
        <v>1072</v>
      </c>
      <c r="NBI77" s="277" t="s">
        <v>1072</v>
      </c>
      <c r="NBJ77" s="277" t="s">
        <v>1072</v>
      </c>
      <c r="NBK77" s="277" t="s">
        <v>1072</v>
      </c>
      <c r="NBL77" s="277" t="s">
        <v>1072</v>
      </c>
      <c r="NBM77" s="277" t="s">
        <v>1072</v>
      </c>
      <c r="NBN77" s="277" t="s">
        <v>1072</v>
      </c>
      <c r="NBO77" s="277" t="s">
        <v>1072</v>
      </c>
      <c r="NBP77" s="277" t="s">
        <v>1072</v>
      </c>
      <c r="NBQ77" s="277" t="s">
        <v>1072</v>
      </c>
      <c r="NBR77" s="277" t="s">
        <v>1072</v>
      </c>
      <c r="NBS77" s="277" t="s">
        <v>1072</v>
      </c>
      <c r="NBT77" s="277" t="s">
        <v>1072</v>
      </c>
      <c r="NBU77" s="277" t="s">
        <v>1072</v>
      </c>
      <c r="NBV77" s="277" t="s">
        <v>1072</v>
      </c>
      <c r="NBW77" s="277" t="s">
        <v>1072</v>
      </c>
      <c r="NBX77" s="277" t="s">
        <v>1072</v>
      </c>
      <c r="NBY77" s="277" t="s">
        <v>1072</v>
      </c>
      <c r="NBZ77" s="277" t="s">
        <v>1072</v>
      </c>
      <c r="NCA77" s="277" t="s">
        <v>1072</v>
      </c>
      <c r="NCB77" s="277" t="s">
        <v>1072</v>
      </c>
      <c r="NCC77" s="277" t="s">
        <v>1072</v>
      </c>
      <c r="NCD77" s="277" t="s">
        <v>1072</v>
      </c>
      <c r="NCE77" s="277" t="s">
        <v>1072</v>
      </c>
      <c r="NCF77" s="277" t="s">
        <v>1072</v>
      </c>
      <c r="NCG77" s="277" t="s">
        <v>1072</v>
      </c>
      <c r="NCH77" s="277" t="s">
        <v>1072</v>
      </c>
      <c r="NCI77" s="277" t="s">
        <v>1072</v>
      </c>
      <c r="NCJ77" s="277" t="s">
        <v>1072</v>
      </c>
      <c r="NCK77" s="277" t="s">
        <v>1072</v>
      </c>
      <c r="NCL77" s="277" t="s">
        <v>1072</v>
      </c>
      <c r="NCM77" s="277" t="s">
        <v>1072</v>
      </c>
      <c r="NCN77" s="277" t="s">
        <v>1072</v>
      </c>
      <c r="NCO77" s="277" t="s">
        <v>1072</v>
      </c>
      <c r="NCP77" s="277" t="s">
        <v>1072</v>
      </c>
      <c r="NCQ77" s="277" t="s">
        <v>1072</v>
      </c>
      <c r="NCR77" s="277" t="s">
        <v>1072</v>
      </c>
      <c r="NCS77" s="277" t="s">
        <v>1072</v>
      </c>
      <c r="NCT77" s="277" t="s">
        <v>1072</v>
      </c>
      <c r="NCU77" s="277" t="s">
        <v>1072</v>
      </c>
      <c r="NCV77" s="277" t="s">
        <v>1072</v>
      </c>
      <c r="NCW77" s="277" t="s">
        <v>1072</v>
      </c>
      <c r="NCX77" s="277" t="s">
        <v>1072</v>
      </c>
      <c r="NCY77" s="277" t="s">
        <v>1072</v>
      </c>
      <c r="NCZ77" s="277" t="s">
        <v>1072</v>
      </c>
      <c r="NDA77" s="277" t="s">
        <v>1072</v>
      </c>
      <c r="NDB77" s="277" t="s">
        <v>1072</v>
      </c>
      <c r="NDC77" s="277" t="s">
        <v>1072</v>
      </c>
      <c r="NDD77" s="277" t="s">
        <v>1072</v>
      </c>
      <c r="NDE77" s="277" t="s">
        <v>1072</v>
      </c>
      <c r="NDF77" s="277" t="s">
        <v>1072</v>
      </c>
      <c r="NDG77" s="277" t="s">
        <v>1072</v>
      </c>
      <c r="NDH77" s="277" t="s">
        <v>1072</v>
      </c>
      <c r="NDI77" s="277" t="s">
        <v>1072</v>
      </c>
      <c r="NDJ77" s="277" t="s">
        <v>1072</v>
      </c>
      <c r="NDK77" s="277" t="s">
        <v>1072</v>
      </c>
      <c r="NDL77" s="277" t="s">
        <v>1072</v>
      </c>
      <c r="NDM77" s="277" t="s">
        <v>1072</v>
      </c>
      <c r="NDN77" s="277" t="s">
        <v>1072</v>
      </c>
      <c r="NDO77" s="277" t="s">
        <v>1072</v>
      </c>
      <c r="NDP77" s="277" t="s">
        <v>1072</v>
      </c>
      <c r="NDQ77" s="277" t="s">
        <v>1072</v>
      </c>
      <c r="NDR77" s="277" t="s">
        <v>1072</v>
      </c>
      <c r="NDS77" s="277" t="s">
        <v>1072</v>
      </c>
      <c r="NDT77" s="277" t="s">
        <v>1072</v>
      </c>
      <c r="NDU77" s="277" t="s">
        <v>1072</v>
      </c>
      <c r="NDV77" s="277" t="s">
        <v>1072</v>
      </c>
      <c r="NDW77" s="277" t="s">
        <v>1072</v>
      </c>
      <c r="NDX77" s="277" t="s">
        <v>1072</v>
      </c>
      <c r="NDY77" s="277" t="s">
        <v>1072</v>
      </c>
      <c r="NDZ77" s="277" t="s">
        <v>1072</v>
      </c>
      <c r="NEA77" s="277" t="s">
        <v>1072</v>
      </c>
      <c r="NEB77" s="277" t="s">
        <v>1072</v>
      </c>
      <c r="NEC77" s="277" t="s">
        <v>1072</v>
      </c>
      <c r="NED77" s="277" t="s">
        <v>1072</v>
      </c>
      <c r="NEE77" s="277" t="s">
        <v>1072</v>
      </c>
      <c r="NEF77" s="277" t="s">
        <v>1072</v>
      </c>
      <c r="NEG77" s="277" t="s">
        <v>1072</v>
      </c>
      <c r="NEH77" s="277" t="s">
        <v>1072</v>
      </c>
      <c r="NEI77" s="277" t="s">
        <v>1072</v>
      </c>
      <c r="NEJ77" s="277" t="s">
        <v>1072</v>
      </c>
      <c r="NEK77" s="277" t="s">
        <v>1072</v>
      </c>
      <c r="NEL77" s="277" t="s">
        <v>1072</v>
      </c>
      <c r="NEM77" s="277" t="s">
        <v>1072</v>
      </c>
      <c r="NEN77" s="277" t="s">
        <v>1072</v>
      </c>
      <c r="NEO77" s="277" t="s">
        <v>1072</v>
      </c>
      <c r="NEP77" s="277" t="s">
        <v>1072</v>
      </c>
      <c r="NEQ77" s="277" t="s">
        <v>1072</v>
      </c>
      <c r="NER77" s="277" t="s">
        <v>1072</v>
      </c>
      <c r="NES77" s="277" t="s">
        <v>1072</v>
      </c>
      <c r="NET77" s="277" t="s">
        <v>1072</v>
      </c>
      <c r="NEU77" s="277" t="s">
        <v>1072</v>
      </c>
      <c r="NEV77" s="277" t="s">
        <v>1072</v>
      </c>
      <c r="NEW77" s="277" t="s">
        <v>1072</v>
      </c>
      <c r="NEX77" s="277" t="s">
        <v>1072</v>
      </c>
      <c r="NEY77" s="277" t="s">
        <v>1072</v>
      </c>
      <c r="NEZ77" s="277" t="s">
        <v>1072</v>
      </c>
      <c r="NFA77" s="277" t="s">
        <v>1072</v>
      </c>
      <c r="NFB77" s="277" t="s">
        <v>1072</v>
      </c>
      <c r="NFC77" s="277" t="s">
        <v>1072</v>
      </c>
      <c r="NFD77" s="277" t="s">
        <v>1072</v>
      </c>
      <c r="NFE77" s="277" t="s">
        <v>1072</v>
      </c>
      <c r="NFF77" s="277" t="s">
        <v>1072</v>
      </c>
      <c r="NFG77" s="277" t="s">
        <v>1072</v>
      </c>
      <c r="NFH77" s="277" t="s">
        <v>1072</v>
      </c>
      <c r="NFI77" s="277" t="s">
        <v>1072</v>
      </c>
      <c r="NFJ77" s="277" t="s">
        <v>1072</v>
      </c>
      <c r="NFK77" s="277" t="s">
        <v>1072</v>
      </c>
      <c r="NFL77" s="277" t="s">
        <v>1072</v>
      </c>
      <c r="NFM77" s="277" t="s">
        <v>1072</v>
      </c>
      <c r="NFN77" s="277" t="s">
        <v>1072</v>
      </c>
      <c r="NFO77" s="277" t="s">
        <v>1072</v>
      </c>
      <c r="NFP77" s="277" t="s">
        <v>1072</v>
      </c>
      <c r="NFQ77" s="277" t="s">
        <v>1072</v>
      </c>
      <c r="NFR77" s="277" t="s">
        <v>1072</v>
      </c>
      <c r="NFS77" s="277" t="s">
        <v>1072</v>
      </c>
      <c r="NFT77" s="277" t="s">
        <v>1072</v>
      </c>
      <c r="NFU77" s="277" t="s">
        <v>1072</v>
      </c>
      <c r="NFV77" s="277" t="s">
        <v>1072</v>
      </c>
      <c r="NFW77" s="277" t="s">
        <v>1072</v>
      </c>
      <c r="NFX77" s="277" t="s">
        <v>1072</v>
      </c>
      <c r="NFY77" s="277" t="s">
        <v>1072</v>
      </c>
      <c r="NFZ77" s="277" t="s">
        <v>1072</v>
      </c>
      <c r="NGA77" s="277" t="s">
        <v>1072</v>
      </c>
      <c r="NGB77" s="277" t="s">
        <v>1072</v>
      </c>
      <c r="NGC77" s="277" t="s">
        <v>1072</v>
      </c>
      <c r="NGD77" s="277" t="s">
        <v>1072</v>
      </c>
      <c r="NGE77" s="277" t="s">
        <v>1072</v>
      </c>
      <c r="NGF77" s="277" t="s">
        <v>1072</v>
      </c>
      <c r="NGG77" s="277" t="s">
        <v>1072</v>
      </c>
      <c r="NGH77" s="277" t="s">
        <v>1072</v>
      </c>
      <c r="NGI77" s="277" t="s">
        <v>1072</v>
      </c>
      <c r="NGJ77" s="277" t="s">
        <v>1072</v>
      </c>
      <c r="NGK77" s="277" t="s">
        <v>1072</v>
      </c>
      <c r="NGL77" s="277" t="s">
        <v>1072</v>
      </c>
      <c r="NGM77" s="277" t="s">
        <v>1072</v>
      </c>
      <c r="NGN77" s="277" t="s">
        <v>1072</v>
      </c>
      <c r="NGO77" s="277" t="s">
        <v>1072</v>
      </c>
      <c r="NGP77" s="277" t="s">
        <v>1072</v>
      </c>
      <c r="NGQ77" s="277" t="s">
        <v>1072</v>
      </c>
      <c r="NGR77" s="277" t="s">
        <v>1072</v>
      </c>
      <c r="NGS77" s="277" t="s">
        <v>1072</v>
      </c>
      <c r="NGT77" s="277" t="s">
        <v>1072</v>
      </c>
      <c r="NGU77" s="277" t="s">
        <v>1072</v>
      </c>
      <c r="NGV77" s="277" t="s">
        <v>1072</v>
      </c>
      <c r="NGW77" s="277" t="s">
        <v>1072</v>
      </c>
      <c r="NGX77" s="277" t="s">
        <v>1072</v>
      </c>
      <c r="NGY77" s="277" t="s">
        <v>1072</v>
      </c>
      <c r="NGZ77" s="277" t="s">
        <v>1072</v>
      </c>
      <c r="NHA77" s="277" t="s">
        <v>1072</v>
      </c>
      <c r="NHB77" s="277" t="s">
        <v>1072</v>
      </c>
      <c r="NHC77" s="277" t="s">
        <v>1072</v>
      </c>
      <c r="NHD77" s="277" t="s">
        <v>1072</v>
      </c>
      <c r="NHE77" s="277" t="s">
        <v>1072</v>
      </c>
      <c r="NHF77" s="277" t="s">
        <v>1072</v>
      </c>
      <c r="NHG77" s="277" t="s">
        <v>1072</v>
      </c>
      <c r="NHH77" s="277" t="s">
        <v>1072</v>
      </c>
      <c r="NHI77" s="277" t="s">
        <v>1072</v>
      </c>
      <c r="NHJ77" s="277" t="s">
        <v>1072</v>
      </c>
      <c r="NHK77" s="277" t="s">
        <v>1072</v>
      </c>
      <c r="NHL77" s="277" t="s">
        <v>1072</v>
      </c>
      <c r="NHM77" s="277" t="s">
        <v>1072</v>
      </c>
      <c r="NHN77" s="277" t="s">
        <v>1072</v>
      </c>
      <c r="NHO77" s="277" t="s">
        <v>1072</v>
      </c>
      <c r="NHP77" s="277" t="s">
        <v>1072</v>
      </c>
      <c r="NHQ77" s="277" t="s">
        <v>1072</v>
      </c>
      <c r="NHR77" s="277" t="s">
        <v>1072</v>
      </c>
      <c r="NHS77" s="277" t="s">
        <v>1072</v>
      </c>
      <c r="NHT77" s="277" t="s">
        <v>1072</v>
      </c>
      <c r="NHU77" s="277" t="s">
        <v>1072</v>
      </c>
      <c r="NHV77" s="277" t="s">
        <v>1072</v>
      </c>
      <c r="NHW77" s="277" t="s">
        <v>1072</v>
      </c>
      <c r="NHX77" s="277" t="s">
        <v>1072</v>
      </c>
      <c r="NHY77" s="277" t="s">
        <v>1072</v>
      </c>
      <c r="NHZ77" s="277" t="s">
        <v>1072</v>
      </c>
      <c r="NIA77" s="277" t="s">
        <v>1072</v>
      </c>
      <c r="NIB77" s="277" t="s">
        <v>1072</v>
      </c>
      <c r="NIC77" s="277" t="s">
        <v>1072</v>
      </c>
      <c r="NID77" s="277" t="s">
        <v>1072</v>
      </c>
      <c r="NIE77" s="277" t="s">
        <v>1072</v>
      </c>
      <c r="NIF77" s="277" t="s">
        <v>1072</v>
      </c>
      <c r="NIG77" s="277" t="s">
        <v>1072</v>
      </c>
      <c r="NIH77" s="277" t="s">
        <v>1072</v>
      </c>
      <c r="NII77" s="277" t="s">
        <v>1072</v>
      </c>
      <c r="NIJ77" s="277" t="s">
        <v>1072</v>
      </c>
      <c r="NIK77" s="277" t="s">
        <v>1072</v>
      </c>
      <c r="NIL77" s="277" t="s">
        <v>1072</v>
      </c>
      <c r="NIM77" s="277" t="s">
        <v>1072</v>
      </c>
      <c r="NIN77" s="277" t="s">
        <v>1072</v>
      </c>
      <c r="NIO77" s="277" t="s">
        <v>1072</v>
      </c>
      <c r="NIP77" s="277" t="s">
        <v>1072</v>
      </c>
      <c r="NIQ77" s="277" t="s">
        <v>1072</v>
      </c>
      <c r="NIR77" s="277" t="s">
        <v>1072</v>
      </c>
      <c r="NIS77" s="277" t="s">
        <v>1072</v>
      </c>
      <c r="NIT77" s="277" t="s">
        <v>1072</v>
      </c>
      <c r="NIU77" s="277" t="s">
        <v>1072</v>
      </c>
      <c r="NIV77" s="277" t="s">
        <v>1072</v>
      </c>
      <c r="NIW77" s="277" t="s">
        <v>1072</v>
      </c>
      <c r="NIX77" s="277" t="s">
        <v>1072</v>
      </c>
      <c r="NIY77" s="277" t="s">
        <v>1072</v>
      </c>
      <c r="NIZ77" s="277" t="s">
        <v>1072</v>
      </c>
      <c r="NJA77" s="277" t="s">
        <v>1072</v>
      </c>
      <c r="NJB77" s="277" t="s">
        <v>1072</v>
      </c>
      <c r="NJC77" s="277" t="s">
        <v>1072</v>
      </c>
      <c r="NJD77" s="277" t="s">
        <v>1072</v>
      </c>
      <c r="NJE77" s="277" t="s">
        <v>1072</v>
      </c>
      <c r="NJF77" s="277" t="s">
        <v>1072</v>
      </c>
      <c r="NJG77" s="277" t="s">
        <v>1072</v>
      </c>
      <c r="NJH77" s="277" t="s">
        <v>1072</v>
      </c>
      <c r="NJI77" s="277" t="s">
        <v>1072</v>
      </c>
      <c r="NJJ77" s="277" t="s">
        <v>1072</v>
      </c>
      <c r="NJK77" s="277" t="s">
        <v>1072</v>
      </c>
      <c r="NJL77" s="277" t="s">
        <v>1072</v>
      </c>
      <c r="NJM77" s="277" t="s">
        <v>1072</v>
      </c>
      <c r="NJN77" s="277" t="s">
        <v>1072</v>
      </c>
      <c r="NJO77" s="277" t="s">
        <v>1072</v>
      </c>
      <c r="NJP77" s="277" t="s">
        <v>1072</v>
      </c>
      <c r="NJQ77" s="277" t="s">
        <v>1072</v>
      </c>
      <c r="NJR77" s="277" t="s">
        <v>1072</v>
      </c>
      <c r="NJS77" s="277" t="s">
        <v>1072</v>
      </c>
      <c r="NJT77" s="277" t="s">
        <v>1072</v>
      </c>
      <c r="NJU77" s="277" t="s">
        <v>1072</v>
      </c>
      <c r="NJV77" s="277" t="s">
        <v>1072</v>
      </c>
      <c r="NJW77" s="277" t="s">
        <v>1072</v>
      </c>
      <c r="NJX77" s="277" t="s">
        <v>1072</v>
      </c>
      <c r="NJY77" s="277" t="s">
        <v>1072</v>
      </c>
      <c r="NJZ77" s="277" t="s">
        <v>1072</v>
      </c>
      <c r="NKA77" s="277" t="s">
        <v>1072</v>
      </c>
      <c r="NKB77" s="277" t="s">
        <v>1072</v>
      </c>
      <c r="NKC77" s="277" t="s">
        <v>1072</v>
      </c>
      <c r="NKD77" s="277" t="s">
        <v>1072</v>
      </c>
      <c r="NKE77" s="277" t="s">
        <v>1072</v>
      </c>
      <c r="NKF77" s="277" t="s">
        <v>1072</v>
      </c>
      <c r="NKG77" s="277" t="s">
        <v>1072</v>
      </c>
      <c r="NKH77" s="277" t="s">
        <v>1072</v>
      </c>
      <c r="NKI77" s="277" t="s">
        <v>1072</v>
      </c>
      <c r="NKJ77" s="277" t="s">
        <v>1072</v>
      </c>
      <c r="NKK77" s="277" t="s">
        <v>1072</v>
      </c>
      <c r="NKL77" s="277" t="s">
        <v>1072</v>
      </c>
      <c r="NKM77" s="277" t="s">
        <v>1072</v>
      </c>
      <c r="NKN77" s="277" t="s">
        <v>1072</v>
      </c>
      <c r="NKO77" s="277" t="s">
        <v>1072</v>
      </c>
      <c r="NKP77" s="277" t="s">
        <v>1072</v>
      </c>
      <c r="NKQ77" s="277" t="s">
        <v>1072</v>
      </c>
      <c r="NKR77" s="277" t="s">
        <v>1072</v>
      </c>
      <c r="NKS77" s="277" t="s">
        <v>1072</v>
      </c>
      <c r="NKT77" s="277" t="s">
        <v>1072</v>
      </c>
      <c r="NKU77" s="277" t="s">
        <v>1072</v>
      </c>
      <c r="NKV77" s="277" t="s">
        <v>1072</v>
      </c>
      <c r="NKW77" s="277" t="s">
        <v>1072</v>
      </c>
      <c r="NKX77" s="277" t="s">
        <v>1072</v>
      </c>
      <c r="NKY77" s="277" t="s">
        <v>1072</v>
      </c>
      <c r="NKZ77" s="277" t="s">
        <v>1072</v>
      </c>
      <c r="NLA77" s="277" t="s">
        <v>1072</v>
      </c>
      <c r="NLB77" s="277" t="s">
        <v>1072</v>
      </c>
      <c r="NLC77" s="277" t="s">
        <v>1072</v>
      </c>
      <c r="NLD77" s="277" t="s">
        <v>1072</v>
      </c>
      <c r="NLE77" s="277" t="s">
        <v>1072</v>
      </c>
      <c r="NLF77" s="277" t="s">
        <v>1072</v>
      </c>
      <c r="NLG77" s="277" t="s">
        <v>1072</v>
      </c>
      <c r="NLH77" s="277" t="s">
        <v>1072</v>
      </c>
      <c r="NLI77" s="277" t="s">
        <v>1072</v>
      </c>
      <c r="NLJ77" s="277" t="s">
        <v>1072</v>
      </c>
      <c r="NLK77" s="277" t="s">
        <v>1072</v>
      </c>
      <c r="NLL77" s="277" t="s">
        <v>1072</v>
      </c>
      <c r="NLM77" s="277" t="s">
        <v>1072</v>
      </c>
      <c r="NLN77" s="277" t="s">
        <v>1072</v>
      </c>
      <c r="NLO77" s="277" t="s">
        <v>1072</v>
      </c>
      <c r="NLP77" s="277" t="s">
        <v>1072</v>
      </c>
      <c r="NLQ77" s="277" t="s">
        <v>1072</v>
      </c>
      <c r="NLR77" s="277" t="s">
        <v>1072</v>
      </c>
      <c r="NLS77" s="277" t="s">
        <v>1072</v>
      </c>
      <c r="NLT77" s="277" t="s">
        <v>1072</v>
      </c>
      <c r="NLU77" s="277" t="s">
        <v>1072</v>
      </c>
      <c r="NLV77" s="277" t="s">
        <v>1072</v>
      </c>
      <c r="NLW77" s="277" t="s">
        <v>1072</v>
      </c>
      <c r="NLX77" s="277" t="s">
        <v>1072</v>
      </c>
      <c r="NLY77" s="277" t="s">
        <v>1072</v>
      </c>
      <c r="NLZ77" s="277" t="s">
        <v>1072</v>
      </c>
      <c r="NMA77" s="277" t="s">
        <v>1072</v>
      </c>
      <c r="NMB77" s="277" t="s">
        <v>1072</v>
      </c>
      <c r="NMC77" s="277" t="s">
        <v>1072</v>
      </c>
      <c r="NMD77" s="277" t="s">
        <v>1072</v>
      </c>
      <c r="NME77" s="277" t="s">
        <v>1072</v>
      </c>
      <c r="NMF77" s="277" t="s">
        <v>1072</v>
      </c>
      <c r="NMG77" s="277" t="s">
        <v>1072</v>
      </c>
      <c r="NMH77" s="277" t="s">
        <v>1072</v>
      </c>
      <c r="NMI77" s="277" t="s">
        <v>1072</v>
      </c>
      <c r="NMJ77" s="277" t="s">
        <v>1072</v>
      </c>
      <c r="NMK77" s="277" t="s">
        <v>1072</v>
      </c>
      <c r="NML77" s="277" t="s">
        <v>1072</v>
      </c>
      <c r="NMM77" s="277" t="s">
        <v>1072</v>
      </c>
      <c r="NMN77" s="277" t="s">
        <v>1072</v>
      </c>
      <c r="NMO77" s="277" t="s">
        <v>1072</v>
      </c>
      <c r="NMP77" s="277" t="s">
        <v>1072</v>
      </c>
      <c r="NMQ77" s="277" t="s">
        <v>1072</v>
      </c>
      <c r="NMR77" s="277" t="s">
        <v>1072</v>
      </c>
      <c r="NMS77" s="277" t="s">
        <v>1072</v>
      </c>
      <c r="NMT77" s="277" t="s">
        <v>1072</v>
      </c>
      <c r="NMU77" s="277" t="s">
        <v>1072</v>
      </c>
      <c r="NMV77" s="277" t="s">
        <v>1072</v>
      </c>
      <c r="NMW77" s="277" t="s">
        <v>1072</v>
      </c>
      <c r="NMX77" s="277" t="s">
        <v>1072</v>
      </c>
      <c r="NMY77" s="277" t="s">
        <v>1072</v>
      </c>
      <c r="NMZ77" s="277" t="s">
        <v>1072</v>
      </c>
      <c r="NNA77" s="277" t="s">
        <v>1072</v>
      </c>
      <c r="NNB77" s="277" t="s">
        <v>1072</v>
      </c>
      <c r="NNC77" s="277" t="s">
        <v>1072</v>
      </c>
      <c r="NND77" s="277" t="s">
        <v>1072</v>
      </c>
      <c r="NNE77" s="277" t="s">
        <v>1072</v>
      </c>
      <c r="NNF77" s="277" t="s">
        <v>1072</v>
      </c>
      <c r="NNG77" s="277" t="s">
        <v>1072</v>
      </c>
      <c r="NNH77" s="277" t="s">
        <v>1072</v>
      </c>
      <c r="NNI77" s="277" t="s">
        <v>1072</v>
      </c>
      <c r="NNJ77" s="277" t="s">
        <v>1072</v>
      </c>
      <c r="NNK77" s="277" t="s">
        <v>1072</v>
      </c>
      <c r="NNL77" s="277" t="s">
        <v>1072</v>
      </c>
      <c r="NNM77" s="277" t="s">
        <v>1072</v>
      </c>
      <c r="NNN77" s="277" t="s">
        <v>1072</v>
      </c>
      <c r="NNO77" s="277" t="s">
        <v>1072</v>
      </c>
      <c r="NNP77" s="277" t="s">
        <v>1072</v>
      </c>
      <c r="NNQ77" s="277" t="s">
        <v>1072</v>
      </c>
      <c r="NNR77" s="277" t="s">
        <v>1072</v>
      </c>
      <c r="NNS77" s="277" t="s">
        <v>1072</v>
      </c>
      <c r="NNT77" s="277" t="s">
        <v>1072</v>
      </c>
      <c r="NNU77" s="277" t="s">
        <v>1072</v>
      </c>
      <c r="NNV77" s="277" t="s">
        <v>1072</v>
      </c>
      <c r="NNW77" s="277" t="s">
        <v>1072</v>
      </c>
      <c r="NNX77" s="277" t="s">
        <v>1072</v>
      </c>
      <c r="NNY77" s="277" t="s">
        <v>1072</v>
      </c>
      <c r="NNZ77" s="277" t="s">
        <v>1072</v>
      </c>
      <c r="NOA77" s="277" t="s">
        <v>1072</v>
      </c>
      <c r="NOB77" s="277" t="s">
        <v>1072</v>
      </c>
      <c r="NOC77" s="277" t="s">
        <v>1072</v>
      </c>
      <c r="NOD77" s="277" t="s">
        <v>1072</v>
      </c>
      <c r="NOE77" s="277" t="s">
        <v>1072</v>
      </c>
      <c r="NOF77" s="277" t="s">
        <v>1072</v>
      </c>
      <c r="NOG77" s="277" t="s">
        <v>1072</v>
      </c>
      <c r="NOH77" s="277" t="s">
        <v>1072</v>
      </c>
      <c r="NOI77" s="277" t="s">
        <v>1072</v>
      </c>
      <c r="NOJ77" s="277" t="s">
        <v>1072</v>
      </c>
      <c r="NOK77" s="277" t="s">
        <v>1072</v>
      </c>
      <c r="NOL77" s="277" t="s">
        <v>1072</v>
      </c>
      <c r="NOM77" s="277" t="s">
        <v>1072</v>
      </c>
      <c r="NON77" s="277" t="s">
        <v>1072</v>
      </c>
      <c r="NOO77" s="277" t="s">
        <v>1072</v>
      </c>
      <c r="NOP77" s="277" t="s">
        <v>1072</v>
      </c>
      <c r="NOQ77" s="277" t="s">
        <v>1072</v>
      </c>
      <c r="NOR77" s="277" t="s">
        <v>1072</v>
      </c>
      <c r="NOS77" s="277" t="s">
        <v>1072</v>
      </c>
      <c r="NOT77" s="277" t="s">
        <v>1072</v>
      </c>
      <c r="NOU77" s="277" t="s">
        <v>1072</v>
      </c>
      <c r="NOV77" s="277" t="s">
        <v>1072</v>
      </c>
      <c r="NOW77" s="277" t="s">
        <v>1072</v>
      </c>
      <c r="NOX77" s="277" t="s">
        <v>1072</v>
      </c>
      <c r="NOY77" s="277" t="s">
        <v>1072</v>
      </c>
      <c r="NOZ77" s="277" t="s">
        <v>1072</v>
      </c>
      <c r="NPA77" s="277" t="s">
        <v>1072</v>
      </c>
      <c r="NPB77" s="277" t="s">
        <v>1072</v>
      </c>
      <c r="NPC77" s="277" t="s">
        <v>1072</v>
      </c>
      <c r="NPD77" s="277" t="s">
        <v>1072</v>
      </c>
      <c r="NPE77" s="277" t="s">
        <v>1072</v>
      </c>
      <c r="NPF77" s="277" t="s">
        <v>1072</v>
      </c>
      <c r="NPG77" s="277" t="s">
        <v>1072</v>
      </c>
      <c r="NPH77" s="277" t="s">
        <v>1072</v>
      </c>
      <c r="NPI77" s="277" t="s">
        <v>1072</v>
      </c>
      <c r="NPJ77" s="277" t="s">
        <v>1072</v>
      </c>
      <c r="NPK77" s="277" t="s">
        <v>1072</v>
      </c>
      <c r="NPL77" s="277" t="s">
        <v>1072</v>
      </c>
      <c r="NPM77" s="277" t="s">
        <v>1072</v>
      </c>
      <c r="NPN77" s="277" t="s">
        <v>1072</v>
      </c>
      <c r="NPO77" s="277" t="s">
        <v>1072</v>
      </c>
      <c r="NPP77" s="277" t="s">
        <v>1072</v>
      </c>
      <c r="NPQ77" s="277" t="s">
        <v>1072</v>
      </c>
      <c r="NPR77" s="277" t="s">
        <v>1072</v>
      </c>
      <c r="NPS77" s="277" t="s">
        <v>1072</v>
      </c>
      <c r="NPT77" s="277" t="s">
        <v>1072</v>
      </c>
      <c r="NPU77" s="277" t="s">
        <v>1072</v>
      </c>
      <c r="NPV77" s="277" t="s">
        <v>1072</v>
      </c>
      <c r="NPW77" s="277" t="s">
        <v>1072</v>
      </c>
      <c r="NPX77" s="277" t="s">
        <v>1072</v>
      </c>
      <c r="NPY77" s="277" t="s">
        <v>1072</v>
      </c>
      <c r="NPZ77" s="277" t="s">
        <v>1072</v>
      </c>
      <c r="NQA77" s="277" t="s">
        <v>1072</v>
      </c>
      <c r="NQB77" s="277" t="s">
        <v>1072</v>
      </c>
      <c r="NQC77" s="277" t="s">
        <v>1072</v>
      </c>
      <c r="NQD77" s="277" t="s">
        <v>1072</v>
      </c>
      <c r="NQE77" s="277" t="s">
        <v>1072</v>
      </c>
      <c r="NQF77" s="277" t="s">
        <v>1072</v>
      </c>
      <c r="NQG77" s="277" t="s">
        <v>1072</v>
      </c>
      <c r="NQH77" s="277" t="s">
        <v>1072</v>
      </c>
      <c r="NQI77" s="277" t="s">
        <v>1072</v>
      </c>
      <c r="NQJ77" s="277" t="s">
        <v>1072</v>
      </c>
      <c r="NQK77" s="277" t="s">
        <v>1072</v>
      </c>
      <c r="NQL77" s="277" t="s">
        <v>1072</v>
      </c>
      <c r="NQM77" s="277" t="s">
        <v>1072</v>
      </c>
      <c r="NQN77" s="277" t="s">
        <v>1072</v>
      </c>
      <c r="NQO77" s="277" t="s">
        <v>1072</v>
      </c>
      <c r="NQP77" s="277" t="s">
        <v>1072</v>
      </c>
      <c r="NQQ77" s="277" t="s">
        <v>1072</v>
      </c>
      <c r="NQR77" s="277" t="s">
        <v>1072</v>
      </c>
      <c r="NQS77" s="277" t="s">
        <v>1072</v>
      </c>
      <c r="NQT77" s="277" t="s">
        <v>1072</v>
      </c>
      <c r="NQU77" s="277" t="s">
        <v>1072</v>
      </c>
      <c r="NQV77" s="277" t="s">
        <v>1072</v>
      </c>
      <c r="NQW77" s="277" t="s">
        <v>1072</v>
      </c>
      <c r="NQX77" s="277" t="s">
        <v>1072</v>
      </c>
      <c r="NQY77" s="277" t="s">
        <v>1072</v>
      </c>
      <c r="NQZ77" s="277" t="s">
        <v>1072</v>
      </c>
      <c r="NRA77" s="277" t="s">
        <v>1072</v>
      </c>
      <c r="NRB77" s="277" t="s">
        <v>1072</v>
      </c>
      <c r="NRC77" s="277" t="s">
        <v>1072</v>
      </c>
      <c r="NRD77" s="277" t="s">
        <v>1072</v>
      </c>
      <c r="NRE77" s="277" t="s">
        <v>1072</v>
      </c>
      <c r="NRF77" s="277" t="s">
        <v>1072</v>
      </c>
      <c r="NRG77" s="277" t="s">
        <v>1072</v>
      </c>
      <c r="NRH77" s="277" t="s">
        <v>1072</v>
      </c>
      <c r="NRI77" s="277" t="s">
        <v>1072</v>
      </c>
      <c r="NRJ77" s="277" t="s">
        <v>1072</v>
      </c>
      <c r="NRK77" s="277" t="s">
        <v>1072</v>
      </c>
      <c r="NRL77" s="277" t="s">
        <v>1072</v>
      </c>
      <c r="NRM77" s="277" t="s">
        <v>1072</v>
      </c>
      <c r="NRN77" s="277" t="s">
        <v>1072</v>
      </c>
      <c r="NRO77" s="277" t="s">
        <v>1072</v>
      </c>
      <c r="NRP77" s="277" t="s">
        <v>1072</v>
      </c>
      <c r="NRQ77" s="277" t="s">
        <v>1072</v>
      </c>
      <c r="NRR77" s="277" t="s">
        <v>1072</v>
      </c>
      <c r="NRS77" s="277" t="s">
        <v>1072</v>
      </c>
      <c r="NRT77" s="277" t="s">
        <v>1072</v>
      </c>
      <c r="NRU77" s="277" t="s">
        <v>1072</v>
      </c>
      <c r="NRV77" s="277" t="s">
        <v>1072</v>
      </c>
      <c r="NRW77" s="277" t="s">
        <v>1072</v>
      </c>
      <c r="NRX77" s="277" t="s">
        <v>1072</v>
      </c>
      <c r="NRY77" s="277" t="s">
        <v>1072</v>
      </c>
      <c r="NRZ77" s="277" t="s">
        <v>1072</v>
      </c>
      <c r="NSA77" s="277" t="s">
        <v>1072</v>
      </c>
      <c r="NSB77" s="277" t="s">
        <v>1072</v>
      </c>
      <c r="NSC77" s="277" t="s">
        <v>1072</v>
      </c>
      <c r="NSD77" s="277" t="s">
        <v>1072</v>
      </c>
      <c r="NSE77" s="277" t="s">
        <v>1072</v>
      </c>
      <c r="NSF77" s="277" t="s">
        <v>1072</v>
      </c>
      <c r="NSG77" s="277" t="s">
        <v>1072</v>
      </c>
      <c r="NSH77" s="277" t="s">
        <v>1072</v>
      </c>
      <c r="NSI77" s="277" t="s">
        <v>1072</v>
      </c>
      <c r="NSJ77" s="277" t="s">
        <v>1072</v>
      </c>
      <c r="NSK77" s="277" t="s">
        <v>1072</v>
      </c>
      <c r="NSL77" s="277" t="s">
        <v>1072</v>
      </c>
      <c r="NSM77" s="277" t="s">
        <v>1072</v>
      </c>
      <c r="NSN77" s="277" t="s">
        <v>1072</v>
      </c>
      <c r="NSO77" s="277" t="s">
        <v>1072</v>
      </c>
      <c r="NSP77" s="277" t="s">
        <v>1072</v>
      </c>
      <c r="NSQ77" s="277" t="s">
        <v>1072</v>
      </c>
      <c r="NSR77" s="277" t="s">
        <v>1072</v>
      </c>
      <c r="NSS77" s="277" t="s">
        <v>1072</v>
      </c>
      <c r="NST77" s="277" t="s">
        <v>1072</v>
      </c>
      <c r="NSU77" s="277" t="s">
        <v>1072</v>
      </c>
      <c r="NSV77" s="277" t="s">
        <v>1072</v>
      </c>
      <c r="NSW77" s="277" t="s">
        <v>1072</v>
      </c>
      <c r="NSX77" s="277" t="s">
        <v>1072</v>
      </c>
      <c r="NSY77" s="277" t="s">
        <v>1072</v>
      </c>
      <c r="NSZ77" s="277" t="s">
        <v>1072</v>
      </c>
      <c r="NTA77" s="277" t="s">
        <v>1072</v>
      </c>
      <c r="NTB77" s="277" t="s">
        <v>1072</v>
      </c>
      <c r="NTC77" s="277" t="s">
        <v>1072</v>
      </c>
      <c r="NTD77" s="277" t="s">
        <v>1072</v>
      </c>
      <c r="NTE77" s="277" t="s">
        <v>1072</v>
      </c>
      <c r="NTF77" s="277" t="s">
        <v>1072</v>
      </c>
      <c r="NTG77" s="277" t="s">
        <v>1072</v>
      </c>
      <c r="NTH77" s="277" t="s">
        <v>1072</v>
      </c>
      <c r="NTI77" s="277" t="s">
        <v>1072</v>
      </c>
      <c r="NTJ77" s="277" t="s">
        <v>1072</v>
      </c>
      <c r="NTK77" s="277" t="s">
        <v>1072</v>
      </c>
      <c r="NTL77" s="277" t="s">
        <v>1072</v>
      </c>
      <c r="NTM77" s="277" t="s">
        <v>1072</v>
      </c>
      <c r="NTN77" s="277" t="s">
        <v>1072</v>
      </c>
      <c r="NTO77" s="277" t="s">
        <v>1072</v>
      </c>
      <c r="NTP77" s="277" t="s">
        <v>1072</v>
      </c>
      <c r="NTQ77" s="277" t="s">
        <v>1072</v>
      </c>
      <c r="NTR77" s="277" t="s">
        <v>1072</v>
      </c>
      <c r="NTS77" s="277" t="s">
        <v>1072</v>
      </c>
      <c r="NTT77" s="277" t="s">
        <v>1072</v>
      </c>
      <c r="NTU77" s="277" t="s">
        <v>1072</v>
      </c>
      <c r="NTV77" s="277" t="s">
        <v>1072</v>
      </c>
      <c r="NTW77" s="277" t="s">
        <v>1072</v>
      </c>
      <c r="NTX77" s="277" t="s">
        <v>1072</v>
      </c>
      <c r="NTY77" s="277" t="s">
        <v>1072</v>
      </c>
      <c r="NTZ77" s="277" t="s">
        <v>1072</v>
      </c>
      <c r="NUA77" s="277" t="s">
        <v>1072</v>
      </c>
      <c r="NUB77" s="277" t="s">
        <v>1072</v>
      </c>
      <c r="NUC77" s="277" t="s">
        <v>1072</v>
      </c>
      <c r="NUD77" s="277" t="s">
        <v>1072</v>
      </c>
      <c r="NUE77" s="277" t="s">
        <v>1072</v>
      </c>
      <c r="NUF77" s="277" t="s">
        <v>1072</v>
      </c>
      <c r="NUG77" s="277" t="s">
        <v>1072</v>
      </c>
      <c r="NUH77" s="277" t="s">
        <v>1072</v>
      </c>
      <c r="NUI77" s="277" t="s">
        <v>1072</v>
      </c>
      <c r="NUJ77" s="277" t="s">
        <v>1072</v>
      </c>
      <c r="NUK77" s="277" t="s">
        <v>1072</v>
      </c>
      <c r="NUL77" s="277" t="s">
        <v>1072</v>
      </c>
      <c r="NUM77" s="277" t="s">
        <v>1072</v>
      </c>
      <c r="NUN77" s="277" t="s">
        <v>1072</v>
      </c>
      <c r="NUO77" s="277" t="s">
        <v>1072</v>
      </c>
      <c r="NUP77" s="277" t="s">
        <v>1072</v>
      </c>
      <c r="NUQ77" s="277" t="s">
        <v>1072</v>
      </c>
      <c r="NUR77" s="277" t="s">
        <v>1072</v>
      </c>
      <c r="NUS77" s="277" t="s">
        <v>1072</v>
      </c>
      <c r="NUT77" s="277" t="s">
        <v>1072</v>
      </c>
      <c r="NUU77" s="277" t="s">
        <v>1072</v>
      </c>
      <c r="NUV77" s="277" t="s">
        <v>1072</v>
      </c>
      <c r="NUW77" s="277" t="s">
        <v>1072</v>
      </c>
      <c r="NUX77" s="277" t="s">
        <v>1072</v>
      </c>
      <c r="NUY77" s="277" t="s">
        <v>1072</v>
      </c>
      <c r="NUZ77" s="277" t="s">
        <v>1072</v>
      </c>
      <c r="NVA77" s="277" t="s">
        <v>1072</v>
      </c>
      <c r="NVB77" s="277" t="s">
        <v>1072</v>
      </c>
      <c r="NVC77" s="277" t="s">
        <v>1072</v>
      </c>
      <c r="NVD77" s="277" t="s">
        <v>1072</v>
      </c>
      <c r="NVE77" s="277" t="s">
        <v>1072</v>
      </c>
      <c r="NVF77" s="277" t="s">
        <v>1072</v>
      </c>
      <c r="NVG77" s="277" t="s">
        <v>1072</v>
      </c>
      <c r="NVH77" s="277" t="s">
        <v>1072</v>
      </c>
      <c r="NVI77" s="277" t="s">
        <v>1072</v>
      </c>
      <c r="NVJ77" s="277" t="s">
        <v>1072</v>
      </c>
      <c r="NVK77" s="277" t="s">
        <v>1072</v>
      </c>
      <c r="NVL77" s="277" t="s">
        <v>1072</v>
      </c>
      <c r="NVM77" s="277" t="s">
        <v>1072</v>
      </c>
      <c r="NVN77" s="277" t="s">
        <v>1072</v>
      </c>
      <c r="NVO77" s="277" t="s">
        <v>1072</v>
      </c>
      <c r="NVP77" s="277" t="s">
        <v>1072</v>
      </c>
      <c r="NVQ77" s="277" t="s">
        <v>1072</v>
      </c>
      <c r="NVR77" s="277" t="s">
        <v>1072</v>
      </c>
      <c r="NVS77" s="277" t="s">
        <v>1072</v>
      </c>
      <c r="NVT77" s="277" t="s">
        <v>1072</v>
      </c>
      <c r="NVU77" s="277" t="s">
        <v>1072</v>
      </c>
      <c r="NVV77" s="277" t="s">
        <v>1072</v>
      </c>
      <c r="NVW77" s="277" t="s">
        <v>1072</v>
      </c>
      <c r="NVX77" s="277" t="s">
        <v>1072</v>
      </c>
      <c r="NVY77" s="277" t="s">
        <v>1072</v>
      </c>
      <c r="NVZ77" s="277" t="s">
        <v>1072</v>
      </c>
      <c r="NWA77" s="277" t="s">
        <v>1072</v>
      </c>
      <c r="NWB77" s="277" t="s">
        <v>1072</v>
      </c>
      <c r="NWC77" s="277" t="s">
        <v>1072</v>
      </c>
      <c r="NWD77" s="277" t="s">
        <v>1072</v>
      </c>
      <c r="NWE77" s="277" t="s">
        <v>1072</v>
      </c>
      <c r="NWF77" s="277" t="s">
        <v>1072</v>
      </c>
      <c r="NWG77" s="277" t="s">
        <v>1072</v>
      </c>
      <c r="NWH77" s="277" t="s">
        <v>1072</v>
      </c>
      <c r="NWI77" s="277" t="s">
        <v>1072</v>
      </c>
      <c r="NWJ77" s="277" t="s">
        <v>1072</v>
      </c>
      <c r="NWK77" s="277" t="s">
        <v>1072</v>
      </c>
      <c r="NWL77" s="277" t="s">
        <v>1072</v>
      </c>
      <c r="NWM77" s="277" t="s">
        <v>1072</v>
      </c>
      <c r="NWN77" s="277" t="s">
        <v>1072</v>
      </c>
      <c r="NWO77" s="277" t="s">
        <v>1072</v>
      </c>
      <c r="NWP77" s="277" t="s">
        <v>1072</v>
      </c>
      <c r="NWQ77" s="277" t="s">
        <v>1072</v>
      </c>
      <c r="NWR77" s="277" t="s">
        <v>1072</v>
      </c>
      <c r="NWS77" s="277" t="s">
        <v>1072</v>
      </c>
      <c r="NWT77" s="277" t="s">
        <v>1072</v>
      </c>
      <c r="NWU77" s="277" t="s">
        <v>1072</v>
      </c>
      <c r="NWV77" s="277" t="s">
        <v>1072</v>
      </c>
      <c r="NWW77" s="277" t="s">
        <v>1072</v>
      </c>
      <c r="NWX77" s="277" t="s">
        <v>1072</v>
      </c>
      <c r="NWY77" s="277" t="s">
        <v>1072</v>
      </c>
      <c r="NWZ77" s="277" t="s">
        <v>1072</v>
      </c>
      <c r="NXA77" s="277" t="s">
        <v>1072</v>
      </c>
      <c r="NXB77" s="277" t="s">
        <v>1072</v>
      </c>
      <c r="NXC77" s="277" t="s">
        <v>1072</v>
      </c>
      <c r="NXD77" s="277" t="s">
        <v>1072</v>
      </c>
      <c r="NXE77" s="277" t="s">
        <v>1072</v>
      </c>
      <c r="NXF77" s="277" t="s">
        <v>1072</v>
      </c>
      <c r="NXG77" s="277" t="s">
        <v>1072</v>
      </c>
      <c r="NXH77" s="277" t="s">
        <v>1072</v>
      </c>
      <c r="NXI77" s="277" t="s">
        <v>1072</v>
      </c>
      <c r="NXJ77" s="277" t="s">
        <v>1072</v>
      </c>
      <c r="NXK77" s="277" t="s">
        <v>1072</v>
      </c>
      <c r="NXL77" s="277" t="s">
        <v>1072</v>
      </c>
      <c r="NXM77" s="277" t="s">
        <v>1072</v>
      </c>
      <c r="NXN77" s="277" t="s">
        <v>1072</v>
      </c>
      <c r="NXO77" s="277" t="s">
        <v>1072</v>
      </c>
      <c r="NXP77" s="277" t="s">
        <v>1072</v>
      </c>
      <c r="NXQ77" s="277" t="s">
        <v>1072</v>
      </c>
      <c r="NXR77" s="277" t="s">
        <v>1072</v>
      </c>
      <c r="NXS77" s="277" t="s">
        <v>1072</v>
      </c>
      <c r="NXT77" s="277" t="s">
        <v>1072</v>
      </c>
      <c r="NXU77" s="277" t="s">
        <v>1072</v>
      </c>
      <c r="NXV77" s="277" t="s">
        <v>1072</v>
      </c>
      <c r="NXW77" s="277" t="s">
        <v>1072</v>
      </c>
      <c r="NXX77" s="277" t="s">
        <v>1072</v>
      </c>
      <c r="NXY77" s="277" t="s">
        <v>1072</v>
      </c>
      <c r="NXZ77" s="277" t="s">
        <v>1072</v>
      </c>
      <c r="NYA77" s="277" t="s">
        <v>1072</v>
      </c>
      <c r="NYB77" s="277" t="s">
        <v>1072</v>
      </c>
      <c r="NYC77" s="277" t="s">
        <v>1072</v>
      </c>
      <c r="NYD77" s="277" t="s">
        <v>1072</v>
      </c>
      <c r="NYE77" s="277" t="s">
        <v>1072</v>
      </c>
      <c r="NYF77" s="277" t="s">
        <v>1072</v>
      </c>
      <c r="NYG77" s="277" t="s">
        <v>1072</v>
      </c>
      <c r="NYH77" s="277" t="s">
        <v>1072</v>
      </c>
      <c r="NYI77" s="277" t="s">
        <v>1072</v>
      </c>
      <c r="NYJ77" s="277" t="s">
        <v>1072</v>
      </c>
      <c r="NYK77" s="277" t="s">
        <v>1072</v>
      </c>
      <c r="NYL77" s="277" t="s">
        <v>1072</v>
      </c>
      <c r="NYM77" s="277" t="s">
        <v>1072</v>
      </c>
      <c r="NYN77" s="277" t="s">
        <v>1072</v>
      </c>
      <c r="NYO77" s="277" t="s">
        <v>1072</v>
      </c>
      <c r="NYP77" s="277" t="s">
        <v>1072</v>
      </c>
      <c r="NYQ77" s="277" t="s">
        <v>1072</v>
      </c>
      <c r="NYR77" s="277" t="s">
        <v>1072</v>
      </c>
      <c r="NYS77" s="277" t="s">
        <v>1072</v>
      </c>
      <c r="NYT77" s="277" t="s">
        <v>1072</v>
      </c>
      <c r="NYU77" s="277" t="s">
        <v>1072</v>
      </c>
      <c r="NYV77" s="277" t="s">
        <v>1072</v>
      </c>
      <c r="NYW77" s="277" t="s">
        <v>1072</v>
      </c>
      <c r="NYX77" s="277" t="s">
        <v>1072</v>
      </c>
      <c r="NYY77" s="277" t="s">
        <v>1072</v>
      </c>
      <c r="NYZ77" s="277" t="s">
        <v>1072</v>
      </c>
      <c r="NZA77" s="277" t="s">
        <v>1072</v>
      </c>
      <c r="NZB77" s="277" t="s">
        <v>1072</v>
      </c>
      <c r="NZC77" s="277" t="s">
        <v>1072</v>
      </c>
      <c r="NZD77" s="277" t="s">
        <v>1072</v>
      </c>
      <c r="NZE77" s="277" t="s">
        <v>1072</v>
      </c>
      <c r="NZF77" s="277" t="s">
        <v>1072</v>
      </c>
      <c r="NZG77" s="277" t="s">
        <v>1072</v>
      </c>
      <c r="NZH77" s="277" t="s">
        <v>1072</v>
      </c>
      <c r="NZI77" s="277" t="s">
        <v>1072</v>
      </c>
      <c r="NZJ77" s="277" t="s">
        <v>1072</v>
      </c>
      <c r="NZK77" s="277" t="s">
        <v>1072</v>
      </c>
      <c r="NZL77" s="277" t="s">
        <v>1072</v>
      </c>
      <c r="NZM77" s="277" t="s">
        <v>1072</v>
      </c>
      <c r="NZN77" s="277" t="s">
        <v>1072</v>
      </c>
      <c r="NZO77" s="277" t="s">
        <v>1072</v>
      </c>
      <c r="NZP77" s="277" t="s">
        <v>1072</v>
      </c>
      <c r="NZQ77" s="277" t="s">
        <v>1072</v>
      </c>
      <c r="NZR77" s="277" t="s">
        <v>1072</v>
      </c>
      <c r="NZS77" s="277" t="s">
        <v>1072</v>
      </c>
      <c r="NZT77" s="277" t="s">
        <v>1072</v>
      </c>
      <c r="NZU77" s="277" t="s">
        <v>1072</v>
      </c>
      <c r="NZV77" s="277" t="s">
        <v>1072</v>
      </c>
      <c r="NZW77" s="277" t="s">
        <v>1072</v>
      </c>
      <c r="NZX77" s="277" t="s">
        <v>1072</v>
      </c>
      <c r="NZY77" s="277" t="s">
        <v>1072</v>
      </c>
      <c r="NZZ77" s="277" t="s">
        <v>1072</v>
      </c>
      <c r="OAA77" s="277" t="s">
        <v>1072</v>
      </c>
      <c r="OAB77" s="277" t="s">
        <v>1072</v>
      </c>
      <c r="OAC77" s="277" t="s">
        <v>1072</v>
      </c>
      <c r="OAD77" s="277" t="s">
        <v>1072</v>
      </c>
      <c r="OAE77" s="277" t="s">
        <v>1072</v>
      </c>
      <c r="OAF77" s="277" t="s">
        <v>1072</v>
      </c>
      <c r="OAG77" s="277" t="s">
        <v>1072</v>
      </c>
      <c r="OAH77" s="277" t="s">
        <v>1072</v>
      </c>
      <c r="OAI77" s="277" t="s">
        <v>1072</v>
      </c>
      <c r="OAJ77" s="277" t="s">
        <v>1072</v>
      </c>
      <c r="OAK77" s="277" t="s">
        <v>1072</v>
      </c>
      <c r="OAL77" s="277" t="s">
        <v>1072</v>
      </c>
      <c r="OAM77" s="277" t="s">
        <v>1072</v>
      </c>
      <c r="OAN77" s="277" t="s">
        <v>1072</v>
      </c>
      <c r="OAO77" s="277" t="s">
        <v>1072</v>
      </c>
      <c r="OAP77" s="277" t="s">
        <v>1072</v>
      </c>
      <c r="OAQ77" s="277" t="s">
        <v>1072</v>
      </c>
      <c r="OAR77" s="277" t="s">
        <v>1072</v>
      </c>
      <c r="OAS77" s="277" t="s">
        <v>1072</v>
      </c>
      <c r="OAT77" s="277" t="s">
        <v>1072</v>
      </c>
      <c r="OAU77" s="277" t="s">
        <v>1072</v>
      </c>
      <c r="OAV77" s="277" t="s">
        <v>1072</v>
      </c>
      <c r="OAW77" s="277" t="s">
        <v>1072</v>
      </c>
      <c r="OAX77" s="277" t="s">
        <v>1072</v>
      </c>
      <c r="OAY77" s="277" t="s">
        <v>1072</v>
      </c>
      <c r="OAZ77" s="277" t="s">
        <v>1072</v>
      </c>
      <c r="OBA77" s="277" t="s">
        <v>1072</v>
      </c>
      <c r="OBB77" s="277" t="s">
        <v>1072</v>
      </c>
      <c r="OBC77" s="277" t="s">
        <v>1072</v>
      </c>
      <c r="OBD77" s="277" t="s">
        <v>1072</v>
      </c>
      <c r="OBE77" s="277" t="s">
        <v>1072</v>
      </c>
      <c r="OBF77" s="277" t="s">
        <v>1072</v>
      </c>
      <c r="OBG77" s="277" t="s">
        <v>1072</v>
      </c>
      <c r="OBH77" s="277" t="s">
        <v>1072</v>
      </c>
      <c r="OBI77" s="277" t="s">
        <v>1072</v>
      </c>
      <c r="OBJ77" s="277" t="s">
        <v>1072</v>
      </c>
      <c r="OBK77" s="277" t="s">
        <v>1072</v>
      </c>
      <c r="OBL77" s="277" t="s">
        <v>1072</v>
      </c>
      <c r="OBM77" s="277" t="s">
        <v>1072</v>
      </c>
      <c r="OBN77" s="277" t="s">
        <v>1072</v>
      </c>
      <c r="OBO77" s="277" t="s">
        <v>1072</v>
      </c>
      <c r="OBP77" s="277" t="s">
        <v>1072</v>
      </c>
      <c r="OBQ77" s="277" t="s">
        <v>1072</v>
      </c>
      <c r="OBR77" s="277" t="s">
        <v>1072</v>
      </c>
      <c r="OBS77" s="277" t="s">
        <v>1072</v>
      </c>
      <c r="OBT77" s="277" t="s">
        <v>1072</v>
      </c>
      <c r="OBU77" s="277" t="s">
        <v>1072</v>
      </c>
      <c r="OBV77" s="277" t="s">
        <v>1072</v>
      </c>
      <c r="OBW77" s="277" t="s">
        <v>1072</v>
      </c>
      <c r="OBX77" s="277" t="s">
        <v>1072</v>
      </c>
      <c r="OBY77" s="277" t="s">
        <v>1072</v>
      </c>
      <c r="OBZ77" s="277" t="s">
        <v>1072</v>
      </c>
      <c r="OCA77" s="277" t="s">
        <v>1072</v>
      </c>
      <c r="OCB77" s="277" t="s">
        <v>1072</v>
      </c>
      <c r="OCC77" s="277" t="s">
        <v>1072</v>
      </c>
      <c r="OCD77" s="277" t="s">
        <v>1072</v>
      </c>
      <c r="OCE77" s="277" t="s">
        <v>1072</v>
      </c>
      <c r="OCF77" s="277" t="s">
        <v>1072</v>
      </c>
      <c r="OCG77" s="277" t="s">
        <v>1072</v>
      </c>
      <c r="OCH77" s="277" t="s">
        <v>1072</v>
      </c>
      <c r="OCI77" s="277" t="s">
        <v>1072</v>
      </c>
      <c r="OCJ77" s="277" t="s">
        <v>1072</v>
      </c>
      <c r="OCK77" s="277" t="s">
        <v>1072</v>
      </c>
      <c r="OCL77" s="277" t="s">
        <v>1072</v>
      </c>
      <c r="OCM77" s="277" t="s">
        <v>1072</v>
      </c>
      <c r="OCN77" s="277" t="s">
        <v>1072</v>
      </c>
      <c r="OCO77" s="277" t="s">
        <v>1072</v>
      </c>
      <c r="OCP77" s="277" t="s">
        <v>1072</v>
      </c>
      <c r="OCQ77" s="277" t="s">
        <v>1072</v>
      </c>
      <c r="OCR77" s="277" t="s">
        <v>1072</v>
      </c>
      <c r="OCS77" s="277" t="s">
        <v>1072</v>
      </c>
      <c r="OCT77" s="277" t="s">
        <v>1072</v>
      </c>
      <c r="OCU77" s="277" t="s">
        <v>1072</v>
      </c>
      <c r="OCV77" s="277" t="s">
        <v>1072</v>
      </c>
      <c r="OCW77" s="277" t="s">
        <v>1072</v>
      </c>
      <c r="OCX77" s="277" t="s">
        <v>1072</v>
      </c>
      <c r="OCY77" s="277" t="s">
        <v>1072</v>
      </c>
      <c r="OCZ77" s="277" t="s">
        <v>1072</v>
      </c>
      <c r="ODA77" s="277" t="s">
        <v>1072</v>
      </c>
      <c r="ODB77" s="277" t="s">
        <v>1072</v>
      </c>
      <c r="ODC77" s="277" t="s">
        <v>1072</v>
      </c>
      <c r="ODD77" s="277" t="s">
        <v>1072</v>
      </c>
      <c r="ODE77" s="277" t="s">
        <v>1072</v>
      </c>
      <c r="ODF77" s="277" t="s">
        <v>1072</v>
      </c>
      <c r="ODG77" s="277" t="s">
        <v>1072</v>
      </c>
      <c r="ODH77" s="277" t="s">
        <v>1072</v>
      </c>
      <c r="ODI77" s="277" t="s">
        <v>1072</v>
      </c>
      <c r="ODJ77" s="277" t="s">
        <v>1072</v>
      </c>
      <c r="ODK77" s="277" t="s">
        <v>1072</v>
      </c>
      <c r="ODL77" s="277" t="s">
        <v>1072</v>
      </c>
      <c r="ODM77" s="277" t="s">
        <v>1072</v>
      </c>
      <c r="ODN77" s="277" t="s">
        <v>1072</v>
      </c>
      <c r="ODO77" s="277" t="s">
        <v>1072</v>
      </c>
      <c r="ODP77" s="277" t="s">
        <v>1072</v>
      </c>
      <c r="ODQ77" s="277" t="s">
        <v>1072</v>
      </c>
      <c r="ODR77" s="277" t="s">
        <v>1072</v>
      </c>
      <c r="ODS77" s="277" t="s">
        <v>1072</v>
      </c>
      <c r="ODT77" s="277" t="s">
        <v>1072</v>
      </c>
      <c r="ODU77" s="277" t="s">
        <v>1072</v>
      </c>
      <c r="ODV77" s="277" t="s">
        <v>1072</v>
      </c>
      <c r="ODW77" s="277" t="s">
        <v>1072</v>
      </c>
      <c r="ODX77" s="277" t="s">
        <v>1072</v>
      </c>
      <c r="ODY77" s="277" t="s">
        <v>1072</v>
      </c>
      <c r="ODZ77" s="277" t="s">
        <v>1072</v>
      </c>
      <c r="OEA77" s="277" t="s">
        <v>1072</v>
      </c>
      <c r="OEB77" s="277" t="s">
        <v>1072</v>
      </c>
      <c r="OEC77" s="277" t="s">
        <v>1072</v>
      </c>
      <c r="OED77" s="277" t="s">
        <v>1072</v>
      </c>
      <c r="OEE77" s="277" t="s">
        <v>1072</v>
      </c>
      <c r="OEF77" s="277" t="s">
        <v>1072</v>
      </c>
      <c r="OEG77" s="277" t="s">
        <v>1072</v>
      </c>
      <c r="OEH77" s="277" t="s">
        <v>1072</v>
      </c>
      <c r="OEI77" s="277" t="s">
        <v>1072</v>
      </c>
      <c r="OEJ77" s="277" t="s">
        <v>1072</v>
      </c>
      <c r="OEK77" s="277" t="s">
        <v>1072</v>
      </c>
      <c r="OEL77" s="277" t="s">
        <v>1072</v>
      </c>
      <c r="OEM77" s="277" t="s">
        <v>1072</v>
      </c>
      <c r="OEN77" s="277" t="s">
        <v>1072</v>
      </c>
      <c r="OEO77" s="277" t="s">
        <v>1072</v>
      </c>
      <c r="OEP77" s="277" t="s">
        <v>1072</v>
      </c>
      <c r="OEQ77" s="277" t="s">
        <v>1072</v>
      </c>
      <c r="OER77" s="277" t="s">
        <v>1072</v>
      </c>
      <c r="OES77" s="277" t="s">
        <v>1072</v>
      </c>
      <c r="OET77" s="277" t="s">
        <v>1072</v>
      </c>
      <c r="OEU77" s="277" t="s">
        <v>1072</v>
      </c>
      <c r="OEV77" s="277" t="s">
        <v>1072</v>
      </c>
      <c r="OEW77" s="277" t="s">
        <v>1072</v>
      </c>
      <c r="OEX77" s="277" t="s">
        <v>1072</v>
      </c>
      <c r="OEY77" s="277" t="s">
        <v>1072</v>
      </c>
      <c r="OEZ77" s="277" t="s">
        <v>1072</v>
      </c>
      <c r="OFA77" s="277" t="s">
        <v>1072</v>
      </c>
      <c r="OFB77" s="277" t="s">
        <v>1072</v>
      </c>
      <c r="OFC77" s="277" t="s">
        <v>1072</v>
      </c>
      <c r="OFD77" s="277" t="s">
        <v>1072</v>
      </c>
      <c r="OFE77" s="277" t="s">
        <v>1072</v>
      </c>
      <c r="OFF77" s="277" t="s">
        <v>1072</v>
      </c>
      <c r="OFG77" s="277" t="s">
        <v>1072</v>
      </c>
      <c r="OFH77" s="277" t="s">
        <v>1072</v>
      </c>
      <c r="OFI77" s="277" t="s">
        <v>1072</v>
      </c>
      <c r="OFJ77" s="277" t="s">
        <v>1072</v>
      </c>
      <c r="OFK77" s="277" t="s">
        <v>1072</v>
      </c>
      <c r="OFL77" s="277" t="s">
        <v>1072</v>
      </c>
      <c r="OFM77" s="277" t="s">
        <v>1072</v>
      </c>
      <c r="OFN77" s="277" t="s">
        <v>1072</v>
      </c>
      <c r="OFO77" s="277" t="s">
        <v>1072</v>
      </c>
      <c r="OFP77" s="277" t="s">
        <v>1072</v>
      </c>
      <c r="OFQ77" s="277" t="s">
        <v>1072</v>
      </c>
      <c r="OFR77" s="277" t="s">
        <v>1072</v>
      </c>
      <c r="OFS77" s="277" t="s">
        <v>1072</v>
      </c>
      <c r="OFT77" s="277" t="s">
        <v>1072</v>
      </c>
      <c r="OFU77" s="277" t="s">
        <v>1072</v>
      </c>
      <c r="OFV77" s="277" t="s">
        <v>1072</v>
      </c>
      <c r="OFW77" s="277" t="s">
        <v>1072</v>
      </c>
      <c r="OFX77" s="277" t="s">
        <v>1072</v>
      </c>
      <c r="OFY77" s="277" t="s">
        <v>1072</v>
      </c>
      <c r="OFZ77" s="277" t="s">
        <v>1072</v>
      </c>
      <c r="OGA77" s="277" t="s">
        <v>1072</v>
      </c>
      <c r="OGB77" s="277" t="s">
        <v>1072</v>
      </c>
      <c r="OGC77" s="277" t="s">
        <v>1072</v>
      </c>
      <c r="OGD77" s="277" t="s">
        <v>1072</v>
      </c>
      <c r="OGE77" s="277" t="s">
        <v>1072</v>
      </c>
      <c r="OGF77" s="277" t="s">
        <v>1072</v>
      </c>
      <c r="OGG77" s="277" t="s">
        <v>1072</v>
      </c>
      <c r="OGH77" s="277" t="s">
        <v>1072</v>
      </c>
      <c r="OGI77" s="277" t="s">
        <v>1072</v>
      </c>
      <c r="OGJ77" s="277" t="s">
        <v>1072</v>
      </c>
      <c r="OGK77" s="277" t="s">
        <v>1072</v>
      </c>
      <c r="OGL77" s="277" t="s">
        <v>1072</v>
      </c>
      <c r="OGM77" s="277" t="s">
        <v>1072</v>
      </c>
      <c r="OGN77" s="277" t="s">
        <v>1072</v>
      </c>
      <c r="OGO77" s="277" t="s">
        <v>1072</v>
      </c>
      <c r="OGP77" s="277" t="s">
        <v>1072</v>
      </c>
      <c r="OGQ77" s="277" t="s">
        <v>1072</v>
      </c>
      <c r="OGR77" s="277" t="s">
        <v>1072</v>
      </c>
      <c r="OGS77" s="277" t="s">
        <v>1072</v>
      </c>
      <c r="OGT77" s="277" t="s">
        <v>1072</v>
      </c>
      <c r="OGU77" s="277" t="s">
        <v>1072</v>
      </c>
      <c r="OGV77" s="277" t="s">
        <v>1072</v>
      </c>
      <c r="OGW77" s="277" t="s">
        <v>1072</v>
      </c>
      <c r="OGX77" s="277" t="s">
        <v>1072</v>
      </c>
      <c r="OGY77" s="277" t="s">
        <v>1072</v>
      </c>
      <c r="OGZ77" s="277" t="s">
        <v>1072</v>
      </c>
      <c r="OHA77" s="277" t="s">
        <v>1072</v>
      </c>
      <c r="OHB77" s="277" t="s">
        <v>1072</v>
      </c>
      <c r="OHC77" s="277" t="s">
        <v>1072</v>
      </c>
      <c r="OHD77" s="277" t="s">
        <v>1072</v>
      </c>
      <c r="OHE77" s="277" t="s">
        <v>1072</v>
      </c>
      <c r="OHF77" s="277" t="s">
        <v>1072</v>
      </c>
      <c r="OHG77" s="277" t="s">
        <v>1072</v>
      </c>
      <c r="OHH77" s="277" t="s">
        <v>1072</v>
      </c>
      <c r="OHI77" s="277" t="s">
        <v>1072</v>
      </c>
      <c r="OHJ77" s="277" t="s">
        <v>1072</v>
      </c>
      <c r="OHK77" s="277" t="s">
        <v>1072</v>
      </c>
      <c r="OHL77" s="277" t="s">
        <v>1072</v>
      </c>
      <c r="OHM77" s="277" t="s">
        <v>1072</v>
      </c>
      <c r="OHN77" s="277" t="s">
        <v>1072</v>
      </c>
      <c r="OHO77" s="277" t="s">
        <v>1072</v>
      </c>
      <c r="OHP77" s="277" t="s">
        <v>1072</v>
      </c>
      <c r="OHQ77" s="277" t="s">
        <v>1072</v>
      </c>
      <c r="OHR77" s="277" t="s">
        <v>1072</v>
      </c>
      <c r="OHS77" s="277" t="s">
        <v>1072</v>
      </c>
      <c r="OHT77" s="277" t="s">
        <v>1072</v>
      </c>
      <c r="OHU77" s="277" t="s">
        <v>1072</v>
      </c>
      <c r="OHV77" s="277" t="s">
        <v>1072</v>
      </c>
      <c r="OHW77" s="277" t="s">
        <v>1072</v>
      </c>
      <c r="OHX77" s="277" t="s">
        <v>1072</v>
      </c>
      <c r="OHY77" s="277" t="s">
        <v>1072</v>
      </c>
      <c r="OHZ77" s="277" t="s">
        <v>1072</v>
      </c>
      <c r="OIA77" s="277" t="s">
        <v>1072</v>
      </c>
      <c r="OIB77" s="277" t="s">
        <v>1072</v>
      </c>
      <c r="OIC77" s="277" t="s">
        <v>1072</v>
      </c>
      <c r="OID77" s="277" t="s">
        <v>1072</v>
      </c>
      <c r="OIE77" s="277" t="s">
        <v>1072</v>
      </c>
      <c r="OIF77" s="277" t="s">
        <v>1072</v>
      </c>
      <c r="OIG77" s="277" t="s">
        <v>1072</v>
      </c>
      <c r="OIH77" s="277" t="s">
        <v>1072</v>
      </c>
      <c r="OII77" s="277" t="s">
        <v>1072</v>
      </c>
      <c r="OIJ77" s="277" t="s">
        <v>1072</v>
      </c>
      <c r="OIK77" s="277" t="s">
        <v>1072</v>
      </c>
      <c r="OIL77" s="277" t="s">
        <v>1072</v>
      </c>
      <c r="OIM77" s="277" t="s">
        <v>1072</v>
      </c>
      <c r="OIN77" s="277" t="s">
        <v>1072</v>
      </c>
      <c r="OIO77" s="277" t="s">
        <v>1072</v>
      </c>
      <c r="OIP77" s="277" t="s">
        <v>1072</v>
      </c>
      <c r="OIQ77" s="277" t="s">
        <v>1072</v>
      </c>
      <c r="OIR77" s="277" t="s">
        <v>1072</v>
      </c>
      <c r="OIS77" s="277" t="s">
        <v>1072</v>
      </c>
      <c r="OIT77" s="277" t="s">
        <v>1072</v>
      </c>
      <c r="OIU77" s="277" t="s">
        <v>1072</v>
      </c>
      <c r="OIV77" s="277" t="s">
        <v>1072</v>
      </c>
      <c r="OIW77" s="277" t="s">
        <v>1072</v>
      </c>
      <c r="OIX77" s="277" t="s">
        <v>1072</v>
      </c>
      <c r="OIY77" s="277" t="s">
        <v>1072</v>
      </c>
      <c r="OIZ77" s="277" t="s">
        <v>1072</v>
      </c>
      <c r="OJA77" s="277" t="s">
        <v>1072</v>
      </c>
      <c r="OJB77" s="277" t="s">
        <v>1072</v>
      </c>
      <c r="OJC77" s="277" t="s">
        <v>1072</v>
      </c>
      <c r="OJD77" s="277" t="s">
        <v>1072</v>
      </c>
      <c r="OJE77" s="277" t="s">
        <v>1072</v>
      </c>
      <c r="OJF77" s="277" t="s">
        <v>1072</v>
      </c>
      <c r="OJG77" s="277" t="s">
        <v>1072</v>
      </c>
      <c r="OJH77" s="277" t="s">
        <v>1072</v>
      </c>
      <c r="OJI77" s="277" t="s">
        <v>1072</v>
      </c>
      <c r="OJJ77" s="277" t="s">
        <v>1072</v>
      </c>
      <c r="OJK77" s="277" t="s">
        <v>1072</v>
      </c>
      <c r="OJL77" s="277" t="s">
        <v>1072</v>
      </c>
      <c r="OJM77" s="277" t="s">
        <v>1072</v>
      </c>
      <c r="OJN77" s="277" t="s">
        <v>1072</v>
      </c>
      <c r="OJO77" s="277" t="s">
        <v>1072</v>
      </c>
      <c r="OJP77" s="277" t="s">
        <v>1072</v>
      </c>
      <c r="OJQ77" s="277" t="s">
        <v>1072</v>
      </c>
      <c r="OJR77" s="277" t="s">
        <v>1072</v>
      </c>
      <c r="OJS77" s="277" t="s">
        <v>1072</v>
      </c>
      <c r="OJT77" s="277" t="s">
        <v>1072</v>
      </c>
      <c r="OJU77" s="277" t="s">
        <v>1072</v>
      </c>
      <c r="OJV77" s="277" t="s">
        <v>1072</v>
      </c>
      <c r="OJW77" s="277" t="s">
        <v>1072</v>
      </c>
      <c r="OJX77" s="277" t="s">
        <v>1072</v>
      </c>
      <c r="OJY77" s="277" t="s">
        <v>1072</v>
      </c>
      <c r="OJZ77" s="277" t="s">
        <v>1072</v>
      </c>
      <c r="OKA77" s="277" t="s">
        <v>1072</v>
      </c>
      <c r="OKB77" s="277" t="s">
        <v>1072</v>
      </c>
      <c r="OKC77" s="277" t="s">
        <v>1072</v>
      </c>
      <c r="OKD77" s="277" t="s">
        <v>1072</v>
      </c>
      <c r="OKE77" s="277" t="s">
        <v>1072</v>
      </c>
      <c r="OKF77" s="277" t="s">
        <v>1072</v>
      </c>
      <c r="OKG77" s="277" t="s">
        <v>1072</v>
      </c>
      <c r="OKH77" s="277" t="s">
        <v>1072</v>
      </c>
      <c r="OKI77" s="277" t="s">
        <v>1072</v>
      </c>
      <c r="OKJ77" s="277" t="s">
        <v>1072</v>
      </c>
      <c r="OKK77" s="277" t="s">
        <v>1072</v>
      </c>
      <c r="OKL77" s="277" t="s">
        <v>1072</v>
      </c>
      <c r="OKM77" s="277" t="s">
        <v>1072</v>
      </c>
      <c r="OKN77" s="277" t="s">
        <v>1072</v>
      </c>
      <c r="OKO77" s="277" t="s">
        <v>1072</v>
      </c>
      <c r="OKP77" s="277" t="s">
        <v>1072</v>
      </c>
      <c r="OKQ77" s="277" t="s">
        <v>1072</v>
      </c>
      <c r="OKR77" s="277" t="s">
        <v>1072</v>
      </c>
      <c r="OKS77" s="277" t="s">
        <v>1072</v>
      </c>
      <c r="OKT77" s="277" t="s">
        <v>1072</v>
      </c>
      <c r="OKU77" s="277" t="s">
        <v>1072</v>
      </c>
      <c r="OKV77" s="277" t="s">
        <v>1072</v>
      </c>
      <c r="OKW77" s="277" t="s">
        <v>1072</v>
      </c>
      <c r="OKX77" s="277" t="s">
        <v>1072</v>
      </c>
      <c r="OKY77" s="277" t="s">
        <v>1072</v>
      </c>
      <c r="OKZ77" s="277" t="s">
        <v>1072</v>
      </c>
      <c r="OLA77" s="277" t="s">
        <v>1072</v>
      </c>
      <c r="OLB77" s="277" t="s">
        <v>1072</v>
      </c>
      <c r="OLC77" s="277" t="s">
        <v>1072</v>
      </c>
      <c r="OLD77" s="277" t="s">
        <v>1072</v>
      </c>
      <c r="OLE77" s="277" t="s">
        <v>1072</v>
      </c>
      <c r="OLF77" s="277" t="s">
        <v>1072</v>
      </c>
      <c r="OLG77" s="277" t="s">
        <v>1072</v>
      </c>
      <c r="OLH77" s="277" t="s">
        <v>1072</v>
      </c>
      <c r="OLI77" s="277" t="s">
        <v>1072</v>
      </c>
      <c r="OLJ77" s="277" t="s">
        <v>1072</v>
      </c>
      <c r="OLK77" s="277" t="s">
        <v>1072</v>
      </c>
      <c r="OLL77" s="277" t="s">
        <v>1072</v>
      </c>
      <c r="OLM77" s="277" t="s">
        <v>1072</v>
      </c>
      <c r="OLN77" s="277" t="s">
        <v>1072</v>
      </c>
      <c r="OLO77" s="277" t="s">
        <v>1072</v>
      </c>
      <c r="OLP77" s="277" t="s">
        <v>1072</v>
      </c>
      <c r="OLQ77" s="277" t="s">
        <v>1072</v>
      </c>
      <c r="OLR77" s="277" t="s">
        <v>1072</v>
      </c>
      <c r="OLS77" s="277" t="s">
        <v>1072</v>
      </c>
      <c r="OLT77" s="277" t="s">
        <v>1072</v>
      </c>
      <c r="OLU77" s="277" t="s">
        <v>1072</v>
      </c>
      <c r="OLV77" s="277" t="s">
        <v>1072</v>
      </c>
      <c r="OLW77" s="277" t="s">
        <v>1072</v>
      </c>
      <c r="OLX77" s="277" t="s">
        <v>1072</v>
      </c>
      <c r="OLY77" s="277" t="s">
        <v>1072</v>
      </c>
      <c r="OLZ77" s="277" t="s">
        <v>1072</v>
      </c>
      <c r="OMA77" s="277" t="s">
        <v>1072</v>
      </c>
      <c r="OMB77" s="277" t="s">
        <v>1072</v>
      </c>
      <c r="OMC77" s="277" t="s">
        <v>1072</v>
      </c>
      <c r="OMD77" s="277" t="s">
        <v>1072</v>
      </c>
      <c r="OME77" s="277" t="s">
        <v>1072</v>
      </c>
      <c r="OMF77" s="277" t="s">
        <v>1072</v>
      </c>
      <c r="OMG77" s="277" t="s">
        <v>1072</v>
      </c>
      <c r="OMH77" s="277" t="s">
        <v>1072</v>
      </c>
      <c r="OMI77" s="277" t="s">
        <v>1072</v>
      </c>
      <c r="OMJ77" s="277" t="s">
        <v>1072</v>
      </c>
      <c r="OMK77" s="277" t="s">
        <v>1072</v>
      </c>
      <c r="OML77" s="277" t="s">
        <v>1072</v>
      </c>
      <c r="OMM77" s="277" t="s">
        <v>1072</v>
      </c>
      <c r="OMN77" s="277" t="s">
        <v>1072</v>
      </c>
      <c r="OMO77" s="277" t="s">
        <v>1072</v>
      </c>
      <c r="OMP77" s="277" t="s">
        <v>1072</v>
      </c>
      <c r="OMQ77" s="277" t="s">
        <v>1072</v>
      </c>
      <c r="OMR77" s="277" t="s">
        <v>1072</v>
      </c>
      <c r="OMS77" s="277" t="s">
        <v>1072</v>
      </c>
      <c r="OMT77" s="277" t="s">
        <v>1072</v>
      </c>
      <c r="OMU77" s="277" t="s">
        <v>1072</v>
      </c>
      <c r="OMV77" s="277" t="s">
        <v>1072</v>
      </c>
      <c r="OMW77" s="277" t="s">
        <v>1072</v>
      </c>
      <c r="OMX77" s="277" t="s">
        <v>1072</v>
      </c>
      <c r="OMY77" s="277" t="s">
        <v>1072</v>
      </c>
      <c r="OMZ77" s="277" t="s">
        <v>1072</v>
      </c>
      <c r="ONA77" s="277" t="s">
        <v>1072</v>
      </c>
      <c r="ONB77" s="277" t="s">
        <v>1072</v>
      </c>
      <c r="ONC77" s="277" t="s">
        <v>1072</v>
      </c>
      <c r="OND77" s="277" t="s">
        <v>1072</v>
      </c>
      <c r="ONE77" s="277" t="s">
        <v>1072</v>
      </c>
      <c r="ONF77" s="277" t="s">
        <v>1072</v>
      </c>
      <c r="ONG77" s="277" t="s">
        <v>1072</v>
      </c>
      <c r="ONH77" s="277" t="s">
        <v>1072</v>
      </c>
      <c r="ONI77" s="277" t="s">
        <v>1072</v>
      </c>
      <c r="ONJ77" s="277" t="s">
        <v>1072</v>
      </c>
      <c r="ONK77" s="277" t="s">
        <v>1072</v>
      </c>
      <c r="ONL77" s="277" t="s">
        <v>1072</v>
      </c>
      <c r="ONM77" s="277" t="s">
        <v>1072</v>
      </c>
      <c r="ONN77" s="277" t="s">
        <v>1072</v>
      </c>
      <c r="ONO77" s="277" t="s">
        <v>1072</v>
      </c>
      <c r="ONP77" s="277" t="s">
        <v>1072</v>
      </c>
      <c r="ONQ77" s="277" t="s">
        <v>1072</v>
      </c>
      <c r="ONR77" s="277" t="s">
        <v>1072</v>
      </c>
      <c r="ONS77" s="277" t="s">
        <v>1072</v>
      </c>
      <c r="ONT77" s="277" t="s">
        <v>1072</v>
      </c>
      <c r="ONU77" s="277" t="s">
        <v>1072</v>
      </c>
      <c r="ONV77" s="277" t="s">
        <v>1072</v>
      </c>
      <c r="ONW77" s="277" t="s">
        <v>1072</v>
      </c>
      <c r="ONX77" s="277" t="s">
        <v>1072</v>
      </c>
      <c r="ONY77" s="277" t="s">
        <v>1072</v>
      </c>
      <c r="ONZ77" s="277" t="s">
        <v>1072</v>
      </c>
      <c r="OOA77" s="277" t="s">
        <v>1072</v>
      </c>
      <c r="OOB77" s="277" t="s">
        <v>1072</v>
      </c>
      <c r="OOC77" s="277" t="s">
        <v>1072</v>
      </c>
      <c r="OOD77" s="277" t="s">
        <v>1072</v>
      </c>
      <c r="OOE77" s="277" t="s">
        <v>1072</v>
      </c>
      <c r="OOF77" s="277" t="s">
        <v>1072</v>
      </c>
      <c r="OOG77" s="277" t="s">
        <v>1072</v>
      </c>
      <c r="OOH77" s="277" t="s">
        <v>1072</v>
      </c>
      <c r="OOI77" s="277" t="s">
        <v>1072</v>
      </c>
      <c r="OOJ77" s="277" t="s">
        <v>1072</v>
      </c>
      <c r="OOK77" s="277" t="s">
        <v>1072</v>
      </c>
      <c r="OOL77" s="277" t="s">
        <v>1072</v>
      </c>
      <c r="OOM77" s="277" t="s">
        <v>1072</v>
      </c>
      <c r="OON77" s="277" t="s">
        <v>1072</v>
      </c>
      <c r="OOO77" s="277" t="s">
        <v>1072</v>
      </c>
      <c r="OOP77" s="277" t="s">
        <v>1072</v>
      </c>
      <c r="OOQ77" s="277" t="s">
        <v>1072</v>
      </c>
      <c r="OOR77" s="277" t="s">
        <v>1072</v>
      </c>
      <c r="OOS77" s="277" t="s">
        <v>1072</v>
      </c>
      <c r="OOT77" s="277" t="s">
        <v>1072</v>
      </c>
      <c r="OOU77" s="277" t="s">
        <v>1072</v>
      </c>
      <c r="OOV77" s="277" t="s">
        <v>1072</v>
      </c>
      <c r="OOW77" s="277" t="s">
        <v>1072</v>
      </c>
      <c r="OOX77" s="277" t="s">
        <v>1072</v>
      </c>
      <c r="OOY77" s="277" t="s">
        <v>1072</v>
      </c>
      <c r="OOZ77" s="277" t="s">
        <v>1072</v>
      </c>
      <c r="OPA77" s="277" t="s">
        <v>1072</v>
      </c>
      <c r="OPB77" s="277" t="s">
        <v>1072</v>
      </c>
      <c r="OPC77" s="277" t="s">
        <v>1072</v>
      </c>
      <c r="OPD77" s="277" t="s">
        <v>1072</v>
      </c>
      <c r="OPE77" s="277" t="s">
        <v>1072</v>
      </c>
      <c r="OPF77" s="277" t="s">
        <v>1072</v>
      </c>
      <c r="OPG77" s="277" t="s">
        <v>1072</v>
      </c>
      <c r="OPH77" s="277" t="s">
        <v>1072</v>
      </c>
      <c r="OPI77" s="277" t="s">
        <v>1072</v>
      </c>
      <c r="OPJ77" s="277" t="s">
        <v>1072</v>
      </c>
      <c r="OPK77" s="277" t="s">
        <v>1072</v>
      </c>
      <c r="OPL77" s="277" t="s">
        <v>1072</v>
      </c>
      <c r="OPM77" s="277" t="s">
        <v>1072</v>
      </c>
      <c r="OPN77" s="277" t="s">
        <v>1072</v>
      </c>
      <c r="OPO77" s="277" t="s">
        <v>1072</v>
      </c>
      <c r="OPP77" s="277" t="s">
        <v>1072</v>
      </c>
      <c r="OPQ77" s="277" t="s">
        <v>1072</v>
      </c>
      <c r="OPR77" s="277" t="s">
        <v>1072</v>
      </c>
      <c r="OPS77" s="277" t="s">
        <v>1072</v>
      </c>
      <c r="OPT77" s="277" t="s">
        <v>1072</v>
      </c>
      <c r="OPU77" s="277" t="s">
        <v>1072</v>
      </c>
      <c r="OPV77" s="277" t="s">
        <v>1072</v>
      </c>
      <c r="OPW77" s="277" t="s">
        <v>1072</v>
      </c>
      <c r="OPX77" s="277" t="s">
        <v>1072</v>
      </c>
      <c r="OPY77" s="277" t="s">
        <v>1072</v>
      </c>
      <c r="OPZ77" s="277" t="s">
        <v>1072</v>
      </c>
      <c r="OQA77" s="277" t="s">
        <v>1072</v>
      </c>
      <c r="OQB77" s="277" t="s">
        <v>1072</v>
      </c>
      <c r="OQC77" s="277" t="s">
        <v>1072</v>
      </c>
      <c r="OQD77" s="277" t="s">
        <v>1072</v>
      </c>
      <c r="OQE77" s="277" t="s">
        <v>1072</v>
      </c>
      <c r="OQF77" s="277" t="s">
        <v>1072</v>
      </c>
      <c r="OQG77" s="277" t="s">
        <v>1072</v>
      </c>
      <c r="OQH77" s="277" t="s">
        <v>1072</v>
      </c>
      <c r="OQI77" s="277" t="s">
        <v>1072</v>
      </c>
      <c r="OQJ77" s="277" t="s">
        <v>1072</v>
      </c>
      <c r="OQK77" s="277" t="s">
        <v>1072</v>
      </c>
      <c r="OQL77" s="277" t="s">
        <v>1072</v>
      </c>
      <c r="OQM77" s="277" t="s">
        <v>1072</v>
      </c>
      <c r="OQN77" s="277" t="s">
        <v>1072</v>
      </c>
      <c r="OQO77" s="277" t="s">
        <v>1072</v>
      </c>
      <c r="OQP77" s="277" t="s">
        <v>1072</v>
      </c>
      <c r="OQQ77" s="277" t="s">
        <v>1072</v>
      </c>
      <c r="OQR77" s="277" t="s">
        <v>1072</v>
      </c>
      <c r="OQS77" s="277" t="s">
        <v>1072</v>
      </c>
      <c r="OQT77" s="277" t="s">
        <v>1072</v>
      </c>
      <c r="OQU77" s="277" t="s">
        <v>1072</v>
      </c>
      <c r="OQV77" s="277" t="s">
        <v>1072</v>
      </c>
      <c r="OQW77" s="277" t="s">
        <v>1072</v>
      </c>
      <c r="OQX77" s="277" t="s">
        <v>1072</v>
      </c>
      <c r="OQY77" s="277" t="s">
        <v>1072</v>
      </c>
      <c r="OQZ77" s="277" t="s">
        <v>1072</v>
      </c>
      <c r="ORA77" s="277" t="s">
        <v>1072</v>
      </c>
      <c r="ORB77" s="277" t="s">
        <v>1072</v>
      </c>
      <c r="ORC77" s="277" t="s">
        <v>1072</v>
      </c>
      <c r="ORD77" s="277" t="s">
        <v>1072</v>
      </c>
      <c r="ORE77" s="277" t="s">
        <v>1072</v>
      </c>
      <c r="ORF77" s="277" t="s">
        <v>1072</v>
      </c>
      <c r="ORG77" s="277" t="s">
        <v>1072</v>
      </c>
      <c r="ORH77" s="277" t="s">
        <v>1072</v>
      </c>
      <c r="ORI77" s="277" t="s">
        <v>1072</v>
      </c>
      <c r="ORJ77" s="277" t="s">
        <v>1072</v>
      </c>
      <c r="ORK77" s="277" t="s">
        <v>1072</v>
      </c>
      <c r="ORL77" s="277" t="s">
        <v>1072</v>
      </c>
      <c r="ORM77" s="277" t="s">
        <v>1072</v>
      </c>
      <c r="ORN77" s="277" t="s">
        <v>1072</v>
      </c>
      <c r="ORO77" s="277" t="s">
        <v>1072</v>
      </c>
      <c r="ORP77" s="277" t="s">
        <v>1072</v>
      </c>
      <c r="ORQ77" s="277" t="s">
        <v>1072</v>
      </c>
      <c r="ORR77" s="277" t="s">
        <v>1072</v>
      </c>
      <c r="ORS77" s="277" t="s">
        <v>1072</v>
      </c>
      <c r="ORT77" s="277" t="s">
        <v>1072</v>
      </c>
      <c r="ORU77" s="277" t="s">
        <v>1072</v>
      </c>
      <c r="ORV77" s="277" t="s">
        <v>1072</v>
      </c>
      <c r="ORW77" s="277" t="s">
        <v>1072</v>
      </c>
      <c r="ORX77" s="277" t="s">
        <v>1072</v>
      </c>
      <c r="ORY77" s="277" t="s">
        <v>1072</v>
      </c>
      <c r="ORZ77" s="277" t="s">
        <v>1072</v>
      </c>
      <c r="OSA77" s="277" t="s">
        <v>1072</v>
      </c>
      <c r="OSB77" s="277" t="s">
        <v>1072</v>
      </c>
      <c r="OSC77" s="277" t="s">
        <v>1072</v>
      </c>
      <c r="OSD77" s="277" t="s">
        <v>1072</v>
      </c>
      <c r="OSE77" s="277" t="s">
        <v>1072</v>
      </c>
      <c r="OSF77" s="277" t="s">
        <v>1072</v>
      </c>
      <c r="OSG77" s="277" t="s">
        <v>1072</v>
      </c>
      <c r="OSH77" s="277" t="s">
        <v>1072</v>
      </c>
      <c r="OSI77" s="277" t="s">
        <v>1072</v>
      </c>
      <c r="OSJ77" s="277" t="s">
        <v>1072</v>
      </c>
      <c r="OSK77" s="277" t="s">
        <v>1072</v>
      </c>
      <c r="OSL77" s="277" t="s">
        <v>1072</v>
      </c>
      <c r="OSM77" s="277" t="s">
        <v>1072</v>
      </c>
      <c r="OSN77" s="277" t="s">
        <v>1072</v>
      </c>
      <c r="OSO77" s="277" t="s">
        <v>1072</v>
      </c>
      <c r="OSP77" s="277" t="s">
        <v>1072</v>
      </c>
      <c r="OSQ77" s="277" t="s">
        <v>1072</v>
      </c>
      <c r="OSR77" s="277" t="s">
        <v>1072</v>
      </c>
      <c r="OSS77" s="277" t="s">
        <v>1072</v>
      </c>
      <c r="OST77" s="277" t="s">
        <v>1072</v>
      </c>
      <c r="OSU77" s="277" t="s">
        <v>1072</v>
      </c>
      <c r="OSV77" s="277" t="s">
        <v>1072</v>
      </c>
      <c r="OSW77" s="277" t="s">
        <v>1072</v>
      </c>
      <c r="OSX77" s="277" t="s">
        <v>1072</v>
      </c>
      <c r="OSY77" s="277" t="s">
        <v>1072</v>
      </c>
      <c r="OSZ77" s="277" t="s">
        <v>1072</v>
      </c>
      <c r="OTA77" s="277" t="s">
        <v>1072</v>
      </c>
      <c r="OTB77" s="277" t="s">
        <v>1072</v>
      </c>
      <c r="OTC77" s="277" t="s">
        <v>1072</v>
      </c>
      <c r="OTD77" s="277" t="s">
        <v>1072</v>
      </c>
      <c r="OTE77" s="277" t="s">
        <v>1072</v>
      </c>
      <c r="OTF77" s="277" t="s">
        <v>1072</v>
      </c>
      <c r="OTG77" s="277" t="s">
        <v>1072</v>
      </c>
      <c r="OTH77" s="277" t="s">
        <v>1072</v>
      </c>
      <c r="OTI77" s="277" t="s">
        <v>1072</v>
      </c>
      <c r="OTJ77" s="277" t="s">
        <v>1072</v>
      </c>
      <c r="OTK77" s="277" t="s">
        <v>1072</v>
      </c>
      <c r="OTL77" s="277" t="s">
        <v>1072</v>
      </c>
      <c r="OTM77" s="277" t="s">
        <v>1072</v>
      </c>
      <c r="OTN77" s="277" t="s">
        <v>1072</v>
      </c>
      <c r="OTO77" s="277" t="s">
        <v>1072</v>
      </c>
      <c r="OTP77" s="277" t="s">
        <v>1072</v>
      </c>
      <c r="OTQ77" s="277" t="s">
        <v>1072</v>
      </c>
      <c r="OTR77" s="277" t="s">
        <v>1072</v>
      </c>
      <c r="OTS77" s="277" t="s">
        <v>1072</v>
      </c>
      <c r="OTT77" s="277" t="s">
        <v>1072</v>
      </c>
      <c r="OTU77" s="277" t="s">
        <v>1072</v>
      </c>
      <c r="OTV77" s="277" t="s">
        <v>1072</v>
      </c>
      <c r="OTW77" s="277" t="s">
        <v>1072</v>
      </c>
      <c r="OTX77" s="277" t="s">
        <v>1072</v>
      </c>
      <c r="OTY77" s="277" t="s">
        <v>1072</v>
      </c>
      <c r="OTZ77" s="277" t="s">
        <v>1072</v>
      </c>
      <c r="OUA77" s="277" t="s">
        <v>1072</v>
      </c>
      <c r="OUB77" s="277" t="s">
        <v>1072</v>
      </c>
      <c r="OUC77" s="277" t="s">
        <v>1072</v>
      </c>
      <c r="OUD77" s="277" t="s">
        <v>1072</v>
      </c>
      <c r="OUE77" s="277" t="s">
        <v>1072</v>
      </c>
      <c r="OUF77" s="277" t="s">
        <v>1072</v>
      </c>
      <c r="OUG77" s="277" t="s">
        <v>1072</v>
      </c>
      <c r="OUH77" s="277" t="s">
        <v>1072</v>
      </c>
      <c r="OUI77" s="277" t="s">
        <v>1072</v>
      </c>
      <c r="OUJ77" s="277" t="s">
        <v>1072</v>
      </c>
      <c r="OUK77" s="277" t="s">
        <v>1072</v>
      </c>
      <c r="OUL77" s="277" t="s">
        <v>1072</v>
      </c>
      <c r="OUM77" s="277" t="s">
        <v>1072</v>
      </c>
      <c r="OUN77" s="277" t="s">
        <v>1072</v>
      </c>
      <c r="OUO77" s="277" t="s">
        <v>1072</v>
      </c>
      <c r="OUP77" s="277" t="s">
        <v>1072</v>
      </c>
      <c r="OUQ77" s="277" t="s">
        <v>1072</v>
      </c>
      <c r="OUR77" s="277" t="s">
        <v>1072</v>
      </c>
      <c r="OUS77" s="277" t="s">
        <v>1072</v>
      </c>
      <c r="OUT77" s="277" t="s">
        <v>1072</v>
      </c>
      <c r="OUU77" s="277" t="s">
        <v>1072</v>
      </c>
      <c r="OUV77" s="277" t="s">
        <v>1072</v>
      </c>
      <c r="OUW77" s="277" t="s">
        <v>1072</v>
      </c>
      <c r="OUX77" s="277" t="s">
        <v>1072</v>
      </c>
      <c r="OUY77" s="277" t="s">
        <v>1072</v>
      </c>
      <c r="OUZ77" s="277" t="s">
        <v>1072</v>
      </c>
      <c r="OVA77" s="277" t="s">
        <v>1072</v>
      </c>
      <c r="OVB77" s="277" t="s">
        <v>1072</v>
      </c>
      <c r="OVC77" s="277" t="s">
        <v>1072</v>
      </c>
      <c r="OVD77" s="277" t="s">
        <v>1072</v>
      </c>
      <c r="OVE77" s="277" t="s">
        <v>1072</v>
      </c>
      <c r="OVF77" s="277" t="s">
        <v>1072</v>
      </c>
      <c r="OVG77" s="277" t="s">
        <v>1072</v>
      </c>
      <c r="OVH77" s="277" t="s">
        <v>1072</v>
      </c>
      <c r="OVI77" s="277" t="s">
        <v>1072</v>
      </c>
      <c r="OVJ77" s="277" t="s">
        <v>1072</v>
      </c>
      <c r="OVK77" s="277" t="s">
        <v>1072</v>
      </c>
      <c r="OVL77" s="277" t="s">
        <v>1072</v>
      </c>
      <c r="OVM77" s="277" t="s">
        <v>1072</v>
      </c>
      <c r="OVN77" s="277" t="s">
        <v>1072</v>
      </c>
      <c r="OVO77" s="277" t="s">
        <v>1072</v>
      </c>
      <c r="OVP77" s="277" t="s">
        <v>1072</v>
      </c>
      <c r="OVQ77" s="277" t="s">
        <v>1072</v>
      </c>
      <c r="OVR77" s="277" t="s">
        <v>1072</v>
      </c>
      <c r="OVS77" s="277" t="s">
        <v>1072</v>
      </c>
      <c r="OVT77" s="277" t="s">
        <v>1072</v>
      </c>
      <c r="OVU77" s="277" t="s">
        <v>1072</v>
      </c>
      <c r="OVV77" s="277" t="s">
        <v>1072</v>
      </c>
      <c r="OVW77" s="277" t="s">
        <v>1072</v>
      </c>
      <c r="OVX77" s="277" t="s">
        <v>1072</v>
      </c>
      <c r="OVY77" s="277" t="s">
        <v>1072</v>
      </c>
      <c r="OVZ77" s="277" t="s">
        <v>1072</v>
      </c>
      <c r="OWA77" s="277" t="s">
        <v>1072</v>
      </c>
      <c r="OWB77" s="277" t="s">
        <v>1072</v>
      </c>
      <c r="OWC77" s="277" t="s">
        <v>1072</v>
      </c>
      <c r="OWD77" s="277" t="s">
        <v>1072</v>
      </c>
      <c r="OWE77" s="277" t="s">
        <v>1072</v>
      </c>
      <c r="OWF77" s="277" t="s">
        <v>1072</v>
      </c>
      <c r="OWG77" s="277" t="s">
        <v>1072</v>
      </c>
      <c r="OWH77" s="277" t="s">
        <v>1072</v>
      </c>
      <c r="OWI77" s="277" t="s">
        <v>1072</v>
      </c>
      <c r="OWJ77" s="277" t="s">
        <v>1072</v>
      </c>
      <c r="OWK77" s="277" t="s">
        <v>1072</v>
      </c>
      <c r="OWL77" s="277" t="s">
        <v>1072</v>
      </c>
      <c r="OWM77" s="277" t="s">
        <v>1072</v>
      </c>
      <c r="OWN77" s="277" t="s">
        <v>1072</v>
      </c>
      <c r="OWO77" s="277" t="s">
        <v>1072</v>
      </c>
      <c r="OWP77" s="277" t="s">
        <v>1072</v>
      </c>
      <c r="OWQ77" s="277" t="s">
        <v>1072</v>
      </c>
      <c r="OWR77" s="277" t="s">
        <v>1072</v>
      </c>
      <c r="OWS77" s="277" t="s">
        <v>1072</v>
      </c>
      <c r="OWT77" s="277" t="s">
        <v>1072</v>
      </c>
      <c r="OWU77" s="277" t="s">
        <v>1072</v>
      </c>
      <c r="OWV77" s="277" t="s">
        <v>1072</v>
      </c>
      <c r="OWW77" s="277" t="s">
        <v>1072</v>
      </c>
      <c r="OWX77" s="277" t="s">
        <v>1072</v>
      </c>
      <c r="OWY77" s="277" t="s">
        <v>1072</v>
      </c>
      <c r="OWZ77" s="277" t="s">
        <v>1072</v>
      </c>
      <c r="OXA77" s="277" t="s">
        <v>1072</v>
      </c>
      <c r="OXB77" s="277" t="s">
        <v>1072</v>
      </c>
      <c r="OXC77" s="277" t="s">
        <v>1072</v>
      </c>
      <c r="OXD77" s="277" t="s">
        <v>1072</v>
      </c>
      <c r="OXE77" s="277" t="s">
        <v>1072</v>
      </c>
      <c r="OXF77" s="277" t="s">
        <v>1072</v>
      </c>
      <c r="OXG77" s="277" t="s">
        <v>1072</v>
      </c>
      <c r="OXH77" s="277" t="s">
        <v>1072</v>
      </c>
      <c r="OXI77" s="277" t="s">
        <v>1072</v>
      </c>
      <c r="OXJ77" s="277" t="s">
        <v>1072</v>
      </c>
      <c r="OXK77" s="277" t="s">
        <v>1072</v>
      </c>
      <c r="OXL77" s="277" t="s">
        <v>1072</v>
      </c>
      <c r="OXM77" s="277" t="s">
        <v>1072</v>
      </c>
      <c r="OXN77" s="277" t="s">
        <v>1072</v>
      </c>
      <c r="OXO77" s="277" t="s">
        <v>1072</v>
      </c>
      <c r="OXP77" s="277" t="s">
        <v>1072</v>
      </c>
      <c r="OXQ77" s="277" t="s">
        <v>1072</v>
      </c>
      <c r="OXR77" s="277" t="s">
        <v>1072</v>
      </c>
      <c r="OXS77" s="277" t="s">
        <v>1072</v>
      </c>
      <c r="OXT77" s="277" t="s">
        <v>1072</v>
      </c>
      <c r="OXU77" s="277" t="s">
        <v>1072</v>
      </c>
      <c r="OXV77" s="277" t="s">
        <v>1072</v>
      </c>
      <c r="OXW77" s="277" t="s">
        <v>1072</v>
      </c>
      <c r="OXX77" s="277" t="s">
        <v>1072</v>
      </c>
      <c r="OXY77" s="277" t="s">
        <v>1072</v>
      </c>
      <c r="OXZ77" s="277" t="s">
        <v>1072</v>
      </c>
      <c r="OYA77" s="277" t="s">
        <v>1072</v>
      </c>
      <c r="OYB77" s="277" t="s">
        <v>1072</v>
      </c>
      <c r="OYC77" s="277" t="s">
        <v>1072</v>
      </c>
      <c r="OYD77" s="277" t="s">
        <v>1072</v>
      </c>
      <c r="OYE77" s="277" t="s">
        <v>1072</v>
      </c>
      <c r="OYF77" s="277" t="s">
        <v>1072</v>
      </c>
      <c r="OYG77" s="277" t="s">
        <v>1072</v>
      </c>
      <c r="OYH77" s="277" t="s">
        <v>1072</v>
      </c>
      <c r="OYI77" s="277" t="s">
        <v>1072</v>
      </c>
      <c r="OYJ77" s="277" t="s">
        <v>1072</v>
      </c>
      <c r="OYK77" s="277" t="s">
        <v>1072</v>
      </c>
      <c r="OYL77" s="277" t="s">
        <v>1072</v>
      </c>
      <c r="OYM77" s="277" t="s">
        <v>1072</v>
      </c>
      <c r="OYN77" s="277" t="s">
        <v>1072</v>
      </c>
      <c r="OYO77" s="277" t="s">
        <v>1072</v>
      </c>
      <c r="OYP77" s="277" t="s">
        <v>1072</v>
      </c>
      <c r="OYQ77" s="277" t="s">
        <v>1072</v>
      </c>
      <c r="OYR77" s="277" t="s">
        <v>1072</v>
      </c>
      <c r="OYS77" s="277" t="s">
        <v>1072</v>
      </c>
      <c r="OYT77" s="277" t="s">
        <v>1072</v>
      </c>
      <c r="OYU77" s="277" t="s">
        <v>1072</v>
      </c>
      <c r="OYV77" s="277" t="s">
        <v>1072</v>
      </c>
      <c r="OYW77" s="277" t="s">
        <v>1072</v>
      </c>
      <c r="OYX77" s="277" t="s">
        <v>1072</v>
      </c>
      <c r="OYY77" s="277" t="s">
        <v>1072</v>
      </c>
      <c r="OYZ77" s="277" t="s">
        <v>1072</v>
      </c>
      <c r="OZA77" s="277" t="s">
        <v>1072</v>
      </c>
      <c r="OZB77" s="277" t="s">
        <v>1072</v>
      </c>
      <c r="OZC77" s="277" t="s">
        <v>1072</v>
      </c>
      <c r="OZD77" s="277" t="s">
        <v>1072</v>
      </c>
      <c r="OZE77" s="277" t="s">
        <v>1072</v>
      </c>
      <c r="OZF77" s="277" t="s">
        <v>1072</v>
      </c>
      <c r="OZG77" s="277" t="s">
        <v>1072</v>
      </c>
      <c r="OZH77" s="277" t="s">
        <v>1072</v>
      </c>
      <c r="OZI77" s="277" t="s">
        <v>1072</v>
      </c>
      <c r="OZJ77" s="277" t="s">
        <v>1072</v>
      </c>
      <c r="OZK77" s="277" t="s">
        <v>1072</v>
      </c>
      <c r="OZL77" s="277" t="s">
        <v>1072</v>
      </c>
      <c r="OZM77" s="277" t="s">
        <v>1072</v>
      </c>
      <c r="OZN77" s="277" t="s">
        <v>1072</v>
      </c>
      <c r="OZO77" s="277" t="s">
        <v>1072</v>
      </c>
      <c r="OZP77" s="277" t="s">
        <v>1072</v>
      </c>
      <c r="OZQ77" s="277" t="s">
        <v>1072</v>
      </c>
      <c r="OZR77" s="277" t="s">
        <v>1072</v>
      </c>
      <c r="OZS77" s="277" t="s">
        <v>1072</v>
      </c>
      <c r="OZT77" s="277" t="s">
        <v>1072</v>
      </c>
      <c r="OZU77" s="277" t="s">
        <v>1072</v>
      </c>
      <c r="OZV77" s="277" t="s">
        <v>1072</v>
      </c>
      <c r="OZW77" s="277" t="s">
        <v>1072</v>
      </c>
      <c r="OZX77" s="277" t="s">
        <v>1072</v>
      </c>
      <c r="OZY77" s="277" t="s">
        <v>1072</v>
      </c>
      <c r="OZZ77" s="277" t="s">
        <v>1072</v>
      </c>
      <c r="PAA77" s="277" t="s">
        <v>1072</v>
      </c>
      <c r="PAB77" s="277" t="s">
        <v>1072</v>
      </c>
      <c r="PAC77" s="277" t="s">
        <v>1072</v>
      </c>
      <c r="PAD77" s="277" t="s">
        <v>1072</v>
      </c>
      <c r="PAE77" s="277" t="s">
        <v>1072</v>
      </c>
      <c r="PAF77" s="277" t="s">
        <v>1072</v>
      </c>
      <c r="PAG77" s="277" t="s">
        <v>1072</v>
      </c>
      <c r="PAH77" s="277" t="s">
        <v>1072</v>
      </c>
      <c r="PAI77" s="277" t="s">
        <v>1072</v>
      </c>
      <c r="PAJ77" s="277" t="s">
        <v>1072</v>
      </c>
      <c r="PAK77" s="277" t="s">
        <v>1072</v>
      </c>
      <c r="PAL77" s="277" t="s">
        <v>1072</v>
      </c>
      <c r="PAM77" s="277" t="s">
        <v>1072</v>
      </c>
      <c r="PAN77" s="277" t="s">
        <v>1072</v>
      </c>
      <c r="PAO77" s="277" t="s">
        <v>1072</v>
      </c>
      <c r="PAP77" s="277" t="s">
        <v>1072</v>
      </c>
      <c r="PAQ77" s="277" t="s">
        <v>1072</v>
      </c>
      <c r="PAR77" s="277" t="s">
        <v>1072</v>
      </c>
      <c r="PAS77" s="277" t="s">
        <v>1072</v>
      </c>
      <c r="PAT77" s="277" t="s">
        <v>1072</v>
      </c>
      <c r="PAU77" s="277" t="s">
        <v>1072</v>
      </c>
      <c r="PAV77" s="277" t="s">
        <v>1072</v>
      </c>
      <c r="PAW77" s="277" t="s">
        <v>1072</v>
      </c>
      <c r="PAX77" s="277" t="s">
        <v>1072</v>
      </c>
      <c r="PAY77" s="277" t="s">
        <v>1072</v>
      </c>
      <c r="PAZ77" s="277" t="s">
        <v>1072</v>
      </c>
      <c r="PBA77" s="277" t="s">
        <v>1072</v>
      </c>
      <c r="PBB77" s="277" t="s">
        <v>1072</v>
      </c>
      <c r="PBC77" s="277" t="s">
        <v>1072</v>
      </c>
      <c r="PBD77" s="277" t="s">
        <v>1072</v>
      </c>
      <c r="PBE77" s="277" t="s">
        <v>1072</v>
      </c>
      <c r="PBF77" s="277" t="s">
        <v>1072</v>
      </c>
      <c r="PBG77" s="277" t="s">
        <v>1072</v>
      </c>
      <c r="PBH77" s="277" t="s">
        <v>1072</v>
      </c>
      <c r="PBI77" s="277" t="s">
        <v>1072</v>
      </c>
      <c r="PBJ77" s="277" t="s">
        <v>1072</v>
      </c>
      <c r="PBK77" s="277" t="s">
        <v>1072</v>
      </c>
      <c r="PBL77" s="277" t="s">
        <v>1072</v>
      </c>
      <c r="PBM77" s="277" t="s">
        <v>1072</v>
      </c>
      <c r="PBN77" s="277" t="s">
        <v>1072</v>
      </c>
      <c r="PBO77" s="277" t="s">
        <v>1072</v>
      </c>
      <c r="PBP77" s="277" t="s">
        <v>1072</v>
      </c>
      <c r="PBQ77" s="277" t="s">
        <v>1072</v>
      </c>
      <c r="PBR77" s="277" t="s">
        <v>1072</v>
      </c>
      <c r="PBS77" s="277" t="s">
        <v>1072</v>
      </c>
      <c r="PBT77" s="277" t="s">
        <v>1072</v>
      </c>
      <c r="PBU77" s="277" t="s">
        <v>1072</v>
      </c>
      <c r="PBV77" s="277" t="s">
        <v>1072</v>
      </c>
      <c r="PBW77" s="277" t="s">
        <v>1072</v>
      </c>
      <c r="PBX77" s="277" t="s">
        <v>1072</v>
      </c>
      <c r="PBY77" s="277" t="s">
        <v>1072</v>
      </c>
      <c r="PBZ77" s="277" t="s">
        <v>1072</v>
      </c>
      <c r="PCA77" s="277" t="s">
        <v>1072</v>
      </c>
      <c r="PCB77" s="277" t="s">
        <v>1072</v>
      </c>
      <c r="PCC77" s="277" t="s">
        <v>1072</v>
      </c>
      <c r="PCD77" s="277" t="s">
        <v>1072</v>
      </c>
      <c r="PCE77" s="277" t="s">
        <v>1072</v>
      </c>
      <c r="PCF77" s="277" t="s">
        <v>1072</v>
      </c>
      <c r="PCG77" s="277" t="s">
        <v>1072</v>
      </c>
      <c r="PCH77" s="277" t="s">
        <v>1072</v>
      </c>
      <c r="PCI77" s="277" t="s">
        <v>1072</v>
      </c>
      <c r="PCJ77" s="277" t="s">
        <v>1072</v>
      </c>
      <c r="PCK77" s="277" t="s">
        <v>1072</v>
      </c>
      <c r="PCL77" s="277" t="s">
        <v>1072</v>
      </c>
      <c r="PCM77" s="277" t="s">
        <v>1072</v>
      </c>
      <c r="PCN77" s="277" t="s">
        <v>1072</v>
      </c>
      <c r="PCO77" s="277" t="s">
        <v>1072</v>
      </c>
      <c r="PCP77" s="277" t="s">
        <v>1072</v>
      </c>
      <c r="PCQ77" s="277" t="s">
        <v>1072</v>
      </c>
      <c r="PCR77" s="277" t="s">
        <v>1072</v>
      </c>
      <c r="PCS77" s="277" t="s">
        <v>1072</v>
      </c>
      <c r="PCT77" s="277" t="s">
        <v>1072</v>
      </c>
      <c r="PCU77" s="277" t="s">
        <v>1072</v>
      </c>
      <c r="PCV77" s="277" t="s">
        <v>1072</v>
      </c>
      <c r="PCW77" s="277" t="s">
        <v>1072</v>
      </c>
      <c r="PCX77" s="277" t="s">
        <v>1072</v>
      </c>
      <c r="PCY77" s="277" t="s">
        <v>1072</v>
      </c>
      <c r="PCZ77" s="277" t="s">
        <v>1072</v>
      </c>
      <c r="PDA77" s="277" t="s">
        <v>1072</v>
      </c>
      <c r="PDB77" s="277" t="s">
        <v>1072</v>
      </c>
      <c r="PDC77" s="277" t="s">
        <v>1072</v>
      </c>
      <c r="PDD77" s="277" t="s">
        <v>1072</v>
      </c>
      <c r="PDE77" s="277" t="s">
        <v>1072</v>
      </c>
      <c r="PDF77" s="277" t="s">
        <v>1072</v>
      </c>
      <c r="PDG77" s="277" t="s">
        <v>1072</v>
      </c>
      <c r="PDH77" s="277" t="s">
        <v>1072</v>
      </c>
      <c r="PDI77" s="277" t="s">
        <v>1072</v>
      </c>
      <c r="PDJ77" s="277" t="s">
        <v>1072</v>
      </c>
      <c r="PDK77" s="277" t="s">
        <v>1072</v>
      </c>
      <c r="PDL77" s="277" t="s">
        <v>1072</v>
      </c>
      <c r="PDM77" s="277" t="s">
        <v>1072</v>
      </c>
      <c r="PDN77" s="277" t="s">
        <v>1072</v>
      </c>
      <c r="PDO77" s="277" t="s">
        <v>1072</v>
      </c>
      <c r="PDP77" s="277" t="s">
        <v>1072</v>
      </c>
      <c r="PDQ77" s="277" t="s">
        <v>1072</v>
      </c>
      <c r="PDR77" s="277" t="s">
        <v>1072</v>
      </c>
      <c r="PDS77" s="277" t="s">
        <v>1072</v>
      </c>
      <c r="PDT77" s="277" t="s">
        <v>1072</v>
      </c>
      <c r="PDU77" s="277" t="s">
        <v>1072</v>
      </c>
      <c r="PDV77" s="277" t="s">
        <v>1072</v>
      </c>
      <c r="PDW77" s="277" t="s">
        <v>1072</v>
      </c>
      <c r="PDX77" s="277" t="s">
        <v>1072</v>
      </c>
      <c r="PDY77" s="277" t="s">
        <v>1072</v>
      </c>
      <c r="PDZ77" s="277" t="s">
        <v>1072</v>
      </c>
      <c r="PEA77" s="277" t="s">
        <v>1072</v>
      </c>
      <c r="PEB77" s="277" t="s">
        <v>1072</v>
      </c>
      <c r="PEC77" s="277" t="s">
        <v>1072</v>
      </c>
      <c r="PED77" s="277" t="s">
        <v>1072</v>
      </c>
      <c r="PEE77" s="277" t="s">
        <v>1072</v>
      </c>
      <c r="PEF77" s="277" t="s">
        <v>1072</v>
      </c>
      <c r="PEG77" s="277" t="s">
        <v>1072</v>
      </c>
      <c r="PEH77" s="277" t="s">
        <v>1072</v>
      </c>
      <c r="PEI77" s="277" t="s">
        <v>1072</v>
      </c>
      <c r="PEJ77" s="277" t="s">
        <v>1072</v>
      </c>
      <c r="PEK77" s="277" t="s">
        <v>1072</v>
      </c>
      <c r="PEL77" s="277" t="s">
        <v>1072</v>
      </c>
      <c r="PEM77" s="277" t="s">
        <v>1072</v>
      </c>
      <c r="PEN77" s="277" t="s">
        <v>1072</v>
      </c>
      <c r="PEO77" s="277" t="s">
        <v>1072</v>
      </c>
      <c r="PEP77" s="277" t="s">
        <v>1072</v>
      </c>
      <c r="PEQ77" s="277" t="s">
        <v>1072</v>
      </c>
      <c r="PER77" s="277" t="s">
        <v>1072</v>
      </c>
      <c r="PES77" s="277" t="s">
        <v>1072</v>
      </c>
      <c r="PET77" s="277" t="s">
        <v>1072</v>
      </c>
      <c r="PEU77" s="277" t="s">
        <v>1072</v>
      </c>
      <c r="PEV77" s="277" t="s">
        <v>1072</v>
      </c>
      <c r="PEW77" s="277" t="s">
        <v>1072</v>
      </c>
      <c r="PEX77" s="277" t="s">
        <v>1072</v>
      </c>
      <c r="PEY77" s="277" t="s">
        <v>1072</v>
      </c>
      <c r="PEZ77" s="277" t="s">
        <v>1072</v>
      </c>
      <c r="PFA77" s="277" t="s">
        <v>1072</v>
      </c>
      <c r="PFB77" s="277" t="s">
        <v>1072</v>
      </c>
      <c r="PFC77" s="277" t="s">
        <v>1072</v>
      </c>
      <c r="PFD77" s="277" t="s">
        <v>1072</v>
      </c>
      <c r="PFE77" s="277" t="s">
        <v>1072</v>
      </c>
      <c r="PFF77" s="277" t="s">
        <v>1072</v>
      </c>
      <c r="PFG77" s="277" t="s">
        <v>1072</v>
      </c>
      <c r="PFH77" s="277" t="s">
        <v>1072</v>
      </c>
      <c r="PFI77" s="277" t="s">
        <v>1072</v>
      </c>
      <c r="PFJ77" s="277" t="s">
        <v>1072</v>
      </c>
      <c r="PFK77" s="277" t="s">
        <v>1072</v>
      </c>
      <c r="PFL77" s="277" t="s">
        <v>1072</v>
      </c>
      <c r="PFM77" s="277" t="s">
        <v>1072</v>
      </c>
      <c r="PFN77" s="277" t="s">
        <v>1072</v>
      </c>
      <c r="PFO77" s="277" t="s">
        <v>1072</v>
      </c>
      <c r="PFP77" s="277" t="s">
        <v>1072</v>
      </c>
      <c r="PFQ77" s="277" t="s">
        <v>1072</v>
      </c>
      <c r="PFR77" s="277" t="s">
        <v>1072</v>
      </c>
      <c r="PFS77" s="277" t="s">
        <v>1072</v>
      </c>
      <c r="PFT77" s="277" t="s">
        <v>1072</v>
      </c>
      <c r="PFU77" s="277" t="s">
        <v>1072</v>
      </c>
      <c r="PFV77" s="277" t="s">
        <v>1072</v>
      </c>
      <c r="PFW77" s="277" t="s">
        <v>1072</v>
      </c>
      <c r="PFX77" s="277" t="s">
        <v>1072</v>
      </c>
      <c r="PFY77" s="277" t="s">
        <v>1072</v>
      </c>
      <c r="PFZ77" s="277" t="s">
        <v>1072</v>
      </c>
      <c r="PGA77" s="277" t="s">
        <v>1072</v>
      </c>
      <c r="PGB77" s="277" t="s">
        <v>1072</v>
      </c>
      <c r="PGC77" s="277" t="s">
        <v>1072</v>
      </c>
      <c r="PGD77" s="277" t="s">
        <v>1072</v>
      </c>
      <c r="PGE77" s="277" t="s">
        <v>1072</v>
      </c>
      <c r="PGF77" s="277" t="s">
        <v>1072</v>
      </c>
      <c r="PGG77" s="277" t="s">
        <v>1072</v>
      </c>
      <c r="PGH77" s="277" t="s">
        <v>1072</v>
      </c>
      <c r="PGI77" s="277" t="s">
        <v>1072</v>
      </c>
      <c r="PGJ77" s="277" t="s">
        <v>1072</v>
      </c>
      <c r="PGK77" s="277" t="s">
        <v>1072</v>
      </c>
      <c r="PGL77" s="277" t="s">
        <v>1072</v>
      </c>
      <c r="PGM77" s="277" t="s">
        <v>1072</v>
      </c>
      <c r="PGN77" s="277" t="s">
        <v>1072</v>
      </c>
      <c r="PGO77" s="277" t="s">
        <v>1072</v>
      </c>
      <c r="PGP77" s="277" t="s">
        <v>1072</v>
      </c>
      <c r="PGQ77" s="277" t="s">
        <v>1072</v>
      </c>
      <c r="PGR77" s="277" t="s">
        <v>1072</v>
      </c>
      <c r="PGS77" s="277" t="s">
        <v>1072</v>
      </c>
      <c r="PGT77" s="277" t="s">
        <v>1072</v>
      </c>
      <c r="PGU77" s="277" t="s">
        <v>1072</v>
      </c>
      <c r="PGV77" s="277" t="s">
        <v>1072</v>
      </c>
      <c r="PGW77" s="277" t="s">
        <v>1072</v>
      </c>
      <c r="PGX77" s="277" t="s">
        <v>1072</v>
      </c>
      <c r="PGY77" s="277" t="s">
        <v>1072</v>
      </c>
      <c r="PGZ77" s="277" t="s">
        <v>1072</v>
      </c>
      <c r="PHA77" s="277" t="s">
        <v>1072</v>
      </c>
      <c r="PHB77" s="277" t="s">
        <v>1072</v>
      </c>
      <c r="PHC77" s="277" t="s">
        <v>1072</v>
      </c>
      <c r="PHD77" s="277" t="s">
        <v>1072</v>
      </c>
      <c r="PHE77" s="277" t="s">
        <v>1072</v>
      </c>
      <c r="PHF77" s="277" t="s">
        <v>1072</v>
      </c>
      <c r="PHG77" s="277" t="s">
        <v>1072</v>
      </c>
      <c r="PHH77" s="277" t="s">
        <v>1072</v>
      </c>
      <c r="PHI77" s="277" t="s">
        <v>1072</v>
      </c>
      <c r="PHJ77" s="277" t="s">
        <v>1072</v>
      </c>
      <c r="PHK77" s="277" t="s">
        <v>1072</v>
      </c>
      <c r="PHL77" s="277" t="s">
        <v>1072</v>
      </c>
      <c r="PHM77" s="277" t="s">
        <v>1072</v>
      </c>
      <c r="PHN77" s="277" t="s">
        <v>1072</v>
      </c>
      <c r="PHO77" s="277" t="s">
        <v>1072</v>
      </c>
      <c r="PHP77" s="277" t="s">
        <v>1072</v>
      </c>
      <c r="PHQ77" s="277" t="s">
        <v>1072</v>
      </c>
      <c r="PHR77" s="277" t="s">
        <v>1072</v>
      </c>
      <c r="PHS77" s="277" t="s">
        <v>1072</v>
      </c>
      <c r="PHT77" s="277" t="s">
        <v>1072</v>
      </c>
      <c r="PHU77" s="277" t="s">
        <v>1072</v>
      </c>
      <c r="PHV77" s="277" t="s">
        <v>1072</v>
      </c>
      <c r="PHW77" s="277" t="s">
        <v>1072</v>
      </c>
      <c r="PHX77" s="277" t="s">
        <v>1072</v>
      </c>
      <c r="PHY77" s="277" t="s">
        <v>1072</v>
      </c>
      <c r="PHZ77" s="277" t="s">
        <v>1072</v>
      </c>
      <c r="PIA77" s="277" t="s">
        <v>1072</v>
      </c>
      <c r="PIB77" s="277" t="s">
        <v>1072</v>
      </c>
      <c r="PIC77" s="277" t="s">
        <v>1072</v>
      </c>
      <c r="PID77" s="277" t="s">
        <v>1072</v>
      </c>
      <c r="PIE77" s="277" t="s">
        <v>1072</v>
      </c>
      <c r="PIF77" s="277" t="s">
        <v>1072</v>
      </c>
      <c r="PIG77" s="277" t="s">
        <v>1072</v>
      </c>
      <c r="PIH77" s="277" t="s">
        <v>1072</v>
      </c>
      <c r="PII77" s="277" t="s">
        <v>1072</v>
      </c>
      <c r="PIJ77" s="277" t="s">
        <v>1072</v>
      </c>
      <c r="PIK77" s="277" t="s">
        <v>1072</v>
      </c>
      <c r="PIL77" s="277" t="s">
        <v>1072</v>
      </c>
      <c r="PIM77" s="277" t="s">
        <v>1072</v>
      </c>
      <c r="PIN77" s="277" t="s">
        <v>1072</v>
      </c>
      <c r="PIO77" s="277" t="s">
        <v>1072</v>
      </c>
      <c r="PIP77" s="277" t="s">
        <v>1072</v>
      </c>
      <c r="PIQ77" s="277" t="s">
        <v>1072</v>
      </c>
      <c r="PIR77" s="277" t="s">
        <v>1072</v>
      </c>
      <c r="PIS77" s="277" t="s">
        <v>1072</v>
      </c>
      <c r="PIT77" s="277" t="s">
        <v>1072</v>
      </c>
      <c r="PIU77" s="277" t="s">
        <v>1072</v>
      </c>
      <c r="PIV77" s="277" t="s">
        <v>1072</v>
      </c>
      <c r="PIW77" s="277" t="s">
        <v>1072</v>
      </c>
      <c r="PIX77" s="277" t="s">
        <v>1072</v>
      </c>
      <c r="PIY77" s="277" t="s">
        <v>1072</v>
      </c>
      <c r="PIZ77" s="277" t="s">
        <v>1072</v>
      </c>
      <c r="PJA77" s="277" t="s">
        <v>1072</v>
      </c>
      <c r="PJB77" s="277" t="s">
        <v>1072</v>
      </c>
      <c r="PJC77" s="277" t="s">
        <v>1072</v>
      </c>
      <c r="PJD77" s="277" t="s">
        <v>1072</v>
      </c>
      <c r="PJE77" s="277" t="s">
        <v>1072</v>
      </c>
      <c r="PJF77" s="277" t="s">
        <v>1072</v>
      </c>
      <c r="PJG77" s="277" t="s">
        <v>1072</v>
      </c>
      <c r="PJH77" s="277" t="s">
        <v>1072</v>
      </c>
      <c r="PJI77" s="277" t="s">
        <v>1072</v>
      </c>
      <c r="PJJ77" s="277" t="s">
        <v>1072</v>
      </c>
      <c r="PJK77" s="277" t="s">
        <v>1072</v>
      </c>
      <c r="PJL77" s="277" t="s">
        <v>1072</v>
      </c>
      <c r="PJM77" s="277" t="s">
        <v>1072</v>
      </c>
      <c r="PJN77" s="277" t="s">
        <v>1072</v>
      </c>
      <c r="PJO77" s="277" t="s">
        <v>1072</v>
      </c>
      <c r="PJP77" s="277" t="s">
        <v>1072</v>
      </c>
      <c r="PJQ77" s="277" t="s">
        <v>1072</v>
      </c>
      <c r="PJR77" s="277" t="s">
        <v>1072</v>
      </c>
      <c r="PJS77" s="277" t="s">
        <v>1072</v>
      </c>
      <c r="PJT77" s="277" t="s">
        <v>1072</v>
      </c>
      <c r="PJU77" s="277" t="s">
        <v>1072</v>
      </c>
      <c r="PJV77" s="277" t="s">
        <v>1072</v>
      </c>
      <c r="PJW77" s="277" t="s">
        <v>1072</v>
      </c>
      <c r="PJX77" s="277" t="s">
        <v>1072</v>
      </c>
      <c r="PJY77" s="277" t="s">
        <v>1072</v>
      </c>
      <c r="PJZ77" s="277" t="s">
        <v>1072</v>
      </c>
      <c r="PKA77" s="277" t="s">
        <v>1072</v>
      </c>
      <c r="PKB77" s="277" t="s">
        <v>1072</v>
      </c>
      <c r="PKC77" s="277" t="s">
        <v>1072</v>
      </c>
      <c r="PKD77" s="277" t="s">
        <v>1072</v>
      </c>
      <c r="PKE77" s="277" t="s">
        <v>1072</v>
      </c>
      <c r="PKF77" s="277" t="s">
        <v>1072</v>
      </c>
      <c r="PKG77" s="277" t="s">
        <v>1072</v>
      </c>
      <c r="PKH77" s="277" t="s">
        <v>1072</v>
      </c>
      <c r="PKI77" s="277" t="s">
        <v>1072</v>
      </c>
      <c r="PKJ77" s="277" t="s">
        <v>1072</v>
      </c>
      <c r="PKK77" s="277" t="s">
        <v>1072</v>
      </c>
      <c r="PKL77" s="277" t="s">
        <v>1072</v>
      </c>
      <c r="PKM77" s="277" t="s">
        <v>1072</v>
      </c>
      <c r="PKN77" s="277" t="s">
        <v>1072</v>
      </c>
      <c r="PKO77" s="277" t="s">
        <v>1072</v>
      </c>
      <c r="PKP77" s="277" t="s">
        <v>1072</v>
      </c>
      <c r="PKQ77" s="277" t="s">
        <v>1072</v>
      </c>
      <c r="PKR77" s="277" t="s">
        <v>1072</v>
      </c>
      <c r="PKS77" s="277" t="s">
        <v>1072</v>
      </c>
      <c r="PKT77" s="277" t="s">
        <v>1072</v>
      </c>
      <c r="PKU77" s="277" t="s">
        <v>1072</v>
      </c>
      <c r="PKV77" s="277" t="s">
        <v>1072</v>
      </c>
      <c r="PKW77" s="277" t="s">
        <v>1072</v>
      </c>
      <c r="PKX77" s="277" t="s">
        <v>1072</v>
      </c>
      <c r="PKY77" s="277" t="s">
        <v>1072</v>
      </c>
      <c r="PKZ77" s="277" t="s">
        <v>1072</v>
      </c>
      <c r="PLA77" s="277" t="s">
        <v>1072</v>
      </c>
      <c r="PLB77" s="277" t="s">
        <v>1072</v>
      </c>
      <c r="PLC77" s="277" t="s">
        <v>1072</v>
      </c>
      <c r="PLD77" s="277" t="s">
        <v>1072</v>
      </c>
      <c r="PLE77" s="277" t="s">
        <v>1072</v>
      </c>
      <c r="PLF77" s="277" t="s">
        <v>1072</v>
      </c>
      <c r="PLG77" s="277" t="s">
        <v>1072</v>
      </c>
      <c r="PLH77" s="277" t="s">
        <v>1072</v>
      </c>
      <c r="PLI77" s="277" t="s">
        <v>1072</v>
      </c>
      <c r="PLJ77" s="277" t="s">
        <v>1072</v>
      </c>
      <c r="PLK77" s="277" t="s">
        <v>1072</v>
      </c>
      <c r="PLL77" s="277" t="s">
        <v>1072</v>
      </c>
      <c r="PLM77" s="277" t="s">
        <v>1072</v>
      </c>
      <c r="PLN77" s="277" t="s">
        <v>1072</v>
      </c>
      <c r="PLO77" s="277" t="s">
        <v>1072</v>
      </c>
      <c r="PLP77" s="277" t="s">
        <v>1072</v>
      </c>
      <c r="PLQ77" s="277" t="s">
        <v>1072</v>
      </c>
      <c r="PLR77" s="277" t="s">
        <v>1072</v>
      </c>
      <c r="PLS77" s="277" t="s">
        <v>1072</v>
      </c>
      <c r="PLT77" s="277" t="s">
        <v>1072</v>
      </c>
      <c r="PLU77" s="277" t="s">
        <v>1072</v>
      </c>
      <c r="PLV77" s="277" t="s">
        <v>1072</v>
      </c>
      <c r="PLW77" s="277" t="s">
        <v>1072</v>
      </c>
      <c r="PLX77" s="277" t="s">
        <v>1072</v>
      </c>
      <c r="PLY77" s="277" t="s">
        <v>1072</v>
      </c>
      <c r="PLZ77" s="277" t="s">
        <v>1072</v>
      </c>
      <c r="PMA77" s="277" t="s">
        <v>1072</v>
      </c>
      <c r="PMB77" s="277" t="s">
        <v>1072</v>
      </c>
      <c r="PMC77" s="277" t="s">
        <v>1072</v>
      </c>
      <c r="PMD77" s="277" t="s">
        <v>1072</v>
      </c>
      <c r="PME77" s="277" t="s">
        <v>1072</v>
      </c>
      <c r="PMF77" s="277" t="s">
        <v>1072</v>
      </c>
      <c r="PMG77" s="277" t="s">
        <v>1072</v>
      </c>
      <c r="PMH77" s="277" t="s">
        <v>1072</v>
      </c>
      <c r="PMI77" s="277" t="s">
        <v>1072</v>
      </c>
      <c r="PMJ77" s="277" t="s">
        <v>1072</v>
      </c>
      <c r="PMK77" s="277" t="s">
        <v>1072</v>
      </c>
      <c r="PML77" s="277" t="s">
        <v>1072</v>
      </c>
      <c r="PMM77" s="277" t="s">
        <v>1072</v>
      </c>
      <c r="PMN77" s="277" t="s">
        <v>1072</v>
      </c>
      <c r="PMO77" s="277" t="s">
        <v>1072</v>
      </c>
      <c r="PMP77" s="277" t="s">
        <v>1072</v>
      </c>
      <c r="PMQ77" s="277" t="s">
        <v>1072</v>
      </c>
      <c r="PMR77" s="277" t="s">
        <v>1072</v>
      </c>
      <c r="PMS77" s="277" t="s">
        <v>1072</v>
      </c>
      <c r="PMT77" s="277" t="s">
        <v>1072</v>
      </c>
      <c r="PMU77" s="277" t="s">
        <v>1072</v>
      </c>
      <c r="PMV77" s="277" t="s">
        <v>1072</v>
      </c>
      <c r="PMW77" s="277" t="s">
        <v>1072</v>
      </c>
      <c r="PMX77" s="277" t="s">
        <v>1072</v>
      </c>
      <c r="PMY77" s="277" t="s">
        <v>1072</v>
      </c>
      <c r="PMZ77" s="277" t="s">
        <v>1072</v>
      </c>
      <c r="PNA77" s="277" t="s">
        <v>1072</v>
      </c>
      <c r="PNB77" s="277" t="s">
        <v>1072</v>
      </c>
      <c r="PNC77" s="277" t="s">
        <v>1072</v>
      </c>
      <c r="PND77" s="277" t="s">
        <v>1072</v>
      </c>
      <c r="PNE77" s="277" t="s">
        <v>1072</v>
      </c>
      <c r="PNF77" s="277" t="s">
        <v>1072</v>
      </c>
      <c r="PNG77" s="277" t="s">
        <v>1072</v>
      </c>
      <c r="PNH77" s="277" t="s">
        <v>1072</v>
      </c>
      <c r="PNI77" s="277" t="s">
        <v>1072</v>
      </c>
      <c r="PNJ77" s="277" t="s">
        <v>1072</v>
      </c>
      <c r="PNK77" s="277" t="s">
        <v>1072</v>
      </c>
      <c r="PNL77" s="277" t="s">
        <v>1072</v>
      </c>
      <c r="PNM77" s="277" t="s">
        <v>1072</v>
      </c>
      <c r="PNN77" s="277" t="s">
        <v>1072</v>
      </c>
      <c r="PNO77" s="277" t="s">
        <v>1072</v>
      </c>
      <c r="PNP77" s="277" t="s">
        <v>1072</v>
      </c>
      <c r="PNQ77" s="277" t="s">
        <v>1072</v>
      </c>
      <c r="PNR77" s="277" t="s">
        <v>1072</v>
      </c>
      <c r="PNS77" s="277" t="s">
        <v>1072</v>
      </c>
      <c r="PNT77" s="277" t="s">
        <v>1072</v>
      </c>
      <c r="PNU77" s="277" t="s">
        <v>1072</v>
      </c>
      <c r="PNV77" s="277" t="s">
        <v>1072</v>
      </c>
      <c r="PNW77" s="277" t="s">
        <v>1072</v>
      </c>
      <c r="PNX77" s="277" t="s">
        <v>1072</v>
      </c>
      <c r="PNY77" s="277" t="s">
        <v>1072</v>
      </c>
      <c r="PNZ77" s="277" t="s">
        <v>1072</v>
      </c>
      <c r="POA77" s="277" t="s">
        <v>1072</v>
      </c>
      <c r="POB77" s="277" t="s">
        <v>1072</v>
      </c>
      <c r="POC77" s="277" t="s">
        <v>1072</v>
      </c>
      <c r="POD77" s="277" t="s">
        <v>1072</v>
      </c>
      <c r="POE77" s="277" t="s">
        <v>1072</v>
      </c>
      <c r="POF77" s="277" t="s">
        <v>1072</v>
      </c>
      <c r="POG77" s="277" t="s">
        <v>1072</v>
      </c>
      <c r="POH77" s="277" t="s">
        <v>1072</v>
      </c>
      <c r="POI77" s="277" t="s">
        <v>1072</v>
      </c>
      <c r="POJ77" s="277" t="s">
        <v>1072</v>
      </c>
      <c r="POK77" s="277" t="s">
        <v>1072</v>
      </c>
      <c r="POL77" s="277" t="s">
        <v>1072</v>
      </c>
      <c r="POM77" s="277" t="s">
        <v>1072</v>
      </c>
      <c r="PON77" s="277" t="s">
        <v>1072</v>
      </c>
      <c r="POO77" s="277" t="s">
        <v>1072</v>
      </c>
      <c r="POP77" s="277" t="s">
        <v>1072</v>
      </c>
      <c r="POQ77" s="277" t="s">
        <v>1072</v>
      </c>
      <c r="POR77" s="277" t="s">
        <v>1072</v>
      </c>
      <c r="POS77" s="277" t="s">
        <v>1072</v>
      </c>
      <c r="POT77" s="277" t="s">
        <v>1072</v>
      </c>
      <c r="POU77" s="277" t="s">
        <v>1072</v>
      </c>
      <c r="POV77" s="277" t="s">
        <v>1072</v>
      </c>
      <c r="POW77" s="277" t="s">
        <v>1072</v>
      </c>
      <c r="POX77" s="277" t="s">
        <v>1072</v>
      </c>
      <c r="POY77" s="277" t="s">
        <v>1072</v>
      </c>
      <c r="POZ77" s="277" t="s">
        <v>1072</v>
      </c>
      <c r="PPA77" s="277" t="s">
        <v>1072</v>
      </c>
      <c r="PPB77" s="277" t="s">
        <v>1072</v>
      </c>
      <c r="PPC77" s="277" t="s">
        <v>1072</v>
      </c>
      <c r="PPD77" s="277" t="s">
        <v>1072</v>
      </c>
      <c r="PPE77" s="277" t="s">
        <v>1072</v>
      </c>
      <c r="PPF77" s="277" t="s">
        <v>1072</v>
      </c>
      <c r="PPG77" s="277" t="s">
        <v>1072</v>
      </c>
      <c r="PPH77" s="277" t="s">
        <v>1072</v>
      </c>
      <c r="PPI77" s="277" t="s">
        <v>1072</v>
      </c>
      <c r="PPJ77" s="277" t="s">
        <v>1072</v>
      </c>
      <c r="PPK77" s="277" t="s">
        <v>1072</v>
      </c>
      <c r="PPL77" s="277" t="s">
        <v>1072</v>
      </c>
      <c r="PPM77" s="277" t="s">
        <v>1072</v>
      </c>
      <c r="PPN77" s="277" t="s">
        <v>1072</v>
      </c>
      <c r="PPO77" s="277" t="s">
        <v>1072</v>
      </c>
      <c r="PPP77" s="277" t="s">
        <v>1072</v>
      </c>
      <c r="PPQ77" s="277" t="s">
        <v>1072</v>
      </c>
      <c r="PPR77" s="277" t="s">
        <v>1072</v>
      </c>
      <c r="PPS77" s="277" t="s">
        <v>1072</v>
      </c>
      <c r="PPT77" s="277" t="s">
        <v>1072</v>
      </c>
      <c r="PPU77" s="277" t="s">
        <v>1072</v>
      </c>
      <c r="PPV77" s="277" t="s">
        <v>1072</v>
      </c>
      <c r="PPW77" s="277" t="s">
        <v>1072</v>
      </c>
      <c r="PPX77" s="277" t="s">
        <v>1072</v>
      </c>
      <c r="PPY77" s="277" t="s">
        <v>1072</v>
      </c>
      <c r="PPZ77" s="277" t="s">
        <v>1072</v>
      </c>
      <c r="PQA77" s="277" t="s">
        <v>1072</v>
      </c>
      <c r="PQB77" s="277" t="s">
        <v>1072</v>
      </c>
      <c r="PQC77" s="277" t="s">
        <v>1072</v>
      </c>
      <c r="PQD77" s="277" t="s">
        <v>1072</v>
      </c>
      <c r="PQE77" s="277" t="s">
        <v>1072</v>
      </c>
      <c r="PQF77" s="277" t="s">
        <v>1072</v>
      </c>
      <c r="PQG77" s="277" t="s">
        <v>1072</v>
      </c>
      <c r="PQH77" s="277" t="s">
        <v>1072</v>
      </c>
      <c r="PQI77" s="277" t="s">
        <v>1072</v>
      </c>
      <c r="PQJ77" s="277" t="s">
        <v>1072</v>
      </c>
      <c r="PQK77" s="277" t="s">
        <v>1072</v>
      </c>
      <c r="PQL77" s="277" t="s">
        <v>1072</v>
      </c>
      <c r="PQM77" s="277" t="s">
        <v>1072</v>
      </c>
      <c r="PQN77" s="277" t="s">
        <v>1072</v>
      </c>
      <c r="PQO77" s="277" t="s">
        <v>1072</v>
      </c>
      <c r="PQP77" s="277" t="s">
        <v>1072</v>
      </c>
      <c r="PQQ77" s="277" t="s">
        <v>1072</v>
      </c>
      <c r="PQR77" s="277" t="s">
        <v>1072</v>
      </c>
      <c r="PQS77" s="277" t="s">
        <v>1072</v>
      </c>
      <c r="PQT77" s="277" t="s">
        <v>1072</v>
      </c>
      <c r="PQU77" s="277" t="s">
        <v>1072</v>
      </c>
      <c r="PQV77" s="277" t="s">
        <v>1072</v>
      </c>
      <c r="PQW77" s="277" t="s">
        <v>1072</v>
      </c>
      <c r="PQX77" s="277" t="s">
        <v>1072</v>
      </c>
      <c r="PQY77" s="277" t="s">
        <v>1072</v>
      </c>
      <c r="PQZ77" s="277" t="s">
        <v>1072</v>
      </c>
      <c r="PRA77" s="277" t="s">
        <v>1072</v>
      </c>
      <c r="PRB77" s="277" t="s">
        <v>1072</v>
      </c>
      <c r="PRC77" s="277" t="s">
        <v>1072</v>
      </c>
      <c r="PRD77" s="277" t="s">
        <v>1072</v>
      </c>
      <c r="PRE77" s="277" t="s">
        <v>1072</v>
      </c>
      <c r="PRF77" s="277" t="s">
        <v>1072</v>
      </c>
      <c r="PRG77" s="277" t="s">
        <v>1072</v>
      </c>
      <c r="PRH77" s="277" t="s">
        <v>1072</v>
      </c>
      <c r="PRI77" s="277" t="s">
        <v>1072</v>
      </c>
      <c r="PRJ77" s="277" t="s">
        <v>1072</v>
      </c>
      <c r="PRK77" s="277" t="s">
        <v>1072</v>
      </c>
      <c r="PRL77" s="277" t="s">
        <v>1072</v>
      </c>
      <c r="PRM77" s="277" t="s">
        <v>1072</v>
      </c>
      <c r="PRN77" s="277" t="s">
        <v>1072</v>
      </c>
      <c r="PRO77" s="277" t="s">
        <v>1072</v>
      </c>
      <c r="PRP77" s="277" t="s">
        <v>1072</v>
      </c>
      <c r="PRQ77" s="277" t="s">
        <v>1072</v>
      </c>
      <c r="PRR77" s="277" t="s">
        <v>1072</v>
      </c>
      <c r="PRS77" s="277" t="s">
        <v>1072</v>
      </c>
      <c r="PRT77" s="277" t="s">
        <v>1072</v>
      </c>
      <c r="PRU77" s="277" t="s">
        <v>1072</v>
      </c>
      <c r="PRV77" s="277" t="s">
        <v>1072</v>
      </c>
      <c r="PRW77" s="277" t="s">
        <v>1072</v>
      </c>
      <c r="PRX77" s="277" t="s">
        <v>1072</v>
      </c>
      <c r="PRY77" s="277" t="s">
        <v>1072</v>
      </c>
      <c r="PRZ77" s="277" t="s">
        <v>1072</v>
      </c>
      <c r="PSA77" s="277" t="s">
        <v>1072</v>
      </c>
      <c r="PSB77" s="277" t="s">
        <v>1072</v>
      </c>
      <c r="PSC77" s="277" t="s">
        <v>1072</v>
      </c>
      <c r="PSD77" s="277" t="s">
        <v>1072</v>
      </c>
      <c r="PSE77" s="277" t="s">
        <v>1072</v>
      </c>
      <c r="PSF77" s="277" t="s">
        <v>1072</v>
      </c>
      <c r="PSG77" s="277" t="s">
        <v>1072</v>
      </c>
      <c r="PSH77" s="277" t="s">
        <v>1072</v>
      </c>
      <c r="PSI77" s="277" t="s">
        <v>1072</v>
      </c>
      <c r="PSJ77" s="277" t="s">
        <v>1072</v>
      </c>
      <c r="PSK77" s="277" t="s">
        <v>1072</v>
      </c>
      <c r="PSL77" s="277" t="s">
        <v>1072</v>
      </c>
      <c r="PSM77" s="277" t="s">
        <v>1072</v>
      </c>
      <c r="PSN77" s="277" t="s">
        <v>1072</v>
      </c>
      <c r="PSO77" s="277" t="s">
        <v>1072</v>
      </c>
      <c r="PSP77" s="277" t="s">
        <v>1072</v>
      </c>
      <c r="PSQ77" s="277" t="s">
        <v>1072</v>
      </c>
      <c r="PSR77" s="277" t="s">
        <v>1072</v>
      </c>
      <c r="PSS77" s="277" t="s">
        <v>1072</v>
      </c>
      <c r="PST77" s="277" t="s">
        <v>1072</v>
      </c>
      <c r="PSU77" s="277" t="s">
        <v>1072</v>
      </c>
      <c r="PSV77" s="277" t="s">
        <v>1072</v>
      </c>
      <c r="PSW77" s="277" t="s">
        <v>1072</v>
      </c>
      <c r="PSX77" s="277" t="s">
        <v>1072</v>
      </c>
      <c r="PSY77" s="277" t="s">
        <v>1072</v>
      </c>
      <c r="PSZ77" s="277" t="s">
        <v>1072</v>
      </c>
      <c r="PTA77" s="277" t="s">
        <v>1072</v>
      </c>
      <c r="PTB77" s="277" t="s">
        <v>1072</v>
      </c>
      <c r="PTC77" s="277" t="s">
        <v>1072</v>
      </c>
      <c r="PTD77" s="277" t="s">
        <v>1072</v>
      </c>
      <c r="PTE77" s="277" t="s">
        <v>1072</v>
      </c>
      <c r="PTF77" s="277" t="s">
        <v>1072</v>
      </c>
      <c r="PTG77" s="277" t="s">
        <v>1072</v>
      </c>
      <c r="PTH77" s="277" t="s">
        <v>1072</v>
      </c>
      <c r="PTI77" s="277" t="s">
        <v>1072</v>
      </c>
      <c r="PTJ77" s="277" t="s">
        <v>1072</v>
      </c>
      <c r="PTK77" s="277" t="s">
        <v>1072</v>
      </c>
      <c r="PTL77" s="277" t="s">
        <v>1072</v>
      </c>
      <c r="PTM77" s="277" t="s">
        <v>1072</v>
      </c>
      <c r="PTN77" s="277" t="s">
        <v>1072</v>
      </c>
      <c r="PTO77" s="277" t="s">
        <v>1072</v>
      </c>
      <c r="PTP77" s="277" t="s">
        <v>1072</v>
      </c>
      <c r="PTQ77" s="277" t="s">
        <v>1072</v>
      </c>
      <c r="PTR77" s="277" t="s">
        <v>1072</v>
      </c>
      <c r="PTS77" s="277" t="s">
        <v>1072</v>
      </c>
      <c r="PTT77" s="277" t="s">
        <v>1072</v>
      </c>
      <c r="PTU77" s="277" t="s">
        <v>1072</v>
      </c>
      <c r="PTV77" s="277" t="s">
        <v>1072</v>
      </c>
      <c r="PTW77" s="277" t="s">
        <v>1072</v>
      </c>
      <c r="PTX77" s="277" t="s">
        <v>1072</v>
      </c>
      <c r="PTY77" s="277" t="s">
        <v>1072</v>
      </c>
      <c r="PTZ77" s="277" t="s">
        <v>1072</v>
      </c>
      <c r="PUA77" s="277" t="s">
        <v>1072</v>
      </c>
      <c r="PUB77" s="277" t="s">
        <v>1072</v>
      </c>
      <c r="PUC77" s="277" t="s">
        <v>1072</v>
      </c>
      <c r="PUD77" s="277" t="s">
        <v>1072</v>
      </c>
      <c r="PUE77" s="277" t="s">
        <v>1072</v>
      </c>
      <c r="PUF77" s="277" t="s">
        <v>1072</v>
      </c>
      <c r="PUG77" s="277" t="s">
        <v>1072</v>
      </c>
      <c r="PUH77" s="277" t="s">
        <v>1072</v>
      </c>
      <c r="PUI77" s="277" t="s">
        <v>1072</v>
      </c>
      <c r="PUJ77" s="277" t="s">
        <v>1072</v>
      </c>
      <c r="PUK77" s="277" t="s">
        <v>1072</v>
      </c>
      <c r="PUL77" s="277" t="s">
        <v>1072</v>
      </c>
      <c r="PUM77" s="277" t="s">
        <v>1072</v>
      </c>
      <c r="PUN77" s="277" t="s">
        <v>1072</v>
      </c>
      <c r="PUO77" s="277" t="s">
        <v>1072</v>
      </c>
      <c r="PUP77" s="277" t="s">
        <v>1072</v>
      </c>
      <c r="PUQ77" s="277" t="s">
        <v>1072</v>
      </c>
      <c r="PUR77" s="277" t="s">
        <v>1072</v>
      </c>
      <c r="PUS77" s="277" t="s">
        <v>1072</v>
      </c>
      <c r="PUT77" s="277" t="s">
        <v>1072</v>
      </c>
      <c r="PUU77" s="277" t="s">
        <v>1072</v>
      </c>
      <c r="PUV77" s="277" t="s">
        <v>1072</v>
      </c>
      <c r="PUW77" s="277" t="s">
        <v>1072</v>
      </c>
      <c r="PUX77" s="277" t="s">
        <v>1072</v>
      </c>
      <c r="PUY77" s="277" t="s">
        <v>1072</v>
      </c>
      <c r="PUZ77" s="277" t="s">
        <v>1072</v>
      </c>
      <c r="PVA77" s="277" t="s">
        <v>1072</v>
      </c>
      <c r="PVB77" s="277" t="s">
        <v>1072</v>
      </c>
      <c r="PVC77" s="277" t="s">
        <v>1072</v>
      </c>
      <c r="PVD77" s="277" t="s">
        <v>1072</v>
      </c>
      <c r="PVE77" s="277" t="s">
        <v>1072</v>
      </c>
      <c r="PVF77" s="277" t="s">
        <v>1072</v>
      </c>
      <c r="PVG77" s="277" t="s">
        <v>1072</v>
      </c>
      <c r="PVH77" s="277" t="s">
        <v>1072</v>
      </c>
      <c r="PVI77" s="277" t="s">
        <v>1072</v>
      </c>
      <c r="PVJ77" s="277" t="s">
        <v>1072</v>
      </c>
      <c r="PVK77" s="277" t="s">
        <v>1072</v>
      </c>
      <c r="PVL77" s="277" t="s">
        <v>1072</v>
      </c>
      <c r="PVM77" s="277" t="s">
        <v>1072</v>
      </c>
      <c r="PVN77" s="277" t="s">
        <v>1072</v>
      </c>
      <c r="PVO77" s="277" t="s">
        <v>1072</v>
      </c>
      <c r="PVP77" s="277" t="s">
        <v>1072</v>
      </c>
      <c r="PVQ77" s="277" t="s">
        <v>1072</v>
      </c>
      <c r="PVR77" s="277" t="s">
        <v>1072</v>
      </c>
      <c r="PVS77" s="277" t="s">
        <v>1072</v>
      </c>
      <c r="PVT77" s="277" t="s">
        <v>1072</v>
      </c>
      <c r="PVU77" s="277" t="s">
        <v>1072</v>
      </c>
      <c r="PVV77" s="277" t="s">
        <v>1072</v>
      </c>
      <c r="PVW77" s="277" t="s">
        <v>1072</v>
      </c>
      <c r="PVX77" s="277" t="s">
        <v>1072</v>
      </c>
      <c r="PVY77" s="277" t="s">
        <v>1072</v>
      </c>
      <c r="PVZ77" s="277" t="s">
        <v>1072</v>
      </c>
      <c r="PWA77" s="277" t="s">
        <v>1072</v>
      </c>
      <c r="PWB77" s="277" t="s">
        <v>1072</v>
      </c>
      <c r="PWC77" s="277" t="s">
        <v>1072</v>
      </c>
      <c r="PWD77" s="277" t="s">
        <v>1072</v>
      </c>
      <c r="PWE77" s="277" t="s">
        <v>1072</v>
      </c>
      <c r="PWF77" s="277" t="s">
        <v>1072</v>
      </c>
      <c r="PWG77" s="277" t="s">
        <v>1072</v>
      </c>
      <c r="PWH77" s="277" t="s">
        <v>1072</v>
      </c>
      <c r="PWI77" s="277" t="s">
        <v>1072</v>
      </c>
      <c r="PWJ77" s="277" t="s">
        <v>1072</v>
      </c>
      <c r="PWK77" s="277" t="s">
        <v>1072</v>
      </c>
      <c r="PWL77" s="277" t="s">
        <v>1072</v>
      </c>
      <c r="PWM77" s="277" t="s">
        <v>1072</v>
      </c>
      <c r="PWN77" s="277" t="s">
        <v>1072</v>
      </c>
      <c r="PWO77" s="277" t="s">
        <v>1072</v>
      </c>
      <c r="PWP77" s="277" t="s">
        <v>1072</v>
      </c>
      <c r="PWQ77" s="277" t="s">
        <v>1072</v>
      </c>
      <c r="PWR77" s="277" t="s">
        <v>1072</v>
      </c>
      <c r="PWS77" s="277" t="s">
        <v>1072</v>
      </c>
      <c r="PWT77" s="277" t="s">
        <v>1072</v>
      </c>
      <c r="PWU77" s="277" t="s">
        <v>1072</v>
      </c>
      <c r="PWV77" s="277" t="s">
        <v>1072</v>
      </c>
      <c r="PWW77" s="277" t="s">
        <v>1072</v>
      </c>
      <c r="PWX77" s="277" t="s">
        <v>1072</v>
      </c>
      <c r="PWY77" s="277" t="s">
        <v>1072</v>
      </c>
      <c r="PWZ77" s="277" t="s">
        <v>1072</v>
      </c>
      <c r="PXA77" s="277" t="s">
        <v>1072</v>
      </c>
      <c r="PXB77" s="277" t="s">
        <v>1072</v>
      </c>
      <c r="PXC77" s="277" t="s">
        <v>1072</v>
      </c>
      <c r="PXD77" s="277" t="s">
        <v>1072</v>
      </c>
      <c r="PXE77" s="277" t="s">
        <v>1072</v>
      </c>
      <c r="PXF77" s="277" t="s">
        <v>1072</v>
      </c>
      <c r="PXG77" s="277" t="s">
        <v>1072</v>
      </c>
      <c r="PXH77" s="277" t="s">
        <v>1072</v>
      </c>
      <c r="PXI77" s="277" t="s">
        <v>1072</v>
      </c>
      <c r="PXJ77" s="277" t="s">
        <v>1072</v>
      </c>
      <c r="PXK77" s="277" t="s">
        <v>1072</v>
      </c>
      <c r="PXL77" s="277" t="s">
        <v>1072</v>
      </c>
      <c r="PXM77" s="277" t="s">
        <v>1072</v>
      </c>
      <c r="PXN77" s="277" t="s">
        <v>1072</v>
      </c>
      <c r="PXO77" s="277" t="s">
        <v>1072</v>
      </c>
      <c r="PXP77" s="277" t="s">
        <v>1072</v>
      </c>
      <c r="PXQ77" s="277" t="s">
        <v>1072</v>
      </c>
      <c r="PXR77" s="277" t="s">
        <v>1072</v>
      </c>
      <c r="PXS77" s="277" t="s">
        <v>1072</v>
      </c>
      <c r="PXT77" s="277" t="s">
        <v>1072</v>
      </c>
      <c r="PXU77" s="277" t="s">
        <v>1072</v>
      </c>
      <c r="PXV77" s="277" t="s">
        <v>1072</v>
      </c>
      <c r="PXW77" s="277" t="s">
        <v>1072</v>
      </c>
      <c r="PXX77" s="277" t="s">
        <v>1072</v>
      </c>
      <c r="PXY77" s="277" t="s">
        <v>1072</v>
      </c>
      <c r="PXZ77" s="277" t="s">
        <v>1072</v>
      </c>
      <c r="PYA77" s="277" t="s">
        <v>1072</v>
      </c>
      <c r="PYB77" s="277" t="s">
        <v>1072</v>
      </c>
      <c r="PYC77" s="277" t="s">
        <v>1072</v>
      </c>
      <c r="PYD77" s="277" t="s">
        <v>1072</v>
      </c>
      <c r="PYE77" s="277" t="s">
        <v>1072</v>
      </c>
      <c r="PYF77" s="277" t="s">
        <v>1072</v>
      </c>
      <c r="PYG77" s="277" t="s">
        <v>1072</v>
      </c>
      <c r="PYH77" s="277" t="s">
        <v>1072</v>
      </c>
      <c r="PYI77" s="277" t="s">
        <v>1072</v>
      </c>
      <c r="PYJ77" s="277" t="s">
        <v>1072</v>
      </c>
      <c r="PYK77" s="277" t="s">
        <v>1072</v>
      </c>
      <c r="PYL77" s="277" t="s">
        <v>1072</v>
      </c>
      <c r="PYM77" s="277" t="s">
        <v>1072</v>
      </c>
      <c r="PYN77" s="277" t="s">
        <v>1072</v>
      </c>
      <c r="PYO77" s="277" t="s">
        <v>1072</v>
      </c>
      <c r="PYP77" s="277" t="s">
        <v>1072</v>
      </c>
      <c r="PYQ77" s="277" t="s">
        <v>1072</v>
      </c>
      <c r="PYR77" s="277" t="s">
        <v>1072</v>
      </c>
      <c r="PYS77" s="277" t="s">
        <v>1072</v>
      </c>
      <c r="PYT77" s="277" t="s">
        <v>1072</v>
      </c>
      <c r="PYU77" s="277" t="s">
        <v>1072</v>
      </c>
      <c r="PYV77" s="277" t="s">
        <v>1072</v>
      </c>
      <c r="PYW77" s="277" t="s">
        <v>1072</v>
      </c>
      <c r="PYX77" s="277" t="s">
        <v>1072</v>
      </c>
      <c r="PYY77" s="277" t="s">
        <v>1072</v>
      </c>
      <c r="PYZ77" s="277" t="s">
        <v>1072</v>
      </c>
      <c r="PZA77" s="277" t="s">
        <v>1072</v>
      </c>
      <c r="PZB77" s="277" t="s">
        <v>1072</v>
      </c>
      <c r="PZC77" s="277" t="s">
        <v>1072</v>
      </c>
      <c r="PZD77" s="277" t="s">
        <v>1072</v>
      </c>
      <c r="PZE77" s="277" t="s">
        <v>1072</v>
      </c>
      <c r="PZF77" s="277" t="s">
        <v>1072</v>
      </c>
      <c r="PZG77" s="277" t="s">
        <v>1072</v>
      </c>
      <c r="PZH77" s="277" t="s">
        <v>1072</v>
      </c>
      <c r="PZI77" s="277" t="s">
        <v>1072</v>
      </c>
      <c r="PZJ77" s="277" t="s">
        <v>1072</v>
      </c>
      <c r="PZK77" s="277" t="s">
        <v>1072</v>
      </c>
      <c r="PZL77" s="277" t="s">
        <v>1072</v>
      </c>
      <c r="PZM77" s="277" t="s">
        <v>1072</v>
      </c>
      <c r="PZN77" s="277" t="s">
        <v>1072</v>
      </c>
      <c r="PZO77" s="277" t="s">
        <v>1072</v>
      </c>
      <c r="PZP77" s="277" t="s">
        <v>1072</v>
      </c>
      <c r="PZQ77" s="277" t="s">
        <v>1072</v>
      </c>
      <c r="PZR77" s="277" t="s">
        <v>1072</v>
      </c>
      <c r="PZS77" s="277" t="s">
        <v>1072</v>
      </c>
      <c r="PZT77" s="277" t="s">
        <v>1072</v>
      </c>
      <c r="PZU77" s="277" t="s">
        <v>1072</v>
      </c>
      <c r="PZV77" s="277" t="s">
        <v>1072</v>
      </c>
      <c r="PZW77" s="277" t="s">
        <v>1072</v>
      </c>
      <c r="PZX77" s="277" t="s">
        <v>1072</v>
      </c>
      <c r="PZY77" s="277" t="s">
        <v>1072</v>
      </c>
      <c r="PZZ77" s="277" t="s">
        <v>1072</v>
      </c>
      <c r="QAA77" s="277" t="s">
        <v>1072</v>
      </c>
      <c r="QAB77" s="277" t="s">
        <v>1072</v>
      </c>
      <c r="QAC77" s="277" t="s">
        <v>1072</v>
      </c>
      <c r="QAD77" s="277" t="s">
        <v>1072</v>
      </c>
      <c r="QAE77" s="277" t="s">
        <v>1072</v>
      </c>
      <c r="QAF77" s="277" t="s">
        <v>1072</v>
      </c>
      <c r="QAG77" s="277" t="s">
        <v>1072</v>
      </c>
      <c r="QAH77" s="277" t="s">
        <v>1072</v>
      </c>
      <c r="QAI77" s="277" t="s">
        <v>1072</v>
      </c>
      <c r="QAJ77" s="277" t="s">
        <v>1072</v>
      </c>
      <c r="QAK77" s="277" t="s">
        <v>1072</v>
      </c>
      <c r="QAL77" s="277" t="s">
        <v>1072</v>
      </c>
      <c r="QAM77" s="277" t="s">
        <v>1072</v>
      </c>
      <c r="QAN77" s="277" t="s">
        <v>1072</v>
      </c>
      <c r="QAO77" s="277" t="s">
        <v>1072</v>
      </c>
      <c r="QAP77" s="277" t="s">
        <v>1072</v>
      </c>
      <c r="QAQ77" s="277" t="s">
        <v>1072</v>
      </c>
      <c r="QAR77" s="277" t="s">
        <v>1072</v>
      </c>
      <c r="QAS77" s="277" t="s">
        <v>1072</v>
      </c>
      <c r="QAT77" s="277" t="s">
        <v>1072</v>
      </c>
      <c r="QAU77" s="277" t="s">
        <v>1072</v>
      </c>
      <c r="QAV77" s="277" t="s">
        <v>1072</v>
      </c>
      <c r="QAW77" s="277" t="s">
        <v>1072</v>
      </c>
      <c r="QAX77" s="277" t="s">
        <v>1072</v>
      </c>
      <c r="QAY77" s="277" t="s">
        <v>1072</v>
      </c>
      <c r="QAZ77" s="277" t="s">
        <v>1072</v>
      </c>
      <c r="QBA77" s="277" t="s">
        <v>1072</v>
      </c>
      <c r="QBB77" s="277" t="s">
        <v>1072</v>
      </c>
      <c r="QBC77" s="277" t="s">
        <v>1072</v>
      </c>
      <c r="QBD77" s="277" t="s">
        <v>1072</v>
      </c>
      <c r="QBE77" s="277" t="s">
        <v>1072</v>
      </c>
      <c r="QBF77" s="277" t="s">
        <v>1072</v>
      </c>
      <c r="QBG77" s="277" t="s">
        <v>1072</v>
      </c>
      <c r="QBH77" s="277" t="s">
        <v>1072</v>
      </c>
      <c r="QBI77" s="277" t="s">
        <v>1072</v>
      </c>
      <c r="QBJ77" s="277" t="s">
        <v>1072</v>
      </c>
      <c r="QBK77" s="277" t="s">
        <v>1072</v>
      </c>
      <c r="QBL77" s="277" t="s">
        <v>1072</v>
      </c>
      <c r="QBM77" s="277" t="s">
        <v>1072</v>
      </c>
      <c r="QBN77" s="277" t="s">
        <v>1072</v>
      </c>
      <c r="QBO77" s="277" t="s">
        <v>1072</v>
      </c>
      <c r="QBP77" s="277" t="s">
        <v>1072</v>
      </c>
      <c r="QBQ77" s="277" t="s">
        <v>1072</v>
      </c>
      <c r="QBR77" s="277" t="s">
        <v>1072</v>
      </c>
      <c r="QBS77" s="277" t="s">
        <v>1072</v>
      </c>
      <c r="QBT77" s="277" t="s">
        <v>1072</v>
      </c>
      <c r="QBU77" s="277" t="s">
        <v>1072</v>
      </c>
      <c r="QBV77" s="277" t="s">
        <v>1072</v>
      </c>
      <c r="QBW77" s="277" t="s">
        <v>1072</v>
      </c>
      <c r="QBX77" s="277" t="s">
        <v>1072</v>
      </c>
      <c r="QBY77" s="277" t="s">
        <v>1072</v>
      </c>
      <c r="QBZ77" s="277" t="s">
        <v>1072</v>
      </c>
      <c r="QCA77" s="277" t="s">
        <v>1072</v>
      </c>
      <c r="QCB77" s="277" t="s">
        <v>1072</v>
      </c>
      <c r="QCC77" s="277" t="s">
        <v>1072</v>
      </c>
      <c r="QCD77" s="277" t="s">
        <v>1072</v>
      </c>
      <c r="QCE77" s="277" t="s">
        <v>1072</v>
      </c>
      <c r="QCF77" s="277" t="s">
        <v>1072</v>
      </c>
      <c r="QCG77" s="277" t="s">
        <v>1072</v>
      </c>
      <c r="QCH77" s="277" t="s">
        <v>1072</v>
      </c>
      <c r="QCI77" s="277" t="s">
        <v>1072</v>
      </c>
      <c r="QCJ77" s="277" t="s">
        <v>1072</v>
      </c>
      <c r="QCK77" s="277" t="s">
        <v>1072</v>
      </c>
      <c r="QCL77" s="277" t="s">
        <v>1072</v>
      </c>
      <c r="QCM77" s="277" t="s">
        <v>1072</v>
      </c>
      <c r="QCN77" s="277" t="s">
        <v>1072</v>
      </c>
      <c r="QCO77" s="277" t="s">
        <v>1072</v>
      </c>
      <c r="QCP77" s="277" t="s">
        <v>1072</v>
      </c>
      <c r="QCQ77" s="277" t="s">
        <v>1072</v>
      </c>
      <c r="QCR77" s="277" t="s">
        <v>1072</v>
      </c>
      <c r="QCS77" s="277" t="s">
        <v>1072</v>
      </c>
      <c r="QCT77" s="277" t="s">
        <v>1072</v>
      </c>
      <c r="QCU77" s="277" t="s">
        <v>1072</v>
      </c>
      <c r="QCV77" s="277" t="s">
        <v>1072</v>
      </c>
      <c r="QCW77" s="277" t="s">
        <v>1072</v>
      </c>
      <c r="QCX77" s="277" t="s">
        <v>1072</v>
      </c>
      <c r="QCY77" s="277" t="s">
        <v>1072</v>
      </c>
      <c r="QCZ77" s="277" t="s">
        <v>1072</v>
      </c>
      <c r="QDA77" s="277" t="s">
        <v>1072</v>
      </c>
      <c r="QDB77" s="277" t="s">
        <v>1072</v>
      </c>
      <c r="QDC77" s="277" t="s">
        <v>1072</v>
      </c>
      <c r="QDD77" s="277" t="s">
        <v>1072</v>
      </c>
      <c r="QDE77" s="277" t="s">
        <v>1072</v>
      </c>
      <c r="QDF77" s="277" t="s">
        <v>1072</v>
      </c>
      <c r="QDG77" s="277" t="s">
        <v>1072</v>
      </c>
      <c r="QDH77" s="277" t="s">
        <v>1072</v>
      </c>
      <c r="QDI77" s="277" t="s">
        <v>1072</v>
      </c>
      <c r="QDJ77" s="277" t="s">
        <v>1072</v>
      </c>
      <c r="QDK77" s="277" t="s">
        <v>1072</v>
      </c>
      <c r="QDL77" s="277" t="s">
        <v>1072</v>
      </c>
      <c r="QDM77" s="277" t="s">
        <v>1072</v>
      </c>
      <c r="QDN77" s="277" t="s">
        <v>1072</v>
      </c>
      <c r="QDO77" s="277" t="s">
        <v>1072</v>
      </c>
      <c r="QDP77" s="277" t="s">
        <v>1072</v>
      </c>
      <c r="QDQ77" s="277" t="s">
        <v>1072</v>
      </c>
      <c r="QDR77" s="277" t="s">
        <v>1072</v>
      </c>
      <c r="QDS77" s="277" t="s">
        <v>1072</v>
      </c>
      <c r="QDT77" s="277" t="s">
        <v>1072</v>
      </c>
      <c r="QDU77" s="277" t="s">
        <v>1072</v>
      </c>
      <c r="QDV77" s="277" t="s">
        <v>1072</v>
      </c>
      <c r="QDW77" s="277" t="s">
        <v>1072</v>
      </c>
      <c r="QDX77" s="277" t="s">
        <v>1072</v>
      </c>
      <c r="QDY77" s="277" t="s">
        <v>1072</v>
      </c>
      <c r="QDZ77" s="277" t="s">
        <v>1072</v>
      </c>
      <c r="QEA77" s="277" t="s">
        <v>1072</v>
      </c>
      <c r="QEB77" s="277" t="s">
        <v>1072</v>
      </c>
      <c r="QEC77" s="277" t="s">
        <v>1072</v>
      </c>
      <c r="QED77" s="277" t="s">
        <v>1072</v>
      </c>
      <c r="QEE77" s="277" t="s">
        <v>1072</v>
      </c>
      <c r="QEF77" s="277" t="s">
        <v>1072</v>
      </c>
      <c r="QEG77" s="277" t="s">
        <v>1072</v>
      </c>
      <c r="QEH77" s="277" t="s">
        <v>1072</v>
      </c>
      <c r="QEI77" s="277" t="s">
        <v>1072</v>
      </c>
      <c r="QEJ77" s="277" t="s">
        <v>1072</v>
      </c>
      <c r="QEK77" s="277" t="s">
        <v>1072</v>
      </c>
      <c r="QEL77" s="277" t="s">
        <v>1072</v>
      </c>
      <c r="QEM77" s="277" t="s">
        <v>1072</v>
      </c>
      <c r="QEN77" s="277" t="s">
        <v>1072</v>
      </c>
      <c r="QEO77" s="277" t="s">
        <v>1072</v>
      </c>
      <c r="QEP77" s="277" t="s">
        <v>1072</v>
      </c>
      <c r="QEQ77" s="277" t="s">
        <v>1072</v>
      </c>
      <c r="QER77" s="277" t="s">
        <v>1072</v>
      </c>
      <c r="QES77" s="277" t="s">
        <v>1072</v>
      </c>
      <c r="QET77" s="277" t="s">
        <v>1072</v>
      </c>
      <c r="QEU77" s="277" t="s">
        <v>1072</v>
      </c>
      <c r="QEV77" s="277" t="s">
        <v>1072</v>
      </c>
      <c r="QEW77" s="277" t="s">
        <v>1072</v>
      </c>
      <c r="QEX77" s="277" t="s">
        <v>1072</v>
      </c>
      <c r="QEY77" s="277" t="s">
        <v>1072</v>
      </c>
      <c r="QEZ77" s="277" t="s">
        <v>1072</v>
      </c>
      <c r="QFA77" s="277" t="s">
        <v>1072</v>
      </c>
      <c r="QFB77" s="277" t="s">
        <v>1072</v>
      </c>
      <c r="QFC77" s="277" t="s">
        <v>1072</v>
      </c>
      <c r="QFD77" s="277" t="s">
        <v>1072</v>
      </c>
      <c r="QFE77" s="277" t="s">
        <v>1072</v>
      </c>
      <c r="QFF77" s="277" t="s">
        <v>1072</v>
      </c>
      <c r="QFG77" s="277" t="s">
        <v>1072</v>
      </c>
      <c r="QFH77" s="277" t="s">
        <v>1072</v>
      </c>
      <c r="QFI77" s="277" t="s">
        <v>1072</v>
      </c>
      <c r="QFJ77" s="277" t="s">
        <v>1072</v>
      </c>
      <c r="QFK77" s="277" t="s">
        <v>1072</v>
      </c>
      <c r="QFL77" s="277" t="s">
        <v>1072</v>
      </c>
      <c r="QFM77" s="277" t="s">
        <v>1072</v>
      </c>
      <c r="QFN77" s="277" t="s">
        <v>1072</v>
      </c>
      <c r="QFO77" s="277" t="s">
        <v>1072</v>
      </c>
      <c r="QFP77" s="277" t="s">
        <v>1072</v>
      </c>
      <c r="QFQ77" s="277" t="s">
        <v>1072</v>
      </c>
      <c r="QFR77" s="277" t="s">
        <v>1072</v>
      </c>
      <c r="QFS77" s="277" t="s">
        <v>1072</v>
      </c>
      <c r="QFT77" s="277" t="s">
        <v>1072</v>
      </c>
      <c r="QFU77" s="277" t="s">
        <v>1072</v>
      </c>
      <c r="QFV77" s="277" t="s">
        <v>1072</v>
      </c>
      <c r="QFW77" s="277" t="s">
        <v>1072</v>
      </c>
      <c r="QFX77" s="277" t="s">
        <v>1072</v>
      </c>
      <c r="QFY77" s="277" t="s">
        <v>1072</v>
      </c>
      <c r="QFZ77" s="277" t="s">
        <v>1072</v>
      </c>
      <c r="QGA77" s="277" t="s">
        <v>1072</v>
      </c>
      <c r="QGB77" s="277" t="s">
        <v>1072</v>
      </c>
      <c r="QGC77" s="277" t="s">
        <v>1072</v>
      </c>
      <c r="QGD77" s="277" t="s">
        <v>1072</v>
      </c>
      <c r="QGE77" s="277" t="s">
        <v>1072</v>
      </c>
      <c r="QGF77" s="277" t="s">
        <v>1072</v>
      </c>
      <c r="QGG77" s="277" t="s">
        <v>1072</v>
      </c>
      <c r="QGH77" s="277" t="s">
        <v>1072</v>
      </c>
      <c r="QGI77" s="277" t="s">
        <v>1072</v>
      </c>
      <c r="QGJ77" s="277" t="s">
        <v>1072</v>
      </c>
      <c r="QGK77" s="277" t="s">
        <v>1072</v>
      </c>
      <c r="QGL77" s="277" t="s">
        <v>1072</v>
      </c>
      <c r="QGM77" s="277" t="s">
        <v>1072</v>
      </c>
      <c r="QGN77" s="277" t="s">
        <v>1072</v>
      </c>
      <c r="QGO77" s="277" t="s">
        <v>1072</v>
      </c>
      <c r="QGP77" s="277" t="s">
        <v>1072</v>
      </c>
      <c r="QGQ77" s="277" t="s">
        <v>1072</v>
      </c>
      <c r="QGR77" s="277" t="s">
        <v>1072</v>
      </c>
      <c r="QGS77" s="277" t="s">
        <v>1072</v>
      </c>
      <c r="QGT77" s="277" t="s">
        <v>1072</v>
      </c>
      <c r="QGU77" s="277" t="s">
        <v>1072</v>
      </c>
      <c r="QGV77" s="277" t="s">
        <v>1072</v>
      </c>
      <c r="QGW77" s="277" t="s">
        <v>1072</v>
      </c>
      <c r="QGX77" s="277" t="s">
        <v>1072</v>
      </c>
      <c r="QGY77" s="277" t="s">
        <v>1072</v>
      </c>
      <c r="QGZ77" s="277" t="s">
        <v>1072</v>
      </c>
      <c r="QHA77" s="277" t="s">
        <v>1072</v>
      </c>
      <c r="QHB77" s="277" t="s">
        <v>1072</v>
      </c>
      <c r="QHC77" s="277" t="s">
        <v>1072</v>
      </c>
      <c r="QHD77" s="277" t="s">
        <v>1072</v>
      </c>
      <c r="QHE77" s="277" t="s">
        <v>1072</v>
      </c>
      <c r="QHF77" s="277" t="s">
        <v>1072</v>
      </c>
      <c r="QHG77" s="277" t="s">
        <v>1072</v>
      </c>
      <c r="QHH77" s="277" t="s">
        <v>1072</v>
      </c>
      <c r="QHI77" s="277" t="s">
        <v>1072</v>
      </c>
      <c r="QHJ77" s="277" t="s">
        <v>1072</v>
      </c>
      <c r="QHK77" s="277" t="s">
        <v>1072</v>
      </c>
      <c r="QHL77" s="277" t="s">
        <v>1072</v>
      </c>
      <c r="QHM77" s="277" t="s">
        <v>1072</v>
      </c>
      <c r="QHN77" s="277" t="s">
        <v>1072</v>
      </c>
      <c r="QHO77" s="277" t="s">
        <v>1072</v>
      </c>
      <c r="QHP77" s="277" t="s">
        <v>1072</v>
      </c>
      <c r="QHQ77" s="277" t="s">
        <v>1072</v>
      </c>
      <c r="QHR77" s="277" t="s">
        <v>1072</v>
      </c>
      <c r="QHS77" s="277" t="s">
        <v>1072</v>
      </c>
      <c r="QHT77" s="277" t="s">
        <v>1072</v>
      </c>
      <c r="QHU77" s="277" t="s">
        <v>1072</v>
      </c>
      <c r="QHV77" s="277" t="s">
        <v>1072</v>
      </c>
      <c r="QHW77" s="277" t="s">
        <v>1072</v>
      </c>
      <c r="QHX77" s="277" t="s">
        <v>1072</v>
      </c>
      <c r="QHY77" s="277" t="s">
        <v>1072</v>
      </c>
      <c r="QHZ77" s="277" t="s">
        <v>1072</v>
      </c>
      <c r="QIA77" s="277" t="s">
        <v>1072</v>
      </c>
      <c r="QIB77" s="277" t="s">
        <v>1072</v>
      </c>
      <c r="QIC77" s="277" t="s">
        <v>1072</v>
      </c>
      <c r="QID77" s="277" t="s">
        <v>1072</v>
      </c>
      <c r="QIE77" s="277" t="s">
        <v>1072</v>
      </c>
      <c r="QIF77" s="277" t="s">
        <v>1072</v>
      </c>
      <c r="QIG77" s="277" t="s">
        <v>1072</v>
      </c>
      <c r="QIH77" s="277" t="s">
        <v>1072</v>
      </c>
      <c r="QII77" s="277" t="s">
        <v>1072</v>
      </c>
      <c r="QIJ77" s="277" t="s">
        <v>1072</v>
      </c>
      <c r="QIK77" s="277" t="s">
        <v>1072</v>
      </c>
      <c r="QIL77" s="277" t="s">
        <v>1072</v>
      </c>
      <c r="QIM77" s="277" t="s">
        <v>1072</v>
      </c>
      <c r="QIN77" s="277" t="s">
        <v>1072</v>
      </c>
      <c r="QIO77" s="277" t="s">
        <v>1072</v>
      </c>
      <c r="QIP77" s="277" t="s">
        <v>1072</v>
      </c>
      <c r="QIQ77" s="277" t="s">
        <v>1072</v>
      </c>
      <c r="QIR77" s="277" t="s">
        <v>1072</v>
      </c>
      <c r="QIS77" s="277" t="s">
        <v>1072</v>
      </c>
      <c r="QIT77" s="277" t="s">
        <v>1072</v>
      </c>
      <c r="QIU77" s="277" t="s">
        <v>1072</v>
      </c>
      <c r="QIV77" s="277" t="s">
        <v>1072</v>
      </c>
      <c r="QIW77" s="277" t="s">
        <v>1072</v>
      </c>
      <c r="QIX77" s="277" t="s">
        <v>1072</v>
      </c>
      <c r="QIY77" s="277" t="s">
        <v>1072</v>
      </c>
      <c r="QIZ77" s="277" t="s">
        <v>1072</v>
      </c>
      <c r="QJA77" s="277" t="s">
        <v>1072</v>
      </c>
      <c r="QJB77" s="277" t="s">
        <v>1072</v>
      </c>
      <c r="QJC77" s="277" t="s">
        <v>1072</v>
      </c>
      <c r="QJD77" s="277" t="s">
        <v>1072</v>
      </c>
      <c r="QJE77" s="277" t="s">
        <v>1072</v>
      </c>
      <c r="QJF77" s="277" t="s">
        <v>1072</v>
      </c>
      <c r="QJG77" s="277" t="s">
        <v>1072</v>
      </c>
      <c r="QJH77" s="277" t="s">
        <v>1072</v>
      </c>
      <c r="QJI77" s="277" t="s">
        <v>1072</v>
      </c>
      <c r="QJJ77" s="277" t="s">
        <v>1072</v>
      </c>
      <c r="QJK77" s="277" t="s">
        <v>1072</v>
      </c>
      <c r="QJL77" s="277" t="s">
        <v>1072</v>
      </c>
      <c r="QJM77" s="277" t="s">
        <v>1072</v>
      </c>
      <c r="QJN77" s="277" t="s">
        <v>1072</v>
      </c>
      <c r="QJO77" s="277" t="s">
        <v>1072</v>
      </c>
      <c r="QJP77" s="277" t="s">
        <v>1072</v>
      </c>
      <c r="QJQ77" s="277" t="s">
        <v>1072</v>
      </c>
      <c r="QJR77" s="277" t="s">
        <v>1072</v>
      </c>
      <c r="QJS77" s="277" t="s">
        <v>1072</v>
      </c>
      <c r="QJT77" s="277" t="s">
        <v>1072</v>
      </c>
      <c r="QJU77" s="277" t="s">
        <v>1072</v>
      </c>
      <c r="QJV77" s="277" t="s">
        <v>1072</v>
      </c>
      <c r="QJW77" s="277" t="s">
        <v>1072</v>
      </c>
      <c r="QJX77" s="277" t="s">
        <v>1072</v>
      </c>
      <c r="QJY77" s="277" t="s">
        <v>1072</v>
      </c>
      <c r="QJZ77" s="277" t="s">
        <v>1072</v>
      </c>
      <c r="QKA77" s="277" t="s">
        <v>1072</v>
      </c>
      <c r="QKB77" s="277" t="s">
        <v>1072</v>
      </c>
      <c r="QKC77" s="277" t="s">
        <v>1072</v>
      </c>
      <c r="QKD77" s="277" t="s">
        <v>1072</v>
      </c>
      <c r="QKE77" s="277" t="s">
        <v>1072</v>
      </c>
      <c r="QKF77" s="277" t="s">
        <v>1072</v>
      </c>
      <c r="QKG77" s="277" t="s">
        <v>1072</v>
      </c>
      <c r="QKH77" s="277" t="s">
        <v>1072</v>
      </c>
      <c r="QKI77" s="277" t="s">
        <v>1072</v>
      </c>
      <c r="QKJ77" s="277" t="s">
        <v>1072</v>
      </c>
      <c r="QKK77" s="277" t="s">
        <v>1072</v>
      </c>
      <c r="QKL77" s="277" t="s">
        <v>1072</v>
      </c>
      <c r="QKM77" s="277" t="s">
        <v>1072</v>
      </c>
      <c r="QKN77" s="277" t="s">
        <v>1072</v>
      </c>
      <c r="QKO77" s="277" t="s">
        <v>1072</v>
      </c>
      <c r="QKP77" s="277" t="s">
        <v>1072</v>
      </c>
      <c r="QKQ77" s="277" t="s">
        <v>1072</v>
      </c>
      <c r="QKR77" s="277" t="s">
        <v>1072</v>
      </c>
      <c r="QKS77" s="277" t="s">
        <v>1072</v>
      </c>
      <c r="QKT77" s="277" t="s">
        <v>1072</v>
      </c>
      <c r="QKU77" s="277" t="s">
        <v>1072</v>
      </c>
      <c r="QKV77" s="277" t="s">
        <v>1072</v>
      </c>
      <c r="QKW77" s="277" t="s">
        <v>1072</v>
      </c>
      <c r="QKX77" s="277" t="s">
        <v>1072</v>
      </c>
      <c r="QKY77" s="277" t="s">
        <v>1072</v>
      </c>
      <c r="QKZ77" s="277" t="s">
        <v>1072</v>
      </c>
      <c r="QLA77" s="277" t="s">
        <v>1072</v>
      </c>
      <c r="QLB77" s="277" t="s">
        <v>1072</v>
      </c>
      <c r="QLC77" s="277" t="s">
        <v>1072</v>
      </c>
      <c r="QLD77" s="277" t="s">
        <v>1072</v>
      </c>
      <c r="QLE77" s="277" t="s">
        <v>1072</v>
      </c>
      <c r="QLF77" s="277" t="s">
        <v>1072</v>
      </c>
      <c r="QLG77" s="277" t="s">
        <v>1072</v>
      </c>
      <c r="QLH77" s="277" t="s">
        <v>1072</v>
      </c>
      <c r="QLI77" s="277" t="s">
        <v>1072</v>
      </c>
      <c r="QLJ77" s="277" t="s">
        <v>1072</v>
      </c>
      <c r="QLK77" s="277" t="s">
        <v>1072</v>
      </c>
      <c r="QLL77" s="277" t="s">
        <v>1072</v>
      </c>
      <c r="QLM77" s="277" t="s">
        <v>1072</v>
      </c>
      <c r="QLN77" s="277" t="s">
        <v>1072</v>
      </c>
      <c r="QLO77" s="277" t="s">
        <v>1072</v>
      </c>
      <c r="QLP77" s="277" t="s">
        <v>1072</v>
      </c>
      <c r="QLQ77" s="277" t="s">
        <v>1072</v>
      </c>
      <c r="QLR77" s="277" t="s">
        <v>1072</v>
      </c>
      <c r="QLS77" s="277" t="s">
        <v>1072</v>
      </c>
      <c r="QLT77" s="277" t="s">
        <v>1072</v>
      </c>
      <c r="QLU77" s="277" t="s">
        <v>1072</v>
      </c>
      <c r="QLV77" s="277" t="s">
        <v>1072</v>
      </c>
      <c r="QLW77" s="277" t="s">
        <v>1072</v>
      </c>
      <c r="QLX77" s="277" t="s">
        <v>1072</v>
      </c>
      <c r="QLY77" s="277" t="s">
        <v>1072</v>
      </c>
      <c r="QLZ77" s="277" t="s">
        <v>1072</v>
      </c>
      <c r="QMA77" s="277" t="s">
        <v>1072</v>
      </c>
      <c r="QMB77" s="277" t="s">
        <v>1072</v>
      </c>
      <c r="QMC77" s="277" t="s">
        <v>1072</v>
      </c>
      <c r="QMD77" s="277" t="s">
        <v>1072</v>
      </c>
      <c r="QME77" s="277" t="s">
        <v>1072</v>
      </c>
      <c r="QMF77" s="277" t="s">
        <v>1072</v>
      </c>
      <c r="QMG77" s="277" t="s">
        <v>1072</v>
      </c>
      <c r="QMH77" s="277" t="s">
        <v>1072</v>
      </c>
      <c r="QMI77" s="277" t="s">
        <v>1072</v>
      </c>
      <c r="QMJ77" s="277" t="s">
        <v>1072</v>
      </c>
      <c r="QMK77" s="277" t="s">
        <v>1072</v>
      </c>
      <c r="QML77" s="277" t="s">
        <v>1072</v>
      </c>
      <c r="QMM77" s="277" t="s">
        <v>1072</v>
      </c>
      <c r="QMN77" s="277" t="s">
        <v>1072</v>
      </c>
      <c r="QMO77" s="277" t="s">
        <v>1072</v>
      </c>
      <c r="QMP77" s="277" t="s">
        <v>1072</v>
      </c>
      <c r="QMQ77" s="277" t="s">
        <v>1072</v>
      </c>
      <c r="QMR77" s="277" t="s">
        <v>1072</v>
      </c>
      <c r="QMS77" s="277" t="s">
        <v>1072</v>
      </c>
      <c r="QMT77" s="277" t="s">
        <v>1072</v>
      </c>
      <c r="QMU77" s="277" t="s">
        <v>1072</v>
      </c>
      <c r="QMV77" s="277" t="s">
        <v>1072</v>
      </c>
      <c r="QMW77" s="277" t="s">
        <v>1072</v>
      </c>
      <c r="QMX77" s="277" t="s">
        <v>1072</v>
      </c>
      <c r="QMY77" s="277" t="s">
        <v>1072</v>
      </c>
      <c r="QMZ77" s="277" t="s">
        <v>1072</v>
      </c>
      <c r="QNA77" s="277" t="s">
        <v>1072</v>
      </c>
      <c r="QNB77" s="277" t="s">
        <v>1072</v>
      </c>
      <c r="QNC77" s="277" t="s">
        <v>1072</v>
      </c>
      <c r="QND77" s="277" t="s">
        <v>1072</v>
      </c>
      <c r="QNE77" s="277" t="s">
        <v>1072</v>
      </c>
      <c r="QNF77" s="277" t="s">
        <v>1072</v>
      </c>
      <c r="QNG77" s="277" t="s">
        <v>1072</v>
      </c>
      <c r="QNH77" s="277" t="s">
        <v>1072</v>
      </c>
      <c r="QNI77" s="277" t="s">
        <v>1072</v>
      </c>
      <c r="QNJ77" s="277" t="s">
        <v>1072</v>
      </c>
      <c r="QNK77" s="277" t="s">
        <v>1072</v>
      </c>
      <c r="QNL77" s="277" t="s">
        <v>1072</v>
      </c>
      <c r="QNM77" s="277" t="s">
        <v>1072</v>
      </c>
      <c r="QNN77" s="277" t="s">
        <v>1072</v>
      </c>
      <c r="QNO77" s="277" t="s">
        <v>1072</v>
      </c>
      <c r="QNP77" s="277" t="s">
        <v>1072</v>
      </c>
      <c r="QNQ77" s="277" t="s">
        <v>1072</v>
      </c>
      <c r="QNR77" s="277" t="s">
        <v>1072</v>
      </c>
      <c r="QNS77" s="277" t="s">
        <v>1072</v>
      </c>
      <c r="QNT77" s="277" t="s">
        <v>1072</v>
      </c>
      <c r="QNU77" s="277" t="s">
        <v>1072</v>
      </c>
      <c r="QNV77" s="277" t="s">
        <v>1072</v>
      </c>
      <c r="QNW77" s="277" t="s">
        <v>1072</v>
      </c>
      <c r="QNX77" s="277" t="s">
        <v>1072</v>
      </c>
      <c r="QNY77" s="277" t="s">
        <v>1072</v>
      </c>
      <c r="QNZ77" s="277" t="s">
        <v>1072</v>
      </c>
      <c r="QOA77" s="277" t="s">
        <v>1072</v>
      </c>
      <c r="QOB77" s="277" t="s">
        <v>1072</v>
      </c>
      <c r="QOC77" s="277" t="s">
        <v>1072</v>
      </c>
      <c r="QOD77" s="277" t="s">
        <v>1072</v>
      </c>
      <c r="QOE77" s="277" t="s">
        <v>1072</v>
      </c>
      <c r="QOF77" s="277" t="s">
        <v>1072</v>
      </c>
      <c r="QOG77" s="277" t="s">
        <v>1072</v>
      </c>
      <c r="QOH77" s="277" t="s">
        <v>1072</v>
      </c>
      <c r="QOI77" s="277" t="s">
        <v>1072</v>
      </c>
      <c r="QOJ77" s="277" t="s">
        <v>1072</v>
      </c>
      <c r="QOK77" s="277" t="s">
        <v>1072</v>
      </c>
      <c r="QOL77" s="277" t="s">
        <v>1072</v>
      </c>
      <c r="QOM77" s="277" t="s">
        <v>1072</v>
      </c>
      <c r="QON77" s="277" t="s">
        <v>1072</v>
      </c>
      <c r="QOO77" s="277" t="s">
        <v>1072</v>
      </c>
      <c r="QOP77" s="277" t="s">
        <v>1072</v>
      </c>
      <c r="QOQ77" s="277" t="s">
        <v>1072</v>
      </c>
      <c r="QOR77" s="277" t="s">
        <v>1072</v>
      </c>
      <c r="QOS77" s="277" t="s">
        <v>1072</v>
      </c>
      <c r="QOT77" s="277" t="s">
        <v>1072</v>
      </c>
      <c r="QOU77" s="277" t="s">
        <v>1072</v>
      </c>
      <c r="QOV77" s="277" t="s">
        <v>1072</v>
      </c>
      <c r="QOW77" s="277" t="s">
        <v>1072</v>
      </c>
      <c r="QOX77" s="277" t="s">
        <v>1072</v>
      </c>
      <c r="QOY77" s="277" t="s">
        <v>1072</v>
      </c>
      <c r="QOZ77" s="277" t="s">
        <v>1072</v>
      </c>
      <c r="QPA77" s="277" t="s">
        <v>1072</v>
      </c>
      <c r="QPB77" s="277" t="s">
        <v>1072</v>
      </c>
      <c r="QPC77" s="277" t="s">
        <v>1072</v>
      </c>
      <c r="QPD77" s="277" t="s">
        <v>1072</v>
      </c>
      <c r="QPE77" s="277" t="s">
        <v>1072</v>
      </c>
      <c r="QPF77" s="277" t="s">
        <v>1072</v>
      </c>
      <c r="QPG77" s="277" t="s">
        <v>1072</v>
      </c>
      <c r="QPH77" s="277" t="s">
        <v>1072</v>
      </c>
      <c r="QPI77" s="277" t="s">
        <v>1072</v>
      </c>
      <c r="QPJ77" s="277" t="s">
        <v>1072</v>
      </c>
      <c r="QPK77" s="277" t="s">
        <v>1072</v>
      </c>
      <c r="QPL77" s="277" t="s">
        <v>1072</v>
      </c>
      <c r="QPM77" s="277" t="s">
        <v>1072</v>
      </c>
      <c r="QPN77" s="277" t="s">
        <v>1072</v>
      </c>
      <c r="QPO77" s="277" t="s">
        <v>1072</v>
      </c>
      <c r="QPP77" s="277" t="s">
        <v>1072</v>
      </c>
      <c r="QPQ77" s="277" t="s">
        <v>1072</v>
      </c>
      <c r="QPR77" s="277" t="s">
        <v>1072</v>
      </c>
      <c r="QPS77" s="277" t="s">
        <v>1072</v>
      </c>
      <c r="QPT77" s="277" t="s">
        <v>1072</v>
      </c>
      <c r="QPU77" s="277" t="s">
        <v>1072</v>
      </c>
      <c r="QPV77" s="277" t="s">
        <v>1072</v>
      </c>
      <c r="QPW77" s="277" t="s">
        <v>1072</v>
      </c>
      <c r="QPX77" s="277" t="s">
        <v>1072</v>
      </c>
      <c r="QPY77" s="277" t="s">
        <v>1072</v>
      </c>
      <c r="QPZ77" s="277" t="s">
        <v>1072</v>
      </c>
      <c r="QQA77" s="277" t="s">
        <v>1072</v>
      </c>
      <c r="QQB77" s="277" t="s">
        <v>1072</v>
      </c>
      <c r="QQC77" s="277" t="s">
        <v>1072</v>
      </c>
      <c r="QQD77" s="277" t="s">
        <v>1072</v>
      </c>
      <c r="QQE77" s="277" t="s">
        <v>1072</v>
      </c>
      <c r="QQF77" s="277" t="s">
        <v>1072</v>
      </c>
      <c r="QQG77" s="277" t="s">
        <v>1072</v>
      </c>
      <c r="QQH77" s="277" t="s">
        <v>1072</v>
      </c>
      <c r="QQI77" s="277" t="s">
        <v>1072</v>
      </c>
      <c r="QQJ77" s="277" t="s">
        <v>1072</v>
      </c>
      <c r="QQK77" s="277" t="s">
        <v>1072</v>
      </c>
      <c r="QQL77" s="277" t="s">
        <v>1072</v>
      </c>
      <c r="QQM77" s="277" t="s">
        <v>1072</v>
      </c>
      <c r="QQN77" s="277" t="s">
        <v>1072</v>
      </c>
      <c r="QQO77" s="277" t="s">
        <v>1072</v>
      </c>
      <c r="QQP77" s="277" t="s">
        <v>1072</v>
      </c>
      <c r="QQQ77" s="277" t="s">
        <v>1072</v>
      </c>
      <c r="QQR77" s="277" t="s">
        <v>1072</v>
      </c>
      <c r="QQS77" s="277" t="s">
        <v>1072</v>
      </c>
      <c r="QQT77" s="277" t="s">
        <v>1072</v>
      </c>
      <c r="QQU77" s="277" t="s">
        <v>1072</v>
      </c>
      <c r="QQV77" s="277" t="s">
        <v>1072</v>
      </c>
      <c r="QQW77" s="277" t="s">
        <v>1072</v>
      </c>
      <c r="QQX77" s="277" t="s">
        <v>1072</v>
      </c>
      <c r="QQY77" s="277" t="s">
        <v>1072</v>
      </c>
      <c r="QQZ77" s="277" t="s">
        <v>1072</v>
      </c>
      <c r="QRA77" s="277" t="s">
        <v>1072</v>
      </c>
      <c r="QRB77" s="277" t="s">
        <v>1072</v>
      </c>
      <c r="QRC77" s="277" t="s">
        <v>1072</v>
      </c>
      <c r="QRD77" s="277" t="s">
        <v>1072</v>
      </c>
      <c r="QRE77" s="277" t="s">
        <v>1072</v>
      </c>
      <c r="QRF77" s="277" t="s">
        <v>1072</v>
      </c>
      <c r="QRG77" s="277" t="s">
        <v>1072</v>
      </c>
      <c r="QRH77" s="277" t="s">
        <v>1072</v>
      </c>
      <c r="QRI77" s="277" t="s">
        <v>1072</v>
      </c>
      <c r="QRJ77" s="277" t="s">
        <v>1072</v>
      </c>
      <c r="QRK77" s="277" t="s">
        <v>1072</v>
      </c>
      <c r="QRL77" s="277" t="s">
        <v>1072</v>
      </c>
      <c r="QRM77" s="277" t="s">
        <v>1072</v>
      </c>
      <c r="QRN77" s="277" t="s">
        <v>1072</v>
      </c>
      <c r="QRO77" s="277" t="s">
        <v>1072</v>
      </c>
      <c r="QRP77" s="277" t="s">
        <v>1072</v>
      </c>
      <c r="QRQ77" s="277" t="s">
        <v>1072</v>
      </c>
      <c r="QRR77" s="277" t="s">
        <v>1072</v>
      </c>
      <c r="QRS77" s="277" t="s">
        <v>1072</v>
      </c>
      <c r="QRT77" s="277" t="s">
        <v>1072</v>
      </c>
      <c r="QRU77" s="277" t="s">
        <v>1072</v>
      </c>
      <c r="QRV77" s="277" t="s">
        <v>1072</v>
      </c>
      <c r="QRW77" s="277" t="s">
        <v>1072</v>
      </c>
      <c r="QRX77" s="277" t="s">
        <v>1072</v>
      </c>
      <c r="QRY77" s="277" t="s">
        <v>1072</v>
      </c>
      <c r="QRZ77" s="277" t="s">
        <v>1072</v>
      </c>
      <c r="QSA77" s="277" t="s">
        <v>1072</v>
      </c>
      <c r="QSB77" s="277" t="s">
        <v>1072</v>
      </c>
      <c r="QSC77" s="277" t="s">
        <v>1072</v>
      </c>
      <c r="QSD77" s="277" t="s">
        <v>1072</v>
      </c>
      <c r="QSE77" s="277" t="s">
        <v>1072</v>
      </c>
      <c r="QSF77" s="277" t="s">
        <v>1072</v>
      </c>
      <c r="QSG77" s="277" t="s">
        <v>1072</v>
      </c>
      <c r="QSH77" s="277" t="s">
        <v>1072</v>
      </c>
      <c r="QSI77" s="277" t="s">
        <v>1072</v>
      </c>
      <c r="QSJ77" s="277" t="s">
        <v>1072</v>
      </c>
      <c r="QSK77" s="277" t="s">
        <v>1072</v>
      </c>
      <c r="QSL77" s="277" t="s">
        <v>1072</v>
      </c>
      <c r="QSM77" s="277" t="s">
        <v>1072</v>
      </c>
      <c r="QSN77" s="277" t="s">
        <v>1072</v>
      </c>
      <c r="QSO77" s="277" t="s">
        <v>1072</v>
      </c>
      <c r="QSP77" s="277" t="s">
        <v>1072</v>
      </c>
      <c r="QSQ77" s="277" t="s">
        <v>1072</v>
      </c>
      <c r="QSR77" s="277" t="s">
        <v>1072</v>
      </c>
      <c r="QSS77" s="277" t="s">
        <v>1072</v>
      </c>
      <c r="QST77" s="277" t="s">
        <v>1072</v>
      </c>
      <c r="QSU77" s="277" t="s">
        <v>1072</v>
      </c>
      <c r="QSV77" s="277" t="s">
        <v>1072</v>
      </c>
      <c r="QSW77" s="277" t="s">
        <v>1072</v>
      </c>
      <c r="QSX77" s="277" t="s">
        <v>1072</v>
      </c>
      <c r="QSY77" s="277" t="s">
        <v>1072</v>
      </c>
      <c r="QSZ77" s="277" t="s">
        <v>1072</v>
      </c>
      <c r="QTA77" s="277" t="s">
        <v>1072</v>
      </c>
      <c r="QTB77" s="277" t="s">
        <v>1072</v>
      </c>
      <c r="QTC77" s="277" t="s">
        <v>1072</v>
      </c>
      <c r="QTD77" s="277" t="s">
        <v>1072</v>
      </c>
      <c r="QTE77" s="277" t="s">
        <v>1072</v>
      </c>
      <c r="QTF77" s="277" t="s">
        <v>1072</v>
      </c>
      <c r="QTG77" s="277" t="s">
        <v>1072</v>
      </c>
      <c r="QTH77" s="277" t="s">
        <v>1072</v>
      </c>
      <c r="QTI77" s="277" t="s">
        <v>1072</v>
      </c>
      <c r="QTJ77" s="277" t="s">
        <v>1072</v>
      </c>
      <c r="QTK77" s="277" t="s">
        <v>1072</v>
      </c>
      <c r="QTL77" s="277" t="s">
        <v>1072</v>
      </c>
      <c r="QTM77" s="277" t="s">
        <v>1072</v>
      </c>
      <c r="QTN77" s="277" t="s">
        <v>1072</v>
      </c>
      <c r="QTO77" s="277" t="s">
        <v>1072</v>
      </c>
      <c r="QTP77" s="277" t="s">
        <v>1072</v>
      </c>
      <c r="QTQ77" s="277" t="s">
        <v>1072</v>
      </c>
      <c r="QTR77" s="277" t="s">
        <v>1072</v>
      </c>
      <c r="QTS77" s="277" t="s">
        <v>1072</v>
      </c>
      <c r="QTT77" s="277" t="s">
        <v>1072</v>
      </c>
      <c r="QTU77" s="277" t="s">
        <v>1072</v>
      </c>
      <c r="QTV77" s="277" t="s">
        <v>1072</v>
      </c>
      <c r="QTW77" s="277" t="s">
        <v>1072</v>
      </c>
      <c r="QTX77" s="277" t="s">
        <v>1072</v>
      </c>
      <c r="QTY77" s="277" t="s">
        <v>1072</v>
      </c>
      <c r="QTZ77" s="277" t="s">
        <v>1072</v>
      </c>
      <c r="QUA77" s="277" t="s">
        <v>1072</v>
      </c>
      <c r="QUB77" s="277" t="s">
        <v>1072</v>
      </c>
      <c r="QUC77" s="277" t="s">
        <v>1072</v>
      </c>
      <c r="QUD77" s="277" t="s">
        <v>1072</v>
      </c>
      <c r="QUE77" s="277" t="s">
        <v>1072</v>
      </c>
      <c r="QUF77" s="277" t="s">
        <v>1072</v>
      </c>
      <c r="QUG77" s="277" t="s">
        <v>1072</v>
      </c>
      <c r="QUH77" s="277" t="s">
        <v>1072</v>
      </c>
      <c r="QUI77" s="277" t="s">
        <v>1072</v>
      </c>
      <c r="QUJ77" s="277" t="s">
        <v>1072</v>
      </c>
      <c r="QUK77" s="277" t="s">
        <v>1072</v>
      </c>
      <c r="QUL77" s="277" t="s">
        <v>1072</v>
      </c>
      <c r="QUM77" s="277" t="s">
        <v>1072</v>
      </c>
      <c r="QUN77" s="277" t="s">
        <v>1072</v>
      </c>
      <c r="QUO77" s="277" t="s">
        <v>1072</v>
      </c>
      <c r="QUP77" s="277" t="s">
        <v>1072</v>
      </c>
      <c r="QUQ77" s="277" t="s">
        <v>1072</v>
      </c>
      <c r="QUR77" s="277" t="s">
        <v>1072</v>
      </c>
      <c r="QUS77" s="277" t="s">
        <v>1072</v>
      </c>
      <c r="QUT77" s="277" t="s">
        <v>1072</v>
      </c>
      <c r="QUU77" s="277" t="s">
        <v>1072</v>
      </c>
      <c r="QUV77" s="277" t="s">
        <v>1072</v>
      </c>
      <c r="QUW77" s="277" t="s">
        <v>1072</v>
      </c>
      <c r="QUX77" s="277" t="s">
        <v>1072</v>
      </c>
      <c r="QUY77" s="277" t="s">
        <v>1072</v>
      </c>
      <c r="QUZ77" s="277" t="s">
        <v>1072</v>
      </c>
      <c r="QVA77" s="277" t="s">
        <v>1072</v>
      </c>
      <c r="QVB77" s="277" t="s">
        <v>1072</v>
      </c>
      <c r="QVC77" s="277" t="s">
        <v>1072</v>
      </c>
      <c r="QVD77" s="277" t="s">
        <v>1072</v>
      </c>
      <c r="QVE77" s="277" t="s">
        <v>1072</v>
      </c>
      <c r="QVF77" s="277" t="s">
        <v>1072</v>
      </c>
      <c r="QVG77" s="277" t="s">
        <v>1072</v>
      </c>
      <c r="QVH77" s="277" t="s">
        <v>1072</v>
      </c>
      <c r="QVI77" s="277" t="s">
        <v>1072</v>
      </c>
      <c r="QVJ77" s="277" t="s">
        <v>1072</v>
      </c>
      <c r="QVK77" s="277" t="s">
        <v>1072</v>
      </c>
      <c r="QVL77" s="277" t="s">
        <v>1072</v>
      </c>
      <c r="QVM77" s="277" t="s">
        <v>1072</v>
      </c>
      <c r="QVN77" s="277" t="s">
        <v>1072</v>
      </c>
      <c r="QVO77" s="277" t="s">
        <v>1072</v>
      </c>
      <c r="QVP77" s="277" t="s">
        <v>1072</v>
      </c>
      <c r="QVQ77" s="277" t="s">
        <v>1072</v>
      </c>
      <c r="QVR77" s="277" t="s">
        <v>1072</v>
      </c>
      <c r="QVS77" s="277" t="s">
        <v>1072</v>
      </c>
      <c r="QVT77" s="277" t="s">
        <v>1072</v>
      </c>
      <c r="QVU77" s="277" t="s">
        <v>1072</v>
      </c>
      <c r="QVV77" s="277" t="s">
        <v>1072</v>
      </c>
      <c r="QVW77" s="277" t="s">
        <v>1072</v>
      </c>
      <c r="QVX77" s="277" t="s">
        <v>1072</v>
      </c>
      <c r="QVY77" s="277" t="s">
        <v>1072</v>
      </c>
      <c r="QVZ77" s="277" t="s">
        <v>1072</v>
      </c>
      <c r="QWA77" s="277" t="s">
        <v>1072</v>
      </c>
      <c r="QWB77" s="277" t="s">
        <v>1072</v>
      </c>
      <c r="QWC77" s="277" t="s">
        <v>1072</v>
      </c>
      <c r="QWD77" s="277" t="s">
        <v>1072</v>
      </c>
      <c r="QWE77" s="277" t="s">
        <v>1072</v>
      </c>
      <c r="QWF77" s="277" t="s">
        <v>1072</v>
      </c>
      <c r="QWG77" s="277" t="s">
        <v>1072</v>
      </c>
      <c r="QWH77" s="277" t="s">
        <v>1072</v>
      </c>
      <c r="QWI77" s="277" t="s">
        <v>1072</v>
      </c>
      <c r="QWJ77" s="277" t="s">
        <v>1072</v>
      </c>
      <c r="QWK77" s="277" t="s">
        <v>1072</v>
      </c>
      <c r="QWL77" s="277" t="s">
        <v>1072</v>
      </c>
      <c r="QWM77" s="277" t="s">
        <v>1072</v>
      </c>
      <c r="QWN77" s="277" t="s">
        <v>1072</v>
      </c>
      <c r="QWO77" s="277" t="s">
        <v>1072</v>
      </c>
      <c r="QWP77" s="277" t="s">
        <v>1072</v>
      </c>
      <c r="QWQ77" s="277" t="s">
        <v>1072</v>
      </c>
      <c r="QWR77" s="277" t="s">
        <v>1072</v>
      </c>
      <c r="QWS77" s="277" t="s">
        <v>1072</v>
      </c>
      <c r="QWT77" s="277" t="s">
        <v>1072</v>
      </c>
      <c r="QWU77" s="277" t="s">
        <v>1072</v>
      </c>
      <c r="QWV77" s="277" t="s">
        <v>1072</v>
      </c>
      <c r="QWW77" s="277" t="s">
        <v>1072</v>
      </c>
      <c r="QWX77" s="277" t="s">
        <v>1072</v>
      </c>
      <c r="QWY77" s="277" t="s">
        <v>1072</v>
      </c>
      <c r="QWZ77" s="277" t="s">
        <v>1072</v>
      </c>
      <c r="QXA77" s="277" t="s">
        <v>1072</v>
      </c>
      <c r="QXB77" s="277" t="s">
        <v>1072</v>
      </c>
      <c r="QXC77" s="277" t="s">
        <v>1072</v>
      </c>
      <c r="QXD77" s="277" t="s">
        <v>1072</v>
      </c>
      <c r="QXE77" s="277" t="s">
        <v>1072</v>
      </c>
      <c r="QXF77" s="277" t="s">
        <v>1072</v>
      </c>
      <c r="QXG77" s="277" t="s">
        <v>1072</v>
      </c>
      <c r="QXH77" s="277" t="s">
        <v>1072</v>
      </c>
      <c r="QXI77" s="277" t="s">
        <v>1072</v>
      </c>
      <c r="QXJ77" s="277" t="s">
        <v>1072</v>
      </c>
      <c r="QXK77" s="277" t="s">
        <v>1072</v>
      </c>
      <c r="QXL77" s="277" t="s">
        <v>1072</v>
      </c>
      <c r="QXM77" s="277" t="s">
        <v>1072</v>
      </c>
      <c r="QXN77" s="277" t="s">
        <v>1072</v>
      </c>
      <c r="QXO77" s="277" t="s">
        <v>1072</v>
      </c>
      <c r="QXP77" s="277" t="s">
        <v>1072</v>
      </c>
      <c r="QXQ77" s="277" t="s">
        <v>1072</v>
      </c>
      <c r="QXR77" s="277" t="s">
        <v>1072</v>
      </c>
      <c r="QXS77" s="277" t="s">
        <v>1072</v>
      </c>
      <c r="QXT77" s="277" t="s">
        <v>1072</v>
      </c>
      <c r="QXU77" s="277" t="s">
        <v>1072</v>
      </c>
      <c r="QXV77" s="277" t="s">
        <v>1072</v>
      </c>
      <c r="QXW77" s="277" t="s">
        <v>1072</v>
      </c>
      <c r="QXX77" s="277" t="s">
        <v>1072</v>
      </c>
      <c r="QXY77" s="277" t="s">
        <v>1072</v>
      </c>
      <c r="QXZ77" s="277" t="s">
        <v>1072</v>
      </c>
      <c r="QYA77" s="277" t="s">
        <v>1072</v>
      </c>
      <c r="QYB77" s="277" t="s">
        <v>1072</v>
      </c>
      <c r="QYC77" s="277" t="s">
        <v>1072</v>
      </c>
      <c r="QYD77" s="277" t="s">
        <v>1072</v>
      </c>
      <c r="QYE77" s="277" t="s">
        <v>1072</v>
      </c>
      <c r="QYF77" s="277" t="s">
        <v>1072</v>
      </c>
      <c r="QYG77" s="277" t="s">
        <v>1072</v>
      </c>
      <c r="QYH77" s="277" t="s">
        <v>1072</v>
      </c>
      <c r="QYI77" s="277" t="s">
        <v>1072</v>
      </c>
      <c r="QYJ77" s="277" t="s">
        <v>1072</v>
      </c>
      <c r="QYK77" s="277" t="s">
        <v>1072</v>
      </c>
      <c r="QYL77" s="277" t="s">
        <v>1072</v>
      </c>
      <c r="QYM77" s="277" t="s">
        <v>1072</v>
      </c>
      <c r="QYN77" s="277" t="s">
        <v>1072</v>
      </c>
      <c r="QYO77" s="277" t="s">
        <v>1072</v>
      </c>
      <c r="QYP77" s="277" t="s">
        <v>1072</v>
      </c>
      <c r="QYQ77" s="277" t="s">
        <v>1072</v>
      </c>
      <c r="QYR77" s="277" t="s">
        <v>1072</v>
      </c>
      <c r="QYS77" s="277" t="s">
        <v>1072</v>
      </c>
      <c r="QYT77" s="277" t="s">
        <v>1072</v>
      </c>
      <c r="QYU77" s="277" t="s">
        <v>1072</v>
      </c>
      <c r="QYV77" s="277" t="s">
        <v>1072</v>
      </c>
      <c r="QYW77" s="277" t="s">
        <v>1072</v>
      </c>
      <c r="QYX77" s="277" t="s">
        <v>1072</v>
      </c>
      <c r="QYY77" s="277" t="s">
        <v>1072</v>
      </c>
      <c r="QYZ77" s="277" t="s">
        <v>1072</v>
      </c>
      <c r="QZA77" s="277" t="s">
        <v>1072</v>
      </c>
      <c r="QZB77" s="277" t="s">
        <v>1072</v>
      </c>
      <c r="QZC77" s="277" t="s">
        <v>1072</v>
      </c>
      <c r="QZD77" s="277" t="s">
        <v>1072</v>
      </c>
      <c r="QZE77" s="277" t="s">
        <v>1072</v>
      </c>
      <c r="QZF77" s="277" t="s">
        <v>1072</v>
      </c>
      <c r="QZG77" s="277" t="s">
        <v>1072</v>
      </c>
      <c r="QZH77" s="277" t="s">
        <v>1072</v>
      </c>
      <c r="QZI77" s="277" t="s">
        <v>1072</v>
      </c>
      <c r="QZJ77" s="277" t="s">
        <v>1072</v>
      </c>
      <c r="QZK77" s="277" t="s">
        <v>1072</v>
      </c>
      <c r="QZL77" s="277" t="s">
        <v>1072</v>
      </c>
      <c r="QZM77" s="277" t="s">
        <v>1072</v>
      </c>
      <c r="QZN77" s="277" t="s">
        <v>1072</v>
      </c>
      <c r="QZO77" s="277" t="s">
        <v>1072</v>
      </c>
      <c r="QZP77" s="277" t="s">
        <v>1072</v>
      </c>
      <c r="QZQ77" s="277" t="s">
        <v>1072</v>
      </c>
      <c r="QZR77" s="277" t="s">
        <v>1072</v>
      </c>
      <c r="QZS77" s="277" t="s">
        <v>1072</v>
      </c>
      <c r="QZT77" s="277" t="s">
        <v>1072</v>
      </c>
      <c r="QZU77" s="277" t="s">
        <v>1072</v>
      </c>
      <c r="QZV77" s="277" t="s">
        <v>1072</v>
      </c>
      <c r="QZW77" s="277" t="s">
        <v>1072</v>
      </c>
      <c r="QZX77" s="277" t="s">
        <v>1072</v>
      </c>
      <c r="QZY77" s="277" t="s">
        <v>1072</v>
      </c>
      <c r="QZZ77" s="277" t="s">
        <v>1072</v>
      </c>
      <c r="RAA77" s="277" t="s">
        <v>1072</v>
      </c>
      <c r="RAB77" s="277" t="s">
        <v>1072</v>
      </c>
      <c r="RAC77" s="277" t="s">
        <v>1072</v>
      </c>
      <c r="RAD77" s="277" t="s">
        <v>1072</v>
      </c>
      <c r="RAE77" s="277" t="s">
        <v>1072</v>
      </c>
      <c r="RAF77" s="277" t="s">
        <v>1072</v>
      </c>
      <c r="RAG77" s="277" t="s">
        <v>1072</v>
      </c>
      <c r="RAH77" s="277" t="s">
        <v>1072</v>
      </c>
      <c r="RAI77" s="277" t="s">
        <v>1072</v>
      </c>
      <c r="RAJ77" s="277" t="s">
        <v>1072</v>
      </c>
      <c r="RAK77" s="277" t="s">
        <v>1072</v>
      </c>
      <c r="RAL77" s="277" t="s">
        <v>1072</v>
      </c>
      <c r="RAM77" s="277" t="s">
        <v>1072</v>
      </c>
      <c r="RAN77" s="277" t="s">
        <v>1072</v>
      </c>
      <c r="RAO77" s="277" t="s">
        <v>1072</v>
      </c>
      <c r="RAP77" s="277" t="s">
        <v>1072</v>
      </c>
      <c r="RAQ77" s="277" t="s">
        <v>1072</v>
      </c>
      <c r="RAR77" s="277" t="s">
        <v>1072</v>
      </c>
      <c r="RAS77" s="277" t="s">
        <v>1072</v>
      </c>
      <c r="RAT77" s="277" t="s">
        <v>1072</v>
      </c>
      <c r="RAU77" s="277" t="s">
        <v>1072</v>
      </c>
      <c r="RAV77" s="277" t="s">
        <v>1072</v>
      </c>
      <c r="RAW77" s="277" t="s">
        <v>1072</v>
      </c>
      <c r="RAX77" s="277" t="s">
        <v>1072</v>
      </c>
      <c r="RAY77" s="277" t="s">
        <v>1072</v>
      </c>
      <c r="RAZ77" s="277" t="s">
        <v>1072</v>
      </c>
      <c r="RBA77" s="277" t="s">
        <v>1072</v>
      </c>
      <c r="RBB77" s="277" t="s">
        <v>1072</v>
      </c>
      <c r="RBC77" s="277" t="s">
        <v>1072</v>
      </c>
      <c r="RBD77" s="277" t="s">
        <v>1072</v>
      </c>
      <c r="RBE77" s="277" t="s">
        <v>1072</v>
      </c>
      <c r="RBF77" s="277" t="s">
        <v>1072</v>
      </c>
      <c r="RBG77" s="277" t="s">
        <v>1072</v>
      </c>
      <c r="RBH77" s="277" t="s">
        <v>1072</v>
      </c>
      <c r="RBI77" s="277" t="s">
        <v>1072</v>
      </c>
      <c r="RBJ77" s="277" t="s">
        <v>1072</v>
      </c>
      <c r="RBK77" s="277" t="s">
        <v>1072</v>
      </c>
      <c r="RBL77" s="277" t="s">
        <v>1072</v>
      </c>
      <c r="RBM77" s="277" t="s">
        <v>1072</v>
      </c>
      <c r="RBN77" s="277" t="s">
        <v>1072</v>
      </c>
      <c r="RBO77" s="277" t="s">
        <v>1072</v>
      </c>
      <c r="RBP77" s="277" t="s">
        <v>1072</v>
      </c>
      <c r="RBQ77" s="277" t="s">
        <v>1072</v>
      </c>
      <c r="RBR77" s="277" t="s">
        <v>1072</v>
      </c>
      <c r="RBS77" s="277" t="s">
        <v>1072</v>
      </c>
      <c r="RBT77" s="277" t="s">
        <v>1072</v>
      </c>
      <c r="RBU77" s="277" t="s">
        <v>1072</v>
      </c>
      <c r="RBV77" s="277" t="s">
        <v>1072</v>
      </c>
      <c r="RBW77" s="277" t="s">
        <v>1072</v>
      </c>
      <c r="RBX77" s="277" t="s">
        <v>1072</v>
      </c>
      <c r="RBY77" s="277" t="s">
        <v>1072</v>
      </c>
      <c r="RBZ77" s="277" t="s">
        <v>1072</v>
      </c>
      <c r="RCA77" s="277" t="s">
        <v>1072</v>
      </c>
      <c r="RCB77" s="277" t="s">
        <v>1072</v>
      </c>
      <c r="RCC77" s="277" t="s">
        <v>1072</v>
      </c>
      <c r="RCD77" s="277" t="s">
        <v>1072</v>
      </c>
      <c r="RCE77" s="277" t="s">
        <v>1072</v>
      </c>
      <c r="RCF77" s="277" t="s">
        <v>1072</v>
      </c>
      <c r="RCG77" s="277" t="s">
        <v>1072</v>
      </c>
      <c r="RCH77" s="277" t="s">
        <v>1072</v>
      </c>
      <c r="RCI77" s="277" t="s">
        <v>1072</v>
      </c>
      <c r="RCJ77" s="277" t="s">
        <v>1072</v>
      </c>
      <c r="RCK77" s="277" t="s">
        <v>1072</v>
      </c>
      <c r="RCL77" s="277" t="s">
        <v>1072</v>
      </c>
      <c r="RCM77" s="277" t="s">
        <v>1072</v>
      </c>
      <c r="RCN77" s="277" t="s">
        <v>1072</v>
      </c>
      <c r="RCO77" s="277" t="s">
        <v>1072</v>
      </c>
      <c r="RCP77" s="277" t="s">
        <v>1072</v>
      </c>
      <c r="RCQ77" s="277" t="s">
        <v>1072</v>
      </c>
      <c r="RCR77" s="277" t="s">
        <v>1072</v>
      </c>
      <c r="RCS77" s="277" t="s">
        <v>1072</v>
      </c>
      <c r="RCT77" s="277" t="s">
        <v>1072</v>
      </c>
      <c r="RCU77" s="277" t="s">
        <v>1072</v>
      </c>
      <c r="RCV77" s="277" t="s">
        <v>1072</v>
      </c>
      <c r="RCW77" s="277" t="s">
        <v>1072</v>
      </c>
      <c r="RCX77" s="277" t="s">
        <v>1072</v>
      </c>
      <c r="RCY77" s="277" t="s">
        <v>1072</v>
      </c>
      <c r="RCZ77" s="277" t="s">
        <v>1072</v>
      </c>
      <c r="RDA77" s="277" t="s">
        <v>1072</v>
      </c>
      <c r="RDB77" s="277" t="s">
        <v>1072</v>
      </c>
      <c r="RDC77" s="277" t="s">
        <v>1072</v>
      </c>
      <c r="RDD77" s="277" t="s">
        <v>1072</v>
      </c>
      <c r="RDE77" s="277" t="s">
        <v>1072</v>
      </c>
      <c r="RDF77" s="277" t="s">
        <v>1072</v>
      </c>
      <c r="RDG77" s="277" t="s">
        <v>1072</v>
      </c>
      <c r="RDH77" s="277" t="s">
        <v>1072</v>
      </c>
      <c r="RDI77" s="277" t="s">
        <v>1072</v>
      </c>
      <c r="RDJ77" s="277" t="s">
        <v>1072</v>
      </c>
      <c r="RDK77" s="277" t="s">
        <v>1072</v>
      </c>
      <c r="RDL77" s="277" t="s">
        <v>1072</v>
      </c>
      <c r="RDM77" s="277" t="s">
        <v>1072</v>
      </c>
      <c r="RDN77" s="277" t="s">
        <v>1072</v>
      </c>
      <c r="RDO77" s="277" t="s">
        <v>1072</v>
      </c>
      <c r="RDP77" s="277" t="s">
        <v>1072</v>
      </c>
      <c r="RDQ77" s="277" t="s">
        <v>1072</v>
      </c>
      <c r="RDR77" s="277" t="s">
        <v>1072</v>
      </c>
      <c r="RDS77" s="277" t="s">
        <v>1072</v>
      </c>
      <c r="RDT77" s="277" t="s">
        <v>1072</v>
      </c>
      <c r="RDU77" s="277" t="s">
        <v>1072</v>
      </c>
      <c r="RDV77" s="277" t="s">
        <v>1072</v>
      </c>
      <c r="RDW77" s="277" t="s">
        <v>1072</v>
      </c>
      <c r="RDX77" s="277" t="s">
        <v>1072</v>
      </c>
      <c r="RDY77" s="277" t="s">
        <v>1072</v>
      </c>
      <c r="RDZ77" s="277" t="s">
        <v>1072</v>
      </c>
      <c r="REA77" s="277" t="s">
        <v>1072</v>
      </c>
      <c r="REB77" s="277" t="s">
        <v>1072</v>
      </c>
      <c r="REC77" s="277" t="s">
        <v>1072</v>
      </c>
      <c r="RED77" s="277" t="s">
        <v>1072</v>
      </c>
      <c r="REE77" s="277" t="s">
        <v>1072</v>
      </c>
      <c r="REF77" s="277" t="s">
        <v>1072</v>
      </c>
      <c r="REG77" s="277" t="s">
        <v>1072</v>
      </c>
      <c r="REH77" s="277" t="s">
        <v>1072</v>
      </c>
      <c r="REI77" s="277" t="s">
        <v>1072</v>
      </c>
      <c r="REJ77" s="277" t="s">
        <v>1072</v>
      </c>
      <c r="REK77" s="277" t="s">
        <v>1072</v>
      </c>
      <c r="REL77" s="277" t="s">
        <v>1072</v>
      </c>
      <c r="REM77" s="277" t="s">
        <v>1072</v>
      </c>
      <c r="REN77" s="277" t="s">
        <v>1072</v>
      </c>
      <c r="REO77" s="277" t="s">
        <v>1072</v>
      </c>
      <c r="REP77" s="277" t="s">
        <v>1072</v>
      </c>
      <c r="REQ77" s="277" t="s">
        <v>1072</v>
      </c>
      <c r="RER77" s="277" t="s">
        <v>1072</v>
      </c>
      <c r="RES77" s="277" t="s">
        <v>1072</v>
      </c>
      <c r="RET77" s="277" t="s">
        <v>1072</v>
      </c>
      <c r="REU77" s="277" t="s">
        <v>1072</v>
      </c>
      <c r="REV77" s="277" t="s">
        <v>1072</v>
      </c>
      <c r="REW77" s="277" t="s">
        <v>1072</v>
      </c>
      <c r="REX77" s="277" t="s">
        <v>1072</v>
      </c>
      <c r="REY77" s="277" t="s">
        <v>1072</v>
      </c>
      <c r="REZ77" s="277" t="s">
        <v>1072</v>
      </c>
      <c r="RFA77" s="277" t="s">
        <v>1072</v>
      </c>
      <c r="RFB77" s="277" t="s">
        <v>1072</v>
      </c>
      <c r="RFC77" s="277" t="s">
        <v>1072</v>
      </c>
      <c r="RFD77" s="277" t="s">
        <v>1072</v>
      </c>
      <c r="RFE77" s="277" t="s">
        <v>1072</v>
      </c>
      <c r="RFF77" s="277" t="s">
        <v>1072</v>
      </c>
      <c r="RFG77" s="277" t="s">
        <v>1072</v>
      </c>
      <c r="RFH77" s="277" t="s">
        <v>1072</v>
      </c>
      <c r="RFI77" s="277" t="s">
        <v>1072</v>
      </c>
      <c r="RFJ77" s="277" t="s">
        <v>1072</v>
      </c>
      <c r="RFK77" s="277" t="s">
        <v>1072</v>
      </c>
      <c r="RFL77" s="277" t="s">
        <v>1072</v>
      </c>
      <c r="RFM77" s="277" t="s">
        <v>1072</v>
      </c>
      <c r="RFN77" s="277" t="s">
        <v>1072</v>
      </c>
      <c r="RFO77" s="277" t="s">
        <v>1072</v>
      </c>
      <c r="RFP77" s="277" t="s">
        <v>1072</v>
      </c>
      <c r="RFQ77" s="277" t="s">
        <v>1072</v>
      </c>
      <c r="RFR77" s="277" t="s">
        <v>1072</v>
      </c>
      <c r="RFS77" s="277" t="s">
        <v>1072</v>
      </c>
      <c r="RFT77" s="277" t="s">
        <v>1072</v>
      </c>
      <c r="RFU77" s="277" t="s">
        <v>1072</v>
      </c>
      <c r="RFV77" s="277" t="s">
        <v>1072</v>
      </c>
      <c r="RFW77" s="277" t="s">
        <v>1072</v>
      </c>
      <c r="RFX77" s="277" t="s">
        <v>1072</v>
      </c>
      <c r="RFY77" s="277" t="s">
        <v>1072</v>
      </c>
      <c r="RFZ77" s="277" t="s">
        <v>1072</v>
      </c>
      <c r="RGA77" s="277" t="s">
        <v>1072</v>
      </c>
      <c r="RGB77" s="277" t="s">
        <v>1072</v>
      </c>
      <c r="RGC77" s="277" t="s">
        <v>1072</v>
      </c>
      <c r="RGD77" s="277" t="s">
        <v>1072</v>
      </c>
      <c r="RGE77" s="277" t="s">
        <v>1072</v>
      </c>
      <c r="RGF77" s="277" t="s">
        <v>1072</v>
      </c>
      <c r="RGG77" s="277" t="s">
        <v>1072</v>
      </c>
      <c r="RGH77" s="277" t="s">
        <v>1072</v>
      </c>
      <c r="RGI77" s="277" t="s">
        <v>1072</v>
      </c>
      <c r="RGJ77" s="277" t="s">
        <v>1072</v>
      </c>
      <c r="RGK77" s="277" t="s">
        <v>1072</v>
      </c>
      <c r="RGL77" s="277" t="s">
        <v>1072</v>
      </c>
      <c r="RGM77" s="277" t="s">
        <v>1072</v>
      </c>
      <c r="RGN77" s="277" t="s">
        <v>1072</v>
      </c>
      <c r="RGO77" s="277" t="s">
        <v>1072</v>
      </c>
      <c r="RGP77" s="277" t="s">
        <v>1072</v>
      </c>
      <c r="RGQ77" s="277" t="s">
        <v>1072</v>
      </c>
      <c r="RGR77" s="277" t="s">
        <v>1072</v>
      </c>
      <c r="RGS77" s="277" t="s">
        <v>1072</v>
      </c>
      <c r="RGT77" s="277" t="s">
        <v>1072</v>
      </c>
      <c r="RGU77" s="277" t="s">
        <v>1072</v>
      </c>
      <c r="RGV77" s="277" t="s">
        <v>1072</v>
      </c>
      <c r="RGW77" s="277" t="s">
        <v>1072</v>
      </c>
      <c r="RGX77" s="277" t="s">
        <v>1072</v>
      </c>
      <c r="RGY77" s="277" t="s">
        <v>1072</v>
      </c>
      <c r="RGZ77" s="277" t="s">
        <v>1072</v>
      </c>
      <c r="RHA77" s="277" t="s">
        <v>1072</v>
      </c>
      <c r="RHB77" s="277" t="s">
        <v>1072</v>
      </c>
      <c r="RHC77" s="277" t="s">
        <v>1072</v>
      </c>
      <c r="RHD77" s="277" t="s">
        <v>1072</v>
      </c>
      <c r="RHE77" s="277" t="s">
        <v>1072</v>
      </c>
      <c r="RHF77" s="277" t="s">
        <v>1072</v>
      </c>
      <c r="RHG77" s="277" t="s">
        <v>1072</v>
      </c>
      <c r="RHH77" s="277" t="s">
        <v>1072</v>
      </c>
      <c r="RHI77" s="277" t="s">
        <v>1072</v>
      </c>
      <c r="RHJ77" s="277" t="s">
        <v>1072</v>
      </c>
      <c r="RHK77" s="277" t="s">
        <v>1072</v>
      </c>
      <c r="RHL77" s="277" t="s">
        <v>1072</v>
      </c>
      <c r="RHM77" s="277" t="s">
        <v>1072</v>
      </c>
      <c r="RHN77" s="277" t="s">
        <v>1072</v>
      </c>
      <c r="RHO77" s="277" t="s">
        <v>1072</v>
      </c>
      <c r="RHP77" s="277" t="s">
        <v>1072</v>
      </c>
      <c r="RHQ77" s="277" t="s">
        <v>1072</v>
      </c>
      <c r="RHR77" s="277" t="s">
        <v>1072</v>
      </c>
      <c r="RHS77" s="277" t="s">
        <v>1072</v>
      </c>
      <c r="RHT77" s="277" t="s">
        <v>1072</v>
      </c>
      <c r="RHU77" s="277" t="s">
        <v>1072</v>
      </c>
      <c r="RHV77" s="277" t="s">
        <v>1072</v>
      </c>
      <c r="RHW77" s="277" t="s">
        <v>1072</v>
      </c>
      <c r="RHX77" s="277" t="s">
        <v>1072</v>
      </c>
      <c r="RHY77" s="277" t="s">
        <v>1072</v>
      </c>
      <c r="RHZ77" s="277" t="s">
        <v>1072</v>
      </c>
      <c r="RIA77" s="277" t="s">
        <v>1072</v>
      </c>
      <c r="RIB77" s="277" t="s">
        <v>1072</v>
      </c>
      <c r="RIC77" s="277" t="s">
        <v>1072</v>
      </c>
      <c r="RID77" s="277" t="s">
        <v>1072</v>
      </c>
      <c r="RIE77" s="277" t="s">
        <v>1072</v>
      </c>
      <c r="RIF77" s="277" t="s">
        <v>1072</v>
      </c>
      <c r="RIG77" s="277" t="s">
        <v>1072</v>
      </c>
      <c r="RIH77" s="277" t="s">
        <v>1072</v>
      </c>
      <c r="RII77" s="277" t="s">
        <v>1072</v>
      </c>
      <c r="RIJ77" s="277" t="s">
        <v>1072</v>
      </c>
      <c r="RIK77" s="277" t="s">
        <v>1072</v>
      </c>
      <c r="RIL77" s="277" t="s">
        <v>1072</v>
      </c>
      <c r="RIM77" s="277" t="s">
        <v>1072</v>
      </c>
      <c r="RIN77" s="277" t="s">
        <v>1072</v>
      </c>
      <c r="RIO77" s="277" t="s">
        <v>1072</v>
      </c>
      <c r="RIP77" s="277" t="s">
        <v>1072</v>
      </c>
      <c r="RIQ77" s="277" t="s">
        <v>1072</v>
      </c>
      <c r="RIR77" s="277" t="s">
        <v>1072</v>
      </c>
      <c r="RIS77" s="277" t="s">
        <v>1072</v>
      </c>
      <c r="RIT77" s="277" t="s">
        <v>1072</v>
      </c>
      <c r="RIU77" s="277" t="s">
        <v>1072</v>
      </c>
      <c r="RIV77" s="277" t="s">
        <v>1072</v>
      </c>
      <c r="RIW77" s="277" t="s">
        <v>1072</v>
      </c>
      <c r="RIX77" s="277" t="s">
        <v>1072</v>
      </c>
      <c r="RIY77" s="277" t="s">
        <v>1072</v>
      </c>
      <c r="RIZ77" s="277" t="s">
        <v>1072</v>
      </c>
      <c r="RJA77" s="277" t="s">
        <v>1072</v>
      </c>
      <c r="RJB77" s="277" t="s">
        <v>1072</v>
      </c>
      <c r="RJC77" s="277" t="s">
        <v>1072</v>
      </c>
      <c r="RJD77" s="277" t="s">
        <v>1072</v>
      </c>
      <c r="RJE77" s="277" t="s">
        <v>1072</v>
      </c>
      <c r="RJF77" s="277" t="s">
        <v>1072</v>
      </c>
      <c r="RJG77" s="277" t="s">
        <v>1072</v>
      </c>
      <c r="RJH77" s="277" t="s">
        <v>1072</v>
      </c>
      <c r="RJI77" s="277" t="s">
        <v>1072</v>
      </c>
      <c r="RJJ77" s="277" t="s">
        <v>1072</v>
      </c>
      <c r="RJK77" s="277" t="s">
        <v>1072</v>
      </c>
      <c r="RJL77" s="277" t="s">
        <v>1072</v>
      </c>
      <c r="RJM77" s="277" t="s">
        <v>1072</v>
      </c>
      <c r="RJN77" s="277" t="s">
        <v>1072</v>
      </c>
      <c r="RJO77" s="277" t="s">
        <v>1072</v>
      </c>
      <c r="RJP77" s="277" t="s">
        <v>1072</v>
      </c>
      <c r="RJQ77" s="277" t="s">
        <v>1072</v>
      </c>
      <c r="RJR77" s="277" t="s">
        <v>1072</v>
      </c>
      <c r="RJS77" s="277" t="s">
        <v>1072</v>
      </c>
      <c r="RJT77" s="277" t="s">
        <v>1072</v>
      </c>
      <c r="RJU77" s="277" t="s">
        <v>1072</v>
      </c>
      <c r="RJV77" s="277" t="s">
        <v>1072</v>
      </c>
      <c r="RJW77" s="277" t="s">
        <v>1072</v>
      </c>
      <c r="RJX77" s="277" t="s">
        <v>1072</v>
      </c>
      <c r="RJY77" s="277" t="s">
        <v>1072</v>
      </c>
      <c r="RJZ77" s="277" t="s">
        <v>1072</v>
      </c>
      <c r="RKA77" s="277" t="s">
        <v>1072</v>
      </c>
      <c r="RKB77" s="277" t="s">
        <v>1072</v>
      </c>
      <c r="RKC77" s="277" t="s">
        <v>1072</v>
      </c>
      <c r="RKD77" s="277" t="s">
        <v>1072</v>
      </c>
      <c r="RKE77" s="277" t="s">
        <v>1072</v>
      </c>
      <c r="RKF77" s="277" t="s">
        <v>1072</v>
      </c>
      <c r="RKG77" s="277" t="s">
        <v>1072</v>
      </c>
      <c r="RKH77" s="277" t="s">
        <v>1072</v>
      </c>
      <c r="RKI77" s="277" t="s">
        <v>1072</v>
      </c>
      <c r="RKJ77" s="277" t="s">
        <v>1072</v>
      </c>
      <c r="RKK77" s="277" t="s">
        <v>1072</v>
      </c>
      <c r="RKL77" s="277" t="s">
        <v>1072</v>
      </c>
      <c r="RKM77" s="277" t="s">
        <v>1072</v>
      </c>
      <c r="RKN77" s="277" t="s">
        <v>1072</v>
      </c>
      <c r="RKO77" s="277" t="s">
        <v>1072</v>
      </c>
      <c r="RKP77" s="277" t="s">
        <v>1072</v>
      </c>
      <c r="RKQ77" s="277" t="s">
        <v>1072</v>
      </c>
      <c r="RKR77" s="277" t="s">
        <v>1072</v>
      </c>
      <c r="RKS77" s="277" t="s">
        <v>1072</v>
      </c>
      <c r="RKT77" s="277" t="s">
        <v>1072</v>
      </c>
      <c r="RKU77" s="277" t="s">
        <v>1072</v>
      </c>
      <c r="RKV77" s="277" t="s">
        <v>1072</v>
      </c>
      <c r="RKW77" s="277" t="s">
        <v>1072</v>
      </c>
      <c r="RKX77" s="277" t="s">
        <v>1072</v>
      </c>
      <c r="RKY77" s="277" t="s">
        <v>1072</v>
      </c>
      <c r="RKZ77" s="277" t="s">
        <v>1072</v>
      </c>
      <c r="RLA77" s="277" t="s">
        <v>1072</v>
      </c>
      <c r="RLB77" s="277" t="s">
        <v>1072</v>
      </c>
      <c r="RLC77" s="277" t="s">
        <v>1072</v>
      </c>
      <c r="RLD77" s="277" t="s">
        <v>1072</v>
      </c>
      <c r="RLE77" s="277" t="s">
        <v>1072</v>
      </c>
      <c r="RLF77" s="277" t="s">
        <v>1072</v>
      </c>
      <c r="RLG77" s="277" t="s">
        <v>1072</v>
      </c>
      <c r="RLH77" s="277" t="s">
        <v>1072</v>
      </c>
      <c r="RLI77" s="277" t="s">
        <v>1072</v>
      </c>
      <c r="RLJ77" s="277" t="s">
        <v>1072</v>
      </c>
      <c r="RLK77" s="277" t="s">
        <v>1072</v>
      </c>
      <c r="RLL77" s="277" t="s">
        <v>1072</v>
      </c>
      <c r="RLM77" s="277" t="s">
        <v>1072</v>
      </c>
      <c r="RLN77" s="277" t="s">
        <v>1072</v>
      </c>
      <c r="RLO77" s="277" t="s">
        <v>1072</v>
      </c>
      <c r="RLP77" s="277" t="s">
        <v>1072</v>
      </c>
      <c r="RLQ77" s="277" t="s">
        <v>1072</v>
      </c>
      <c r="RLR77" s="277" t="s">
        <v>1072</v>
      </c>
      <c r="RLS77" s="277" t="s">
        <v>1072</v>
      </c>
      <c r="RLT77" s="277" t="s">
        <v>1072</v>
      </c>
      <c r="RLU77" s="277" t="s">
        <v>1072</v>
      </c>
      <c r="RLV77" s="277" t="s">
        <v>1072</v>
      </c>
      <c r="RLW77" s="277" t="s">
        <v>1072</v>
      </c>
      <c r="RLX77" s="277" t="s">
        <v>1072</v>
      </c>
      <c r="RLY77" s="277" t="s">
        <v>1072</v>
      </c>
      <c r="RLZ77" s="277" t="s">
        <v>1072</v>
      </c>
      <c r="RMA77" s="277" t="s">
        <v>1072</v>
      </c>
      <c r="RMB77" s="277" t="s">
        <v>1072</v>
      </c>
      <c r="RMC77" s="277" t="s">
        <v>1072</v>
      </c>
      <c r="RMD77" s="277" t="s">
        <v>1072</v>
      </c>
      <c r="RME77" s="277" t="s">
        <v>1072</v>
      </c>
      <c r="RMF77" s="277" t="s">
        <v>1072</v>
      </c>
      <c r="RMG77" s="277" t="s">
        <v>1072</v>
      </c>
      <c r="RMH77" s="277" t="s">
        <v>1072</v>
      </c>
      <c r="RMI77" s="277" t="s">
        <v>1072</v>
      </c>
      <c r="RMJ77" s="277" t="s">
        <v>1072</v>
      </c>
      <c r="RMK77" s="277" t="s">
        <v>1072</v>
      </c>
      <c r="RML77" s="277" t="s">
        <v>1072</v>
      </c>
      <c r="RMM77" s="277" t="s">
        <v>1072</v>
      </c>
      <c r="RMN77" s="277" t="s">
        <v>1072</v>
      </c>
      <c r="RMO77" s="277" t="s">
        <v>1072</v>
      </c>
      <c r="RMP77" s="277" t="s">
        <v>1072</v>
      </c>
      <c r="RMQ77" s="277" t="s">
        <v>1072</v>
      </c>
      <c r="RMR77" s="277" t="s">
        <v>1072</v>
      </c>
      <c r="RMS77" s="277" t="s">
        <v>1072</v>
      </c>
      <c r="RMT77" s="277" t="s">
        <v>1072</v>
      </c>
      <c r="RMU77" s="277" t="s">
        <v>1072</v>
      </c>
      <c r="RMV77" s="277" t="s">
        <v>1072</v>
      </c>
      <c r="RMW77" s="277" t="s">
        <v>1072</v>
      </c>
      <c r="RMX77" s="277" t="s">
        <v>1072</v>
      </c>
      <c r="RMY77" s="277" t="s">
        <v>1072</v>
      </c>
      <c r="RMZ77" s="277" t="s">
        <v>1072</v>
      </c>
      <c r="RNA77" s="277" t="s">
        <v>1072</v>
      </c>
      <c r="RNB77" s="277" t="s">
        <v>1072</v>
      </c>
      <c r="RNC77" s="277" t="s">
        <v>1072</v>
      </c>
      <c r="RND77" s="277" t="s">
        <v>1072</v>
      </c>
      <c r="RNE77" s="277" t="s">
        <v>1072</v>
      </c>
      <c r="RNF77" s="277" t="s">
        <v>1072</v>
      </c>
      <c r="RNG77" s="277" t="s">
        <v>1072</v>
      </c>
      <c r="RNH77" s="277" t="s">
        <v>1072</v>
      </c>
      <c r="RNI77" s="277" t="s">
        <v>1072</v>
      </c>
      <c r="RNJ77" s="277" t="s">
        <v>1072</v>
      </c>
      <c r="RNK77" s="277" t="s">
        <v>1072</v>
      </c>
      <c r="RNL77" s="277" t="s">
        <v>1072</v>
      </c>
      <c r="RNM77" s="277" t="s">
        <v>1072</v>
      </c>
      <c r="RNN77" s="277" t="s">
        <v>1072</v>
      </c>
      <c r="RNO77" s="277" t="s">
        <v>1072</v>
      </c>
      <c r="RNP77" s="277" t="s">
        <v>1072</v>
      </c>
      <c r="RNQ77" s="277" t="s">
        <v>1072</v>
      </c>
      <c r="RNR77" s="277" t="s">
        <v>1072</v>
      </c>
      <c r="RNS77" s="277" t="s">
        <v>1072</v>
      </c>
      <c r="RNT77" s="277" t="s">
        <v>1072</v>
      </c>
      <c r="RNU77" s="277" t="s">
        <v>1072</v>
      </c>
      <c r="RNV77" s="277" t="s">
        <v>1072</v>
      </c>
      <c r="RNW77" s="277" t="s">
        <v>1072</v>
      </c>
      <c r="RNX77" s="277" t="s">
        <v>1072</v>
      </c>
      <c r="RNY77" s="277" t="s">
        <v>1072</v>
      </c>
      <c r="RNZ77" s="277" t="s">
        <v>1072</v>
      </c>
      <c r="ROA77" s="277" t="s">
        <v>1072</v>
      </c>
      <c r="ROB77" s="277" t="s">
        <v>1072</v>
      </c>
      <c r="ROC77" s="277" t="s">
        <v>1072</v>
      </c>
      <c r="ROD77" s="277" t="s">
        <v>1072</v>
      </c>
      <c r="ROE77" s="277" t="s">
        <v>1072</v>
      </c>
      <c r="ROF77" s="277" t="s">
        <v>1072</v>
      </c>
      <c r="ROG77" s="277" t="s">
        <v>1072</v>
      </c>
      <c r="ROH77" s="277" t="s">
        <v>1072</v>
      </c>
      <c r="ROI77" s="277" t="s">
        <v>1072</v>
      </c>
      <c r="ROJ77" s="277" t="s">
        <v>1072</v>
      </c>
      <c r="ROK77" s="277" t="s">
        <v>1072</v>
      </c>
      <c r="ROL77" s="277" t="s">
        <v>1072</v>
      </c>
      <c r="ROM77" s="277" t="s">
        <v>1072</v>
      </c>
      <c r="RON77" s="277" t="s">
        <v>1072</v>
      </c>
      <c r="ROO77" s="277" t="s">
        <v>1072</v>
      </c>
      <c r="ROP77" s="277" t="s">
        <v>1072</v>
      </c>
      <c r="ROQ77" s="277" t="s">
        <v>1072</v>
      </c>
      <c r="ROR77" s="277" t="s">
        <v>1072</v>
      </c>
      <c r="ROS77" s="277" t="s">
        <v>1072</v>
      </c>
      <c r="ROT77" s="277" t="s">
        <v>1072</v>
      </c>
      <c r="ROU77" s="277" t="s">
        <v>1072</v>
      </c>
      <c r="ROV77" s="277" t="s">
        <v>1072</v>
      </c>
      <c r="ROW77" s="277" t="s">
        <v>1072</v>
      </c>
      <c r="ROX77" s="277" t="s">
        <v>1072</v>
      </c>
      <c r="ROY77" s="277" t="s">
        <v>1072</v>
      </c>
      <c r="ROZ77" s="277" t="s">
        <v>1072</v>
      </c>
      <c r="RPA77" s="277" t="s">
        <v>1072</v>
      </c>
      <c r="RPB77" s="277" t="s">
        <v>1072</v>
      </c>
      <c r="RPC77" s="277" t="s">
        <v>1072</v>
      </c>
      <c r="RPD77" s="277" t="s">
        <v>1072</v>
      </c>
      <c r="RPE77" s="277" t="s">
        <v>1072</v>
      </c>
      <c r="RPF77" s="277" t="s">
        <v>1072</v>
      </c>
      <c r="RPG77" s="277" t="s">
        <v>1072</v>
      </c>
      <c r="RPH77" s="277" t="s">
        <v>1072</v>
      </c>
      <c r="RPI77" s="277" t="s">
        <v>1072</v>
      </c>
      <c r="RPJ77" s="277" t="s">
        <v>1072</v>
      </c>
      <c r="RPK77" s="277" t="s">
        <v>1072</v>
      </c>
      <c r="RPL77" s="277" t="s">
        <v>1072</v>
      </c>
      <c r="RPM77" s="277" t="s">
        <v>1072</v>
      </c>
      <c r="RPN77" s="277" t="s">
        <v>1072</v>
      </c>
      <c r="RPO77" s="277" t="s">
        <v>1072</v>
      </c>
      <c r="RPP77" s="277" t="s">
        <v>1072</v>
      </c>
      <c r="RPQ77" s="277" t="s">
        <v>1072</v>
      </c>
      <c r="RPR77" s="277" t="s">
        <v>1072</v>
      </c>
      <c r="RPS77" s="277" t="s">
        <v>1072</v>
      </c>
      <c r="RPT77" s="277" t="s">
        <v>1072</v>
      </c>
      <c r="RPU77" s="277" t="s">
        <v>1072</v>
      </c>
      <c r="RPV77" s="277" t="s">
        <v>1072</v>
      </c>
      <c r="RPW77" s="277" t="s">
        <v>1072</v>
      </c>
      <c r="RPX77" s="277" t="s">
        <v>1072</v>
      </c>
      <c r="RPY77" s="277" t="s">
        <v>1072</v>
      </c>
      <c r="RPZ77" s="277" t="s">
        <v>1072</v>
      </c>
      <c r="RQA77" s="277" t="s">
        <v>1072</v>
      </c>
      <c r="RQB77" s="277" t="s">
        <v>1072</v>
      </c>
      <c r="RQC77" s="277" t="s">
        <v>1072</v>
      </c>
      <c r="RQD77" s="277" t="s">
        <v>1072</v>
      </c>
      <c r="RQE77" s="277" t="s">
        <v>1072</v>
      </c>
      <c r="RQF77" s="277" t="s">
        <v>1072</v>
      </c>
      <c r="RQG77" s="277" t="s">
        <v>1072</v>
      </c>
      <c r="RQH77" s="277" t="s">
        <v>1072</v>
      </c>
      <c r="RQI77" s="277" t="s">
        <v>1072</v>
      </c>
      <c r="RQJ77" s="277" t="s">
        <v>1072</v>
      </c>
      <c r="RQK77" s="277" t="s">
        <v>1072</v>
      </c>
      <c r="RQL77" s="277" t="s">
        <v>1072</v>
      </c>
      <c r="RQM77" s="277" t="s">
        <v>1072</v>
      </c>
      <c r="RQN77" s="277" t="s">
        <v>1072</v>
      </c>
      <c r="RQO77" s="277" t="s">
        <v>1072</v>
      </c>
      <c r="RQP77" s="277" t="s">
        <v>1072</v>
      </c>
      <c r="RQQ77" s="277" t="s">
        <v>1072</v>
      </c>
      <c r="RQR77" s="277" t="s">
        <v>1072</v>
      </c>
      <c r="RQS77" s="277" t="s">
        <v>1072</v>
      </c>
      <c r="RQT77" s="277" t="s">
        <v>1072</v>
      </c>
      <c r="RQU77" s="277" t="s">
        <v>1072</v>
      </c>
      <c r="RQV77" s="277" t="s">
        <v>1072</v>
      </c>
      <c r="RQW77" s="277" t="s">
        <v>1072</v>
      </c>
      <c r="RQX77" s="277" t="s">
        <v>1072</v>
      </c>
      <c r="RQY77" s="277" t="s">
        <v>1072</v>
      </c>
      <c r="RQZ77" s="277" t="s">
        <v>1072</v>
      </c>
      <c r="RRA77" s="277" t="s">
        <v>1072</v>
      </c>
      <c r="RRB77" s="277" t="s">
        <v>1072</v>
      </c>
      <c r="RRC77" s="277" t="s">
        <v>1072</v>
      </c>
      <c r="RRD77" s="277" t="s">
        <v>1072</v>
      </c>
      <c r="RRE77" s="277" t="s">
        <v>1072</v>
      </c>
      <c r="RRF77" s="277" t="s">
        <v>1072</v>
      </c>
      <c r="RRG77" s="277" t="s">
        <v>1072</v>
      </c>
      <c r="RRH77" s="277" t="s">
        <v>1072</v>
      </c>
      <c r="RRI77" s="277" t="s">
        <v>1072</v>
      </c>
      <c r="RRJ77" s="277" t="s">
        <v>1072</v>
      </c>
      <c r="RRK77" s="277" t="s">
        <v>1072</v>
      </c>
      <c r="RRL77" s="277" t="s">
        <v>1072</v>
      </c>
      <c r="RRM77" s="277" t="s">
        <v>1072</v>
      </c>
      <c r="RRN77" s="277" t="s">
        <v>1072</v>
      </c>
      <c r="RRO77" s="277" t="s">
        <v>1072</v>
      </c>
      <c r="RRP77" s="277" t="s">
        <v>1072</v>
      </c>
      <c r="RRQ77" s="277" t="s">
        <v>1072</v>
      </c>
      <c r="RRR77" s="277" t="s">
        <v>1072</v>
      </c>
      <c r="RRS77" s="277" t="s">
        <v>1072</v>
      </c>
      <c r="RRT77" s="277" t="s">
        <v>1072</v>
      </c>
      <c r="RRU77" s="277" t="s">
        <v>1072</v>
      </c>
      <c r="RRV77" s="277" t="s">
        <v>1072</v>
      </c>
      <c r="RRW77" s="277" t="s">
        <v>1072</v>
      </c>
      <c r="RRX77" s="277" t="s">
        <v>1072</v>
      </c>
      <c r="RRY77" s="277" t="s">
        <v>1072</v>
      </c>
      <c r="RRZ77" s="277" t="s">
        <v>1072</v>
      </c>
      <c r="RSA77" s="277" t="s">
        <v>1072</v>
      </c>
      <c r="RSB77" s="277" t="s">
        <v>1072</v>
      </c>
      <c r="RSC77" s="277" t="s">
        <v>1072</v>
      </c>
      <c r="RSD77" s="277" t="s">
        <v>1072</v>
      </c>
      <c r="RSE77" s="277" t="s">
        <v>1072</v>
      </c>
      <c r="RSF77" s="277" t="s">
        <v>1072</v>
      </c>
      <c r="RSG77" s="277" t="s">
        <v>1072</v>
      </c>
      <c r="RSH77" s="277" t="s">
        <v>1072</v>
      </c>
      <c r="RSI77" s="277" t="s">
        <v>1072</v>
      </c>
      <c r="RSJ77" s="277" t="s">
        <v>1072</v>
      </c>
      <c r="RSK77" s="277" t="s">
        <v>1072</v>
      </c>
      <c r="RSL77" s="277" t="s">
        <v>1072</v>
      </c>
      <c r="RSM77" s="277" t="s">
        <v>1072</v>
      </c>
      <c r="RSN77" s="277" t="s">
        <v>1072</v>
      </c>
      <c r="RSO77" s="277" t="s">
        <v>1072</v>
      </c>
      <c r="RSP77" s="277" t="s">
        <v>1072</v>
      </c>
      <c r="RSQ77" s="277" t="s">
        <v>1072</v>
      </c>
      <c r="RSR77" s="277" t="s">
        <v>1072</v>
      </c>
      <c r="RSS77" s="277" t="s">
        <v>1072</v>
      </c>
      <c r="RST77" s="277" t="s">
        <v>1072</v>
      </c>
      <c r="RSU77" s="277" t="s">
        <v>1072</v>
      </c>
      <c r="RSV77" s="277" t="s">
        <v>1072</v>
      </c>
      <c r="RSW77" s="277" t="s">
        <v>1072</v>
      </c>
      <c r="RSX77" s="277" t="s">
        <v>1072</v>
      </c>
      <c r="RSY77" s="277" t="s">
        <v>1072</v>
      </c>
      <c r="RSZ77" s="277" t="s">
        <v>1072</v>
      </c>
      <c r="RTA77" s="277" t="s">
        <v>1072</v>
      </c>
      <c r="RTB77" s="277" t="s">
        <v>1072</v>
      </c>
      <c r="RTC77" s="277" t="s">
        <v>1072</v>
      </c>
      <c r="RTD77" s="277" t="s">
        <v>1072</v>
      </c>
      <c r="RTE77" s="277" t="s">
        <v>1072</v>
      </c>
      <c r="RTF77" s="277" t="s">
        <v>1072</v>
      </c>
      <c r="RTG77" s="277" t="s">
        <v>1072</v>
      </c>
      <c r="RTH77" s="277" t="s">
        <v>1072</v>
      </c>
      <c r="RTI77" s="277" t="s">
        <v>1072</v>
      </c>
      <c r="RTJ77" s="277" t="s">
        <v>1072</v>
      </c>
      <c r="RTK77" s="277" t="s">
        <v>1072</v>
      </c>
      <c r="RTL77" s="277" t="s">
        <v>1072</v>
      </c>
      <c r="RTM77" s="277" t="s">
        <v>1072</v>
      </c>
      <c r="RTN77" s="277" t="s">
        <v>1072</v>
      </c>
      <c r="RTO77" s="277" t="s">
        <v>1072</v>
      </c>
      <c r="RTP77" s="277" t="s">
        <v>1072</v>
      </c>
      <c r="RTQ77" s="277" t="s">
        <v>1072</v>
      </c>
      <c r="RTR77" s="277" t="s">
        <v>1072</v>
      </c>
      <c r="RTS77" s="277" t="s">
        <v>1072</v>
      </c>
      <c r="RTT77" s="277" t="s">
        <v>1072</v>
      </c>
      <c r="RTU77" s="277" t="s">
        <v>1072</v>
      </c>
      <c r="RTV77" s="277" t="s">
        <v>1072</v>
      </c>
      <c r="RTW77" s="277" t="s">
        <v>1072</v>
      </c>
      <c r="RTX77" s="277" t="s">
        <v>1072</v>
      </c>
      <c r="RTY77" s="277" t="s">
        <v>1072</v>
      </c>
      <c r="RTZ77" s="277" t="s">
        <v>1072</v>
      </c>
      <c r="RUA77" s="277" t="s">
        <v>1072</v>
      </c>
      <c r="RUB77" s="277" t="s">
        <v>1072</v>
      </c>
      <c r="RUC77" s="277" t="s">
        <v>1072</v>
      </c>
      <c r="RUD77" s="277" t="s">
        <v>1072</v>
      </c>
      <c r="RUE77" s="277" t="s">
        <v>1072</v>
      </c>
      <c r="RUF77" s="277" t="s">
        <v>1072</v>
      </c>
      <c r="RUG77" s="277" t="s">
        <v>1072</v>
      </c>
      <c r="RUH77" s="277" t="s">
        <v>1072</v>
      </c>
      <c r="RUI77" s="277" t="s">
        <v>1072</v>
      </c>
      <c r="RUJ77" s="277" t="s">
        <v>1072</v>
      </c>
      <c r="RUK77" s="277" t="s">
        <v>1072</v>
      </c>
      <c r="RUL77" s="277" t="s">
        <v>1072</v>
      </c>
      <c r="RUM77" s="277" t="s">
        <v>1072</v>
      </c>
      <c r="RUN77" s="277" t="s">
        <v>1072</v>
      </c>
      <c r="RUO77" s="277" t="s">
        <v>1072</v>
      </c>
      <c r="RUP77" s="277" t="s">
        <v>1072</v>
      </c>
      <c r="RUQ77" s="277" t="s">
        <v>1072</v>
      </c>
      <c r="RUR77" s="277" t="s">
        <v>1072</v>
      </c>
      <c r="RUS77" s="277" t="s">
        <v>1072</v>
      </c>
      <c r="RUT77" s="277" t="s">
        <v>1072</v>
      </c>
      <c r="RUU77" s="277" t="s">
        <v>1072</v>
      </c>
      <c r="RUV77" s="277" t="s">
        <v>1072</v>
      </c>
      <c r="RUW77" s="277" t="s">
        <v>1072</v>
      </c>
      <c r="RUX77" s="277" t="s">
        <v>1072</v>
      </c>
      <c r="RUY77" s="277" t="s">
        <v>1072</v>
      </c>
      <c r="RUZ77" s="277" t="s">
        <v>1072</v>
      </c>
      <c r="RVA77" s="277" t="s">
        <v>1072</v>
      </c>
      <c r="RVB77" s="277" t="s">
        <v>1072</v>
      </c>
      <c r="RVC77" s="277" t="s">
        <v>1072</v>
      </c>
      <c r="RVD77" s="277" t="s">
        <v>1072</v>
      </c>
      <c r="RVE77" s="277" t="s">
        <v>1072</v>
      </c>
      <c r="RVF77" s="277" t="s">
        <v>1072</v>
      </c>
      <c r="RVG77" s="277" t="s">
        <v>1072</v>
      </c>
      <c r="RVH77" s="277" t="s">
        <v>1072</v>
      </c>
      <c r="RVI77" s="277" t="s">
        <v>1072</v>
      </c>
      <c r="RVJ77" s="277" t="s">
        <v>1072</v>
      </c>
      <c r="RVK77" s="277" t="s">
        <v>1072</v>
      </c>
      <c r="RVL77" s="277" t="s">
        <v>1072</v>
      </c>
      <c r="RVM77" s="277" t="s">
        <v>1072</v>
      </c>
      <c r="RVN77" s="277" t="s">
        <v>1072</v>
      </c>
      <c r="RVO77" s="277" t="s">
        <v>1072</v>
      </c>
      <c r="RVP77" s="277" t="s">
        <v>1072</v>
      </c>
      <c r="RVQ77" s="277" t="s">
        <v>1072</v>
      </c>
      <c r="RVR77" s="277" t="s">
        <v>1072</v>
      </c>
      <c r="RVS77" s="277" t="s">
        <v>1072</v>
      </c>
      <c r="RVT77" s="277" t="s">
        <v>1072</v>
      </c>
      <c r="RVU77" s="277" t="s">
        <v>1072</v>
      </c>
      <c r="RVV77" s="277" t="s">
        <v>1072</v>
      </c>
      <c r="RVW77" s="277" t="s">
        <v>1072</v>
      </c>
      <c r="RVX77" s="277" t="s">
        <v>1072</v>
      </c>
      <c r="RVY77" s="277" t="s">
        <v>1072</v>
      </c>
      <c r="RVZ77" s="277" t="s">
        <v>1072</v>
      </c>
      <c r="RWA77" s="277" t="s">
        <v>1072</v>
      </c>
      <c r="RWB77" s="277" t="s">
        <v>1072</v>
      </c>
      <c r="RWC77" s="277" t="s">
        <v>1072</v>
      </c>
      <c r="RWD77" s="277" t="s">
        <v>1072</v>
      </c>
      <c r="RWE77" s="277" t="s">
        <v>1072</v>
      </c>
      <c r="RWF77" s="277" t="s">
        <v>1072</v>
      </c>
      <c r="RWG77" s="277" t="s">
        <v>1072</v>
      </c>
      <c r="RWH77" s="277" t="s">
        <v>1072</v>
      </c>
      <c r="RWI77" s="277" t="s">
        <v>1072</v>
      </c>
      <c r="RWJ77" s="277" t="s">
        <v>1072</v>
      </c>
      <c r="RWK77" s="277" t="s">
        <v>1072</v>
      </c>
      <c r="RWL77" s="277" t="s">
        <v>1072</v>
      </c>
      <c r="RWM77" s="277" t="s">
        <v>1072</v>
      </c>
      <c r="RWN77" s="277" t="s">
        <v>1072</v>
      </c>
      <c r="RWO77" s="277" t="s">
        <v>1072</v>
      </c>
      <c r="RWP77" s="277" t="s">
        <v>1072</v>
      </c>
      <c r="RWQ77" s="277" t="s">
        <v>1072</v>
      </c>
      <c r="RWR77" s="277" t="s">
        <v>1072</v>
      </c>
      <c r="RWS77" s="277" t="s">
        <v>1072</v>
      </c>
      <c r="RWT77" s="277" t="s">
        <v>1072</v>
      </c>
      <c r="RWU77" s="277" t="s">
        <v>1072</v>
      </c>
      <c r="RWV77" s="277" t="s">
        <v>1072</v>
      </c>
      <c r="RWW77" s="277" t="s">
        <v>1072</v>
      </c>
      <c r="RWX77" s="277" t="s">
        <v>1072</v>
      </c>
      <c r="RWY77" s="277" t="s">
        <v>1072</v>
      </c>
      <c r="RWZ77" s="277" t="s">
        <v>1072</v>
      </c>
      <c r="RXA77" s="277" t="s">
        <v>1072</v>
      </c>
      <c r="RXB77" s="277" t="s">
        <v>1072</v>
      </c>
      <c r="RXC77" s="277" t="s">
        <v>1072</v>
      </c>
      <c r="RXD77" s="277" t="s">
        <v>1072</v>
      </c>
      <c r="RXE77" s="277" t="s">
        <v>1072</v>
      </c>
      <c r="RXF77" s="277" t="s">
        <v>1072</v>
      </c>
      <c r="RXG77" s="277" t="s">
        <v>1072</v>
      </c>
      <c r="RXH77" s="277" t="s">
        <v>1072</v>
      </c>
      <c r="RXI77" s="277" t="s">
        <v>1072</v>
      </c>
      <c r="RXJ77" s="277" t="s">
        <v>1072</v>
      </c>
      <c r="RXK77" s="277" t="s">
        <v>1072</v>
      </c>
      <c r="RXL77" s="277" t="s">
        <v>1072</v>
      </c>
      <c r="RXM77" s="277" t="s">
        <v>1072</v>
      </c>
      <c r="RXN77" s="277" t="s">
        <v>1072</v>
      </c>
      <c r="RXO77" s="277" t="s">
        <v>1072</v>
      </c>
      <c r="RXP77" s="277" t="s">
        <v>1072</v>
      </c>
      <c r="RXQ77" s="277" t="s">
        <v>1072</v>
      </c>
      <c r="RXR77" s="277" t="s">
        <v>1072</v>
      </c>
      <c r="RXS77" s="277" t="s">
        <v>1072</v>
      </c>
      <c r="RXT77" s="277" t="s">
        <v>1072</v>
      </c>
      <c r="RXU77" s="277" t="s">
        <v>1072</v>
      </c>
      <c r="RXV77" s="277" t="s">
        <v>1072</v>
      </c>
      <c r="RXW77" s="277" t="s">
        <v>1072</v>
      </c>
      <c r="RXX77" s="277" t="s">
        <v>1072</v>
      </c>
      <c r="RXY77" s="277" t="s">
        <v>1072</v>
      </c>
      <c r="RXZ77" s="277" t="s">
        <v>1072</v>
      </c>
      <c r="RYA77" s="277" t="s">
        <v>1072</v>
      </c>
      <c r="RYB77" s="277" t="s">
        <v>1072</v>
      </c>
      <c r="RYC77" s="277" t="s">
        <v>1072</v>
      </c>
      <c r="RYD77" s="277" t="s">
        <v>1072</v>
      </c>
      <c r="RYE77" s="277" t="s">
        <v>1072</v>
      </c>
      <c r="RYF77" s="277" t="s">
        <v>1072</v>
      </c>
      <c r="RYG77" s="277" t="s">
        <v>1072</v>
      </c>
      <c r="RYH77" s="277" t="s">
        <v>1072</v>
      </c>
      <c r="RYI77" s="277" t="s">
        <v>1072</v>
      </c>
      <c r="RYJ77" s="277" t="s">
        <v>1072</v>
      </c>
      <c r="RYK77" s="277" t="s">
        <v>1072</v>
      </c>
      <c r="RYL77" s="277" t="s">
        <v>1072</v>
      </c>
      <c r="RYM77" s="277" t="s">
        <v>1072</v>
      </c>
      <c r="RYN77" s="277" t="s">
        <v>1072</v>
      </c>
      <c r="RYO77" s="277" t="s">
        <v>1072</v>
      </c>
      <c r="RYP77" s="277" t="s">
        <v>1072</v>
      </c>
      <c r="RYQ77" s="277" t="s">
        <v>1072</v>
      </c>
      <c r="RYR77" s="277" t="s">
        <v>1072</v>
      </c>
      <c r="RYS77" s="277" t="s">
        <v>1072</v>
      </c>
      <c r="RYT77" s="277" t="s">
        <v>1072</v>
      </c>
      <c r="RYU77" s="277" t="s">
        <v>1072</v>
      </c>
      <c r="RYV77" s="277" t="s">
        <v>1072</v>
      </c>
      <c r="RYW77" s="277" t="s">
        <v>1072</v>
      </c>
      <c r="RYX77" s="277" t="s">
        <v>1072</v>
      </c>
      <c r="RYY77" s="277" t="s">
        <v>1072</v>
      </c>
      <c r="RYZ77" s="277" t="s">
        <v>1072</v>
      </c>
      <c r="RZA77" s="277" t="s">
        <v>1072</v>
      </c>
      <c r="RZB77" s="277" t="s">
        <v>1072</v>
      </c>
      <c r="RZC77" s="277" t="s">
        <v>1072</v>
      </c>
      <c r="RZD77" s="277" t="s">
        <v>1072</v>
      </c>
      <c r="RZE77" s="277" t="s">
        <v>1072</v>
      </c>
      <c r="RZF77" s="277" t="s">
        <v>1072</v>
      </c>
      <c r="RZG77" s="277" t="s">
        <v>1072</v>
      </c>
      <c r="RZH77" s="277" t="s">
        <v>1072</v>
      </c>
      <c r="RZI77" s="277" t="s">
        <v>1072</v>
      </c>
      <c r="RZJ77" s="277" t="s">
        <v>1072</v>
      </c>
      <c r="RZK77" s="277" t="s">
        <v>1072</v>
      </c>
      <c r="RZL77" s="277" t="s">
        <v>1072</v>
      </c>
      <c r="RZM77" s="277" t="s">
        <v>1072</v>
      </c>
      <c r="RZN77" s="277" t="s">
        <v>1072</v>
      </c>
      <c r="RZO77" s="277" t="s">
        <v>1072</v>
      </c>
      <c r="RZP77" s="277" t="s">
        <v>1072</v>
      </c>
      <c r="RZQ77" s="277" t="s">
        <v>1072</v>
      </c>
      <c r="RZR77" s="277" t="s">
        <v>1072</v>
      </c>
      <c r="RZS77" s="277" t="s">
        <v>1072</v>
      </c>
      <c r="RZT77" s="277" t="s">
        <v>1072</v>
      </c>
      <c r="RZU77" s="277" t="s">
        <v>1072</v>
      </c>
      <c r="RZV77" s="277" t="s">
        <v>1072</v>
      </c>
      <c r="RZW77" s="277" t="s">
        <v>1072</v>
      </c>
      <c r="RZX77" s="277" t="s">
        <v>1072</v>
      </c>
      <c r="RZY77" s="277" t="s">
        <v>1072</v>
      </c>
      <c r="RZZ77" s="277" t="s">
        <v>1072</v>
      </c>
      <c r="SAA77" s="277" t="s">
        <v>1072</v>
      </c>
      <c r="SAB77" s="277" t="s">
        <v>1072</v>
      </c>
      <c r="SAC77" s="277" t="s">
        <v>1072</v>
      </c>
      <c r="SAD77" s="277" t="s">
        <v>1072</v>
      </c>
      <c r="SAE77" s="277" t="s">
        <v>1072</v>
      </c>
      <c r="SAF77" s="277" t="s">
        <v>1072</v>
      </c>
      <c r="SAG77" s="277" t="s">
        <v>1072</v>
      </c>
      <c r="SAH77" s="277" t="s">
        <v>1072</v>
      </c>
      <c r="SAI77" s="277" t="s">
        <v>1072</v>
      </c>
      <c r="SAJ77" s="277" t="s">
        <v>1072</v>
      </c>
      <c r="SAK77" s="277" t="s">
        <v>1072</v>
      </c>
      <c r="SAL77" s="277" t="s">
        <v>1072</v>
      </c>
      <c r="SAM77" s="277" t="s">
        <v>1072</v>
      </c>
      <c r="SAN77" s="277" t="s">
        <v>1072</v>
      </c>
      <c r="SAO77" s="277" t="s">
        <v>1072</v>
      </c>
      <c r="SAP77" s="277" t="s">
        <v>1072</v>
      </c>
      <c r="SAQ77" s="277" t="s">
        <v>1072</v>
      </c>
      <c r="SAR77" s="277" t="s">
        <v>1072</v>
      </c>
      <c r="SAS77" s="277" t="s">
        <v>1072</v>
      </c>
      <c r="SAT77" s="277" t="s">
        <v>1072</v>
      </c>
      <c r="SAU77" s="277" t="s">
        <v>1072</v>
      </c>
      <c r="SAV77" s="277" t="s">
        <v>1072</v>
      </c>
      <c r="SAW77" s="277" t="s">
        <v>1072</v>
      </c>
      <c r="SAX77" s="277" t="s">
        <v>1072</v>
      </c>
      <c r="SAY77" s="277" t="s">
        <v>1072</v>
      </c>
      <c r="SAZ77" s="277" t="s">
        <v>1072</v>
      </c>
      <c r="SBA77" s="277" t="s">
        <v>1072</v>
      </c>
      <c r="SBB77" s="277" t="s">
        <v>1072</v>
      </c>
      <c r="SBC77" s="277" t="s">
        <v>1072</v>
      </c>
      <c r="SBD77" s="277" t="s">
        <v>1072</v>
      </c>
      <c r="SBE77" s="277" t="s">
        <v>1072</v>
      </c>
      <c r="SBF77" s="277" t="s">
        <v>1072</v>
      </c>
      <c r="SBG77" s="277" t="s">
        <v>1072</v>
      </c>
      <c r="SBH77" s="277" t="s">
        <v>1072</v>
      </c>
      <c r="SBI77" s="277" t="s">
        <v>1072</v>
      </c>
      <c r="SBJ77" s="277" t="s">
        <v>1072</v>
      </c>
      <c r="SBK77" s="277" t="s">
        <v>1072</v>
      </c>
      <c r="SBL77" s="277" t="s">
        <v>1072</v>
      </c>
      <c r="SBM77" s="277" t="s">
        <v>1072</v>
      </c>
      <c r="SBN77" s="277" t="s">
        <v>1072</v>
      </c>
      <c r="SBO77" s="277" t="s">
        <v>1072</v>
      </c>
      <c r="SBP77" s="277" t="s">
        <v>1072</v>
      </c>
      <c r="SBQ77" s="277" t="s">
        <v>1072</v>
      </c>
      <c r="SBR77" s="277" t="s">
        <v>1072</v>
      </c>
      <c r="SBS77" s="277" t="s">
        <v>1072</v>
      </c>
      <c r="SBT77" s="277" t="s">
        <v>1072</v>
      </c>
      <c r="SBU77" s="277" t="s">
        <v>1072</v>
      </c>
      <c r="SBV77" s="277" t="s">
        <v>1072</v>
      </c>
      <c r="SBW77" s="277" t="s">
        <v>1072</v>
      </c>
      <c r="SBX77" s="277" t="s">
        <v>1072</v>
      </c>
      <c r="SBY77" s="277" t="s">
        <v>1072</v>
      </c>
      <c r="SBZ77" s="277" t="s">
        <v>1072</v>
      </c>
      <c r="SCA77" s="277" t="s">
        <v>1072</v>
      </c>
      <c r="SCB77" s="277" t="s">
        <v>1072</v>
      </c>
      <c r="SCC77" s="277" t="s">
        <v>1072</v>
      </c>
      <c r="SCD77" s="277" t="s">
        <v>1072</v>
      </c>
      <c r="SCE77" s="277" t="s">
        <v>1072</v>
      </c>
      <c r="SCF77" s="277" t="s">
        <v>1072</v>
      </c>
      <c r="SCG77" s="277" t="s">
        <v>1072</v>
      </c>
      <c r="SCH77" s="277" t="s">
        <v>1072</v>
      </c>
      <c r="SCI77" s="277" t="s">
        <v>1072</v>
      </c>
      <c r="SCJ77" s="277" t="s">
        <v>1072</v>
      </c>
      <c r="SCK77" s="277" t="s">
        <v>1072</v>
      </c>
      <c r="SCL77" s="277" t="s">
        <v>1072</v>
      </c>
      <c r="SCM77" s="277" t="s">
        <v>1072</v>
      </c>
      <c r="SCN77" s="277" t="s">
        <v>1072</v>
      </c>
      <c r="SCO77" s="277" t="s">
        <v>1072</v>
      </c>
      <c r="SCP77" s="277" t="s">
        <v>1072</v>
      </c>
      <c r="SCQ77" s="277" t="s">
        <v>1072</v>
      </c>
      <c r="SCR77" s="277" t="s">
        <v>1072</v>
      </c>
      <c r="SCS77" s="277" t="s">
        <v>1072</v>
      </c>
      <c r="SCT77" s="277" t="s">
        <v>1072</v>
      </c>
      <c r="SCU77" s="277" t="s">
        <v>1072</v>
      </c>
      <c r="SCV77" s="277" t="s">
        <v>1072</v>
      </c>
      <c r="SCW77" s="277" t="s">
        <v>1072</v>
      </c>
      <c r="SCX77" s="277" t="s">
        <v>1072</v>
      </c>
      <c r="SCY77" s="277" t="s">
        <v>1072</v>
      </c>
      <c r="SCZ77" s="277" t="s">
        <v>1072</v>
      </c>
      <c r="SDA77" s="277" t="s">
        <v>1072</v>
      </c>
      <c r="SDB77" s="277" t="s">
        <v>1072</v>
      </c>
      <c r="SDC77" s="277" t="s">
        <v>1072</v>
      </c>
      <c r="SDD77" s="277" t="s">
        <v>1072</v>
      </c>
      <c r="SDE77" s="277" t="s">
        <v>1072</v>
      </c>
      <c r="SDF77" s="277" t="s">
        <v>1072</v>
      </c>
      <c r="SDG77" s="277" t="s">
        <v>1072</v>
      </c>
      <c r="SDH77" s="277" t="s">
        <v>1072</v>
      </c>
      <c r="SDI77" s="277" t="s">
        <v>1072</v>
      </c>
      <c r="SDJ77" s="277" t="s">
        <v>1072</v>
      </c>
      <c r="SDK77" s="277" t="s">
        <v>1072</v>
      </c>
      <c r="SDL77" s="277" t="s">
        <v>1072</v>
      </c>
      <c r="SDM77" s="277" t="s">
        <v>1072</v>
      </c>
      <c r="SDN77" s="277" t="s">
        <v>1072</v>
      </c>
      <c r="SDO77" s="277" t="s">
        <v>1072</v>
      </c>
      <c r="SDP77" s="277" t="s">
        <v>1072</v>
      </c>
      <c r="SDQ77" s="277" t="s">
        <v>1072</v>
      </c>
      <c r="SDR77" s="277" t="s">
        <v>1072</v>
      </c>
      <c r="SDS77" s="277" t="s">
        <v>1072</v>
      </c>
      <c r="SDT77" s="277" t="s">
        <v>1072</v>
      </c>
      <c r="SDU77" s="277" t="s">
        <v>1072</v>
      </c>
      <c r="SDV77" s="277" t="s">
        <v>1072</v>
      </c>
      <c r="SDW77" s="277" t="s">
        <v>1072</v>
      </c>
      <c r="SDX77" s="277" t="s">
        <v>1072</v>
      </c>
      <c r="SDY77" s="277" t="s">
        <v>1072</v>
      </c>
      <c r="SDZ77" s="277" t="s">
        <v>1072</v>
      </c>
      <c r="SEA77" s="277" t="s">
        <v>1072</v>
      </c>
      <c r="SEB77" s="277" t="s">
        <v>1072</v>
      </c>
      <c r="SEC77" s="277" t="s">
        <v>1072</v>
      </c>
      <c r="SED77" s="277" t="s">
        <v>1072</v>
      </c>
      <c r="SEE77" s="277" t="s">
        <v>1072</v>
      </c>
      <c r="SEF77" s="277" t="s">
        <v>1072</v>
      </c>
      <c r="SEG77" s="277" t="s">
        <v>1072</v>
      </c>
      <c r="SEH77" s="277" t="s">
        <v>1072</v>
      </c>
      <c r="SEI77" s="277" t="s">
        <v>1072</v>
      </c>
      <c r="SEJ77" s="277" t="s">
        <v>1072</v>
      </c>
      <c r="SEK77" s="277" t="s">
        <v>1072</v>
      </c>
      <c r="SEL77" s="277" t="s">
        <v>1072</v>
      </c>
      <c r="SEM77" s="277" t="s">
        <v>1072</v>
      </c>
      <c r="SEN77" s="277" t="s">
        <v>1072</v>
      </c>
      <c r="SEO77" s="277" t="s">
        <v>1072</v>
      </c>
      <c r="SEP77" s="277" t="s">
        <v>1072</v>
      </c>
      <c r="SEQ77" s="277" t="s">
        <v>1072</v>
      </c>
      <c r="SER77" s="277" t="s">
        <v>1072</v>
      </c>
      <c r="SES77" s="277" t="s">
        <v>1072</v>
      </c>
      <c r="SET77" s="277" t="s">
        <v>1072</v>
      </c>
      <c r="SEU77" s="277" t="s">
        <v>1072</v>
      </c>
      <c r="SEV77" s="277" t="s">
        <v>1072</v>
      </c>
      <c r="SEW77" s="277" t="s">
        <v>1072</v>
      </c>
      <c r="SEX77" s="277" t="s">
        <v>1072</v>
      </c>
      <c r="SEY77" s="277" t="s">
        <v>1072</v>
      </c>
      <c r="SEZ77" s="277" t="s">
        <v>1072</v>
      </c>
      <c r="SFA77" s="277" t="s">
        <v>1072</v>
      </c>
      <c r="SFB77" s="277" t="s">
        <v>1072</v>
      </c>
      <c r="SFC77" s="277" t="s">
        <v>1072</v>
      </c>
      <c r="SFD77" s="277" t="s">
        <v>1072</v>
      </c>
      <c r="SFE77" s="277" t="s">
        <v>1072</v>
      </c>
      <c r="SFF77" s="277" t="s">
        <v>1072</v>
      </c>
      <c r="SFG77" s="277" t="s">
        <v>1072</v>
      </c>
      <c r="SFH77" s="277" t="s">
        <v>1072</v>
      </c>
      <c r="SFI77" s="277" t="s">
        <v>1072</v>
      </c>
      <c r="SFJ77" s="277" t="s">
        <v>1072</v>
      </c>
      <c r="SFK77" s="277" t="s">
        <v>1072</v>
      </c>
      <c r="SFL77" s="277" t="s">
        <v>1072</v>
      </c>
      <c r="SFM77" s="277" t="s">
        <v>1072</v>
      </c>
      <c r="SFN77" s="277" t="s">
        <v>1072</v>
      </c>
      <c r="SFO77" s="277" t="s">
        <v>1072</v>
      </c>
      <c r="SFP77" s="277" t="s">
        <v>1072</v>
      </c>
      <c r="SFQ77" s="277" t="s">
        <v>1072</v>
      </c>
      <c r="SFR77" s="277" t="s">
        <v>1072</v>
      </c>
      <c r="SFS77" s="277" t="s">
        <v>1072</v>
      </c>
      <c r="SFT77" s="277" t="s">
        <v>1072</v>
      </c>
      <c r="SFU77" s="277" t="s">
        <v>1072</v>
      </c>
      <c r="SFV77" s="277" t="s">
        <v>1072</v>
      </c>
      <c r="SFW77" s="277" t="s">
        <v>1072</v>
      </c>
      <c r="SFX77" s="277" t="s">
        <v>1072</v>
      </c>
      <c r="SFY77" s="277" t="s">
        <v>1072</v>
      </c>
      <c r="SFZ77" s="277" t="s">
        <v>1072</v>
      </c>
      <c r="SGA77" s="277" t="s">
        <v>1072</v>
      </c>
      <c r="SGB77" s="277" t="s">
        <v>1072</v>
      </c>
      <c r="SGC77" s="277" t="s">
        <v>1072</v>
      </c>
      <c r="SGD77" s="277" t="s">
        <v>1072</v>
      </c>
      <c r="SGE77" s="277" t="s">
        <v>1072</v>
      </c>
      <c r="SGF77" s="277" t="s">
        <v>1072</v>
      </c>
      <c r="SGG77" s="277" t="s">
        <v>1072</v>
      </c>
      <c r="SGH77" s="277" t="s">
        <v>1072</v>
      </c>
      <c r="SGI77" s="277" t="s">
        <v>1072</v>
      </c>
      <c r="SGJ77" s="277" t="s">
        <v>1072</v>
      </c>
      <c r="SGK77" s="277" t="s">
        <v>1072</v>
      </c>
      <c r="SGL77" s="277" t="s">
        <v>1072</v>
      </c>
      <c r="SGM77" s="277" t="s">
        <v>1072</v>
      </c>
      <c r="SGN77" s="277" t="s">
        <v>1072</v>
      </c>
      <c r="SGO77" s="277" t="s">
        <v>1072</v>
      </c>
      <c r="SGP77" s="277" t="s">
        <v>1072</v>
      </c>
      <c r="SGQ77" s="277" t="s">
        <v>1072</v>
      </c>
      <c r="SGR77" s="277" t="s">
        <v>1072</v>
      </c>
      <c r="SGS77" s="277" t="s">
        <v>1072</v>
      </c>
      <c r="SGT77" s="277" t="s">
        <v>1072</v>
      </c>
      <c r="SGU77" s="277" t="s">
        <v>1072</v>
      </c>
      <c r="SGV77" s="277" t="s">
        <v>1072</v>
      </c>
      <c r="SGW77" s="277" t="s">
        <v>1072</v>
      </c>
      <c r="SGX77" s="277" t="s">
        <v>1072</v>
      </c>
      <c r="SGY77" s="277" t="s">
        <v>1072</v>
      </c>
      <c r="SGZ77" s="277" t="s">
        <v>1072</v>
      </c>
      <c r="SHA77" s="277" t="s">
        <v>1072</v>
      </c>
      <c r="SHB77" s="277" t="s">
        <v>1072</v>
      </c>
      <c r="SHC77" s="277" t="s">
        <v>1072</v>
      </c>
      <c r="SHD77" s="277" t="s">
        <v>1072</v>
      </c>
      <c r="SHE77" s="277" t="s">
        <v>1072</v>
      </c>
      <c r="SHF77" s="277" t="s">
        <v>1072</v>
      </c>
      <c r="SHG77" s="277" t="s">
        <v>1072</v>
      </c>
      <c r="SHH77" s="277" t="s">
        <v>1072</v>
      </c>
      <c r="SHI77" s="277" t="s">
        <v>1072</v>
      </c>
      <c r="SHJ77" s="277" t="s">
        <v>1072</v>
      </c>
      <c r="SHK77" s="277" t="s">
        <v>1072</v>
      </c>
      <c r="SHL77" s="277" t="s">
        <v>1072</v>
      </c>
      <c r="SHM77" s="277" t="s">
        <v>1072</v>
      </c>
      <c r="SHN77" s="277" t="s">
        <v>1072</v>
      </c>
      <c r="SHO77" s="277" t="s">
        <v>1072</v>
      </c>
      <c r="SHP77" s="277" t="s">
        <v>1072</v>
      </c>
      <c r="SHQ77" s="277" t="s">
        <v>1072</v>
      </c>
      <c r="SHR77" s="277" t="s">
        <v>1072</v>
      </c>
      <c r="SHS77" s="277" t="s">
        <v>1072</v>
      </c>
      <c r="SHT77" s="277" t="s">
        <v>1072</v>
      </c>
      <c r="SHU77" s="277" t="s">
        <v>1072</v>
      </c>
      <c r="SHV77" s="277" t="s">
        <v>1072</v>
      </c>
      <c r="SHW77" s="277" t="s">
        <v>1072</v>
      </c>
      <c r="SHX77" s="277" t="s">
        <v>1072</v>
      </c>
      <c r="SHY77" s="277" t="s">
        <v>1072</v>
      </c>
      <c r="SHZ77" s="277" t="s">
        <v>1072</v>
      </c>
      <c r="SIA77" s="277" t="s">
        <v>1072</v>
      </c>
      <c r="SIB77" s="277" t="s">
        <v>1072</v>
      </c>
      <c r="SIC77" s="277" t="s">
        <v>1072</v>
      </c>
      <c r="SID77" s="277" t="s">
        <v>1072</v>
      </c>
      <c r="SIE77" s="277" t="s">
        <v>1072</v>
      </c>
      <c r="SIF77" s="277" t="s">
        <v>1072</v>
      </c>
      <c r="SIG77" s="277" t="s">
        <v>1072</v>
      </c>
      <c r="SIH77" s="277" t="s">
        <v>1072</v>
      </c>
      <c r="SII77" s="277" t="s">
        <v>1072</v>
      </c>
      <c r="SIJ77" s="277" t="s">
        <v>1072</v>
      </c>
      <c r="SIK77" s="277" t="s">
        <v>1072</v>
      </c>
      <c r="SIL77" s="277" t="s">
        <v>1072</v>
      </c>
      <c r="SIM77" s="277" t="s">
        <v>1072</v>
      </c>
      <c r="SIN77" s="277" t="s">
        <v>1072</v>
      </c>
      <c r="SIO77" s="277" t="s">
        <v>1072</v>
      </c>
      <c r="SIP77" s="277" t="s">
        <v>1072</v>
      </c>
      <c r="SIQ77" s="277" t="s">
        <v>1072</v>
      </c>
      <c r="SIR77" s="277" t="s">
        <v>1072</v>
      </c>
      <c r="SIS77" s="277" t="s">
        <v>1072</v>
      </c>
      <c r="SIT77" s="277" t="s">
        <v>1072</v>
      </c>
      <c r="SIU77" s="277" t="s">
        <v>1072</v>
      </c>
      <c r="SIV77" s="277" t="s">
        <v>1072</v>
      </c>
      <c r="SIW77" s="277" t="s">
        <v>1072</v>
      </c>
      <c r="SIX77" s="277" t="s">
        <v>1072</v>
      </c>
      <c r="SIY77" s="277" t="s">
        <v>1072</v>
      </c>
      <c r="SIZ77" s="277" t="s">
        <v>1072</v>
      </c>
      <c r="SJA77" s="277" t="s">
        <v>1072</v>
      </c>
      <c r="SJB77" s="277" t="s">
        <v>1072</v>
      </c>
      <c r="SJC77" s="277" t="s">
        <v>1072</v>
      </c>
      <c r="SJD77" s="277" t="s">
        <v>1072</v>
      </c>
      <c r="SJE77" s="277" t="s">
        <v>1072</v>
      </c>
      <c r="SJF77" s="277" t="s">
        <v>1072</v>
      </c>
      <c r="SJG77" s="277" t="s">
        <v>1072</v>
      </c>
      <c r="SJH77" s="277" t="s">
        <v>1072</v>
      </c>
      <c r="SJI77" s="277" t="s">
        <v>1072</v>
      </c>
      <c r="SJJ77" s="277" t="s">
        <v>1072</v>
      </c>
      <c r="SJK77" s="277" t="s">
        <v>1072</v>
      </c>
      <c r="SJL77" s="277" t="s">
        <v>1072</v>
      </c>
      <c r="SJM77" s="277" t="s">
        <v>1072</v>
      </c>
      <c r="SJN77" s="277" t="s">
        <v>1072</v>
      </c>
      <c r="SJO77" s="277" t="s">
        <v>1072</v>
      </c>
      <c r="SJP77" s="277" t="s">
        <v>1072</v>
      </c>
      <c r="SJQ77" s="277" t="s">
        <v>1072</v>
      </c>
      <c r="SJR77" s="277" t="s">
        <v>1072</v>
      </c>
      <c r="SJS77" s="277" t="s">
        <v>1072</v>
      </c>
      <c r="SJT77" s="277" t="s">
        <v>1072</v>
      </c>
      <c r="SJU77" s="277" t="s">
        <v>1072</v>
      </c>
      <c r="SJV77" s="277" t="s">
        <v>1072</v>
      </c>
      <c r="SJW77" s="277" t="s">
        <v>1072</v>
      </c>
      <c r="SJX77" s="277" t="s">
        <v>1072</v>
      </c>
      <c r="SJY77" s="277" t="s">
        <v>1072</v>
      </c>
      <c r="SJZ77" s="277" t="s">
        <v>1072</v>
      </c>
      <c r="SKA77" s="277" t="s">
        <v>1072</v>
      </c>
      <c r="SKB77" s="277" t="s">
        <v>1072</v>
      </c>
      <c r="SKC77" s="277" t="s">
        <v>1072</v>
      </c>
      <c r="SKD77" s="277" t="s">
        <v>1072</v>
      </c>
      <c r="SKE77" s="277" t="s">
        <v>1072</v>
      </c>
      <c r="SKF77" s="277" t="s">
        <v>1072</v>
      </c>
      <c r="SKG77" s="277" t="s">
        <v>1072</v>
      </c>
      <c r="SKH77" s="277" t="s">
        <v>1072</v>
      </c>
      <c r="SKI77" s="277" t="s">
        <v>1072</v>
      </c>
      <c r="SKJ77" s="277" t="s">
        <v>1072</v>
      </c>
      <c r="SKK77" s="277" t="s">
        <v>1072</v>
      </c>
      <c r="SKL77" s="277" t="s">
        <v>1072</v>
      </c>
      <c r="SKM77" s="277" t="s">
        <v>1072</v>
      </c>
      <c r="SKN77" s="277" t="s">
        <v>1072</v>
      </c>
      <c r="SKO77" s="277" t="s">
        <v>1072</v>
      </c>
      <c r="SKP77" s="277" t="s">
        <v>1072</v>
      </c>
      <c r="SKQ77" s="277" t="s">
        <v>1072</v>
      </c>
      <c r="SKR77" s="277" t="s">
        <v>1072</v>
      </c>
      <c r="SKS77" s="277" t="s">
        <v>1072</v>
      </c>
      <c r="SKT77" s="277" t="s">
        <v>1072</v>
      </c>
      <c r="SKU77" s="277" t="s">
        <v>1072</v>
      </c>
      <c r="SKV77" s="277" t="s">
        <v>1072</v>
      </c>
      <c r="SKW77" s="277" t="s">
        <v>1072</v>
      </c>
      <c r="SKX77" s="277" t="s">
        <v>1072</v>
      </c>
      <c r="SKY77" s="277" t="s">
        <v>1072</v>
      </c>
      <c r="SKZ77" s="277" t="s">
        <v>1072</v>
      </c>
      <c r="SLA77" s="277" t="s">
        <v>1072</v>
      </c>
      <c r="SLB77" s="277" t="s">
        <v>1072</v>
      </c>
      <c r="SLC77" s="277" t="s">
        <v>1072</v>
      </c>
      <c r="SLD77" s="277" t="s">
        <v>1072</v>
      </c>
      <c r="SLE77" s="277" t="s">
        <v>1072</v>
      </c>
      <c r="SLF77" s="277" t="s">
        <v>1072</v>
      </c>
      <c r="SLG77" s="277" t="s">
        <v>1072</v>
      </c>
      <c r="SLH77" s="277" t="s">
        <v>1072</v>
      </c>
      <c r="SLI77" s="277" t="s">
        <v>1072</v>
      </c>
      <c r="SLJ77" s="277" t="s">
        <v>1072</v>
      </c>
      <c r="SLK77" s="277" t="s">
        <v>1072</v>
      </c>
      <c r="SLL77" s="277" t="s">
        <v>1072</v>
      </c>
      <c r="SLM77" s="277" t="s">
        <v>1072</v>
      </c>
      <c r="SLN77" s="277" t="s">
        <v>1072</v>
      </c>
      <c r="SLO77" s="277" t="s">
        <v>1072</v>
      </c>
      <c r="SLP77" s="277" t="s">
        <v>1072</v>
      </c>
      <c r="SLQ77" s="277" t="s">
        <v>1072</v>
      </c>
      <c r="SLR77" s="277" t="s">
        <v>1072</v>
      </c>
      <c r="SLS77" s="277" t="s">
        <v>1072</v>
      </c>
      <c r="SLT77" s="277" t="s">
        <v>1072</v>
      </c>
      <c r="SLU77" s="277" t="s">
        <v>1072</v>
      </c>
      <c r="SLV77" s="277" t="s">
        <v>1072</v>
      </c>
      <c r="SLW77" s="277" t="s">
        <v>1072</v>
      </c>
      <c r="SLX77" s="277" t="s">
        <v>1072</v>
      </c>
      <c r="SLY77" s="277" t="s">
        <v>1072</v>
      </c>
      <c r="SLZ77" s="277" t="s">
        <v>1072</v>
      </c>
      <c r="SMA77" s="277" t="s">
        <v>1072</v>
      </c>
      <c r="SMB77" s="277" t="s">
        <v>1072</v>
      </c>
      <c r="SMC77" s="277" t="s">
        <v>1072</v>
      </c>
      <c r="SMD77" s="277" t="s">
        <v>1072</v>
      </c>
      <c r="SME77" s="277" t="s">
        <v>1072</v>
      </c>
      <c r="SMF77" s="277" t="s">
        <v>1072</v>
      </c>
      <c r="SMG77" s="277" t="s">
        <v>1072</v>
      </c>
      <c r="SMH77" s="277" t="s">
        <v>1072</v>
      </c>
      <c r="SMI77" s="277" t="s">
        <v>1072</v>
      </c>
      <c r="SMJ77" s="277" t="s">
        <v>1072</v>
      </c>
      <c r="SMK77" s="277" t="s">
        <v>1072</v>
      </c>
      <c r="SML77" s="277" t="s">
        <v>1072</v>
      </c>
      <c r="SMM77" s="277" t="s">
        <v>1072</v>
      </c>
      <c r="SMN77" s="277" t="s">
        <v>1072</v>
      </c>
      <c r="SMO77" s="277" t="s">
        <v>1072</v>
      </c>
      <c r="SMP77" s="277" t="s">
        <v>1072</v>
      </c>
      <c r="SMQ77" s="277" t="s">
        <v>1072</v>
      </c>
      <c r="SMR77" s="277" t="s">
        <v>1072</v>
      </c>
      <c r="SMS77" s="277" t="s">
        <v>1072</v>
      </c>
      <c r="SMT77" s="277" t="s">
        <v>1072</v>
      </c>
      <c r="SMU77" s="277" t="s">
        <v>1072</v>
      </c>
      <c r="SMV77" s="277" t="s">
        <v>1072</v>
      </c>
      <c r="SMW77" s="277" t="s">
        <v>1072</v>
      </c>
      <c r="SMX77" s="277" t="s">
        <v>1072</v>
      </c>
      <c r="SMY77" s="277" t="s">
        <v>1072</v>
      </c>
      <c r="SMZ77" s="277" t="s">
        <v>1072</v>
      </c>
      <c r="SNA77" s="277" t="s">
        <v>1072</v>
      </c>
      <c r="SNB77" s="277" t="s">
        <v>1072</v>
      </c>
      <c r="SNC77" s="277" t="s">
        <v>1072</v>
      </c>
      <c r="SND77" s="277" t="s">
        <v>1072</v>
      </c>
      <c r="SNE77" s="277" t="s">
        <v>1072</v>
      </c>
      <c r="SNF77" s="277" t="s">
        <v>1072</v>
      </c>
      <c r="SNG77" s="277" t="s">
        <v>1072</v>
      </c>
      <c r="SNH77" s="277" t="s">
        <v>1072</v>
      </c>
      <c r="SNI77" s="277" t="s">
        <v>1072</v>
      </c>
      <c r="SNJ77" s="277" t="s">
        <v>1072</v>
      </c>
      <c r="SNK77" s="277" t="s">
        <v>1072</v>
      </c>
      <c r="SNL77" s="277" t="s">
        <v>1072</v>
      </c>
      <c r="SNM77" s="277" t="s">
        <v>1072</v>
      </c>
      <c r="SNN77" s="277" t="s">
        <v>1072</v>
      </c>
      <c r="SNO77" s="277" t="s">
        <v>1072</v>
      </c>
      <c r="SNP77" s="277" t="s">
        <v>1072</v>
      </c>
      <c r="SNQ77" s="277" t="s">
        <v>1072</v>
      </c>
      <c r="SNR77" s="277" t="s">
        <v>1072</v>
      </c>
      <c r="SNS77" s="277" t="s">
        <v>1072</v>
      </c>
      <c r="SNT77" s="277" t="s">
        <v>1072</v>
      </c>
      <c r="SNU77" s="277" t="s">
        <v>1072</v>
      </c>
      <c r="SNV77" s="277" t="s">
        <v>1072</v>
      </c>
      <c r="SNW77" s="277" t="s">
        <v>1072</v>
      </c>
      <c r="SNX77" s="277" t="s">
        <v>1072</v>
      </c>
      <c r="SNY77" s="277" t="s">
        <v>1072</v>
      </c>
      <c r="SNZ77" s="277" t="s">
        <v>1072</v>
      </c>
      <c r="SOA77" s="277" t="s">
        <v>1072</v>
      </c>
      <c r="SOB77" s="277" t="s">
        <v>1072</v>
      </c>
      <c r="SOC77" s="277" t="s">
        <v>1072</v>
      </c>
      <c r="SOD77" s="277" t="s">
        <v>1072</v>
      </c>
      <c r="SOE77" s="277" t="s">
        <v>1072</v>
      </c>
      <c r="SOF77" s="277" t="s">
        <v>1072</v>
      </c>
      <c r="SOG77" s="277" t="s">
        <v>1072</v>
      </c>
      <c r="SOH77" s="277" t="s">
        <v>1072</v>
      </c>
      <c r="SOI77" s="277" t="s">
        <v>1072</v>
      </c>
      <c r="SOJ77" s="277" t="s">
        <v>1072</v>
      </c>
      <c r="SOK77" s="277" t="s">
        <v>1072</v>
      </c>
      <c r="SOL77" s="277" t="s">
        <v>1072</v>
      </c>
      <c r="SOM77" s="277" t="s">
        <v>1072</v>
      </c>
      <c r="SON77" s="277" t="s">
        <v>1072</v>
      </c>
      <c r="SOO77" s="277" t="s">
        <v>1072</v>
      </c>
      <c r="SOP77" s="277" t="s">
        <v>1072</v>
      </c>
      <c r="SOQ77" s="277" t="s">
        <v>1072</v>
      </c>
      <c r="SOR77" s="277" t="s">
        <v>1072</v>
      </c>
      <c r="SOS77" s="277" t="s">
        <v>1072</v>
      </c>
      <c r="SOT77" s="277" t="s">
        <v>1072</v>
      </c>
      <c r="SOU77" s="277" t="s">
        <v>1072</v>
      </c>
      <c r="SOV77" s="277" t="s">
        <v>1072</v>
      </c>
      <c r="SOW77" s="277" t="s">
        <v>1072</v>
      </c>
      <c r="SOX77" s="277" t="s">
        <v>1072</v>
      </c>
      <c r="SOY77" s="277" t="s">
        <v>1072</v>
      </c>
      <c r="SOZ77" s="277" t="s">
        <v>1072</v>
      </c>
      <c r="SPA77" s="277" t="s">
        <v>1072</v>
      </c>
      <c r="SPB77" s="277" t="s">
        <v>1072</v>
      </c>
      <c r="SPC77" s="277" t="s">
        <v>1072</v>
      </c>
      <c r="SPD77" s="277" t="s">
        <v>1072</v>
      </c>
      <c r="SPE77" s="277" t="s">
        <v>1072</v>
      </c>
      <c r="SPF77" s="277" t="s">
        <v>1072</v>
      </c>
      <c r="SPG77" s="277" t="s">
        <v>1072</v>
      </c>
      <c r="SPH77" s="277" t="s">
        <v>1072</v>
      </c>
      <c r="SPI77" s="277" t="s">
        <v>1072</v>
      </c>
      <c r="SPJ77" s="277" t="s">
        <v>1072</v>
      </c>
      <c r="SPK77" s="277" t="s">
        <v>1072</v>
      </c>
      <c r="SPL77" s="277" t="s">
        <v>1072</v>
      </c>
      <c r="SPM77" s="277" t="s">
        <v>1072</v>
      </c>
      <c r="SPN77" s="277" t="s">
        <v>1072</v>
      </c>
      <c r="SPO77" s="277" t="s">
        <v>1072</v>
      </c>
      <c r="SPP77" s="277" t="s">
        <v>1072</v>
      </c>
      <c r="SPQ77" s="277" t="s">
        <v>1072</v>
      </c>
      <c r="SPR77" s="277" t="s">
        <v>1072</v>
      </c>
      <c r="SPS77" s="277" t="s">
        <v>1072</v>
      </c>
      <c r="SPT77" s="277" t="s">
        <v>1072</v>
      </c>
      <c r="SPU77" s="277" t="s">
        <v>1072</v>
      </c>
      <c r="SPV77" s="277" t="s">
        <v>1072</v>
      </c>
      <c r="SPW77" s="277" t="s">
        <v>1072</v>
      </c>
      <c r="SPX77" s="277" t="s">
        <v>1072</v>
      </c>
      <c r="SPY77" s="277" t="s">
        <v>1072</v>
      </c>
      <c r="SPZ77" s="277" t="s">
        <v>1072</v>
      </c>
      <c r="SQA77" s="277" t="s">
        <v>1072</v>
      </c>
      <c r="SQB77" s="277" t="s">
        <v>1072</v>
      </c>
      <c r="SQC77" s="277" t="s">
        <v>1072</v>
      </c>
      <c r="SQD77" s="277" t="s">
        <v>1072</v>
      </c>
      <c r="SQE77" s="277" t="s">
        <v>1072</v>
      </c>
      <c r="SQF77" s="277" t="s">
        <v>1072</v>
      </c>
      <c r="SQG77" s="277" t="s">
        <v>1072</v>
      </c>
      <c r="SQH77" s="277" t="s">
        <v>1072</v>
      </c>
      <c r="SQI77" s="277" t="s">
        <v>1072</v>
      </c>
      <c r="SQJ77" s="277" t="s">
        <v>1072</v>
      </c>
      <c r="SQK77" s="277" t="s">
        <v>1072</v>
      </c>
      <c r="SQL77" s="277" t="s">
        <v>1072</v>
      </c>
      <c r="SQM77" s="277" t="s">
        <v>1072</v>
      </c>
      <c r="SQN77" s="277" t="s">
        <v>1072</v>
      </c>
      <c r="SQO77" s="277" t="s">
        <v>1072</v>
      </c>
      <c r="SQP77" s="277" t="s">
        <v>1072</v>
      </c>
      <c r="SQQ77" s="277" t="s">
        <v>1072</v>
      </c>
      <c r="SQR77" s="277" t="s">
        <v>1072</v>
      </c>
      <c r="SQS77" s="277" t="s">
        <v>1072</v>
      </c>
      <c r="SQT77" s="277" t="s">
        <v>1072</v>
      </c>
      <c r="SQU77" s="277" t="s">
        <v>1072</v>
      </c>
      <c r="SQV77" s="277" t="s">
        <v>1072</v>
      </c>
      <c r="SQW77" s="277" t="s">
        <v>1072</v>
      </c>
      <c r="SQX77" s="277" t="s">
        <v>1072</v>
      </c>
      <c r="SQY77" s="277" t="s">
        <v>1072</v>
      </c>
      <c r="SQZ77" s="277" t="s">
        <v>1072</v>
      </c>
      <c r="SRA77" s="277" t="s">
        <v>1072</v>
      </c>
      <c r="SRB77" s="277" t="s">
        <v>1072</v>
      </c>
      <c r="SRC77" s="277" t="s">
        <v>1072</v>
      </c>
      <c r="SRD77" s="277" t="s">
        <v>1072</v>
      </c>
      <c r="SRE77" s="277" t="s">
        <v>1072</v>
      </c>
      <c r="SRF77" s="277" t="s">
        <v>1072</v>
      </c>
      <c r="SRG77" s="277" t="s">
        <v>1072</v>
      </c>
      <c r="SRH77" s="277" t="s">
        <v>1072</v>
      </c>
      <c r="SRI77" s="277" t="s">
        <v>1072</v>
      </c>
      <c r="SRJ77" s="277" t="s">
        <v>1072</v>
      </c>
      <c r="SRK77" s="277" t="s">
        <v>1072</v>
      </c>
      <c r="SRL77" s="277" t="s">
        <v>1072</v>
      </c>
      <c r="SRM77" s="277" t="s">
        <v>1072</v>
      </c>
      <c r="SRN77" s="277" t="s">
        <v>1072</v>
      </c>
      <c r="SRO77" s="277" t="s">
        <v>1072</v>
      </c>
      <c r="SRP77" s="277" t="s">
        <v>1072</v>
      </c>
      <c r="SRQ77" s="277" t="s">
        <v>1072</v>
      </c>
      <c r="SRR77" s="277" t="s">
        <v>1072</v>
      </c>
      <c r="SRS77" s="277" t="s">
        <v>1072</v>
      </c>
      <c r="SRT77" s="277" t="s">
        <v>1072</v>
      </c>
      <c r="SRU77" s="277" t="s">
        <v>1072</v>
      </c>
      <c r="SRV77" s="277" t="s">
        <v>1072</v>
      </c>
      <c r="SRW77" s="277" t="s">
        <v>1072</v>
      </c>
      <c r="SRX77" s="277" t="s">
        <v>1072</v>
      </c>
      <c r="SRY77" s="277" t="s">
        <v>1072</v>
      </c>
      <c r="SRZ77" s="277" t="s">
        <v>1072</v>
      </c>
      <c r="SSA77" s="277" t="s">
        <v>1072</v>
      </c>
      <c r="SSB77" s="277" t="s">
        <v>1072</v>
      </c>
      <c r="SSC77" s="277" t="s">
        <v>1072</v>
      </c>
      <c r="SSD77" s="277" t="s">
        <v>1072</v>
      </c>
      <c r="SSE77" s="277" t="s">
        <v>1072</v>
      </c>
      <c r="SSF77" s="277" t="s">
        <v>1072</v>
      </c>
      <c r="SSG77" s="277" t="s">
        <v>1072</v>
      </c>
      <c r="SSH77" s="277" t="s">
        <v>1072</v>
      </c>
      <c r="SSI77" s="277" t="s">
        <v>1072</v>
      </c>
      <c r="SSJ77" s="277" t="s">
        <v>1072</v>
      </c>
      <c r="SSK77" s="277" t="s">
        <v>1072</v>
      </c>
      <c r="SSL77" s="277" t="s">
        <v>1072</v>
      </c>
      <c r="SSM77" s="277" t="s">
        <v>1072</v>
      </c>
      <c r="SSN77" s="277" t="s">
        <v>1072</v>
      </c>
      <c r="SSO77" s="277" t="s">
        <v>1072</v>
      </c>
      <c r="SSP77" s="277" t="s">
        <v>1072</v>
      </c>
      <c r="SSQ77" s="277" t="s">
        <v>1072</v>
      </c>
      <c r="SSR77" s="277" t="s">
        <v>1072</v>
      </c>
      <c r="SSS77" s="277" t="s">
        <v>1072</v>
      </c>
      <c r="SST77" s="277" t="s">
        <v>1072</v>
      </c>
      <c r="SSU77" s="277" t="s">
        <v>1072</v>
      </c>
      <c r="SSV77" s="277" t="s">
        <v>1072</v>
      </c>
      <c r="SSW77" s="277" t="s">
        <v>1072</v>
      </c>
      <c r="SSX77" s="277" t="s">
        <v>1072</v>
      </c>
      <c r="SSY77" s="277" t="s">
        <v>1072</v>
      </c>
      <c r="SSZ77" s="277" t="s">
        <v>1072</v>
      </c>
      <c r="STA77" s="277" t="s">
        <v>1072</v>
      </c>
      <c r="STB77" s="277" t="s">
        <v>1072</v>
      </c>
      <c r="STC77" s="277" t="s">
        <v>1072</v>
      </c>
      <c r="STD77" s="277" t="s">
        <v>1072</v>
      </c>
      <c r="STE77" s="277" t="s">
        <v>1072</v>
      </c>
      <c r="STF77" s="277" t="s">
        <v>1072</v>
      </c>
      <c r="STG77" s="277" t="s">
        <v>1072</v>
      </c>
      <c r="STH77" s="277" t="s">
        <v>1072</v>
      </c>
      <c r="STI77" s="277" t="s">
        <v>1072</v>
      </c>
      <c r="STJ77" s="277" t="s">
        <v>1072</v>
      </c>
      <c r="STK77" s="277" t="s">
        <v>1072</v>
      </c>
      <c r="STL77" s="277" t="s">
        <v>1072</v>
      </c>
      <c r="STM77" s="277" t="s">
        <v>1072</v>
      </c>
      <c r="STN77" s="277" t="s">
        <v>1072</v>
      </c>
      <c r="STO77" s="277" t="s">
        <v>1072</v>
      </c>
      <c r="STP77" s="277" t="s">
        <v>1072</v>
      </c>
      <c r="STQ77" s="277" t="s">
        <v>1072</v>
      </c>
      <c r="STR77" s="277" t="s">
        <v>1072</v>
      </c>
      <c r="STS77" s="277" t="s">
        <v>1072</v>
      </c>
      <c r="STT77" s="277" t="s">
        <v>1072</v>
      </c>
      <c r="STU77" s="277" t="s">
        <v>1072</v>
      </c>
      <c r="STV77" s="277" t="s">
        <v>1072</v>
      </c>
      <c r="STW77" s="277" t="s">
        <v>1072</v>
      </c>
      <c r="STX77" s="277" t="s">
        <v>1072</v>
      </c>
      <c r="STY77" s="277" t="s">
        <v>1072</v>
      </c>
      <c r="STZ77" s="277" t="s">
        <v>1072</v>
      </c>
      <c r="SUA77" s="277" t="s">
        <v>1072</v>
      </c>
      <c r="SUB77" s="277" t="s">
        <v>1072</v>
      </c>
      <c r="SUC77" s="277" t="s">
        <v>1072</v>
      </c>
      <c r="SUD77" s="277" t="s">
        <v>1072</v>
      </c>
      <c r="SUE77" s="277" t="s">
        <v>1072</v>
      </c>
      <c r="SUF77" s="277" t="s">
        <v>1072</v>
      </c>
      <c r="SUG77" s="277" t="s">
        <v>1072</v>
      </c>
      <c r="SUH77" s="277" t="s">
        <v>1072</v>
      </c>
      <c r="SUI77" s="277" t="s">
        <v>1072</v>
      </c>
      <c r="SUJ77" s="277" t="s">
        <v>1072</v>
      </c>
      <c r="SUK77" s="277" t="s">
        <v>1072</v>
      </c>
      <c r="SUL77" s="277" t="s">
        <v>1072</v>
      </c>
      <c r="SUM77" s="277" t="s">
        <v>1072</v>
      </c>
      <c r="SUN77" s="277" t="s">
        <v>1072</v>
      </c>
      <c r="SUO77" s="277" t="s">
        <v>1072</v>
      </c>
      <c r="SUP77" s="277" t="s">
        <v>1072</v>
      </c>
      <c r="SUQ77" s="277" t="s">
        <v>1072</v>
      </c>
      <c r="SUR77" s="277" t="s">
        <v>1072</v>
      </c>
      <c r="SUS77" s="277" t="s">
        <v>1072</v>
      </c>
      <c r="SUT77" s="277" t="s">
        <v>1072</v>
      </c>
      <c r="SUU77" s="277" t="s">
        <v>1072</v>
      </c>
      <c r="SUV77" s="277" t="s">
        <v>1072</v>
      </c>
      <c r="SUW77" s="277" t="s">
        <v>1072</v>
      </c>
      <c r="SUX77" s="277" t="s">
        <v>1072</v>
      </c>
      <c r="SUY77" s="277" t="s">
        <v>1072</v>
      </c>
      <c r="SUZ77" s="277" t="s">
        <v>1072</v>
      </c>
      <c r="SVA77" s="277" t="s">
        <v>1072</v>
      </c>
      <c r="SVB77" s="277" t="s">
        <v>1072</v>
      </c>
      <c r="SVC77" s="277" t="s">
        <v>1072</v>
      </c>
      <c r="SVD77" s="277" t="s">
        <v>1072</v>
      </c>
      <c r="SVE77" s="277" t="s">
        <v>1072</v>
      </c>
      <c r="SVF77" s="277" t="s">
        <v>1072</v>
      </c>
      <c r="SVG77" s="277" t="s">
        <v>1072</v>
      </c>
      <c r="SVH77" s="277" t="s">
        <v>1072</v>
      </c>
      <c r="SVI77" s="277" t="s">
        <v>1072</v>
      </c>
      <c r="SVJ77" s="277" t="s">
        <v>1072</v>
      </c>
      <c r="SVK77" s="277" t="s">
        <v>1072</v>
      </c>
      <c r="SVL77" s="277" t="s">
        <v>1072</v>
      </c>
      <c r="SVM77" s="277" t="s">
        <v>1072</v>
      </c>
      <c r="SVN77" s="277" t="s">
        <v>1072</v>
      </c>
      <c r="SVO77" s="277" t="s">
        <v>1072</v>
      </c>
      <c r="SVP77" s="277" t="s">
        <v>1072</v>
      </c>
      <c r="SVQ77" s="277" t="s">
        <v>1072</v>
      </c>
      <c r="SVR77" s="277" t="s">
        <v>1072</v>
      </c>
      <c r="SVS77" s="277" t="s">
        <v>1072</v>
      </c>
      <c r="SVT77" s="277" t="s">
        <v>1072</v>
      </c>
      <c r="SVU77" s="277" t="s">
        <v>1072</v>
      </c>
      <c r="SVV77" s="277" t="s">
        <v>1072</v>
      </c>
      <c r="SVW77" s="277" t="s">
        <v>1072</v>
      </c>
      <c r="SVX77" s="277" t="s">
        <v>1072</v>
      </c>
      <c r="SVY77" s="277" t="s">
        <v>1072</v>
      </c>
      <c r="SVZ77" s="277" t="s">
        <v>1072</v>
      </c>
      <c r="SWA77" s="277" t="s">
        <v>1072</v>
      </c>
      <c r="SWB77" s="277" t="s">
        <v>1072</v>
      </c>
      <c r="SWC77" s="277" t="s">
        <v>1072</v>
      </c>
      <c r="SWD77" s="277" t="s">
        <v>1072</v>
      </c>
      <c r="SWE77" s="277" t="s">
        <v>1072</v>
      </c>
      <c r="SWF77" s="277" t="s">
        <v>1072</v>
      </c>
      <c r="SWG77" s="277" t="s">
        <v>1072</v>
      </c>
      <c r="SWH77" s="277" t="s">
        <v>1072</v>
      </c>
      <c r="SWI77" s="277" t="s">
        <v>1072</v>
      </c>
      <c r="SWJ77" s="277" t="s">
        <v>1072</v>
      </c>
      <c r="SWK77" s="277" t="s">
        <v>1072</v>
      </c>
      <c r="SWL77" s="277" t="s">
        <v>1072</v>
      </c>
      <c r="SWM77" s="277" t="s">
        <v>1072</v>
      </c>
      <c r="SWN77" s="277" t="s">
        <v>1072</v>
      </c>
      <c r="SWO77" s="277" t="s">
        <v>1072</v>
      </c>
      <c r="SWP77" s="277" t="s">
        <v>1072</v>
      </c>
      <c r="SWQ77" s="277" t="s">
        <v>1072</v>
      </c>
      <c r="SWR77" s="277" t="s">
        <v>1072</v>
      </c>
      <c r="SWS77" s="277" t="s">
        <v>1072</v>
      </c>
      <c r="SWT77" s="277" t="s">
        <v>1072</v>
      </c>
      <c r="SWU77" s="277" t="s">
        <v>1072</v>
      </c>
      <c r="SWV77" s="277" t="s">
        <v>1072</v>
      </c>
      <c r="SWW77" s="277" t="s">
        <v>1072</v>
      </c>
      <c r="SWX77" s="277" t="s">
        <v>1072</v>
      </c>
      <c r="SWY77" s="277" t="s">
        <v>1072</v>
      </c>
      <c r="SWZ77" s="277" t="s">
        <v>1072</v>
      </c>
      <c r="SXA77" s="277" t="s">
        <v>1072</v>
      </c>
      <c r="SXB77" s="277" t="s">
        <v>1072</v>
      </c>
      <c r="SXC77" s="277" t="s">
        <v>1072</v>
      </c>
      <c r="SXD77" s="277" t="s">
        <v>1072</v>
      </c>
      <c r="SXE77" s="277" t="s">
        <v>1072</v>
      </c>
      <c r="SXF77" s="277" t="s">
        <v>1072</v>
      </c>
      <c r="SXG77" s="277" t="s">
        <v>1072</v>
      </c>
      <c r="SXH77" s="277" t="s">
        <v>1072</v>
      </c>
      <c r="SXI77" s="277" t="s">
        <v>1072</v>
      </c>
      <c r="SXJ77" s="277" t="s">
        <v>1072</v>
      </c>
      <c r="SXK77" s="277" t="s">
        <v>1072</v>
      </c>
      <c r="SXL77" s="277" t="s">
        <v>1072</v>
      </c>
      <c r="SXM77" s="277" t="s">
        <v>1072</v>
      </c>
      <c r="SXN77" s="277" t="s">
        <v>1072</v>
      </c>
      <c r="SXO77" s="277" t="s">
        <v>1072</v>
      </c>
      <c r="SXP77" s="277" t="s">
        <v>1072</v>
      </c>
      <c r="SXQ77" s="277" t="s">
        <v>1072</v>
      </c>
      <c r="SXR77" s="277" t="s">
        <v>1072</v>
      </c>
      <c r="SXS77" s="277" t="s">
        <v>1072</v>
      </c>
      <c r="SXT77" s="277" t="s">
        <v>1072</v>
      </c>
      <c r="SXU77" s="277" t="s">
        <v>1072</v>
      </c>
      <c r="SXV77" s="277" t="s">
        <v>1072</v>
      </c>
      <c r="SXW77" s="277" t="s">
        <v>1072</v>
      </c>
      <c r="SXX77" s="277" t="s">
        <v>1072</v>
      </c>
      <c r="SXY77" s="277" t="s">
        <v>1072</v>
      </c>
      <c r="SXZ77" s="277" t="s">
        <v>1072</v>
      </c>
      <c r="SYA77" s="277" t="s">
        <v>1072</v>
      </c>
      <c r="SYB77" s="277" t="s">
        <v>1072</v>
      </c>
      <c r="SYC77" s="277" t="s">
        <v>1072</v>
      </c>
      <c r="SYD77" s="277" t="s">
        <v>1072</v>
      </c>
      <c r="SYE77" s="277" t="s">
        <v>1072</v>
      </c>
      <c r="SYF77" s="277" t="s">
        <v>1072</v>
      </c>
      <c r="SYG77" s="277" t="s">
        <v>1072</v>
      </c>
      <c r="SYH77" s="277" t="s">
        <v>1072</v>
      </c>
      <c r="SYI77" s="277" t="s">
        <v>1072</v>
      </c>
      <c r="SYJ77" s="277" t="s">
        <v>1072</v>
      </c>
      <c r="SYK77" s="277" t="s">
        <v>1072</v>
      </c>
      <c r="SYL77" s="277" t="s">
        <v>1072</v>
      </c>
      <c r="SYM77" s="277" t="s">
        <v>1072</v>
      </c>
      <c r="SYN77" s="277" t="s">
        <v>1072</v>
      </c>
      <c r="SYO77" s="277" t="s">
        <v>1072</v>
      </c>
      <c r="SYP77" s="277" t="s">
        <v>1072</v>
      </c>
      <c r="SYQ77" s="277" t="s">
        <v>1072</v>
      </c>
      <c r="SYR77" s="277" t="s">
        <v>1072</v>
      </c>
      <c r="SYS77" s="277" t="s">
        <v>1072</v>
      </c>
      <c r="SYT77" s="277" t="s">
        <v>1072</v>
      </c>
      <c r="SYU77" s="277" t="s">
        <v>1072</v>
      </c>
      <c r="SYV77" s="277" t="s">
        <v>1072</v>
      </c>
      <c r="SYW77" s="277" t="s">
        <v>1072</v>
      </c>
      <c r="SYX77" s="277" t="s">
        <v>1072</v>
      </c>
      <c r="SYY77" s="277" t="s">
        <v>1072</v>
      </c>
      <c r="SYZ77" s="277" t="s">
        <v>1072</v>
      </c>
      <c r="SZA77" s="277" t="s">
        <v>1072</v>
      </c>
      <c r="SZB77" s="277" t="s">
        <v>1072</v>
      </c>
      <c r="SZC77" s="277" t="s">
        <v>1072</v>
      </c>
      <c r="SZD77" s="277" t="s">
        <v>1072</v>
      </c>
      <c r="SZE77" s="277" t="s">
        <v>1072</v>
      </c>
      <c r="SZF77" s="277" t="s">
        <v>1072</v>
      </c>
      <c r="SZG77" s="277" t="s">
        <v>1072</v>
      </c>
      <c r="SZH77" s="277" t="s">
        <v>1072</v>
      </c>
      <c r="SZI77" s="277" t="s">
        <v>1072</v>
      </c>
      <c r="SZJ77" s="277" t="s">
        <v>1072</v>
      </c>
      <c r="SZK77" s="277" t="s">
        <v>1072</v>
      </c>
      <c r="SZL77" s="277" t="s">
        <v>1072</v>
      </c>
      <c r="SZM77" s="277" t="s">
        <v>1072</v>
      </c>
      <c r="SZN77" s="277" t="s">
        <v>1072</v>
      </c>
      <c r="SZO77" s="277" t="s">
        <v>1072</v>
      </c>
      <c r="SZP77" s="277" t="s">
        <v>1072</v>
      </c>
      <c r="SZQ77" s="277" t="s">
        <v>1072</v>
      </c>
      <c r="SZR77" s="277" t="s">
        <v>1072</v>
      </c>
      <c r="SZS77" s="277" t="s">
        <v>1072</v>
      </c>
      <c r="SZT77" s="277" t="s">
        <v>1072</v>
      </c>
      <c r="SZU77" s="277" t="s">
        <v>1072</v>
      </c>
      <c r="SZV77" s="277" t="s">
        <v>1072</v>
      </c>
      <c r="SZW77" s="277" t="s">
        <v>1072</v>
      </c>
      <c r="SZX77" s="277" t="s">
        <v>1072</v>
      </c>
      <c r="SZY77" s="277" t="s">
        <v>1072</v>
      </c>
      <c r="SZZ77" s="277" t="s">
        <v>1072</v>
      </c>
      <c r="TAA77" s="277" t="s">
        <v>1072</v>
      </c>
      <c r="TAB77" s="277" t="s">
        <v>1072</v>
      </c>
      <c r="TAC77" s="277" t="s">
        <v>1072</v>
      </c>
      <c r="TAD77" s="277" t="s">
        <v>1072</v>
      </c>
      <c r="TAE77" s="277" t="s">
        <v>1072</v>
      </c>
      <c r="TAF77" s="277" t="s">
        <v>1072</v>
      </c>
      <c r="TAG77" s="277" t="s">
        <v>1072</v>
      </c>
      <c r="TAH77" s="277" t="s">
        <v>1072</v>
      </c>
      <c r="TAI77" s="277" t="s">
        <v>1072</v>
      </c>
      <c r="TAJ77" s="277" t="s">
        <v>1072</v>
      </c>
      <c r="TAK77" s="277" t="s">
        <v>1072</v>
      </c>
      <c r="TAL77" s="277" t="s">
        <v>1072</v>
      </c>
      <c r="TAM77" s="277" t="s">
        <v>1072</v>
      </c>
      <c r="TAN77" s="277" t="s">
        <v>1072</v>
      </c>
      <c r="TAO77" s="277" t="s">
        <v>1072</v>
      </c>
      <c r="TAP77" s="277" t="s">
        <v>1072</v>
      </c>
      <c r="TAQ77" s="277" t="s">
        <v>1072</v>
      </c>
      <c r="TAR77" s="277" t="s">
        <v>1072</v>
      </c>
      <c r="TAS77" s="277" t="s">
        <v>1072</v>
      </c>
      <c r="TAT77" s="277" t="s">
        <v>1072</v>
      </c>
      <c r="TAU77" s="277" t="s">
        <v>1072</v>
      </c>
      <c r="TAV77" s="277" t="s">
        <v>1072</v>
      </c>
      <c r="TAW77" s="277" t="s">
        <v>1072</v>
      </c>
      <c r="TAX77" s="277" t="s">
        <v>1072</v>
      </c>
      <c r="TAY77" s="277" t="s">
        <v>1072</v>
      </c>
      <c r="TAZ77" s="277" t="s">
        <v>1072</v>
      </c>
      <c r="TBA77" s="277" t="s">
        <v>1072</v>
      </c>
      <c r="TBB77" s="277" t="s">
        <v>1072</v>
      </c>
      <c r="TBC77" s="277" t="s">
        <v>1072</v>
      </c>
      <c r="TBD77" s="277" t="s">
        <v>1072</v>
      </c>
      <c r="TBE77" s="277" t="s">
        <v>1072</v>
      </c>
      <c r="TBF77" s="277" t="s">
        <v>1072</v>
      </c>
      <c r="TBG77" s="277" t="s">
        <v>1072</v>
      </c>
      <c r="TBH77" s="277" t="s">
        <v>1072</v>
      </c>
      <c r="TBI77" s="277" t="s">
        <v>1072</v>
      </c>
      <c r="TBJ77" s="277" t="s">
        <v>1072</v>
      </c>
      <c r="TBK77" s="277" t="s">
        <v>1072</v>
      </c>
      <c r="TBL77" s="277" t="s">
        <v>1072</v>
      </c>
      <c r="TBM77" s="277" t="s">
        <v>1072</v>
      </c>
      <c r="TBN77" s="277" t="s">
        <v>1072</v>
      </c>
      <c r="TBO77" s="277" t="s">
        <v>1072</v>
      </c>
      <c r="TBP77" s="277" t="s">
        <v>1072</v>
      </c>
      <c r="TBQ77" s="277" t="s">
        <v>1072</v>
      </c>
      <c r="TBR77" s="277" t="s">
        <v>1072</v>
      </c>
      <c r="TBS77" s="277" t="s">
        <v>1072</v>
      </c>
      <c r="TBT77" s="277" t="s">
        <v>1072</v>
      </c>
      <c r="TBU77" s="277" t="s">
        <v>1072</v>
      </c>
      <c r="TBV77" s="277" t="s">
        <v>1072</v>
      </c>
      <c r="TBW77" s="277" t="s">
        <v>1072</v>
      </c>
      <c r="TBX77" s="277" t="s">
        <v>1072</v>
      </c>
      <c r="TBY77" s="277" t="s">
        <v>1072</v>
      </c>
      <c r="TBZ77" s="277" t="s">
        <v>1072</v>
      </c>
      <c r="TCA77" s="277" t="s">
        <v>1072</v>
      </c>
      <c r="TCB77" s="277" t="s">
        <v>1072</v>
      </c>
      <c r="TCC77" s="277" t="s">
        <v>1072</v>
      </c>
      <c r="TCD77" s="277" t="s">
        <v>1072</v>
      </c>
      <c r="TCE77" s="277" t="s">
        <v>1072</v>
      </c>
      <c r="TCF77" s="277" t="s">
        <v>1072</v>
      </c>
      <c r="TCG77" s="277" t="s">
        <v>1072</v>
      </c>
      <c r="TCH77" s="277" t="s">
        <v>1072</v>
      </c>
      <c r="TCI77" s="277" t="s">
        <v>1072</v>
      </c>
      <c r="TCJ77" s="277" t="s">
        <v>1072</v>
      </c>
      <c r="TCK77" s="277" t="s">
        <v>1072</v>
      </c>
      <c r="TCL77" s="277" t="s">
        <v>1072</v>
      </c>
      <c r="TCM77" s="277" t="s">
        <v>1072</v>
      </c>
      <c r="TCN77" s="277" t="s">
        <v>1072</v>
      </c>
      <c r="TCO77" s="277" t="s">
        <v>1072</v>
      </c>
      <c r="TCP77" s="277" t="s">
        <v>1072</v>
      </c>
      <c r="TCQ77" s="277" t="s">
        <v>1072</v>
      </c>
      <c r="TCR77" s="277" t="s">
        <v>1072</v>
      </c>
      <c r="TCS77" s="277" t="s">
        <v>1072</v>
      </c>
      <c r="TCT77" s="277" t="s">
        <v>1072</v>
      </c>
      <c r="TCU77" s="277" t="s">
        <v>1072</v>
      </c>
      <c r="TCV77" s="277" t="s">
        <v>1072</v>
      </c>
      <c r="TCW77" s="277" t="s">
        <v>1072</v>
      </c>
      <c r="TCX77" s="277" t="s">
        <v>1072</v>
      </c>
      <c r="TCY77" s="277" t="s">
        <v>1072</v>
      </c>
      <c r="TCZ77" s="277" t="s">
        <v>1072</v>
      </c>
      <c r="TDA77" s="277" t="s">
        <v>1072</v>
      </c>
      <c r="TDB77" s="277" t="s">
        <v>1072</v>
      </c>
      <c r="TDC77" s="277" t="s">
        <v>1072</v>
      </c>
      <c r="TDD77" s="277" t="s">
        <v>1072</v>
      </c>
      <c r="TDE77" s="277" t="s">
        <v>1072</v>
      </c>
      <c r="TDF77" s="277" t="s">
        <v>1072</v>
      </c>
      <c r="TDG77" s="277" t="s">
        <v>1072</v>
      </c>
      <c r="TDH77" s="277" t="s">
        <v>1072</v>
      </c>
      <c r="TDI77" s="277" t="s">
        <v>1072</v>
      </c>
      <c r="TDJ77" s="277" t="s">
        <v>1072</v>
      </c>
      <c r="TDK77" s="277" t="s">
        <v>1072</v>
      </c>
      <c r="TDL77" s="277" t="s">
        <v>1072</v>
      </c>
      <c r="TDM77" s="277" t="s">
        <v>1072</v>
      </c>
      <c r="TDN77" s="277" t="s">
        <v>1072</v>
      </c>
      <c r="TDO77" s="277" t="s">
        <v>1072</v>
      </c>
      <c r="TDP77" s="277" t="s">
        <v>1072</v>
      </c>
      <c r="TDQ77" s="277" t="s">
        <v>1072</v>
      </c>
      <c r="TDR77" s="277" t="s">
        <v>1072</v>
      </c>
      <c r="TDS77" s="277" t="s">
        <v>1072</v>
      </c>
      <c r="TDT77" s="277" t="s">
        <v>1072</v>
      </c>
      <c r="TDU77" s="277" t="s">
        <v>1072</v>
      </c>
      <c r="TDV77" s="277" t="s">
        <v>1072</v>
      </c>
      <c r="TDW77" s="277" t="s">
        <v>1072</v>
      </c>
      <c r="TDX77" s="277" t="s">
        <v>1072</v>
      </c>
      <c r="TDY77" s="277" t="s">
        <v>1072</v>
      </c>
      <c r="TDZ77" s="277" t="s">
        <v>1072</v>
      </c>
      <c r="TEA77" s="277" t="s">
        <v>1072</v>
      </c>
      <c r="TEB77" s="277" t="s">
        <v>1072</v>
      </c>
      <c r="TEC77" s="277" t="s">
        <v>1072</v>
      </c>
      <c r="TED77" s="277" t="s">
        <v>1072</v>
      </c>
      <c r="TEE77" s="277" t="s">
        <v>1072</v>
      </c>
      <c r="TEF77" s="277" t="s">
        <v>1072</v>
      </c>
      <c r="TEG77" s="277" t="s">
        <v>1072</v>
      </c>
      <c r="TEH77" s="277" t="s">
        <v>1072</v>
      </c>
      <c r="TEI77" s="277" t="s">
        <v>1072</v>
      </c>
      <c r="TEJ77" s="277" t="s">
        <v>1072</v>
      </c>
      <c r="TEK77" s="277" t="s">
        <v>1072</v>
      </c>
      <c r="TEL77" s="277" t="s">
        <v>1072</v>
      </c>
      <c r="TEM77" s="277" t="s">
        <v>1072</v>
      </c>
      <c r="TEN77" s="277" t="s">
        <v>1072</v>
      </c>
      <c r="TEO77" s="277" t="s">
        <v>1072</v>
      </c>
      <c r="TEP77" s="277" t="s">
        <v>1072</v>
      </c>
      <c r="TEQ77" s="277" t="s">
        <v>1072</v>
      </c>
      <c r="TER77" s="277" t="s">
        <v>1072</v>
      </c>
      <c r="TES77" s="277" t="s">
        <v>1072</v>
      </c>
      <c r="TET77" s="277" t="s">
        <v>1072</v>
      </c>
      <c r="TEU77" s="277" t="s">
        <v>1072</v>
      </c>
      <c r="TEV77" s="277" t="s">
        <v>1072</v>
      </c>
      <c r="TEW77" s="277" t="s">
        <v>1072</v>
      </c>
      <c r="TEX77" s="277" t="s">
        <v>1072</v>
      </c>
      <c r="TEY77" s="277" t="s">
        <v>1072</v>
      </c>
      <c r="TEZ77" s="277" t="s">
        <v>1072</v>
      </c>
      <c r="TFA77" s="277" t="s">
        <v>1072</v>
      </c>
      <c r="TFB77" s="277" t="s">
        <v>1072</v>
      </c>
      <c r="TFC77" s="277" t="s">
        <v>1072</v>
      </c>
      <c r="TFD77" s="277" t="s">
        <v>1072</v>
      </c>
      <c r="TFE77" s="277" t="s">
        <v>1072</v>
      </c>
      <c r="TFF77" s="277" t="s">
        <v>1072</v>
      </c>
      <c r="TFG77" s="277" t="s">
        <v>1072</v>
      </c>
      <c r="TFH77" s="277" t="s">
        <v>1072</v>
      </c>
      <c r="TFI77" s="277" t="s">
        <v>1072</v>
      </c>
      <c r="TFJ77" s="277" t="s">
        <v>1072</v>
      </c>
      <c r="TFK77" s="277" t="s">
        <v>1072</v>
      </c>
      <c r="TFL77" s="277" t="s">
        <v>1072</v>
      </c>
      <c r="TFM77" s="277" t="s">
        <v>1072</v>
      </c>
      <c r="TFN77" s="277" t="s">
        <v>1072</v>
      </c>
      <c r="TFO77" s="277" t="s">
        <v>1072</v>
      </c>
      <c r="TFP77" s="277" t="s">
        <v>1072</v>
      </c>
      <c r="TFQ77" s="277" t="s">
        <v>1072</v>
      </c>
      <c r="TFR77" s="277" t="s">
        <v>1072</v>
      </c>
      <c r="TFS77" s="277" t="s">
        <v>1072</v>
      </c>
      <c r="TFT77" s="277" t="s">
        <v>1072</v>
      </c>
      <c r="TFU77" s="277" t="s">
        <v>1072</v>
      </c>
      <c r="TFV77" s="277" t="s">
        <v>1072</v>
      </c>
      <c r="TFW77" s="277" t="s">
        <v>1072</v>
      </c>
      <c r="TFX77" s="277" t="s">
        <v>1072</v>
      </c>
      <c r="TFY77" s="277" t="s">
        <v>1072</v>
      </c>
      <c r="TFZ77" s="277" t="s">
        <v>1072</v>
      </c>
      <c r="TGA77" s="277" t="s">
        <v>1072</v>
      </c>
      <c r="TGB77" s="277" t="s">
        <v>1072</v>
      </c>
      <c r="TGC77" s="277" t="s">
        <v>1072</v>
      </c>
      <c r="TGD77" s="277" t="s">
        <v>1072</v>
      </c>
      <c r="TGE77" s="277" t="s">
        <v>1072</v>
      </c>
      <c r="TGF77" s="277" t="s">
        <v>1072</v>
      </c>
      <c r="TGG77" s="277" t="s">
        <v>1072</v>
      </c>
      <c r="TGH77" s="277" t="s">
        <v>1072</v>
      </c>
      <c r="TGI77" s="277" t="s">
        <v>1072</v>
      </c>
      <c r="TGJ77" s="277" t="s">
        <v>1072</v>
      </c>
      <c r="TGK77" s="277" t="s">
        <v>1072</v>
      </c>
      <c r="TGL77" s="277" t="s">
        <v>1072</v>
      </c>
      <c r="TGM77" s="277" t="s">
        <v>1072</v>
      </c>
      <c r="TGN77" s="277" t="s">
        <v>1072</v>
      </c>
      <c r="TGO77" s="277" t="s">
        <v>1072</v>
      </c>
      <c r="TGP77" s="277" t="s">
        <v>1072</v>
      </c>
      <c r="TGQ77" s="277" t="s">
        <v>1072</v>
      </c>
      <c r="TGR77" s="277" t="s">
        <v>1072</v>
      </c>
      <c r="TGS77" s="277" t="s">
        <v>1072</v>
      </c>
      <c r="TGT77" s="277" t="s">
        <v>1072</v>
      </c>
      <c r="TGU77" s="277" t="s">
        <v>1072</v>
      </c>
      <c r="TGV77" s="277" t="s">
        <v>1072</v>
      </c>
      <c r="TGW77" s="277" t="s">
        <v>1072</v>
      </c>
      <c r="TGX77" s="277" t="s">
        <v>1072</v>
      </c>
      <c r="TGY77" s="277" t="s">
        <v>1072</v>
      </c>
      <c r="TGZ77" s="277" t="s">
        <v>1072</v>
      </c>
      <c r="THA77" s="277" t="s">
        <v>1072</v>
      </c>
      <c r="THB77" s="277" t="s">
        <v>1072</v>
      </c>
      <c r="THC77" s="277" t="s">
        <v>1072</v>
      </c>
      <c r="THD77" s="277" t="s">
        <v>1072</v>
      </c>
      <c r="THE77" s="277" t="s">
        <v>1072</v>
      </c>
      <c r="THF77" s="277" t="s">
        <v>1072</v>
      </c>
      <c r="THG77" s="277" t="s">
        <v>1072</v>
      </c>
      <c r="THH77" s="277" t="s">
        <v>1072</v>
      </c>
      <c r="THI77" s="277" t="s">
        <v>1072</v>
      </c>
      <c r="THJ77" s="277" t="s">
        <v>1072</v>
      </c>
      <c r="THK77" s="277" t="s">
        <v>1072</v>
      </c>
      <c r="THL77" s="277" t="s">
        <v>1072</v>
      </c>
      <c r="THM77" s="277" t="s">
        <v>1072</v>
      </c>
      <c r="THN77" s="277" t="s">
        <v>1072</v>
      </c>
      <c r="THO77" s="277" t="s">
        <v>1072</v>
      </c>
      <c r="THP77" s="277" t="s">
        <v>1072</v>
      </c>
      <c r="THQ77" s="277" t="s">
        <v>1072</v>
      </c>
      <c r="THR77" s="277" t="s">
        <v>1072</v>
      </c>
      <c r="THS77" s="277" t="s">
        <v>1072</v>
      </c>
      <c r="THT77" s="277" t="s">
        <v>1072</v>
      </c>
      <c r="THU77" s="277" t="s">
        <v>1072</v>
      </c>
      <c r="THV77" s="277" t="s">
        <v>1072</v>
      </c>
      <c r="THW77" s="277" t="s">
        <v>1072</v>
      </c>
      <c r="THX77" s="277" t="s">
        <v>1072</v>
      </c>
      <c r="THY77" s="277" t="s">
        <v>1072</v>
      </c>
      <c r="THZ77" s="277" t="s">
        <v>1072</v>
      </c>
      <c r="TIA77" s="277" t="s">
        <v>1072</v>
      </c>
      <c r="TIB77" s="277" t="s">
        <v>1072</v>
      </c>
      <c r="TIC77" s="277" t="s">
        <v>1072</v>
      </c>
      <c r="TID77" s="277" t="s">
        <v>1072</v>
      </c>
      <c r="TIE77" s="277" t="s">
        <v>1072</v>
      </c>
      <c r="TIF77" s="277" t="s">
        <v>1072</v>
      </c>
      <c r="TIG77" s="277" t="s">
        <v>1072</v>
      </c>
      <c r="TIH77" s="277" t="s">
        <v>1072</v>
      </c>
      <c r="TII77" s="277" t="s">
        <v>1072</v>
      </c>
      <c r="TIJ77" s="277" t="s">
        <v>1072</v>
      </c>
      <c r="TIK77" s="277" t="s">
        <v>1072</v>
      </c>
      <c r="TIL77" s="277" t="s">
        <v>1072</v>
      </c>
      <c r="TIM77" s="277" t="s">
        <v>1072</v>
      </c>
      <c r="TIN77" s="277" t="s">
        <v>1072</v>
      </c>
      <c r="TIO77" s="277" t="s">
        <v>1072</v>
      </c>
      <c r="TIP77" s="277" t="s">
        <v>1072</v>
      </c>
      <c r="TIQ77" s="277" t="s">
        <v>1072</v>
      </c>
      <c r="TIR77" s="277" t="s">
        <v>1072</v>
      </c>
      <c r="TIS77" s="277" t="s">
        <v>1072</v>
      </c>
      <c r="TIT77" s="277" t="s">
        <v>1072</v>
      </c>
      <c r="TIU77" s="277" t="s">
        <v>1072</v>
      </c>
      <c r="TIV77" s="277" t="s">
        <v>1072</v>
      </c>
      <c r="TIW77" s="277" t="s">
        <v>1072</v>
      </c>
      <c r="TIX77" s="277" t="s">
        <v>1072</v>
      </c>
      <c r="TIY77" s="277" t="s">
        <v>1072</v>
      </c>
      <c r="TIZ77" s="277" t="s">
        <v>1072</v>
      </c>
      <c r="TJA77" s="277" t="s">
        <v>1072</v>
      </c>
      <c r="TJB77" s="277" t="s">
        <v>1072</v>
      </c>
      <c r="TJC77" s="277" t="s">
        <v>1072</v>
      </c>
      <c r="TJD77" s="277" t="s">
        <v>1072</v>
      </c>
      <c r="TJE77" s="277" t="s">
        <v>1072</v>
      </c>
      <c r="TJF77" s="277" t="s">
        <v>1072</v>
      </c>
      <c r="TJG77" s="277" t="s">
        <v>1072</v>
      </c>
      <c r="TJH77" s="277" t="s">
        <v>1072</v>
      </c>
      <c r="TJI77" s="277" t="s">
        <v>1072</v>
      </c>
      <c r="TJJ77" s="277" t="s">
        <v>1072</v>
      </c>
      <c r="TJK77" s="277" t="s">
        <v>1072</v>
      </c>
      <c r="TJL77" s="277" t="s">
        <v>1072</v>
      </c>
      <c r="TJM77" s="277" t="s">
        <v>1072</v>
      </c>
      <c r="TJN77" s="277" t="s">
        <v>1072</v>
      </c>
      <c r="TJO77" s="277" t="s">
        <v>1072</v>
      </c>
      <c r="TJP77" s="277" t="s">
        <v>1072</v>
      </c>
      <c r="TJQ77" s="277" t="s">
        <v>1072</v>
      </c>
      <c r="TJR77" s="277" t="s">
        <v>1072</v>
      </c>
      <c r="TJS77" s="277" t="s">
        <v>1072</v>
      </c>
      <c r="TJT77" s="277" t="s">
        <v>1072</v>
      </c>
      <c r="TJU77" s="277" t="s">
        <v>1072</v>
      </c>
      <c r="TJV77" s="277" t="s">
        <v>1072</v>
      </c>
      <c r="TJW77" s="277" t="s">
        <v>1072</v>
      </c>
      <c r="TJX77" s="277" t="s">
        <v>1072</v>
      </c>
      <c r="TJY77" s="277" t="s">
        <v>1072</v>
      </c>
      <c r="TJZ77" s="277" t="s">
        <v>1072</v>
      </c>
      <c r="TKA77" s="277" t="s">
        <v>1072</v>
      </c>
      <c r="TKB77" s="277" t="s">
        <v>1072</v>
      </c>
      <c r="TKC77" s="277" t="s">
        <v>1072</v>
      </c>
      <c r="TKD77" s="277" t="s">
        <v>1072</v>
      </c>
      <c r="TKE77" s="277" t="s">
        <v>1072</v>
      </c>
      <c r="TKF77" s="277" t="s">
        <v>1072</v>
      </c>
      <c r="TKG77" s="277" t="s">
        <v>1072</v>
      </c>
      <c r="TKH77" s="277" t="s">
        <v>1072</v>
      </c>
      <c r="TKI77" s="277" t="s">
        <v>1072</v>
      </c>
      <c r="TKJ77" s="277" t="s">
        <v>1072</v>
      </c>
      <c r="TKK77" s="277" t="s">
        <v>1072</v>
      </c>
      <c r="TKL77" s="277" t="s">
        <v>1072</v>
      </c>
      <c r="TKM77" s="277" t="s">
        <v>1072</v>
      </c>
      <c r="TKN77" s="277" t="s">
        <v>1072</v>
      </c>
      <c r="TKO77" s="277" t="s">
        <v>1072</v>
      </c>
      <c r="TKP77" s="277" t="s">
        <v>1072</v>
      </c>
      <c r="TKQ77" s="277" t="s">
        <v>1072</v>
      </c>
      <c r="TKR77" s="277" t="s">
        <v>1072</v>
      </c>
      <c r="TKS77" s="277" t="s">
        <v>1072</v>
      </c>
      <c r="TKT77" s="277" t="s">
        <v>1072</v>
      </c>
      <c r="TKU77" s="277" t="s">
        <v>1072</v>
      </c>
      <c r="TKV77" s="277" t="s">
        <v>1072</v>
      </c>
      <c r="TKW77" s="277" t="s">
        <v>1072</v>
      </c>
      <c r="TKX77" s="277" t="s">
        <v>1072</v>
      </c>
      <c r="TKY77" s="277" t="s">
        <v>1072</v>
      </c>
      <c r="TKZ77" s="277" t="s">
        <v>1072</v>
      </c>
      <c r="TLA77" s="277" t="s">
        <v>1072</v>
      </c>
      <c r="TLB77" s="277" t="s">
        <v>1072</v>
      </c>
      <c r="TLC77" s="277" t="s">
        <v>1072</v>
      </c>
      <c r="TLD77" s="277" t="s">
        <v>1072</v>
      </c>
      <c r="TLE77" s="277" t="s">
        <v>1072</v>
      </c>
      <c r="TLF77" s="277" t="s">
        <v>1072</v>
      </c>
      <c r="TLG77" s="277" t="s">
        <v>1072</v>
      </c>
      <c r="TLH77" s="277" t="s">
        <v>1072</v>
      </c>
      <c r="TLI77" s="277" t="s">
        <v>1072</v>
      </c>
      <c r="TLJ77" s="277" t="s">
        <v>1072</v>
      </c>
      <c r="TLK77" s="277" t="s">
        <v>1072</v>
      </c>
      <c r="TLL77" s="277" t="s">
        <v>1072</v>
      </c>
      <c r="TLM77" s="277" t="s">
        <v>1072</v>
      </c>
      <c r="TLN77" s="277" t="s">
        <v>1072</v>
      </c>
      <c r="TLO77" s="277" t="s">
        <v>1072</v>
      </c>
      <c r="TLP77" s="277" t="s">
        <v>1072</v>
      </c>
      <c r="TLQ77" s="277" t="s">
        <v>1072</v>
      </c>
      <c r="TLR77" s="277" t="s">
        <v>1072</v>
      </c>
      <c r="TLS77" s="277" t="s">
        <v>1072</v>
      </c>
      <c r="TLT77" s="277" t="s">
        <v>1072</v>
      </c>
      <c r="TLU77" s="277" t="s">
        <v>1072</v>
      </c>
      <c r="TLV77" s="277" t="s">
        <v>1072</v>
      </c>
      <c r="TLW77" s="277" t="s">
        <v>1072</v>
      </c>
      <c r="TLX77" s="277" t="s">
        <v>1072</v>
      </c>
      <c r="TLY77" s="277" t="s">
        <v>1072</v>
      </c>
      <c r="TLZ77" s="277" t="s">
        <v>1072</v>
      </c>
      <c r="TMA77" s="277" t="s">
        <v>1072</v>
      </c>
      <c r="TMB77" s="277" t="s">
        <v>1072</v>
      </c>
      <c r="TMC77" s="277" t="s">
        <v>1072</v>
      </c>
      <c r="TMD77" s="277" t="s">
        <v>1072</v>
      </c>
      <c r="TME77" s="277" t="s">
        <v>1072</v>
      </c>
      <c r="TMF77" s="277" t="s">
        <v>1072</v>
      </c>
      <c r="TMG77" s="277" t="s">
        <v>1072</v>
      </c>
      <c r="TMH77" s="277" t="s">
        <v>1072</v>
      </c>
      <c r="TMI77" s="277" t="s">
        <v>1072</v>
      </c>
      <c r="TMJ77" s="277" t="s">
        <v>1072</v>
      </c>
      <c r="TMK77" s="277" t="s">
        <v>1072</v>
      </c>
      <c r="TML77" s="277" t="s">
        <v>1072</v>
      </c>
      <c r="TMM77" s="277" t="s">
        <v>1072</v>
      </c>
      <c r="TMN77" s="277" t="s">
        <v>1072</v>
      </c>
      <c r="TMO77" s="277" t="s">
        <v>1072</v>
      </c>
      <c r="TMP77" s="277" t="s">
        <v>1072</v>
      </c>
      <c r="TMQ77" s="277" t="s">
        <v>1072</v>
      </c>
      <c r="TMR77" s="277" t="s">
        <v>1072</v>
      </c>
      <c r="TMS77" s="277" t="s">
        <v>1072</v>
      </c>
      <c r="TMT77" s="277" t="s">
        <v>1072</v>
      </c>
      <c r="TMU77" s="277" t="s">
        <v>1072</v>
      </c>
      <c r="TMV77" s="277" t="s">
        <v>1072</v>
      </c>
      <c r="TMW77" s="277" t="s">
        <v>1072</v>
      </c>
      <c r="TMX77" s="277" t="s">
        <v>1072</v>
      </c>
      <c r="TMY77" s="277" t="s">
        <v>1072</v>
      </c>
      <c r="TMZ77" s="277" t="s">
        <v>1072</v>
      </c>
      <c r="TNA77" s="277" t="s">
        <v>1072</v>
      </c>
      <c r="TNB77" s="277" t="s">
        <v>1072</v>
      </c>
      <c r="TNC77" s="277" t="s">
        <v>1072</v>
      </c>
      <c r="TND77" s="277" t="s">
        <v>1072</v>
      </c>
      <c r="TNE77" s="277" t="s">
        <v>1072</v>
      </c>
      <c r="TNF77" s="277" t="s">
        <v>1072</v>
      </c>
      <c r="TNG77" s="277" t="s">
        <v>1072</v>
      </c>
      <c r="TNH77" s="277" t="s">
        <v>1072</v>
      </c>
      <c r="TNI77" s="277" t="s">
        <v>1072</v>
      </c>
      <c r="TNJ77" s="277" t="s">
        <v>1072</v>
      </c>
      <c r="TNK77" s="277" t="s">
        <v>1072</v>
      </c>
      <c r="TNL77" s="277" t="s">
        <v>1072</v>
      </c>
      <c r="TNM77" s="277" t="s">
        <v>1072</v>
      </c>
      <c r="TNN77" s="277" t="s">
        <v>1072</v>
      </c>
      <c r="TNO77" s="277" t="s">
        <v>1072</v>
      </c>
      <c r="TNP77" s="277" t="s">
        <v>1072</v>
      </c>
      <c r="TNQ77" s="277" t="s">
        <v>1072</v>
      </c>
      <c r="TNR77" s="277" t="s">
        <v>1072</v>
      </c>
      <c r="TNS77" s="277" t="s">
        <v>1072</v>
      </c>
      <c r="TNT77" s="277" t="s">
        <v>1072</v>
      </c>
      <c r="TNU77" s="277" t="s">
        <v>1072</v>
      </c>
      <c r="TNV77" s="277" t="s">
        <v>1072</v>
      </c>
      <c r="TNW77" s="277" t="s">
        <v>1072</v>
      </c>
      <c r="TNX77" s="277" t="s">
        <v>1072</v>
      </c>
      <c r="TNY77" s="277" t="s">
        <v>1072</v>
      </c>
      <c r="TNZ77" s="277" t="s">
        <v>1072</v>
      </c>
      <c r="TOA77" s="277" t="s">
        <v>1072</v>
      </c>
      <c r="TOB77" s="277" t="s">
        <v>1072</v>
      </c>
      <c r="TOC77" s="277" t="s">
        <v>1072</v>
      </c>
      <c r="TOD77" s="277" t="s">
        <v>1072</v>
      </c>
      <c r="TOE77" s="277" t="s">
        <v>1072</v>
      </c>
      <c r="TOF77" s="277" t="s">
        <v>1072</v>
      </c>
      <c r="TOG77" s="277" t="s">
        <v>1072</v>
      </c>
      <c r="TOH77" s="277" t="s">
        <v>1072</v>
      </c>
      <c r="TOI77" s="277" t="s">
        <v>1072</v>
      </c>
      <c r="TOJ77" s="277" t="s">
        <v>1072</v>
      </c>
      <c r="TOK77" s="277" t="s">
        <v>1072</v>
      </c>
      <c r="TOL77" s="277" t="s">
        <v>1072</v>
      </c>
      <c r="TOM77" s="277" t="s">
        <v>1072</v>
      </c>
      <c r="TON77" s="277" t="s">
        <v>1072</v>
      </c>
      <c r="TOO77" s="277" t="s">
        <v>1072</v>
      </c>
      <c r="TOP77" s="277" t="s">
        <v>1072</v>
      </c>
      <c r="TOQ77" s="277" t="s">
        <v>1072</v>
      </c>
      <c r="TOR77" s="277" t="s">
        <v>1072</v>
      </c>
      <c r="TOS77" s="277" t="s">
        <v>1072</v>
      </c>
      <c r="TOT77" s="277" t="s">
        <v>1072</v>
      </c>
      <c r="TOU77" s="277" t="s">
        <v>1072</v>
      </c>
      <c r="TOV77" s="277" t="s">
        <v>1072</v>
      </c>
      <c r="TOW77" s="277" t="s">
        <v>1072</v>
      </c>
      <c r="TOX77" s="277" t="s">
        <v>1072</v>
      </c>
      <c r="TOY77" s="277" t="s">
        <v>1072</v>
      </c>
      <c r="TOZ77" s="277" t="s">
        <v>1072</v>
      </c>
      <c r="TPA77" s="277" t="s">
        <v>1072</v>
      </c>
      <c r="TPB77" s="277" t="s">
        <v>1072</v>
      </c>
      <c r="TPC77" s="277" t="s">
        <v>1072</v>
      </c>
      <c r="TPD77" s="277" t="s">
        <v>1072</v>
      </c>
      <c r="TPE77" s="277" t="s">
        <v>1072</v>
      </c>
      <c r="TPF77" s="277" t="s">
        <v>1072</v>
      </c>
      <c r="TPG77" s="277" t="s">
        <v>1072</v>
      </c>
      <c r="TPH77" s="277" t="s">
        <v>1072</v>
      </c>
      <c r="TPI77" s="277" t="s">
        <v>1072</v>
      </c>
      <c r="TPJ77" s="277" t="s">
        <v>1072</v>
      </c>
      <c r="TPK77" s="277" t="s">
        <v>1072</v>
      </c>
      <c r="TPL77" s="277" t="s">
        <v>1072</v>
      </c>
      <c r="TPM77" s="277" t="s">
        <v>1072</v>
      </c>
      <c r="TPN77" s="277" t="s">
        <v>1072</v>
      </c>
      <c r="TPO77" s="277" t="s">
        <v>1072</v>
      </c>
      <c r="TPP77" s="277" t="s">
        <v>1072</v>
      </c>
      <c r="TPQ77" s="277" t="s">
        <v>1072</v>
      </c>
      <c r="TPR77" s="277" t="s">
        <v>1072</v>
      </c>
      <c r="TPS77" s="277" t="s">
        <v>1072</v>
      </c>
      <c r="TPT77" s="277" t="s">
        <v>1072</v>
      </c>
      <c r="TPU77" s="277" t="s">
        <v>1072</v>
      </c>
      <c r="TPV77" s="277" t="s">
        <v>1072</v>
      </c>
      <c r="TPW77" s="277" t="s">
        <v>1072</v>
      </c>
      <c r="TPX77" s="277" t="s">
        <v>1072</v>
      </c>
      <c r="TPY77" s="277" t="s">
        <v>1072</v>
      </c>
      <c r="TPZ77" s="277" t="s">
        <v>1072</v>
      </c>
      <c r="TQA77" s="277" t="s">
        <v>1072</v>
      </c>
      <c r="TQB77" s="277" t="s">
        <v>1072</v>
      </c>
      <c r="TQC77" s="277" t="s">
        <v>1072</v>
      </c>
      <c r="TQD77" s="277" t="s">
        <v>1072</v>
      </c>
      <c r="TQE77" s="277" t="s">
        <v>1072</v>
      </c>
      <c r="TQF77" s="277" t="s">
        <v>1072</v>
      </c>
      <c r="TQG77" s="277" t="s">
        <v>1072</v>
      </c>
      <c r="TQH77" s="277" t="s">
        <v>1072</v>
      </c>
      <c r="TQI77" s="277" t="s">
        <v>1072</v>
      </c>
      <c r="TQJ77" s="277" t="s">
        <v>1072</v>
      </c>
      <c r="TQK77" s="277" t="s">
        <v>1072</v>
      </c>
      <c r="TQL77" s="277" t="s">
        <v>1072</v>
      </c>
      <c r="TQM77" s="277" t="s">
        <v>1072</v>
      </c>
      <c r="TQN77" s="277" t="s">
        <v>1072</v>
      </c>
      <c r="TQO77" s="277" t="s">
        <v>1072</v>
      </c>
      <c r="TQP77" s="277" t="s">
        <v>1072</v>
      </c>
      <c r="TQQ77" s="277" t="s">
        <v>1072</v>
      </c>
      <c r="TQR77" s="277" t="s">
        <v>1072</v>
      </c>
      <c r="TQS77" s="277" t="s">
        <v>1072</v>
      </c>
      <c r="TQT77" s="277" t="s">
        <v>1072</v>
      </c>
      <c r="TQU77" s="277" t="s">
        <v>1072</v>
      </c>
      <c r="TQV77" s="277" t="s">
        <v>1072</v>
      </c>
      <c r="TQW77" s="277" t="s">
        <v>1072</v>
      </c>
      <c r="TQX77" s="277" t="s">
        <v>1072</v>
      </c>
      <c r="TQY77" s="277" t="s">
        <v>1072</v>
      </c>
      <c r="TQZ77" s="277" t="s">
        <v>1072</v>
      </c>
      <c r="TRA77" s="277" t="s">
        <v>1072</v>
      </c>
      <c r="TRB77" s="277" t="s">
        <v>1072</v>
      </c>
      <c r="TRC77" s="277" t="s">
        <v>1072</v>
      </c>
      <c r="TRD77" s="277" t="s">
        <v>1072</v>
      </c>
      <c r="TRE77" s="277" t="s">
        <v>1072</v>
      </c>
      <c r="TRF77" s="277" t="s">
        <v>1072</v>
      </c>
      <c r="TRG77" s="277" t="s">
        <v>1072</v>
      </c>
      <c r="TRH77" s="277" t="s">
        <v>1072</v>
      </c>
      <c r="TRI77" s="277" t="s">
        <v>1072</v>
      </c>
      <c r="TRJ77" s="277" t="s">
        <v>1072</v>
      </c>
      <c r="TRK77" s="277" t="s">
        <v>1072</v>
      </c>
      <c r="TRL77" s="277" t="s">
        <v>1072</v>
      </c>
      <c r="TRM77" s="277" t="s">
        <v>1072</v>
      </c>
      <c r="TRN77" s="277" t="s">
        <v>1072</v>
      </c>
      <c r="TRO77" s="277" t="s">
        <v>1072</v>
      </c>
      <c r="TRP77" s="277" t="s">
        <v>1072</v>
      </c>
      <c r="TRQ77" s="277" t="s">
        <v>1072</v>
      </c>
      <c r="TRR77" s="277" t="s">
        <v>1072</v>
      </c>
      <c r="TRS77" s="277" t="s">
        <v>1072</v>
      </c>
      <c r="TRT77" s="277" t="s">
        <v>1072</v>
      </c>
      <c r="TRU77" s="277" t="s">
        <v>1072</v>
      </c>
      <c r="TRV77" s="277" t="s">
        <v>1072</v>
      </c>
      <c r="TRW77" s="277" t="s">
        <v>1072</v>
      </c>
      <c r="TRX77" s="277" t="s">
        <v>1072</v>
      </c>
      <c r="TRY77" s="277" t="s">
        <v>1072</v>
      </c>
      <c r="TRZ77" s="277" t="s">
        <v>1072</v>
      </c>
      <c r="TSA77" s="277" t="s">
        <v>1072</v>
      </c>
      <c r="TSB77" s="277" t="s">
        <v>1072</v>
      </c>
      <c r="TSC77" s="277" t="s">
        <v>1072</v>
      </c>
      <c r="TSD77" s="277" t="s">
        <v>1072</v>
      </c>
      <c r="TSE77" s="277" t="s">
        <v>1072</v>
      </c>
      <c r="TSF77" s="277" t="s">
        <v>1072</v>
      </c>
      <c r="TSG77" s="277" t="s">
        <v>1072</v>
      </c>
      <c r="TSH77" s="277" t="s">
        <v>1072</v>
      </c>
      <c r="TSI77" s="277" t="s">
        <v>1072</v>
      </c>
      <c r="TSJ77" s="277" t="s">
        <v>1072</v>
      </c>
      <c r="TSK77" s="277" t="s">
        <v>1072</v>
      </c>
      <c r="TSL77" s="277" t="s">
        <v>1072</v>
      </c>
      <c r="TSM77" s="277" t="s">
        <v>1072</v>
      </c>
      <c r="TSN77" s="277" t="s">
        <v>1072</v>
      </c>
      <c r="TSO77" s="277" t="s">
        <v>1072</v>
      </c>
      <c r="TSP77" s="277" t="s">
        <v>1072</v>
      </c>
      <c r="TSQ77" s="277" t="s">
        <v>1072</v>
      </c>
      <c r="TSR77" s="277" t="s">
        <v>1072</v>
      </c>
      <c r="TSS77" s="277" t="s">
        <v>1072</v>
      </c>
      <c r="TST77" s="277" t="s">
        <v>1072</v>
      </c>
      <c r="TSU77" s="277" t="s">
        <v>1072</v>
      </c>
      <c r="TSV77" s="277" t="s">
        <v>1072</v>
      </c>
      <c r="TSW77" s="277" t="s">
        <v>1072</v>
      </c>
      <c r="TSX77" s="277" t="s">
        <v>1072</v>
      </c>
      <c r="TSY77" s="277" t="s">
        <v>1072</v>
      </c>
      <c r="TSZ77" s="277" t="s">
        <v>1072</v>
      </c>
      <c r="TTA77" s="277" t="s">
        <v>1072</v>
      </c>
      <c r="TTB77" s="277" t="s">
        <v>1072</v>
      </c>
      <c r="TTC77" s="277" t="s">
        <v>1072</v>
      </c>
      <c r="TTD77" s="277" t="s">
        <v>1072</v>
      </c>
      <c r="TTE77" s="277" t="s">
        <v>1072</v>
      </c>
      <c r="TTF77" s="277" t="s">
        <v>1072</v>
      </c>
      <c r="TTG77" s="277" t="s">
        <v>1072</v>
      </c>
      <c r="TTH77" s="277" t="s">
        <v>1072</v>
      </c>
      <c r="TTI77" s="277" t="s">
        <v>1072</v>
      </c>
      <c r="TTJ77" s="277" t="s">
        <v>1072</v>
      </c>
      <c r="TTK77" s="277" t="s">
        <v>1072</v>
      </c>
      <c r="TTL77" s="277" t="s">
        <v>1072</v>
      </c>
      <c r="TTM77" s="277" t="s">
        <v>1072</v>
      </c>
      <c r="TTN77" s="277" t="s">
        <v>1072</v>
      </c>
      <c r="TTO77" s="277" t="s">
        <v>1072</v>
      </c>
      <c r="TTP77" s="277" t="s">
        <v>1072</v>
      </c>
      <c r="TTQ77" s="277" t="s">
        <v>1072</v>
      </c>
      <c r="TTR77" s="277" t="s">
        <v>1072</v>
      </c>
      <c r="TTS77" s="277" t="s">
        <v>1072</v>
      </c>
      <c r="TTT77" s="277" t="s">
        <v>1072</v>
      </c>
      <c r="TTU77" s="277" t="s">
        <v>1072</v>
      </c>
      <c r="TTV77" s="277" t="s">
        <v>1072</v>
      </c>
      <c r="TTW77" s="277" t="s">
        <v>1072</v>
      </c>
      <c r="TTX77" s="277" t="s">
        <v>1072</v>
      </c>
      <c r="TTY77" s="277" t="s">
        <v>1072</v>
      </c>
      <c r="TTZ77" s="277" t="s">
        <v>1072</v>
      </c>
      <c r="TUA77" s="277" t="s">
        <v>1072</v>
      </c>
      <c r="TUB77" s="277" t="s">
        <v>1072</v>
      </c>
      <c r="TUC77" s="277" t="s">
        <v>1072</v>
      </c>
      <c r="TUD77" s="277" t="s">
        <v>1072</v>
      </c>
      <c r="TUE77" s="277" t="s">
        <v>1072</v>
      </c>
      <c r="TUF77" s="277" t="s">
        <v>1072</v>
      </c>
      <c r="TUG77" s="277" t="s">
        <v>1072</v>
      </c>
      <c r="TUH77" s="277" t="s">
        <v>1072</v>
      </c>
      <c r="TUI77" s="277" t="s">
        <v>1072</v>
      </c>
      <c r="TUJ77" s="277" t="s">
        <v>1072</v>
      </c>
      <c r="TUK77" s="277" t="s">
        <v>1072</v>
      </c>
      <c r="TUL77" s="277" t="s">
        <v>1072</v>
      </c>
      <c r="TUM77" s="277" t="s">
        <v>1072</v>
      </c>
      <c r="TUN77" s="277" t="s">
        <v>1072</v>
      </c>
      <c r="TUO77" s="277" t="s">
        <v>1072</v>
      </c>
      <c r="TUP77" s="277" t="s">
        <v>1072</v>
      </c>
      <c r="TUQ77" s="277" t="s">
        <v>1072</v>
      </c>
      <c r="TUR77" s="277" t="s">
        <v>1072</v>
      </c>
      <c r="TUS77" s="277" t="s">
        <v>1072</v>
      </c>
      <c r="TUT77" s="277" t="s">
        <v>1072</v>
      </c>
      <c r="TUU77" s="277" t="s">
        <v>1072</v>
      </c>
      <c r="TUV77" s="277" t="s">
        <v>1072</v>
      </c>
      <c r="TUW77" s="277" t="s">
        <v>1072</v>
      </c>
      <c r="TUX77" s="277" t="s">
        <v>1072</v>
      </c>
      <c r="TUY77" s="277" t="s">
        <v>1072</v>
      </c>
      <c r="TUZ77" s="277" t="s">
        <v>1072</v>
      </c>
      <c r="TVA77" s="277" t="s">
        <v>1072</v>
      </c>
      <c r="TVB77" s="277" t="s">
        <v>1072</v>
      </c>
      <c r="TVC77" s="277" t="s">
        <v>1072</v>
      </c>
      <c r="TVD77" s="277" t="s">
        <v>1072</v>
      </c>
      <c r="TVE77" s="277" t="s">
        <v>1072</v>
      </c>
      <c r="TVF77" s="277" t="s">
        <v>1072</v>
      </c>
      <c r="TVG77" s="277" t="s">
        <v>1072</v>
      </c>
      <c r="TVH77" s="277" t="s">
        <v>1072</v>
      </c>
      <c r="TVI77" s="277" t="s">
        <v>1072</v>
      </c>
      <c r="TVJ77" s="277" t="s">
        <v>1072</v>
      </c>
      <c r="TVK77" s="277" t="s">
        <v>1072</v>
      </c>
      <c r="TVL77" s="277" t="s">
        <v>1072</v>
      </c>
      <c r="TVM77" s="277" t="s">
        <v>1072</v>
      </c>
      <c r="TVN77" s="277" t="s">
        <v>1072</v>
      </c>
      <c r="TVO77" s="277" t="s">
        <v>1072</v>
      </c>
      <c r="TVP77" s="277" t="s">
        <v>1072</v>
      </c>
      <c r="TVQ77" s="277" t="s">
        <v>1072</v>
      </c>
      <c r="TVR77" s="277" t="s">
        <v>1072</v>
      </c>
      <c r="TVS77" s="277" t="s">
        <v>1072</v>
      </c>
      <c r="TVT77" s="277" t="s">
        <v>1072</v>
      </c>
      <c r="TVU77" s="277" t="s">
        <v>1072</v>
      </c>
      <c r="TVV77" s="277" t="s">
        <v>1072</v>
      </c>
      <c r="TVW77" s="277" t="s">
        <v>1072</v>
      </c>
      <c r="TVX77" s="277" t="s">
        <v>1072</v>
      </c>
      <c r="TVY77" s="277" t="s">
        <v>1072</v>
      </c>
      <c r="TVZ77" s="277" t="s">
        <v>1072</v>
      </c>
      <c r="TWA77" s="277" t="s">
        <v>1072</v>
      </c>
      <c r="TWB77" s="277" t="s">
        <v>1072</v>
      </c>
      <c r="TWC77" s="277" t="s">
        <v>1072</v>
      </c>
      <c r="TWD77" s="277" t="s">
        <v>1072</v>
      </c>
      <c r="TWE77" s="277" t="s">
        <v>1072</v>
      </c>
      <c r="TWF77" s="277" t="s">
        <v>1072</v>
      </c>
      <c r="TWG77" s="277" t="s">
        <v>1072</v>
      </c>
      <c r="TWH77" s="277" t="s">
        <v>1072</v>
      </c>
      <c r="TWI77" s="277" t="s">
        <v>1072</v>
      </c>
      <c r="TWJ77" s="277" t="s">
        <v>1072</v>
      </c>
      <c r="TWK77" s="277" t="s">
        <v>1072</v>
      </c>
      <c r="TWL77" s="277" t="s">
        <v>1072</v>
      </c>
      <c r="TWM77" s="277" t="s">
        <v>1072</v>
      </c>
      <c r="TWN77" s="277" t="s">
        <v>1072</v>
      </c>
      <c r="TWO77" s="277" t="s">
        <v>1072</v>
      </c>
      <c r="TWP77" s="277" t="s">
        <v>1072</v>
      </c>
      <c r="TWQ77" s="277" t="s">
        <v>1072</v>
      </c>
      <c r="TWR77" s="277" t="s">
        <v>1072</v>
      </c>
      <c r="TWS77" s="277" t="s">
        <v>1072</v>
      </c>
      <c r="TWT77" s="277" t="s">
        <v>1072</v>
      </c>
      <c r="TWU77" s="277" t="s">
        <v>1072</v>
      </c>
      <c r="TWV77" s="277" t="s">
        <v>1072</v>
      </c>
      <c r="TWW77" s="277" t="s">
        <v>1072</v>
      </c>
      <c r="TWX77" s="277" t="s">
        <v>1072</v>
      </c>
      <c r="TWY77" s="277" t="s">
        <v>1072</v>
      </c>
      <c r="TWZ77" s="277" t="s">
        <v>1072</v>
      </c>
      <c r="TXA77" s="277" t="s">
        <v>1072</v>
      </c>
      <c r="TXB77" s="277" t="s">
        <v>1072</v>
      </c>
      <c r="TXC77" s="277" t="s">
        <v>1072</v>
      </c>
      <c r="TXD77" s="277" t="s">
        <v>1072</v>
      </c>
      <c r="TXE77" s="277" t="s">
        <v>1072</v>
      </c>
      <c r="TXF77" s="277" t="s">
        <v>1072</v>
      </c>
      <c r="TXG77" s="277" t="s">
        <v>1072</v>
      </c>
      <c r="TXH77" s="277" t="s">
        <v>1072</v>
      </c>
      <c r="TXI77" s="277" t="s">
        <v>1072</v>
      </c>
      <c r="TXJ77" s="277" t="s">
        <v>1072</v>
      </c>
      <c r="TXK77" s="277" t="s">
        <v>1072</v>
      </c>
      <c r="TXL77" s="277" t="s">
        <v>1072</v>
      </c>
      <c r="TXM77" s="277" t="s">
        <v>1072</v>
      </c>
      <c r="TXN77" s="277" t="s">
        <v>1072</v>
      </c>
      <c r="TXO77" s="277" t="s">
        <v>1072</v>
      </c>
      <c r="TXP77" s="277" t="s">
        <v>1072</v>
      </c>
      <c r="TXQ77" s="277" t="s">
        <v>1072</v>
      </c>
      <c r="TXR77" s="277" t="s">
        <v>1072</v>
      </c>
      <c r="TXS77" s="277" t="s">
        <v>1072</v>
      </c>
      <c r="TXT77" s="277" t="s">
        <v>1072</v>
      </c>
      <c r="TXU77" s="277" t="s">
        <v>1072</v>
      </c>
      <c r="TXV77" s="277" t="s">
        <v>1072</v>
      </c>
      <c r="TXW77" s="277" t="s">
        <v>1072</v>
      </c>
      <c r="TXX77" s="277" t="s">
        <v>1072</v>
      </c>
      <c r="TXY77" s="277" t="s">
        <v>1072</v>
      </c>
      <c r="TXZ77" s="277" t="s">
        <v>1072</v>
      </c>
      <c r="TYA77" s="277" t="s">
        <v>1072</v>
      </c>
      <c r="TYB77" s="277" t="s">
        <v>1072</v>
      </c>
      <c r="TYC77" s="277" t="s">
        <v>1072</v>
      </c>
      <c r="TYD77" s="277" t="s">
        <v>1072</v>
      </c>
      <c r="TYE77" s="277" t="s">
        <v>1072</v>
      </c>
      <c r="TYF77" s="277" t="s">
        <v>1072</v>
      </c>
      <c r="TYG77" s="277" t="s">
        <v>1072</v>
      </c>
      <c r="TYH77" s="277" t="s">
        <v>1072</v>
      </c>
      <c r="TYI77" s="277" t="s">
        <v>1072</v>
      </c>
      <c r="TYJ77" s="277" t="s">
        <v>1072</v>
      </c>
      <c r="TYK77" s="277" t="s">
        <v>1072</v>
      </c>
      <c r="TYL77" s="277" t="s">
        <v>1072</v>
      </c>
      <c r="TYM77" s="277" t="s">
        <v>1072</v>
      </c>
      <c r="TYN77" s="277" t="s">
        <v>1072</v>
      </c>
      <c r="TYO77" s="277" t="s">
        <v>1072</v>
      </c>
      <c r="TYP77" s="277" t="s">
        <v>1072</v>
      </c>
      <c r="TYQ77" s="277" t="s">
        <v>1072</v>
      </c>
      <c r="TYR77" s="277" t="s">
        <v>1072</v>
      </c>
      <c r="TYS77" s="277" t="s">
        <v>1072</v>
      </c>
      <c r="TYT77" s="277" t="s">
        <v>1072</v>
      </c>
      <c r="TYU77" s="277" t="s">
        <v>1072</v>
      </c>
      <c r="TYV77" s="277" t="s">
        <v>1072</v>
      </c>
      <c r="TYW77" s="277" t="s">
        <v>1072</v>
      </c>
      <c r="TYX77" s="277" t="s">
        <v>1072</v>
      </c>
      <c r="TYY77" s="277" t="s">
        <v>1072</v>
      </c>
      <c r="TYZ77" s="277" t="s">
        <v>1072</v>
      </c>
      <c r="TZA77" s="277" t="s">
        <v>1072</v>
      </c>
      <c r="TZB77" s="277" t="s">
        <v>1072</v>
      </c>
      <c r="TZC77" s="277" t="s">
        <v>1072</v>
      </c>
      <c r="TZD77" s="277" t="s">
        <v>1072</v>
      </c>
      <c r="TZE77" s="277" t="s">
        <v>1072</v>
      </c>
      <c r="TZF77" s="277" t="s">
        <v>1072</v>
      </c>
      <c r="TZG77" s="277" t="s">
        <v>1072</v>
      </c>
      <c r="TZH77" s="277" t="s">
        <v>1072</v>
      </c>
      <c r="TZI77" s="277" t="s">
        <v>1072</v>
      </c>
      <c r="TZJ77" s="277" t="s">
        <v>1072</v>
      </c>
      <c r="TZK77" s="277" t="s">
        <v>1072</v>
      </c>
      <c r="TZL77" s="277" t="s">
        <v>1072</v>
      </c>
      <c r="TZM77" s="277" t="s">
        <v>1072</v>
      </c>
      <c r="TZN77" s="277" t="s">
        <v>1072</v>
      </c>
      <c r="TZO77" s="277" t="s">
        <v>1072</v>
      </c>
      <c r="TZP77" s="277" t="s">
        <v>1072</v>
      </c>
      <c r="TZQ77" s="277" t="s">
        <v>1072</v>
      </c>
      <c r="TZR77" s="277" t="s">
        <v>1072</v>
      </c>
      <c r="TZS77" s="277" t="s">
        <v>1072</v>
      </c>
      <c r="TZT77" s="277" t="s">
        <v>1072</v>
      </c>
      <c r="TZU77" s="277" t="s">
        <v>1072</v>
      </c>
      <c r="TZV77" s="277" t="s">
        <v>1072</v>
      </c>
      <c r="TZW77" s="277" t="s">
        <v>1072</v>
      </c>
      <c r="TZX77" s="277" t="s">
        <v>1072</v>
      </c>
      <c r="TZY77" s="277" t="s">
        <v>1072</v>
      </c>
      <c r="TZZ77" s="277" t="s">
        <v>1072</v>
      </c>
      <c r="UAA77" s="277" t="s">
        <v>1072</v>
      </c>
      <c r="UAB77" s="277" t="s">
        <v>1072</v>
      </c>
      <c r="UAC77" s="277" t="s">
        <v>1072</v>
      </c>
      <c r="UAD77" s="277" t="s">
        <v>1072</v>
      </c>
      <c r="UAE77" s="277" t="s">
        <v>1072</v>
      </c>
      <c r="UAF77" s="277" t="s">
        <v>1072</v>
      </c>
      <c r="UAG77" s="277" t="s">
        <v>1072</v>
      </c>
      <c r="UAH77" s="277" t="s">
        <v>1072</v>
      </c>
      <c r="UAI77" s="277" t="s">
        <v>1072</v>
      </c>
      <c r="UAJ77" s="277" t="s">
        <v>1072</v>
      </c>
      <c r="UAK77" s="277" t="s">
        <v>1072</v>
      </c>
      <c r="UAL77" s="277" t="s">
        <v>1072</v>
      </c>
      <c r="UAM77" s="277" t="s">
        <v>1072</v>
      </c>
      <c r="UAN77" s="277" t="s">
        <v>1072</v>
      </c>
      <c r="UAO77" s="277" t="s">
        <v>1072</v>
      </c>
      <c r="UAP77" s="277" t="s">
        <v>1072</v>
      </c>
      <c r="UAQ77" s="277" t="s">
        <v>1072</v>
      </c>
      <c r="UAR77" s="277" t="s">
        <v>1072</v>
      </c>
      <c r="UAS77" s="277" t="s">
        <v>1072</v>
      </c>
      <c r="UAT77" s="277" t="s">
        <v>1072</v>
      </c>
      <c r="UAU77" s="277" t="s">
        <v>1072</v>
      </c>
      <c r="UAV77" s="277" t="s">
        <v>1072</v>
      </c>
      <c r="UAW77" s="277" t="s">
        <v>1072</v>
      </c>
      <c r="UAX77" s="277" t="s">
        <v>1072</v>
      </c>
      <c r="UAY77" s="277" t="s">
        <v>1072</v>
      </c>
      <c r="UAZ77" s="277" t="s">
        <v>1072</v>
      </c>
      <c r="UBA77" s="277" t="s">
        <v>1072</v>
      </c>
      <c r="UBB77" s="277" t="s">
        <v>1072</v>
      </c>
      <c r="UBC77" s="277" t="s">
        <v>1072</v>
      </c>
      <c r="UBD77" s="277" t="s">
        <v>1072</v>
      </c>
      <c r="UBE77" s="277" t="s">
        <v>1072</v>
      </c>
      <c r="UBF77" s="277" t="s">
        <v>1072</v>
      </c>
      <c r="UBG77" s="277" t="s">
        <v>1072</v>
      </c>
      <c r="UBH77" s="277" t="s">
        <v>1072</v>
      </c>
      <c r="UBI77" s="277" t="s">
        <v>1072</v>
      </c>
      <c r="UBJ77" s="277" t="s">
        <v>1072</v>
      </c>
      <c r="UBK77" s="277" t="s">
        <v>1072</v>
      </c>
      <c r="UBL77" s="277" t="s">
        <v>1072</v>
      </c>
      <c r="UBM77" s="277" t="s">
        <v>1072</v>
      </c>
      <c r="UBN77" s="277" t="s">
        <v>1072</v>
      </c>
      <c r="UBO77" s="277" t="s">
        <v>1072</v>
      </c>
      <c r="UBP77" s="277" t="s">
        <v>1072</v>
      </c>
      <c r="UBQ77" s="277" t="s">
        <v>1072</v>
      </c>
      <c r="UBR77" s="277" t="s">
        <v>1072</v>
      </c>
      <c r="UBS77" s="277" t="s">
        <v>1072</v>
      </c>
      <c r="UBT77" s="277" t="s">
        <v>1072</v>
      </c>
      <c r="UBU77" s="277" t="s">
        <v>1072</v>
      </c>
      <c r="UBV77" s="277" t="s">
        <v>1072</v>
      </c>
      <c r="UBW77" s="277" t="s">
        <v>1072</v>
      </c>
      <c r="UBX77" s="277" t="s">
        <v>1072</v>
      </c>
      <c r="UBY77" s="277" t="s">
        <v>1072</v>
      </c>
      <c r="UBZ77" s="277" t="s">
        <v>1072</v>
      </c>
      <c r="UCA77" s="277" t="s">
        <v>1072</v>
      </c>
      <c r="UCB77" s="277" t="s">
        <v>1072</v>
      </c>
      <c r="UCC77" s="277" t="s">
        <v>1072</v>
      </c>
      <c r="UCD77" s="277" t="s">
        <v>1072</v>
      </c>
      <c r="UCE77" s="277" t="s">
        <v>1072</v>
      </c>
      <c r="UCF77" s="277" t="s">
        <v>1072</v>
      </c>
      <c r="UCG77" s="277" t="s">
        <v>1072</v>
      </c>
      <c r="UCH77" s="277" t="s">
        <v>1072</v>
      </c>
      <c r="UCI77" s="277" t="s">
        <v>1072</v>
      </c>
      <c r="UCJ77" s="277" t="s">
        <v>1072</v>
      </c>
      <c r="UCK77" s="277" t="s">
        <v>1072</v>
      </c>
      <c r="UCL77" s="277" t="s">
        <v>1072</v>
      </c>
      <c r="UCM77" s="277" t="s">
        <v>1072</v>
      </c>
      <c r="UCN77" s="277" t="s">
        <v>1072</v>
      </c>
      <c r="UCO77" s="277" t="s">
        <v>1072</v>
      </c>
      <c r="UCP77" s="277" t="s">
        <v>1072</v>
      </c>
      <c r="UCQ77" s="277" t="s">
        <v>1072</v>
      </c>
      <c r="UCR77" s="277" t="s">
        <v>1072</v>
      </c>
      <c r="UCS77" s="277" t="s">
        <v>1072</v>
      </c>
      <c r="UCT77" s="277" t="s">
        <v>1072</v>
      </c>
      <c r="UCU77" s="277" t="s">
        <v>1072</v>
      </c>
      <c r="UCV77" s="277" t="s">
        <v>1072</v>
      </c>
      <c r="UCW77" s="277" t="s">
        <v>1072</v>
      </c>
      <c r="UCX77" s="277" t="s">
        <v>1072</v>
      </c>
      <c r="UCY77" s="277" t="s">
        <v>1072</v>
      </c>
      <c r="UCZ77" s="277" t="s">
        <v>1072</v>
      </c>
      <c r="UDA77" s="277" t="s">
        <v>1072</v>
      </c>
      <c r="UDB77" s="277" t="s">
        <v>1072</v>
      </c>
      <c r="UDC77" s="277" t="s">
        <v>1072</v>
      </c>
      <c r="UDD77" s="277" t="s">
        <v>1072</v>
      </c>
      <c r="UDE77" s="277" t="s">
        <v>1072</v>
      </c>
      <c r="UDF77" s="277" t="s">
        <v>1072</v>
      </c>
      <c r="UDG77" s="277" t="s">
        <v>1072</v>
      </c>
      <c r="UDH77" s="277" t="s">
        <v>1072</v>
      </c>
      <c r="UDI77" s="277" t="s">
        <v>1072</v>
      </c>
      <c r="UDJ77" s="277" t="s">
        <v>1072</v>
      </c>
      <c r="UDK77" s="277" t="s">
        <v>1072</v>
      </c>
      <c r="UDL77" s="277" t="s">
        <v>1072</v>
      </c>
      <c r="UDM77" s="277" t="s">
        <v>1072</v>
      </c>
      <c r="UDN77" s="277" t="s">
        <v>1072</v>
      </c>
      <c r="UDO77" s="277" t="s">
        <v>1072</v>
      </c>
      <c r="UDP77" s="277" t="s">
        <v>1072</v>
      </c>
      <c r="UDQ77" s="277" t="s">
        <v>1072</v>
      </c>
      <c r="UDR77" s="277" t="s">
        <v>1072</v>
      </c>
      <c r="UDS77" s="277" t="s">
        <v>1072</v>
      </c>
      <c r="UDT77" s="277" t="s">
        <v>1072</v>
      </c>
      <c r="UDU77" s="277" t="s">
        <v>1072</v>
      </c>
      <c r="UDV77" s="277" t="s">
        <v>1072</v>
      </c>
      <c r="UDW77" s="277" t="s">
        <v>1072</v>
      </c>
      <c r="UDX77" s="277" t="s">
        <v>1072</v>
      </c>
      <c r="UDY77" s="277" t="s">
        <v>1072</v>
      </c>
      <c r="UDZ77" s="277" t="s">
        <v>1072</v>
      </c>
      <c r="UEA77" s="277" t="s">
        <v>1072</v>
      </c>
      <c r="UEB77" s="277" t="s">
        <v>1072</v>
      </c>
      <c r="UEC77" s="277" t="s">
        <v>1072</v>
      </c>
      <c r="UED77" s="277" t="s">
        <v>1072</v>
      </c>
      <c r="UEE77" s="277" t="s">
        <v>1072</v>
      </c>
      <c r="UEF77" s="277" t="s">
        <v>1072</v>
      </c>
      <c r="UEG77" s="277" t="s">
        <v>1072</v>
      </c>
      <c r="UEH77" s="277" t="s">
        <v>1072</v>
      </c>
      <c r="UEI77" s="277" t="s">
        <v>1072</v>
      </c>
      <c r="UEJ77" s="277" t="s">
        <v>1072</v>
      </c>
      <c r="UEK77" s="277" t="s">
        <v>1072</v>
      </c>
      <c r="UEL77" s="277" t="s">
        <v>1072</v>
      </c>
      <c r="UEM77" s="277" t="s">
        <v>1072</v>
      </c>
      <c r="UEN77" s="277" t="s">
        <v>1072</v>
      </c>
      <c r="UEO77" s="277" t="s">
        <v>1072</v>
      </c>
      <c r="UEP77" s="277" t="s">
        <v>1072</v>
      </c>
      <c r="UEQ77" s="277" t="s">
        <v>1072</v>
      </c>
      <c r="UER77" s="277" t="s">
        <v>1072</v>
      </c>
      <c r="UES77" s="277" t="s">
        <v>1072</v>
      </c>
      <c r="UET77" s="277" t="s">
        <v>1072</v>
      </c>
      <c r="UEU77" s="277" t="s">
        <v>1072</v>
      </c>
      <c r="UEV77" s="277" t="s">
        <v>1072</v>
      </c>
      <c r="UEW77" s="277" t="s">
        <v>1072</v>
      </c>
      <c r="UEX77" s="277" t="s">
        <v>1072</v>
      </c>
      <c r="UEY77" s="277" t="s">
        <v>1072</v>
      </c>
      <c r="UEZ77" s="277" t="s">
        <v>1072</v>
      </c>
      <c r="UFA77" s="277" t="s">
        <v>1072</v>
      </c>
      <c r="UFB77" s="277" t="s">
        <v>1072</v>
      </c>
      <c r="UFC77" s="277" t="s">
        <v>1072</v>
      </c>
      <c r="UFD77" s="277" t="s">
        <v>1072</v>
      </c>
      <c r="UFE77" s="277" t="s">
        <v>1072</v>
      </c>
      <c r="UFF77" s="277" t="s">
        <v>1072</v>
      </c>
      <c r="UFG77" s="277" t="s">
        <v>1072</v>
      </c>
      <c r="UFH77" s="277" t="s">
        <v>1072</v>
      </c>
      <c r="UFI77" s="277" t="s">
        <v>1072</v>
      </c>
      <c r="UFJ77" s="277" t="s">
        <v>1072</v>
      </c>
      <c r="UFK77" s="277" t="s">
        <v>1072</v>
      </c>
      <c r="UFL77" s="277" t="s">
        <v>1072</v>
      </c>
      <c r="UFM77" s="277" t="s">
        <v>1072</v>
      </c>
      <c r="UFN77" s="277" t="s">
        <v>1072</v>
      </c>
      <c r="UFO77" s="277" t="s">
        <v>1072</v>
      </c>
      <c r="UFP77" s="277" t="s">
        <v>1072</v>
      </c>
      <c r="UFQ77" s="277" t="s">
        <v>1072</v>
      </c>
      <c r="UFR77" s="277" t="s">
        <v>1072</v>
      </c>
      <c r="UFS77" s="277" t="s">
        <v>1072</v>
      </c>
      <c r="UFT77" s="277" t="s">
        <v>1072</v>
      </c>
      <c r="UFU77" s="277" t="s">
        <v>1072</v>
      </c>
      <c r="UFV77" s="277" t="s">
        <v>1072</v>
      </c>
      <c r="UFW77" s="277" t="s">
        <v>1072</v>
      </c>
      <c r="UFX77" s="277" t="s">
        <v>1072</v>
      </c>
      <c r="UFY77" s="277" t="s">
        <v>1072</v>
      </c>
      <c r="UFZ77" s="277" t="s">
        <v>1072</v>
      </c>
      <c r="UGA77" s="277" t="s">
        <v>1072</v>
      </c>
      <c r="UGB77" s="277" t="s">
        <v>1072</v>
      </c>
      <c r="UGC77" s="277" t="s">
        <v>1072</v>
      </c>
      <c r="UGD77" s="277" t="s">
        <v>1072</v>
      </c>
      <c r="UGE77" s="277" t="s">
        <v>1072</v>
      </c>
      <c r="UGF77" s="277" t="s">
        <v>1072</v>
      </c>
      <c r="UGG77" s="277" t="s">
        <v>1072</v>
      </c>
      <c r="UGH77" s="277" t="s">
        <v>1072</v>
      </c>
      <c r="UGI77" s="277" t="s">
        <v>1072</v>
      </c>
      <c r="UGJ77" s="277" t="s">
        <v>1072</v>
      </c>
      <c r="UGK77" s="277" t="s">
        <v>1072</v>
      </c>
      <c r="UGL77" s="277" t="s">
        <v>1072</v>
      </c>
      <c r="UGM77" s="277" t="s">
        <v>1072</v>
      </c>
      <c r="UGN77" s="277" t="s">
        <v>1072</v>
      </c>
      <c r="UGO77" s="277" t="s">
        <v>1072</v>
      </c>
      <c r="UGP77" s="277" t="s">
        <v>1072</v>
      </c>
      <c r="UGQ77" s="277" t="s">
        <v>1072</v>
      </c>
      <c r="UGR77" s="277" t="s">
        <v>1072</v>
      </c>
      <c r="UGS77" s="277" t="s">
        <v>1072</v>
      </c>
      <c r="UGT77" s="277" t="s">
        <v>1072</v>
      </c>
      <c r="UGU77" s="277" t="s">
        <v>1072</v>
      </c>
      <c r="UGV77" s="277" t="s">
        <v>1072</v>
      </c>
      <c r="UGW77" s="277" t="s">
        <v>1072</v>
      </c>
      <c r="UGX77" s="277" t="s">
        <v>1072</v>
      </c>
      <c r="UGY77" s="277" t="s">
        <v>1072</v>
      </c>
      <c r="UGZ77" s="277" t="s">
        <v>1072</v>
      </c>
      <c r="UHA77" s="277" t="s">
        <v>1072</v>
      </c>
      <c r="UHB77" s="277" t="s">
        <v>1072</v>
      </c>
      <c r="UHC77" s="277" t="s">
        <v>1072</v>
      </c>
      <c r="UHD77" s="277" t="s">
        <v>1072</v>
      </c>
      <c r="UHE77" s="277" t="s">
        <v>1072</v>
      </c>
      <c r="UHF77" s="277" t="s">
        <v>1072</v>
      </c>
      <c r="UHG77" s="277" t="s">
        <v>1072</v>
      </c>
      <c r="UHH77" s="277" t="s">
        <v>1072</v>
      </c>
      <c r="UHI77" s="277" t="s">
        <v>1072</v>
      </c>
      <c r="UHJ77" s="277" t="s">
        <v>1072</v>
      </c>
      <c r="UHK77" s="277" t="s">
        <v>1072</v>
      </c>
      <c r="UHL77" s="277" t="s">
        <v>1072</v>
      </c>
      <c r="UHM77" s="277" t="s">
        <v>1072</v>
      </c>
      <c r="UHN77" s="277" t="s">
        <v>1072</v>
      </c>
      <c r="UHO77" s="277" t="s">
        <v>1072</v>
      </c>
      <c r="UHP77" s="277" t="s">
        <v>1072</v>
      </c>
      <c r="UHQ77" s="277" t="s">
        <v>1072</v>
      </c>
      <c r="UHR77" s="277" t="s">
        <v>1072</v>
      </c>
      <c r="UHS77" s="277" t="s">
        <v>1072</v>
      </c>
      <c r="UHT77" s="277" t="s">
        <v>1072</v>
      </c>
      <c r="UHU77" s="277" t="s">
        <v>1072</v>
      </c>
      <c r="UHV77" s="277" t="s">
        <v>1072</v>
      </c>
      <c r="UHW77" s="277" t="s">
        <v>1072</v>
      </c>
      <c r="UHX77" s="277" t="s">
        <v>1072</v>
      </c>
      <c r="UHY77" s="277" t="s">
        <v>1072</v>
      </c>
      <c r="UHZ77" s="277" t="s">
        <v>1072</v>
      </c>
      <c r="UIA77" s="277" t="s">
        <v>1072</v>
      </c>
      <c r="UIB77" s="277" t="s">
        <v>1072</v>
      </c>
      <c r="UIC77" s="277" t="s">
        <v>1072</v>
      </c>
      <c r="UID77" s="277" t="s">
        <v>1072</v>
      </c>
      <c r="UIE77" s="277" t="s">
        <v>1072</v>
      </c>
      <c r="UIF77" s="277" t="s">
        <v>1072</v>
      </c>
      <c r="UIG77" s="277" t="s">
        <v>1072</v>
      </c>
      <c r="UIH77" s="277" t="s">
        <v>1072</v>
      </c>
      <c r="UII77" s="277" t="s">
        <v>1072</v>
      </c>
      <c r="UIJ77" s="277" t="s">
        <v>1072</v>
      </c>
      <c r="UIK77" s="277" t="s">
        <v>1072</v>
      </c>
      <c r="UIL77" s="277" t="s">
        <v>1072</v>
      </c>
      <c r="UIM77" s="277" t="s">
        <v>1072</v>
      </c>
      <c r="UIN77" s="277" t="s">
        <v>1072</v>
      </c>
      <c r="UIO77" s="277" t="s">
        <v>1072</v>
      </c>
      <c r="UIP77" s="277" t="s">
        <v>1072</v>
      </c>
      <c r="UIQ77" s="277" t="s">
        <v>1072</v>
      </c>
      <c r="UIR77" s="277" t="s">
        <v>1072</v>
      </c>
      <c r="UIS77" s="277" t="s">
        <v>1072</v>
      </c>
      <c r="UIT77" s="277" t="s">
        <v>1072</v>
      </c>
      <c r="UIU77" s="277" t="s">
        <v>1072</v>
      </c>
      <c r="UIV77" s="277" t="s">
        <v>1072</v>
      </c>
      <c r="UIW77" s="277" t="s">
        <v>1072</v>
      </c>
      <c r="UIX77" s="277" t="s">
        <v>1072</v>
      </c>
      <c r="UIY77" s="277" t="s">
        <v>1072</v>
      </c>
      <c r="UIZ77" s="277" t="s">
        <v>1072</v>
      </c>
      <c r="UJA77" s="277" t="s">
        <v>1072</v>
      </c>
      <c r="UJB77" s="277" t="s">
        <v>1072</v>
      </c>
      <c r="UJC77" s="277" t="s">
        <v>1072</v>
      </c>
      <c r="UJD77" s="277" t="s">
        <v>1072</v>
      </c>
      <c r="UJE77" s="277" t="s">
        <v>1072</v>
      </c>
      <c r="UJF77" s="277" t="s">
        <v>1072</v>
      </c>
      <c r="UJG77" s="277" t="s">
        <v>1072</v>
      </c>
      <c r="UJH77" s="277" t="s">
        <v>1072</v>
      </c>
      <c r="UJI77" s="277" t="s">
        <v>1072</v>
      </c>
      <c r="UJJ77" s="277" t="s">
        <v>1072</v>
      </c>
      <c r="UJK77" s="277" t="s">
        <v>1072</v>
      </c>
      <c r="UJL77" s="277" t="s">
        <v>1072</v>
      </c>
      <c r="UJM77" s="277" t="s">
        <v>1072</v>
      </c>
      <c r="UJN77" s="277" t="s">
        <v>1072</v>
      </c>
      <c r="UJO77" s="277" t="s">
        <v>1072</v>
      </c>
      <c r="UJP77" s="277" t="s">
        <v>1072</v>
      </c>
      <c r="UJQ77" s="277" t="s">
        <v>1072</v>
      </c>
      <c r="UJR77" s="277" t="s">
        <v>1072</v>
      </c>
      <c r="UJS77" s="277" t="s">
        <v>1072</v>
      </c>
      <c r="UJT77" s="277" t="s">
        <v>1072</v>
      </c>
      <c r="UJU77" s="277" t="s">
        <v>1072</v>
      </c>
      <c r="UJV77" s="277" t="s">
        <v>1072</v>
      </c>
      <c r="UJW77" s="277" t="s">
        <v>1072</v>
      </c>
      <c r="UJX77" s="277" t="s">
        <v>1072</v>
      </c>
      <c r="UJY77" s="277" t="s">
        <v>1072</v>
      </c>
      <c r="UJZ77" s="277" t="s">
        <v>1072</v>
      </c>
      <c r="UKA77" s="277" t="s">
        <v>1072</v>
      </c>
      <c r="UKB77" s="277" t="s">
        <v>1072</v>
      </c>
      <c r="UKC77" s="277" t="s">
        <v>1072</v>
      </c>
      <c r="UKD77" s="277" t="s">
        <v>1072</v>
      </c>
      <c r="UKE77" s="277" t="s">
        <v>1072</v>
      </c>
      <c r="UKF77" s="277" t="s">
        <v>1072</v>
      </c>
      <c r="UKG77" s="277" t="s">
        <v>1072</v>
      </c>
      <c r="UKH77" s="277" t="s">
        <v>1072</v>
      </c>
      <c r="UKI77" s="277" t="s">
        <v>1072</v>
      </c>
      <c r="UKJ77" s="277" t="s">
        <v>1072</v>
      </c>
      <c r="UKK77" s="277" t="s">
        <v>1072</v>
      </c>
      <c r="UKL77" s="277" t="s">
        <v>1072</v>
      </c>
      <c r="UKM77" s="277" t="s">
        <v>1072</v>
      </c>
      <c r="UKN77" s="277" t="s">
        <v>1072</v>
      </c>
      <c r="UKO77" s="277" t="s">
        <v>1072</v>
      </c>
      <c r="UKP77" s="277" t="s">
        <v>1072</v>
      </c>
      <c r="UKQ77" s="277" t="s">
        <v>1072</v>
      </c>
      <c r="UKR77" s="277" t="s">
        <v>1072</v>
      </c>
      <c r="UKS77" s="277" t="s">
        <v>1072</v>
      </c>
      <c r="UKT77" s="277" t="s">
        <v>1072</v>
      </c>
      <c r="UKU77" s="277" t="s">
        <v>1072</v>
      </c>
      <c r="UKV77" s="277" t="s">
        <v>1072</v>
      </c>
      <c r="UKW77" s="277" t="s">
        <v>1072</v>
      </c>
      <c r="UKX77" s="277" t="s">
        <v>1072</v>
      </c>
      <c r="UKY77" s="277" t="s">
        <v>1072</v>
      </c>
      <c r="UKZ77" s="277" t="s">
        <v>1072</v>
      </c>
      <c r="ULA77" s="277" t="s">
        <v>1072</v>
      </c>
      <c r="ULB77" s="277" t="s">
        <v>1072</v>
      </c>
      <c r="ULC77" s="277" t="s">
        <v>1072</v>
      </c>
      <c r="ULD77" s="277" t="s">
        <v>1072</v>
      </c>
      <c r="ULE77" s="277" t="s">
        <v>1072</v>
      </c>
      <c r="ULF77" s="277" t="s">
        <v>1072</v>
      </c>
      <c r="ULG77" s="277" t="s">
        <v>1072</v>
      </c>
      <c r="ULH77" s="277" t="s">
        <v>1072</v>
      </c>
      <c r="ULI77" s="277" t="s">
        <v>1072</v>
      </c>
      <c r="ULJ77" s="277" t="s">
        <v>1072</v>
      </c>
      <c r="ULK77" s="277" t="s">
        <v>1072</v>
      </c>
      <c r="ULL77" s="277" t="s">
        <v>1072</v>
      </c>
      <c r="ULM77" s="277" t="s">
        <v>1072</v>
      </c>
      <c r="ULN77" s="277" t="s">
        <v>1072</v>
      </c>
      <c r="ULO77" s="277" t="s">
        <v>1072</v>
      </c>
      <c r="ULP77" s="277" t="s">
        <v>1072</v>
      </c>
      <c r="ULQ77" s="277" t="s">
        <v>1072</v>
      </c>
      <c r="ULR77" s="277" t="s">
        <v>1072</v>
      </c>
      <c r="ULS77" s="277" t="s">
        <v>1072</v>
      </c>
      <c r="ULT77" s="277" t="s">
        <v>1072</v>
      </c>
      <c r="ULU77" s="277" t="s">
        <v>1072</v>
      </c>
      <c r="ULV77" s="277" t="s">
        <v>1072</v>
      </c>
      <c r="ULW77" s="277" t="s">
        <v>1072</v>
      </c>
      <c r="ULX77" s="277" t="s">
        <v>1072</v>
      </c>
      <c r="ULY77" s="277" t="s">
        <v>1072</v>
      </c>
      <c r="ULZ77" s="277" t="s">
        <v>1072</v>
      </c>
      <c r="UMA77" s="277" t="s">
        <v>1072</v>
      </c>
      <c r="UMB77" s="277" t="s">
        <v>1072</v>
      </c>
      <c r="UMC77" s="277" t="s">
        <v>1072</v>
      </c>
      <c r="UMD77" s="277" t="s">
        <v>1072</v>
      </c>
      <c r="UME77" s="277" t="s">
        <v>1072</v>
      </c>
      <c r="UMF77" s="277" t="s">
        <v>1072</v>
      </c>
      <c r="UMG77" s="277" t="s">
        <v>1072</v>
      </c>
      <c r="UMH77" s="277" t="s">
        <v>1072</v>
      </c>
      <c r="UMI77" s="277" t="s">
        <v>1072</v>
      </c>
      <c r="UMJ77" s="277" t="s">
        <v>1072</v>
      </c>
      <c r="UMK77" s="277" t="s">
        <v>1072</v>
      </c>
      <c r="UML77" s="277" t="s">
        <v>1072</v>
      </c>
      <c r="UMM77" s="277" t="s">
        <v>1072</v>
      </c>
      <c r="UMN77" s="277" t="s">
        <v>1072</v>
      </c>
      <c r="UMO77" s="277" t="s">
        <v>1072</v>
      </c>
      <c r="UMP77" s="277" t="s">
        <v>1072</v>
      </c>
      <c r="UMQ77" s="277" t="s">
        <v>1072</v>
      </c>
      <c r="UMR77" s="277" t="s">
        <v>1072</v>
      </c>
      <c r="UMS77" s="277" t="s">
        <v>1072</v>
      </c>
      <c r="UMT77" s="277" t="s">
        <v>1072</v>
      </c>
      <c r="UMU77" s="277" t="s">
        <v>1072</v>
      </c>
      <c r="UMV77" s="277" t="s">
        <v>1072</v>
      </c>
      <c r="UMW77" s="277" t="s">
        <v>1072</v>
      </c>
      <c r="UMX77" s="277" t="s">
        <v>1072</v>
      </c>
      <c r="UMY77" s="277" t="s">
        <v>1072</v>
      </c>
      <c r="UMZ77" s="277" t="s">
        <v>1072</v>
      </c>
      <c r="UNA77" s="277" t="s">
        <v>1072</v>
      </c>
      <c r="UNB77" s="277" t="s">
        <v>1072</v>
      </c>
      <c r="UNC77" s="277" t="s">
        <v>1072</v>
      </c>
      <c r="UND77" s="277" t="s">
        <v>1072</v>
      </c>
      <c r="UNE77" s="277" t="s">
        <v>1072</v>
      </c>
      <c r="UNF77" s="277" t="s">
        <v>1072</v>
      </c>
      <c r="UNG77" s="277" t="s">
        <v>1072</v>
      </c>
      <c r="UNH77" s="277" t="s">
        <v>1072</v>
      </c>
      <c r="UNI77" s="277" t="s">
        <v>1072</v>
      </c>
      <c r="UNJ77" s="277" t="s">
        <v>1072</v>
      </c>
      <c r="UNK77" s="277" t="s">
        <v>1072</v>
      </c>
      <c r="UNL77" s="277" t="s">
        <v>1072</v>
      </c>
      <c r="UNM77" s="277" t="s">
        <v>1072</v>
      </c>
      <c r="UNN77" s="277" t="s">
        <v>1072</v>
      </c>
      <c r="UNO77" s="277" t="s">
        <v>1072</v>
      </c>
      <c r="UNP77" s="277" t="s">
        <v>1072</v>
      </c>
      <c r="UNQ77" s="277" t="s">
        <v>1072</v>
      </c>
      <c r="UNR77" s="277" t="s">
        <v>1072</v>
      </c>
      <c r="UNS77" s="277" t="s">
        <v>1072</v>
      </c>
      <c r="UNT77" s="277" t="s">
        <v>1072</v>
      </c>
      <c r="UNU77" s="277" t="s">
        <v>1072</v>
      </c>
      <c r="UNV77" s="277" t="s">
        <v>1072</v>
      </c>
      <c r="UNW77" s="277" t="s">
        <v>1072</v>
      </c>
      <c r="UNX77" s="277" t="s">
        <v>1072</v>
      </c>
      <c r="UNY77" s="277" t="s">
        <v>1072</v>
      </c>
      <c r="UNZ77" s="277" t="s">
        <v>1072</v>
      </c>
      <c r="UOA77" s="277" t="s">
        <v>1072</v>
      </c>
      <c r="UOB77" s="277" t="s">
        <v>1072</v>
      </c>
      <c r="UOC77" s="277" t="s">
        <v>1072</v>
      </c>
      <c r="UOD77" s="277" t="s">
        <v>1072</v>
      </c>
      <c r="UOE77" s="277" t="s">
        <v>1072</v>
      </c>
      <c r="UOF77" s="277" t="s">
        <v>1072</v>
      </c>
      <c r="UOG77" s="277" t="s">
        <v>1072</v>
      </c>
      <c r="UOH77" s="277" t="s">
        <v>1072</v>
      </c>
      <c r="UOI77" s="277" t="s">
        <v>1072</v>
      </c>
      <c r="UOJ77" s="277" t="s">
        <v>1072</v>
      </c>
      <c r="UOK77" s="277" t="s">
        <v>1072</v>
      </c>
      <c r="UOL77" s="277" t="s">
        <v>1072</v>
      </c>
      <c r="UOM77" s="277" t="s">
        <v>1072</v>
      </c>
      <c r="UON77" s="277" t="s">
        <v>1072</v>
      </c>
      <c r="UOO77" s="277" t="s">
        <v>1072</v>
      </c>
      <c r="UOP77" s="277" t="s">
        <v>1072</v>
      </c>
      <c r="UOQ77" s="277" t="s">
        <v>1072</v>
      </c>
      <c r="UOR77" s="277" t="s">
        <v>1072</v>
      </c>
      <c r="UOS77" s="277" t="s">
        <v>1072</v>
      </c>
      <c r="UOT77" s="277" t="s">
        <v>1072</v>
      </c>
      <c r="UOU77" s="277" t="s">
        <v>1072</v>
      </c>
      <c r="UOV77" s="277" t="s">
        <v>1072</v>
      </c>
      <c r="UOW77" s="277" t="s">
        <v>1072</v>
      </c>
      <c r="UOX77" s="277" t="s">
        <v>1072</v>
      </c>
      <c r="UOY77" s="277" t="s">
        <v>1072</v>
      </c>
      <c r="UOZ77" s="277" t="s">
        <v>1072</v>
      </c>
      <c r="UPA77" s="277" t="s">
        <v>1072</v>
      </c>
      <c r="UPB77" s="277" t="s">
        <v>1072</v>
      </c>
      <c r="UPC77" s="277" t="s">
        <v>1072</v>
      </c>
      <c r="UPD77" s="277" t="s">
        <v>1072</v>
      </c>
      <c r="UPE77" s="277" t="s">
        <v>1072</v>
      </c>
      <c r="UPF77" s="277" t="s">
        <v>1072</v>
      </c>
      <c r="UPG77" s="277" t="s">
        <v>1072</v>
      </c>
      <c r="UPH77" s="277" t="s">
        <v>1072</v>
      </c>
      <c r="UPI77" s="277" t="s">
        <v>1072</v>
      </c>
      <c r="UPJ77" s="277" t="s">
        <v>1072</v>
      </c>
      <c r="UPK77" s="277" t="s">
        <v>1072</v>
      </c>
      <c r="UPL77" s="277" t="s">
        <v>1072</v>
      </c>
      <c r="UPM77" s="277" t="s">
        <v>1072</v>
      </c>
      <c r="UPN77" s="277" t="s">
        <v>1072</v>
      </c>
      <c r="UPO77" s="277" t="s">
        <v>1072</v>
      </c>
      <c r="UPP77" s="277" t="s">
        <v>1072</v>
      </c>
      <c r="UPQ77" s="277" t="s">
        <v>1072</v>
      </c>
      <c r="UPR77" s="277" t="s">
        <v>1072</v>
      </c>
      <c r="UPS77" s="277" t="s">
        <v>1072</v>
      </c>
      <c r="UPT77" s="277" t="s">
        <v>1072</v>
      </c>
      <c r="UPU77" s="277" t="s">
        <v>1072</v>
      </c>
      <c r="UPV77" s="277" t="s">
        <v>1072</v>
      </c>
      <c r="UPW77" s="277" t="s">
        <v>1072</v>
      </c>
      <c r="UPX77" s="277" t="s">
        <v>1072</v>
      </c>
      <c r="UPY77" s="277" t="s">
        <v>1072</v>
      </c>
      <c r="UPZ77" s="277" t="s">
        <v>1072</v>
      </c>
      <c r="UQA77" s="277" t="s">
        <v>1072</v>
      </c>
      <c r="UQB77" s="277" t="s">
        <v>1072</v>
      </c>
      <c r="UQC77" s="277" t="s">
        <v>1072</v>
      </c>
      <c r="UQD77" s="277" t="s">
        <v>1072</v>
      </c>
      <c r="UQE77" s="277" t="s">
        <v>1072</v>
      </c>
      <c r="UQF77" s="277" t="s">
        <v>1072</v>
      </c>
      <c r="UQG77" s="277" t="s">
        <v>1072</v>
      </c>
      <c r="UQH77" s="277" t="s">
        <v>1072</v>
      </c>
      <c r="UQI77" s="277" t="s">
        <v>1072</v>
      </c>
      <c r="UQJ77" s="277" t="s">
        <v>1072</v>
      </c>
      <c r="UQK77" s="277" t="s">
        <v>1072</v>
      </c>
      <c r="UQL77" s="277" t="s">
        <v>1072</v>
      </c>
      <c r="UQM77" s="277" t="s">
        <v>1072</v>
      </c>
      <c r="UQN77" s="277" t="s">
        <v>1072</v>
      </c>
      <c r="UQO77" s="277" t="s">
        <v>1072</v>
      </c>
      <c r="UQP77" s="277" t="s">
        <v>1072</v>
      </c>
      <c r="UQQ77" s="277" t="s">
        <v>1072</v>
      </c>
      <c r="UQR77" s="277" t="s">
        <v>1072</v>
      </c>
      <c r="UQS77" s="277" t="s">
        <v>1072</v>
      </c>
      <c r="UQT77" s="277" t="s">
        <v>1072</v>
      </c>
      <c r="UQU77" s="277" t="s">
        <v>1072</v>
      </c>
      <c r="UQV77" s="277" t="s">
        <v>1072</v>
      </c>
      <c r="UQW77" s="277" t="s">
        <v>1072</v>
      </c>
      <c r="UQX77" s="277" t="s">
        <v>1072</v>
      </c>
      <c r="UQY77" s="277" t="s">
        <v>1072</v>
      </c>
      <c r="UQZ77" s="277" t="s">
        <v>1072</v>
      </c>
      <c r="URA77" s="277" t="s">
        <v>1072</v>
      </c>
      <c r="URB77" s="277" t="s">
        <v>1072</v>
      </c>
      <c r="URC77" s="277" t="s">
        <v>1072</v>
      </c>
      <c r="URD77" s="277" t="s">
        <v>1072</v>
      </c>
      <c r="URE77" s="277" t="s">
        <v>1072</v>
      </c>
      <c r="URF77" s="277" t="s">
        <v>1072</v>
      </c>
      <c r="URG77" s="277" t="s">
        <v>1072</v>
      </c>
      <c r="URH77" s="277" t="s">
        <v>1072</v>
      </c>
      <c r="URI77" s="277" t="s">
        <v>1072</v>
      </c>
      <c r="URJ77" s="277" t="s">
        <v>1072</v>
      </c>
      <c r="URK77" s="277" t="s">
        <v>1072</v>
      </c>
      <c r="URL77" s="277" t="s">
        <v>1072</v>
      </c>
      <c r="URM77" s="277" t="s">
        <v>1072</v>
      </c>
      <c r="URN77" s="277" t="s">
        <v>1072</v>
      </c>
      <c r="URO77" s="277" t="s">
        <v>1072</v>
      </c>
      <c r="URP77" s="277" t="s">
        <v>1072</v>
      </c>
      <c r="URQ77" s="277" t="s">
        <v>1072</v>
      </c>
      <c r="URR77" s="277" t="s">
        <v>1072</v>
      </c>
      <c r="URS77" s="277" t="s">
        <v>1072</v>
      </c>
      <c r="URT77" s="277" t="s">
        <v>1072</v>
      </c>
      <c r="URU77" s="277" t="s">
        <v>1072</v>
      </c>
      <c r="URV77" s="277" t="s">
        <v>1072</v>
      </c>
      <c r="URW77" s="277" t="s">
        <v>1072</v>
      </c>
      <c r="URX77" s="277" t="s">
        <v>1072</v>
      </c>
      <c r="URY77" s="277" t="s">
        <v>1072</v>
      </c>
      <c r="URZ77" s="277" t="s">
        <v>1072</v>
      </c>
      <c r="USA77" s="277" t="s">
        <v>1072</v>
      </c>
      <c r="USB77" s="277" t="s">
        <v>1072</v>
      </c>
      <c r="USC77" s="277" t="s">
        <v>1072</v>
      </c>
      <c r="USD77" s="277" t="s">
        <v>1072</v>
      </c>
      <c r="USE77" s="277" t="s">
        <v>1072</v>
      </c>
      <c r="USF77" s="277" t="s">
        <v>1072</v>
      </c>
      <c r="USG77" s="277" t="s">
        <v>1072</v>
      </c>
      <c r="USH77" s="277" t="s">
        <v>1072</v>
      </c>
      <c r="USI77" s="277" t="s">
        <v>1072</v>
      </c>
      <c r="USJ77" s="277" t="s">
        <v>1072</v>
      </c>
      <c r="USK77" s="277" t="s">
        <v>1072</v>
      </c>
      <c r="USL77" s="277" t="s">
        <v>1072</v>
      </c>
      <c r="USM77" s="277" t="s">
        <v>1072</v>
      </c>
      <c r="USN77" s="277" t="s">
        <v>1072</v>
      </c>
      <c r="USO77" s="277" t="s">
        <v>1072</v>
      </c>
      <c r="USP77" s="277" t="s">
        <v>1072</v>
      </c>
      <c r="USQ77" s="277" t="s">
        <v>1072</v>
      </c>
      <c r="USR77" s="277" t="s">
        <v>1072</v>
      </c>
      <c r="USS77" s="277" t="s">
        <v>1072</v>
      </c>
      <c r="UST77" s="277" t="s">
        <v>1072</v>
      </c>
      <c r="USU77" s="277" t="s">
        <v>1072</v>
      </c>
      <c r="USV77" s="277" t="s">
        <v>1072</v>
      </c>
      <c r="USW77" s="277" t="s">
        <v>1072</v>
      </c>
      <c r="USX77" s="277" t="s">
        <v>1072</v>
      </c>
      <c r="USY77" s="277" t="s">
        <v>1072</v>
      </c>
      <c r="USZ77" s="277" t="s">
        <v>1072</v>
      </c>
      <c r="UTA77" s="277" t="s">
        <v>1072</v>
      </c>
      <c r="UTB77" s="277" t="s">
        <v>1072</v>
      </c>
      <c r="UTC77" s="277" t="s">
        <v>1072</v>
      </c>
      <c r="UTD77" s="277" t="s">
        <v>1072</v>
      </c>
      <c r="UTE77" s="277" t="s">
        <v>1072</v>
      </c>
      <c r="UTF77" s="277" t="s">
        <v>1072</v>
      </c>
      <c r="UTG77" s="277" t="s">
        <v>1072</v>
      </c>
      <c r="UTH77" s="277" t="s">
        <v>1072</v>
      </c>
      <c r="UTI77" s="277" t="s">
        <v>1072</v>
      </c>
      <c r="UTJ77" s="277" t="s">
        <v>1072</v>
      </c>
      <c r="UTK77" s="277" t="s">
        <v>1072</v>
      </c>
      <c r="UTL77" s="277" t="s">
        <v>1072</v>
      </c>
      <c r="UTM77" s="277" t="s">
        <v>1072</v>
      </c>
      <c r="UTN77" s="277" t="s">
        <v>1072</v>
      </c>
      <c r="UTO77" s="277" t="s">
        <v>1072</v>
      </c>
      <c r="UTP77" s="277" t="s">
        <v>1072</v>
      </c>
      <c r="UTQ77" s="277" t="s">
        <v>1072</v>
      </c>
      <c r="UTR77" s="277" t="s">
        <v>1072</v>
      </c>
      <c r="UTS77" s="277" t="s">
        <v>1072</v>
      </c>
      <c r="UTT77" s="277" t="s">
        <v>1072</v>
      </c>
      <c r="UTU77" s="277" t="s">
        <v>1072</v>
      </c>
      <c r="UTV77" s="277" t="s">
        <v>1072</v>
      </c>
      <c r="UTW77" s="277" t="s">
        <v>1072</v>
      </c>
      <c r="UTX77" s="277" t="s">
        <v>1072</v>
      </c>
      <c r="UTY77" s="277" t="s">
        <v>1072</v>
      </c>
      <c r="UTZ77" s="277" t="s">
        <v>1072</v>
      </c>
      <c r="UUA77" s="277" t="s">
        <v>1072</v>
      </c>
      <c r="UUB77" s="277" t="s">
        <v>1072</v>
      </c>
      <c r="UUC77" s="277" t="s">
        <v>1072</v>
      </c>
      <c r="UUD77" s="277" t="s">
        <v>1072</v>
      </c>
      <c r="UUE77" s="277" t="s">
        <v>1072</v>
      </c>
      <c r="UUF77" s="277" t="s">
        <v>1072</v>
      </c>
      <c r="UUG77" s="277" t="s">
        <v>1072</v>
      </c>
      <c r="UUH77" s="277" t="s">
        <v>1072</v>
      </c>
      <c r="UUI77" s="277" t="s">
        <v>1072</v>
      </c>
      <c r="UUJ77" s="277" t="s">
        <v>1072</v>
      </c>
      <c r="UUK77" s="277" t="s">
        <v>1072</v>
      </c>
      <c r="UUL77" s="277" t="s">
        <v>1072</v>
      </c>
      <c r="UUM77" s="277" t="s">
        <v>1072</v>
      </c>
      <c r="UUN77" s="277" t="s">
        <v>1072</v>
      </c>
      <c r="UUO77" s="277" t="s">
        <v>1072</v>
      </c>
      <c r="UUP77" s="277" t="s">
        <v>1072</v>
      </c>
      <c r="UUQ77" s="277" t="s">
        <v>1072</v>
      </c>
      <c r="UUR77" s="277" t="s">
        <v>1072</v>
      </c>
      <c r="UUS77" s="277" t="s">
        <v>1072</v>
      </c>
      <c r="UUT77" s="277" t="s">
        <v>1072</v>
      </c>
      <c r="UUU77" s="277" t="s">
        <v>1072</v>
      </c>
      <c r="UUV77" s="277" t="s">
        <v>1072</v>
      </c>
      <c r="UUW77" s="277" t="s">
        <v>1072</v>
      </c>
      <c r="UUX77" s="277" t="s">
        <v>1072</v>
      </c>
      <c r="UUY77" s="277" t="s">
        <v>1072</v>
      </c>
      <c r="UUZ77" s="277" t="s">
        <v>1072</v>
      </c>
      <c r="UVA77" s="277" t="s">
        <v>1072</v>
      </c>
      <c r="UVB77" s="277" t="s">
        <v>1072</v>
      </c>
      <c r="UVC77" s="277" t="s">
        <v>1072</v>
      </c>
      <c r="UVD77" s="277" t="s">
        <v>1072</v>
      </c>
      <c r="UVE77" s="277" t="s">
        <v>1072</v>
      </c>
      <c r="UVF77" s="277" t="s">
        <v>1072</v>
      </c>
      <c r="UVG77" s="277" t="s">
        <v>1072</v>
      </c>
      <c r="UVH77" s="277" t="s">
        <v>1072</v>
      </c>
      <c r="UVI77" s="277" t="s">
        <v>1072</v>
      </c>
      <c r="UVJ77" s="277" t="s">
        <v>1072</v>
      </c>
      <c r="UVK77" s="277" t="s">
        <v>1072</v>
      </c>
      <c r="UVL77" s="277" t="s">
        <v>1072</v>
      </c>
      <c r="UVM77" s="277" t="s">
        <v>1072</v>
      </c>
      <c r="UVN77" s="277" t="s">
        <v>1072</v>
      </c>
      <c r="UVO77" s="277" t="s">
        <v>1072</v>
      </c>
      <c r="UVP77" s="277" t="s">
        <v>1072</v>
      </c>
      <c r="UVQ77" s="277" t="s">
        <v>1072</v>
      </c>
      <c r="UVR77" s="277" t="s">
        <v>1072</v>
      </c>
      <c r="UVS77" s="277" t="s">
        <v>1072</v>
      </c>
      <c r="UVT77" s="277" t="s">
        <v>1072</v>
      </c>
      <c r="UVU77" s="277" t="s">
        <v>1072</v>
      </c>
      <c r="UVV77" s="277" t="s">
        <v>1072</v>
      </c>
      <c r="UVW77" s="277" t="s">
        <v>1072</v>
      </c>
      <c r="UVX77" s="277" t="s">
        <v>1072</v>
      </c>
      <c r="UVY77" s="277" t="s">
        <v>1072</v>
      </c>
      <c r="UVZ77" s="277" t="s">
        <v>1072</v>
      </c>
      <c r="UWA77" s="277" t="s">
        <v>1072</v>
      </c>
      <c r="UWB77" s="277" t="s">
        <v>1072</v>
      </c>
      <c r="UWC77" s="277" t="s">
        <v>1072</v>
      </c>
      <c r="UWD77" s="277" t="s">
        <v>1072</v>
      </c>
      <c r="UWE77" s="277" t="s">
        <v>1072</v>
      </c>
      <c r="UWF77" s="277" t="s">
        <v>1072</v>
      </c>
      <c r="UWG77" s="277" t="s">
        <v>1072</v>
      </c>
      <c r="UWH77" s="277" t="s">
        <v>1072</v>
      </c>
      <c r="UWI77" s="277" t="s">
        <v>1072</v>
      </c>
      <c r="UWJ77" s="277" t="s">
        <v>1072</v>
      </c>
      <c r="UWK77" s="277" t="s">
        <v>1072</v>
      </c>
      <c r="UWL77" s="277" t="s">
        <v>1072</v>
      </c>
      <c r="UWM77" s="277" t="s">
        <v>1072</v>
      </c>
      <c r="UWN77" s="277" t="s">
        <v>1072</v>
      </c>
      <c r="UWO77" s="277" t="s">
        <v>1072</v>
      </c>
      <c r="UWP77" s="277" t="s">
        <v>1072</v>
      </c>
      <c r="UWQ77" s="277" t="s">
        <v>1072</v>
      </c>
      <c r="UWR77" s="277" t="s">
        <v>1072</v>
      </c>
      <c r="UWS77" s="277" t="s">
        <v>1072</v>
      </c>
      <c r="UWT77" s="277" t="s">
        <v>1072</v>
      </c>
      <c r="UWU77" s="277" t="s">
        <v>1072</v>
      </c>
      <c r="UWV77" s="277" t="s">
        <v>1072</v>
      </c>
      <c r="UWW77" s="277" t="s">
        <v>1072</v>
      </c>
      <c r="UWX77" s="277" t="s">
        <v>1072</v>
      </c>
      <c r="UWY77" s="277" t="s">
        <v>1072</v>
      </c>
      <c r="UWZ77" s="277" t="s">
        <v>1072</v>
      </c>
      <c r="UXA77" s="277" t="s">
        <v>1072</v>
      </c>
      <c r="UXB77" s="277" t="s">
        <v>1072</v>
      </c>
      <c r="UXC77" s="277" t="s">
        <v>1072</v>
      </c>
      <c r="UXD77" s="277" t="s">
        <v>1072</v>
      </c>
      <c r="UXE77" s="277" t="s">
        <v>1072</v>
      </c>
      <c r="UXF77" s="277" t="s">
        <v>1072</v>
      </c>
      <c r="UXG77" s="277" t="s">
        <v>1072</v>
      </c>
      <c r="UXH77" s="277" t="s">
        <v>1072</v>
      </c>
      <c r="UXI77" s="277" t="s">
        <v>1072</v>
      </c>
      <c r="UXJ77" s="277" t="s">
        <v>1072</v>
      </c>
      <c r="UXK77" s="277" t="s">
        <v>1072</v>
      </c>
      <c r="UXL77" s="277" t="s">
        <v>1072</v>
      </c>
      <c r="UXM77" s="277" t="s">
        <v>1072</v>
      </c>
      <c r="UXN77" s="277" t="s">
        <v>1072</v>
      </c>
      <c r="UXO77" s="277" t="s">
        <v>1072</v>
      </c>
      <c r="UXP77" s="277" t="s">
        <v>1072</v>
      </c>
      <c r="UXQ77" s="277" t="s">
        <v>1072</v>
      </c>
      <c r="UXR77" s="277" t="s">
        <v>1072</v>
      </c>
      <c r="UXS77" s="277" t="s">
        <v>1072</v>
      </c>
      <c r="UXT77" s="277" t="s">
        <v>1072</v>
      </c>
      <c r="UXU77" s="277" t="s">
        <v>1072</v>
      </c>
      <c r="UXV77" s="277" t="s">
        <v>1072</v>
      </c>
      <c r="UXW77" s="277" t="s">
        <v>1072</v>
      </c>
      <c r="UXX77" s="277" t="s">
        <v>1072</v>
      </c>
      <c r="UXY77" s="277" t="s">
        <v>1072</v>
      </c>
      <c r="UXZ77" s="277" t="s">
        <v>1072</v>
      </c>
      <c r="UYA77" s="277" t="s">
        <v>1072</v>
      </c>
      <c r="UYB77" s="277" t="s">
        <v>1072</v>
      </c>
      <c r="UYC77" s="277" t="s">
        <v>1072</v>
      </c>
      <c r="UYD77" s="277" t="s">
        <v>1072</v>
      </c>
      <c r="UYE77" s="277" t="s">
        <v>1072</v>
      </c>
      <c r="UYF77" s="277" t="s">
        <v>1072</v>
      </c>
      <c r="UYG77" s="277" t="s">
        <v>1072</v>
      </c>
      <c r="UYH77" s="277" t="s">
        <v>1072</v>
      </c>
      <c r="UYI77" s="277" t="s">
        <v>1072</v>
      </c>
      <c r="UYJ77" s="277" t="s">
        <v>1072</v>
      </c>
      <c r="UYK77" s="277" t="s">
        <v>1072</v>
      </c>
      <c r="UYL77" s="277" t="s">
        <v>1072</v>
      </c>
      <c r="UYM77" s="277" t="s">
        <v>1072</v>
      </c>
      <c r="UYN77" s="277" t="s">
        <v>1072</v>
      </c>
      <c r="UYO77" s="277" t="s">
        <v>1072</v>
      </c>
      <c r="UYP77" s="277" t="s">
        <v>1072</v>
      </c>
      <c r="UYQ77" s="277" t="s">
        <v>1072</v>
      </c>
      <c r="UYR77" s="277" t="s">
        <v>1072</v>
      </c>
      <c r="UYS77" s="277" t="s">
        <v>1072</v>
      </c>
      <c r="UYT77" s="277" t="s">
        <v>1072</v>
      </c>
      <c r="UYU77" s="277" t="s">
        <v>1072</v>
      </c>
      <c r="UYV77" s="277" t="s">
        <v>1072</v>
      </c>
      <c r="UYW77" s="277" t="s">
        <v>1072</v>
      </c>
      <c r="UYX77" s="277" t="s">
        <v>1072</v>
      </c>
      <c r="UYY77" s="277" t="s">
        <v>1072</v>
      </c>
      <c r="UYZ77" s="277" t="s">
        <v>1072</v>
      </c>
      <c r="UZA77" s="277" t="s">
        <v>1072</v>
      </c>
      <c r="UZB77" s="277" t="s">
        <v>1072</v>
      </c>
      <c r="UZC77" s="277" t="s">
        <v>1072</v>
      </c>
      <c r="UZD77" s="277" t="s">
        <v>1072</v>
      </c>
      <c r="UZE77" s="277" t="s">
        <v>1072</v>
      </c>
      <c r="UZF77" s="277" t="s">
        <v>1072</v>
      </c>
      <c r="UZG77" s="277" t="s">
        <v>1072</v>
      </c>
      <c r="UZH77" s="277" t="s">
        <v>1072</v>
      </c>
      <c r="UZI77" s="277" t="s">
        <v>1072</v>
      </c>
      <c r="UZJ77" s="277" t="s">
        <v>1072</v>
      </c>
      <c r="UZK77" s="277" t="s">
        <v>1072</v>
      </c>
      <c r="UZL77" s="277" t="s">
        <v>1072</v>
      </c>
      <c r="UZM77" s="277" t="s">
        <v>1072</v>
      </c>
      <c r="UZN77" s="277" t="s">
        <v>1072</v>
      </c>
      <c r="UZO77" s="277" t="s">
        <v>1072</v>
      </c>
      <c r="UZP77" s="277" t="s">
        <v>1072</v>
      </c>
      <c r="UZQ77" s="277" t="s">
        <v>1072</v>
      </c>
      <c r="UZR77" s="277" t="s">
        <v>1072</v>
      </c>
      <c r="UZS77" s="277" t="s">
        <v>1072</v>
      </c>
      <c r="UZT77" s="277" t="s">
        <v>1072</v>
      </c>
      <c r="UZU77" s="277" t="s">
        <v>1072</v>
      </c>
      <c r="UZV77" s="277" t="s">
        <v>1072</v>
      </c>
      <c r="UZW77" s="277" t="s">
        <v>1072</v>
      </c>
      <c r="UZX77" s="277" t="s">
        <v>1072</v>
      </c>
      <c r="UZY77" s="277" t="s">
        <v>1072</v>
      </c>
      <c r="UZZ77" s="277" t="s">
        <v>1072</v>
      </c>
      <c r="VAA77" s="277" t="s">
        <v>1072</v>
      </c>
      <c r="VAB77" s="277" t="s">
        <v>1072</v>
      </c>
      <c r="VAC77" s="277" t="s">
        <v>1072</v>
      </c>
      <c r="VAD77" s="277" t="s">
        <v>1072</v>
      </c>
      <c r="VAE77" s="277" t="s">
        <v>1072</v>
      </c>
      <c r="VAF77" s="277" t="s">
        <v>1072</v>
      </c>
      <c r="VAG77" s="277" t="s">
        <v>1072</v>
      </c>
      <c r="VAH77" s="277" t="s">
        <v>1072</v>
      </c>
      <c r="VAI77" s="277" t="s">
        <v>1072</v>
      </c>
      <c r="VAJ77" s="277" t="s">
        <v>1072</v>
      </c>
      <c r="VAK77" s="277" t="s">
        <v>1072</v>
      </c>
      <c r="VAL77" s="277" t="s">
        <v>1072</v>
      </c>
      <c r="VAM77" s="277" t="s">
        <v>1072</v>
      </c>
      <c r="VAN77" s="277" t="s">
        <v>1072</v>
      </c>
      <c r="VAO77" s="277" t="s">
        <v>1072</v>
      </c>
      <c r="VAP77" s="277" t="s">
        <v>1072</v>
      </c>
      <c r="VAQ77" s="277" t="s">
        <v>1072</v>
      </c>
      <c r="VAR77" s="277" t="s">
        <v>1072</v>
      </c>
      <c r="VAS77" s="277" t="s">
        <v>1072</v>
      </c>
      <c r="VAT77" s="277" t="s">
        <v>1072</v>
      </c>
      <c r="VAU77" s="277" t="s">
        <v>1072</v>
      </c>
      <c r="VAV77" s="277" t="s">
        <v>1072</v>
      </c>
      <c r="VAW77" s="277" t="s">
        <v>1072</v>
      </c>
      <c r="VAX77" s="277" t="s">
        <v>1072</v>
      </c>
      <c r="VAY77" s="277" t="s">
        <v>1072</v>
      </c>
      <c r="VAZ77" s="277" t="s">
        <v>1072</v>
      </c>
      <c r="VBA77" s="277" t="s">
        <v>1072</v>
      </c>
      <c r="VBB77" s="277" t="s">
        <v>1072</v>
      </c>
      <c r="VBC77" s="277" t="s">
        <v>1072</v>
      </c>
      <c r="VBD77" s="277" t="s">
        <v>1072</v>
      </c>
      <c r="VBE77" s="277" t="s">
        <v>1072</v>
      </c>
      <c r="VBF77" s="277" t="s">
        <v>1072</v>
      </c>
      <c r="VBG77" s="277" t="s">
        <v>1072</v>
      </c>
      <c r="VBH77" s="277" t="s">
        <v>1072</v>
      </c>
      <c r="VBI77" s="277" t="s">
        <v>1072</v>
      </c>
      <c r="VBJ77" s="277" t="s">
        <v>1072</v>
      </c>
      <c r="VBK77" s="277" t="s">
        <v>1072</v>
      </c>
      <c r="VBL77" s="277" t="s">
        <v>1072</v>
      </c>
      <c r="VBM77" s="277" t="s">
        <v>1072</v>
      </c>
      <c r="VBN77" s="277" t="s">
        <v>1072</v>
      </c>
      <c r="VBO77" s="277" t="s">
        <v>1072</v>
      </c>
      <c r="VBP77" s="277" t="s">
        <v>1072</v>
      </c>
      <c r="VBQ77" s="277" t="s">
        <v>1072</v>
      </c>
      <c r="VBR77" s="277" t="s">
        <v>1072</v>
      </c>
      <c r="VBS77" s="277" t="s">
        <v>1072</v>
      </c>
      <c r="VBT77" s="277" t="s">
        <v>1072</v>
      </c>
      <c r="VBU77" s="277" t="s">
        <v>1072</v>
      </c>
      <c r="VBV77" s="277" t="s">
        <v>1072</v>
      </c>
      <c r="VBW77" s="277" t="s">
        <v>1072</v>
      </c>
      <c r="VBX77" s="277" t="s">
        <v>1072</v>
      </c>
      <c r="VBY77" s="277" t="s">
        <v>1072</v>
      </c>
      <c r="VBZ77" s="277" t="s">
        <v>1072</v>
      </c>
      <c r="VCA77" s="277" t="s">
        <v>1072</v>
      </c>
      <c r="VCB77" s="277" t="s">
        <v>1072</v>
      </c>
      <c r="VCC77" s="277" t="s">
        <v>1072</v>
      </c>
      <c r="VCD77" s="277" t="s">
        <v>1072</v>
      </c>
      <c r="VCE77" s="277" t="s">
        <v>1072</v>
      </c>
      <c r="VCF77" s="277" t="s">
        <v>1072</v>
      </c>
      <c r="VCG77" s="277" t="s">
        <v>1072</v>
      </c>
      <c r="VCH77" s="277" t="s">
        <v>1072</v>
      </c>
      <c r="VCI77" s="277" t="s">
        <v>1072</v>
      </c>
      <c r="VCJ77" s="277" t="s">
        <v>1072</v>
      </c>
      <c r="VCK77" s="277" t="s">
        <v>1072</v>
      </c>
      <c r="VCL77" s="277" t="s">
        <v>1072</v>
      </c>
      <c r="VCM77" s="277" t="s">
        <v>1072</v>
      </c>
      <c r="VCN77" s="277" t="s">
        <v>1072</v>
      </c>
      <c r="VCO77" s="277" t="s">
        <v>1072</v>
      </c>
      <c r="VCP77" s="277" t="s">
        <v>1072</v>
      </c>
      <c r="VCQ77" s="277" t="s">
        <v>1072</v>
      </c>
      <c r="VCR77" s="277" t="s">
        <v>1072</v>
      </c>
      <c r="VCS77" s="277" t="s">
        <v>1072</v>
      </c>
      <c r="VCT77" s="277" t="s">
        <v>1072</v>
      </c>
      <c r="VCU77" s="277" t="s">
        <v>1072</v>
      </c>
      <c r="VCV77" s="277" t="s">
        <v>1072</v>
      </c>
      <c r="VCW77" s="277" t="s">
        <v>1072</v>
      </c>
      <c r="VCX77" s="277" t="s">
        <v>1072</v>
      </c>
      <c r="VCY77" s="277" t="s">
        <v>1072</v>
      </c>
      <c r="VCZ77" s="277" t="s">
        <v>1072</v>
      </c>
      <c r="VDA77" s="277" t="s">
        <v>1072</v>
      </c>
      <c r="VDB77" s="277" t="s">
        <v>1072</v>
      </c>
      <c r="VDC77" s="277" t="s">
        <v>1072</v>
      </c>
      <c r="VDD77" s="277" t="s">
        <v>1072</v>
      </c>
      <c r="VDE77" s="277" t="s">
        <v>1072</v>
      </c>
      <c r="VDF77" s="277" t="s">
        <v>1072</v>
      </c>
      <c r="VDG77" s="277" t="s">
        <v>1072</v>
      </c>
      <c r="VDH77" s="277" t="s">
        <v>1072</v>
      </c>
      <c r="VDI77" s="277" t="s">
        <v>1072</v>
      </c>
      <c r="VDJ77" s="277" t="s">
        <v>1072</v>
      </c>
      <c r="VDK77" s="277" t="s">
        <v>1072</v>
      </c>
      <c r="VDL77" s="277" t="s">
        <v>1072</v>
      </c>
      <c r="VDM77" s="277" t="s">
        <v>1072</v>
      </c>
      <c r="VDN77" s="277" t="s">
        <v>1072</v>
      </c>
      <c r="VDO77" s="277" t="s">
        <v>1072</v>
      </c>
      <c r="VDP77" s="277" t="s">
        <v>1072</v>
      </c>
      <c r="VDQ77" s="277" t="s">
        <v>1072</v>
      </c>
      <c r="VDR77" s="277" t="s">
        <v>1072</v>
      </c>
      <c r="VDS77" s="277" t="s">
        <v>1072</v>
      </c>
      <c r="VDT77" s="277" t="s">
        <v>1072</v>
      </c>
      <c r="VDU77" s="277" t="s">
        <v>1072</v>
      </c>
      <c r="VDV77" s="277" t="s">
        <v>1072</v>
      </c>
      <c r="VDW77" s="277" t="s">
        <v>1072</v>
      </c>
      <c r="VDX77" s="277" t="s">
        <v>1072</v>
      </c>
      <c r="VDY77" s="277" t="s">
        <v>1072</v>
      </c>
      <c r="VDZ77" s="277" t="s">
        <v>1072</v>
      </c>
      <c r="VEA77" s="277" t="s">
        <v>1072</v>
      </c>
      <c r="VEB77" s="277" t="s">
        <v>1072</v>
      </c>
      <c r="VEC77" s="277" t="s">
        <v>1072</v>
      </c>
      <c r="VED77" s="277" t="s">
        <v>1072</v>
      </c>
      <c r="VEE77" s="277" t="s">
        <v>1072</v>
      </c>
      <c r="VEF77" s="277" t="s">
        <v>1072</v>
      </c>
      <c r="VEG77" s="277" t="s">
        <v>1072</v>
      </c>
      <c r="VEH77" s="277" t="s">
        <v>1072</v>
      </c>
      <c r="VEI77" s="277" t="s">
        <v>1072</v>
      </c>
      <c r="VEJ77" s="277" t="s">
        <v>1072</v>
      </c>
      <c r="VEK77" s="277" t="s">
        <v>1072</v>
      </c>
      <c r="VEL77" s="277" t="s">
        <v>1072</v>
      </c>
      <c r="VEM77" s="277" t="s">
        <v>1072</v>
      </c>
      <c r="VEN77" s="277" t="s">
        <v>1072</v>
      </c>
      <c r="VEO77" s="277" t="s">
        <v>1072</v>
      </c>
      <c r="VEP77" s="277" t="s">
        <v>1072</v>
      </c>
      <c r="VEQ77" s="277" t="s">
        <v>1072</v>
      </c>
      <c r="VER77" s="277" t="s">
        <v>1072</v>
      </c>
      <c r="VES77" s="277" t="s">
        <v>1072</v>
      </c>
      <c r="VET77" s="277" t="s">
        <v>1072</v>
      </c>
      <c r="VEU77" s="277" t="s">
        <v>1072</v>
      </c>
      <c r="VEV77" s="277" t="s">
        <v>1072</v>
      </c>
      <c r="VEW77" s="277" t="s">
        <v>1072</v>
      </c>
      <c r="VEX77" s="277" t="s">
        <v>1072</v>
      </c>
      <c r="VEY77" s="277" t="s">
        <v>1072</v>
      </c>
      <c r="VEZ77" s="277" t="s">
        <v>1072</v>
      </c>
      <c r="VFA77" s="277" t="s">
        <v>1072</v>
      </c>
      <c r="VFB77" s="277" t="s">
        <v>1072</v>
      </c>
      <c r="VFC77" s="277" t="s">
        <v>1072</v>
      </c>
      <c r="VFD77" s="277" t="s">
        <v>1072</v>
      </c>
      <c r="VFE77" s="277" t="s">
        <v>1072</v>
      </c>
      <c r="VFF77" s="277" t="s">
        <v>1072</v>
      </c>
      <c r="VFG77" s="277" t="s">
        <v>1072</v>
      </c>
      <c r="VFH77" s="277" t="s">
        <v>1072</v>
      </c>
      <c r="VFI77" s="277" t="s">
        <v>1072</v>
      </c>
      <c r="VFJ77" s="277" t="s">
        <v>1072</v>
      </c>
      <c r="VFK77" s="277" t="s">
        <v>1072</v>
      </c>
      <c r="VFL77" s="277" t="s">
        <v>1072</v>
      </c>
      <c r="VFM77" s="277" t="s">
        <v>1072</v>
      </c>
      <c r="VFN77" s="277" t="s">
        <v>1072</v>
      </c>
      <c r="VFO77" s="277" t="s">
        <v>1072</v>
      </c>
      <c r="VFP77" s="277" t="s">
        <v>1072</v>
      </c>
      <c r="VFQ77" s="277" t="s">
        <v>1072</v>
      </c>
      <c r="VFR77" s="277" t="s">
        <v>1072</v>
      </c>
      <c r="VFS77" s="277" t="s">
        <v>1072</v>
      </c>
      <c r="VFT77" s="277" t="s">
        <v>1072</v>
      </c>
      <c r="VFU77" s="277" t="s">
        <v>1072</v>
      </c>
      <c r="VFV77" s="277" t="s">
        <v>1072</v>
      </c>
      <c r="VFW77" s="277" t="s">
        <v>1072</v>
      </c>
      <c r="VFX77" s="277" t="s">
        <v>1072</v>
      </c>
      <c r="VFY77" s="277" t="s">
        <v>1072</v>
      </c>
      <c r="VFZ77" s="277" t="s">
        <v>1072</v>
      </c>
      <c r="VGA77" s="277" t="s">
        <v>1072</v>
      </c>
      <c r="VGB77" s="277" t="s">
        <v>1072</v>
      </c>
      <c r="VGC77" s="277" t="s">
        <v>1072</v>
      </c>
      <c r="VGD77" s="277" t="s">
        <v>1072</v>
      </c>
      <c r="VGE77" s="277" t="s">
        <v>1072</v>
      </c>
      <c r="VGF77" s="277" t="s">
        <v>1072</v>
      </c>
      <c r="VGG77" s="277" t="s">
        <v>1072</v>
      </c>
      <c r="VGH77" s="277" t="s">
        <v>1072</v>
      </c>
      <c r="VGI77" s="277" t="s">
        <v>1072</v>
      </c>
      <c r="VGJ77" s="277" t="s">
        <v>1072</v>
      </c>
      <c r="VGK77" s="277" t="s">
        <v>1072</v>
      </c>
      <c r="VGL77" s="277" t="s">
        <v>1072</v>
      </c>
      <c r="VGM77" s="277" t="s">
        <v>1072</v>
      </c>
      <c r="VGN77" s="277" t="s">
        <v>1072</v>
      </c>
      <c r="VGO77" s="277" t="s">
        <v>1072</v>
      </c>
      <c r="VGP77" s="277" t="s">
        <v>1072</v>
      </c>
      <c r="VGQ77" s="277" t="s">
        <v>1072</v>
      </c>
      <c r="VGR77" s="277" t="s">
        <v>1072</v>
      </c>
      <c r="VGS77" s="277" t="s">
        <v>1072</v>
      </c>
      <c r="VGT77" s="277" t="s">
        <v>1072</v>
      </c>
      <c r="VGU77" s="277" t="s">
        <v>1072</v>
      </c>
      <c r="VGV77" s="277" t="s">
        <v>1072</v>
      </c>
      <c r="VGW77" s="277" t="s">
        <v>1072</v>
      </c>
      <c r="VGX77" s="277" t="s">
        <v>1072</v>
      </c>
      <c r="VGY77" s="277" t="s">
        <v>1072</v>
      </c>
      <c r="VGZ77" s="277" t="s">
        <v>1072</v>
      </c>
      <c r="VHA77" s="277" t="s">
        <v>1072</v>
      </c>
      <c r="VHB77" s="277" t="s">
        <v>1072</v>
      </c>
      <c r="VHC77" s="277" t="s">
        <v>1072</v>
      </c>
      <c r="VHD77" s="277" t="s">
        <v>1072</v>
      </c>
      <c r="VHE77" s="277" t="s">
        <v>1072</v>
      </c>
      <c r="VHF77" s="277" t="s">
        <v>1072</v>
      </c>
      <c r="VHG77" s="277" t="s">
        <v>1072</v>
      </c>
      <c r="VHH77" s="277" t="s">
        <v>1072</v>
      </c>
      <c r="VHI77" s="277" t="s">
        <v>1072</v>
      </c>
      <c r="VHJ77" s="277" t="s">
        <v>1072</v>
      </c>
      <c r="VHK77" s="277" t="s">
        <v>1072</v>
      </c>
      <c r="VHL77" s="277" t="s">
        <v>1072</v>
      </c>
      <c r="VHM77" s="277" t="s">
        <v>1072</v>
      </c>
      <c r="VHN77" s="277" t="s">
        <v>1072</v>
      </c>
      <c r="VHO77" s="277" t="s">
        <v>1072</v>
      </c>
      <c r="VHP77" s="277" t="s">
        <v>1072</v>
      </c>
      <c r="VHQ77" s="277" t="s">
        <v>1072</v>
      </c>
      <c r="VHR77" s="277" t="s">
        <v>1072</v>
      </c>
      <c r="VHS77" s="277" t="s">
        <v>1072</v>
      </c>
      <c r="VHT77" s="277" t="s">
        <v>1072</v>
      </c>
      <c r="VHU77" s="277" t="s">
        <v>1072</v>
      </c>
      <c r="VHV77" s="277" t="s">
        <v>1072</v>
      </c>
      <c r="VHW77" s="277" t="s">
        <v>1072</v>
      </c>
      <c r="VHX77" s="277" t="s">
        <v>1072</v>
      </c>
      <c r="VHY77" s="277" t="s">
        <v>1072</v>
      </c>
      <c r="VHZ77" s="277" t="s">
        <v>1072</v>
      </c>
      <c r="VIA77" s="277" t="s">
        <v>1072</v>
      </c>
      <c r="VIB77" s="277" t="s">
        <v>1072</v>
      </c>
      <c r="VIC77" s="277" t="s">
        <v>1072</v>
      </c>
      <c r="VID77" s="277" t="s">
        <v>1072</v>
      </c>
      <c r="VIE77" s="277" t="s">
        <v>1072</v>
      </c>
      <c r="VIF77" s="277" t="s">
        <v>1072</v>
      </c>
      <c r="VIG77" s="277" t="s">
        <v>1072</v>
      </c>
      <c r="VIH77" s="277" t="s">
        <v>1072</v>
      </c>
      <c r="VII77" s="277" t="s">
        <v>1072</v>
      </c>
      <c r="VIJ77" s="277" t="s">
        <v>1072</v>
      </c>
      <c r="VIK77" s="277" t="s">
        <v>1072</v>
      </c>
      <c r="VIL77" s="277" t="s">
        <v>1072</v>
      </c>
      <c r="VIM77" s="277" t="s">
        <v>1072</v>
      </c>
      <c r="VIN77" s="277" t="s">
        <v>1072</v>
      </c>
      <c r="VIO77" s="277" t="s">
        <v>1072</v>
      </c>
      <c r="VIP77" s="277" t="s">
        <v>1072</v>
      </c>
      <c r="VIQ77" s="277" t="s">
        <v>1072</v>
      </c>
      <c r="VIR77" s="277" t="s">
        <v>1072</v>
      </c>
      <c r="VIS77" s="277" t="s">
        <v>1072</v>
      </c>
      <c r="VIT77" s="277" t="s">
        <v>1072</v>
      </c>
      <c r="VIU77" s="277" t="s">
        <v>1072</v>
      </c>
      <c r="VIV77" s="277" t="s">
        <v>1072</v>
      </c>
      <c r="VIW77" s="277" t="s">
        <v>1072</v>
      </c>
      <c r="VIX77" s="277" t="s">
        <v>1072</v>
      </c>
      <c r="VIY77" s="277" t="s">
        <v>1072</v>
      </c>
      <c r="VIZ77" s="277" t="s">
        <v>1072</v>
      </c>
      <c r="VJA77" s="277" t="s">
        <v>1072</v>
      </c>
      <c r="VJB77" s="277" t="s">
        <v>1072</v>
      </c>
      <c r="VJC77" s="277" t="s">
        <v>1072</v>
      </c>
      <c r="VJD77" s="277" t="s">
        <v>1072</v>
      </c>
      <c r="VJE77" s="277" t="s">
        <v>1072</v>
      </c>
      <c r="VJF77" s="277" t="s">
        <v>1072</v>
      </c>
      <c r="VJG77" s="277" t="s">
        <v>1072</v>
      </c>
      <c r="VJH77" s="277" t="s">
        <v>1072</v>
      </c>
      <c r="VJI77" s="277" t="s">
        <v>1072</v>
      </c>
      <c r="VJJ77" s="277" t="s">
        <v>1072</v>
      </c>
      <c r="VJK77" s="277" t="s">
        <v>1072</v>
      </c>
      <c r="VJL77" s="277" t="s">
        <v>1072</v>
      </c>
      <c r="VJM77" s="277" t="s">
        <v>1072</v>
      </c>
      <c r="VJN77" s="277" t="s">
        <v>1072</v>
      </c>
      <c r="VJO77" s="277" t="s">
        <v>1072</v>
      </c>
      <c r="VJP77" s="277" t="s">
        <v>1072</v>
      </c>
      <c r="VJQ77" s="277" t="s">
        <v>1072</v>
      </c>
      <c r="VJR77" s="277" t="s">
        <v>1072</v>
      </c>
      <c r="VJS77" s="277" t="s">
        <v>1072</v>
      </c>
      <c r="VJT77" s="277" t="s">
        <v>1072</v>
      </c>
      <c r="VJU77" s="277" t="s">
        <v>1072</v>
      </c>
      <c r="VJV77" s="277" t="s">
        <v>1072</v>
      </c>
      <c r="VJW77" s="277" t="s">
        <v>1072</v>
      </c>
      <c r="VJX77" s="277" t="s">
        <v>1072</v>
      </c>
      <c r="VJY77" s="277" t="s">
        <v>1072</v>
      </c>
      <c r="VJZ77" s="277" t="s">
        <v>1072</v>
      </c>
      <c r="VKA77" s="277" t="s">
        <v>1072</v>
      </c>
      <c r="VKB77" s="277" t="s">
        <v>1072</v>
      </c>
      <c r="VKC77" s="277" t="s">
        <v>1072</v>
      </c>
      <c r="VKD77" s="277" t="s">
        <v>1072</v>
      </c>
      <c r="VKE77" s="277" t="s">
        <v>1072</v>
      </c>
      <c r="VKF77" s="277" t="s">
        <v>1072</v>
      </c>
      <c r="VKG77" s="277" t="s">
        <v>1072</v>
      </c>
      <c r="VKH77" s="277" t="s">
        <v>1072</v>
      </c>
      <c r="VKI77" s="277" t="s">
        <v>1072</v>
      </c>
      <c r="VKJ77" s="277" t="s">
        <v>1072</v>
      </c>
      <c r="VKK77" s="277" t="s">
        <v>1072</v>
      </c>
      <c r="VKL77" s="277" t="s">
        <v>1072</v>
      </c>
      <c r="VKM77" s="277" t="s">
        <v>1072</v>
      </c>
      <c r="VKN77" s="277" t="s">
        <v>1072</v>
      </c>
      <c r="VKO77" s="277" t="s">
        <v>1072</v>
      </c>
      <c r="VKP77" s="277" t="s">
        <v>1072</v>
      </c>
      <c r="VKQ77" s="277" t="s">
        <v>1072</v>
      </c>
      <c r="VKR77" s="277" t="s">
        <v>1072</v>
      </c>
      <c r="VKS77" s="277" t="s">
        <v>1072</v>
      </c>
      <c r="VKT77" s="277" t="s">
        <v>1072</v>
      </c>
      <c r="VKU77" s="277" t="s">
        <v>1072</v>
      </c>
      <c r="VKV77" s="277" t="s">
        <v>1072</v>
      </c>
      <c r="VKW77" s="277" t="s">
        <v>1072</v>
      </c>
      <c r="VKX77" s="277" t="s">
        <v>1072</v>
      </c>
      <c r="VKY77" s="277" t="s">
        <v>1072</v>
      </c>
      <c r="VKZ77" s="277" t="s">
        <v>1072</v>
      </c>
      <c r="VLA77" s="277" t="s">
        <v>1072</v>
      </c>
      <c r="VLB77" s="277" t="s">
        <v>1072</v>
      </c>
      <c r="VLC77" s="277" t="s">
        <v>1072</v>
      </c>
      <c r="VLD77" s="277" t="s">
        <v>1072</v>
      </c>
      <c r="VLE77" s="277" t="s">
        <v>1072</v>
      </c>
      <c r="VLF77" s="277" t="s">
        <v>1072</v>
      </c>
      <c r="VLG77" s="277" t="s">
        <v>1072</v>
      </c>
      <c r="VLH77" s="277" t="s">
        <v>1072</v>
      </c>
      <c r="VLI77" s="277" t="s">
        <v>1072</v>
      </c>
      <c r="VLJ77" s="277" t="s">
        <v>1072</v>
      </c>
      <c r="VLK77" s="277" t="s">
        <v>1072</v>
      </c>
      <c r="VLL77" s="277" t="s">
        <v>1072</v>
      </c>
      <c r="VLM77" s="277" t="s">
        <v>1072</v>
      </c>
      <c r="VLN77" s="277" t="s">
        <v>1072</v>
      </c>
      <c r="VLO77" s="277" t="s">
        <v>1072</v>
      </c>
      <c r="VLP77" s="277" t="s">
        <v>1072</v>
      </c>
      <c r="VLQ77" s="277" t="s">
        <v>1072</v>
      </c>
      <c r="VLR77" s="277" t="s">
        <v>1072</v>
      </c>
      <c r="VLS77" s="277" t="s">
        <v>1072</v>
      </c>
      <c r="VLT77" s="277" t="s">
        <v>1072</v>
      </c>
      <c r="VLU77" s="277" t="s">
        <v>1072</v>
      </c>
      <c r="VLV77" s="277" t="s">
        <v>1072</v>
      </c>
      <c r="VLW77" s="277" t="s">
        <v>1072</v>
      </c>
      <c r="VLX77" s="277" t="s">
        <v>1072</v>
      </c>
      <c r="VLY77" s="277" t="s">
        <v>1072</v>
      </c>
      <c r="VLZ77" s="277" t="s">
        <v>1072</v>
      </c>
      <c r="VMA77" s="277" t="s">
        <v>1072</v>
      </c>
      <c r="VMB77" s="277" t="s">
        <v>1072</v>
      </c>
      <c r="VMC77" s="277" t="s">
        <v>1072</v>
      </c>
      <c r="VMD77" s="277" t="s">
        <v>1072</v>
      </c>
      <c r="VME77" s="277" t="s">
        <v>1072</v>
      </c>
      <c r="VMF77" s="277" t="s">
        <v>1072</v>
      </c>
      <c r="VMG77" s="277" t="s">
        <v>1072</v>
      </c>
      <c r="VMH77" s="277" t="s">
        <v>1072</v>
      </c>
      <c r="VMI77" s="277" t="s">
        <v>1072</v>
      </c>
      <c r="VMJ77" s="277" t="s">
        <v>1072</v>
      </c>
      <c r="VMK77" s="277" t="s">
        <v>1072</v>
      </c>
      <c r="VML77" s="277" t="s">
        <v>1072</v>
      </c>
      <c r="VMM77" s="277" t="s">
        <v>1072</v>
      </c>
      <c r="VMN77" s="277" t="s">
        <v>1072</v>
      </c>
      <c r="VMO77" s="277" t="s">
        <v>1072</v>
      </c>
      <c r="VMP77" s="277" t="s">
        <v>1072</v>
      </c>
      <c r="VMQ77" s="277" t="s">
        <v>1072</v>
      </c>
      <c r="VMR77" s="277" t="s">
        <v>1072</v>
      </c>
      <c r="VMS77" s="277" t="s">
        <v>1072</v>
      </c>
      <c r="VMT77" s="277" t="s">
        <v>1072</v>
      </c>
      <c r="VMU77" s="277" t="s">
        <v>1072</v>
      </c>
      <c r="VMV77" s="277" t="s">
        <v>1072</v>
      </c>
      <c r="VMW77" s="277" t="s">
        <v>1072</v>
      </c>
      <c r="VMX77" s="277" t="s">
        <v>1072</v>
      </c>
      <c r="VMY77" s="277" t="s">
        <v>1072</v>
      </c>
      <c r="VMZ77" s="277" t="s">
        <v>1072</v>
      </c>
      <c r="VNA77" s="277" t="s">
        <v>1072</v>
      </c>
      <c r="VNB77" s="277" t="s">
        <v>1072</v>
      </c>
      <c r="VNC77" s="277" t="s">
        <v>1072</v>
      </c>
      <c r="VND77" s="277" t="s">
        <v>1072</v>
      </c>
      <c r="VNE77" s="277" t="s">
        <v>1072</v>
      </c>
      <c r="VNF77" s="277" t="s">
        <v>1072</v>
      </c>
      <c r="VNG77" s="277" t="s">
        <v>1072</v>
      </c>
      <c r="VNH77" s="277" t="s">
        <v>1072</v>
      </c>
      <c r="VNI77" s="277" t="s">
        <v>1072</v>
      </c>
      <c r="VNJ77" s="277" t="s">
        <v>1072</v>
      </c>
      <c r="VNK77" s="277" t="s">
        <v>1072</v>
      </c>
      <c r="VNL77" s="277" t="s">
        <v>1072</v>
      </c>
      <c r="VNM77" s="277" t="s">
        <v>1072</v>
      </c>
      <c r="VNN77" s="277" t="s">
        <v>1072</v>
      </c>
      <c r="VNO77" s="277" t="s">
        <v>1072</v>
      </c>
      <c r="VNP77" s="277" t="s">
        <v>1072</v>
      </c>
      <c r="VNQ77" s="277" t="s">
        <v>1072</v>
      </c>
      <c r="VNR77" s="277" t="s">
        <v>1072</v>
      </c>
      <c r="VNS77" s="277" t="s">
        <v>1072</v>
      </c>
      <c r="VNT77" s="277" t="s">
        <v>1072</v>
      </c>
      <c r="VNU77" s="277" t="s">
        <v>1072</v>
      </c>
      <c r="VNV77" s="277" t="s">
        <v>1072</v>
      </c>
      <c r="VNW77" s="277" t="s">
        <v>1072</v>
      </c>
      <c r="VNX77" s="277" t="s">
        <v>1072</v>
      </c>
      <c r="VNY77" s="277" t="s">
        <v>1072</v>
      </c>
      <c r="VNZ77" s="277" t="s">
        <v>1072</v>
      </c>
      <c r="VOA77" s="277" t="s">
        <v>1072</v>
      </c>
      <c r="VOB77" s="277" t="s">
        <v>1072</v>
      </c>
      <c r="VOC77" s="277" t="s">
        <v>1072</v>
      </c>
      <c r="VOD77" s="277" t="s">
        <v>1072</v>
      </c>
      <c r="VOE77" s="277" t="s">
        <v>1072</v>
      </c>
      <c r="VOF77" s="277" t="s">
        <v>1072</v>
      </c>
      <c r="VOG77" s="277" t="s">
        <v>1072</v>
      </c>
      <c r="VOH77" s="277" t="s">
        <v>1072</v>
      </c>
      <c r="VOI77" s="277" t="s">
        <v>1072</v>
      </c>
      <c r="VOJ77" s="277" t="s">
        <v>1072</v>
      </c>
      <c r="VOK77" s="277" t="s">
        <v>1072</v>
      </c>
      <c r="VOL77" s="277" t="s">
        <v>1072</v>
      </c>
      <c r="VOM77" s="277" t="s">
        <v>1072</v>
      </c>
      <c r="VON77" s="277" t="s">
        <v>1072</v>
      </c>
      <c r="VOO77" s="277" t="s">
        <v>1072</v>
      </c>
      <c r="VOP77" s="277" t="s">
        <v>1072</v>
      </c>
      <c r="VOQ77" s="277" t="s">
        <v>1072</v>
      </c>
      <c r="VOR77" s="277" t="s">
        <v>1072</v>
      </c>
      <c r="VOS77" s="277" t="s">
        <v>1072</v>
      </c>
      <c r="VOT77" s="277" t="s">
        <v>1072</v>
      </c>
      <c r="VOU77" s="277" t="s">
        <v>1072</v>
      </c>
      <c r="VOV77" s="277" t="s">
        <v>1072</v>
      </c>
      <c r="VOW77" s="277" t="s">
        <v>1072</v>
      </c>
      <c r="VOX77" s="277" t="s">
        <v>1072</v>
      </c>
      <c r="VOY77" s="277" t="s">
        <v>1072</v>
      </c>
      <c r="VOZ77" s="277" t="s">
        <v>1072</v>
      </c>
      <c r="VPA77" s="277" t="s">
        <v>1072</v>
      </c>
      <c r="VPB77" s="277" t="s">
        <v>1072</v>
      </c>
      <c r="VPC77" s="277" t="s">
        <v>1072</v>
      </c>
      <c r="VPD77" s="277" t="s">
        <v>1072</v>
      </c>
      <c r="VPE77" s="277" t="s">
        <v>1072</v>
      </c>
      <c r="VPF77" s="277" t="s">
        <v>1072</v>
      </c>
      <c r="VPG77" s="277" t="s">
        <v>1072</v>
      </c>
      <c r="VPH77" s="277" t="s">
        <v>1072</v>
      </c>
      <c r="VPI77" s="277" t="s">
        <v>1072</v>
      </c>
      <c r="VPJ77" s="277" t="s">
        <v>1072</v>
      </c>
      <c r="VPK77" s="277" t="s">
        <v>1072</v>
      </c>
      <c r="VPL77" s="277" t="s">
        <v>1072</v>
      </c>
      <c r="VPM77" s="277" t="s">
        <v>1072</v>
      </c>
      <c r="VPN77" s="277" t="s">
        <v>1072</v>
      </c>
      <c r="VPO77" s="277" t="s">
        <v>1072</v>
      </c>
      <c r="VPP77" s="277" t="s">
        <v>1072</v>
      </c>
      <c r="VPQ77" s="277" t="s">
        <v>1072</v>
      </c>
      <c r="VPR77" s="277" t="s">
        <v>1072</v>
      </c>
      <c r="VPS77" s="277" t="s">
        <v>1072</v>
      </c>
      <c r="VPT77" s="277" t="s">
        <v>1072</v>
      </c>
      <c r="VPU77" s="277" t="s">
        <v>1072</v>
      </c>
      <c r="VPV77" s="277" t="s">
        <v>1072</v>
      </c>
      <c r="VPW77" s="277" t="s">
        <v>1072</v>
      </c>
      <c r="VPX77" s="277" t="s">
        <v>1072</v>
      </c>
      <c r="VPY77" s="277" t="s">
        <v>1072</v>
      </c>
      <c r="VPZ77" s="277" t="s">
        <v>1072</v>
      </c>
      <c r="VQA77" s="277" t="s">
        <v>1072</v>
      </c>
      <c r="VQB77" s="277" t="s">
        <v>1072</v>
      </c>
      <c r="VQC77" s="277" t="s">
        <v>1072</v>
      </c>
      <c r="VQD77" s="277" t="s">
        <v>1072</v>
      </c>
      <c r="VQE77" s="277" t="s">
        <v>1072</v>
      </c>
      <c r="VQF77" s="277" t="s">
        <v>1072</v>
      </c>
      <c r="VQG77" s="277" t="s">
        <v>1072</v>
      </c>
      <c r="VQH77" s="277" t="s">
        <v>1072</v>
      </c>
      <c r="VQI77" s="277" t="s">
        <v>1072</v>
      </c>
      <c r="VQJ77" s="277" t="s">
        <v>1072</v>
      </c>
      <c r="VQK77" s="277" t="s">
        <v>1072</v>
      </c>
      <c r="VQL77" s="277" t="s">
        <v>1072</v>
      </c>
      <c r="VQM77" s="277" t="s">
        <v>1072</v>
      </c>
      <c r="VQN77" s="277" t="s">
        <v>1072</v>
      </c>
      <c r="VQO77" s="277" t="s">
        <v>1072</v>
      </c>
      <c r="VQP77" s="277" t="s">
        <v>1072</v>
      </c>
      <c r="VQQ77" s="277" t="s">
        <v>1072</v>
      </c>
      <c r="VQR77" s="277" t="s">
        <v>1072</v>
      </c>
      <c r="VQS77" s="277" t="s">
        <v>1072</v>
      </c>
      <c r="VQT77" s="277" t="s">
        <v>1072</v>
      </c>
      <c r="VQU77" s="277" t="s">
        <v>1072</v>
      </c>
      <c r="VQV77" s="277" t="s">
        <v>1072</v>
      </c>
      <c r="VQW77" s="277" t="s">
        <v>1072</v>
      </c>
      <c r="VQX77" s="277" t="s">
        <v>1072</v>
      </c>
      <c r="VQY77" s="277" t="s">
        <v>1072</v>
      </c>
      <c r="VQZ77" s="277" t="s">
        <v>1072</v>
      </c>
      <c r="VRA77" s="277" t="s">
        <v>1072</v>
      </c>
      <c r="VRB77" s="277" t="s">
        <v>1072</v>
      </c>
      <c r="VRC77" s="277" t="s">
        <v>1072</v>
      </c>
      <c r="VRD77" s="277" t="s">
        <v>1072</v>
      </c>
      <c r="VRE77" s="277" t="s">
        <v>1072</v>
      </c>
      <c r="VRF77" s="277" t="s">
        <v>1072</v>
      </c>
      <c r="VRG77" s="277" t="s">
        <v>1072</v>
      </c>
      <c r="VRH77" s="277" t="s">
        <v>1072</v>
      </c>
      <c r="VRI77" s="277" t="s">
        <v>1072</v>
      </c>
      <c r="VRJ77" s="277" t="s">
        <v>1072</v>
      </c>
      <c r="VRK77" s="277" t="s">
        <v>1072</v>
      </c>
      <c r="VRL77" s="277" t="s">
        <v>1072</v>
      </c>
      <c r="VRM77" s="277" t="s">
        <v>1072</v>
      </c>
      <c r="VRN77" s="277" t="s">
        <v>1072</v>
      </c>
      <c r="VRO77" s="277" t="s">
        <v>1072</v>
      </c>
      <c r="VRP77" s="277" t="s">
        <v>1072</v>
      </c>
      <c r="VRQ77" s="277" t="s">
        <v>1072</v>
      </c>
      <c r="VRR77" s="277" t="s">
        <v>1072</v>
      </c>
      <c r="VRS77" s="277" t="s">
        <v>1072</v>
      </c>
      <c r="VRT77" s="277" t="s">
        <v>1072</v>
      </c>
      <c r="VRU77" s="277" t="s">
        <v>1072</v>
      </c>
      <c r="VRV77" s="277" t="s">
        <v>1072</v>
      </c>
      <c r="VRW77" s="277" t="s">
        <v>1072</v>
      </c>
      <c r="VRX77" s="277" t="s">
        <v>1072</v>
      </c>
      <c r="VRY77" s="277" t="s">
        <v>1072</v>
      </c>
      <c r="VRZ77" s="277" t="s">
        <v>1072</v>
      </c>
      <c r="VSA77" s="277" t="s">
        <v>1072</v>
      </c>
      <c r="VSB77" s="277" t="s">
        <v>1072</v>
      </c>
      <c r="VSC77" s="277" t="s">
        <v>1072</v>
      </c>
      <c r="VSD77" s="277" t="s">
        <v>1072</v>
      </c>
      <c r="VSE77" s="277" t="s">
        <v>1072</v>
      </c>
      <c r="VSF77" s="277" t="s">
        <v>1072</v>
      </c>
      <c r="VSG77" s="277" t="s">
        <v>1072</v>
      </c>
      <c r="VSH77" s="277" t="s">
        <v>1072</v>
      </c>
      <c r="VSI77" s="277" t="s">
        <v>1072</v>
      </c>
      <c r="VSJ77" s="277" t="s">
        <v>1072</v>
      </c>
      <c r="VSK77" s="277" t="s">
        <v>1072</v>
      </c>
      <c r="VSL77" s="277" t="s">
        <v>1072</v>
      </c>
      <c r="VSM77" s="277" t="s">
        <v>1072</v>
      </c>
      <c r="VSN77" s="277" t="s">
        <v>1072</v>
      </c>
      <c r="VSO77" s="277" t="s">
        <v>1072</v>
      </c>
      <c r="VSP77" s="277" t="s">
        <v>1072</v>
      </c>
      <c r="VSQ77" s="277" t="s">
        <v>1072</v>
      </c>
      <c r="VSR77" s="277" t="s">
        <v>1072</v>
      </c>
      <c r="VSS77" s="277" t="s">
        <v>1072</v>
      </c>
      <c r="VST77" s="277" t="s">
        <v>1072</v>
      </c>
      <c r="VSU77" s="277" t="s">
        <v>1072</v>
      </c>
      <c r="VSV77" s="277" t="s">
        <v>1072</v>
      </c>
      <c r="VSW77" s="277" t="s">
        <v>1072</v>
      </c>
      <c r="VSX77" s="277" t="s">
        <v>1072</v>
      </c>
      <c r="VSY77" s="277" t="s">
        <v>1072</v>
      </c>
      <c r="VSZ77" s="277" t="s">
        <v>1072</v>
      </c>
      <c r="VTA77" s="277" t="s">
        <v>1072</v>
      </c>
      <c r="VTB77" s="277" t="s">
        <v>1072</v>
      </c>
      <c r="VTC77" s="277" t="s">
        <v>1072</v>
      </c>
      <c r="VTD77" s="277" t="s">
        <v>1072</v>
      </c>
      <c r="VTE77" s="277" t="s">
        <v>1072</v>
      </c>
      <c r="VTF77" s="277" t="s">
        <v>1072</v>
      </c>
      <c r="VTG77" s="277" t="s">
        <v>1072</v>
      </c>
      <c r="VTH77" s="277" t="s">
        <v>1072</v>
      </c>
      <c r="VTI77" s="277" t="s">
        <v>1072</v>
      </c>
      <c r="VTJ77" s="277" t="s">
        <v>1072</v>
      </c>
      <c r="VTK77" s="277" t="s">
        <v>1072</v>
      </c>
      <c r="VTL77" s="277" t="s">
        <v>1072</v>
      </c>
      <c r="VTM77" s="277" t="s">
        <v>1072</v>
      </c>
      <c r="VTN77" s="277" t="s">
        <v>1072</v>
      </c>
      <c r="VTO77" s="277" t="s">
        <v>1072</v>
      </c>
      <c r="VTP77" s="277" t="s">
        <v>1072</v>
      </c>
      <c r="VTQ77" s="277" t="s">
        <v>1072</v>
      </c>
      <c r="VTR77" s="277" t="s">
        <v>1072</v>
      </c>
      <c r="VTS77" s="277" t="s">
        <v>1072</v>
      </c>
      <c r="VTT77" s="277" t="s">
        <v>1072</v>
      </c>
      <c r="VTU77" s="277" t="s">
        <v>1072</v>
      </c>
      <c r="VTV77" s="277" t="s">
        <v>1072</v>
      </c>
      <c r="VTW77" s="277" t="s">
        <v>1072</v>
      </c>
      <c r="VTX77" s="277" t="s">
        <v>1072</v>
      </c>
      <c r="VTY77" s="277" t="s">
        <v>1072</v>
      </c>
      <c r="VTZ77" s="277" t="s">
        <v>1072</v>
      </c>
      <c r="VUA77" s="277" t="s">
        <v>1072</v>
      </c>
      <c r="VUB77" s="277" t="s">
        <v>1072</v>
      </c>
      <c r="VUC77" s="277" t="s">
        <v>1072</v>
      </c>
      <c r="VUD77" s="277" t="s">
        <v>1072</v>
      </c>
      <c r="VUE77" s="277" t="s">
        <v>1072</v>
      </c>
      <c r="VUF77" s="277" t="s">
        <v>1072</v>
      </c>
      <c r="VUG77" s="277" t="s">
        <v>1072</v>
      </c>
      <c r="VUH77" s="277" t="s">
        <v>1072</v>
      </c>
      <c r="VUI77" s="277" t="s">
        <v>1072</v>
      </c>
      <c r="VUJ77" s="277" t="s">
        <v>1072</v>
      </c>
      <c r="VUK77" s="277" t="s">
        <v>1072</v>
      </c>
      <c r="VUL77" s="277" t="s">
        <v>1072</v>
      </c>
      <c r="VUM77" s="277" t="s">
        <v>1072</v>
      </c>
      <c r="VUN77" s="277" t="s">
        <v>1072</v>
      </c>
      <c r="VUO77" s="277" t="s">
        <v>1072</v>
      </c>
      <c r="VUP77" s="277" t="s">
        <v>1072</v>
      </c>
      <c r="VUQ77" s="277" t="s">
        <v>1072</v>
      </c>
      <c r="VUR77" s="277" t="s">
        <v>1072</v>
      </c>
      <c r="VUS77" s="277" t="s">
        <v>1072</v>
      </c>
      <c r="VUT77" s="277" t="s">
        <v>1072</v>
      </c>
      <c r="VUU77" s="277" t="s">
        <v>1072</v>
      </c>
      <c r="VUV77" s="277" t="s">
        <v>1072</v>
      </c>
      <c r="VUW77" s="277" t="s">
        <v>1072</v>
      </c>
      <c r="VUX77" s="277" t="s">
        <v>1072</v>
      </c>
      <c r="VUY77" s="277" t="s">
        <v>1072</v>
      </c>
      <c r="VUZ77" s="277" t="s">
        <v>1072</v>
      </c>
      <c r="VVA77" s="277" t="s">
        <v>1072</v>
      </c>
      <c r="VVB77" s="277" t="s">
        <v>1072</v>
      </c>
      <c r="VVC77" s="277" t="s">
        <v>1072</v>
      </c>
      <c r="VVD77" s="277" t="s">
        <v>1072</v>
      </c>
      <c r="VVE77" s="277" t="s">
        <v>1072</v>
      </c>
      <c r="VVF77" s="277" t="s">
        <v>1072</v>
      </c>
      <c r="VVG77" s="277" t="s">
        <v>1072</v>
      </c>
      <c r="VVH77" s="277" t="s">
        <v>1072</v>
      </c>
      <c r="VVI77" s="277" t="s">
        <v>1072</v>
      </c>
      <c r="VVJ77" s="277" t="s">
        <v>1072</v>
      </c>
      <c r="VVK77" s="277" t="s">
        <v>1072</v>
      </c>
      <c r="VVL77" s="277" t="s">
        <v>1072</v>
      </c>
      <c r="VVM77" s="277" t="s">
        <v>1072</v>
      </c>
      <c r="VVN77" s="277" t="s">
        <v>1072</v>
      </c>
      <c r="VVO77" s="277" t="s">
        <v>1072</v>
      </c>
      <c r="VVP77" s="277" t="s">
        <v>1072</v>
      </c>
      <c r="VVQ77" s="277" t="s">
        <v>1072</v>
      </c>
      <c r="VVR77" s="277" t="s">
        <v>1072</v>
      </c>
      <c r="VVS77" s="277" t="s">
        <v>1072</v>
      </c>
      <c r="VVT77" s="277" t="s">
        <v>1072</v>
      </c>
      <c r="VVU77" s="277" t="s">
        <v>1072</v>
      </c>
      <c r="VVV77" s="277" t="s">
        <v>1072</v>
      </c>
      <c r="VVW77" s="277" t="s">
        <v>1072</v>
      </c>
      <c r="VVX77" s="277" t="s">
        <v>1072</v>
      </c>
      <c r="VVY77" s="277" t="s">
        <v>1072</v>
      </c>
      <c r="VVZ77" s="277" t="s">
        <v>1072</v>
      </c>
      <c r="VWA77" s="277" t="s">
        <v>1072</v>
      </c>
      <c r="VWB77" s="277" t="s">
        <v>1072</v>
      </c>
      <c r="VWC77" s="277" t="s">
        <v>1072</v>
      </c>
      <c r="VWD77" s="277" t="s">
        <v>1072</v>
      </c>
      <c r="VWE77" s="277" t="s">
        <v>1072</v>
      </c>
      <c r="VWF77" s="277" t="s">
        <v>1072</v>
      </c>
      <c r="VWG77" s="277" t="s">
        <v>1072</v>
      </c>
      <c r="VWH77" s="277" t="s">
        <v>1072</v>
      </c>
      <c r="VWI77" s="277" t="s">
        <v>1072</v>
      </c>
      <c r="VWJ77" s="277" t="s">
        <v>1072</v>
      </c>
      <c r="VWK77" s="277" t="s">
        <v>1072</v>
      </c>
      <c r="VWL77" s="277" t="s">
        <v>1072</v>
      </c>
      <c r="VWM77" s="277" t="s">
        <v>1072</v>
      </c>
      <c r="VWN77" s="277" t="s">
        <v>1072</v>
      </c>
      <c r="VWO77" s="277" t="s">
        <v>1072</v>
      </c>
      <c r="VWP77" s="277" t="s">
        <v>1072</v>
      </c>
      <c r="VWQ77" s="277" t="s">
        <v>1072</v>
      </c>
      <c r="VWR77" s="277" t="s">
        <v>1072</v>
      </c>
      <c r="VWS77" s="277" t="s">
        <v>1072</v>
      </c>
      <c r="VWT77" s="277" t="s">
        <v>1072</v>
      </c>
      <c r="VWU77" s="277" t="s">
        <v>1072</v>
      </c>
      <c r="VWV77" s="277" t="s">
        <v>1072</v>
      </c>
      <c r="VWW77" s="277" t="s">
        <v>1072</v>
      </c>
      <c r="VWX77" s="277" t="s">
        <v>1072</v>
      </c>
      <c r="VWY77" s="277" t="s">
        <v>1072</v>
      </c>
      <c r="VWZ77" s="277" t="s">
        <v>1072</v>
      </c>
      <c r="VXA77" s="277" t="s">
        <v>1072</v>
      </c>
      <c r="VXB77" s="277" t="s">
        <v>1072</v>
      </c>
      <c r="VXC77" s="277" t="s">
        <v>1072</v>
      </c>
      <c r="VXD77" s="277" t="s">
        <v>1072</v>
      </c>
      <c r="VXE77" s="277" t="s">
        <v>1072</v>
      </c>
      <c r="VXF77" s="277" t="s">
        <v>1072</v>
      </c>
      <c r="VXG77" s="277" t="s">
        <v>1072</v>
      </c>
      <c r="VXH77" s="277" t="s">
        <v>1072</v>
      </c>
      <c r="VXI77" s="277" t="s">
        <v>1072</v>
      </c>
      <c r="VXJ77" s="277" t="s">
        <v>1072</v>
      </c>
      <c r="VXK77" s="277" t="s">
        <v>1072</v>
      </c>
      <c r="VXL77" s="277" t="s">
        <v>1072</v>
      </c>
      <c r="VXM77" s="277" t="s">
        <v>1072</v>
      </c>
      <c r="VXN77" s="277" t="s">
        <v>1072</v>
      </c>
      <c r="VXO77" s="277" t="s">
        <v>1072</v>
      </c>
      <c r="VXP77" s="277" t="s">
        <v>1072</v>
      </c>
      <c r="VXQ77" s="277" t="s">
        <v>1072</v>
      </c>
      <c r="VXR77" s="277" t="s">
        <v>1072</v>
      </c>
      <c r="VXS77" s="277" t="s">
        <v>1072</v>
      </c>
      <c r="VXT77" s="277" t="s">
        <v>1072</v>
      </c>
      <c r="VXU77" s="277" t="s">
        <v>1072</v>
      </c>
      <c r="VXV77" s="277" t="s">
        <v>1072</v>
      </c>
      <c r="VXW77" s="277" t="s">
        <v>1072</v>
      </c>
      <c r="VXX77" s="277" t="s">
        <v>1072</v>
      </c>
      <c r="VXY77" s="277" t="s">
        <v>1072</v>
      </c>
      <c r="VXZ77" s="277" t="s">
        <v>1072</v>
      </c>
      <c r="VYA77" s="277" t="s">
        <v>1072</v>
      </c>
      <c r="VYB77" s="277" t="s">
        <v>1072</v>
      </c>
      <c r="VYC77" s="277" t="s">
        <v>1072</v>
      </c>
      <c r="VYD77" s="277" t="s">
        <v>1072</v>
      </c>
      <c r="VYE77" s="277" t="s">
        <v>1072</v>
      </c>
      <c r="VYF77" s="277" t="s">
        <v>1072</v>
      </c>
      <c r="VYG77" s="277" t="s">
        <v>1072</v>
      </c>
      <c r="VYH77" s="277" t="s">
        <v>1072</v>
      </c>
      <c r="VYI77" s="277" t="s">
        <v>1072</v>
      </c>
      <c r="VYJ77" s="277" t="s">
        <v>1072</v>
      </c>
      <c r="VYK77" s="277" t="s">
        <v>1072</v>
      </c>
      <c r="VYL77" s="277" t="s">
        <v>1072</v>
      </c>
      <c r="VYM77" s="277" t="s">
        <v>1072</v>
      </c>
      <c r="VYN77" s="277" t="s">
        <v>1072</v>
      </c>
      <c r="VYO77" s="277" t="s">
        <v>1072</v>
      </c>
      <c r="VYP77" s="277" t="s">
        <v>1072</v>
      </c>
      <c r="VYQ77" s="277" t="s">
        <v>1072</v>
      </c>
      <c r="VYR77" s="277" t="s">
        <v>1072</v>
      </c>
      <c r="VYS77" s="277" t="s">
        <v>1072</v>
      </c>
      <c r="VYT77" s="277" t="s">
        <v>1072</v>
      </c>
      <c r="VYU77" s="277" t="s">
        <v>1072</v>
      </c>
      <c r="VYV77" s="277" t="s">
        <v>1072</v>
      </c>
      <c r="VYW77" s="277" t="s">
        <v>1072</v>
      </c>
      <c r="VYX77" s="277" t="s">
        <v>1072</v>
      </c>
      <c r="VYY77" s="277" t="s">
        <v>1072</v>
      </c>
      <c r="VYZ77" s="277" t="s">
        <v>1072</v>
      </c>
      <c r="VZA77" s="277" t="s">
        <v>1072</v>
      </c>
      <c r="VZB77" s="277" t="s">
        <v>1072</v>
      </c>
      <c r="VZC77" s="277" t="s">
        <v>1072</v>
      </c>
      <c r="VZD77" s="277" t="s">
        <v>1072</v>
      </c>
      <c r="VZE77" s="277" t="s">
        <v>1072</v>
      </c>
      <c r="VZF77" s="277" t="s">
        <v>1072</v>
      </c>
      <c r="VZG77" s="277" t="s">
        <v>1072</v>
      </c>
      <c r="VZH77" s="277" t="s">
        <v>1072</v>
      </c>
      <c r="VZI77" s="277" t="s">
        <v>1072</v>
      </c>
      <c r="VZJ77" s="277" t="s">
        <v>1072</v>
      </c>
      <c r="VZK77" s="277" t="s">
        <v>1072</v>
      </c>
      <c r="VZL77" s="277" t="s">
        <v>1072</v>
      </c>
      <c r="VZM77" s="277" t="s">
        <v>1072</v>
      </c>
      <c r="VZN77" s="277" t="s">
        <v>1072</v>
      </c>
      <c r="VZO77" s="277" t="s">
        <v>1072</v>
      </c>
      <c r="VZP77" s="277" t="s">
        <v>1072</v>
      </c>
      <c r="VZQ77" s="277" t="s">
        <v>1072</v>
      </c>
      <c r="VZR77" s="277" t="s">
        <v>1072</v>
      </c>
      <c r="VZS77" s="277" t="s">
        <v>1072</v>
      </c>
      <c r="VZT77" s="277" t="s">
        <v>1072</v>
      </c>
      <c r="VZU77" s="277" t="s">
        <v>1072</v>
      </c>
      <c r="VZV77" s="277" t="s">
        <v>1072</v>
      </c>
      <c r="VZW77" s="277" t="s">
        <v>1072</v>
      </c>
      <c r="VZX77" s="277" t="s">
        <v>1072</v>
      </c>
      <c r="VZY77" s="277" t="s">
        <v>1072</v>
      </c>
      <c r="VZZ77" s="277" t="s">
        <v>1072</v>
      </c>
      <c r="WAA77" s="277" t="s">
        <v>1072</v>
      </c>
      <c r="WAB77" s="277" t="s">
        <v>1072</v>
      </c>
      <c r="WAC77" s="277" t="s">
        <v>1072</v>
      </c>
      <c r="WAD77" s="277" t="s">
        <v>1072</v>
      </c>
      <c r="WAE77" s="277" t="s">
        <v>1072</v>
      </c>
      <c r="WAF77" s="277" t="s">
        <v>1072</v>
      </c>
      <c r="WAG77" s="277" t="s">
        <v>1072</v>
      </c>
      <c r="WAH77" s="277" t="s">
        <v>1072</v>
      </c>
      <c r="WAI77" s="277" t="s">
        <v>1072</v>
      </c>
      <c r="WAJ77" s="277" t="s">
        <v>1072</v>
      </c>
      <c r="WAK77" s="277" t="s">
        <v>1072</v>
      </c>
      <c r="WAL77" s="277" t="s">
        <v>1072</v>
      </c>
      <c r="WAM77" s="277" t="s">
        <v>1072</v>
      </c>
      <c r="WAN77" s="277" t="s">
        <v>1072</v>
      </c>
      <c r="WAO77" s="277" t="s">
        <v>1072</v>
      </c>
      <c r="WAP77" s="277" t="s">
        <v>1072</v>
      </c>
      <c r="WAQ77" s="277" t="s">
        <v>1072</v>
      </c>
      <c r="WAR77" s="277" t="s">
        <v>1072</v>
      </c>
      <c r="WAS77" s="277" t="s">
        <v>1072</v>
      </c>
      <c r="WAT77" s="277" t="s">
        <v>1072</v>
      </c>
      <c r="WAU77" s="277" t="s">
        <v>1072</v>
      </c>
      <c r="WAV77" s="277" t="s">
        <v>1072</v>
      </c>
      <c r="WAW77" s="277" t="s">
        <v>1072</v>
      </c>
      <c r="WAX77" s="277" t="s">
        <v>1072</v>
      </c>
      <c r="WAY77" s="277" t="s">
        <v>1072</v>
      </c>
      <c r="WAZ77" s="277" t="s">
        <v>1072</v>
      </c>
      <c r="WBA77" s="277" t="s">
        <v>1072</v>
      </c>
      <c r="WBB77" s="277" t="s">
        <v>1072</v>
      </c>
      <c r="WBC77" s="277" t="s">
        <v>1072</v>
      </c>
      <c r="WBD77" s="277" t="s">
        <v>1072</v>
      </c>
      <c r="WBE77" s="277" t="s">
        <v>1072</v>
      </c>
      <c r="WBF77" s="277" t="s">
        <v>1072</v>
      </c>
      <c r="WBG77" s="277" t="s">
        <v>1072</v>
      </c>
      <c r="WBH77" s="277" t="s">
        <v>1072</v>
      </c>
      <c r="WBI77" s="277" t="s">
        <v>1072</v>
      </c>
      <c r="WBJ77" s="277" t="s">
        <v>1072</v>
      </c>
      <c r="WBK77" s="277" t="s">
        <v>1072</v>
      </c>
      <c r="WBL77" s="277" t="s">
        <v>1072</v>
      </c>
      <c r="WBM77" s="277" t="s">
        <v>1072</v>
      </c>
      <c r="WBN77" s="277" t="s">
        <v>1072</v>
      </c>
      <c r="WBO77" s="277" t="s">
        <v>1072</v>
      </c>
      <c r="WBP77" s="277" t="s">
        <v>1072</v>
      </c>
      <c r="WBQ77" s="277" t="s">
        <v>1072</v>
      </c>
      <c r="WBR77" s="277" t="s">
        <v>1072</v>
      </c>
      <c r="WBS77" s="277" t="s">
        <v>1072</v>
      </c>
      <c r="WBT77" s="277" t="s">
        <v>1072</v>
      </c>
      <c r="WBU77" s="277" t="s">
        <v>1072</v>
      </c>
      <c r="WBV77" s="277" t="s">
        <v>1072</v>
      </c>
      <c r="WBW77" s="277" t="s">
        <v>1072</v>
      </c>
      <c r="WBX77" s="277" t="s">
        <v>1072</v>
      </c>
      <c r="WBY77" s="277" t="s">
        <v>1072</v>
      </c>
      <c r="WBZ77" s="277" t="s">
        <v>1072</v>
      </c>
      <c r="WCA77" s="277" t="s">
        <v>1072</v>
      </c>
      <c r="WCB77" s="277" t="s">
        <v>1072</v>
      </c>
      <c r="WCC77" s="277" t="s">
        <v>1072</v>
      </c>
      <c r="WCD77" s="277" t="s">
        <v>1072</v>
      </c>
      <c r="WCE77" s="277" t="s">
        <v>1072</v>
      </c>
      <c r="WCF77" s="277" t="s">
        <v>1072</v>
      </c>
      <c r="WCG77" s="277" t="s">
        <v>1072</v>
      </c>
      <c r="WCH77" s="277" t="s">
        <v>1072</v>
      </c>
      <c r="WCI77" s="277" t="s">
        <v>1072</v>
      </c>
      <c r="WCJ77" s="277" t="s">
        <v>1072</v>
      </c>
      <c r="WCK77" s="277" t="s">
        <v>1072</v>
      </c>
      <c r="WCL77" s="277" t="s">
        <v>1072</v>
      </c>
      <c r="WCM77" s="277" t="s">
        <v>1072</v>
      </c>
      <c r="WCN77" s="277" t="s">
        <v>1072</v>
      </c>
      <c r="WCO77" s="277" t="s">
        <v>1072</v>
      </c>
      <c r="WCP77" s="277" t="s">
        <v>1072</v>
      </c>
      <c r="WCQ77" s="277" t="s">
        <v>1072</v>
      </c>
      <c r="WCR77" s="277" t="s">
        <v>1072</v>
      </c>
      <c r="WCS77" s="277" t="s">
        <v>1072</v>
      </c>
      <c r="WCT77" s="277" t="s">
        <v>1072</v>
      </c>
      <c r="WCU77" s="277" t="s">
        <v>1072</v>
      </c>
      <c r="WCV77" s="277" t="s">
        <v>1072</v>
      </c>
      <c r="WCW77" s="277" t="s">
        <v>1072</v>
      </c>
      <c r="WCX77" s="277" t="s">
        <v>1072</v>
      </c>
      <c r="WCY77" s="277" t="s">
        <v>1072</v>
      </c>
      <c r="WCZ77" s="277" t="s">
        <v>1072</v>
      </c>
      <c r="WDA77" s="277" t="s">
        <v>1072</v>
      </c>
      <c r="WDB77" s="277" t="s">
        <v>1072</v>
      </c>
      <c r="WDC77" s="277" t="s">
        <v>1072</v>
      </c>
      <c r="WDD77" s="277" t="s">
        <v>1072</v>
      </c>
      <c r="WDE77" s="277" t="s">
        <v>1072</v>
      </c>
      <c r="WDF77" s="277" t="s">
        <v>1072</v>
      </c>
      <c r="WDG77" s="277" t="s">
        <v>1072</v>
      </c>
      <c r="WDH77" s="277" t="s">
        <v>1072</v>
      </c>
      <c r="WDI77" s="277" t="s">
        <v>1072</v>
      </c>
      <c r="WDJ77" s="277" t="s">
        <v>1072</v>
      </c>
      <c r="WDK77" s="277" t="s">
        <v>1072</v>
      </c>
      <c r="WDL77" s="277" t="s">
        <v>1072</v>
      </c>
      <c r="WDM77" s="277" t="s">
        <v>1072</v>
      </c>
      <c r="WDN77" s="277" t="s">
        <v>1072</v>
      </c>
      <c r="WDO77" s="277" t="s">
        <v>1072</v>
      </c>
      <c r="WDP77" s="277" t="s">
        <v>1072</v>
      </c>
      <c r="WDQ77" s="277" t="s">
        <v>1072</v>
      </c>
      <c r="WDR77" s="277" t="s">
        <v>1072</v>
      </c>
      <c r="WDS77" s="277" t="s">
        <v>1072</v>
      </c>
      <c r="WDT77" s="277" t="s">
        <v>1072</v>
      </c>
      <c r="WDU77" s="277" t="s">
        <v>1072</v>
      </c>
      <c r="WDV77" s="277" t="s">
        <v>1072</v>
      </c>
      <c r="WDW77" s="277" t="s">
        <v>1072</v>
      </c>
      <c r="WDX77" s="277" t="s">
        <v>1072</v>
      </c>
      <c r="WDY77" s="277" t="s">
        <v>1072</v>
      </c>
      <c r="WDZ77" s="277" t="s">
        <v>1072</v>
      </c>
      <c r="WEA77" s="277" t="s">
        <v>1072</v>
      </c>
      <c r="WEB77" s="277" t="s">
        <v>1072</v>
      </c>
      <c r="WEC77" s="277" t="s">
        <v>1072</v>
      </c>
      <c r="WED77" s="277" t="s">
        <v>1072</v>
      </c>
      <c r="WEE77" s="277" t="s">
        <v>1072</v>
      </c>
      <c r="WEF77" s="277" t="s">
        <v>1072</v>
      </c>
      <c r="WEG77" s="277" t="s">
        <v>1072</v>
      </c>
      <c r="WEH77" s="277" t="s">
        <v>1072</v>
      </c>
      <c r="WEI77" s="277" t="s">
        <v>1072</v>
      </c>
      <c r="WEJ77" s="277" t="s">
        <v>1072</v>
      </c>
      <c r="WEK77" s="277" t="s">
        <v>1072</v>
      </c>
      <c r="WEL77" s="277" t="s">
        <v>1072</v>
      </c>
      <c r="WEM77" s="277" t="s">
        <v>1072</v>
      </c>
      <c r="WEN77" s="277" t="s">
        <v>1072</v>
      </c>
      <c r="WEO77" s="277" t="s">
        <v>1072</v>
      </c>
      <c r="WEP77" s="277" t="s">
        <v>1072</v>
      </c>
      <c r="WEQ77" s="277" t="s">
        <v>1072</v>
      </c>
      <c r="WER77" s="277" t="s">
        <v>1072</v>
      </c>
      <c r="WES77" s="277" t="s">
        <v>1072</v>
      </c>
      <c r="WET77" s="277" t="s">
        <v>1072</v>
      </c>
      <c r="WEU77" s="277" t="s">
        <v>1072</v>
      </c>
      <c r="WEV77" s="277" t="s">
        <v>1072</v>
      </c>
      <c r="WEW77" s="277" t="s">
        <v>1072</v>
      </c>
      <c r="WEX77" s="277" t="s">
        <v>1072</v>
      </c>
      <c r="WEY77" s="277" t="s">
        <v>1072</v>
      </c>
      <c r="WEZ77" s="277" t="s">
        <v>1072</v>
      </c>
      <c r="WFA77" s="277" t="s">
        <v>1072</v>
      </c>
      <c r="WFB77" s="277" t="s">
        <v>1072</v>
      </c>
      <c r="WFC77" s="277" t="s">
        <v>1072</v>
      </c>
      <c r="WFD77" s="277" t="s">
        <v>1072</v>
      </c>
      <c r="WFE77" s="277" t="s">
        <v>1072</v>
      </c>
      <c r="WFF77" s="277" t="s">
        <v>1072</v>
      </c>
      <c r="WFG77" s="277" t="s">
        <v>1072</v>
      </c>
      <c r="WFH77" s="277" t="s">
        <v>1072</v>
      </c>
      <c r="WFI77" s="277" t="s">
        <v>1072</v>
      </c>
      <c r="WFJ77" s="277" t="s">
        <v>1072</v>
      </c>
      <c r="WFK77" s="277" t="s">
        <v>1072</v>
      </c>
      <c r="WFL77" s="277" t="s">
        <v>1072</v>
      </c>
      <c r="WFM77" s="277" t="s">
        <v>1072</v>
      </c>
      <c r="WFN77" s="277" t="s">
        <v>1072</v>
      </c>
      <c r="WFO77" s="277" t="s">
        <v>1072</v>
      </c>
      <c r="WFP77" s="277" t="s">
        <v>1072</v>
      </c>
      <c r="WFQ77" s="277" t="s">
        <v>1072</v>
      </c>
      <c r="WFR77" s="277" t="s">
        <v>1072</v>
      </c>
      <c r="WFS77" s="277" t="s">
        <v>1072</v>
      </c>
      <c r="WFT77" s="277" t="s">
        <v>1072</v>
      </c>
      <c r="WFU77" s="277" t="s">
        <v>1072</v>
      </c>
      <c r="WFV77" s="277" t="s">
        <v>1072</v>
      </c>
      <c r="WFW77" s="277" t="s">
        <v>1072</v>
      </c>
      <c r="WFX77" s="277" t="s">
        <v>1072</v>
      </c>
      <c r="WFY77" s="277" t="s">
        <v>1072</v>
      </c>
      <c r="WFZ77" s="277" t="s">
        <v>1072</v>
      </c>
      <c r="WGA77" s="277" t="s">
        <v>1072</v>
      </c>
      <c r="WGB77" s="277" t="s">
        <v>1072</v>
      </c>
      <c r="WGC77" s="277" t="s">
        <v>1072</v>
      </c>
      <c r="WGD77" s="277" t="s">
        <v>1072</v>
      </c>
      <c r="WGE77" s="277" t="s">
        <v>1072</v>
      </c>
      <c r="WGF77" s="277" t="s">
        <v>1072</v>
      </c>
      <c r="WGG77" s="277" t="s">
        <v>1072</v>
      </c>
      <c r="WGH77" s="277" t="s">
        <v>1072</v>
      </c>
      <c r="WGI77" s="277" t="s">
        <v>1072</v>
      </c>
      <c r="WGJ77" s="277" t="s">
        <v>1072</v>
      </c>
      <c r="WGK77" s="277" t="s">
        <v>1072</v>
      </c>
      <c r="WGL77" s="277" t="s">
        <v>1072</v>
      </c>
      <c r="WGM77" s="277" t="s">
        <v>1072</v>
      </c>
      <c r="WGN77" s="277" t="s">
        <v>1072</v>
      </c>
      <c r="WGO77" s="277" t="s">
        <v>1072</v>
      </c>
      <c r="WGP77" s="277" t="s">
        <v>1072</v>
      </c>
      <c r="WGQ77" s="277" t="s">
        <v>1072</v>
      </c>
      <c r="WGR77" s="277" t="s">
        <v>1072</v>
      </c>
      <c r="WGS77" s="277" t="s">
        <v>1072</v>
      </c>
      <c r="WGT77" s="277" t="s">
        <v>1072</v>
      </c>
      <c r="WGU77" s="277" t="s">
        <v>1072</v>
      </c>
      <c r="WGV77" s="277" t="s">
        <v>1072</v>
      </c>
      <c r="WGW77" s="277" t="s">
        <v>1072</v>
      </c>
      <c r="WGX77" s="277" t="s">
        <v>1072</v>
      </c>
      <c r="WGY77" s="277" t="s">
        <v>1072</v>
      </c>
      <c r="WGZ77" s="277" t="s">
        <v>1072</v>
      </c>
      <c r="WHA77" s="277" t="s">
        <v>1072</v>
      </c>
      <c r="WHB77" s="277" t="s">
        <v>1072</v>
      </c>
      <c r="WHC77" s="277" t="s">
        <v>1072</v>
      </c>
      <c r="WHD77" s="277" t="s">
        <v>1072</v>
      </c>
      <c r="WHE77" s="277" t="s">
        <v>1072</v>
      </c>
      <c r="WHF77" s="277" t="s">
        <v>1072</v>
      </c>
      <c r="WHG77" s="277" t="s">
        <v>1072</v>
      </c>
      <c r="WHH77" s="277" t="s">
        <v>1072</v>
      </c>
      <c r="WHI77" s="277" t="s">
        <v>1072</v>
      </c>
      <c r="WHJ77" s="277" t="s">
        <v>1072</v>
      </c>
      <c r="WHK77" s="277" t="s">
        <v>1072</v>
      </c>
      <c r="WHL77" s="277" t="s">
        <v>1072</v>
      </c>
      <c r="WHM77" s="277" t="s">
        <v>1072</v>
      </c>
      <c r="WHN77" s="277" t="s">
        <v>1072</v>
      </c>
      <c r="WHO77" s="277" t="s">
        <v>1072</v>
      </c>
      <c r="WHP77" s="277" t="s">
        <v>1072</v>
      </c>
      <c r="WHQ77" s="277" t="s">
        <v>1072</v>
      </c>
      <c r="WHR77" s="277" t="s">
        <v>1072</v>
      </c>
      <c r="WHS77" s="277" t="s">
        <v>1072</v>
      </c>
      <c r="WHT77" s="277" t="s">
        <v>1072</v>
      </c>
      <c r="WHU77" s="277" t="s">
        <v>1072</v>
      </c>
      <c r="WHV77" s="277" t="s">
        <v>1072</v>
      </c>
      <c r="WHW77" s="277" t="s">
        <v>1072</v>
      </c>
      <c r="WHX77" s="277" t="s">
        <v>1072</v>
      </c>
      <c r="WHY77" s="277" t="s">
        <v>1072</v>
      </c>
      <c r="WHZ77" s="277" t="s">
        <v>1072</v>
      </c>
      <c r="WIA77" s="277" t="s">
        <v>1072</v>
      </c>
      <c r="WIB77" s="277" t="s">
        <v>1072</v>
      </c>
      <c r="WIC77" s="277" t="s">
        <v>1072</v>
      </c>
      <c r="WID77" s="277" t="s">
        <v>1072</v>
      </c>
      <c r="WIE77" s="277" t="s">
        <v>1072</v>
      </c>
      <c r="WIF77" s="277" t="s">
        <v>1072</v>
      </c>
      <c r="WIG77" s="277" t="s">
        <v>1072</v>
      </c>
      <c r="WIH77" s="277" t="s">
        <v>1072</v>
      </c>
      <c r="WII77" s="277" t="s">
        <v>1072</v>
      </c>
      <c r="WIJ77" s="277" t="s">
        <v>1072</v>
      </c>
      <c r="WIK77" s="277" t="s">
        <v>1072</v>
      </c>
      <c r="WIL77" s="277" t="s">
        <v>1072</v>
      </c>
      <c r="WIM77" s="277" t="s">
        <v>1072</v>
      </c>
      <c r="WIN77" s="277" t="s">
        <v>1072</v>
      </c>
      <c r="WIO77" s="277" t="s">
        <v>1072</v>
      </c>
      <c r="WIP77" s="277" t="s">
        <v>1072</v>
      </c>
      <c r="WIQ77" s="277" t="s">
        <v>1072</v>
      </c>
      <c r="WIR77" s="277" t="s">
        <v>1072</v>
      </c>
      <c r="WIS77" s="277" t="s">
        <v>1072</v>
      </c>
      <c r="WIT77" s="277" t="s">
        <v>1072</v>
      </c>
      <c r="WIU77" s="277" t="s">
        <v>1072</v>
      </c>
      <c r="WIV77" s="277" t="s">
        <v>1072</v>
      </c>
      <c r="WIW77" s="277" t="s">
        <v>1072</v>
      </c>
      <c r="WIX77" s="277" t="s">
        <v>1072</v>
      </c>
      <c r="WIY77" s="277" t="s">
        <v>1072</v>
      </c>
      <c r="WIZ77" s="277" t="s">
        <v>1072</v>
      </c>
      <c r="WJA77" s="277" t="s">
        <v>1072</v>
      </c>
      <c r="WJB77" s="277" t="s">
        <v>1072</v>
      </c>
      <c r="WJC77" s="277" t="s">
        <v>1072</v>
      </c>
      <c r="WJD77" s="277" t="s">
        <v>1072</v>
      </c>
      <c r="WJE77" s="277" t="s">
        <v>1072</v>
      </c>
      <c r="WJF77" s="277" t="s">
        <v>1072</v>
      </c>
      <c r="WJG77" s="277" t="s">
        <v>1072</v>
      </c>
      <c r="WJH77" s="277" t="s">
        <v>1072</v>
      </c>
      <c r="WJI77" s="277" t="s">
        <v>1072</v>
      </c>
      <c r="WJJ77" s="277" t="s">
        <v>1072</v>
      </c>
      <c r="WJK77" s="277" t="s">
        <v>1072</v>
      </c>
      <c r="WJL77" s="277" t="s">
        <v>1072</v>
      </c>
      <c r="WJM77" s="277" t="s">
        <v>1072</v>
      </c>
      <c r="WJN77" s="277" t="s">
        <v>1072</v>
      </c>
      <c r="WJO77" s="277" t="s">
        <v>1072</v>
      </c>
      <c r="WJP77" s="277" t="s">
        <v>1072</v>
      </c>
      <c r="WJQ77" s="277" t="s">
        <v>1072</v>
      </c>
      <c r="WJR77" s="277" t="s">
        <v>1072</v>
      </c>
      <c r="WJS77" s="277" t="s">
        <v>1072</v>
      </c>
      <c r="WJT77" s="277" t="s">
        <v>1072</v>
      </c>
      <c r="WJU77" s="277" t="s">
        <v>1072</v>
      </c>
      <c r="WJV77" s="277" t="s">
        <v>1072</v>
      </c>
      <c r="WJW77" s="277" t="s">
        <v>1072</v>
      </c>
      <c r="WJX77" s="277" t="s">
        <v>1072</v>
      </c>
      <c r="WJY77" s="277" t="s">
        <v>1072</v>
      </c>
      <c r="WJZ77" s="277" t="s">
        <v>1072</v>
      </c>
      <c r="WKA77" s="277" t="s">
        <v>1072</v>
      </c>
      <c r="WKB77" s="277" t="s">
        <v>1072</v>
      </c>
      <c r="WKC77" s="277" t="s">
        <v>1072</v>
      </c>
      <c r="WKD77" s="277" t="s">
        <v>1072</v>
      </c>
      <c r="WKE77" s="277" t="s">
        <v>1072</v>
      </c>
      <c r="WKF77" s="277" t="s">
        <v>1072</v>
      </c>
      <c r="WKG77" s="277" t="s">
        <v>1072</v>
      </c>
      <c r="WKH77" s="277" t="s">
        <v>1072</v>
      </c>
      <c r="WKI77" s="277" t="s">
        <v>1072</v>
      </c>
      <c r="WKJ77" s="277" t="s">
        <v>1072</v>
      </c>
      <c r="WKK77" s="277" t="s">
        <v>1072</v>
      </c>
      <c r="WKL77" s="277" t="s">
        <v>1072</v>
      </c>
      <c r="WKM77" s="277" t="s">
        <v>1072</v>
      </c>
      <c r="WKN77" s="277" t="s">
        <v>1072</v>
      </c>
      <c r="WKO77" s="277" t="s">
        <v>1072</v>
      </c>
      <c r="WKP77" s="277" t="s">
        <v>1072</v>
      </c>
      <c r="WKQ77" s="277" t="s">
        <v>1072</v>
      </c>
      <c r="WKR77" s="277" t="s">
        <v>1072</v>
      </c>
      <c r="WKS77" s="277" t="s">
        <v>1072</v>
      </c>
      <c r="WKT77" s="277" t="s">
        <v>1072</v>
      </c>
      <c r="WKU77" s="277" t="s">
        <v>1072</v>
      </c>
      <c r="WKV77" s="277" t="s">
        <v>1072</v>
      </c>
      <c r="WKW77" s="277" t="s">
        <v>1072</v>
      </c>
      <c r="WKX77" s="277" t="s">
        <v>1072</v>
      </c>
      <c r="WKY77" s="277" t="s">
        <v>1072</v>
      </c>
      <c r="WKZ77" s="277" t="s">
        <v>1072</v>
      </c>
      <c r="WLA77" s="277" t="s">
        <v>1072</v>
      </c>
      <c r="WLB77" s="277" t="s">
        <v>1072</v>
      </c>
      <c r="WLC77" s="277" t="s">
        <v>1072</v>
      </c>
      <c r="WLD77" s="277" t="s">
        <v>1072</v>
      </c>
      <c r="WLE77" s="277" t="s">
        <v>1072</v>
      </c>
      <c r="WLF77" s="277" t="s">
        <v>1072</v>
      </c>
      <c r="WLG77" s="277" t="s">
        <v>1072</v>
      </c>
      <c r="WLH77" s="277" t="s">
        <v>1072</v>
      </c>
      <c r="WLI77" s="277" t="s">
        <v>1072</v>
      </c>
      <c r="WLJ77" s="277" t="s">
        <v>1072</v>
      </c>
      <c r="WLK77" s="277" t="s">
        <v>1072</v>
      </c>
      <c r="WLL77" s="277" t="s">
        <v>1072</v>
      </c>
      <c r="WLM77" s="277" t="s">
        <v>1072</v>
      </c>
      <c r="WLN77" s="277" t="s">
        <v>1072</v>
      </c>
      <c r="WLO77" s="277" t="s">
        <v>1072</v>
      </c>
      <c r="WLP77" s="277" t="s">
        <v>1072</v>
      </c>
      <c r="WLQ77" s="277" t="s">
        <v>1072</v>
      </c>
      <c r="WLR77" s="277" t="s">
        <v>1072</v>
      </c>
      <c r="WLS77" s="277" t="s">
        <v>1072</v>
      </c>
      <c r="WLT77" s="277" t="s">
        <v>1072</v>
      </c>
      <c r="WLU77" s="277" t="s">
        <v>1072</v>
      </c>
      <c r="WLV77" s="277" t="s">
        <v>1072</v>
      </c>
      <c r="WLW77" s="277" t="s">
        <v>1072</v>
      </c>
      <c r="WLX77" s="277" t="s">
        <v>1072</v>
      </c>
      <c r="WLY77" s="277" t="s">
        <v>1072</v>
      </c>
      <c r="WLZ77" s="277" t="s">
        <v>1072</v>
      </c>
      <c r="WMA77" s="277" t="s">
        <v>1072</v>
      </c>
      <c r="WMB77" s="277" t="s">
        <v>1072</v>
      </c>
      <c r="WMC77" s="277" t="s">
        <v>1072</v>
      </c>
      <c r="WMD77" s="277" t="s">
        <v>1072</v>
      </c>
      <c r="WME77" s="277" t="s">
        <v>1072</v>
      </c>
      <c r="WMF77" s="277" t="s">
        <v>1072</v>
      </c>
      <c r="WMG77" s="277" t="s">
        <v>1072</v>
      </c>
      <c r="WMH77" s="277" t="s">
        <v>1072</v>
      </c>
      <c r="WMI77" s="277" t="s">
        <v>1072</v>
      </c>
      <c r="WMJ77" s="277" t="s">
        <v>1072</v>
      </c>
      <c r="WMK77" s="277" t="s">
        <v>1072</v>
      </c>
      <c r="WML77" s="277" t="s">
        <v>1072</v>
      </c>
      <c r="WMM77" s="277" t="s">
        <v>1072</v>
      </c>
      <c r="WMN77" s="277" t="s">
        <v>1072</v>
      </c>
      <c r="WMO77" s="277" t="s">
        <v>1072</v>
      </c>
      <c r="WMP77" s="277" t="s">
        <v>1072</v>
      </c>
      <c r="WMQ77" s="277" t="s">
        <v>1072</v>
      </c>
      <c r="WMR77" s="277" t="s">
        <v>1072</v>
      </c>
      <c r="WMS77" s="277" t="s">
        <v>1072</v>
      </c>
      <c r="WMT77" s="277" t="s">
        <v>1072</v>
      </c>
      <c r="WMU77" s="277" t="s">
        <v>1072</v>
      </c>
      <c r="WMV77" s="277" t="s">
        <v>1072</v>
      </c>
      <c r="WMW77" s="277" t="s">
        <v>1072</v>
      </c>
      <c r="WMX77" s="277" t="s">
        <v>1072</v>
      </c>
      <c r="WMY77" s="277" t="s">
        <v>1072</v>
      </c>
      <c r="WMZ77" s="277" t="s">
        <v>1072</v>
      </c>
      <c r="WNA77" s="277" t="s">
        <v>1072</v>
      </c>
      <c r="WNB77" s="277" t="s">
        <v>1072</v>
      </c>
      <c r="WNC77" s="277" t="s">
        <v>1072</v>
      </c>
      <c r="WND77" s="277" t="s">
        <v>1072</v>
      </c>
      <c r="WNE77" s="277" t="s">
        <v>1072</v>
      </c>
      <c r="WNF77" s="277" t="s">
        <v>1072</v>
      </c>
      <c r="WNG77" s="277" t="s">
        <v>1072</v>
      </c>
      <c r="WNH77" s="277" t="s">
        <v>1072</v>
      </c>
      <c r="WNI77" s="277" t="s">
        <v>1072</v>
      </c>
      <c r="WNJ77" s="277" t="s">
        <v>1072</v>
      </c>
      <c r="WNK77" s="277" t="s">
        <v>1072</v>
      </c>
      <c r="WNL77" s="277" t="s">
        <v>1072</v>
      </c>
      <c r="WNM77" s="277" t="s">
        <v>1072</v>
      </c>
      <c r="WNN77" s="277" t="s">
        <v>1072</v>
      </c>
      <c r="WNO77" s="277" t="s">
        <v>1072</v>
      </c>
      <c r="WNP77" s="277" t="s">
        <v>1072</v>
      </c>
      <c r="WNQ77" s="277" t="s">
        <v>1072</v>
      </c>
      <c r="WNR77" s="277" t="s">
        <v>1072</v>
      </c>
      <c r="WNS77" s="277" t="s">
        <v>1072</v>
      </c>
      <c r="WNT77" s="277" t="s">
        <v>1072</v>
      </c>
      <c r="WNU77" s="277" t="s">
        <v>1072</v>
      </c>
      <c r="WNV77" s="277" t="s">
        <v>1072</v>
      </c>
      <c r="WNW77" s="277" t="s">
        <v>1072</v>
      </c>
      <c r="WNX77" s="277" t="s">
        <v>1072</v>
      </c>
      <c r="WNY77" s="277" t="s">
        <v>1072</v>
      </c>
      <c r="WNZ77" s="277" t="s">
        <v>1072</v>
      </c>
      <c r="WOA77" s="277" t="s">
        <v>1072</v>
      </c>
      <c r="WOB77" s="277" t="s">
        <v>1072</v>
      </c>
      <c r="WOC77" s="277" t="s">
        <v>1072</v>
      </c>
      <c r="WOD77" s="277" t="s">
        <v>1072</v>
      </c>
      <c r="WOE77" s="277" t="s">
        <v>1072</v>
      </c>
      <c r="WOF77" s="277" t="s">
        <v>1072</v>
      </c>
      <c r="WOG77" s="277" t="s">
        <v>1072</v>
      </c>
      <c r="WOH77" s="277" t="s">
        <v>1072</v>
      </c>
      <c r="WOI77" s="277" t="s">
        <v>1072</v>
      </c>
      <c r="WOJ77" s="277" t="s">
        <v>1072</v>
      </c>
      <c r="WOK77" s="277" t="s">
        <v>1072</v>
      </c>
      <c r="WOL77" s="277" t="s">
        <v>1072</v>
      </c>
      <c r="WOM77" s="277" t="s">
        <v>1072</v>
      </c>
      <c r="WON77" s="277" t="s">
        <v>1072</v>
      </c>
      <c r="WOO77" s="277" t="s">
        <v>1072</v>
      </c>
      <c r="WOP77" s="277" t="s">
        <v>1072</v>
      </c>
      <c r="WOQ77" s="277" t="s">
        <v>1072</v>
      </c>
      <c r="WOR77" s="277" t="s">
        <v>1072</v>
      </c>
      <c r="WOS77" s="277" t="s">
        <v>1072</v>
      </c>
      <c r="WOT77" s="277" t="s">
        <v>1072</v>
      </c>
      <c r="WOU77" s="277" t="s">
        <v>1072</v>
      </c>
      <c r="WOV77" s="277" t="s">
        <v>1072</v>
      </c>
      <c r="WOW77" s="277" t="s">
        <v>1072</v>
      </c>
      <c r="WOX77" s="277" t="s">
        <v>1072</v>
      </c>
      <c r="WOY77" s="277" t="s">
        <v>1072</v>
      </c>
      <c r="WOZ77" s="277" t="s">
        <v>1072</v>
      </c>
      <c r="WPA77" s="277" t="s">
        <v>1072</v>
      </c>
      <c r="WPB77" s="277" t="s">
        <v>1072</v>
      </c>
      <c r="WPC77" s="277" t="s">
        <v>1072</v>
      </c>
      <c r="WPD77" s="277" t="s">
        <v>1072</v>
      </c>
      <c r="WPE77" s="277" t="s">
        <v>1072</v>
      </c>
      <c r="WPF77" s="277" t="s">
        <v>1072</v>
      </c>
      <c r="WPG77" s="277" t="s">
        <v>1072</v>
      </c>
      <c r="WPH77" s="277" t="s">
        <v>1072</v>
      </c>
      <c r="WPI77" s="277" t="s">
        <v>1072</v>
      </c>
      <c r="WPJ77" s="277" t="s">
        <v>1072</v>
      </c>
      <c r="WPK77" s="277" t="s">
        <v>1072</v>
      </c>
      <c r="WPL77" s="277" t="s">
        <v>1072</v>
      </c>
      <c r="WPM77" s="277" t="s">
        <v>1072</v>
      </c>
      <c r="WPN77" s="277" t="s">
        <v>1072</v>
      </c>
      <c r="WPO77" s="277" t="s">
        <v>1072</v>
      </c>
      <c r="WPP77" s="277" t="s">
        <v>1072</v>
      </c>
      <c r="WPQ77" s="277" t="s">
        <v>1072</v>
      </c>
      <c r="WPR77" s="277" t="s">
        <v>1072</v>
      </c>
      <c r="WPS77" s="277" t="s">
        <v>1072</v>
      </c>
      <c r="WPT77" s="277" t="s">
        <v>1072</v>
      </c>
      <c r="WPU77" s="277" t="s">
        <v>1072</v>
      </c>
      <c r="WPV77" s="277" t="s">
        <v>1072</v>
      </c>
      <c r="WPW77" s="277" t="s">
        <v>1072</v>
      </c>
      <c r="WPX77" s="277" t="s">
        <v>1072</v>
      </c>
      <c r="WPY77" s="277" t="s">
        <v>1072</v>
      </c>
      <c r="WPZ77" s="277" t="s">
        <v>1072</v>
      </c>
      <c r="WQA77" s="277" t="s">
        <v>1072</v>
      </c>
      <c r="WQB77" s="277" t="s">
        <v>1072</v>
      </c>
      <c r="WQC77" s="277" t="s">
        <v>1072</v>
      </c>
      <c r="WQD77" s="277" t="s">
        <v>1072</v>
      </c>
      <c r="WQE77" s="277" t="s">
        <v>1072</v>
      </c>
      <c r="WQF77" s="277" t="s">
        <v>1072</v>
      </c>
      <c r="WQG77" s="277" t="s">
        <v>1072</v>
      </c>
      <c r="WQH77" s="277" t="s">
        <v>1072</v>
      </c>
      <c r="WQI77" s="277" t="s">
        <v>1072</v>
      </c>
      <c r="WQJ77" s="277" t="s">
        <v>1072</v>
      </c>
      <c r="WQK77" s="277" t="s">
        <v>1072</v>
      </c>
      <c r="WQL77" s="277" t="s">
        <v>1072</v>
      </c>
      <c r="WQM77" s="277" t="s">
        <v>1072</v>
      </c>
      <c r="WQN77" s="277" t="s">
        <v>1072</v>
      </c>
      <c r="WQO77" s="277" t="s">
        <v>1072</v>
      </c>
      <c r="WQP77" s="277" t="s">
        <v>1072</v>
      </c>
      <c r="WQQ77" s="277" t="s">
        <v>1072</v>
      </c>
      <c r="WQR77" s="277" t="s">
        <v>1072</v>
      </c>
      <c r="WQS77" s="277" t="s">
        <v>1072</v>
      </c>
      <c r="WQT77" s="277" t="s">
        <v>1072</v>
      </c>
      <c r="WQU77" s="277" t="s">
        <v>1072</v>
      </c>
      <c r="WQV77" s="277" t="s">
        <v>1072</v>
      </c>
      <c r="WQW77" s="277" t="s">
        <v>1072</v>
      </c>
      <c r="WQX77" s="277" t="s">
        <v>1072</v>
      </c>
      <c r="WQY77" s="277" t="s">
        <v>1072</v>
      </c>
      <c r="WQZ77" s="277" t="s">
        <v>1072</v>
      </c>
      <c r="WRA77" s="277" t="s">
        <v>1072</v>
      </c>
      <c r="WRB77" s="277" t="s">
        <v>1072</v>
      </c>
      <c r="WRC77" s="277" t="s">
        <v>1072</v>
      </c>
      <c r="WRD77" s="277" t="s">
        <v>1072</v>
      </c>
      <c r="WRE77" s="277" t="s">
        <v>1072</v>
      </c>
      <c r="WRF77" s="277" t="s">
        <v>1072</v>
      </c>
      <c r="WRG77" s="277" t="s">
        <v>1072</v>
      </c>
      <c r="WRH77" s="277" t="s">
        <v>1072</v>
      </c>
      <c r="WRI77" s="277" t="s">
        <v>1072</v>
      </c>
      <c r="WRJ77" s="277" t="s">
        <v>1072</v>
      </c>
      <c r="WRK77" s="277" t="s">
        <v>1072</v>
      </c>
      <c r="WRL77" s="277" t="s">
        <v>1072</v>
      </c>
      <c r="WRM77" s="277" t="s">
        <v>1072</v>
      </c>
      <c r="WRN77" s="277" t="s">
        <v>1072</v>
      </c>
      <c r="WRO77" s="277" t="s">
        <v>1072</v>
      </c>
      <c r="WRP77" s="277" t="s">
        <v>1072</v>
      </c>
      <c r="WRQ77" s="277" t="s">
        <v>1072</v>
      </c>
      <c r="WRR77" s="277" t="s">
        <v>1072</v>
      </c>
      <c r="WRS77" s="277" t="s">
        <v>1072</v>
      </c>
      <c r="WRT77" s="277" t="s">
        <v>1072</v>
      </c>
      <c r="WRU77" s="277" t="s">
        <v>1072</v>
      </c>
      <c r="WRV77" s="277" t="s">
        <v>1072</v>
      </c>
      <c r="WRW77" s="277" t="s">
        <v>1072</v>
      </c>
      <c r="WRX77" s="277" t="s">
        <v>1072</v>
      </c>
      <c r="WRY77" s="277" t="s">
        <v>1072</v>
      </c>
      <c r="WRZ77" s="277" t="s">
        <v>1072</v>
      </c>
      <c r="WSA77" s="277" t="s">
        <v>1072</v>
      </c>
      <c r="WSB77" s="277" t="s">
        <v>1072</v>
      </c>
      <c r="WSC77" s="277" t="s">
        <v>1072</v>
      </c>
      <c r="WSD77" s="277" t="s">
        <v>1072</v>
      </c>
      <c r="WSE77" s="277" t="s">
        <v>1072</v>
      </c>
      <c r="WSF77" s="277" t="s">
        <v>1072</v>
      </c>
      <c r="WSG77" s="277" t="s">
        <v>1072</v>
      </c>
      <c r="WSH77" s="277" t="s">
        <v>1072</v>
      </c>
      <c r="WSI77" s="277" t="s">
        <v>1072</v>
      </c>
      <c r="WSJ77" s="277" t="s">
        <v>1072</v>
      </c>
      <c r="WSK77" s="277" t="s">
        <v>1072</v>
      </c>
      <c r="WSL77" s="277" t="s">
        <v>1072</v>
      </c>
      <c r="WSM77" s="277" t="s">
        <v>1072</v>
      </c>
      <c r="WSN77" s="277" t="s">
        <v>1072</v>
      </c>
      <c r="WSO77" s="277" t="s">
        <v>1072</v>
      </c>
      <c r="WSP77" s="277" t="s">
        <v>1072</v>
      </c>
      <c r="WSQ77" s="277" t="s">
        <v>1072</v>
      </c>
      <c r="WSR77" s="277" t="s">
        <v>1072</v>
      </c>
      <c r="WSS77" s="277" t="s">
        <v>1072</v>
      </c>
      <c r="WST77" s="277" t="s">
        <v>1072</v>
      </c>
      <c r="WSU77" s="277" t="s">
        <v>1072</v>
      </c>
      <c r="WSV77" s="277" t="s">
        <v>1072</v>
      </c>
      <c r="WSW77" s="277" t="s">
        <v>1072</v>
      </c>
      <c r="WSX77" s="277" t="s">
        <v>1072</v>
      </c>
      <c r="WSY77" s="277" t="s">
        <v>1072</v>
      </c>
      <c r="WSZ77" s="277" t="s">
        <v>1072</v>
      </c>
      <c r="WTA77" s="277" t="s">
        <v>1072</v>
      </c>
      <c r="WTB77" s="277" t="s">
        <v>1072</v>
      </c>
      <c r="WTC77" s="277" t="s">
        <v>1072</v>
      </c>
      <c r="WTD77" s="277" t="s">
        <v>1072</v>
      </c>
      <c r="WTE77" s="277" t="s">
        <v>1072</v>
      </c>
      <c r="WTF77" s="277" t="s">
        <v>1072</v>
      </c>
      <c r="WTG77" s="277" t="s">
        <v>1072</v>
      </c>
      <c r="WTH77" s="277" t="s">
        <v>1072</v>
      </c>
      <c r="WTI77" s="277" t="s">
        <v>1072</v>
      </c>
      <c r="WTJ77" s="277" t="s">
        <v>1072</v>
      </c>
      <c r="WTK77" s="277" t="s">
        <v>1072</v>
      </c>
      <c r="WTL77" s="277" t="s">
        <v>1072</v>
      </c>
      <c r="WTM77" s="277" t="s">
        <v>1072</v>
      </c>
      <c r="WTN77" s="277" t="s">
        <v>1072</v>
      </c>
      <c r="WTO77" s="277" t="s">
        <v>1072</v>
      </c>
      <c r="WTP77" s="277" t="s">
        <v>1072</v>
      </c>
      <c r="WTQ77" s="277" t="s">
        <v>1072</v>
      </c>
      <c r="WTR77" s="277" t="s">
        <v>1072</v>
      </c>
      <c r="WTS77" s="277" t="s">
        <v>1072</v>
      </c>
      <c r="WTT77" s="277" t="s">
        <v>1072</v>
      </c>
      <c r="WTU77" s="277" t="s">
        <v>1072</v>
      </c>
      <c r="WTV77" s="277" t="s">
        <v>1072</v>
      </c>
      <c r="WTW77" s="277" t="s">
        <v>1072</v>
      </c>
      <c r="WTX77" s="277" t="s">
        <v>1072</v>
      </c>
      <c r="WTY77" s="277" t="s">
        <v>1072</v>
      </c>
      <c r="WTZ77" s="277" t="s">
        <v>1072</v>
      </c>
      <c r="WUA77" s="277" t="s">
        <v>1072</v>
      </c>
      <c r="WUB77" s="277" t="s">
        <v>1072</v>
      </c>
      <c r="WUC77" s="277" t="s">
        <v>1072</v>
      </c>
      <c r="WUD77" s="277" t="s">
        <v>1072</v>
      </c>
      <c r="WUE77" s="277" t="s">
        <v>1072</v>
      </c>
      <c r="WUF77" s="277" t="s">
        <v>1072</v>
      </c>
      <c r="WUG77" s="277" t="s">
        <v>1072</v>
      </c>
      <c r="WUH77" s="277" t="s">
        <v>1072</v>
      </c>
      <c r="WUI77" s="277" t="s">
        <v>1072</v>
      </c>
      <c r="WUJ77" s="277" t="s">
        <v>1072</v>
      </c>
      <c r="WUK77" s="277" t="s">
        <v>1072</v>
      </c>
      <c r="WUL77" s="277" t="s">
        <v>1072</v>
      </c>
      <c r="WUM77" s="277" t="s">
        <v>1072</v>
      </c>
      <c r="WUN77" s="277" t="s">
        <v>1072</v>
      </c>
      <c r="WUO77" s="277" t="s">
        <v>1072</v>
      </c>
      <c r="WUP77" s="277" t="s">
        <v>1072</v>
      </c>
      <c r="WUQ77" s="277" t="s">
        <v>1072</v>
      </c>
      <c r="WUR77" s="277" t="s">
        <v>1072</v>
      </c>
      <c r="WUS77" s="277" t="s">
        <v>1072</v>
      </c>
      <c r="WUT77" s="277" t="s">
        <v>1072</v>
      </c>
      <c r="WUU77" s="277" t="s">
        <v>1072</v>
      </c>
      <c r="WUV77" s="277" t="s">
        <v>1072</v>
      </c>
      <c r="WUW77" s="277" t="s">
        <v>1072</v>
      </c>
      <c r="WUX77" s="277" t="s">
        <v>1072</v>
      </c>
      <c r="WUY77" s="277" t="s">
        <v>1072</v>
      </c>
      <c r="WUZ77" s="277" t="s">
        <v>1072</v>
      </c>
      <c r="WVA77" s="277" t="s">
        <v>1072</v>
      </c>
      <c r="WVB77" s="277" t="s">
        <v>1072</v>
      </c>
      <c r="WVC77" s="277" t="s">
        <v>1072</v>
      </c>
      <c r="WVD77" s="277" t="s">
        <v>1072</v>
      </c>
      <c r="WVE77" s="277" t="s">
        <v>1072</v>
      </c>
      <c r="WVF77" s="277" t="s">
        <v>1072</v>
      </c>
      <c r="WVG77" s="277" t="s">
        <v>1072</v>
      </c>
      <c r="WVH77" s="277" t="s">
        <v>1072</v>
      </c>
      <c r="WVI77" s="277" t="s">
        <v>1072</v>
      </c>
      <c r="WVJ77" s="277" t="s">
        <v>1072</v>
      </c>
      <c r="WVK77" s="277" t="s">
        <v>1072</v>
      </c>
      <c r="WVL77" s="277" t="s">
        <v>1072</v>
      </c>
      <c r="WVM77" s="277" t="s">
        <v>1072</v>
      </c>
      <c r="WVN77" s="277" t="s">
        <v>1072</v>
      </c>
      <c r="WVO77" s="277" t="s">
        <v>1072</v>
      </c>
      <c r="WVP77" s="277" t="s">
        <v>1072</v>
      </c>
      <c r="WVQ77" s="277" t="s">
        <v>1072</v>
      </c>
      <c r="WVR77" s="277" t="s">
        <v>1072</v>
      </c>
      <c r="WVS77" s="277" t="s">
        <v>1072</v>
      </c>
      <c r="WVT77" s="277" t="s">
        <v>1072</v>
      </c>
      <c r="WVU77" s="277" t="s">
        <v>1072</v>
      </c>
      <c r="WVV77" s="277" t="s">
        <v>1072</v>
      </c>
      <c r="WVW77" s="277" t="s">
        <v>1072</v>
      </c>
      <c r="WVX77" s="277" t="s">
        <v>1072</v>
      </c>
      <c r="WVY77" s="277" t="s">
        <v>1072</v>
      </c>
      <c r="WVZ77" s="277" t="s">
        <v>1072</v>
      </c>
      <c r="WWA77" s="277" t="s">
        <v>1072</v>
      </c>
      <c r="WWB77" s="277" t="s">
        <v>1072</v>
      </c>
      <c r="WWC77" s="277" t="s">
        <v>1072</v>
      </c>
      <c r="WWD77" s="277" t="s">
        <v>1072</v>
      </c>
      <c r="WWE77" s="277" t="s">
        <v>1072</v>
      </c>
      <c r="WWF77" s="277" t="s">
        <v>1072</v>
      </c>
      <c r="WWG77" s="277" t="s">
        <v>1072</v>
      </c>
      <c r="WWH77" s="277" t="s">
        <v>1072</v>
      </c>
      <c r="WWI77" s="277" t="s">
        <v>1072</v>
      </c>
      <c r="WWJ77" s="277" t="s">
        <v>1072</v>
      </c>
      <c r="WWK77" s="277" t="s">
        <v>1072</v>
      </c>
      <c r="WWL77" s="277" t="s">
        <v>1072</v>
      </c>
      <c r="WWM77" s="277" t="s">
        <v>1072</v>
      </c>
      <c r="WWN77" s="277" t="s">
        <v>1072</v>
      </c>
      <c r="WWO77" s="277" t="s">
        <v>1072</v>
      </c>
      <c r="WWP77" s="277" t="s">
        <v>1072</v>
      </c>
      <c r="WWQ77" s="277" t="s">
        <v>1072</v>
      </c>
      <c r="WWR77" s="277" t="s">
        <v>1072</v>
      </c>
      <c r="WWS77" s="277" t="s">
        <v>1072</v>
      </c>
      <c r="WWT77" s="277" t="s">
        <v>1072</v>
      </c>
      <c r="WWU77" s="277" t="s">
        <v>1072</v>
      </c>
      <c r="WWV77" s="277" t="s">
        <v>1072</v>
      </c>
      <c r="WWW77" s="277" t="s">
        <v>1072</v>
      </c>
      <c r="WWX77" s="277" t="s">
        <v>1072</v>
      </c>
      <c r="WWY77" s="277" t="s">
        <v>1072</v>
      </c>
      <c r="WWZ77" s="277" t="s">
        <v>1072</v>
      </c>
      <c r="WXA77" s="277" t="s">
        <v>1072</v>
      </c>
      <c r="WXB77" s="277" t="s">
        <v>1072</v>
      </c>
      <c r="WXC77" s="277" t="s">
        <v>1072</v>
      </c>
      <c r="WXD77" s="277" t="s">
        <v>1072</v>
      </c>
      <c r="WXE77" s="277" t="s">
        <v>1072</v>
      </c>
      <c r="WXF77" s="277" t="s">
        <v>1072</v>
      </c>
      <c r="WXG77" s="277" t="s">
        <v>1072</v>
      </c>
      <c r="WXH77" s="277" t="s">
        <v>1072</v>
      </c>
      <c r="WXI77" s="277" t="s">
        <v>1072</v>
      </c>
      <c r="WXJ77" s="277" t="s">
        <v>1072</v>
      </c>
      <c r="WXK77" s="277" t="s">
        <v>1072</v>
      </c>
      <c r="WXL77" s="277" t="s">
        <v>1072</v>
      </c>
      <c r="WXM77" s="277" t="s">
        <v>1072</v>
      </c>
      <c r="WXN77" s="277" t="s">
        <v>1072</v>
      </c>
      <c r="WXO77" s="277" t="s">
        <v>1072</v>
      </c>
      <c r="WXP77" s="277" t="s">
        <v>1072</v>
      </c>
      <c r="WXQ77" s="277" t="s">
        <v>1072</v>
      </c>
      <c r="WXR77" s="277" t="s">
        <v>1072</v>
      </c>
      <c r="WXS77" s="277" t="s">
        <v>1072</v>
      </c>
      <c r="WXT77" s="277" t="s">
        <v>1072</v>
      </c>
      <c r="WXU77" s="277" t="s">
        <v>1072</v>
      </c>
      <c r="WXV77" s="277" t="s">
        <v>1072</v>
      </c>
      <c r="WXW77" s="277" t="s">
        <v>1072</v>
      </c>
      <c r="WXX77" s="277" t="s">
        <v>1072</v>
      </c>
      <c r="WXY77" s="277" t="s">
        <v>1072</v>
      </c>
      <c r="WXZ77" s="277" t="s">
        <v>1072</v>
      </c>
      <c r="WYA77" s="277" t="s">
        <v>1072</v>
      </c>
      <c r="WYB77" s="277" t="s">
        <v>1072</v>
      </c>
      <c r="WYC77" s="277" t="s">
        <v>1072</v>
      </c>
      <c r="WYD77" s="277" t="s">
        <v>1072</v>
      </c>
      <c r="WYE77" s="277" t="s">
        <v>1072</v>
      </c>
      <c r="WYF77" s="277" t="s">
        <v>1072</v>
      </c>
      <c r="WYG77" s="277" t="s">
        <v>1072</v>
      </c>
      <c r="WYH77" s="277" t="s">
        <v>1072</v>
      </c>
      <c r="WYI77" s="277" t="s">
        <v>1072</v>
      </c>
      <c r="WYJ77" s="277" t="s">
        <v>1072</v>
      </c>
      <c r="WYK77" s="277" t="s">
        <v>1072</v>
      </c>
      <c r="WYL77" s="277" t="s">
        <v>1072</v>
      </c>
      <c r="WYM77" s="277" t="s">
        <v>1072</v>
      </c>
      <c r="WYN77" s="277" t="s">
        <v>1072</v>
      </c>
      <c r="WYO77" s="277" t="s">
        <v>1072</v>
      </c>
      <c r="WYP77" s="277" t="s">
        <v>1072</v>
      </c>
      <c r="WYQ77" s="277" t="s">
        <v>1072</v>
      </c>
      <c r="WYR77" s="277" t="s">
        <v>1072</v>
      </c>
      <c r="WYS77" s="277" t="s">
        <v>1072</v>
      </c>
      <c r="WYT77" s="277" t="s">
        <v>1072</v>
      </c>
      <c r="WYU77" s="277" t="s">
        <v>1072</v>
      </c>
      <c r="WYV77" s="277" t="s">
        <v>1072</v>
      </c>
      <c r="WYW77" s="277" t="s">
        <v>1072</v>
      </c>
      <c r="WYX77" s="277" t="s">
        <v>1072</v>
      </c>
      <c r="WYY77" s="277" t="s">
        <v>1072</v>
      </c>
      <c r="WYZ77" s="277" t="s">
        <v>1072</v>
      </c>
      <c r="WZA77" s="277" t="s">
        <v>1072</v>
      </c>
      <c r="WZB77" s="277" t="s">
        <v>1072</v>
      </c>
      <c r="WZC77" s="277" t="s">
        <v>1072</v>
      </c>
      <c r="WZD77" s="277" t="s">
        <v>1072</v>
      </c>
      <c r="WZE77" s="277" t="s">
        <v>1072</v>
      </c>
      <c r="WZF77" s="277" t="s">
        <v>1072</v>
      </c>
      <c r="WZG77" s="277" t="s">
        <v>1072</v>
      </c>
      <c r="WZH77" s="277" t="s">
        <v>1072</v>
      </c>
      <c r="WZI77" s="277" t="s">
        <v>1072</v>
      </c>
      <c r="WZJ77" s="277" t="s">
        <v>1072</v>
      </c>
      <c r="WZK77" s="277" t="s">
        <v>1072</v>
      </c>
      <c r="WZL77" s="277" t="s">
        <v>1072</v>
      </c>
      <c r="WZM77" s="277" t="s">
        <v>1072</v>
      </c>
      <c r="WZN77" s="277" t="s">
        <v>1072</v>
      </c>
    </row>
    <row r="78" spans="1:16238" ht="18.75" x14ac:dyDescent="0.3">
      <c r="C78" s="675" t="s">
        <v>1025</v>
      </c>
      <c r="D78" s="675" t="s">
        <v>1054</v>
      </c>
      <c r="E78" s="6452"/>
      <c r="F78" s="675"/>
      <c r="G78" s="703"/>
      <c r="H78" s="1361"/>
      <c r="I78" s="1361"/>
      <c r="J78" s="755"/>
      <c r="K78" s="753">
        <f t="shared" si="19"/>
        <v>0</v>
      </c>
      <c r="L78" s="1361"/>
      <c r="M78" s="1361"/>
      <c r="N78" s="760"/>
      <c r="O78" s="758">
        <f t="shared" si="20"/>
        <v>0</v>
      </c>
      <c r="P78" s="1361"/>
      <c r="Q78" s="1361">
        <v>0</v>
      </c>
      <c r="S78" s="753">
        <f t="shared" si="21"/>
        <v>0</v>
      </c>
      <c r="T78" s="2650"/>
      <c r="U78" s="2582">
        <v>0</v>
      </c>
      <c r="W78" s="753">
        <f t="shared" si="22"/>
        <v>0</v>
      </c>
      <c r="X78" s="5624"/>
      <c r="Y78" s="702"/>
      <c r="Z78" s="760"/>
      <c r="AA78" s="758">
        <f t="shared" si="23"/>
        <v>0</v>
      </c>
      <c r="AB78" s="5630"/>
      <c r="AC78" s="5682">
        <f t="shared" si="24"/>
        <v>0</v>
      </c>
      <c r="AD78" s="4093"/>
      <c r="AE78" s="4093">
        <v>0</v>
      </c>
      <c r="AF78" s="4092"/>
      <c r="AG78" s="753">
        <f t="shared" si="25"/>
        <v>0</v>
      </c>
      <c r="AH78" s="4205"/>
      <c r="AI78" s="4205"/>
      <c r="AJ78" s="4198"/>
      <c r="AK78" s="753">
        <f t="shared" si="26"/>
        <v>0</v>
      </c>
      <c r="AL78" s="4335"/>
      <c r="AM78" s="4335"/>
      <c r="AN78" s="760"/>
      <c r="AO78" s="758">
        <f t="shared" si="27"/>
        <v>0</v>
      </c>
      <c r="AP78" s="5259"/>
      <c r="AQ78" s="753">
        <f t="shared" si="28"/>
        <v>0</v>
      </c>
      <c r="AR78" s="4443"/>
      <c r="AS78" s="4443"/>
      <c r="AT78" s="4441"/>
      <c r="AU78" s="753">
        <f t="shared" si="29"/>
        <v>0</v>
      </c>
      <c r="AV78" s="4681"/>
      <c r="AW78" s="4681"/>
      <c r="AX78" s="4675"/>
      <c r="AY78" s="753">
        <f t="shared" si="30"/>
        <v>0</v>
      </c>
      <c r="AZ78" s="5122"/>
      <c r="BA78" s="5122"/>
      <c r="BB78" s="760"/>
      <c r="BC78" s="758">
        <f t="shared" si="31"/>
        <v>0</v>
      </c>
      <c r="BD78" s="5633"/>
      <c r="BE78" s="5682">
        <f t="shared" si="32"/>
        <v>0</v>
      </c>
      <c r="BF78" s="5121"/>
      <c r="BG78" s="753">
        <f t="shared" si="33"/>
        <v>0</v>
      </c>
      <c r="BH78" s="26"/>
      <c r="BI78" s="26"/>
    </row>
    <row r="79" spans="1:16238" ht="18.75" x14ac:dyDescent="0.3">
      <c r="C79" s="6445" t="s">
        <v>1089</v>
      </c>
      <c r="D79" s="6445"/>
      <c r="E79" s="6452"/>
      <c r="F79" s="763"/>
      <c r="G79" s="5636">
        <f>SUM(G68:G78)</f>
        <v>12051.407999999999</v>
      </c>
      <c r="H79" s="5636">
        <f t="shared" ref="H79:BG79" si="34">SUM(H68:H78)</f>
        <v>0</v>
      </c>
      <c r="I79" s="5636">
        <f t="shared" si="34"/>
        <v>3000.38</v>
      </c>
      <c r="J79" s="5636">
        <f t="shared" si="34"/>
        <v>0</v>
      </c>
      <c r="K79" s="5636">
        <f t="shared" si="34"/>
        <v>15051.788</v>
      </c>
      <c r="L79" s="5636">
        <f t="shared" si="34"/>
        <v>0</v>
      </c>
      <c r="M79" s="5636">
        <f t="shared" si="34"/>
        <v>15615.839999999998</v>
      </c>
      <c r="N79" s="5636">
        <f t="shared" si="34"/>
        <v>0</v>
      </c>
      <c r="O79" s="5670">
        <f t="shared" si="34"/>
        <v>30667.627999999997</v>
      </c>
      <c r="P79" s="5636">
        <f t="shared" si="34"/>
        <v>0</v>
      </c>
      <c r="Q79" s="5636">
        <f t="shared" si="34"/>
        <v>11752.995999999999</v>
      </c>
      <c r="R79" s="5636">
        <f t="shared" si="34"/>
        <v>0</v>
      </c>
      <c r="S79" s="5636">
        <f t="shared" si="34"/>
        <v>42420.623999999996</v>
      </c>
      <c r="T79" s="5636">
        <f t="shared" si="34"/>
        <v>0</v>
      </c>
      <c r="U79" s="5636">
        <f t="shared" si="34"/>
        <v>1337.1908000000001</v>
      </c>
      <c r="V79" s="5636">
        <f t="shared" si="34"/>
        <v>0</v>
      </c>
      <c r="W79" s="5636">
        <f t="shared" si="34"/>
        <v>43757.8148</v>
      </c>
      <c r="X79" s="5636">
        <f t="shared" si="34"/>
        <v>0</v>
      </c>
      <c r="Y79" s="5636">
        <f t="shared" si="34"/>
        <v>8415.0103799999997</v>
      </c>
      <c r="Z79" s="5636">
        <f t="shared" si="34"/>
        <v>0</v>
      </c>
      <c r="AA79" s="5670">
        <f t="shared" si="34"/>
        <v>21505.197179999996</v>
      </c>
      <c r="AB79" s="5636">
        <f t="shared" si="34"/>
        <v>0</v>
      </c>
      <c r="AC79" s="5684">
        <f t="shared" si="34"/>
        <v>52172.82518</v>
      </c>
      <c r="AD79" s="5636">
        <f t="shared" si="34"/>
        <v>0</v>
      </c>
      <c r="AE79" s="5636">
        <f t="shared" si="34"/>
        <v>12137.961999999998</v>
      </c>
      <c r="AF79" s="5636">
        <f t="shared" si="34"/>
        <v>0</v>
      </c>
      <c r="AG79" s="5636">
        <f t="shared" si="34"/>
        <v>64310.787179999992</v>
      </c>
      <c r="AH79" s="5636">
        <f t="shared" si="34"/>
        <v>0</v>
      </c>
      <c r="AI79" s="5636">
        <f t="shared" si="34"/>
        <v>-0.20000000000004547</v>
      </c>
      <c r="AJ79" s="5636">
        <f t="shared" si="34"/>
        <v>0</v>
      </c>
      <c r="AK79" s="5636">
        <f t="shared" si="34"/>
        <v>64310.587179999988</v>
      </c>
      <c r="AL79" s="5636">
        <f t="shared" si="34"/>
        <v>0</v>
      </c>
      <c r="AM79" s="5636">
        <f t="shared" si="34"/>
        <v>8731</v>
      </c>
      <c r="AN79" s="5636">
        <f t="shared" si="34"/>
        <v>0</v>
      </c>
      <c r="AO79" s="5670">
        <f t="shared" si="34"/>
        <v>20868.761999999999</v>
      </c>
      <c r="AP79" s="5636">
        <f t="shared" si="34"/>
        <v>0</v>
      </c>
      <c r="AQ79" s="5636">
        <f t="shared" si="34"/>
        <v>73041.587179999988</v>
      </c>
      <c r="AR79" s="5636">
        <f t="shared" si="34"/>
        <v>0</v>
      </c>
      <c r="AS79" s="5636">
        <f t="shared" si="34"/>
        <v>11475</v>
      </c>
      <c r="AT79" s="5636">
        <f t="shared" si="34"/>
        <v>0</v>
      </c>
      <c r="AU79" s="5636">
        <f t="shared" si="34"/>
        <v>84516.587179999988</v>
      </c>
      <c r="AV79" s="5636">
        <f t="shared" si="34"/>
        <v>0</v>
      </c>
      <c r="AW79" s="5636">
        <f t="shared" si="34"/>
        <v>4505.5740000000005</v>
      </c>
      <c r="AX79" s="5636">
        <f t="shared" si="34"/>
        <v>0</v>
      </c>
      <c r="AY79" s="5636">
        <f t="shared" si="34"/>
        <v>89022.161179999996</v>
      </c>
      <c r="AZ79" s="5636">
        <f t="shared" si="34"/>
        <v>0</v>
      </c>
      <c r="BA79" s="5636">
        <f t="shared" si="34"/>
        <v>2381.2600000000002</v>
      </c>
      <c r="BB79" s="5636">
        <f t="shared" si="34"/>
        <v>0</v>
      </c>
      <c r="BC79" s="5670">
        <f t="shared" si="34"/>
        <v>18361.834000000003</v>
      </c>
      <c r="BD79" s="5636">
        <f t="shared" si="34"/>
        <v>0</v>
      </c>
      <c r="BE79" s="5684">
        <f t="shared" si="34"/>
        <v>39230.595999999998</v>
      </c>
      <c r="BF79" s="5636">
        <f t="shared" si="34"/>
        <v>0</v>
      </c>
      <c r="BG79" s="5698">
        <f t="shared" si="34"/>
        <v>91403.42117999999</v>
      </c>
      <c r="BH79" s="26"/>
      <c r="BI79" s="26"/>
    </row>
    <row r="80" spans="1:16238" ht="18.75" x14ac:dyDescent="0.3">
      <c r="C80" s="6446" t="s">
        <v>1026</v>
      </c>
      <c r="D80" s="6446"/>
      <c r="E80" s="6453"/>
      <c r="F80" s="677"/>
      <c r="G80" s="5637">
        <f>+G79+G67+G47+G40+G32</f>
        <v>196124.22699999998</v>
      </c>
      <c r="H80" s="5637">
        <f t="shared" ref="H80:BG80" si="35">+H79+H67+H47+H40+H32</f>
        <v>0</v>
      </c>
      <c r="I80" s="5637">
        <f t="shared" si="35"/>
        <v>155667.61200000002</v>
      </c>
      <c r="J80" s="5637">
        <f t="shared" si="35"/>
        <v>0</v>
      </c>
      <c r="K80" s="5637">
        <f t="shared" si="35"/>
        <v>351791.83900000004</v>
      </c>
      <c r="L80" s="5637">
        <f t="shared" si="35"/>
        <v>0</v>
      </c>
      <c r="M80" s="5637">
        <f t="shared" si="35"/>
        <v>167302.394</v>
      </c>
      <c r="N80" s="5637">
        <f t="shared" si="35"/>
        <v>0</v>
      </c>
      <c r="O80" s="5670">
        <f t="shared" si="35"/>
        <v>519094.23300000007</v>
      </c>
      <c r="P80" s="5637">
        <f t="shared" si="35"/>
        <v>0</v>
      </c>
      <c r="Q80" s="5637">
        <f t="shared" si="35"/>
        <v>201982.86700000009</v>
      </c>
      <c r="R80" s="5637">
        <f t="shared" si="35"/>
        <v>0</v>
      </c>
      <c r="S80" s="5637">
        <f t="shared" si="35"/>
        <v>721077.10000000009</v>
      </c>
      <c r="T80" s="5637">
        <f t="shared" si="35"/>
        <v>0</v>
      </c>
      <c r="U80" s="5637">
        <f t="shared" si="35"/>
        <v>198584.55380000005</v>
      </c>
      <c r="V80" s="5637">
        <f t="shared" si="35"/>
        <v>0</v>
      </c>
      <c r="W80" s="5637">
        <f t="shared" si="35"/>
        <v>919661.65380000009</v>
      </c>
      <c r="X80" s="5637">
        <f t="shared" si="35"/>
        <v>0</v>
      </c>
      <c r="Y80" s="5637">
        <f t="shared" si="35"/>
        <v>196376.98638000007</v>
      </c>
      <c r="Z80" s="5637">
        <f t="shared" si="35"/>
        <v>0</v>
      </c>
      <c r="AA80" s="5670">
        <f t="shared" si="35"/>
        <v>596944.4071800001</v>
      </c>
      <c r="AB80" s="5637">
        <f t="shared" si="35"/>
        <v>0</v>
      </c>
      <c r="AC80" s="5684">
        <f t="shared" si="35"/>
        <v>1116038.6401800001</v>
      </c>
      <c r="AD80" s="5637">
        <f t="shared" si="35"/>
        <v>0</v>
      </c>
      <c r="AE80" s="5637">
        <f t="shared" si="35"/>
        <v>204077.36400000003</v>
      </c>
      <c r="AF80" s="5637">
        <f t="shared" si="35"/>
        <v>0</v>
      </c>
      <c r="AG80" s="5637">
        <f t="shared" si="35"/>
        <v>1320116.0041800002</v>
      </c>
      <c r="AH80" s="5637">
        <f t="shared" si="35"/>
        <v>0</v>
      </c>
      <c r="AI80" s="5637">
        <f t="shared" si="35"/>
        <v>173482.60904000007</v>
      </c>
      <c r="AJ80" s="5637">
        <f t="shared" si="35"/>
        <v>0</v>
      </c>
      <c r="AK80" s="5637">
        <f t="shared" si="35"/>
        <v>1493598.6132200004</v>
      </c>
      <c r="AL80" s="5637">
        <f t="shared" si="35"/>
        <v>0</v>
      </c>
      <c r="AM80" s="5637">
        <f t="shared" si="35"/>
        <v>199084.15899999999</v>
      </c>
      <c r="AN80" s="5637">
        <f t="shared" si="35"/>
        <v>0</v>
      </c>
      <c r="AO80" s="5670">
        <f t="shared" si="35"/>
        <v>576644.13204000017</v>
      </c>
      <c r="AP80" s="5637">
        <f t="shared" si="35"/>
        <v>0</v>
      </c>
      <c r="AQ80" s="5637">
        <f t="shared" si="35"/>
        <v>1692682.7722200006</v>
      </c>
      <c r="AR80" s="5637">
        <f t="shared" si="35"/>
        <v>0</v>
      </c>
      <c r="AS80" s="5637">
        <f t="shared" si="35"/>
        <v>196387.85400000008</v>
      </c>
      <c r="AT80" s="5637">
        <f t="shared" si="35"/>
        <v>0</v>
      </c>
      <c r="AU80" s="5637">
        <f t="shared" si="35"/>
        <v>1889070.6262200004</v>
      </c>
      <c r="AV80" s="5637">
        <f t="shared" si="35"/>
        <v>0</v>
      </c>
      <c r="AW80" s="5637">
        <f t="shared" si="35"/>
        <v>192883.49400000006</v>
      </c>
      <c r="AX80" s="5637">
        <f t="shared" si="35"/>
        <v>0</v>
      </c>
      <c r="AY80" s="5637">
        <f t="shared" si="35"/>
        <v>2081954.1202200009</v>
      </c>
      <c r="AZ80" s="5637">
        <f t="shared" si="35"/>
        <v>0</v>
      </c>
      <c r="BA80" s="5637">
        <f t="shared" si="35"/>
        <v>200364.00800000009</v>
      </c>
      <c r="BB80" s="5637">
        <f t="shared" si="35"/>
        <v>0</v>
      </c>
      <c r="BC80" s="5670">
        <f t="shared" si="35"/>
        <v>589635.35600000026</v>
      </c>
      <c r="BD80" s="5637">
        <f t="shared" si="35"/>
        <v>0</v>
      </c>
      <c r="BE80" s="5684">
        <f t="shared" si="35"/>
        <v>1166279.4880400004</v>
      </c>
      <c r="BF80" s="5637">
        <f t="shared" si="35"/>
        <v>0</v>
      </c>
      <c r="BG80" s="5698">
        <f t="shared" si="35"/>
        <v>2282318.1282200003</v>
      </c>
      <c r="BH80" s="26"/>
      <c r="BI80" s="26"/>
    </row>
    <row r="81" spans="3:61" ht="18.75" x14ac:dyDescent="0.3">
      <c r="C81" s="6444" t="s">
        <v>1027</v>
      </c>
      <c r="D81" s="6444"/>
      <c r="E81" s="1685" t="s">
        <v>1028</v>
      </c>
      <c r="F81" s="675"/>
      <c r="G81" s="1397">
        <f>+G80/G83</f>
        <v>0.95187017248251549</v>
      </c>
      <c r="H81" s="767"/>
      <c r="I81" s="767">
        <f>+I80/I83</f>
        <v>0.95458876700560957</v>
      </c>
      <c r="J81" s="1890"/>
      <c r="K81" s="1890">
        <f>+K80/K83</f>
        <v>0.95307123602265442</v>
      </c>
      <c r="L81" s="767"/>
      <c r="M81" s="767">
        <f>+M80/M83</f>
        <v>0.93470475110721807</v>
      </c>
      <c r="N81" s="836"/>
      <c r="O81" s="836">
        <f>+O80/O83</f>
        <v>0.94707344668103355</v>
      </c>
      <c r="P81" s="767"/>
      <c r="Q81" s="767">
        <f>+Q80/Q83</f>
        <v>0.93729250406296238</v>
      </c>
      <c r="S81" s="1890">
        <f>+S80/S83</f>
        <v>0.94431315842569508</v>
      </c>
      <c r="T81" s="767"/>
      <c r="U81" s="767">
        <f>+U80/U83</f>
        <v>0.91735248325230534</v>
      </c>
      <c r="W81" s="1890">
        <f>+W80/W83</f>
        <v>0.9383581750705895</v>
      </c>
      <c r="X81" s="5627"/>
      <c r="Y81" s="1397">
        <f>+Y80/Y83</f>
        <v>0.95319133077763307</v>
      </c>
      <c r="Z81" s="836"/>
      <c r="AA81" s="836">
        <f>+AA80/AA83</f>
        <v>0.93566075110088143</v>
      </c>
      <c r="AB81" s="5631"/>
      <c r="AC81" s="5685">
        <f>+AC80/AC83</f>
        <v>0.94093464031798879</v>
      </c>
      <c r="AD81" s="767"/>
      <c r="AE81" s="767">
        <f>+AE80/AE83</f>
        <v>0.97057866411494886</v>
      </c>
      <c r="AF81" s="4092"/>
      <c r="AG81" s="1890">
        <f>+AG80/AG83</f>
        <v>0.94539843315657357</v>
      </c>
      <c r="AH81" s="767"/>
      <c r="AI81" s="767">
        <f>+AI80/AI83</f>
        <v>0.93786190672516268</v>
      </c>
      <c r="AJ81" s="4198"/>
      <c r="AK81" s="4235">
        <f>+AK80/AK83</f>
        <v>0.9445168483785864</v>
      </c>
      <c r="AL81" s="767"/>
      <c r="AM81" s="767">
        <f>+AM80/AM83</f>
        <v>0.96285763812192748</v>
      </c>
      <c r="AN81" s="836"/>
      <c r="AO81" s="836">
        <f>+AO80/AO83</f>
        <v>0.95787398920040867</v>
      </c>
      <c r="AP81" s="4332"/>
      <c r="AQ81" s="4235">
        <f>+AQ80/AQ83</f>
        <v>0.94663765396298727</v>
      </c>
      <c r="AR81" s="767"/>
      <c r="AS81" s="767">
        <f>+AS80/AS83</f>
        <v>0.9391966466272238</v>
      </c>
      <c r="AT81" s="4441"/>
      <c r="AU81" s="4235">
        <f>+AU80/AU83</f>
        <v>0.94585859945406692</v>
      </c>
      <c r="AV81" s="767"/>
      <c r="AW81" s="767">
        <f>+AW80/AW83</f>
        <v>0.94015218900927999</v>
      </c>
      <c r="AX81" s="4675"/>
      <c r="AY81" s="4235">
        <f>+AY80/AY83</f>
        <v>0.94532701677208109</v>
      </c>
      <c r="AZ81" s="767"/>
      <c r="BA81" s="767">
        <f>+BA80/BA83</f>
        <v>0.96663361929054126</v>
      </c>
      <c r="BB81" s="836"/>
      <c r="BC81" s="836">
        <f>+BC80/BC83</f>
        <v>0.94866207587875562</v>
      </c>
      <c r="BD81" s="5635"/>
      <c r="BE81" s="5685">
        <f>+BE80/BE83</f>
        <v>0.95319447575246219</v>
      </c>
      <c r="BF81" s="5121"/>
      <c r="BG81" s="5702">
        <f>+BG80/BG83</f>
        <v>0.94715983380275481</v>
      </c>
      <c r="BH81" s="26"/>
      <c r="BI81" s="26"/>
    </row>
    <row r="82" spans="3:61" s="183" customFormat="1" x14ac:dyDescent="0.25">
      <c r="O82" s="761"/>
      <c r="AA82" s="761"/>
      <c r="AC82" s="545"/>
      <c r="AO82" s="761"/>
      <c r="BC82" s="761"/>
      <c r="BE82" s="545"/>
      <c r="BG82" s="756"/>
      <c r="BH82" s="26"/>
      <c r="BI82" s="26"/>
    </row>
    <row r="83" spans="3:61" ht="18.75" x14ac:dyDescent="0.3">
      <c r="C83" s="6440" t="s">
        <v>1087</v>
      </c>
      <c r="D83" s="6441"/>
      <c r="E83" s="5668" t="s">
        <v>68</v>
      </c>
      <c r="F83" s="5669">
        <f>+'Maj Production Summ'!E35</f>
        <v>213500.48687222728</v>
      </c>
      <c r="G83" s="5669">
        <f>+'Maj Production Summ'!F35</f>
        <v>206040.94200000001</v>
      </c>
      <c r="H83" s="5669">
        <f>+'Maj Production Summ'!G35</f>
        <v>178000.44144996407</v>
      </c>
      <c r="I83" s="5669">
        <f>+'Maj Production Summ'!H35</f>
        <v>163072.95600000001</v>
      </c>
      <c r="J83" s="5669">
        <f>+'Maj Production Summ'!I35</f>
        <v>391500.92832219135</v>
      </c>
      <c r="K83" s="5669">
        <f>+'Maj Production Summ'!J35</f>
        <v>369113.89800000004</v>
      </c>
      <c r="L83" s="5669">
        <f>+'Maj Production Summ'!K35</f>
        <v>173500.27133862226</v>
      </c>
      <c r="M83" s="5669">
        <f>+'Maj Production Summ'!L35</f>
        <v>178989.56200000003</v>
      </c>
      <c r="N83" s="5669">
        <f>+'Maj Production Summ'!M35</f>
        <v>565001.19966081367</v>
      </c>
      <c r="O83" s="5671">
        <f>+'Maj Production Summ'!N35</f>
        <v>548103.46000000008</v>
      </c>
      <c r="P83" s="5669">
        <f>+'Maj Production Summ'!O35</f>
        <v>216500.37423437476</v>
      </c>
      <c r="Q83" s="5669">
        <f>+'Maj Production Summ'!P35</f>
        <v>215496.08700000009</v>
      </c>
      <c r="R83" s="5669">
        <f>+'Maj Production Summ'!Q35</f>
        <v>781501.57389518828</v>
      </c>
      <c r="S83" s="5669">
        <f>+'Maj Production Summ'!R35</f>
        <v>763599.54700000014</v>
      </c>
      <c r="T83" s="5669">
        <f>+'Maj Production Summ'!S35</f>
        <v>216500.37396437474</v>
      </c>
      <c r="U83" s="5669">
        <f>+'Maj Production Summ'!T35</f>
        <v>216475.73580000008</v>
      </c>
      <c r="V83" s="5669">
        <f>+'Maj Production Summ'!U35</f>
        <v>998001.94785956317</v>
      </c>
      <c r="W83" s="5669">
        <f>+'Maj Production Summ'!V35</f>
        <v>980075.28280000016</v>
      </c>
      <c r="X83" s="5669">
        <f>+'Maj Production Summ'!W35</f>
        <v>209999.90196654096</v>
      </c>
      <c r="Y83" s="5669">
        <f>+'Maj Production Summ'!X35</f>
        <v>206020.5333800001</v>
      </c>
      <c r="Z83" s="5669">
        <f>+'Maj Production Summ'!Y35</f>
        <v>643000.65016529046</v>
      </c>
      <c r="AA83" s="5671">
        <f>+'Maj Production Summ'!Z35</f>
        <v>637992.35618000024</v>
      </c>
      <c r="AB83" s="5669">
        <f>+'Maj Production Summ'!AA35</f>
        <v>1208001.849826104</v>
      </c>
      <c r="AC83" s="5686">
        <f>+'Maj Production Summ'!AB35</f>
        <v>1186095.8161800005</v>
      </c>
      <c r="AD83" s="5669">
        <f>+'Maj Production Summ'!AC35</f>
        <v>222499.1475492545</v>
      </c>
      <c r="AE83" s="5669">
        <f>+'Maj Production Summ'!AD35</f>
        <v>210263.60000000006</v>
      </c>
      <c r="AF83" s="5669">
        <f>+'Maj Production Summ'!AE35</f>
        <v>1430500.9973753586</v>
      </c>
      <c r="AG83" s="5669">
        <f>+'Maj Production Summ'!AF35</f>
        <v>1396359.4161800004</v>
      </c>
      <c r="AH83" s="5669">
        <f>+'Maj Production Summ'!AG35</f>
        <v>215500.27932503156</v>
      </c>
      <c r="AI83" s="5669">
        <f>+'Maj Production Summ'!AH35</f>
        <v>184976.70904000005</v>
      </c>
      <c r="AJ83" s="5669">
        <f>+'Maj Production Summ'!AI35</f>
        <v>1646001.27670039</v>
      </c>
      <c r="AK83" s="5669">
        <f>+'Maj Production Summ'!AJ35</f>
        <v>1581336.1252200003</v>
      </c>
      <c r="AL83" s="5669">
        <f>+'Maj Production Summ'!AK35</f>
        <v>223499.54377566959</v>
      </c>
      <c r="AM83" s="5669">
        <f>+'Maj Production Summ'!AL35</f>
        <v>206763.85700000002</v>
      </c>
      <c r="AN83" s="5669">
        <f>+'Maj Production Summ'!AM35</f>
        <v>661498.97064995568</v>
      </c>
      <c r="AO83" s="5671">
        <f>+'Maj Production Summ'!AN35</f>
        <v>602004.16604000016</v>
      </c>
      <c r="AP83" s="5669">
        <f>+'Maj Production Summ'!AO35</f>
        <v>1869500.8204760598</v>
      </c>
      <c r="AQ83" s="5669">
        <f>+'Maj Production Summ'!AP35</f>
        <v>1788099.9822200006</v>
      </c>
      <c r="AR83" s="5669">
        <f>+'Maj Production Summ'!AQ35</f>
        <v>223499.54377566959</v>
      </c>
      <c r="AS83" s="5669">
        <f>+'Maj Production Summ'!AR35</f>
        <v>209101.95400000009</v>
      </c>
      <c r="AT83" s="5669">
        <f>+'Maj Production Summ'!AS35</f>
        <v>2093000.3642517293</v>
      </c>
      <c r="AU83" s="5669">
        <f>+'Maj Production Summ'!AT35</f>
        <v>1997201.9362200005</v>
      </c>
      <c r="AV83" s="5669">
        <f>+'Maj Production Summ'!AU35</f>
        <v>207999.61215936884</v>
      </c>
      <c r="AW83" s="5669">
        <f>+'Maj Production Summ'!AV35</f>
        <v>205161.99000000005</v>
      </c>
      <c r="AX83" s="5669">
        <f>+'Maj Production Summ'!AW35</f>
        <v>2300999.9764110981</v>
      </c>
      <c r="AY83" s="5669">
        <f>+'Maj Production Summ'!AX35</f>
        <v>2202363.9262200007</v>
      </c>
      <c r="AZ83" s="5669">
        <f>+'Maj Production Summ'!AY35</f>
        <v>223999.94000208468</v>
      </c>
      <c r="BA83" s="5669">
        <f>+'Maj Production Summ'!AZ35</f>
        <v>207280.19800000009</v>
      </c>
      <c r="BB83" s="5669">
        <f>+'Maj Production Summ'!BA35</f>
        <v>655499.09593712306</v>
      </c>
      <c r="BC83" s="5671">
        <f>+'Maj Production Summ'!BB35</f>
        <v>621544.14200000023</v>
      </c>
      <c r="BD83" s="5669">
        <f>+'Maj Production Summ'!BC35</f>
        <v>1316998.0665870789</v>
      </c>
      <c r="BE83" s="5686">
        <f>+'Maj Production Summ'!BD35</f>
        <v>1223548.3080400005</v>
      </c>
      <c r="BF83" s="5669">
        <f>+'Maj Production Summ'!BE35</f>
        <v>2524999.9164131829</v>
      </c>
      <c r="BG83" s="5699">
        <f>+'Maj Production Summ'!BF35</f>
        <v>2409644.1242200006</v>
      </c>
      <c r="BH83" s="26"/>
      <c r="BI83" s="26"/>
    </row>
    <row r="84" spans="3:61" ht="15.75" thickBot="1" x14ac:dyDescent="0.3">
      <c r="C84" s="183"/>
      <c r="D84" s="183"/>
      <c r="E84" s="183"/>
      <c r="F84" s="183"/>
      <c r="G84" s="183"/>
      <c r="H84" s="183"/>
      <c r="I84" s="183"/>
      <c r="J84" s="183"/>
      <c r="K84" s="183"/>
      <c r="L84" s="183"/>
      <c r="M84" s="183"/>
      <c r="N84" s="183"/>
      <c r="P84" s="183"/>
      <c r="Q84" s="183"/>
      <c r="R84" s="183"/>
      <c r="S84" s="183"/>
      <c r="T84" s="183"/>
      <c r="U84" s="183"/>
      <c r="V84" s="183"/>
      <c r="W84" s="183"/>
      <c r="Z84" s="183"/>
      <c r="AB84" s="183"/>
      <c r="AD84" s="183"/>
      <c r="AE84" s="183"/>
      <c r="AF84" s="183"/>
      <c r="AG84" s="183"/>
      <c r="AH84" s="183"/>
      <c r="AI84" s="183"/>
      <c r="AJ84" s="183"/>
      <c r="AK84" s="183"/>
      <c r="AL84" s="183"/>
      <c r="AM84" s="183"/>
      <c r="AN84" s="183"/>
      <c r="AP84" s="183"/>
      <c r="AQ84" s="183"/>
      <c r="AR84" s="183"/>
      <c r="AS84" s="183"/>
      <c r="AT84" s="183"/>
      <c r="AU84" s="183"/>
      <c r="AV84" s="183"/>
      <c r="AW84" s="183"/>
      <c r="AX84" s="183"/>
      <c r="AY84" s="183"/>
      <c r="AZ84" s="183"/>
      <c r="BA84" s="183"/>
      <c r="BB84" s="183"/>
      <c r="BD84" s="183"/>
      <c r="BF84" s="183"/>
      <c r="BH84" s="26"/>
      <c r="BI84" s="26"/>
    </row>
    <row r="85" spans="3:61" ht="15.75" hidden="1" customHeight="1" thickBot="1" x14ac:dyDescent="0.3">
      <c r="Q85" s="2447"/>
      <c r="R85" s="2447"/>
      <c r="AD85" s="4092"/>
      <c r="AE85" s="4092"/>
      <c r="AF85" s="4092"/>
      <c r="AG85" s="756"/>
      <c r="AH85" s="4198"/>
      <c r="AI85" s="4198"/>
      <c r="AJ85" s="4198"/>
      <c r="AK85" s="756"/>
      <c r="AL85" s="4332"/>
      <c r="AM85" s="4332"/>
      <c r="AN85" s="4332"/>
      <c r="AP85" s="4332"/>
      <c r="AQ85" s="756"/>
      <c r="AR85" s="4441"/>
      <c r="AS85" s="4441"/>
      <c r="AT85" s="4441"/>
      <c r="AU85" s="756"/>
      <c r="AV85" s="4675"/>
      <c r="AW85" s="4675"/>
      <c r="AX85" s="4675"/>
      <c r="AY85" s="756"/>
      <c r="AZ85" s="5121"/>
      <c r="BA85" s="5121"/>
      <c r="BF85" s="5121"/>
      <c r="BH85" s="26"/>
      <c r="BI85" s="26"/>
    </row>
    <row r="86" spans="3:61" ht="15.75" hidden="1" customHeight="1" thickBot="1" x14ac:dyDescent="0.3">
      <c r="D86" t="s">
        <v>1617</v>
      </c>
      <c r="G86" s="26">
        <f>+'Maj Production Summ'!F32</f>
        <v>49376</v>
      </c>
      <c r="H86" s="26"/>
      <c r="I86" s="26">
        <f>+'Maj Production Summ'!H32</f>
        <v>41843</v>
      </c>
      <c r="J86" s="26"/>
      <c r="K86" s="26">
        <f>+G86+I86</f>
        <v>91219</v>
      </c>
      <c r="L86" s="26"/>
      <c r="M86" s="26">
        <f>+'Maj Production Summ'!L32</f>
        <v>46536.4</v>
      </c>
      <c r="O86" s="2517">
        <f t="shared" ref="O86:O88" si="36">+G86+I86+M86</f>
        <v>137755.4</v>
      </c>
      <c r="P86" s="26"/>
      <c r="Q86" s="26">
        <f>+'Maj Production Summ'!P32</f>
        <v>54670</v>
      </c>
      <c r="S86" s="2519">
        <f>+O86+Q86</f>
        <v>192425.4</v>
      </c>
      <c r="T86" s="26"/>
      <c r="U86" s="26">
        <f>+'Maj Production Summ'!S32</f>
        <v>49000.000000113992</v>
      </c>
      <c r="W86" s="2519">
        <f>+R86+U86</f>
        <v>49000.000000113992</v>
      </c>
      <c r="X86" s="670"/>
      <c r="Y86" s="670">
        <f>+'Maj Production Summ'!W32</f>
        <v>45999.999999884276</v>
      </c>
      <c r="AA86" s="2517">
        <f t="shared" ref="AA86:AA88" si="37">+R86+T86+Y86</f>
        <v>45999.999999884276</v>
      </c>
      <c r="AB86" s="5628"/>
      <c r="AD86" s="26"/>
      <c r="AE86" s="26">
        <f>+'Maj Production Summ'!AA32</f>
        <v>286000.00027034886</v>
      </c>
      <c r="AF86" s="4092"/>
      <c r="AG86" s="2519">
        <f>+AA86+AE86</f>
        <v>332000.00027023314</v>
      </c>
      <c r="AH86" s="26"/>
      <c r="AI86" s="26">
        <f>+'Maj Production Summ'!AE32</f>
        <v>338000.00027043698</v>
      </c>
      <c r="AJ86" s="4198"/>
      <c r="AK86" s="2519">
        <f>+AF86+AI86</f>
        <v>338000.00027043698</v>
      </c>
      <c r="AL86" s="26"/>
      <c r="AM86" s="26">
        <f>+'Maj Production Summ'!AI32</f>
        <v>388000.00027032127</v>
      </c>
      <c r="AN86" s="4332"/>
      <c r="AO86" s="2517">
        <f t="shared" ref="AO86:AO88" si="38">+AG86+AI86+AM86</f>
        <v>1058000.0008109915</v>
      </c>
      <c r="AP86" s="4332"/>
      <c r="AQ86" s="2519">
        <f>+AL86+AO86</f>
        <v>1058000.0008109915</v>
      </c>
      <c r="AR86" s="26"/>
      <c r="AS86" s="26">
        <f>+'Maj Production Summ'!AO32</f>
        <v>440000.00027040939</v>
      </c>
      <c r="AT86" s="4441"/>
      <c r="AU86" s="2519">
        <f>+AP86+AS86</f>
        <v>440000.00027040939</v>
      </c>
      <c r="AV86" s="26"/>
      <c r="AW86" s="26">
        <f>+'Maj Production Summ'!AS32</f>
        <v>492000.00027049752</v>
      </c>
      <c r="AX86" s="4675"/>
      <c r="AY86" s="2519">
        <f>+AT86+AW86</f>
        <v>492000.00027049752</v>
      </c>
      <c r="AZ86" s="26"/>
      <c r="BA86" s="26">
        <f>+'Maj Production Summ'!AW32</f>
        <v>540000.00027053722</v>
      </c>
      <c r="BC86" s="2517">
        <f t="shared" ref="BC86:BC88" si="39">+AU86+AW86+BA86</f>
        <v>1472000.0008114441</v>
      </c>
      <c r="BD86" s="5628"/>
      <c r="BF86" s="5121"/>
      <c r="BG86" s="2519">
        <f>+AX86+BA86</f>
        <v>540000.00027053722</v>
      </c>
      <c r="BH86" s="26"/>
      <c r="BI86" s="26"/>
    </row>
    <row r="87" spans="3:61" ht="15.75" hidden="1" customHeight="1" thickBot="1" x14ac:dyDescent="0.3">
      <c r="D87" t="s">
        <v>1618</v>
      </c>
      <c r="G87" s="26">
        <f>+SMS!F36</f>
        <v>416</v>
      </c>
      <c r="I87" s="26">
        <f>+SMS!H36</f>
        <v>346.6</v>
      </c>
      <c r="K87" s="26">
        <f>+G87+I87</f>
        <v>762.6</v>
      </c>
      <c r="M87" s="26">
        <f>+SMS!L36</f>
        <v>390</v>
      </c>
      <c r="O87" s="2517">
        <f t="shared" si="36"/>
        <v>1152.5999999999999</v>
      </c>
      <c r="Q87" s="26">
        <f>+SMS!P36</f>
        <v>269</v>
      </c>
      <c r="S87" s="2519">
        <f t="shared" ref="S87:S88" si="40">+O87+Q87</f>
        <v>1421.6</v>
      </c>
      <c r="U87" s="26">
        <f>+SMS!S36</f>
        <v>0</v>
      </c>
      <c r="W87" s="2519">
        <f t="shared" ref="W87:W88" si="41">+R87+U87</f>
        <v>0</v>
      </c>
      <c r="X87" s="670"/>
      <c r="Y87" s="670">
        <f>+SMS!W36</f>
        <v>0</v>
      </c>
      <c r="AA87" s="2517">
        <f t="shared" si="37"/>
        <v>0</v>
      </c>
      <c r="AB87" s="5628"/>
      <c r="AD87" s="4092"/>
      <c r="AE87" s="26">
        <f>+SMS!AA36</f>
        <v>0</v>
      </c>
      <c r="AF87" s="4092"/>
      <c r="AG87" s="2519">
        <f t="shared" ref="AG87:AG88" si="42">+AA87+AE87</f>
        <v>0</v>
      </c>
      <c r="AH87" s="4198"/>
      <c r="AI87" s="26">
        <f>+SMS!AE36</f>
        <v>0</v>
      </c>
      <c r="AJ87" s="4198"/>
      <c r="AK87" s="2519">
        <f t="shared" ref="AK87:AK88" si="43">+AF87+AI87</f>
        <v>0</v>
      </c>
      <c r="AL87" s="4332"/>
      <c r="AM87" s="26">
        <f>+SMS!AI36</f>
        <v>0</v>
      </c>
      <c r="AN87" s="4332"/>
      <c r="AO87" s="2517">
        <f t="shared" si="38"/>
        <v>0</v>
      </c>
      <c r="AP87" s="4332"/>
      <c r="AQ87" s="2519">
        <f t="shared" ref="AQ87:AQ88" si="44">+AL87+AO87</f>
        <v>0</v>
      </c>
      <c r="AR87" s="4441"/>
      <c r="AS87" s="26">
        <f>+SMS!AO36</f>
        <v>0</v>
      </c>
      <c r="AT87" s="4441"/>
      <c r="AU87" s="2519">
        <f t="shared" ref="AU87:AU88" si="45">+AP87+AS87</f>
        <v>0</v>
      </c>
      <c r="AV87" s="4675"/>
      <c r="AW87" s="26">
        <f>+SMS!AS36</f>
        <v>0</v>
      </c>
      <c r="AX87" s="4675"/>
      <c r="AY87" s="2519">
        <f t="shared" ref="AY87:AY88" si="46">+AT87+AW87</f>
        <v>0</v>
      </c>
      <c r="AZ87" s="5121"/>
      <c r="BA87" s="26">
        <f>+SMS!AW36</f>
        <v>0</v>
      </c>
      <c r="BC87" s="2517">
        <f t="shared" si="39"/>
        <v>0</v>
      </c>
      <c r="BD87" s="5628"/>
      <c r="BF87" s="5121"/>
      <c r="BG87" s="2519">
        <f>+AX87+BA87</f>
        <v>0</v>
      </c>
      <c r="BH87" s="26"/>
      <c r="BI87" s="26"/>
    </row>
    <row r="88" spans="3:61" ht="15.75" hidden="1" customHeight="1" thickBot="1" x14ac:dyDescent="0.3">
      <c r="D88" t="s">
        <v>1619</v>
      </c>
      <c r="G88" s="26">
        <f>+SUM('GRD SUMM RCL 150X150 '!AU73:AU76)</f>
        <v>5224.1030000000019</v>
      </c>
      <c r="I88" s="26">
        <f>+SUM('GRD SUMM RCL 150X150 '!AW73:AW76)</f>
        <v>1673.1239999999998</v>
      </c>
      <c r="K88" s="26">
        <f>+G88+I88</f>
        <v>6897.2270000000017</v>
      </c>
      <c r="M88" s="26">
        <f>+SUM('GRD SUMM RCL 150X150 '!BA73:BA76)</f>
        <v>4831.9480000000012</v>
      </c>
      <c r="O88" s="2517">
        <f t="shared" si="36"/>
        <v>11729.175000000003</v>
      </c>
      <c r="Q88" s="26">
        <f>+SUM('GRD SUMM RCL 150X150 '!BE73:BE76)</f>
        <v>4548.0360000000001</v>
      </c>
      <c r="S88" s="2519">
        <f t="shared" si="40"/>
        <v>16277.211000000003</v>
      </c>
      <c r="U88" s="26">
        <f>+SUM('GRD SUMM RCL 150X150 '!BS73:BS76)</f>
        <v>3185.7980000000016</v>
      </c>
      <c r="W88" s="2519">
        <f t="shared" si="41"/>
        <v>3185.7980000000016</v>
      </c>
      <c r="X88" s="670"/>
      <c r="Y88" s="670">
        <f>+SUM('GRD SUMM RCL 150X150 '!CV73:CV76)</f>
        <v>0</v>
      </c>
      <c r="AA88" s="2517">
        <f t="shared" si="37"/>
        <v>0</v>
      </c>
      <c r="AB88" s="5628"/>
      <c r="AD88" s="4092"/>
      <c r="AE88" s="26">
        <f>+SUM('GRD SUMM RCL 150X150 '!CW73:CW76)</f>
        <v>0</v>
      </c>
      <c r="AF88" s="4092"/>
      <c r="AG88" s="2519">
        <f t="shared" si="42"/>
        <v>0</v>
      </c>
      <c r="AH88" s="4198"/>
      <c r="AI88" s="26">
        <f>+SUM('GRD SUMM RCL 150X150 '!DA73:DA76)</f>
        <v>0</v>
      </c>
      <c r="AJ88" s="4198"/>
      <c r="AK88" s="2519">
        <f t="shared" si="43"/>
        <v>0</v>
      </c>
      <c r="AL88" s="4332"/>
      <c r="AM88" s="26">
        <f>+SUM('GRD SUMM RCL 150X150 '!DE73:DE76)</f>
        <v>0</v>
      </c>
      <c r="AN88" s="4332"/>
      <c r="AO88" s="2517">
        <f t="shared" si="38"/>
        <v>0</v>
      </c>
      <c r="AP88" s="4332"/>
      <c r="AQ88" s="2519">
        <f t="shared" si="44"/>
        <v>0</v>
      </c>
      <c r="AR88" s="4441"/>
      <c r="AS88" s="26">
        <f>+SUM('GRD SUMM RCL 150X150 '!DK73:DK76)</f>
        <v>0</v>
      </c>
      <c r="AT88" s="4441"/>
      <c r="AU88" s="2519">
        <f t="shared" si="45"/>
        <v>0</v>
      </c>
      <c r="AV88" s="4675"/>
      <c r="AW88" s="26">
        <f>+SUM('GRD SUMM RCL 150X150 '!DO73:DO76)</f>
        <v>0</v>
      </c>
      <c r="AX88" s="4675"/>
      <c r="AY88" s="2519">
        <f t="shared" si="46"/>
        <v>0</v>
      </c>
      <c r="AZ88" s="5121"/>
      <c r="BA88" s="26">
        <f>+SUM('GRD SUMM RCL 150X150 '!DS73:DS76)</f>
        <v>0</v>
      </c>
      <c r="BC88" s="2517">
        <f t="shared" si="39"/>
        <v>0</v>
      </c>
      <c r="BD88" s="5628"/>
      <c r="BF88" s="5121"/>
      <c r="BG88" s="2519">
        <f>+AX88+BA88</f>
        <v>0</v>
      </c>
      <c r="BH88" s="26"/>
      <c r="BI88" s="26"/>
    </row>
    <row r="89" spans="3:61" ht="15.75" hidden="1" customHeight="1" thickBot="1" x14ac:dyDescent="0.3">
      <c r="G89" s="26">
        <f>+G86-G87-G88</f>
        <v>43735.896999999997</v>
      </c>
      <c r="I89" s="26">
        <f t="shared" ref="I89:S89" si="47">+I86-I87-I88</f>
        <v>39823.275999999998</v>
      </c>
      <c r="J89" s="26">
        <f t="shared" si="47"/>
        <v>0</v>
      </c>
      <c r="K89" s="26">
        <f t="shared" si="47"/>
        <v>83559.172999999995</v>
      </c>
      <c r="L89" s="26">
        <f t="shared" si="47"/>
        <v>0</v>
      </c>
      <c r="M89" s="26">
        <f t="shared" si="47"/>
        <v>41314.451999999997</v>
      </c>
      <c r="N89" s="26">
        <f t="shared" si="47"/>
        <v>0</v>
      </c>
      <c r="O89" s="2517">
        <f t="shared" si="47"/>
        <v>124873.62499999999</v>
      </c>
      <c r="P89" s="26">
        <f t="shared" si="47"/>
        <v>0</v>
      </c>
      <c r="Q89" s="26">
        <f t="shared" si="47"/>
        <v>49852.964</v>
      </c>
      <c r="R89" s="26">
        <f t="shared" si="47"/>
        <v>0</v>
      </c>
      <c r="S89" s="2519">
        <f t="shared" si="47"/>
        <v>174726.58899999998</v>
      </c>
      <c r="T89" s="26">
        <f t="shared" ref="T89" si="48">+T86-T87-T88</f>
        <v>0</v>
      </c>
      <c r="U89" s="26">
        <f t="shared" ref="U89:AA89" si="49">+U86-U87-U88</f>
        <v>45814.20200011399</v>
      </c>
      <c r="V89" s="26">
        <f t="shared" si="49"/>
        <v>0</v>
      </c>
      <c r="W89" s="2519">
        <f t="shared" si="49"/>
        <v>45814.20200011399</v>
      </c>
      <c r="X89" s="670"/>
      <c r="Y89" s="670">
        <f t="shared" si="49"/>
        <v>45999.999999884276</v>
      </c>
      <c r="Z89" s="26">
        <f t="shared" si="49"/>
        <v>0</v>
      </c>
      <c r="AA89" s="2517">
        <f t="shared" si="49"/>
        <v>45999.999999884276</v>
      </c>
      <c r="AB89" s="5628"/>
      <c r="AD89" s="26">
        <f t="shared" ref="AD89:AG89" si="50">+AD86-AD87-AD88</f>
        <v>0</v>
      </c>
      <c r="AE89" s="26">
        <f t="shared" si="50"/>
        <v>286000.00027034886</v>
      </c>
      <c r="AF89" s="26">
        <f t="shared" si="50"/>
        <v>0</v>
      </c>
      <c r="AG89" s="2519">
        <f t="shared" si="50"/>
        <v>332000.00027023314</v>
      </c>
      <c r="AH89" s="26">
        <f t="shared" ref="AH89:AK89" si="51">+AH86-AH87-AH88</f>
        <v>0</v>
      </c>
      <c r="AI89" s="26">
        <f t="shared" si="51"/>
        <v>338000.00027043698</v>
      </c>
      <c r="AJ89" s="26">
        <f t="shared" si="51"/>
        <v>0</v>
      </c>
      <c r="AK89" s="2519">
        <f t="shared" si="51"/>
        <v>338000.00027043698</v>
      </c>
      <c r="AL89" s="26">
        <f t="shared" ref="AL89:AQ89" si="52">+AL86-AL87-AL88</f>
        <v>0</v>
      </c>
      <c r="AM89" s="26">
        <f t="shared" si="52"/>
        <v>388000.00027032127</v>
      </c>
      <c r="AN89" s="26">
        <f t="shared" si="52"/>
        <v>0</v>
      </c>
      <c r="AO89" s="2517">
        <f t="shared" si="52"/>
        <v>1058000.0008109915</v>
      </c>
      <c r="AP89" s="26">
        <f t="shared" si="52"/>
        <v>0</v>
      </c>
      <c r="AQ89" s="2519">
        <f t="shared" si="52"/>
        <v>1058000.0008109915</v>
      </c>
      <c r="AR89" s="26">
        <f t="shared" ref="AR89:AU89" si="53">+AR86-AR87-AR88</f>
        <v>0</v>
      </c>
      <c r="AS89" s="26">
        <f t="shared" si="53"/>
        <v>440000.00027040939</v>
      </c>
      <c r="AT89" s="26">
        <f t="shared" si="53"/>
        <v>0</v>
      </c>
      <c r="AU89" s="2519">
        <f t="shared" si="53"/>
        <v>440000.00027040939</v>
      </c>
      <c r="AV89" s="26">
        <f t="shared" ref="AV89:AY89" si="54">+AV86-AV87-AV88</f>
        <v>0</v>
      </c>
      <c r="AW89" s="26">
        <f t="shared" si="54"/>
        <v>492000.00027049752</v>
      </c>
      <c r="AX89" s="26">
        <f t="shared" si="54"/>
        <v>0</v>
      </c>
      <c r="AY89" s="2519">
        <f t="shared" si="54"/>
        <v>492000.00027049752</v>
      </c>
      <c r="AZ89" s="26">
        <f t="shared" ref="AZ89:BG89" si="55">+AZ86-AZ87-AZ88</f>
        <v>0</v>
      </c>
      <c r="BA89" s="26">
        <f t="shared" si="55"/>
        <v>540000.00027053722</v>
      </c>
      <c r="BB89" s="26">
        <f t="shared" si="55"/>
        <v>0</v>
      </c>
      <c r="BC89" s="2517">
        <f t="shared" si="55"/>
        <v>1472000.0008114441</v>
      </c>
      <c r="BD89" s="5628"/>
      <c r="BF89" s="26">
        <f t="shared" si="55"/>
        <v>0</v>
      </c>
      <c r="BG89" s="2519">
        <f t="shared" si="55"/>
        <v>540000.00027053722</v>
      </c>
      <c r="BH89" s="26"/>
      <c r="BI89" s="26"/>
    </row>
    <row r="90" spans="3:61" ht="15.75" hidden="1" customHeight="1" thickBot="1" x14ac:dyDescent="0.3">
      <c r="G90" s="26">
        <f>+G89-G67</f>
        <v>0</v>
      </c>
      <c r="I90" s="26">
        <f t="shared" ref="I90:AA90" si="56">+I89-I67</f>
        <v>0</v>
      </c>
      <c r="J90" s="26">
        <f t="shared" si="56"/>
        <v>0</v>
      </c>
      <c r="K90" s="26">
        <f t="shared" si="56"/>
        <v>0</v>
      </c>
      <c r="L90" s="26">
        <f t="shared" si="56"/>
        <v>0</v>
      </c>
      <c r="M90" s="26">
        <f t="shared" si="56"/>
        <v>23.400000000001455</v>
      </c>
      <c r="N90" s="26">
        <f t="shared" si="56"/>
        <v>0</v>
      </c>
      <c r="O90" s="2517">
        <f t="shared" si="56"/>
        <v>23.399999999979627</v>
      </c>
      <c r="P90" s="26">
        <f t="shared" si="56"/>
        <v>0</v>
      </c>
      <c r="Q90" s="26">
        <f t="shared" si="56"/>
        <v>0</v>
      </c>
      <c r="R90" s="26">
        <f t="shared" si="56"/>
        <v>0</v>
      </c>
      <c r="S90" s="2519">
        <f t="shared" si="56"/>
        <v>23.399999999994179</v>
      </c>
      <c r="T90" s="26">
        <f t="shared" si="56"/>
        <v>0</v>
      </c>
      <c r="U90" s="26">
        <f t="shared" si="56"/>
        <v>6184.4040001139874</v>
      </c>
      <c r="V90" s="26">
        <f t="shared" si="56"/>
        <v>0</v>
      </c>
      <c r="W90" s="2519">
        <f t="shared" si="56"/>
        <v>-168518.78499988603</v>
      </c>
      <c r="X90" s="670"/>
      <c r="Y90" s="670">
        <f t="shared" si="56"/>
        <v>1279.5639998842744</v>
      </c>
      <c r="Z90" s="26">
        <f t="shared" si="56"/>
        <v>0</v>
      </c>
      <c r="AA90" s="2517">
        <f t="shared" si="56"/>
        <v>-88203.198000115692</v>
      </c>
      <c r="AB90" s="5628"/>
      <c r="AD90" s="26">
        <f t="shared" ref="AD90:AK90" si="57">+AD89-AD67</f>
        <v>0</v>
      </c>
      <c r="AE90" s="26">
        <f t="shared" si="57"/>
        <v>234605.82827034887</v>
      </c>
      <c r="AF90" s="26">
        <f t="shared" si="57"/>
        <v>0</v>
      </c>
      <c r="AG90" s="2519">
        <f t="shared" si="57"/>
        <v>21552.405270233168</v>
      </c>
      <c r="AH90" s="26">
        <f t="shared" si="57"/>
        <v>0</v>
      </c>
      <c r="AI90" s="26">
        <f t="shared" si="57"/>
        <v>298935.00027043698</v>
      </c>
      <c r="AJ90" s="26">
        <f t="shared" si="57"/>
        <v>0</v>
      </c>
      <c r="AK90" s="2519">
        <f t="shared" si="57"/>
        <v>-11512.594729562989</v>
      </c>
      <c r="AL90" s="26">
        <f t="shared" ref="AL90:AQ90" si="58">+AL89-AL67</f>
        <v>0</v>
      </c>
      <c r="AM90" s="26">
        <f t="shared" si="58"/>
        <v>344764.70027032128</v>
      </c>
      <c r="AN90" s="26">
        <f t="shared" si="58"/>
        <v>0</v>
      </c>
      <c r="AO90" s="2517">
        <f t="shared" si="58"/>
        <v>924305.52881099144</v>
      </c>
      <c r="AP90" s="26">
        <f t="shared" si="58"/>
        <v>0</v>
      </c>
      <c r="AQ90" s="2519">
        <f t="shared" si="58"/>
        <v>665252.10581099149</v>
      </c>
      <c r="AR90" s="26">
        <f t="shared" ref="AR90:AU90" si="59">+AR89-AR67</f>
        <v>0</v>
      </c>
      <c r="AS90" s="26">
        <f t="shared" si="59"/>
        <v>403615.00027040939</v>
      </c>
      <c r="AT90" s="26">
        <f t="shared" si="59"/>
        <v>0</v>
      </c>
      <c r="AU90" s="2519">
        <f t="shared" si="59"/>
        <v>10867.105270409433</v>
      </c>
      <c r="AV90" s="26">
        <f t="shared" ref="AV90:AY90" si="60">+AV89-AV67</f>
        <v>0</v>
      </c>
      <c r="AW90" s="26">
        <f t="shared" si="60"/>
        <v>443111.27027049754</v>
      </c>
      <c r="AX90" s="26">
        <f t="shared" si="60"/>
        <v>0</v>
      </c>
      <c r="AY90" s="2519">
        <f t="shared" si="60"/>
        <v>13978.37527049752</v>
      </c>
      <c r="AZ90" s="26">
        <f t="shared" ref="AZ90:BG90" si="61">+AZ89-AZ67</f>
        <v>0</v>
      </c>
      <c r="BA90" s="26">
        <f t="shared" si="61"/>
        <v>494236.00027053722</v>
      </c>
      <c r="BB90" s="26">
        <f t="shared" si="61"/>
        <v>0</v>
      </c>
      <c r="BC90" s="2517">
        <f t="shared" si="61"/>
        <v>1340962.2708114441</v>
      </c>
      <c r="BD90" s="5628"/>
      <c r="BF90" s="26">
        <f t="shared" si="61"/>
        <v>0</v>
      </c>
      <c r="BG90" s="2519">
        <f t="shared" si="61"/>
        <v>16214.375270537217</v>
      </c>
      <c r="BH90" s="26"/>
      <c r="BI90" s="26"/>
    </row>
    <row r="91" spans="3:61" ht="15.75" hidden="1" customHeight="1" thickBot="1" x14ac:dyDescent="0.3">
      <c r="S91" s="2519"/>
      <c r="W91" s="2519"/>
      <c r="X91" s="670"/>
      <c r="AD91" s="4092"/>
      <c r="AE91" s="4092"/>
      <c r="AF91" s="4092"/>
      <c r="AG91" s="2519"/>
      <c r="AH91" s="4198"/>
      <c r="AI91" s="4198"/>
      <c r="AJ91" s="4198"/>
      <c r="AK91" s="2519"/>
      <c r="AL91" s="4332"/>
      <c r="AM91" s="4332"/>
      <c r="AN91" s="4332"/>
      <c r="AP91" s="4332"/>
      <c r="AQ91" s="2519"/>
      <c r="AR91" s="4441"/>
      <c r="AS91" s="4441"/>
      <c r="AT91" s="4441"/>
      <c r="AU91" s="2519"/>
      <c r="AV91" s="4675"/>
      <c r="AW91" s="4675"/>
      <c r="AX91" s="4675"/>
      <c r="AY91" s="2519"/>
      <c r="AZ91" s="5121"/>
      <c r="BA91" s="5121"/>
      <c r="BF91" s="5121"/>
      <c r="BG91" s="2519"/>
      <c r="BH91" s="26"/>
      <c r="BI91" s="26"/>
    </row>
    <row r="92" spans="3:61" ht="15.75" hidden="1" customHeight="1" thickBot="1" x14ac:dyDescent="0.3">
      <c r="S92" s="2519"/>
      <c r="W92" s="2519"/>
      <c r="X92" s="670"/>
      <c r="AD92" s="4092"/>
      <c r="AE92" s="4092"/>
      <c r="AF92" s="4092"/>
      <c r="AG92" s="2519"/>
      <c r="AH92" s="4198"/>
      <c r="AI92" s="4198"/>
      <c r="AJ92" s="4198"/>
      <c r="AK92" s="2519"/>
      <c r="AL92" s="4332"/>
      <c r="AM92" s="4332"/>
      <c r="AN92" s="4332"/>
      <c r="AP92" s="4332"/>
      <c r="AQ92" s="2519"/>
      <c r="AR92" s="4441"/>
      <c r="AS92" s="4441"/>
      <c r="AT92" s="4441"/>
      <c r="AU92" s="2519"/>
      <c r="AV92" s="4675"/>
      <c r="AW92" s="4675"/>
      <c r="AX92" s="4675"/>
      <c r="AY92" s="2519"/>
      <c r="AZ92" s="5121"/>
      <c r="BA92" s="5121"/>
      <c r="BF92" s="5121"/>
      <c r="BG92" s="2519"/>
      <c r="BH92" s="26"/>
      <c r="BI92" s="26"/>
    </row>
    <row r="93" spans="3:61" ht="18.75" x14ac:dyDescent="0.25">
      <c r="D93" s="6457" t="s">
        <v>17</v>
      </c>
      <c r="E93" s="2414" t="s">
        <v>1680</v>
      </c>
      <c r="F93" s="2405"/>
      <c r="G93" s="2406">
        <f>+WRM!F125</f>
        <v>38790.100000000013</v>
      </c>
      <c r="H93" s="2406"/>
      <c r="I93" s="2406">
        <f>+WRM!H125</f>
        <v>31436.75</v>
      </c>
      <c r="J93" s="2406"/>
      <c r="K93" s="2406">
        <f>+WRM!J125</f>
        <v>70226.850000000006</v>
      </c>
      <c r="L93" s="2406"/>
      <c r="M93" s="2406">
        <f>+WRM!L125</f>
        <v>32975.400000000009</v>
      </c>
      <c r="N93" s="2406"/>
      <c r="O93" s="5672">
        <f>+WRM!N125</f>
        <v>103202.24999999996</v>
      </c>
      <c r="P93" s="2406"/>
      <c r="Q93" s="2406">
        <f>+WRM!P125</f>
        <v>41411.410000000003</v>
      </c>
      <c r="R93" s="2406"/>
      <c r="S93" s="2406">
        <f>+WRM!R125</f>
        <v>144613.65999999995</v>
      </c>
      <c r="T93" s="2406"/>
      <c r="U93" s="2406">
        <f>+WRM!T125</f>
        <v>46120.900000000016</v>
      </c>
      <c r="V93" s="2406"/>
      <c r="W93" s="2406">
        <f>+WRM!V125</f>
        <v>190734.55999999991</v>
      </c>
      <c r="X93" s="2406"/>
      <c r="Y93" s="2406">
        <f>+WRM!X125</f>
        <v>44910.375000000007</v>
      </c>
      <c r="Z93" s="2406"/>
      <c r="AA93" s="5678">
        <f>+WRM!Z125</f>
        <v>132442.685</v>
      </c>
      <c r="AB93" s="2406"/>
      <c r="AC93" s="5687">
        <f>+WRM!AB125</f>
        <v>235644.93499999997</v>
      </c>
      <c r="AD93" s="2406"/>
      <c r="AE93" s="2406">
        <f>+WRM!AD125</f>
        <v>42767.049999999988</v>
      </c>
      <c r="AF93" s="2406"/>
      <c r="AG93" s="2406">
        <f>+WRM!AF125</f>
        <v>278411.98499999999</v>
      </c>
      <c r="AH93" s="2406"/>
      <c r="AI93" s="2406">
        <f>+WRM!AH125</f>
        <v>40266.100000000013</v>
      </c>
      <c r="AJ93" s="2406"/>
      <c r="AK93" s="2406">
        <f>+WRM!AJ125</f>
        <v>318678.0850000002</v>
      </c>
      <c r="AL93" s="2406"/>
      <c r="AM93" s="2406">
        <f>+WRM!AL125</f>
        <v>41541.200000000004</v>
      </c>
      <c r="AN93" s="2406"/>
      <c r="AO93" s="5678">
        <f>+WRM!AN125</f>
        <v>124574.34999999999</v>
      </c>
      <c r="AP93" s="2406"/>
      <c r="AQ93" s="2406">
        <f>+WRM!AP125</f>
        <v>360219.28500000003</v>
      </c>
      <c r="AR93" s="2406"/>
      <c r="AS93" s="2406">
        <f>+WRM!AR125</f>
        <v>43760.85</v>
      </c>
      <c r="AT93" s="2406"/>
      <c r="AU93" s="2406">
        <f>+WRM!AT125</f>
        <v>403980.13499999995</v>
      </c>
      <c r="AV93" s="2406"/>
      <c r="AW93" s="2406">
        <f>+WRM!AV125</f>
        <v>36414.150000000009</v>
      </c>
      <c r="AX93" s="2406"/>
      <c r="AY93" s="2406">
        <f>+WRM!AX125</f>
        <v>440394.28500000021</v>
      </c>
      <c r="AZ93" s="2406"/>
      <c r="BA93" s="2406">
        <f>+WRM!AZ125</f>
        <v>38134.1</v>
      </c>
      <c r="BB93" s="2406"/>
      <c r="BC93" s="5678">
        <f>+WRM!BB125</f>
        <v>118309.10000000003</v>
      </c>
      <c r="BD93" s="2406"/>
      <c r="BE93" s="5687">
        <f>+WRM!BD125</f>
        <v>242883.45000000004</v>
      </c>
      <c r="BF93" s="2406"/>
      <c r="BG93" s="2527">
        <f>+WRM!BF125</f>
        <v>478528.38500000024</v>
      </c>
      <c r="BH93" s="26"/>
      <c r="BI93" s="26"/>
    </row>
    <row r="94" spans="3:61" ht="18.75" x14ac:dyDescent="0.25">
      <c r="D94" s="6458"/>
      <c r="E94" s="2415" t="s">
        <v>1726</v>
      </c>
      <c r="F94" s="220"/>
      <c r="G94" s="2403">
        <f>+G32</f>
        <v>35881.15</v>
      </c>
      <c r="H94" s="2403"/>
      <c r="I94" s="2403">
        <f t="shared" ref="I94:BA94" si="62">+I32</f>
        <v>27746.750000000004</v>
      </c>
      <c r="J94" s="2403"/>
      <c r="K94" s="2403">
        <f t="shared" si="62"/>
        <v>63627.899999999994</v>
      </c>
      <c r="L94" s="2403"/>
      <c r="M94" s="2403">
        <f t="shared" si="62"/>
        <v>27188.55</v>
      </c>
      <c r="N94" s="2403"/>
      <c r="O94" s="5673">
        <f t="shared" si="62"/>
        <v>90816.45</v>
      </c>
      <c r="P94" s="2403"/>
      <c r="Q94" s="2403">
        <f t="shared" si="62"/>
        <v>33179.229999999996</v>
      </c>
      <c r="R94" s="2403"/>
      <c r="S94" s="2403">
        <f t="shared" si="62"/>
        <v>123995.68</v>
      </c>
      <c r="T94" s="2403"/>
      <c r="U94" s="2403">
        <f t="shared" si="62"/>
        <v>31781.150000000012</v>
      </c>
      <c r="V94" s="2403"/>
      <c r="W94" s="2403">
        <f t="shared" ref="W94" si="63">+W32</f>
        <v>155776.82999999999</v>
      </c>
      <c r="X94" s="2403"/>
      <c r="Y94" s="2403">
        <f t="shared" si="62"/>
        <v>39520.925000000003</v>
      </c>
      <c r="Z94" s="2403"/>
      <c r="AA94" s="5673">
        <f t="shared" ref="AA94" si="64">+AA32</f>
        <v>104481.30499999999</v>
      </c>
      <c r="AB94" s="2403"/>
      <c r="AC94" s="5688">
        <f t="shared" ref="AC94" si="65">+AC32</f>
        <v>195297.755</v>
      </c>
      <c r="AD94" s="2403"/>
      <c r="AE94" s="2403">
        <f t="shared" si="62"/>
        <v>40876.94999999999</v>
      </c>
      <c r="AF94" s="2403"/>
      <c r="AG94" s="2403">
        <f t="shared" ref="AG94" si="66">+AG32</f>
        <v>236174.70499999999</v>
      </c>
      <c r="AH94" s="2403"/>
      <c r="AI94" s="2403">
        <f t="shared" si="62"/>
        <v>33751.200000000004</v>
      </c>
      <c r="AJ94" s="2403"/>
      <c r="AK94" s="2403">
        <f t="shared" ref="AK94" si="67">+AK32</f>
        <v>269925.90499999997</v>
      </c>
      <c r="AL94" s="2403"/>
      <c r="AM94" s="2403">
        <f t="shared" si="62"/>
        <v>38548.200000000004</v>
      </c>
      <c r="AN94" s="2403"/>
      <c r="AO94" s="5673">
        <f t="shared" ref="AO94" si="68">+AO32</f>
        <v>113176.35</v>
      </c>
      <c r="AP94" s="2403"/>
      <c r="AQ94" s="2403">
        <f t="shared" ref="AQ94" si="69">+AQ32</f>
        <v>308474.1050000001</v>
      </c>
      <c r="AR94" s="2403"/>
      <c r="AS94" s="2403">
        <f t="shared" si="62"/>
        <v>36417.75</v>
      </c>
      <c r="AT94" s="2403"/>
      <c r="AU94" s="2403">
        <f t="shared" ref="AU94" si="70">+AU32</f>
        <v>344891.85500000004</v>
      </c>
      <c r="AV94" s="2403"/>
      <c r="AW94" s="2403">
        <f t="shared" si="62"/>
        <v>31666.350000000002</v>
      </c>
      <c r="AX94" s="2403"/>
      <c r="AY94" s="2403">
        <f t="shared" ref="AY94" si="71">+AY32</f>
        <v>376558.20500000002</v>
      </c>
      <c r="AZ94" s="2403"/>
      <c r="BA94" s="2403">
        <f t="shared" si="62"/>
        <v>36106.649999999994</v>
      </c>
      <c r="BB94" s="2403"/>
      <c r="BC94" s="5673">
        <f t="shared" ref="BC94" si="72">+BC32</f>
        <v>104190.74999999999</v>
      </c>
      <c r="BD94" s="2403"/>
      <c r="BE94" s="5688">
        <f t="shared" ref="BE94" si="73">+BE32</f>
        <v>217367.10000000003</v>
      </c>
      <c r="BF94" s="2403"/>
      <c r="BG94" s="2521">
        <f t="shared" ref="BG94" si="74">+BG32</f>
        <v>412664.85500000004</v>
      </c>
      <c r="BH94" s="26"/>
      <c r="BI94" s="26"/>
    </row>
    <row r="95" spans="3:61" ht="18.75" x14ac:dyDescent="0.25">
      <c r="D95" s="6458"/>
      <c r="E95" s="2415" t="s">
        <v>1681</v>
      </c>
      <c r="F95" s="220"/>
      <c r="G95" s="2402">
        <f>+G94/G93</f>
        <v>0.92500792728041403</v>
      </c>
      <c r="H95" s="2402"/>
      <c r="I95" s="2402">
        <f t="shared" ref="I95:BG95" si="75">+I94/I93</f>
        <v>0.88262145418976212</v>
      </c>
      <c r="J95" s="2402"/>
      <c r="K95" s="2402">
        <f t="shared" si="75"/>
        <v>0.90603380331027217</v>
      </c>
      <c r="L95" s="2402"/>
      <c r="M95" s="2402">
        <f t="shared" si="75"/>
        <v>0.82451008933932546</v>
      </c>
      <c r="N95" s="2402"/>
      <c r="O95" s="5674">
        <f t="shared" si="75"/>
        <v>0.87998517474183013</v>
      </c>
      <c r="P95" s="2402"/>
      <c r="Q95" s="2402">
        <f t="shared" si="75"/>
        <v>0.80120985979467962</v>
      </c>
      <c r="R95" s="2402"/>
      <c r="S95" s="2402">
        <f t="shared" si="75"/>
        <v>0.8574271614451916</v>
      </c>
      <c r="T95" s="2402"/>
      <c r="U95" s="2402">
        <f t="shared" si="75"/>
        <v>0.68908347408658555</v>
      </c>
      <c r="V95" s="2402"/>
      <c r="W95" s="2402">
        <f t="shared" si="75"/>
        <v>0.81672052511091886</v>
      </c>
      <c r="X95" s="2402"/>
      <c r="Y95" s="2402">
        <f t="shared" si="75"/>
        <v>0.87999543535318947</v>
      </c>
      <c r="Z95" s="2402"/>
      <c r="AA95" s="5674">
        <f t="shared" si="75"/>
        <v>0.78887939337684065</v>
      </c>
      <c r="AB95" s="2402"/>
      <c r="AC95" s="5689">
        <f t="shared" si="75"/>
        <v>0.82877976986859503</v>
      </c>
      <c r="AD95" s="2402"/>
      <c r="AE95" s="2402">
        <f t="shared" si="75"/>
        <v>0.95580476090822264</v>
      </c>
      <c r="AF95" s="2402"/>
      <c r="AG95" s="2402">
        <f t="shared" si="75"/>
        <v>0.84829216314089351</v>
      </c>
      <c r="AH95" s="2402"/>
      <c r="AI95" s="2402">
        <f t="shared" si="75"/>
        <v>0.83820384889522437</v>
      </c>
      <c r="AJ95" s="2402"/>
      <c r="AK95" s="2402">
        <f t="shared" si="75"/>
        <v>0.84701746905501774</v>
      </c>
      <c r="AL95" s="2402"/>
      <c r="AM95" s="2402">
        <f t="shared" si="75"/>
        <v>0.92795104619028823</v>
      </c>
      <c r="AN95" s="2402"/>
      <c r="AO95" s="5674">
        <f t="shared" si="75"/>
        <v>0.9085044393167615</v>
      </c>
      <c r="AP95" s="2402"/>
      <c r="AQ95" s="2402">
        <f t="shared" si="75"/>
        <v>0.85635088915353341</v>
      </c>
      <c r="AR95" s="2402"/>
      <c r="AS95" s="2402">
        <f t="shared" si="75"/>
        <v>0.83219932885215897</v>
      </c>
      <c r="AT95" s="2402"/>
      <c r="AU95" s="2402">
        <f t="shared" si="75"/>
        <v>0.85373468920693363</v>
      </c>
      <c r="AV95" s="2402"/>
      <c r="AW95" s="2402">
        <f t="shared" si="75"/>
        <v>0.86961661881438934</v>
      </c>
      <c r="AX95" s="2402"/>
      <c r="AY95" s="2402">
        <f t="shared" si="75"/>
        <v>0.85504789191349251</v>
      </c>
      <c r="AZ95" s="2402"/>
      <c r="BA95" s="2402">
        <f t="shared" si="75"/>
        <v>0.94683367379851613</v>
      </c>
      <c r="BB95" s="2402"/>
      <c r="BC95" s="5674">
        <f t="shared" si="75"/>
        <v>0.88066556165163923</v>
      </c>
      <c r="BD95" s="2402"/>
      <c r="BE95" s="5689">
        <f t="shared" si="75"/>
        <v>0.8949440565011737</v>
      </c>
      <c r="BF95" s="2402"/>
      <c r="BG95" s="2522">
        <f t="shared" si="75"/>
        <v>0.86236233405464513</v>
      </c>
      <c r="BH95" s="26"/>
      <c r="BI95" s="26"/>
    </row>
    <row r="96" spans="3:61" ht="18.75" x14ac:dyDescent="0.25">
      <c r="D96" s="6458"/>
      <c r="E96" s="2415" t="s">
        <v>1679</v>
      </c>
      <c r="F96" s="220"/>
      <c r="G96" s="2403">
        <f>+G93-G94</f>
        <v>2908.9500000000116</v>
      </c>
      <c r="H96" s="2403"/>
      <c r="I96" s="2403">
        <f t="shared" ref="I96:BA96" si="76">+I93-I94</f>
        <v>3689.9999999999964</v>
      </c>
      <c r="J96" s="2403"/>
      <c r="K96" s="2403">
        <f t="shared" si="76"/>
        <v>6598.9500000000116</v>
      </c>
      <c r="L96" s="2403"/>
      <c r="M96" s="2403">
        <f t="shared" si="76"/>
        <v>5786.8500000000095</v>
      </c>
      <c r="N96" s="2403"/>
      <c r="O96" s="5673">
        <f t="shared" si="76"/>
        <v>12385.799999999959</v>
      </c>
      <c r="P96" s="2403"/>
      <c r="Q96" s="2403">
        <f t="shared" si="76"/>
        <v>8232.1800000000076</v>
      </c>
      <c r="R96" s="2403"/>
      <c r="S96" s="2403">
        <f t="shared" si="76"/>
        <v>20617.979999999952</v>
      </c>
      <c r="T96" s="2403"/>
      <c r="U96" s="2403">
        <f t="shared" si="76"/>
        <v>14339.750000000004</v>
      </c>
      <c r="V96" s="2403"/>
      <c r="W96" s="2403">
        <f t="shared" ref="W96" si="77">+W93-W94</f>
        <v>34957.729999999923</v>
      </c>
      <c r="X96" s="2403"/>
      <c r="Y96" s="2403">
        <f t="shared" si="76"/>
        <v>5389.4500000000044</v>
      </c>
      <c r="Z96" s="2403"/>
      <c r="AA96" s="5673">
        <f t="shared" ref="AA96" si="78">+AA93-AA94</f>
        <v>27961.380000000005</v>
      </c>
      <c r="AB96" s="2403"/>
      <c r="AC96" s="5688">
        <f t="shared" ref="AC96" si="79">+AC93-AC94</f>
        <v>40347.179999999964</v>
      </c>
      <c r="AD96" s="2403"/>
      <c r="AE96" s="2403">
        <f t="shared" si="76"/>
        <v>1890.0999999999985</v>
      </c>
      <c r="AF96" s="2403"/>
      <c r="AG96" s="2403">
        <f t="shared" ref="AG96" si="80">+AG93-AG94</f>
        <v>42237.279999999999</v>
      </c>
      <c r="AH96" s="2403"/>
      <c r="AI96" s="2403">
        <f t="shared" si="76"/>
        <v>6514.9000000000087</v>
      </c>
      <c r="AJ96" s="2403"/>
      <c r="AK96" s="2403">
        <f t="shared" ref="AK96" si="81">+AK93-AK94</f>
        <v>48752.180000000226</v>
      </c>
      <c r="AL96" s="2403"/>
      <c r="AM96" s="2403">
        <f t="shared" si="76"/>
        <v>2993</v>
      </c>
      <c r="AN96" s="2403"/>
      <c r="AO96" s="5673">
        <f t="shared" ref="AO96" si="82">+AO93-AO94</f>
        <v>11397.999999999985</v>
      </c>
      <c r="AP96" s="2403"/>
      <c r="AQ96" s="2403">
        <f t="shared" ref="AQ96" si="83">+AQ93-AQ94</f>
        <v>51745.179999999935</v>
      </c>
      <c r="AR96" s="2403"/>
      <c r="AS96" s="2403">
        <f t="shared" si="76"/>
        <v>7343.0999999999985</v>
      </c>
      <c r="AT96" s="2403"/>
      <c r="AU96" s="2403">
        <f t="shared" ref="AU96" si="84">+AU93-AU94</f>
        <v>59088.279999999912</v>
      </c>
      <c r="AV96" s="2403"/>
      <c r="AW96" s="2403">
        <f t="shared" si="76"/>
        <v>4747.8000000000065</v>
      </c>
      <c r="AX96" s="2403"/>
      <c r="AY96" s="2403">
        <f t="shared" ref="AY96" si="85">+AY93-AY94</f>
        <v>63836.080000000191</v>
      </c>
      <c r="AZ96" s="2403"/>
      <c r="BA96" s="2403">
        <f t="shared" si="76"/>
        <v>2027.4500000000044</v>
      </c>
      <c r="BB96" s="2403"/>
      <c r="BC96" s="5673">
        <f t="shared" ref="BC96" si="86">+BC93-BC94</f>
        <v>14118.350000000049</v>
      </c>
      <c r="BD96" s="2403"/>
      <c r="BE96" s="5688">
        <f t="shared" ref="BE96" si="87">+BE93-BE94</f>
        <v>25516.350000000006</v>
      </c>
      <c r="BF96" s="2403"/>
      <c r="BG96" s="2521">
        <f t="shared" ref="BG96" si="88">+BG93-BG94</f>
        <v>65863.530000000203</v>
      </c>
      <c r="BH96" s="26"/>
      <c r="BI96" s="26"/>
    </row>
    <row r="97" spans="4:61" s="1597" customFormat="1" x14ac:dyDescent="0.25">
      <c r="D97" s="6458"/>
      <c r="E97" s="2416" t="s">
        <v>1023</v>
      </c>
      <c r="F97" s="5663"/>
      <c r="G97" s="185">
        <f>+SUMIF(WRM!$C$8:$C$108,$E97,WRM!F$8:F$108)</f>
        <v>1137.75</v>
      </c>
      <c r="H97" s="185"/>
      <c r="I97" s="185">
        <f>+SUMIF(WRM!$C$8:$C$108,$E97,WRM!H$8:H$108)</f>
        <v>1789.65</v>
      </c>
      <c r="J97" s="185"/>
      <c r="K97" s="185">
        <f>+G97+I97</f>
        <v>2927.4</v>
      </c>
      <c r="L97" s="185"/>
      <c r="M97" s="185">
        <f>+SUMIF(WRM!$C$8:$C$108,$E97,WRM!L$8:L$108)</f>
        <v>3872.45</v>
      </c>
      <c r="N97" s="185"/>
      <c r="O97" s="1606">
        <f t="shared" ref="O97:O99" si="89">+G97+I97+M97</f>
        <v>6799.85</v>
      </c>
      <c r="P97" s="185"/>
      <c r="Q97" s="185">
        <f>+SUMIF(WRM!$C$8:$C$108,$E97,WRM!P$8:P$108)</f>
        <v>3979.329999999999</v>
      </c>
      <c r="R97" s="185"/>
      <c r="S97" s="5664">
        <f t="shared" ref="S97:S99" si="90">O97+Q97</f>
        <v>10779.18</v>
      </c>
      <c r="T97" s="185"/>
      <c r="U97" s="185">
        <f>+SUMIF(WRM!$C$8:$C$108,$E97,WRM!T$8:T$108)</f>
        <v>6074.15</v>
      </c>
      <c r="V97" s="185"/>
      <c r="W97" s="5664">
        <f t="shared" ref="W97:W99" si="91">S97+U97</f>
        <v>16853.330000000002</v>
      </c>
      <c r="X97" s="185"/>
      <c r="Y97" s="185">
        <f>+SUMIF(WRM!$C$8:$C$108,$E97,WRM!X$8:X$108)</f>
        <v>1701.5</v>
      </c>
      <c r="Z97" s="185"/>
      <c r="AA97" s="5666">
        <f t="shared" ref="AA97:AA99" si="92">Q97+U97+Y97</f>
        <v>11754.98</v>
      </c>
      <c r="AB97" s="185"/>
      <c r="AC97" s="5690">
        <f t="shared" ref="AC97:AC99" si="93">O97+AA97</f>
        <v>18554.830000000002</v>
      </c>
      <c r="AD97" s="185"/>
      <c r="AE97" s="185">
        <f>+SUMIF(WRM!$C$8:$C$108,$E97,WRM!AD$8:AD$108)</f>
        <v>889.70000000000027</v>
      </c>
      <c r="AF97" s="185"/>
      <c r="AG97" s="5664">
        <f t="shared" ref="AG97:AG99" si="94">+AC97+AE97</f>
        <v>19444.530000000002</v>
      </c>
      <c r="AH97" s="185"/>
      <c r="AI97" s="185">
        <f>+SUMIF(WRM!$C$8:$C$108,$E97,WRM!AH$8:AH$108)</f>
        <v>4124.6000000000004</v>
      </c>
      <c r="AJ97" s="185"/>
      <c r="AK97" s="5664">
        <f t="shared" ref="AK97:AK99" si="95">AG97+AI97</f>
        <v>23569.130000000005</v>
      </c>
      <c r="AL97" s="185"/>
      <c r="AM97" s="185">
        <f>+SUMIF(WRM!$C$8:$C$108,$E97,WRM!AL$8:AL$108)</f>
        <v>1527.25</v>
      </c>
      <c r="AN97" s="185"/>
      <c r="AO97" s="5666">
        <f t="shared" ref="AO97:AO99" si="96">AM97+AI97+AE97</f>
        <v>6541.5500000000011</v>
      </c>
      <c r="AP97" s="185"/>
      <c r="AQ97" s="5664">
        <f t="shared" ref="AQ97:AQ99" si="97">AK97+AM97</f>
        <v>25096.380000000005</v>
      </c>
      <c r="AR97" s="185"/>
      <c r="AS97" s="185">
        <f>+SUMIF(WRM!$C$8:$C$108,$E97,WRM!AR$8:AR$108)</f>
        <v>2699.8500000000004</v>
      </c>
      <c r="AT97" s="185"/>
      <c r="AU97" s="5664">
        <f t="shared" ref="AU97:AU99" si="98">AQ97+AS97</f>
        <v>27796.230000000003</v>
      </c>
      <c r="AV97" s="185"/>
      <c r="AW97" s="185">
        <f>+SUMIF(WRM!$C$8:$C$108,$E97,WRM!AV$8:AV$108)</f>
        <v>2074.6</v>
      </c>
      <c r="AX97" s="185"/>
      <c r="AY97" s="5664">
        <f t="shared" ref="AY97:AY99" si="99">AU97+AW97</f>
        <v>29870.83</v>
      </c>
      <c r="AZ97" s="185"/>
      <c r="BA97" s="185">
        <f>+SUMIF(WRM!$C$8:$C$108,$E97,WRM!AZ$8:AZ$108)</f>
        <v>961.44999999999993</v>
      </c>
      <c r="BB97" s="185"/>
      <c r="BC97" s="5666">
        <f t="shared" ref="BC97:BC99" si="100">+AS97+AW97+BA97</f>
        <v>5735.9000000000005</v>
      </c>
      <c r="BD97" s="185"/>
      <c r="BE97" s="5690">
        <f t="shared" ref="BE97:BE99" si="101">AO97+BC97</f>
        <v>12277.45</v>
      </c>
      <c r="BF97" s="185"/>
      <c r="BG97" s="5665">
        <f t="shared" ref="BG97:BG99" si="102">AY97+BA97</f>
        <v>30832.280000000002</v>
      </c>
      <c r="BH97" s="26"/>
      <c r="BI97" s="26"/>
    </row>
    <row r="98" spans="4:61" s="1597" customFormat="1" x14ac:dyDescent="0.25">
      <c r="D98" s="6458"/>
      <c r="E98" s="5662" t="s">
        <v>1189</v>
      </c>
      <c r="F98" s="5663"/>
      <c r="G98" s="185">
        <f>+SUMIF(WRM!$C$8:$C$108,$E98,WRM!F$8:F$108)</f>
        <v>1590.8000000000002</v>
      </c>
      <c r="H98" s="185"/>
      <c r="I98" s="185">
        <f>+SUMIF(WRM!$C$8:$C$108,$E98,WRM!H$8:H$108)</f>
        <v>1758.9</v>
      </c>
      <c r="J98" s="185"/>
      <c r="K98" s="185">
        <f t="shared" ref="K98:K99" si="103">+G98+I98</f>
        <v>3349.7000000000003</v>
      </c>
      <c r="L98" s="185"/>
      <c r="M98" s="185">
        <f>+SUMIF(WRM!$C$8:$C$108,$E98,WRM!L$8:L$108)</f>
        <v>1766.8</v>
      </c>
      <c r="N98" s="185"/>
      <c r="O98" s="1606">
        <f t="shared" si="89"/>
        <v>5116.5</v>
      </c>
      <c r="P98" s="185"/>
      <c r="Q98" s="185">
        <f>+SUMIF(WRM!$C$8:$C$108,$E98,WRM!P$8:P$108)</f>
        <v>4183.1399999999994</v>
      </c>
      <c r="R98" s="185"/>
      <c r="S98" s="5664">
        <f t="shared" si="90"/>
        <v>9299.64</v>
      </c>
      <c r="T98" s="185"/>
      <c r="U98" s="185">
        <f>+SUMIF(WRM!$C$8:$C$108,$E98,WRM!T$8:T$108)</f>
        <v>8138.5</v>
      </c>
      <c r="V98" s="185"/>
      <c r="W98" s="5664">
        <f t="shared" si="91"/>
        <v>17438.14</v>
      </c>
      <c r="X98" s="185"/>
      <c r="Y98" s="185">
        <f>+SUMIF(WRM!$C$8:$C$108,$E98,WRM!X$8:X$108)</f>
        <v>3651.0499999999988</v>
      </c>
      <c r="Z98" s="185"/>
      <c r="AA98" s="5666">
        <f t="shared" si="92"/>
        <v>15972.689999999999</v>
      </c>
      <c r="AB98" s="185"/>
      <c r="AC98" s="5690">
        <f t="shared" si="93"/>
        <v>21089.19</v>
      </c>
      <c r="AD98" s="185"/>
      <c r="AE98" s="185">
        <f>+SUMIF(WRM!$C$8:$C$108,$E98,WRM!AD$8:AD$108)</f>
        <v>873.29999999999973</v>
      </c>
      <c r="AF98" s="185"/>
      <c r="AG98" s="5664">
        <f t="shared" si="94"/>
        <v>21962.489999999998</v>
      </c>
      <c r="AH98" s="185"/>
      <c r="AI98" s="185">
        <f>+SUMIF(WRM!$C$8:$C$108,$E98,WRM!AH$8:AH$108)</f>
        <v>2216.0500000000002</v>
      </c>
      <c r="AJ98" s="185"/>
      <c r="AK98" s="5664">
        <f t="shared" si="95"/>
        <v>24178.539999999997</v>
      </c>
      <c r="AL98" s="185"/>
      <c r="AM98" s="185">
        <f>+SUMIF(WRM!$C$8:$C$108,$E98,WRM!AL$8:AL$108)</f>
        <v>1209.5</v>
      </c>
      <c r="AN98" s="185"/>
      <c r="AO98" s="5666">
        <f t="shared" si="96"/>
        <v>4298.8500000000004</v>
      </c>
      <c r="AP98" s="185"/>
      <c r="AQ98" s="5664">
        <f t="shared" si="97"/>
        <v>25388.039999999997</v>
      </c>
      <c r="AR98" s="185"/>
      <c r="AS98" s="185">
        <f>+SUMIF(WRM!$C$8:$C$108,$E98,WRM!AR$8:AR$108)</f>
        <v>4544.8500000000004</v>
      </c>
      <c r="AT98" s="185"/>
      <c r="AU98" s="5664">
        <f t="shared" si="98"/>
        <v>29932.89</v>
      </c>
      <c r="AV98" s="185"/>
      <c r="AW98" s="185">
        <f>+SUMIF(WRM!$C$8:$C$108,$E98,WRM!AV$8:AV$108)</f>
        <v>2437.4500000000003</v>
      </c>
      <c r="AX98" s="185"/>
      <c r="AY98" s="5664">
        <f t="shared" si="99"/>
        <v>32370.34</v>
      </c>
      <c r="AZ98" s="185"/>
      <c r="BA98" s="185">
        <f>+SUMIF(WRM!$C$8:$C$108,$E98,WRM!AZ$8:AZ$108)</f>
        <v>1031.1500000000001</v>
      </c>
      <c r="BB98" s="185"/>
      <c r="BC98" s="5666">
        <f t="shared" si="100"/>
        <v>8013.4500000000007</v>
      </c>
      <c r="BD98" s="185"/>
      <c r="BE98" s="5690">
        <f t="shared" si="101"/>
        <v>12312.300000000001</v>
      </c>
      <c r="BF98" s="185"/>
      <c r="BG98" s="5665">
        <f t="shared" si="102"/>
        <v>33401.49</v>
      </c>
      <c r="BH98" s="26"/>
      <c r="BI98" s="26"/>
    </row>
    <row r="99" spans="4:61" s="1597" customFormat="1" x14ac:dyDescent="0.25">
      <c r="D99" s="6458"/>
      <c r="E99" s="5662" t="s">
        <v>1119</v>
      </c>
      <c r="F99" s="5663"/>
      <c r="G99" s="185">
        <f>+SUMIF(WRM!$C$8:$C$108,$E99,WRM!F$8:F$108)</f>
        <v>180.4</v>
      </c>
      <c r="H99" s="185"/>
      <c r="I99" s="185">
        <f>+SUMIF(WRM!$C$8:$C$108,$E99,WRM!H$8:H$108)</f>
        <v>141.44999999999999</v>
      </c>
      <c r="J99" s="185"/>
      <c r="K99" s="185">
        <f t="shared" si="103"/>
        <v>321.85000000000002</v>
      </c>
      <c r="L99" s="185"/>
      <c r="M99" s="185">
        <f>+SUMIF(WRM!$C$8:$C$108,$E99,WRM!L$8:L$108)</f>
        <v>147.6</v>
      </c>
      <c r="N99" s="185"/>
      <c r="O99" s="1606">
        <f t="shared" si="89"/>
        <v>469.45000000000005</v>
      </c>
      <c r="P99" s="185"/>
      <c r="Q99" s="185">
        <f>+SUMIF(WRM!$C$8:$C$108,$E99,WRM!P$8:P$108)</f>
        <v>69.710000000000008</v>
      </c>
      <c r="R99" s="185"/>
      <c r="S99" s="5664">
        <f t="shared" si="90"/>
        <v>539.16000000000008</v>
      </c>
      <c r="T99" s="185"/>
      <c r="U99" s="185">
        <f>+SUMIF(WRM!$C$8:$C$108,$E99,WRM!T$8:T$108)</f>
        <v>127.1</v>
      </c>
      <c r="V99" s="185"/>
      <c r="W99" s="5664">
        <f t="shared" si="91"/>
        <v>666.2600000000001</v>
      </c>
      <c r="X99" s="185"/>
      <c r="Y99" s="185">
        <f>+SUMIF(WRM!$C$8:$C$108,$E99,WRM!X$8:X$108)</f>
        <v>36.899999999999991</v>
      </c>
      <c r="Z99" s="185"/>
      <c r="AA99" s="5666">
        <f t="shared" si="92"/>
        <v>233.70999999999998</v>
      </c>
      <c r="AB99" s="185"/>
      <c r="AC99" s="5690">
        <f t="shared" si="93"/>
        <v>703.16000000000008</v>
      </c>
      <c r="AD99" s="185"/>
      <c r="AE99" s="185">
        <f>+SUMIF(WRM!$C$8:$C$108,$E99,WRM!AD$8:AD$108)</f>
        <v>127.10000000000001</v>
      </c>
      <c r="AF99" s="185"/>
      <c r="AG99" s="5664">
        <f t="shared" si="94"/>
        <v>830.2600000000001</v>
      </c>
      <c r="AH99" s="185"/>
      <c r="AI99" s="185">
        <f>+SUMIF(WRM!$C$8:$C$108,$E99,WRM!AH$8:AH$108)</f>
        <v>174.25</v>
      </c>
      <c r="AJ99" s="185"/>
      <c r="AK99" s="5664">
        <f t="shared" si="95"/>
        <v>1004.5100000000001</v>
      </c>
      <c r="AL99" s="185"/>
      <c r="AM99" s="185">
        <f>+SUMIF(WRM!$C$8:$C$108,$E99,WRM!AL$8:AL$108)</f>
        <v>256.25</v>
      </c>
      <c r="AN99" s="185"/>
      <c r="AO99" s="5666">
        <f t="shared" si="96"/>
        <v>557.6</v>
      </c>
      <c r="AP99" s="185"/>
      <c r="AQ99" s="5664">
        <f t="shared" si="97"/>
        <v>1260.7600000000002</v>
      </c>
      <c r="AR99" s="185"/>
      <c r="AS99" s="185">
        <f>+SUMIF(WRM!$C$8:$C$108,$E99,WRM!AR$8:AR$108)</f>
        <v>98.399999999999991</v>
      </c>
      <c r="AT99" s="185"/>
      <c r="AU99" s="5664">
        <f t="shared" si="98"/>
        <v>1359.1600000000003</v>
      </c>
      <c r="AV99" s="185"/>
      <c r="AW99" s="185">
        <f>+SUMIF(WRM!$C$8:$C$108,$E99,WRM!AV$8:AV$108)</f>
        <v>235.75</v>
      </c>
      <c r="AX99" s="185"/>
      <c r="AY99" s="5664">
        <f t="shared" si="99"/>
        <v>1594.9100000000003</v>
      </c>
      <c r="AZ99" s="185"/>
      <c r="BA99" s="185">
        <f>+SUMIF(WRM!$C$8:$C$108,$E99,WRM!AZ$8:AZ$108)</f>
        <v>34.85</v>
      </c>
      <c r="BB99" s="185"/>
      <c r="BC99" s="5666">
        <f t="shared" si="100"/>
        <v>369</v>
      </c>
      <c r="BD99" s="185"/>
      <c r="BE99" s="5690">
        <f t="shared" si="101"/>
        <v>926.6</v>
      </c>
      <c r="BF99" s="185"/>
      <c r="BG99" s="5665">
        <f t="shared" si="102"/>
        <v>1629.7600000000002</v>
      </c>
      <c r="BH99" s="26"/>
      <c r="BI99" s="26"/>
    </row>
    <row r="100" spans="4:61" ht="15.75" thickBot="1" x14ac:dyDescent="0.3">
      <c r="D100" s="6459"/>
      <c r="E100" s="2418" t="s">
        <v>2</v>
      </c>
      <c r="F100" s="1647"/>
      <c r="G100" s="1649">
        <f>SUM(G97:G99)</f>
        <v>2908.9500000000003</v>
      </c>
      <c r="H100" s="1649"/>
      <c r="I100" s="1649">
        <f t="shared" ref="I100:BG100" si="104">SUM(I97:I99)</f>
        <v>3690</v>
      </c>
      <c r="J100" s="1649"/>
      <c r="K100" s="1649">
        <f t="shared" si="104"/>
        <v>6598.9500000000007</v>
      </c>
      <c r="L100" s="1649"/>
      <c r="M100" s="1649">
        <f t="shared" si="104"/>
        <v>5786.85</v>
      </c>
      <c r="N100" s="1649"/>
      <c r="O100" s="5675">
        <f t="shared" si="104"/>
        <v>12385.800000000001</v>
      </c>
      <c r="P100" s="1649"/>
      <c r="Q100" s="1649">
        <f t="shared" si="104"/>
        <v>8232.1799999999985</v>
      </c>
      <c r="R100" s="1649"/>
      <c r="S100" s="1649">
        <f t="shared" si="104"/>
        <v>20617.98</v>
      </c>
      <c r="T100" s="1649"/>
      <c r="U100" s="1649">
        <f t="shared" si="104"/>
        <v>14339.75</v>
      </c>
      <c r="V100" s="1649"/>
      <c r="W100" s="1649">
        <f t="shared" si="104"/>
        <v>34957.730000000003</v>
      </c>
      <c r="X100" s="1649"/>
      <c r="Y100" s="1649">
        <f t="shared" si="104"/>
        <v>5389.4499999999989</v>
      </c>
      <c r="Z100" s="1649"/>
      <c r="AA100" s="5675">
        <f t="shared" si="104"/>
        <v>27961.379999999997</v>
      </c>
      <c r="AB100" s="1649"/>
      <c r="AC100" s="5632">
        <f t="shared" si="104"/>
        <v>40347.180000000008</v>
      </c>
      <c r="AD100" s="1649"/>
      <c r="AE100" s="1649">
        <f t="shared" si="104"/>
        <v>1890.1</v>
      </c>
      <c r="AF100" s="1649"/>
      <c r="AG100" s="1649">
        <f t="shared" si="104"/>
        <v>42237.280000000006</v>
      </c>
      <c r="AH100" s="1649"/>
      <c r="AI100" s="1649">
        <f t="shared" si="104"/>
        <v>6514.9000000000005</v>
      </c>
      <c r="AJ100" s="1649"/>
      <c r="AK100" s="1649">
        <f t="shared" si="104"/>
        <v>48752.18</v>
      </c>
      <c r="AL100" s="1649"/>
      <c r="AM100" s="1649">
        <f t="shared" si="104"/>
        <v>2993</v>
      </c>
      <c r="AN100" s="1649"/>
      <c r="AO100" s="5675">
        <f t="shared" si="104"/>
        <v>11398.000000000002</v>
      </c>
      <c r="AP100" s="1649"/>
      <c r="AQ100" s="1649">
        <f t="shared" si="104"/>
        <v>51745.18</v>
      </c>
      <c r="AR100" s="1649"/>
      <c r="AS100" s="1649">
        <f t="shared" si="104"/>
        <v>7343.1</v>
      </c>
      <c r="AT100" s="1649"/>
      <c r="AU100" s="1649">
        <f t="shared" si="104"/>
        <v>59088.280000000006</v>
      </c>
      <c r="AV100" s="1649"/>
      <c r="AW100" s="1649">
        <f t="shared" si="104"/>
        <v>4747.8</v>
      </c>
      <c r="AX100" s="1649"/>
      <c r="AY100" s="1649">
        <f t="shared" si="104"/>
        <v>63836.08</v>
      </c>
      <c r="AZ100" s="1649"/>
      <c r="BA100" s="1649">
        <f t="shared" si="104"/>
        <v>2027.4499999999998</v>
      </c>
      <c r="BB100" s="1649"/>
      <c r="BC100" s="5675">
        <f t="shared" si="104"/>
        <v>14118.350000000002</v>
      </c>
      <c r="BD100" s="1649"/>
      <c r="BE100" s="5632">
        <f t="shared" si="104"/>
        <v>25516.35</v>
      </c>
      <c r="BF100" s="1649"/>
      <c r="BG100" s="2523">
        <f t="shared" si="104"/>
        <v>65863.53</v>
      </c>
      <c r="BH100" s="26"/>
      <c r="BI100" s="26"/>
    </row>
    <row r="101" spans="4:61" ht="4.5" customHeight="1" thickBot="1" x14ac:dyDescent="0.3">
      <c r="D101" s="2422"/>
      <c r="E101" s="2419"/>
      <c r="F101" s="2407"/>
      <c r="G101" s="2408"/>
      <c r="H101" s="2408"/>
      <c r="I101" s="2408"/>
      <c r="J101" s="2408"/>
      <c r="K101" s="2408"/>
      <c r="L101" s="2408"/>
      <c r="M101" s="2408"/>
      <c r="N101" s="2408"/>
      <c r="O101" s="2518"/>
      <c r="P101" s="2408"/>
      <c r="Q101" s="2408"/>
      <c r="R101" s="2408"/>
      <c r="S101" s="2408"/>
      <c r="T101" s="2408"/>
      <c r="U101" s="2408"/>
      <c r="V101" s="2408"/>
      <c r="W101" s="2408"/>
      <c r="X101" s="2408"/>
      <c r="Y101" s="2408"/>
      <c r="Z101" s="2408"/>
      <c r="AA101" s="2518"/>
      <c r="AB101" s="2408"/>
      <c r="AC101" s="5691"/>
      <c r="AD101" s="2408"/>
      <c r="AE101" s="2408"/>
      <c r="AF101" s="2408"/>
      <c r="AG101" s="2408"/>
      <c r="AH101" s="2408"/>
      <c r="AI101" s="2408"/>
      <c r="AJ101" s="2408"/>
      <c r="AK101" s="2408"/>
      <c r="AL101" s="2408"/>
      <c r="AM101" s="2408"/>
      <c r="AN101" s="2408"/>
      <c r="AO101" s="2518"/>
      <c r="AP101" s="2408"/>
      <c r="AQ101" s="2408"/>
      <c r="AR101" s="2408"/>
      <c r="AS101" s="2408"/>
      <c r="AT101" s="2408"/>
      <c r="AU101" s="2408"/>
      <c r="AV101" s="2408"/>
      <c r="AW101" s="2408"/>
      <c r="AX101" s="2408"/>
      <c r="AY101" s="2408"/>
      <c r="AZ101" s="2408"/>
      <c r="BA101" s="2408"/>
      <c r="BB101" s="2408"/>
      <c r="BC101" s="2518"/>
      <c r="BD101" s="2408"/>
      <c r="BE101" s="5691"/>
      <c r="BF101" s="2408"/>
      <c r="BG101" s="2524"/>
      <c r="BH101" s="26"/>
      <c r="BI101" s="26"/>
    </row>
    <row r="102" spans="4:61" ht="18.75" x14ac:dyDescent="0.25">
      <c r="D102" s="6460" t="s">
        <v>93</v>
      </c>
      <c r="E102" s="2414" t="s">
        <v>1680</v>
      </c>
      <c r="F102" s="2405"/>
      <c r="G102" s="2406">
        <f>+BM!F52</f>
        <v>70044.755000000005</v>
      </c>
      <c r="H102" s="2406"/>
      <c r="I102" s="2406">
        <f>+BM!H52</f>
        <v>56061.496000000021</v>
      </c>
      <c r="J102" s="2406"/>
      <c r="K102" s="2406">
        <f>+BM!J52</f>
        <v>126106.25100000003</v>
      </c>
      <c r="L102" s="2406"/>
      <c r="M102" s="2406">
        <f>+BM!L52</f>
        <v>54192.347000000016</v>
      </c>
      <c r="N102" s="2406"/>
      <c r="O102" s="5672">
        <f>+BM!N52</f>
        <v>180298.59800000003</v>
      </c>
      <c r="P102" s="2406"/>
      <c r="Q102" s="2406">
        <f>+BM!P52</f>
        <v>73996.973000000085</v>
      </c>
      <c r="R102" s="2406"/>
      <c r="S102" s="2406">
        <f>+BM!R52</f>
        <v>254295.57100000014</v>
      </c>
      <c r="T102" s="2406"/>
      <c r="U102" s="2406">
        <f>+BM!T52</f>
        <v>81550.701000000059</v>
      </c>
      <c r="V102" s="2406"/>
      <c r="W102" s="2426">
        <f>+BM!V52</f>
        <v>335846.27200000006</v>
      </c>
      <c r="X102" s="2406"/>
      <c r="Y102" s="2406">
        <f>+BM!X52</f>
        <v>66170.788000000088</v>
      </c>
      <c r="Z102" s="2406"/>
      <c r="AA102" s="5678">
        <f>+BM!Z52</f>
        <v>221718.46200000023</v>
      </c>
      <c r="AB102" s="2406"/>
      <c r="AC102" s="5687">
        <f>+BM!AB52</f>
        <v>402017.06000000017</v>
      </c>
      <c r="AD102" s="2406"/>
      <c r="AE102" s="2406">
        <f>+BM!AD52</f>
        <v>61010.230000000069</v>
      </c>
      <c r="AF102" s="2406"/>
      <c r="AG102" s="2406">
        <f>+BM!AF52</f>
        <v>463027.29000000015</v>
      </c>
      <c r="AH102" s="2406"/>
      <c r="AI102" s="2406">
        <f>+BM!AH52</f>
        <v>59054.402000000053</v>
      </c>
      <c r="AJ102" s="2406"/>
      <c r="AK102" s="2406">
        <f>+BM!AJ52</f>
        <v>522081.69200000027</v>
      </c>
      <c r="AL102" s="2406"/>
      <c r="AM102" s="2406">
        <f>+BM!AL52</f>
        <v>67544.472000000009</v>
      </c>
      <c r="AN102" s="2406"/>
      <c r="AO102" s="5678">
        <f>+BM!AN52</f>
        <v>187609.10400000014</v>
      </c>
      <c r="AP102" s="2406"/>
      <c r="AQ102" s="2406">
        <f>+BM!AP52</f>
        <v>589626.16400000034</v>
      </c>
      <c r="AR102" s="2406"/>
      <c r="AS102" s="2406">
        <f>+BM!AR52</f>
        <v>70905.326000000059</v>
      </c>
      <c r="AT102" s="2406"/>
      <c r="AU102" s="2406">
        <f>+BM!AT52</f>
        <v>660531.49000000057</v>
      </c>
      <c r="AV102" s="2406"/>
      <c r="AW102" s="2406">
        <f>+BM!AV52</f>
        <v>65231.440000000061</v>
      </c>
      <c r="AX102" s="2406"/>
      <c r="AY102" s="2406">
        <f>+BM!AX52</f>
        <v>725762.9300000004</v>
      </c>
      <c r="AZ102" s="2406"/>
      <c r="BA102" s="2406">
        <f>+BM!AZ52</f>
        <v>69559.345000000088</v>
      </c>
      <c r="BB102" s="2406"/>
      <c r="BC102" s="5678">
        <f>+BM!BB52</f>
        <v>205696.11100000024</v>
      </c>
      <c r="BD102" s="2406"/>
      <c r="BE102" s="5687">
        <f>+BM!BD52</f>
        <v>393305.21500000032</v>
      </c>
      <c r="BF102" s="2406"/>
      <c r="BG102" s="2527">
        <f>+BM!BF52</f>
        <v>795322.27500000049</v>
      </c>
      <c r="BH102" s="26"/>
      <c r="BI102" s="26"/>
    </row>
    <row r="103" spans="4:61" ht="18.75" x14ac:dyDescent="0.25">
      <c r="D103" s="6461"/>
      <c r="E103" s="2415" t="s">
        <v>1726</v>
      </c>
      <c r="F103" s="2407"/>
      <c r="G103" s="2411">
        <f>+G40</f>
        <v>70044.75499999999</v>
      </c>
      <c r="H103" s="2411"/>
      <c r="I103" s="2411">
        <f t="shared" ref="I103:BA103" si="105">+I40</f>
        <v>56061.496000000028</v>
      </c>
      <c r="J103" s="2411"/>
      <c r="K103" s="2411">
        <f t="shared" si="105"/>
        <v>126106.25100000003</v>
      </c>
      <c r="L103" s="2411"/>
      <c r="M103" s="2411">
        <f t="shared" si="105"/>
        <v>54192.347000000023</v>
      </c>
      <c r="N103" s="2411"/>
      <c r="O103" s="5676">
        <f t="shared" si="105"/>
        <v>180298.59800000006</v>
      </c>
      <c r="P103" s="2411"/>
      <c r="Q103" s="2411">
        <f t="shared" si="105"/>
        <v>73996.973000000085</v>
      </c>
      <c r="R103" s="2411"/>
      <c r="S103" s="2411">
        <f t="shared" si="105"/>
        <v>254295.57100000011</v>
      </c>
      <c r="T103" s="2411"/>
      <c r="U103" s="2411">
        <f t="shared" si="105"/>
        <v>81550.701000000045</v>
      </c>
      <c r="V103" s="2411"/>
      <c r="W103" s="2411">
        <f t="shared" ref="W103" si="106">+W40</f>
        <v>335846.27200000017</v>
      </c>
      <c r="X103" s="2411"/>
      <c r="Y103" s="2411">
        <f t="shared" si="105"/>
        <v>66170.788000000088</v>
      </c>
      <c r="Z103" s="2411"/>
      <c r="AA103" s="5676">
        <f t="shared" ref="AA103" si="107">+AA40</f>
        <v>221718.46200000017</v>
      </c>
      <c r="AB103" s="2411"/>
      <c r="AC103" s="5692">
        <f t="shared" ref="AC103" si="108">+AC40</f>
        <v>402017.06000000023</v>
      </c>
      <c r="AD103" s="2411"/>
      <c r="AE103" s="2411">
        <f t="shared" si="105"/>
        <v>61010.230000000069</v>
      </c>
      <c r="AF103" s="2411"/>
      <c r="AG103" s="2411">
        <f t="shared" ref="AG103" si="109">+AG40</f>
        <v>463027.29000000027</v>
      </c>
      <c r="AH103" s="2411"/>
      <c r="AI103" s="2411">
        <f t="shared" si="105"/>
        <v>59054.402000000053</v>
      </c>
      <c r="AJ103" s="2411"/>
      <c r="AK103" s="2411">
        <f t="shared" ref="AK103" si="110">+AK40</f>
        <v>522081.69200000039</v>
      </c>
      <c r="AL103" s="2411"/>
      <c r="AM103" s="2411">
        <f t="shared" si="105"/>
        <v>67544.471999999994</v>
      </c>
      <c r="AN103" s="2411"/>
      <c r="AO103" s="5676">
        <f t="shared" ref="AO103" si="111">+AO40</f>
        <v>187609.10400000011</v>
      </c>
      <c r="AP103" s="2411"/>
      <c r="AQ103" s="2411">
        <f t="shared" ref="AQ103" si="112">+AQ40</f>
        <v>589626.16400000046</v>
      </c>
      <c r="AR103" s="2411"/>
      <c r="AS103" s="2411">
        <f t="shared" si="105"/>
        <v>70905.326000000074</v>
      </c>
      <c r="AT103" s="2411"/>
      <c r="AU103" s="2411">
        <f t="shared" ref="AU103" si="113">+AU40</f>
        <v>660531.49000000046</v>
      </c>
      <c r="AV103" s="2411"/>
      <c r="AW103" s="2411">
        <f t="shared" si="105"/>
        <v>65231.440000000061</v>
      </c>
      <c r="AX103" s="2411"/>
      <c r="AY103" s="2411">
        <f t="shared" ref="AY103" si="114">+AY40</f>
        <v>725762.93000000052</v>
      </c>
      <c r="AZ103" s="2411"/>
      <c r="BA103" s="2411">
        <f t="shared" si="105"/>
        <v>69559.345000000088</v>
      </c>
      <c r="BB103" s="2411"/>
      <c r="BC103" s="5676">
        <f t="shared" ref="BC103" si="115">+BC40</f>
        <v>205696.11100000024</v>
      </c>
      <c r="BD103" s="2411"/>
      <c r="BE103" s="5692">
        <f t="shared" ref="BE103" si="116">+BE40</f>
        <v>393305.21500000032</v>
      </c>
      <c r="BF103" s="2411"/>
      <c r="BG103" s="2525">
        <f t="shared" ref="BG103" si="117">+BG40</f>
        <v>795322.27500000049</v>
      </c>
      <c r="BH103" s="26"/>
      <c r="BI103" s="26"/>
    </row>
    <row r="104" spans="4:61" ht="19.5" thickBot="1" x14ac:dyDescent="0.3">
      <c r="D104" s="6462"/>
      <c r="E104" s="2420" t="s">
        <v>1681</v>
      </c>
      <c r="F104" s="1686"/>
      <c r="G104" s="2409">
        <f>+G103/G102</f>
        <v>0.99999999999999978</v>
      </c>
      <c r="H104" s="2409"/>
      <c r="I104" s="2409">
        <f t="shared" ref="I104:BG104" si="118">+I103/I102</f>
        <v>1.0000000000000002</v>
      </c>
      <c r="J104" s="2409"/>
      <c r="K104" s="2409">
        <f t="shared" si="118"/>
        <v>1</v>
      </c>
      <c r="L104" s="2409"/>
      <c r="M104" s="2409">
        <f t="shared" si="118"/>
        <v>1.0000000000000002</v>
      </c>
      <c r="N104" s="2409"/>
      <c r="O104" s="5677">
        <f t="shared" si="118"/>
        <v>1.0000000000000002</v>
      </c>
      <c r="P104" s="2409"/>
      <c r="Q104" s="2409">
        <f t="shared" si="118"/>
        <v>1</v>
      </c>
      <c r="R104" s="2409"/>
      <c r="S104" s="2409">
        <f t="shared" si="118"/>
        <v>0.99999999999999989</v>
      </c>
      <c r="T104" s="2409"/>
      <c r="U104" s="2409">
        <f t="shared" si="118"/>
        <v>0.99999999999999978</v>
      </c>
      <c r="V104" s="2409"/>
      <c r="W104" s="2409">
        <f t="shared" si="118"/>
        <v>1.0000000000000004</v>
      </c>
      <c r="X104" s="2409"/>
      <c r="Y104" s="2409">
        <f t="shared" si="118"/>
        <v>1</v>
      </c>
      <c r="Z104" s="2409"/>
      <c r="AA104" s="5677">
        <f t="shared" si="118"/>
        <v>0.99999999999999978</v>
      </c>
      <c r="AB104" s="2409"/>
      <c r="AC104" s="5693">
        <f t="shared" si="118"/>
        <v>1.0000000000000002</v>
      </c>
      <c r="AD104" s="2409"/>
      <c r="AE104" s="2409">
        <f t="shared" si="118"/>
        <v>1</v>
      </c>
      <c r="AF104" s="2409"/>
      <c r="AG104" s="2409">
        <f t="shared" si="118"/>
        <v>1.0000000000000002</v>
      </c>
      <c r="AH104" s="2409"/>
      <c r="AI104" s="2409">
        <f t="shared" si="118"/>
        <v>1</v>
      </c>
      <c r="AJ104" s="2409"/>
      <c r="AK104" s="2409">
        <f t="shared" si="118"/>
        <v>1.0000000000000002</v>
      </c>
      <c r="AL104" s="2409"/>
      <c r="AM104" s="2409">
        <f t="shared" si="118"/>
        <v>0.99999999999999978</v>
      </c>
      <c r="AN104" s="2409"/>
      <c r="AO104" s="5677">
        <f t="shared" si="118"/>
        <v>0.99999999999999989</v>
      </c>
      <c r="AP104" s="2409"/>
      <c r="AQ104" s="2409">
        <f t="shared" si="118"/>
        <v>1.0000000000000002</v>
      </c>
      <c r="AR104" s="2409"/>
      <c r="AS104" s="2409">
        <f t="shared" si="118"/>
        <v>1.0000000000000002</v>
      </c>
      <c r="AT104" s="2409"/>
      <c r="AU104" s="2409">
        <f t="shared" si="118"/>
        <v>0.99999999999999978</v>
      </c>
      <c r="AV104" s="2409"/>
      <c r="AW104" s="2409">
        <f t="shared" si="118"/>
        <v>1</v>
      </c>
      <c r="AX104" s="2409"/>
      <c r="AY104" s="2409">
        <f t="shared" si="118"/>
        <v>1.0000000000000002</v>
      </c>
      <c r="AZ104" s="2409"/>
      <c r="BA104" s="2409">
        <f t="shared" si="118"/>
        <v>1</v>
      </c>
      <c r="BB104" s="2409"/>
      <c r="BC104" s="5677">
        <f t="shared" si="118"/>
        <v>1</v>
      </c>
      <c r="BD104" s="2409"/>
      <c r="BE104" s="5693">
        <f t="shared" si="118"/>
        <v>1</v>
      </c>
      <c r="BF104" s="2409"/>
      <c r="BG104" s="2526">
        <f t="shared" si="118"/>
        <v>1</v>
      </c>
      <c r="BH104" s="26"/>
      <c r="BI104" s="26"/>
    </row>
    <row r="105" spans="4:61" ht="9" customHeight="1" thickBot="1" x14ac:dyDescent="0.3">
      <c r="D105" s="2422"/>
      <c r="E105" s="2419"/>
      <c r="F105" s="2407"/>
      <c r="G105" s="2408"/>
      <c r="H105" s="2408"/>
      <c r="I105" s="2408"/>
      <c r="J105" s="2408"/>
      <c r="K105" s="2408"/>
      <c r="L105" s="2408"/>
      <c r="M105" s="2408"/>
      <c r="N105" s="2408"/>
      <c r="O105" s="2518"/>
      <c r="P105" s="2408"/>
      <c r="Q105" s="2408"/>
      <c r="R105" s="2408"/>
      <c r="S105" s="2408"/>
      <c r="T105" s="2408"/>
      <c r="U105" s="2408"/>
      <c r="V105" s="2408"/>
      <c r="W105" s="2408"/>
      <c r="X105" s="2408"/>
      <c r="Y105" s="2408"/>
      <c r="Z105" s="2408"/>
      <c r="AA105" s="2518"/>
      <c r="AB105" s="2408"/>
      <c r="AC105" s="5691"/>
      <c r="AD105" s="2408"/>
      <c r="AE105" s="2408"/>
      <c r="AF105" s="2408"/>
      <c r="AG105" s="2408"/>
      <c r="AH105" s="2408"/>
      <c r="AI105" s="2408"/>
      <c r="AJ105" s="2408"/>
      <c r="AK105" s="2408"/>
      <c r="AL105" s="2408"/>
      <c r="AM105" s="2408"/>
      <c r="AN105" s="2408"/>
      <c r="AO105" s="2518"/>
      <c r="AP105" s="2408"/>
      <c r="AQ105" s="2408"/>
      <c r="AR105" s="2408"/>
      <c r="AS105" s="2408"/>
      <c r="AT105" s="2408"/>
      <c r="AU105" s="2408"/>
      <c r="AV105" s="2408"/>
      <c r="AW105" s="2408"/>
      <c r="AX105" s="2408"/>
      <c r="AY105" s="2408"/>
      <c r="AZ105" s="2408"/>
      <c r="BA105" s="2408"/>
      <c r="BB105" s="2408"/>
      <c r="BC105" s="2518"/>
      <c r="BD105" s="2408"/>
      <c r="BE105" s="5691"/>
      <c r="BF105" s="2408"/>
      <c r="BG105" s="2524"/>
      <c r="BH105" s="26"/>
      <c r="BI105" s="26"/>
    </row>
    <row r="106" spans="4:61" ht="18.75" x14ac:dyDescent="0.25">
      <c r="D106" s="6460" t="s">
        <v>112</v>
      </c>
      <c r="E106" s="2414" t="s">
        <v>1680</v>
      </c>
      <c r="F106" s="2405"/>
      <c r="G106" s="2406">
        <f>+USM!G73</f>
        <v>34411.017</v>
      </c>
      <c r="H106" s="2406"/>
      <c r="I106" s="2406">
        <f>+USM!I73</f>
        <v>29035.71</v>
      </c>
      <c r="J106" s="2406"/>
      <c r="K106" s="2406">
        <f>+USM!K73</f>
        <v>58749.047999999988</v>
      </c>
      <c r="L106" s="2406"/>
      <c r="M106" s="2406">
        <f>+USM!M73</f>
        <v>29014.605000000003</v>
      </c>
      <c r="N106" s="2406"/>
      <c r="O106" s="5678">
        <f>+USM!O73</f>
        <v>92461.331999999995</v>
      </c>
      <c r="P106" s="2406"/>
      <c r="Q106" s="2406">
        <f>+USM!Q73</f>
        <v>33200.703999999998</v>
      </c>
      <c r="R106" s="2406"/>
      <c r="S106" s="2406">
        <f>+USM!S73</f>
        <v>116320.45799999998</v>
      </c>
      <c r="T106" s="2406"/>
      <c r="U106" s="2406">
        <f>+USM!U73</f>
        <v>44285.714</v>
      </c>
      <c r="V106" s="2406"/>
      <c r="W106" s="2406">
        <f>+USM!W73</f>
        <v>160606.17200000002</v>
      </c>
      <c r="X106" s="2406"/>
      <c r="Y106" s="2406">
        <f>+USM!Y73</f>
        <v>37549.827000000005</v>
      </c>
      <c r="Z106" s="2406"/>
      <c r="AA106" s="5678">
        <f>+USM!AA73</f>
        <v>115036.24499999998</v>
      </c>
      <c r="AB106" s="2406"/>
      <c r="AC106" s="5687">
        <f>+USM!AC73</f>
        <v>207497.57700000005</v>
      </c>
      <c r="AD106" s="2406"/>
      <c r="AE106" s="2406">
        <f>+USM!AE73</f>
        <v>38658.050000000003</v>
      </c>
      <c r="AF106" s="2406"/>
      <c r="AG106" s="2406">
        <f>+USM!AG73</f>
        <v>246155.62699999998</v>
      </c>
      <c r="AH106" s="2406"/>
      <c r="AI106" s="2406">
        <f>+USM!AI73</f>
        <v>41612.207039999994</v>
      </c>
      <c r="AJ106" s="2406"/>
      <c r="AK106" s="2406">
        <f>+USM!AK73</f>
        <v>287767.83403999999</v>
      </c>
      <c r="AL106" s="2406"/>
      <c r="AM106" s="2406">
        <f>+USM!AM73</f>
        <v>41025.186999999998</v>
      </c>
      <c r="AN106" s="2406"/>
      <c r="AO106" s="5678">
        <f>+USM!AO73</f>
        <v>121295.44403999997</v>
      </c>
      <c r="AP106" s="2406"/>
      <c r="AQ106" s="2406">
        <f>+USM!AQ73</f>
        <v>328793.02103999996</v>
      </c>
      <c r="AR106" s="2406"/>
      <c r="AS106" s="2406">
        <f>+USM!AS73</f>
        <v>41204.778000000006</v>
      </c>
      <c r="AT106" s="2406"/>
      <c r="AU106" s="2406">
        <f>+USM!AU73</f>
        <v>369997.79903999995</v>
      </c>
      <c r="AV106" s="2406"/>
      <c r="AW106" s="2406">
        <f>+USM!AW73</f>
        <v>42591.4</v>
      </c>
      <c r="AX106" s="2406"/>
      <c r="AY106" s="2406">
        <f>+USM!AY73</f>
        <v>412589.19903999992</v>
      </c>
      <c r="AZ106" s="2406"/>
      <c r="BA106" s="2406">
        <f>+USM!BA73</f>
        <v>46552.753000000004</v>
      </c>
      <c r="BB106" s="2406"/>
      <c r="BC106" s="5678">
        <f>+USM!BC73</f>
        <v>130348.93100000004</v>
      </c>
      <c r="BD106" s="2406"/>
      <c r="BE106" s="5687">
        <f>+USM!BE73</f>
        <v>251644.37504000001</v>
      </c>
      <c r="BF106" s="2406"/>
      <c r="BG106" s="2527">
        <f>+USM!BG73</f>
        <v>459141.95203999989</v>
      </c>
      <c r="BH106" s="26"/>
      <c r="BI106" s="26"/>
    </row>
    <row r="107" spans="4:61" ht="18.75" x14ac:dyDescent="0.25">
      <c r="D107" s="6461"/>
      <c r="E107" s="2415" t="s">
        <v>1684</v>
      </c>
      <c r="F107" s="2407"/>
      <c r="G107" s="2411">
        <f>+G47</f>
        <v>34411.017</v>
      </c>
      <c r="H107" s="2411"/>
      <c r="I107" s="2411">
        <f t="shared" ref="I107:BA107" si="119">+I47</f>
        <v>29035.71</v>
      </c>
      <c r="J107" s="2411"/>
      <c r="K107" s="2411">
        <f t="shared" si="119"/>
        <v>63446.726999999992</v>
      </c>
      <c r="L107" s="2411"/>
      <c r="M107" s="2411">
        <f t="shared" si="119"/>
        <v>29014.604999999996</v>
      </c>
      <c r="N107" s="2411"/>
      <c r="O107" s="5676">
        <f t="shared" si="119"/>
        <v>92461.331999999995</v>
      </c>
      <c r="P107" s="2411"/>
      <c r="Q107" s="2411">
        <f t="shared" si="119"/>
        <v>33200.703999999998</v>
      </c>
      <c r="R107" s="2411"/>
      <c r="S107" s="2411">
        <f t="shared" si="119"/>
        <v>125662.03599999999</v>
      </c>
      <c r="T107" s="2411"/>
      <c r="U107" s="2411">
        <f t="shared" si="119"/>
        <v>44285.714000000007</v>
      </c>
      <c r="V107" s="2411"/>
      <c r="W107" s="2411">
        <f t="shared" ref="W107" si="120">+W47</f>
        <v>169947.75</v>
      </c>
      <c r="X107" s="2411"/>
      <c r="Y107" s="2411">
        <f t="shared" si="119"/>
        <v>37549.826999999997</v>
      </c>
      <c r="Z107" s="2411"/>
      <c r="AA107" s="5676">
        <f t="shared" ref="AA107" si="121">+AA47</f>
        <v>115036.245</v>
      </c>
      <c r="AB107" s="2411"/>
      <c r="AC107" s="5692">
        <f t="shared" ref="AC107" si="122">+AC47</f>
        <v>207497.57699999999</v>
      </c>
      <c r="AD107" s="2411"/>
      <c r="AE107" s="2411">
        <f t="shared" si="119"/>
        <v>38658.050000000003</v>
      </c>
      <c r="AF107" s="2411"/>
      <c r="AG107" s="2411">
        <f t="shared" ref="AG107" si="123">+AG47</f>
        <v>246155.62700000001</v>
      </c>
      <c r="AH107" s="2411"/>
      <c r="AI107" s="2411">
        <f t="shared" si="119"/>
        <v>41612.207040000001</v>
      </c>
      <c r="AJ107" s="2411"/>
      <c r="AK107" s="2411">
        <f t="shared" ref="AK107" si="124">+AK47</f>
        <v>287767.83404000005</v>
      </c>
      <c r="AL107" s="2411"/>
      <c r="AM107" s="2411">
        <f t="shared" si="119"/>
        <v>41025.186999999998</v>
      </c>
      <c r="AN107" s="2411"/>
      <c r="AO107" s="5676">
        <f t="shared" ref="AO107" si="125">+AO47</f>
        <v>121295.44404000002</v>
      </c>
      <c r="AP107" s="2411"/>
      <c r="AQ107" s="2411">
        <f t="shared" ref="AQ107" si="126">+AQ47</f>
        <v>328793.02104000002</v>
      </c>
      <c r="AR107" s="2411"/>
      <c r="AS107" s="2411">
        <f t="shared" si="119"/>
        <v>41204.778000000006</v>
      </c>
      <c r="AT107" s="2411"/>
      <c r="AU107" s="2411">
        <f t="shared" ref="AU107" si="127">+AU47</f>
        <v>369997.79904000007</v>
      </c>
      <c r="AV107" s="2411"/>
      <c r="AW107" s="2411">
        <f t="shared" si="119"/>
        <v>42591.399999999994</v>
      </c>
      <c r="AX107" s="2411"/>
      <c r="AY107" s="2411">
        <f t="shared" ref="AY107" si="128">+AY47</f>
        <v>412589.19904000004</v>
      </c>
      <c r="AZ107" s="2411"/>
      <c r="BA107" s="2411">
        <f t="shared" si="119"/>
        <v>46552.752999999997</v>
      </c>
      <c r="BB107" s="2411"/>
      <c r="BC107" s="5676">
        <f t="shared" ref="BC107" si="129">+BC47</f>
        <v>130348.93100000001</v>
      </c>
      <c r="BD107" s="2411"/>
      <c r="BE107" s="5692">
        <f t="shared" ref="BE107" si="130">+BE47</f>
        <v>251644.37504000001</v>
      </c>
      <c r="BF107" s="2411"/>
      <c r="BG107" s="2525">
        <f t="shared" ref="BG107" si="131">+BG47</f>
        <v>459141.95204000006</v>
      </c>
      <c r="BH107" s="26"/>
      <c r="BI107" s="26"/>
    </row>
    <row r="108" spans="4:61" ht="19.5" thickBot="1" x14ac:dyDescent="0.3">
      <c r="D108" s="6462"/>
      <c r="E108" s="2420" t="s">
        <v>1681</v>
      </c>
      <c r="F108" s="1686"/>
      <c r="G108" s="2409">
        <f>+G107/G106</f>
        <v>1</v>
      </c>
      <c r="H108" s="2409"/>
      <c r="I108" s="2409">
        <f t="shared" ref="I108:BG108" si="132">+I107/I106</f>
        <v>1</v>
      </c>
      <c r="J108" s="2409"/>
      <c r="K108" s="2409">
        <f t="shared" si="132"/>
        <v>1.0799617893382716</v>
      </c>
      <c r="L108" s="2409"/>
      <c r="M108" s="2409">
        <f t="shared" si="132"/>
        <v>0.99999999999999978</v>
      </c>
      <c r="N108" s="2409"/>
      <c r="O108" s="5677">
        <f t="shared" si="132"/>
        <v>1</v>
      </c>
      <c r="P108" s="2409"/>
      <c r="Q108" s="2409">
        <f t="shared" si="132"/>
        <v>1</v>
      </c>
      <c r="R108" s="2409"/>
      <c r="S108" s="2409">
        <f t="shared" si="132"/>
        <v>1.0803089857159951</v>
      </c>
      <c r="T108" s="2409"/>
      <c r="U108" s="2409">
        <f t="shared" si="132"/>
        <v>1.0000000000000002</v>
      </c>
      <c r="V108" s="2409"/>
      <c r="W108" s="2409">
        <f t="shared" si="132"/>
        <v>1.0581645019221302</v>
      </c>
      <c r="X108" s="2409"/>
      <c r="Y108" s="2409">
        <f t="shared" si="132"/>
        <v>0.99999999999999978</v>
      </c>
      <c r="Z108" s="2409"/>
      <c r="AA108" s="5677">
        <f t="shared" si="132"/>
        <v>1.0000000000000002</v>
      </c>
      <c r="AB108" s="2409"/>
      <c r="AC108" s="5693">
        <f t="shared" si="132"/>
        <v>0.99999999999999967</v>
      </c>
      <c r="AD108" s="2409"/>
      <c r="AE108" s="2409">
        <f t="shared" si="132"/>
        <v>1</v>
      </c>
      <c r="AF108" s="2409"/>
      <c r="AG108" s="2409">
        <f t="shared" si="132"/>
        <v>1.0000000000000002</v>
      </c>
      <c r="AH108" s="2409"/>
      <c r="AI108" s="2409">
        <f t="shared" si="132"/>
        <v>1.0000000000000002</v>
      </c>
      <c r="AJ108" s="2409"/>
      <c r="AK108" s="2409">
        <f t="shared" si="132"/>
        <v>1.0000000000000002</v>
      </c>
      <c r="AL108" s="2409"/>
      <c r="AM108" s="2409">
        <f t="shared" si="132"/>
        <v>1</v>
      </c>
      <c r="AN108" s="2409"/>
      <c r="AO108" s="5677">
        <f t="shared" si="132"/>
        <v>1.0000000000000004</v>
      </c>
      <c r="AP108" s="2409"/>
      <c r="AQ108" s="2409">
        <f t="shared" si="132"/>
        <v>1.0000000000000002</v>
      </c>
      <c r="AR108" s="2409"/>
      <c r="AS108" s="2409">
        <f t="shared" si="132"/>
        <v>1</v>
      </c>
      <c r="AT108" s="2409"/>
      <c r="AU108" s="2409">
        <f t="shared" si="132"/>
        <v>1.0000000000000002</v>
      </c>
      <c r="AV108" s="2409"/>
      <c r="AW108" s="2409">
        <f t="shared" si="132"/>
        <v>0.99999999999999978</v>
      </c>
      <c r="AX108" s="2409"/>
      <c r="AY108" s="2409">
        <f t="shared" si="132"/>
        <v>1.0000000000000002</v>
      </c>
      <c r="AZ108" s="2409"/>
      <c r="BA108" s="2409">
        <f t="shared" si="132"/>
        <v>0.99999999999999989</v>
      </c>
      <c r="BB108" s="2409"/>
      <c r="BC108" s="5677">
        <f t="shared" si="132"/>
        <v>0.99999999999999978</v>
      </c>
      <c r="BD108" s="2409"/>
      <c r="BE108" s="5693">
        <f t="shared" si="132"/>
        <v>1</v>
      </c>
      <c r="BF108" s="2409"/>
      <c r="BG108" s="2526">
        <f t="shared" si="132"/>
        <v>1.0000000000000004</v>
      </c>
      <c r="BH108" s="26"/>
      <c r="BI108" s="26"/>
    </row>
    <row r="109" spans="4:61" ht="7.5" customHeight="1" thickBot="1" x14ac:dyDescent="0.3">
      <c r="D109" s="2422"/>
      <c r="E109" s="2419"/>
      <c r="F109" s="2407"/>
      <c r="G109" s="2408"/>
      <c r="H109" s="2408"/>
      <c r="I109" s="2408"/>
      <c r="J109" s="2408"/>
      <c r="K109" s="2408"/>
      <c r="L109" s="2408"/>
      <c r="M109" s="2408"/>
      <c r="N109" s="2408"/>
      <c r="O109" s="2518"/>
      <c r="P109" s="2408"/>
      <c r="Q109" s="2408"/>
      <c r="R109" s="2408"/>
      <c r="S109" s="2408"/>
      <c r="T109" s="2408"/>
      <c r="U109" s="2408"/>
      <c r="V109" s="2408"/>
      <c r="W109" s="2408"/>
      <c r="X109" s="2408"/>
      <c r="Y109" s="2408"/>
      <c r="Z109" s="2408"/>
      <c r="AA109" s="2518"/>
      <c r="AB109" s="2408"/>
      <c r="AC109" s="5691"/>
      <c r="AD109" s="2408"/>
      <c r="AE109" s="2408"/>
      <c r="AF109" s="2408"/>
      <c r="AG109" s="2408"/>
      <c r="AH109" s="2408"/>
      <c r="AI109" s="2408"/>
      <c r="AJ109" s="2408"/>
      <c r="AK109" s="2408"/>
      <c r="AL109" s="2408"/>
      <c r="AM109" s="2408"/>
      <c r="AN109" s="2408"/>
      <c r="AO109" s="2518"/>
      <c r="AP109" s="2408"/>
      <c r="AQ109" s="2408"/>
      <c r="AR109" s="2408"/>
      <c r="AS109" s="2408"/>
      <c r="AT109" s="2408"/>
      <c r="AU109" s="2408"/>
      <c r="AV109" s="2408"/>
      <c r="AW109" s="2408"/>
      <c r="AX109" s="2408"/>
      <c r="AY109" s="2408"/>
      <c r="AZ109" s="2408"/>
      <c r="BA109" s="2408"/>
      <c r="BB109" s="2408"/>
      <c r="BC109" s="2518"/>
      <c r="BD109" s="2408"/>
      <c r="BE109" s="5691"/>
      <c r="BF109" s="2408"/>
      <c r="BG109" s="2524"/>
      <c r="BH109" s="26"/>
      <c r="BI109" s="26"/>
    </row>
    <row r="110" spans="4:61" ht="18.75" x14ac:dyDescent="0.25">
      <c r="D110" s="6463" t="s">
        <v>1683</v>
      </c>
      <c r="E110" s="2414" t="s">
        <v>1680</v>
      </c>
      <c r="F110" s="2405"/>
      <c r="G110" s="2406">
        <f>+'Maj Production Summ'!F32</f>
        <v>49376</v>
      </c>
      <c r="H110" s="2406"/>
      <c r="I110" s="2406">
        <f>+'Maj Production Summ'!H32</f>
        <v>41843</v>
      </c>
      <c r="J110" s="2406"/>
      <c r="K110" s="2406">
        <f>+'Maj Production Summ'!J32</f>
        <v>91219</v>
      </c>
      <c r="L110" s="2406"/>
      <c r="M110" s="2406">
        <f>+'Maj Production Summ'!L32</f>
        <v>46536.4</v>
      </c>
      <c r="N110" s="2406"/>
      <c r="O110" s="5678">
        <f>+'Maj Production Summ'!N32</f>
        <v>137755.4</v>
      </c>
      <c r="P110" s="2406"/>
      <c r="Q110" s="2406">
        <f>+'Maj Production Summ'!P32</f>
        <v>54670</v>
      </c>
      <c r="R110" s="2406"/>
      <c r="S110" s="2406">
        <f>+'Maj Production Summ'!R32</f>
        <v>192425.4</v>
      </c>
      <c r="T110" s="2406"/>
      <c r="U110" s="2406">
        <f>+'Maj Production Summ'!T32</f>
        <v>43042</v>
      </c>
      <c r="V110" s="2406"/>
      <c r="W110" s="2406">
        <f>+'Maj Production Summ'!V32</f>
        <v>235467.4</v>
      </c>
      <c r="X110" s="2406"/>
      <c r="Y110" s="2406">
        <f>+'Maj Production Summ'!X32</f>
        <v>48357</v>
      </c>
      <c r="Z110" s="2406"/>
      <c r="AA110" s="5678">
        <f>+'Maj Production Summ'!Z32</f>
        <v>146069</v>
      </c>
      <c r="AB110" s="2406"/>
      <c r="AC110" s="5687">
        <f>+'Maj Production Summ'!AB32</f>
        <v>283824.40000000002</v>
      </c>
      <c r="AD110" s="2406"/>
      <c r="AE110" s="2406">
        <f>+'Maj Production Summ'!AD32</f>
        <v>54864.969999999994</v>
      </c>
      <c r="AF110" s="2406"/>
      <c r="AG110" s="2406">
        <f>+'Maj Production Summ'!AF32</f>
        <v>338689.37</v>
      </c>
      <c r="AH110" s="2406"/>
      <c r="AI110" s="2406">
        <f>+'Maj Production Summ'!AH32</f>
        <v>43353</v>
      </c>
      <c r="AJ110" s="2406"/>
      <c r="AK110" s="2406">
        <f>+'Maj Production Summ'!AJ32</f>
        <v>382042.37</v>
      </c>
      <c r="AL110" s="2406"/>
      <c r="AM110" s="2406">
        <f>+'Maj Production Summ'!AL32</f>
        <v>47527</v>
      </c>
      <c r="AN110" s="2406"/>
      <c r="AO110" s="5678">
        <f>+'Maj Production Summ'!AN32</f>
        <v>145744.97</v>
      </c>
      <c r="AP110" s="2406"/>
      <c r="AQ110" s="2406">
        <f>+'Maj Production Summ'!AP32</f>
        <v>429569.37</v>
      </c>
      <c r="AR110" s="2406"/>
      <c r="AS110" s="2406">
        <f>+'Maj Production Summ'!AR32</f>
        <v>41110</v>
      </c>
      <c r="AT110" s="2406"/>
      <c r="AU110" s="2406">
        <f>+'Maj Production Summ'!AT32</f>
        <v>470679.37</v>
      </c>
      <c r="AV110" s="2406"/>
      <c r="AW110" s="2406">
        <f>+'Maj Production Summ'!AV32</f>
        <v>54846</v>
      </c>
      <c r="AX110" s="2406"/>
      <c r="AY110" s="2406">
        <f>+'Maj Production Summ'!AX32</f>
        <v>525525.37</v>
      </c>
      <c r="AZ110" s="2406"/>
      <c r="BA110" s="2406">
        <f>+'Maj Production Summ'!AZ32</f>
        <v>49298</v>
      </c>
      <c r="BB110" s="2406"/>
      <c r="BC110" s="5678">
        <f>+'Maj Production Summ'!BB32</f>
        <v>145254</v>
      </c>
      <c r="BD110" s="2406"/>
      <c r="BE110" s="5687">
        <f>+'Maj Production Summ'!BD32</f>
        <v>290998.96999999997</v>
      </c>
      <c r="BF110" s="2406"/>
      <c r="BG110" s="2527">
        <f>+'Maj Production Summ'!BF32</f>
        <v>574823.37</v>
      </c>
      <c r="BH110" s="26"/>
      <c r="BI110" s="26"/>
    </row>
    <row r="111" spans="4:61" ht="18.75" x14ac:dyDescent="0.25">
      <c r="D111" s="6464"/>
      <c r="E111" s="2415" t="s">
        <v>1726</v>
      </c>
      <c r="F111" s="2404"/>
      <c r="G111" s="2410">
        <f>+G67</f>
        <v>43735.896999999997</v>
      </c>
      <c r="H111" s="2410"/>
      <c r="I111" s="2410">
        <f t="shared" ref="I111:BA111" si="133">+I67</f>
        <v>39823.275999999998</v>
      </c>
      <c r="J111" s="2410"/>
      <c r="K111" s="2410">
        <f t="shared" si="133"/>
        <v>83559.17300000001</v>
      </c>
      <c r="L111" s="2410"/>
      <c r="M111" s="2410">
        <f t="shared" si="133"/>
        <v>41291.051999999996</v>
      </c>
      <c r="N111" s="2410"/>
      <c r="O111" s="5679">
        <f t="shared" si="133"/>
        <v>124850.22500000001</v>
      </c>
      <c r="P111" s="2410"/>
      <c r="Q111" s="2410">
        <f t="shared" si="133"/>
        <v>49852.964000000007</v>
      </c>
      <c r="R111" s="2410"/>
      <c r="S111" s="2410">
        <f t="shared" si="133"/>
        <v>174703.18899999998</v>
      </c>
      <c r="T111" s="2410"/>
      <c r="U111" s="2410">
        <f t="shared" si="133"/>
        <v>39629.798000000003</v>
      </c>
      <c r="V111" s="2410"/>
      <c r="W111" s="2410">
        <f t="shared" ref="W111" si="134">+W67</f>
        <v>214332.98700000002</v>
      </c>
      <c r="X111" s="2410"/>
      <c r="Y111" s="2410">
        <f t="shared" si="133"/>
        <v>44720.436000000002</v>
      </c>
      <c r="Z111" s="2410"/>
      <c r="AA111" s="5679">
        <f t="shared" ref="AA111" si="135">+AA67</f>
        <v>134203.19799999997</v>
      </c>
      <c r="AB111" s="2410"/>
      <c r="AC111" s="5694">
        <f t="shared" ref="AC111" si="136">+AC67</f>
        <v>259053.42300000001</v>
      </c>
      <c r="AD111" s="2410"/>
      <c r="AE111" s="2410">
        <f t="shared" si="133"/>
        <v>51394.171999999984</v>
      </c>
      <c r="AF111" s="2410"/>
      <c r="AG111" s="2410">
        <f t="shared" ref="AG111" si="137">+AG67</f>
        <v>310447.59499999997</v>
      </c>
      <c r="AH111" s="2410"/>
      <c r="AI111" s="2410">
        <f t="shared" si="133"/>
        <v>39065</v>
      </c>
      <c r="AJ111" s="2410"/>
      <c r="AK111" s="2410">
        <f t="shared" ref="AK111" si="138">+AK67</f>
        <v>349512.59499999997</v>
      </c>
      <c r="AL111" s="2410"/>
      <c r="AM111" s="2410">
        <f t="shared" si="133"/>
        <v>43235.3</v>
      </c>
      <c r="AN111" s="2410"/>
      <c r="AO111" s="5679">
        <f t="shared" ref="AO111" si="139">+AO67</f>
        <v>133694.47200000001</v>
      </c>
      <c r="AP111" s="2410"/>
      <c r="AQ111" s="2410">
        <f t="shared" ref="AQ111" si="140">+AQ67</f>
        <v>392747.89499999996</v>
      </c>
      <c r="AR111" s="2410"/>
      <c r="AS111" s="2410">
        <f t="shared" si="133"/>
        <v>36385</v>
      </c>
      <c r="AT111" s="2410"/>
      <c r="AU111" s="2410">
        <f t="shared" ref="AU111" si="141">+AU67</f>
        <v>429132.89499999996</v>
      </c>
      <c r="AV111" s="2410"/>
      <c r="AW111" s="2410">
        <f t="shared" si="133"/>
        <v>48888.729999999996</v>
      </c>
      <c r="AX111" s="2410"/>
      <c r="AY111" s="2410">
        <f t="shared" ref="AY111" si="142">+AY67</f>
        <v>478021.625</v>
      </c>
      <c r="AZ111" s="2410"/>
      <c r="BA111" s="2410">
        <f t="shared" si="133"/>
        <v>45764</v>
      </c>
      <c r="BB111" s="2410"/>
      <c r="BC111" s="5679">
        <f t="shared" ref="BC111" si="143">+BC67</f>
        <v>131037.73000000001</v>
      </c>
      <c r="BD111" s="2410"/>
      <c r="BE111" s="5694">
        <f t="shared" ref="BE111" si="144">+BE67</f>
        <v>264732.20199999999</v>
      </c>
      <c r="BF111" s="2410"/>
      <c r="BG111" s="2528">
        <f t="shared" ref="BG111" si="145">+BG67</f>
        <v>523785.625</v>
      </c>
      <c r="BH111" s="26"/>
      <c r="BI111" s="26"/>
    </row>
    <row r="112" spans="4:61" ht="18.75" x14ac:dyDescent="0.25">
      <c r="D112" s="6464"/>
      <c r="E112" s="2415" t="s">
        <v>1681</v>
      </c>
      <c r="F112" s="220"/>
      <c r="G112" s="2402">
        <f>+G111/G110</f>
        <v>0.88577237929358388</v>
      </c>
      <c r="H112" s="2402"/>
      <c r="I112" s="2402">
        <f t="shared" ref="I112:BG112" si="146">+I111/I110</f>
        <v>0.95173089883612549</v>
      </c>
      <c r="J112" s="2402"/>
      <c r="K112" s="2402">
        <f t="shared" si="146"/>
        <v>0.91602816299235912</v>
      </c>
      <c r="L112" s="2402"/>
      <c r="M112" s="2402">
        <f t="shared" si="146"/>
        <v>0.88728504998237923</v>
      </c>
      <c r="N112" s="2402"/>
      <c r="O112" s="5674">
        <f t="shared" si="146"/>
        <v>0.90631819151917103</v>
      </c>
      <c r="P112" s="2402"/>
      <c r="Q112" s="2402">
        <f t="shared" si="146"/>
        <v>0.91188886043533945</v>
      </c>
      <c r="R112" s="2402"/>
      <c r="S112" s="2402">
        <f t="shared" si="146"/>
        <v>0.90790087483253246</v>
      </c>
      <c r="T112" s="2402"/>
      <c r="U112" s="2402">
        <f t="shared" si="146"/>
        <v>0.92072389758840212</v>
      </c>
      <c r="V112" s="2402"/>
      <c r="W112" s="2402">
        <f t="shared" si="146"/>
        <v>0.91024484493394853</v>
      </c>
      <c r="X112" s="2402"/>
      <c r="Y112" s="2402">
        <f t="shared" si="146"/>
        <v>0.92479756808735036</v>
      </c>
      <c r="Z112" s="2402"/>
      <c r="AA112" s="5674">
        <f t="shared" si="146"/>
        <v>0.91876577507890089</v>
      </c>
      <c r="AB112" s="2402"/>
      <c r="AC112" s="5689">
        <f t="shared" si="146"/>
        <v>0.91272428656591886</v>
      </c>
      <c r="AD112" s="2402"/>
      <c r="AE112" s="2402">
        <f t="shared" si="146"/>
        <v>0.93673927097745591</v>
      </c>
      <c r="AF112" s="2402"/>
      <c r="AG112" s="2402">
        <f t="shared" si="146"/>
        <v>0.91661452203238614</v>
      </c>
      <c r="AH112" s="2402"/>
      <c r="AI112" s="2402">
        <f t="shared" si="146"/>
        <v>0.90109104329573497</v>
      </c>
      <c r="AJ112" s="2402"/>
      <c r="AK112" s="2402">
        <f t="shared" si="146"/>
        <v>0.91485296513054293</v>
      </c>
      <c r="AL112" s="2402"/>
      <c r="AM112" s="2402">
        <f t="shared" si="146"/>
        <v>0.90969974961600786</v>
      </c>
      <c r="AN112" s="2402"/>
      <c r="AO112" s="5674">
        <f t="shared" si="146"/>
        <v>0.91731791498533366</v>
      </c>
      <c r="AP112" s="2402"/>
      <c r="AQ112" s="2402">
        <f t="shared" si="146"/>
        <v>0.91428282002508687</v>
      </c>
      <c r="AR112" s="2402"/>
      <c r="AS112" s="2402">
        <f t="shared" si="146"/>
        <v>0.88506446120165405</v>
      </c>
      <c r="AT112" s="2402"/>
      <c r="AU112" s="2402">
        <f t="shared" si="146"/>
        <v>0.91173083494184159</v>
      </c>
      <c r="AV112" s="2402"/>
      <c r="AW112" s="2402">
        <f t="shared" si="146"/>
        <v>0.89138186923385476</v>
      </c>
      <c r="AX112" s="2402"/>
      <c r="AY112" s="2402">
        <f t="shared" si="146"/>
        <v>0.9096071327631623</v>
      </c>
      <c r="AZ112" s="2402"/>
      <c r="BA112" s="2402">
        <f t="shared" si="146"/>
        <v>0.92831352184672811</v>
      </c>
      <c r="BB112" s="2402"/>
      <c r="BC112" s="5674">
        <f t="shared" si="146"/>
        <v>0.90212820300989993</v>
      </c>
      <c r="BD112" s="2402"/>
      <c r="BE112" s="5689">
        <f t="shared" si="146"/>
        <v>0.90973587294827885</v>
      </c>
      <c r="BF112" s="2402"/>
      <c r="BG112" s="2522">
        <f t="shared" si="146"/>
        <v>0.91121143004328442</v>
      </c>
      <c r="BH112" s="26"/>
      <c r="BI112" s="26"/>
    </row>
    <row r="113" spans="2:61" ht="18.75" x14ac:dyDescent="0.25">
      <c r="D113" s="6464"/>
      <c r="E113" s="2415" t="s">
        <v>1679</v>
      </c>
      <c r="F113" s="220"/>
      <c r="G113" s="2403">
        <f>+G110-G111</f>
        <v>5640.1030000000028</v>
      </c>
      <c r="H113" s="2403"/>
      <c r="I113" s="2403">
        <f t="shared" ref="I113:BA113" si="147">+I110-I111</f>
        <v>2019.724000000002</v>
      </c>
      <c r="J113" s="2403"/>
      <c r="K113" s="2403">
        <f t="shared" si="147"/>
        <v>7659.8269999999902</v>
      </c>
      <c r="L113" s="2403"/>
      <c r="M113" s="2403">
        <f t="shared" si="147"/>
        <v>5245.3480000000054</v>
      </c>
      <c r="N113" s="2403"/>
      <c r="O113" s="5673">
        <f t="shared" si="147"/>
        <v>12905.174999999988</v>
      </c>
      <c r="P113" s="2403"/>
      <c r="Q113" s="2403">
        <f t="shared" si="147"/>
        <v>4817.0359999999928</v>
      </c>
      <c r="R113" s="2403"/>
      <c r="S113" s="2403">
        <f t="shared" si="147"/>
        <v>17722.21100000001</v>
      </c>
      <c r="T113" s="2403"/>
      <c r="U113" s="2403">
        <f t="shared" si="147"/>
        <v>3412.2019999999975</v>
      </c>
      <c r="V113" s="2403"/>
      <c r="W113" s="2403">
        <f t="shared" ref="W113" si="148">+W110-W111</f>
        <v>21134.412999999971</v>
      </c>
      <c r="X113" s="2403"/>
      <c r="Y113" s="2403">
        <f t="shared" si="147"/>
        <v>3636.5639999999985</v>
      </c>
      <c r="Z113" s="2403"/>
      <c r="AA113" s="5673">
        <f t="shared" ref="AA113" si="149">+AA110-AA111</f>
        <v>11865.802000000025</v>
      </c>
      <c r="AB113" s="2403"/>
      <c r="AC113" s="5688">
        <f t="shared" ref="AC113" si="150">+AC110-AC111</f>
        <v>24770.977000000014</v>
      </c>
      <c r="AD113" s="2403"/>
      <c r="AE113" s="2403">
        <f t="shared" si="147"/>
        <v>3470.7980000000098</v>
      </c>
      <c r="AF113" s="2403"/>
      <c r="AG113" s="2403">
        <f t="shared" ref="AG113" si="151">+AG110-AG111</f>
        <v>28241.775000000023</v>
      </c>
      <c r="AH113" s="2403"/>
      <c r="AI113" s="2403">
        <f t="shared" si="147"/>
        <v>4288</v>
      </c>
      <c r="AJ113" s="2403"/>
      <c r="AK113" s="2403">
        <f t="shared" ref="AK113" si="152">+AK110-AK111</f>
        <v>32529.775000000023</v>
      </c>
      <c r="AL113" s="2403"/>
      <c r="AM113" s="2403">
        <f t="shared" si="147"/>
        <v>4291.6999999999971</v>
      </c>
      <c r="AN113" s="2403"/>
      <c r="AO113" s="5673">
        <f t="shared" ref="AO113" si="153">+AO110-AO111</f>
        <v>12050.497999999992</v>
      </c>
      <c r="AP113" s="2403"/>
      <c r="AQ113" s="2403">
        <f t="shared" ref="AQ113" si="154">+AQ110-AQ111</f>
        <v>36821.475000000035</v>
      </c>
      <c r="AR113" s="2403"/>
      <c r="AS113" s="2403">
        <f t="shared" si="147"/>
        <v>4725</v>
      </c>
      <c r="AT113" s="2403"/>
      <c r="AU113" s="2403">
        <f t="shared" ref="AU113" si="155">+AU110-AU111</f>
        <v>41546.475000000035</v>
      </c>
      <c r="AV113" s="2403"/>
      <c r="AW113" s="2403">
        <f t="shared" si="147"/>
        <v>5957.2700000000041</v>
      </c>
      <c r="AX113" s="2403"/>
      <c r="AY113" s="2403">
        <f t="shared" ref="AY113" si="156">+AY110-AY111</f>
        <v>47503.744999999995</v>
      </c>
      <c r="AZ113" s="2403"/>
      <c r="BA113" s="2403">
        <f t="shared" si="147"/>
        <v>3534</v>
      </c>
      <c r="BB113" s="2403"/>
      <c r="BC113" s="5673">
        <f t="shared" ref="BC113" si="157">+BC110-BC111</f>
        <v>14216.26999999999</v>
      </c>
      <c r="BD113" s="2403"/>
      <c r="BE113" s="5688">
        <f t="shared" ref="BE113" si="158">+BE110-BE111</f>
        <v>26266.767999999982</v>
      </c>
      <c r="BF113" s="2403"/>
      <c r="BG113" s="2521">
        <f t="shared" ref="BG113" si="159">+BG110-BG111</f>
        <v>51037.744999999995</v>
      </c>
      <c r="BH113" s="26"/>
      <c r="BI113" s="26"/>
    </row>
    <row r="114" spans="2:61" s="1597" customFormat="1" x14ac:dyDescent="0.25">
      <c r="B114" s="5661">
        <f>+G113-G118</f>
        <v>0</v>
      </c>
      <c r="D114" s="6464"/>
      <c r="E114" s="5662" t="s">
        <v>1274</v>
      </c>
      <c r="F114" s="5663"/>
      <c r="G114" s="185">
        <f>+SUMIF('GRD SUMM RCL 150X150 '!$E$6:$E$76,$E114,'GRD SUMM RCL 150X150 '!AU$6:AU$76)</f>
        <v>2511.5090000000014</v>
      </c>
      <c r="H114" s="185"/>
      <c r="I114" s="185">
        <f>+SUMIF('GRD SUMM RCL 150X150 '!$E$6:$E$76,$E114,'GRD SUMM RCL 150X150 '!AW$6:AW$76)</f>
        <v>978.90300000000002</v>
      </c>
      <c r="J114" s="185"/>
      <c r="K114" s="185">
        <f t="shared" ref="K114:K116" si="160">+G114+I114</f>
        <v>3490.4120000000012</v>
      </c>
      <c r="L114" s="185"/>
      <c r="M114" s="185">
        <f>+SUMIF('GRD SUMM RCL 150X150 '!$E$6:$E$76,$E114,'GRD SUMM RCL 150X150 '!BA$6:BA$76)</f>
        <v>2725.9320000000007</v>
      </c>
      <c r="N114" s="185"/>
      <c r="O114" s="1606">
        <f t="shared" ref="O114:O116" si="161">+G114+I114+M114</f>
        <v>6216.3440000000019</v>
      </c>
      <c r="P114" s="185"/>
      <c r="Q114" s="185">
        <f>+SUMIF('GRD SUMM RCL 150X150 '!$E$6:$E$76,$E114,'GRD SUMM RCL 150X150 '!BE$6:BE$76)</f>
        <v>2674.2389999999996</v>
      </c>
      <c r="R114" s="185"/>
      <c r="S114" s="5664">
        <f t="shared" ref="S114:S116" si="162">O114+Q114</f>
        <v>8890.5830000000024</v>
      </c>
      <c r="T114" s="185"/>
      <c r="U114" s="185">
        <f>+SUMIF('GRD SUMM RCL 150X150 '!$E$6:$E$76,$E114,'GRD SUMM RCL 150X150 '!BI$6:BI$76)</f>
        <v>1684.8579999999997</v>
      </c>
      <c r="V114" s="185"/>
      <c r="W114" s="5664">
        <f t="shared" ref="W114:W116" si="163">S114+U114</f>
        <v>10575.441000000003</v>
      </c>
      <c r="X114" s="185"/>
      <c r="Y114" s="185">
        <f>+SUMIF('GRD SUMM RCL 150X150 '!$E$6:$E$76,$E114,'GRD SUMM RCL 150X150 '!BM$6:BM$76)</f>
        <v>1492.4840000000002</v>
      </c>
      <c r="Z114" s="185"/>
      <c r="AA114" s="5666">
        <f t="shared" ref="AA114:AA116" si="164">Q114+U114+Y114</f>
        <v>5851.5810000000001</v>
      </c>
      <c r="AB114" s="185"/>
      <c r="AC114" s="5690">
        <f t="shared" ref="AC114:AC116" si="165">O114+AA114</f>
        <v>12067.925000000003</v>
      </c>
      <c r="AD114" s="185"/>
      <c r="AE114" s="185">
        <f>+SUMIF('GRD SUMM RCL 150X150 '!$E$6:$E$76,$E114,'GRD SUMM RCL 150X150 '!BS$6:BS$76)</f>
        <v>1291.6540000000005</v>
      </c>
      <c r="AF114" s="185"/>
      <c r="AG114" s="5664">
        <f t="shared" ref="AG114:AG116" si="166">+AC114+AE114</f>
        <v>13359.579000000003</v>
      </c>
      <c r="AH114" s="185"/>
      <c r="AI114" s="185">
        <f>+SUMIF('GRD SUMM RCL 150X150 '!$E$6:$E$76,$E114,'GRD SUMM RCL 150X150 '!BW$6:BW$76)</f>
        <v>2182</v>
      </c>
      <c r="AJ114" s="185"/>
      <c r="AK114" s="5664">
        <f t="shared" ref="AK114:AK116" si="167">AG114+AI114</f>
        <v>15541.579000000003</v>
      </c>
      <c r="AL114" s="185"/>
      <c r="AM114" s="185">
        <f>+SUMIF('GRD SUMM RCL 150X150 '!$E$6:$E$76,$E114,'GRD SUMM RCL 150X150 '!CA$6:CA$76)</f>
        <v>2429</v>
      </c>
      <c r="AN114" s="185"/>
      <c r="AO114" s="5666">
        <f t="shared" ref="AO114:AO116" si="168">AM114+AI114+AE114</f>
        <v>5902.6540000000005</v>
      </c>
      <c r="AP114" s="185"/>
      <c r="AQ114" s="5664">
        <f t="shared" ref="AQ114:AQ116" si="169">AK114+AM114</f>
        <v>17970.579000000005</v>
      </c>
      <c r="AR114" s="185"/>
      <c r="AS114" s="185">
        <f>+SUMIF('GRD SUMM RCL 150X150 '!$E$6:$E$76,$E114,'GRD SUMM RCL 150X150 '!CG$6:CG$76)</f>
        <v>2216</v>
      </c>
      <c r="AT114" s="185"/>
      <c r="AU114" s="5664">
        <f t="shared" ref="AU114:AU116" si="170">AQ114+AS114</f>
        <v>20186.579000000005</v>
      </c>
      <c r="AV114" s="185"/>
      <c r="AW114" s="185">
        <f>+SUMIF('GRD SUMM RCL 150X150 '!$E$6:$E$76,$E114,'GRD SUMM RCL 150X150 '!CK$6:CK$76)</f>
        <v>2449.6199999999994</v>
      </c>
      <c r="AX114" s="185"/>
      <c r="AY114" s="5664">
        <f t="shared" ref="AY114:AY116" si="171">AU114+AW114</f>
        <v>22636.199000000004</v>
      </c>
      <c r="AZ114" s="185"/>
      <c r="BA114" s="185">
        <f>+SUMIF('GRD SUMM RCL 150X150 '!$E$6:$E$76,$E114,'GRD SUMM RCL 150X150 '!CO$6:CO$76)</f>
        <v>1717</v>
      </c>
      <c r="BB114" s="185"/>
      <c r="BC114" s="5666">
        <f t="shared" ref="BC114:BC116" si="172">+AS114+AW114+BA114</f>
        <v>6382.619999999999</v>
      </c>
      <c r="BD114" s="185"/>
      <c r="BE114" s="5690">
        <f t="shared" ref="BE114:BE116" si="173">AO114+BC114</f>
        <v>12285.273999999999</v>
      </c>
      <c r="BF114" s="185"/>
      <c r="BG114" s="5665">
        <f t="shared" ref="BG114:BG116" si="174">AY114+BA114</f>
        <v>24353.199000000004</v>
      </c>
      <c r="BH114" s="26"/>
      <c r="BI114" s="26"/>
    </row>
    <row r="115" spans="2:61" s="1597" customFormat="1" x14ac:dyDescent="0.25">
      <c r="D115" s="6464"/>
      <c r="E115" s="5662" t="s">
        <v>1275</v>
      </c>
      <c r="F115" s="5663"/>
      <c r="G115" s="185">
        <f>+SUMIF('GRD SUMM RCL 150X150 '!$E$6:$E$76,$E115,'GRD SUMM RCL 150X150 '!AU$6:AU$76)</f>
        <v>1053.008</v>
      </c>
      <c r="H115" s="185"/>
      <c r="I115" s="185">
        <f>+SUMIF('GRD SUMM RCL 150X150 '!$E$6:$E$76,$E115,'GRD SUMM RCL 150X150 '!AW$6:AW$76)</f>
        <v>0</v>
      </c>
      <c r="J115" s="185"/>
      <c r="K115" s="185">
        <f t="shared" si="160"/>
        <v>1053.008</v>
      </c>
      <c r="L115" s="185"/>
      <c r="M115" s="185">
        <f>+SUMIF('GRD SUMM RCL 150X150 '!$E$6:$E$76,$E115,'GRD SUMM RCL 150X150 '!BA$6:BA$76)</f>
        <v>827.97</v>
      </c>
      <c r="N115" s="185"/>
      <c r="O115" s="1606">
        <f t="shared" si="161"/>
        <v>1880.9780000000001</v>
      </c>
      <c r="P115" s="185"/>
      <c r="Q115" s="185">
        <f>+SUMIF('GRD SUMM RCL 150X150 '!$E$6:$E$76,$E115,'GRD SUMM RCL 150X150 '!BE$6:BE$76)</f>
        <v>178.33199999999999</v>
      </c>
      <c r="R115" s="185"/>
      <c r="S115" s="5664">
        <f t="shared" si="162"/>
        <v>2059.31</v>
      </c>
      <c r="T115" s="185"/>
      <c r="U115" s="185">
        <f>+SUMIF('GRD SUMM RCL 150X150 '!$E$6:$E$76,$E115,'GRD SUMM RCL 150X150 '!BI$6:BI$76)</f>
        <v>0</v>
      </c>
      <c r="V115" s="185"/>
      <c r="W115" s="5664">
        <f t="shared" si="163"/>
        <v>2059.31</v>
      </c>
      <c r="X115" s="185"/>
      <c r="Y115" s="185">
        <f>+SUMIF('GRD SUMM RCL 150X150 '!$E$6:$E$76,$E115,'GRD SUMM RCL 150X150 '!BM$6:BM$76)</f>
        <v>181.804</v>
      </c>
      <c r="Z115" s="185"/>
      <c r="AA115" s="5666">
        <f t="shared" si="164"/>
        <v>360.13599999999997</v>
      </c>
      <c r="AB115" s="185"/>
      <c r="AC115" s="5690">
        <f t="shared" si="165"/>
        <v>2241.114</v>
      </c>
      <c r="AD115" s="185"/>
      <c r="AE115" s="185">
        <f>+SUMIF('GRD SUMM RCL 150X150 '!$E$6:$E$76,$E115,'GRD SUMM RCL 150X150 '!BS$6:BS$76)</f>
        <v>338.24</v>
      </c>
      <c r="AF115" s="185"/>
      <c r="AG115" s="5664">
        <f t="shared" si="166"/>
        <v>2579.3540000000003</v>
      </c>
      <c r="AH115" s="185"/>
      <c r="AI115" s="185">
        <f>+SUMIF('GRD SUMM RCL 150X150 '!$E$6:$E$76,$E115,'GRD SUMM RCL 150X150 '!BW$6:BW$76)</f>
        <v>340</v>
      </c>
      <c r="AJ115" s="185"/>
      <c r="AK115" s="5664">
        <f t="shared" si="167"/>
        <v>2919.3540000000003</v>
      </c>
      <c r="AL115" s="185"/>
      <c r="AM115" s="185">
        <f>+SUMIF('GRD SUMM RCL 150X150 '!$E$6:$E$76,$E115,'GRD SUMM RCL 150X150 '!CA$6:CA$76)</f>
        <v>0</v>
      </c>
      <c r="AN115" s="185"/>
      <c r="AO115" s="5666">
        <f t="shared" si="168"/>
        <v>678.24</v>
      </c>
      <c r="AP115" s="185"/>
      <c r="AQ115" s="5664">
        <f t="shared" si="169"/>
        <v>2919.3540000000003</v>
      </c>
      <c r="AR115" s="185"/>
      <c r="AS115" s="185">
        <f>+SUMIF('GRD SUMM RCL 150X150 '!$E$6:$E$76,$E115,'GRD SUMM RCL 150X150 '!CG$6:CG$76)</f>
        <v>1214</v>
      </c>
      <c r="AT115" s="185"/>
      <c r="AU115" s="5664">
        <f t="shared" si="170"/>
        <v>4133.3540000000003</v>
      </c>
      <c r="AV115" s="185"/>
      <c r="AW115" s="185">
        <f>+SUMIF('GRD SUMM RCL 150X150 '!$E$6:$E$76,$E115,'GRD SUMM RCL 150X150 '!CK$6:CK$76)</f>
        <v>661.6819999999999</v>
      </c>
      <c r="AX115" s="185"/>
      <c r="AY115" s="5664">
        <f t="shared" si="171"/>
        <v>4795.0360000000001</v>
      </c>
      <c r="AZ115" s="185"/>
      <c r="BA115" s="185">
        <f>+SUMIF('GRD SUMM RCL 150X150 '!$E$6:$E$76,$E115,'GRD SUMM RCL 150X150 '!CO$6:CO$76)</f>
        <v>178</v>
      </c>
      <c r="BB115" s="185"/>
      <c r="BC115" s="5666">
        <f t="shared" si="172"/>
        <v>2053.6819999999998</v>
      </c>
      <c r="BD115" s="185"/>
      <c r="BE115" s="5690">
        <f t="shared" si="173"/>
        <v>2731.9219999999996</v>
      </c>
      <c r="BF115" s="185"/>
      <c r="BG115" s="5665">
        <f t="shared" si="174"/>
        <v>4973.0360000000001</v>
      </c>
      <c r="BH115" s="26"/>
      <c r="BI115" s="26"/>
    </row>
    <row r="116" spans="2:61" s="1597" customFormat="1" x14ac:dyDescent="0.25">
      <c r="D116" s="6464"/>
      <c r="E116" s="5662" t="s">
        <v>1988</v>
      </c>
      <c r="F116" s="5663"/>
      <c r="G116" s="185">
        <f>+SUMIF('GRD SUMM RCL 150X150 '!$E$6:$E$76,$E116,'GRD SUMM RCL 150X150 '!AU$6:AU$76)</f>
        <v>1659.586</v>
      </c>
      <c r="H116" s="185"/>
      <c r="I116" s="185">
        <f>+SUMIF('GRD SUMM RCL 150X150 '!$E$6:$E$76,$E116,'GRD SUMM RCL 150X150 '!AW$6:AW$76)</f>
        <v>694.22099999999978</v>
      </c>
      <c r="J116" s="185"/>
      <c r="K116" s="185">
        <f t="shared" si="160"/>
        <v>2353.8069999999998</v>
      </c>
      <c r="L116" s="185"/>
      <c r="M116" s="185">
        <f>+SUMIF('GRD SUMM RCL 150X150 '!$E$6:$E$76,$E116,'GRD SUMM RCL 150X150 '!BA$6:BA$76)</f>
        <v>1278.0460000000005</v>
      </c>
      <c r="N116" s="185"/>
      <c r="O116" s="1606">
        <f t="shared" si="161"/>
        <v>3631.8530000000001</v>
      </c>
      <c r="P116" s="185"/>
      <c r="Q116" s="185">
        <f>+SUMIF('GRD SUMM RCL 150X150 '!$E$6:$E$76,$E116,'GRD SUMM RCL 150X150 '!BE$6:BE$76)</f>
        <v>1695.4650000000004</v>
      </c>
      <c r="R116" s="185"/>
      <c r="S116" s="5664">
        <f t="shared" si="162"/>
        <v>5327.3180000000002</v>
      </c>
      <c r="T116" s="185"/>
      <c r="U116" s="185">
        <f>+SUMIF('GRD SUMM RCL 150X150 '!$E$6:$E$76,$E116,'GRD SUMM RCL 150X150 '!BI$6:BI$76)</f>
        <v>1471.3440000000005</v>
      </c>
      <c r="V116" s="185"/>
      <c r="W116" s="5664">
        <f t="shared" si="163"/>
        <v>6798.6620000000003</v>
      </c>
      <c r="X116" s="185"/>
      <c r="Y116" s="185">
        <f>+SUMIF('GRD SUMM RCL 150X150 '!$E$6:$E$76,$E116,'GRD SUMM RCL 150X150 '!BM$6:BM$76)</f>
        <v>1340.2760000000007</v>
      </c>
      <c r="Z116" s="185"/>
      <c r="AA116" s="5666">
        <f t="shared" si="164"/>
        <v>4507.0850000000019</v>
      </c>
      <c r="AB116" s="185"/>
      <c r="AC116" s="5690">
        <f t="shared" si="165"/>
        <v>8138.9380000000019</v>
      </c>
      <c r="AD116" s="185"/>
      <c r="AE116" s="185">
        <f>+SUMIF('GRD SUMM RCL 150X150 '!$E$6:$E$76,$E116,'GRD SUMM RCL 150X150 '!BS$6:BS$76)</f>
        <v>1555.9040000000009</v>
      </c>
      <c r="AF116" s="185"/>
      <c r="AG116" s="5664">
        <f t="shared" si="166"/>
        <v>9694.8420000000024</v>
      </c>
      <c r="AH116" s="185"/>
      <c r="AI116" s="185">
        <f>+SUMIF('GRD SUMM RCL 150X150 '!$E$6:$E$76,$E116,'GRD SUMM RCL 150X150 '!BW$6:BW$76)</f>
        <v>1742</v>
      </c>
      <c r="AJ116" s="185"/>
      <c r="AK116" s="5664">
        <f t="shared" si="167"/>
        <v>11436.842000000002</v>
      </c>
      <c r="AL116" s="185"/>
      <c r="AM116" s="185">
        <f>+SUMIF('GRD SUMM RCL 150X150 '!$E$6:$E$76,$E116,'GRD SUMM RCL 150X150 '!CA$6:CA$76)</f>
        <v>1268.6999999999998</v>
      </c>
      <c r="AN116" s="185"/>
      <c r="AO116" s="5666">
        <f t="shared" si="168"/>
        <v>4566.6040000000012</v>
      </c>
      <c r="AP116" s="185"/>
      <c r="AQ116" s="5664">
        <f t="shared" si="169"/>
        <v>12705.542000000001</v>
      </c>
      <c r="AR116" s="185"/>
      <c r="AS116" s="185">
        <f>+SUMIF('GRD SUMM RCL 150X150 '!$E$6:$E$76,$E116,'GRD SUMM RCL 150X150 '!CG$6:CG$76)</f>
        <v>962</v>
      </c>
      <c r="AT116" s="185"/>
      <c r="AU116" s="5664">
        <f t="shared" si="170"/>
        <v>13667.542000000001</v>
      </c>
      <c r="AV116" s="185"/>
      <c r="AW116" s="185">
        <f>+SUMIF('GRD SUMM RCL 150X150 '!$E$6:$E$76,$E116,'GRD SUMM RCL 150X150 '!CK$6:CK$76)</f>
        <v>2474.9680000000017</v>
      </c>
      <c r="AX116" s="185"/>
      <c r="AY116" s="5664">
        <f t="shared" si="171"/>
        <v>16142.510000000002</v>
      </c>
      <c r="AZ116" s="185"/>
      <c r="BA116" s="185">
        <f>+SUMIF('GRD SUMM RCL 150X150 '!$E$6:$E$76,$E116,'GRD SUMM RCL 150X150 '!CO$6:CO$76)</f>
        <v>1674</v>
      </c>
      <c r="BB116" s="185"/>
      <c r="BC116" s="5666">
        <f t="shared" si="172"/>
        <v>5110.9680000000017</v>
      </c>
      <c r="BD116" s="185"/>
      <c r="BE116" s="5690">
        <f t="shared" si="173"/>
        <v>9677.5720000000038</v>
      </c>
      <c r="BF116" s="185"/>
      <c r="BG116" s="5665">
        <f t="shared" si="174"/>
        <v>17816.510000000002</v>
      </c>
      <c r="BH116" s="26"/>
      <c r="BI116" s="26"/>
    </row>
    <row r="117" spans="2:61" x14ac:dyDescent="0.25">
      <c r="D117" s="6464"/>
      <c r="E117" s="2417" t="s">
        <v>1682</v>
      </c>
      <c r="F117" s="220"/>
      <c r="G117" s="1603">
        <f>+SMS!F36</f>
        <v>416</v>
      </c>
      <c r="H117" s="1603"/>
      <c r="I117" s="1603">
        <f>+SMS!H36</f>
        <v>346.6</v>
      </c>
      <c r="J117" s="1603"/>
      <c r="K117" s="1603">
        <f>+SMS!J36</f>
        <v>762.6</v>
      </c>
      <c r="L117" s="1603"/>
      <c r="M117" s="1603">
        <f>+SMS!L36</f>
        <v>390</v>
      </c>
      <c r="N117" s="1603"/>
      <c r="O117" s="1606">
        <f>+SMS!N36</f>
        <v>1152.5999999999999</v>
      </c>
      <c r="P117" s="1603"/>
      <c r="Q117" s="1603">
        <f>+SMS!P36</f>
        <v>269</v>
      </c>
      <c r="R117" s="1603"/>
      <c r="S117" s="1603">
        <f>+SMS!R36</f>
        <v>1421.6</v>
      </c>
      <c r="T117" s="1603"/>
      <c r="U117" s="1603">
        <f>+SMS!T36</f>
        <v>256</v>
      </c>
      <c r="V117" s="1603"/>
      <c r="W117" s="1603">
        <f>+SMS!V36</f>
        <v>1677.6</v>
      </c>
      <c r="X117" s="1603"/>
      <c r="Y117" s="1603">
        <f>+SMS!X36</f>
        <v>622</v>
      </c>
      <c r="Z117" s="1603"/>
      <c r="AA117" s="1606">
        <f>+SMS!Z36</f>
        <v>1147</v>
      </c>
      <c r="AB117" s="1603"/>
      <c r="AC117" s="1522">
        <f>+SMS!AB36</f>
        <v>2299.6</v>
      </c>
      <c r="AD117" s="1603"/>
      <c r="AE117" s="1603">
        <f>+SMS!AD36</f>
        <v>285</v>
      </c>
      <c r="AF117" s="1603"/>
      <c r="AG117" s="1603">
        <f>+SMS!AF36</f>
        <v>2584.6</v>
      </c>
      <c r="AH117" s="1603"/>
      <c r="AI117" s="1603">
        <f>+SMS!AH36</f>
        <v>24</v>
      </c>
      <c r="AJ117" s="1603"/>
      <c r="AK117" s="1603">
        <f>+SMS!AJ36</f>
        <v>2608.6</v>
      </c>
      <c r="AL117" s="1603"/>
      <c r="AM117" s="1603">
        <f>+SMS!AL36</f>
        <v>594</v>
      </c>
      <c r="AN117" s="1603"/>
      <c r="AO117" s="1606">
        <f>+SMS!AN36</f>
        <v>903</v>
      </c>
      <c r="AP117" s="1603"/>
      <c r="AQ117" s="1603">
        <f>+SMS!AP36</f>
        <v>3202.6</v>
      </c>
      <c r="AR117" s="1603"/>
      <c r="AS117" s="1603">
        <f>+SMS!AR36</f>
        <v>333</v>
      </c>
      <c r="AT117" s="1603"/>
      <c r="AU117" s="1603">
        <f>+SMS!AT36</f>
        <v>3535.6</v>
      </c>
      <c r="AV117" s="1603"/>
      <c r="AW117" s="1603">
        <f>+SMS!AV36</f>
        <v>371</v>
      </c>
      <c r="AX117" s="1603"/>
      <c r="AY117" s="1603">
        <f>+SMS!AX36</f>
        <v>3906.6</v>
      </c>
      <c r="AZ117" s="1603"/>
      <c r="BA117" s="1603">
        <f>+SMS!AZ36</f>
        <v>346</v>
      </c>
      <c r="BB117" s="1603"/>
      <c r="BC117" s="1606">
        <f>+SMS!BB36</f>
        <v>1050</v>
      </c>
      <c r="BD117" s="1603"/>
      <c r="BE117" s="1522">
        <f>+SMS!BD36</f>
        <v>1953</v>
      </c>
      <c r="BF117" s="1603"/>
      <c r="BG117" s="1604">
        <f>+SMS!BF36</f>
        <v>4252.6000000000004</v>
      </c>
      <c r="BH117" s="26"/>
      <c r="BI117" s="26"/>
    </row>
    <row r="118" spans="2:61" ht="15.75" thickBot="1" x14ac:dyDescent="0.3">
      <c r="D118" s="6465"/>
      <c r="E118" s="2418" t="s">
        <v>23</v>
      </c>
      <c r="F118" s="1647"/>
      <c r="G118" s="1649">
        <f>SUM(G114:G117)</f>
        <v>5640.1030000000019</v>
      </c>
      <c r="H118" s="1649"/>
      <c r="I118" s="1649">
        <f t="shared" ref="I118:BG118" si="175">SUM(I114:I117)</f>
        <v>2019.7239999999997</v>
      </c>
      <c r="J118" s="1649"/>
      <c r="K118" s="1649">
        <f t="shared" si="175"/>
        <v>7659.8270000000011</v>
      </c>
      <c r="L118" s="1649"/>
      <c r="M118" s="1649">
        <f t="shared" si="175"/>
        <v>5221.9480000000012</v>
      </c>
      <c r="N118" s="1649"/>
      <c r="O118" s="5675">
        <f t="shared" si="175"/>
        <v>12881.775000000003</v>
      </c>
      <c r="P118" s="1649"/>
      <c r="Q118" s="1649">
        <f t="shared" si="175"/>
        <v>4817.0360000000001</v>
      </c>
      <c r="R118" s="1649"/>
      <c r="S118" s="1649">
        <f t="shared" si="175"/>
        <v>17698.811000000002</v>
      </c>
      <c r="T118" s="1649"/>
      <c r="U118" s="1649">
        <f t="shared" si="175"/>
        <v>3412.2020000000002</v>
      </c>
      <c r="V118" s="1649"/>
      <c r="W118" s="1649">
        <f t="shared" si="175"/>
        <v>21111.012999999999</v>
      </c>
      <c r="X118" s="1649"/>
      <c r="Y118" s="1649">
        <f t="shared" si="175"/>
        <v>3636.5640000000012</v>
      </c>
      <c r="Z118" s="1649"/>
      <c r="AA118" s="5675">
        <f t="shared" si="175"/>
        <v>11865.802000000003</v>
      </c>
      <c r="AB118" s="1649"/>
      <c r="AC118" s="5632">
        <f t="shared" si="175"/>
        <v>24747.577000000005</v>
      </c>
      <c r="AD118" s="1649"/>
      <c r="AE118" s="1649">
        <f t="shared" si="175"/>
        <v>3470.7980000000016</v>
      </c>
      <c r="AF118" s="1649"/>
      <c r="AG118" s="1649">
        <f t="shared" si="175"/>
        <v>28218.375000000007</v>
      </c>
      <c r="AH118" s="1649"/>
      <c r="AI118" s="1649">
        <f t="shared" si="175"/>
        <v>4288</v>
      </c>
      <c r="AJ118" s="1649"/>
      <c r="AK118" s="1649">
        <f t="shared" si="175"/>
        <v>32506.375000000007</v>
      </c>
      <c r="AL118" s="1649"/>
      <c r="AM118" s="1649">
        <f t="shared" si="175"/>
        <v>4291.7</v>
      </c>
      <c r="AN118" s="1649"/>
      <c r="AO118" s="5675">
        <f t="shared" si="175"/>
        <v>12050.498000000001</v>
      </c>
      <c r="AP118" s="1649"/>
      <c r="AQ118" s="1649">
        <f t="shared" si="175"/>
        <v>36798.075000000004</v>
      </c>
      <c r="AR118" s="1649"/>
      <c r="AS118" s="1649">
        <f t="shared" si="175"/>
        <v>4725</v>
      </c>
      <c r="AT118" s="1649"/>
      <c r="AU118" s="1649">
        <f t="shared" si="175"/>
        <v>41523.075000000004</v>
      </c>
      <c r="AV118" s="1649"/>
      <c r="AW118" s="1649">
        <f t="shared" si="175"/>
        <v>5957.27</v>
      </c>
      <c r="AX118" s="1649"/>
      <c r="AY118" s="1649">
        <f t="shared" si="175"/>
        <v>47480.345000000008</v>
      </c>
      <c r="AZ118" s="1649"/>
      <c r="BA118" s="1649">
        <f t="shared" si="175"/>
        <v>3915</v>
      </c>
      <c r="BB118" s="1649"/>
      <c r="BC118" s="5675">
        <f t="shared" si="175"/>
        <v>14597.27</v>
      </c>
      <c r="BD118" s="1649"/>
      <c r="BE118" s="5632">
        <f t="shared" si="175"/>
        <v>26647.768000000004</v>
      </c>
      <c r="BF118" s="1649"/>
      <c r="BG118" s="2523">
        <f t="shared" si="175"/>
        <v>51395.345000000008</v>
      </c>
      <c r="BH118" s="26"/>
      <c r="BI118" s="26"/>
    </row>
    <row r="119" spans="2:61" ht="9.75" customHeight="1" thickBot="1" x14ac:dyDescent="0.3">
      <c r="D119" s="2423"/>
      <c r="E119" s="2421"/>
      <c r="F119" s="2412"/>
      <c r="G119" s="2413"/>
      <c r="H119" s="2413"/>
      <c r="I119" s="2413"/>
      <c r="J119" s="2413"/>
      <c r="K119" s="2413"/>
      <c r="L119" s="2413"/>
      <c r="M119" s="2413"/>
      <c r="N119" s="2413"/>
      <c r="O119" s="5680"/>
      <c r="P119" s="2413"/>
      <c r="Q119" s="2413"/>
      <c r="R119" s="2413"/>
      <c r="S119" s="2413"/>
      <c r="T119" s="2413"/>
      <c r="U119" s="2413"/>
      <c r="V119" s="2413"/>
      <c r="W119" s="2413"/>
      <c r="X119" s="2413"/>
      <c r="Y119" s="2413"/>
      <c r="Z119" s="2413"/>
      <c r="AA119" s="5680"/>
      <c r="AB119" s="2413"/>
      <c r="AC119" s="5695"/>
      <c r="AD119" s="2413"/>
      <c r="AE119" s="2413"/>
      <c r="AF119" s="2413"/>
      <c r="AG119" s="2413"/>
      <c r="AH119" s="2413"/>
      <c r="AI119" s="2413"/>
      <c r="AJ119" s="2413"/>
      <c r="AK119" s="2413"/>
      <c r="AL119" s="2413"/>
      <c r="AM119" s="2413"/>
      <c r="AN119" s="2413"/>
      <c r="AO119" s="5680"/>
      <c r="AP119" s="2413"/>
      <c r="AQ119" s="2413"/>
      <c r="AR119" s="2413"/>
      <c r="AS119" s="2413"/>
      <c r="AT119" s="2413"/>
      <c r="AU119" s="2413"/>
      <c r="AV119" s="2413"/>
      <c r="AW119" s="2413"/>
      <c r="AX119" s="2413"/>
      <c r="AY119" s="2413"/>
      <c r="AZ119" s="2413"/>
      <c r="BA119" s="2413"/>
      <c r="BB119" s="2413"/>
      <c r="BC119" s="5680"/>
      <c r="BD119" s="2413"/>
      <c r="BE119" s="5695"/>
      <c r="BF119" s="2413"/>
      <c r="BG119" s="2529"/>
      <c r="BH119" s="26"/>
      <c r="BI119" s="26"/>
    </row>
    <row r="120" spans="2:61" ht="18.75" x14ac:dyDescent="0.25">
      <c r="D120" s="6449" t="s">
        <v>1685</v>
      </c>
      <c r="E120" s="2427" t="s">
        <v>1680</v>
      </c>
      <c r="F120" s="2405"/>
      <c r="G120" s="2426">
        <f>+'Maj Production Summ'!F33</f>
        <v>13419.07</v>
      </c>
      <c r="H120" s="2426"/>
      <c r="I120" s="2426">
        <f>+'Maj Production Summ'!H33</f>
        <v>4696</v>
      </c>
      <c r="J120" s="2426"/>
      <c r="K120" s="2426">
        <f>+'Maj Production Summ'!J33</f>
        <v>18115.07</v>
      </c>
      <c r="L120" s="2426"/>
      <c r="M120" s="2426">
        <f>+'Maj Production Summ'!L33</f>
        <v>16270.81</v>
      </c>
      <c r="N120" s="2426"/>
      <c r="O120" s="5672">
        <f>+'Maj Production Summ'!N33</f>
        <v>34385.879999999997</v>
      </c>
      <c r="P120" s="2426"/>
      <c r="Q120" s="2426">
        <f>+'Maj Production Summ'!P33</f>
        <v>12217</v>
      </c>
      <c r="R120" s="2426"/>
      <c r="S120" s="2426">
        <f>+'Maj Production Summ'!R33</f>
        <v>46602.879999999997</v>
      </c>
      <c r="T120" s="2426"/>
      <c r="U120" s="2426">
        <f>+'Maj Production Summ'!T33</f>
        <v>1476.4208000000001</v>
      </c>
      <c r="V120" s="2426"/>
      <c r="W120" s="2426">
        <f>+'Maj Production Summ'!V33</f>
        <v>48079.300799999997</v>
      </c>
      <c r="X120" s="2426"/>
      <c r="Y120" s="2426">
        <f>+'Maj Production Summ'!X33</f>
        <v>9032.5433799999992</v>
      </c>
      <c r="Z120" s="2426"/>
      <c r="AA120" s="5672">
        <f>+'Maj Production Summ'!Z33</f>
        <v>22725.964179999999</v>
      </c>
      <c r="AB120" s="2426"/>
      <c r="AC120" s="5696">
        <f>+'Maj Production Summ'!AB33</f>
        <v>57111.84418</v>
      </c>
      <c r="AD120" s="2426"/>
      <c r="AE120" s="2426">
        <f>+'Maj Production Summ'!AD33</f>
        <v>12963.3</v>
      </c>
      <c r="AF120" s="2426"/>
      <c r="AG120" s="2426">
        <f>+'Maj Production Summ'!AF33</f>
        <v>70075.144180000003</v>
      </c>
      <c r="AH120" s="2426"/>
      <c r="AI120" s="2426">
        <f>+'Maj Production Summ'!AH33</f>
        <v>691</v>
      </c>
      <c r="AJ120" s="2426"/>
      <c r="AK120" s="2426">
        <f>+'Maj Production Summ'!AJ33</f>
        <v>70766.144180000003</v>
      </c>
      <c r="AL120" s="2426"/>
      <c r="AM120" s="2426">
        <f>+'Maj Production Summ'!AL33</f>
        <v>9126</v>
      </c>
      <c r="AN120" s="2426"/>
      <c r="AO120" s="5672">
        <f>+'Maj Production Summ'!AN33</f>
        <v>22780.3</v>
      </c>
      <c r="AP120" s="2426"/>
      <c r="AQ120" s="2426">
        <f>+'Maj Production Summ'!AP33</f>
        <v>79892.144180000003</v>
      </c>
      <c r="AR120" s="2426"/>
      <c r="AS120" s="2426">
        <f>+'Maj Production Summ'!AR33</f>
        <v>12121</v>
      </c>
      <c r="AT120" s="2426"/>
      <c r="AU120" s="2426">
        <f>+'Maj Production Summ'!AT33</f>
        <v>92013.144180000003</v>
      </c>
      <c r="AV120" s="2426"/>
      <c r="AW120" s="2426">
        <f>+'Maj Production Summ'!AV33</f>
        <v>6079</v>
      </c>
      <c r="AX120" s="2426"/>
      <c r="AY120" s="2426">
        <f>+'Maj Production Summ'!AX33</f>
        <v>98092.144180000003</v>
      </c>
      <c r="AZ120" s="2426"/>
      <c r="BA120" s="2426">
        <f>+'Maj Production Summ'!AZ33</f>
        <v>3736</v>
      </c>
      <c r="BB120" s="2426"/>
      <c r="BC120" s="5672">
        <f>+'Maj Production Summ'!BB33</f>
        <v>21936</v>
      </c>
      <c r="BD120" s="2426"/>
      <c r="BE120" s="5696">
        <f>+'Maj Production Summ'!BD33</f>
        <v>44716.3</v>
      </c>
      <c r="BF120" s="2426"/>
      <c r="BG120" s="2520">
        <f>+'Maj Production Summ'!BF33</f>
        <v>101828.14418</v>
      </c>
      <c r="BH120" s="26"/>
      <c r="BI120" s="26"/>
    </row>
    <row r="121" spans="2:61" ht="18.75" x14ac:dyDescent="0.25">
      <c r="D121" s="6450"/>
      <c r="E121" s="2415" t="s">
        <v>1726</v>
      </c>
      <c r="F121" s="220"/>
      <c r="G121" s="2403">
        <f>+G79</f>
        <v>12051.407999999999</v>
      </c>
      <c r="H121" s="2403"/>
      <c r="I121" s="2403">
        <f t="shared" ref="I121:BA121" si="176">+I79</f>
        <v>3000.38</v>
      </c>
      <c r="J121" s="2403"/>
      <c r="K121" s="2403">
        <f t="shared" si="176"/>
        <v>15051.788</v>
      </c>
      <c r="L121" s="2403"/>
      <c r="M121" s="2403">
        <f t="shared" si="176"/>
        <v>15615.839999999998</v>
      </c>
      <c r="N121" s="2403"/>
      <c r="O121" s="5673">
        <f t="shared" si="176"/>
        <v>30667.627999999997</v>
      </c>
      <c r="P121" s="2403"/>
      <c r="Q121" s="2403">
        <f t="shared" si="176"/>
        <v>11752.995999999999</v>
      </c>
      <c r="R121" s="2403"/>
      <c r="S121" s="2403">
        <f t="shared" si="176"/>
        <v>42420.623999999996</v>
      </c>
      <c r="T121" s="2403"/>
      <c r="U121" s="2403">
        <f t="shared" si="176"/>
        <v>1337.1908000000001</v>
      </c>
      <c r="V121" s="2403"/>
      <c r="W121" s="2403">
        <f t="shared" ref="W121" si="177">+W79</f>
        <v>43757.8148</v>
      </c>
      <c r="X121" s="2403"/>
      <c r="Y121" s="2403">
        <f t="shared" si="176"/>
        <v>8415.0103799999997</v>
      </c>
      <c r="Z121" s="2403"/>
      <c r="AA121" s="5673">
        <f t="shared" ref="AA121" si="178">+AA79</f>
        <v>21505.197179999996</v>
      </c>
      <c r="AB121" s="2403"/>
      <c r="AC121" s="5688">
        <f t="shared" ref="AC121" si="179">+AC79</f>
        <v>52172.82518</v>
      </c>
      <c r="AD121" s="2403"/>
      <c r="AE121" s="2403">
        <f t="shared" si="176"/>
        <v>12137.961999999998</v>
      </c>
      <c r="AF121" s="2403"/>
      <c r="AG121" s="2403">
        <f t="shared" ref="AG121" si="180">+AG79</f>
        <v>64310.787179999992</v>
      </c>
      <c r="AH121" s="2403"/>
      <c r="AI121" s="2403">
        <f t="shared" si="176"/>
        <v>-0.20000000000004547</v>
      </c>
      <c r="AJ121" s="2403"/>
      <c r="AK121" s="2403">
        <f t="shared" ref="AK121" si="181">+AK79</f>
        <v>64310.587179999988</v>
      </c>
      <c r="AL121" s="2403"/>
      <c r="AM121" s="2403">
        <f t="shared" si="176"/>
        <v>8731</v>
      </c>
      <c r="AN121" s="2403"/>
      <c r="AO121" s="5673">
        <f t="shared" ref="AO121" si="182">+AO79</f>
        <v>20868.761999999999</v>
      </c>
      <c r="AP121" s="2403"/>
      <c r="AQ121" s="2403">
        <f t="shared" ref="AQ121" si="183">+AQ79</f>
        <v>73041.587179999988</v>
      </c>
      <c r="AR121" s="2403"/>
      <c r="AS121" s="2403">
        <f t="shared" si="176"/>
        <v>11475</v>
      </c>
      <c r="AT121" s="2403"/>
      <c r="AU121" s="2403">
        <f t="shared" ref="AU121" si="184">+AU79</f>
        <v>84516.587179999988</v>
      </c>
      <c r="AV121" s="2403"/>
      <c r="AW121" s="2403">
        <f t="shared" si="176"/>
        <v>4505.5740000000005</v>
      </c>
      <c r="AX121" s="2403"/>
      <c r="AY121" s="2403">
        <f t="shared" ref="AY121" si="185">+AY79</f>
        <v>89022.161179999996</v>
      </c>
      <c r="AZ121" s="2403"/>
      <c r="BA121" s="2403">
        <f t="shared" si="176"/>
        <v>2381.2600000000002</v>
      </c>
      <c r="BB121" s="2403"/>
      <c r="BC121" s="5673">
        <f t="shared" ref="BC121" si="186">+BC79</f>
        <v>18361.834000000003</v>
      </c>
      <c r="BD121" s="2403"/>
      <c r="BE121" s="5688">
        <f t="shared" ref="BE121" si="187">+BE79</f>
        <v>39230.595999999998</v>
      </c>
      <c r="BF121" s="2403"/>
      <c r="BG121" s="2521">
        <f t="shared" ref="BG121" si="188">+BG79</f>
        <v>91403.42117999999</v>
      </c>
      <c r="BH121" s="26"/>
      <c r="BI121" s="26"/>
    </row>
    <row r="122" spans="2:61" ht="18.75" x14ac:dyDescent="0.25">
      <c r="D122" s="6450"/>
      <c r="E122" s="2428" t="s">
        <v>1681</v>
      </c>
      <c r="F122" s="220"/>
      <c r="G122" s="2402">
        <f>+G121/G120</f>
        <v>0.89808071647290011</v>
      </c>
      <c r="H122" s="2402"/>
      <c r="I122" s="2402">
        <f t="shared" ref="I122:BG122" si="189">+I121/I120</f>
        <v>0.63892248722316869</v>
      </c>
      <c r="J122" s="2402"/>
      <c r="K122" s="2402">
        <f t="shared" si="189"/>
        <v>0.83089869373952185</v>
      </c>
      <c r="L122" s="2402"/>
      <c r="M122" s="2402">
        <f t="shared" si="189"/>
        <v>0.95974570411675875</v>
      </c>
      <c r="N122" s="2402"/>
      <c r="O122" s="5674">
        <f t="shared" si="189"/>
        <v>0.89186689420192244</v>
      </c>
      <c r="P122" s="2402"/>
      <c r="Q122" s="2402">
        <f t="shared" si="189"/>
        <v>0.96201980846361623</v>
      </c>
      <c r="R122" s="2402"/>
      <c r="S122" s="2402">
        <f t="shared" si="189"/>
        <v>0.91025756348105524</v>
      </c>
      <c r="T122" s="2402"/>
      <c r="U122" s="2402">
        <f t="shared" si="189"/>
        <v>0.90569761683119065</v>
      </c>
      <c r="V122" s="2402"/>
      <c r="W122" s="2402">
        <f t="shared" si="189"/>
        <v>0.91011753648464044</v>
      </c>
      <c r="X122" s="2402"/>
      <c r="Y122" s="2402">
        <f t="shared" si="189"/>
        <v>0.93163243462883882</v>
      </c>
      <c r="Z122" s="2402"/>
      <c r="AA122" s="5674">
        <f t="shared" si="189"/>
        <v>0.94628315919487627</v>
      </c>
      <c r="AB122" s="2402"/>
      <c r="AC122" s="5689">
        <f t="shared" si="189"/>
        <v>0.91352023260825477</v>
      </c>
      <c r="AD122" s="2402"/>
      <c r="AE122" s="2402">
        <f t="shared" si="189"/>
        <v>0.93633272392060651</v>
      </c>
      <c r="AF122" s="2402"/>
      <c r="AG122" s="2402">
        <f t="shared" si="189"/>
        <v>0.91774034763034851</v>
      </c>
      <c r="AH122" s="2402"/>
      <c r="AI122" s="2402">
        <f t="shared" si="189"/>
        <v>-2.89435600578937E-4</v>
      </c>
      <c r="AJ122" s="2402"/>
      <c r="AK122" s="2402">
        <f t="shared" si="189"/>
        <v>0.90877619411367494</v>
      </c>
      <c r="AL122" s="2402"/>
      <c r="AM122" s="2402">
        <f t="shared" si="189"/>
        <v>0.95671707210168744</v>
      </c>
      <c r="AN122" s="2402"/>
      <c r="AO122" s="5674">
        <f t="shared" si="189"/>
        <v>0.91608811121890399</v>
      </c>
      <c r="AP122" s="2402"/>
      <c r="AQ122" s="2402">
        <f t="shared" si="189"/>
        <v>0.91425243282286361</v>
      </c>
      <c r="AR122" s="2402"/>
      <c r="AS122" s="2402">
        <f t="shared" si="189"/>
        <v>0.94670406732117807</v>
      </c>
      <c r="AT122" s="2402"/>
      <c r="AU122" s="2402">
        <f t="shared" si="189"/>
        <v>0.91852732490767908</v>
      </c>
      <c r="AV122" s="2402"/>
      <c r="AW122" s="2402">
        <f t="shared" si="189"/>
        <v>0.74117025826616223</v>
      </c>
      <c r="AX122" s="2402"/>
      <c r="AY122" s="2402">
        <f t="shared" si="189"/>
        <v>0.90753609194884655</v>
      </c>
      <c r="AZ122" s="2402"/>
      <c r="BA122" s="2402">
        <f t="shared" si="189"/>
        <v>0.63738222698072811</v>
      </c>
      <c r="BB122" s="2402"/>
      <c r="BC122" s="5674">
        <f t="shared" si="189"/>
        <v>0.83706391320204243</v>
      </c>
      <c r="BD122" s="2402"/>
      <c r="BE122" s="5689">
        <f t="shared" si="189"/>
        <v>0.8773220503485305</v>
      </c>
      <c r="BF122" s="2402"/>
      <c r="BG122" s="2522">
        <f t="shared" si="189"/>
        <v>0.89762434458618445</v>
      </c>
      <c r="BH122" s="26"/>
      <c r="BI122" s="26"/>
    </row>
    <row r="123" spans="2:61" ht="18.75" x14ac:dyDescent="0.25">
      <c r="D123" s="6450"/>
      <c r="E123" s="2428" t="s">
        <v>1679</v>
      </c>
      <c r="F123" s="220"/>
      <c r="G123" s="2403">
        <f>+G120-G121</f>
        <v>1367.6620000000003</v>
      </c>
      <c r="H123" s="2403"/>
      <c r="I123" s="2403">
        <f t="shared" ref="I123:BA123" si="190">+I120-I121</f>
        <v>1695.62</v>
      </c>
      <c r="J123" s="2403"/>
      <c r="K123" s="2403">
        <f t="shared" si="190"/>
        <v>3063.2819999999992</v>
      </c>
      <c r="L123" s="2403"/>
      <c r="M123" s="2403">
        <f t="shared" si="190"/>
        <v>654.97000000000116</v>
      </c>
      <c r="N123" s="2403"/>
      <c r="O123" s="5673">
        <f t="shared" si="190"/>
        <v>3718.2520000000004</v>
      </c>
      <c r="P123" s="2403"/>
      <c r="Q123" s="2403">
        <f t="shared" si="190"/>
        <v>464.00400000000081</v>
      </c>
      <c r="R123" s="2403"/>
      <c r="S123" s="2403">
        <f t="shared" si="190"/>
        <v>4182.2560000000012</v>
      </c>
      <c r="T123" s="2403"/>
      <c r="U123" s="2403">
        <f t="shared" si="190"/>
        <v>139.23000000000002</v>
      </c>
      <c r="V123" s="2403"/>
      <c r="W123" s="2403">
        <f t="shared" ref="W123" si="191">+W120-W121</f>
        <v>4321.4859999999971</v>
      </c>
      <c r="X123" s="2403"/>
      <c r="Y123" s="2403">
        <f t="shared" si="190"/>
        <v>617.53299999999945</v>
      </c>
      <c r="Z123" s="2403"/>
      <c r="AA123" s="5673">
        <f t="shared" ref="AA123" si="192">+AA120-AA121</f>
        <v>1220.7670000000035</v>
      </c>
      <c r="AB123" s="2403"/>
      <c r="AC123" s="5688">
        <f t="shared" ref="AC123" si="193">+AC120-AC121</f>
        <v>4939.0190000000002</v>
      </c>
      <c r="AD123" s="2403"/>
      <c r="AE123" s="2403">
        <f t="shared" si="190"/>
        <v>825.33800000000156</v>
      </c>
      <c r="AF123" s="2403"/>
      <c r="AG123" s="2403">
        <f t="shared" ref="AG123" si="194">+AG120-AG121</f>
        <v>5764.3570000000109</v>
      </c>
      <c r="AH123" s="2403"/>
      <c r="AI123" s="2403">
        <f t="shared" si="190"/>
        <v>691.2</v>
      </c>
      <c r="AJ123" s="2403"/>
      <c r="AK123" s="2403">
        <f t="shared" ref="AK123" si="195">+AK120-AK121</f>
        <v>6455.5570000000153</v>
      </c>
      <c r="AL123" s="2403"/>
      <c r="AM123" s="2403">
        <f t="shared" si="190"/>
        <v>395</v>
      </c>
      <c r="AN123" s="2403"/>
      <c r="AO123" s="5673">
        <f t="shared" ref="AO123" si="196">+AO120-AO121</f>
        <v>1911.5380000000005</v>
      </c>
      <c r="AP123" s="2403"/>
      <c r="AQ123" s="2403">
        <f t="shared" ref="AQ123" si="197">+AQ120-AQ121</f>
        <v>6850.5570000000153</v>
      </c>
      <c r="AR123" s="2403"/>
      <c r="AS123" s="2403">
        <f t="shared" si="190"/>
        <v>646</v>
      </c>
      <c r="AT123" s="2403"/>
      <c r="AU123" s="2403">
        <f t="shared" ref="AU123" si="198">+AU120-AU121</f>
        <v>7496.5570000000153</v>
      </c>
      <c r="AV123" s="2403"/>
      <c r="AW123" s="2403">
        <f t="shared" si="190"/>
        <v>1573.4259999999995</v>
      </c>
      <c r="AX123" s="2403"/>
      <c r="AY123" s="2403">
        <f t="shared" ref="AY123" si="199">+AY120-AY121</f>
        <v>9069.9830000000075</v>
      </c>
      <c r="AZ123" s="2403"/>
      <c r="BA123" s="2403">
        <f t="shared" si="190"/>
        <v>1354.7399999999998</v>
      </c>
      <c r="BB123" s="2403"/>
      <c r="BC123" s="5673">
        <f t="shared" ref="BC123" si="200">+BC120-BC121</f>
        <v>3574.1659999999974</v>
      </c>
      <c r="BD123" s="2403"/>
      <c r="BE123" s="5688">
        <f t="shared" ref="BE123" si="201">+BE120-BE121</f>
        <v>5485.7040000000052</v>
      </c>
      <c r="BF123" s="2403"/>
      <c r="BG123" s="2521">
        <f t="shared" ref="BG123" si="202">+BG120-BG121</f>
        <v>10424.723000000013</v>
      </c>
      <c r="BH123" s="26"/>
      <c r="BI123" s="26"/>
    </row>
    <row r="124" spans="2:61" s="1597" customFormat="1" x14ac:dyDescent="0.25">
      <c r="D124" s="6450"/>
      <c r="E124" s="5667" t="s">
        <v>1989</v>
      </c>
      <c r="F124" s="5663"/>
      <c r="G124" s="185">
        <f>+SUMIF('GRD SUMM RCL CASTER 3'!$A$7:$A$16,$E124,'GRD SUMM RCL CASTER 3'!C$7:C$16)</f>
        <v>368.08800000000002</v>
      </c>
      <c r="H124" s="185"/>
      <c r="I124" s="185">
        <f>+SUMIF('GRD SUMM RCL CASTER 3'!$A$7:$A$16,$E124,'GRD SUMM RCL CASTER 3'!E$7:E$16)</f>
        <v>112.39600000000002</v>
      </c>
      <c r="J124" s="185"/>
      <c r="K124" s="185">
        <f t="shared" ref="K124:K125" si="203">+G124+I124</f>
        <v>480.48400000000004</v>
      </c>
      <c r="L124" s="185"/>
      <c r="M124" s="185">
        <f>+SUMIF('GRD SUMM RCL CASTER 3'!$A$7:$A$16,$E124,'GRD SUMM RCL CASTER 3'!I$7:I$16)</f>
        <v>85.527000000000015</v>
      </c>
      <c r="N124" s="185"/>
      <c r="O124" s="1606">
        <f t="shared" ref="O124:O125" si="204">+G124+I124+M124</f>
        <v>566.01100000000008</v>
      </c>
      <c r="P124" s="185"/>
      <c r="Q124" s="185">
        <f>+SUMIF('GRD SUMM RCL CASTER 3'!$A$7:$A$16,$E124,'GRD SUMM RCL CASTER 3'!M$7:M$16)</f>
        <v>33.105000000000004</v>
      </c>
      <c r="R124" s="185"/>
      <c r="S124" s="5664">
        <f t="shared" ref="S124:S125" si="205">O124+Q124</f>
        <v>599.1160000000001</v>
      </c>
      <c r="T124" s="185"/>
      <c r="U124" s="185">
        <f>+SUMIF('GRD SUMM RCL CASTER 3'!$A$7:$A$16,$E124,'GRD SUMM RCL CASTER 3'!Q$7:Q$16)</f>
        <v>23.868000000000002</v>
      </c>
      <c r="V124" s="185"/>
      <c r="W124" s="5664">
        <f t="shared" ref="W124:W125" si="206">S124+U124</f>
        <v>622.98400000000015</v>
      </c>
      <c r="X124" s="185"/>
      <c r="Y124" s="185">
        <f>+SUMIF('GRD SUMM RCL CASTER 3'!$A$7:$A$16,$E124,'GRD SUMM RCL CASTER 3'!U$7:U$16)</f>
        <v>65.637</v>
      </c>
      <c r="Z124" s="185"/>
      <c r="AA124" s="5666">
        <f t="shared" ref="AA124:AA125" si="207">Q124+U124+Y124</f>
        <v>122.61000000000001</v>
      </c>
      <c r="AB124" s="185"/>
      <c r="AC124" s="5690">
        <f t="shared" ref="AC124:AC125" si="208">O124+AA124</f>
        <v>688.62100000000009</v>
      </c>
      <c r="AD124" s="185"/>
      <c r="AE124" s="185">
        <f>+SUMIF('GRD SUMM RCL CASTER 3'!$A$7:$A$16,$E124,'GRD SUMM RCL CASTER 3'!AA$7:AA$16)</f>
        <v>57.018000000000008</v>
      </c>
      <c r="AF124" s="185"/>
      <c r="AG124" s="5664">
        <f t="shared" ref="AG124:AG125" si="209">+AC124+AE124</f>
        <v>745.63900000000012</v>
      </c>
      <c r="AH124" s="185"/>
      <c r="AI124" s="185">
        <f>+SUMIF('GRD SUMM RCL CASTER 3'!$A$7:$A$16,$E124,'GRD SUMM RCL CASTER 3'!AE$7:AE$16)</f>
        <v>0</v>
      </c>
      <c r="AJ124" s="185"/>
      <c r="AK124" s="5664">
        <f t="shared" ref="AK124:AK125" si="210">AG124+AI124</f>
        <v>745.63900000000012</v>
      </c>
      <c r="AL124" s="185"/>
      <c r="AM124" s="185">
        <f>+SUMIF('GRD SUMM RCL CASTER 3'!$A$7:$A$16,$E124,'GRD SUMM RCL CASTER 3'!AI$7:AI$16)</f>
        <v>63</v>
      </c>
      <c r="AN124" s="185"/>
      <c r="AO124" s="5666">
        <f t="shared" ref="AO124:AO125" si="211">AM124+AI124+AE124</f>
        <v>120.018</v>
      </c>
      <c r="AP124" s="185"/>
      <c r="AQ124" s="5664">
        <f t="shared" ref="AQ124:AQ125" si="212">AK124+AM124</f>
        <v>808.63900000000012</v>
      </c>
      <c r="AR124" s="185"/>
      <c r="AS124" s="185">
        <f>+SUMIF('GRD SUMM RCL CASTER 3'!$A$7:$A$16,$E124,'GRD SUMM RCL CASTER 3'!AO$7:AO$16)</f>
        <v>53</v>
      </c>
      <c r="AT124" s="185"/>
      <c r="AU124" s="5664">
        <f t="shared" ref="AU124:AU125" si="213">AQ124+AS124</f>
        <v>861.63900000000012</v>
      </c>
      <c r="AV124" s="185"/>
      <c r="AW124" s="185">
        <f>+SUMIF('GRD SUMM RCL CASTER 3'!$A$7:$A$16,$E124,'GRD SUMM RCL CASTER 3'!AS$7:AS$16)</f>
        <v>39.252000000000002</v>
      </c>
      <c r="AX124" s="185"/>
      <c r="AY124" s="5664">
        <f t="shared" ref="AY124:AY125" si="214">AU124+AW124</f>
        <v>900.89100000000008</v>
      </c>
      <c r="AZ124" s="185"/>
      <c r="BA124" s="185">
        <f>+SUMIF('GRD SUMM RCL CASTER 3'!$A$7:$A$16,$E124,'GRD SUMM RCL CASTER 3'!AW$7:AW$16)</f>
        <v>48</v>
      </c>
      <c r="BB124" s="185"/>
      <c r="BC124" s="5666">
        <f t="shared" ref="BC124:BC125" si="215">+AS124+AW124+BA124</f>
        <v>140.25200000000001</v>
      </c>
      <c r="BD124" s="185"/>
      <c r="BE124" s="5690">
        <f t="shared" ref="BE124:BE125" si="216">AO124+BC124</f>
        <v>260.27</v>
      </c>
      <c r="BF124" s="185"/>
      <c r="BG124" s="5665">
        <f t="shared" ref="BG124:BG125" si="217">AY124+BA124</f>
        <v>948.89100000000008</v>
      </c>
      <c r="BH124" s="26"/>
      <c r="BI124" s="26"/>
    </row>
    <row r="125" spans="2:61" s="1597" customFormat="1" x14ac:dyDescent="0.25">
      <c r="D125" s="6450"/>
      <c r="E125" s="5667" t="s">
        <v>1276</v>
      </c>
      <c r="F125" s="5663"/>
      <c r="G125" s="185">
        <f>+SUMIF('GRD SUMM RCL CASTER 3'!$A$7:$A$16,$E125,'GRD SUMM RCL CASTER 3'!C$7:C$16)</f>
        <v>622.94400000000007</v>
      </c>
      <c r="H125" s="185"/>
      <c r="I125" s="185">
        <f>+SUMIF('GRD SUMM RCL CASTER 3'!$A$7:$A$16,$E125,'GRD SUMM RCL CASTER 3'!E$7:E$16)</f>
        <v>103.60400000000001</v>
      </c>
      <c r="J125" s="185"/>
      <c r="K125" s="185">
        <f t="shared" si="203"/>
        <v>726.54800000000012</v>
      </c>
      <c r="L125" s="185"/>
      <c r="M125" s="185">
        <f>+SUMIF('GRD SUMM RCL CASTER 3'!$A$7:$A$16,$E125,'GRD SUMM RCL CASTER 3'!I$7:I$16)</f>
        <v>482.44300000000004</v>
      </c>
      <c r="N125" s="185"/>
      <c r="O125" s="1606">
        <f t="shared" si="204"/>
        <v>1208.9910000000002</v>
      </c>
      <c r="P125" s="185"/>
      <c r="Q125" s="185">
        <f>+SUMIF('GRD SUMM RCL CASTER 3'!$A$7:$A$16,$E125,'GRD SUMM RCL CASTER 3'!M$7:M$16)</f>
        <v>379.89900000000006</v>
      </c>
      <c r="R125" s="185"/>
      <c r="S125" s="5664">
        <f t="shared" si="205"/>
        <v>1588.8900000000003</v>
      </c>
      <c r="T125" s="185"/>
      <c r="U125" s="185">
        <f>+SUMIF('GRD SUMM RCL CASTER 3'!$A$7:$A$16,$E125,'GRD SUMM RCL CASTER 3'!Q$7:Q$16)</f>
        <v>115.36199999999999</v>
      </c>
      <c r="V125" s="185"/>
      <c r="W125" s="5664">
        <f t="shared" si="206"/>
        <v>1704.2520000000004</v>
      </c>
      <c r="X125" s="185"/>
      <c r="Y125" s="185">
        <f>+SUMIF('GRD SUMM RCL CASTER 3'!$A$7:$A$16,$E125,'GRD SUMM RCL CASTER 3'!U$7:U$16)</f>
        <v>200.13600000000005</v>
      </c>
      <c r="Z125" s="185"/>
      <c r="AA125" s="5666">
        <f t="shared" si="207"/>
        <v>695.39700000000016</v>
      </c>
      <c r="AB125" s="185"/>
      <c r="AC125" s="5690">
        <f t="shared" si="208"/>
        <v>1904.3880000000004</v>
      </c>
      <c r="AD125" s="185"/>
      <c r="AE125" s="185">
        <f>+SUMIF('GRD SUMM RCL CASTER 3'!$A$7:$A$16,$E125,'GRD SUMM RCL CASTER 3'!AA$7:AA$16)</f>
        <v>271.83000000000004</v>
      </c>
      <c r="AF125" s="185"/>
      <c r="AG125" s="5664">
        <f t="shared" si="209"/>
        <v>2176.2180000000003</v>
      </c>
      <c r="AH125" s="185"/>
      <c r="AI125" s="185">
        <f>+SUMIF('GRD SUMM RCL CASTER 3'!$A$7:$A$16,$E125,'GRD SUMM RCL CASTER 3'!AE$7:AE$16)</f>
        <v>0</v>
      </c>
      <c r="AJ125" s="185"/>
      <c r="AK125" s="5664">
        <f t="shared" si="210"/>
        <v>2176.2180000000003</v>
      </c>
      <c r="AL125" s="185"/>
      <c r="AM125" s="185">
        <f>+SUMIF('GRD SUMM RCL CASTER 3'!$A$7:$A$16,$E125,'GRD SUMM RCL CASTER 3'!AI$7:AI$16)</f>
        <v>304</v>
      </c>
      <c r="AN125" s="185"/>
      <c r="AO125" s="5666">
        <f t="shared" si="211"/>
        <v>575.83000000000004</v>
      </c>
      <c r="AP125" s="185"/>
      <c r="AQ125" s="5664">
        <f t="shared" si="212"/>
        <v>2480.2180000000003</v>
      </c>
      <c r="AR125" s="185"/>
      <c r="AS125" s="185">
        <f>+SUMIF('GRD SUMM RCL CASTER 3'!$A$7:$A$16,$E125,'GRD SUMM RCL CASTER 3'!AO$7:AO$16)</f>
        <v>571</v>
      </c>
      <c r="AT125" s="185"/>
      <c r="AU125" s="5664">
        <f t="shared" si="213"/>
        <v>3051.2180000000003</v>
      </c>
      <c r="AV125" s="185"/>
      <c r="AW125" s="185">
        <f>+SUMIF('GRD SUMM RCL CASTER 3'!$A$7:$A$16,$E125,'GRD SUMM RCL CASTER 3'!AS$7:AS$16)</f>
        <v>255.214</v>
      </c>
      <c r="AX125" s="185"/>
      <c r="AY125" s="5664">
        <f t="shared" si="214"/>
        <v>3306.4320000000002</v>
      </c>
      <c r="AZ125" s="185"/>
      <c r="BA125" s="185">
        <f>+SUMIF('GRD SUMM RCL CASTER 3'!$A$7:$A$16,$E125,'GRD SUMM RCL CASTER 3'!AW$7:AW$16)</f>
        <v>32</v>
      </c>
      <c r="BB125" s="185"/>
      <c r="BC125" s="5666">
        <f t="shared" si="215"/>
        <v>858.21399999999994</v>
      </c>
      <c r="BD125" s="185"/>
      <c r="BE125" s="5690">
        <f t="shared" si="216"/>
        <v>1434.0439999999999</v>
      </c>
      <c r="BF125" s="185"/>
      <c r="BG125" s="5665">
        <f t="shared" si="217"/>
        <v>3338.4320000000002</v>
      </c>
      <c r="BH125" s="26"/>
      <c r="BI125" s="26"/>
    </row>
    <row r="126" spans="2:61" x14ac:dyDescent="0.25">
      <c r="D126" s="6450"/>
      <c r="E126" s="2429" t="s">
        <v>1687</v>
      </c>
      <c r="F126" s="220"/>
      <c r="G126" s="1603">
        <f>+'Direct sales IPT details'!E14</f>
        <v>296.63</v>
      </c>
      <c r="H126" s="1603"/>
      <c r="I126" s="1603">
        <f>+'Direct sales IPT details'!G14</f>
        <v>1454.62</v>
      </c>
      <c r="J126" s="1603"/>
      <c r="K126" s="1603">
        <f>+'Direct sales IPT details'!I14</f>
        <v>1751.25</v>
      </c>
      <c r="L126" s="1603"/>
      <c r="M126" s="1603">
        <f>+'Direct sales IPT details'!K14</f>
        <v>0</v>
      </c>
      <c r="N126" s="1603"/>
      <c r="O126" s="1606">
        <f>+'Direct sales IPT details'!M14</f>
        <v>1751.25</v>
      </c>
      <c r="P126" s="1603"/>
      <c r="Q126" s="1603">
        <f>+'Direct sales IPT details'!O14</f>
        <v>0</v>
      </c>
      <c r="R126" s="1603"/>
      <c r="S126" s="1603">
        <f>+'Direct sales IPT details'!Q14</f>
        <v>1751.25</v>
      </c>
      <c r="T126" s="1603"/>
      <c r="U126" s="1603">
        <f>+'Direct sales IPT details'!S14</f>
        <v>0</v>
      </c>
      <c r="V126" s="1603"/>
      <c r="W126" s="1603">
        <f>+'Direct sales IPT details'!U14</f>
        <v>296.63</v>
      </c>
      <c r="X126" s="1603"/>
      <c r="Y126" s="1603">
        <f>+'Direct sales IPT details'!W14</f>
        <v>329.76000000000005</v>
      </c>
      <c r="Z126" s="1603"/>
      <c r="AA126" s="1606">
        <f>+'Direct sales IPT details'!Y14</f>
        <v>329.76000000000005</v>
      </c>
      <c r="AB126" s="1603"/>
      <c r="AC126" s="1522">
        <f>+'Direct sales IPT details'!AA14</f>
        <v>2081.0100000000002</v>
      </c>
      <c r="AD126" s="1603"/>
      <c r="AE126" s="1603">
        <f>+'Direct sales IPT details'!AC14</f>
        <v>468.49</v>
      </c>
      <c r="AF126" s="1603"/>
      <c r="AG126" s="1603">
        <f>+'Direct sales IPT details'!AE14</f>
        <v>1094.8800000000001</v>
      </c>
      <c r="AH126" s="1603"/>
      <c r="AI126" s="1603">
        <f>+'Direct sales IPT details'!AG14</f>
        <v>691.2</v>
      </c>
      <c r="AJ126" s="1603"/>
      <c r="AK126" s="1603">
        <f>+'Direct sales IPT details'!AI14</f>
        <v>3240.7</v>
      </c>
      <c r="AL126" s="1603"/>
      <c r="AM126" s="1603">
        <f>+'Direct sales IPT details'!AK14</f>
        <v>0</v>
      </c>
      <c r="AN126" s="1603"/>
      <c r="AO126" s="1606">
        <f>+'Direct sales IPT details'!AM14</f>
        <v>1159.69</v>
      </c>
      <c r="AP126" s="1603"/>
      <c r="AQ126" s="1603">
        <f>+'Direct sales IPT details'!AO14</f>
        <v>3240.7</v>
      </c>
      <c r="AR126" s="1603"/>
      <c r="AS126" s="1603">
        <f>+'Direct sales IPT details'!AQ14</f>
        <v>0</v>
      </c>
      <c r="AT126" s="1603"/>
      <c r="AU126" s="1603">
        <f>+'Direct sales IPT details'!AS14</f>
        <v>3240.7</v>
      </c>
      <c r="AV126" s="1603"/>
      <c r="AW126" s="1603">
        <f>+'Direct sales IPT details'!AU14</f>
        <v>1253.96</v>
      </c>
      <c r="AX126" s="1603"/>
      <c r="AY126" s="1603">
        <f>+'Direct sales IPT details'!AW14</f>
        <v>4494.66</v>
      </c>
      <c r="AZ126" s="1603"/>
      <c r="BA126" s="1603">
        <f>+'Direct sales IPT details'!AY14</f>
        <v>1274.74</v>
      </c>
      <c r="BB126" s="1603"/>
      <c r="BC126" s="1606">
        <f>+'Direct sales IPT details'!BA14</f>
        <v>2528.6999999999998</v>
      </c>
      <c r="BD126" s="1603"/>
      <c r="BE126" s="1522">
        <f>+'Direct sales IPT details'!BC14</f>
        <v>3688.39</v>
      </c>
      <c r="BF126" s="1603"/>
      <c r="BG126" s="1604">
        <f>+'Direct sales IPT details'!BE14</f>
        <v>5769.4</v>
      </c>
      <c r="BH126" s="26"/>
      <c r="BI126" s="26"/>
    </row>
    <row r="127" spans="2:61" x14ac:dyDescent="0.25">
      <c r="D127" s="6450"/>
      <c r="E127" s="2429" t="s">
        <v>1686</v>
      </c>
      <c r="F127" s="220"/>
      <c r="G127" s="425">
        <f>+SMS!F42</f>
        <v>80</v>
      </c>
      <c r="H127" s="425"/>
      <c r="I127" s="425">
        <f>+SMS!H42</f>
        <v>25</v>
      </c>
      <c r="J127" s="425"/>
      <c r="K127" s="425">
        <f>+SMS!J42</f>
        <v>105</v>
      </c>
      <c r="L127" s="425"/>
      <c r="M127" s="425">
        <f>+SMS!L42</f>
        <v>87</v>
      </c>
      <c r="N127" s="425"/>
      <c r="O127" s="5681">
        <f>+SMS!N42</f>
        <v>192</v>
      </c>
      <c r="P127" s="425"/>
      <c r="Q127" s="425">
        <f>+SMS!P42</f>
        <v>51</v>
      </c>
      <c r="R127" s="425"/>
      <c r="S127" s="425">
        <f>+SMS!R42</f>
        <v>243</v>
      </c>
      <c r="T127" s="425"/>
      <c r="U127" s="425">
        <f>+SMS!T42</f>
        <v>0</v>
      </c>
      <c r="V127" s="425"/>
      <c r="W127" s="425">
        <f>+SMS!V42</f>
        <v>243</v>
      </c>
      <c r="X127" s="425"/>
      <c r="Y127" s="425">
        <f>+SMS!X42</f>
        <v>22</v>
      </c>
      <c r="Z127" s="425"/>
      <c r="AA127" s="5681">
        <f>+SMS!Z42</f>
        <v>73</v>
      </c>
      <c r="AB127" s="425"/>
      <c r="AC127" s="5697">
        <f>+SMS!AB42</f>
        <v>265</v>
      </c>
      <c r="AD127" s="425"/>
      <c r="AE127" s="425">
        <f>+SMS!AD42</f>
        <v>28</v>
      </c>
      <c r="AF127" s="425"/>
      <c r="AG127" s="425">
        <f>+SMS!AF42</f>
        <v>293</v>
      </c>
      <c r="AH127" s="425"/>
      <c r="AI127" s="425">
        <f>+SMS!AH42</f>
        <v>0</v>
      </c>
      <c r="AJ127" s="425"/>
      <c r="AK127" s="425">
        <f>+SMS!AJ42</f>
        <v>293</v>
      </c>
      <c r="AL127" s="425"/>
      <c r="AM127" s="425">
        <f>+SMS!AL42</f>
        <v>28</v>
      </c>
      <c r="AN127" s="425"/>
      <c r="AO127" s="5681">
        <f>+SMS!AN42</f>
        <v>56</v>
      </c>
      <c r="AP127" s="425"/>
      <c r="AQ127" s="425">
        <f>+SMS!AP42</f>
        <v>321</v>
      </c>
      <c r="AR127" s="425"/>
      <c r="AS127" s="425">
        <f>+SMS!AR42</f>
        <v>22</v>
      </c>
      <c r="AT127" s="425"/>
      <c r="AU127" s="425">
        <f>+SMS!AT42</f>
        <v>343</v>
      </c>
      <c r="AV127" s="425"/>
      <c r="AW127" s="425">
        <f>+SMS!AV42</f>
        <v>25</v>
      </c>
      <c r="AX127" s="425"/>
      <c r="AY127" s="425">
        <f>+SMS!AX42</f>
        <v>368</v>
      </c>
      <c r="AZ127" s="425"/>
      <c r="BA127" s="425">
        <f>+SMS!AZ42</f>
        <v>0</v>
      </c>
      <c r="BB127" s="425"/>
      <c r="BC127" s="5681">
        <f>+SMS!BB42</f>
        <v>47</v>
      </c>
      <c r="BD127" s="425"/>
      <c r="BE127" s="5697">
        <f>+SMS!BD42</f>
        <v>103</v>
      </c>
      <c r="BF127" s="425"/>
      <c r="BG127" s="2432">
        <f>+SMS!BF42</f>
        <v>368</v>
      </c>
      <c r="BH127" s="26"/>
      <c r="BI127" s="26"/>
    </row>
    <row r="128" spans="2:61" ht="15.75" thickBot="1" x14ac:dyDescent="0.3">
      <c r="D128" s="6451"/>
      <c r="E128" s="5700" t="s">
        <v>23</v>
      </c>
      <c r="F128" s="1647"/>
      <c r="G128" s="1649">
        <f t="shared" ref="G128" si="218">SUM(G124:G127)</f>
        <v>1367.6620000000003</v>
      </c>
      <c r="H128" s="1649"/>
      <c r="I128" s="1649">
        <f t="shared" ref="I128:BA128" si="219">SUM(I124:I127)</f>
        <v>1695.62</v>
      </c>
      <c r="J128" s="1649"/>
      <c r="K128" s="1649">
        <f t="shared" si="219"/>
        <v>3063.2820000000002</v>
      </c>
      <c r="L128" s="1649"/>
      <c r="M128" s="1649">
        <f t="shared" si="219"/>
        <v>654.97</v>
      </c>
      <c r="N128" s="1649"/>
      <c r="O128" s="5675">
        <f t="shared" si="219"/>
        <v>3718.2520000000004</v>
      </c>
      <c r="P128" s="1649"/>
      <c r="Q128" s="1649">
        <f t="shared" si="219"/>
        <v>464.00400000000008</v>
      </c>
      <c r="R128" s="1649"/>
      <c r="S128" s="1649">
        <f t="shared" si="219"/>
        <v>4182.2560000000003</v>
      </c>
      <c r="T128" s="1649"/>
      <c r="U128" s="1649">
        <f t="shared" si="219"/>
        <v>139.22999999999999</v>
      </c>
      <c r="V128" s="1649"/>
      <c r="W128" s="1649">
        <f t="shared" ref="W128" si="220">SUM(W124:W127)</f>
        <v>2866.8660000000009</v>
      </c>
      <c r="X128" s="1649"/>
      <c r="Y128" s="1649">
        <f t="shared" si="219"/>
        <v>617.53300000000013</v>
      </c>
      <c r="Z128" s="1649"/>
      <c r="AA128" s="5675">
        <f t="shared" ref="AA128" si="221">SUM(AA124:AA127)</f>
        <v>1220.7670000000003</v>
      </c>
      <c r="AB128" s="1649"/>
      <c r="AC128" s="5632">
        <f t="shared" ref="AC128" si="222">SUM(AC124:AC127)</f>
        <v>4939.0190000000002</v>
      </c>
      <c r="AD128" s="1649"/>
      <c r="AE128" s="1649">
        <f t="shared" si="219"/>
        <v>825.33800000000008</v>
      </c>
      <c r="AF128" s="1649"/>
      <c r="AG128" s="1649">
        <f t="shared" ref="AG128" si="223">SUM(AG124:AG127)</f>
        <v>4309.737000000001</v>
      </c>
      <c r="AH128" s="1649"/>
      <c r="AI128" s="1649">
        <f t="shared" si="219"/>
        <v>691.2</v>
      </c>
      <c r="AJ128" s="1649"/>
      <c r="AK128" s="1649">
        <f t="shared" ref="AK128" si="224">SUM(AK124:AK127)</f>
        <v>6455.5570000000007</v>
      </c>
      <c r="AL128" s="1649"/>
      <c r="AM128" s="1649">
        <f t="shared" si="219"/>
        <v>395</v>
      </c>
      <c r="AN128" s="1649"/>
      <c r="AO128" s="5675">
        <f t="shared" ref="AO128" si="225">SUM(AO124:AO127)</f>
        <v>1911.538</v>
      </c>
      <c r="AP128" s="1649"/>
      <c r="AQ128" s="1649">
        <f t="shared" ref="AQ128" si="226">SUM(AQ124:AQ127)</f>
        <v>6850.5570000000007</v>
      </c>
      <c r="AR128" s="1649"/>
      <c r="AS128" s="1649">
        <f t="shared" si="219"/>
        <v>646</v>
      </c>
      <c r="AT128" s="1649"/>
      <c r="AU128" s="1649">
        <f t="shared" ref="AU128" si="227">SUM(AU124:AU127)</f>
        <v>7496.5570000000007</v>
      </c>
      <c r="AV128" s="1649"/>
      <c r="AW128" s="1649">
        <f t="shared" si="219"/>
        <v>1573.4259999999999</v>
      </c>
      <c r="AX128" s="1649"/>
      <c r="AY128" s="1649">
        <f t="shared" ref="AY128" si="228">SUM(AY124:AY127)</f>
        <v>9069.9830000000002</v>
      </c>
      <c r="AZ128" s="1649"/>
      <c r="BA128" s="1649">
        <f t="shared" si="219"/>
        <v>1354.74</v>
      </c>
      <c r="BB128" s="1649"/>
      <c r="BC128" s="5675">
        <f t="shared" ref="BC128" si="229">SUM(BC124:BC127)</f>
        <v>3574.1659999999997</v>
      </c>
      <c r="BD128" s="1649"/>
      <c r="BE128" s="5632">
        <f t="shared" ref="BE128" si="230">SUM(BE124:BE127)</f>
        <v>5485.7039999999997</v>
      </c>
      <c r="BF128" s="1649"/>
      <c r="BG128" s="2523">
        <f t="shared" ref="BG128" si="231">SUM(BG124:BG127)</f>
        <v>10424.723</v>
      </c>
      <c r="BH128" s="26"/>
      <c r="BI128" s="26"/>
    </row>
    <row r="129" spans="5:61" ht="15.75" thickBot="1" x14ac:dyDescent="0.3">
      <c r="E129" s="5701" t="s">
        <v>1674</v>
      </c>
      <c r="F129" s="2455"/>
      <c r="G129" s="1649">
        <f>+G123-G128</f>
        <v>0</v>
      </c>
      <c r="H129" s="1649"/>
      <c r="I129" s="1649">
        <f t="shared" ref="I129:BG129" si="232">+I123-I128</f>
        <v>0</v>
      </c>
      <c r="J129" s="1649"/>
      <c r="K129" s="1649">
        <f t="shared" si="232"/>
        <v>0</v>
      </c>
      <c r="L129" s="1649"/>
      <c r="M129" s="1649">
        <f t="shared" si="232"/>
        <v>1.1368683772161603E-12</v>
      </c>
      <c r="N129" s="1649"/>
      <c r="O129" s="5675">
        <f t="shared" si="232"/>
        <v>0</v>
      </c>
      <c r="P129" s="1649"/>
      <c r="Q129" s="1649">
        <f t="shared" si="232"/>
        <v>7.3896444519050419E-13</v>
      </c>
      <c r="R129" s="1649"/>
      <c r="S129" s="1649">
        <f t="shared" si="232"/>
        <v>0</v>
      </c>
      <c r="T129" s="1649"/>
      <c r="U129" s="1649">
        <f t="shared" si="232"/>
        <v>0</v>
      </c>
      <c r="V129" s="1649"/>
      <c r="W129" s="1649">
        <f t="shared" si="232"/>
        <v>1454.6199999999963</v>
      </c>
      <c r="X129" s="1649"/>
      <c r="Y129" s="1649">
        <f t="shared" si="232"/>
        <v>0</v>
      </c>
      <c r="Z129" s="1649"/>
      <c r="AA129" s="5675">
        <f t="shared" si="232"/>
        <v>3.1832314562052488E-12</v>
      </c>
      <c r="AB129" s="1649"/>
      <c r="AC129" s="5632">
        <f t="shared" si="232"/>
        <v>0</v>
      </c>
      <c r="AD129" s="1649"/>
      <c r="AE129" s="1649">
        <f t="shared" si="232"/>
        <v>1.4779288903810084E-12</v>
      </c>
      <c r="AF129" s="1649"/>
      <c r="AG129" s="1649">
        <f t="shared" si="232"/>
        <v>1454.6200000000099</v>
      </c>
      <c r="AH129" s="1649"/>
      <c r="AI129" s="1649">
        <f t="shared" si="232"/>
        <v>0</v>
      </c>
      <c r="AJ129" s="1649"/>
      <c r="AK129" s="1649">
        <f t="shared" si="232"/>
        <v>1.4551915228366852E-11</v>
      </c>
      <c r="AL129" s="1649"/>
      <c r="AM129" s="1649">
        <f t="shared" si="232"/>
        <v>0</v>
      </c>
      <c r="AN129" s="1649"/>
      <c r="AO129" s="5675">
        <f t="shared" si="232"/>
        <v>0</v>
      </c>
      <c r="AP129" s="1649"/>
      <c r="AQ129" s="1649">
        <f t="shared" si="232"/>
        <v>1.4551915228366852E-11</v>
      </c>
      <c r="AR129" s="1649"/>
      <c r="AS129" s="1649">
        <f t="shared" si="232"/>
        <v>0</v>
      </c>
      <c r="AT129" s="1649"/>
      <c r="AU129" s="1649">
        <f t="shared" si="232"/>
        <v>1.4551915228366852E-11</v>
      </c>
      <c r="AV129" s="1649"/>
      <c r="AW129" s="1649">
        <f t="shared" si="232"/>
        <v>0</v>
      </c>
      <c r="AX129" s="1649"/>
      <c r="AY129" s="1649">
        <f t="shared" si="232"/>
        <v>0</v>
      </c>
      <c r="AZ129" s="1649"/>
      <c r="BA129" s="1649">
        <f t="shared" si="232"/>
        <v>0</v>
      </c>
      <c r="BB129" s="1649"/>
      <c r="BC129" s="5675">
        <f t="shared" si="232"/>
        <v>0</v>
      </c>
      <c r="BD129" s="1649"/>
      <c r="BE129" s="5632">
        <f t="shared" si="232"/>
        <v>0</v>
      </c>
      <c r="BF129" s="1649"/>
      <c r="BG129" s="2523">
        <f t="shared" si="232"/>
        <v>0</v>
      </c>
      <c r="BH129" s="26"/>
      <c r="BI129" s="26"/>
    </row>
    <row r="130" spans="5:61" s="5259" customFormat="1" x14ac:dyDescent="0.25"/>
    <row r="131" spans="5:61" s="5259" customFormat="1" x14ac:dyDescent="0.25"/>
    <row r="132" spans="5:61" s="5259" customFormat="1" x14ac:dyDescent="0.25"/>
    <row r="133" spans="5:61" s="5259" customFormat="1" x14ac:dyDescent="0.25"/>
    <row r="134" spans="5:61" s="5259" customFormat="1" x14ac:dyDescent="0.25"/>
    <row r="135" spans="5:61" s="5259" customFormat="1" x14ac:dyDescent="0.25"/>
    <row r="136" spans="5:61" s="5259" customFormat="1" x14ac:dyDescent="0.25">
      <c r="G136" s="5259">
        <f>+'GRD SUMM RCL 150X150 '!AU66</f>
        <v>13151.984999999999</v>
      </c>
    </row>
    <row r="137" spans="5:61" s="5259" customFormat="1" x14ac:dyDescent="0.25"/>
    <row r="138" spans="5:61" s="5259" customFormat="1" x14ac:dyDescent="0.25">
      <c r="G138" s="5259">
        <f>+G133-G136</f>
        <v>-13151.984999999999</v>
      </c>
    </row>
    <row r="139" spans="5:61" s="5259" customFormat="1" x14ac:dyDescent="0.25"/>
    <row r="140" spans="5:61" s="5259" customFormat="1" x14ac:dyDescent="0.25"/>
    <row r="141" spans="5:61" s="5259" customFormat="1" x14ac:dyDescent="0.25"/>
    <row r="142" spans="5:61" s="5259" customFormat="1" x14ac:dyDescent="0.25"/>
    <row r="143" spans="5:61" s="5259" customFormat="1" x14ac:dyDescent="0.25"/>
    <row r="144" spans="5:61" s="5259" customFormat="1" x14ac:dyDescent="0.25"/>
    <row r="145" s="5259" customFormat="1" x14ac:dyDescent="0.25"/>
    <row r="146" s="5259" customFormat="1" x14ac:dyDescent="0.25"/>
    <row r="147" s="5259" customFormat="1" x14ac:dyDescent="0.25"/>
    <row r="148" s="5259" customFormat="1" x14ac:dyDescent="0.25"/>
    <row r="149" s="5259" customFormat="1" x14ac:dyDescent="0.25"/>
    <row r="150" s="5259" customFormat="1" x14ac:dyDescent="0.25"/>
    <row r="151" s="5259" customFormat="1" x14ac:dyDescent="0.25"/>
    <row r="152" s="5259" customFormat="1" x14ac:dyDescent="0.25"/>
    <row r="153" s="5259" customFormat="1" x14ac:dyDescent="0.25"/>
    <row r="154" s="5259" customFormat="1" x14ac:dyDescent="0.25"/>
    <row r="155" s="5259" customFormat="1" x14ac:dyDescent="0.25"/>
    <row r="156" s="5259" customFormat="1" x14ac:dyDescent="0.25"/>
    <row r="157" s="5259" customFormat="1" x14ac:dyDescent="0.25"/>
    <row r="158" s="5259" customFormat="1" x14ac:dyDescent="0.25"/>
    <row r="159" s="5259" customFormat="1" x14ac:dyDescent="0.25"/>
    <row r="160" s="5259" customFormat="1" x14ac:dyDescent="0.25"/>
    <row r="161" spans="5:23" s="5259" customFormat="1" x14ac:dyDescent="0.25"/>
    <row r="162" spans="5:23" s="5259" customFormat="1" x14ac:dyDescent="0.25"/>
    <row r="163" spans="5:23" s="5259" customFormat="1" x14ac:dyDescent="0.25"/>
    <row r="164" spans="5:23" s="5259" customFormat="1" x14ac:dyDescent="0.25"/>
    <row r="165" spans="5:23" s="5259" customFormat="1" x14ac:dyDescent="0.25"/>
    <row r="166" spans="5:23" s="5259" customFormat="1" x14ac:dyDescent="0.25"/>
    <row r="167" spans="5:23" s="5259" customFormat="1" x14ac:dyDescent="0.25"/>
    <row r="168" spans="5:23" s="5259" customFormat="1" x14ac:dyDescent="0.25"/>
    <row r="169" spans="5:23" x14ac:dyDescent="0.25">
      <c r="E169" s="2455"/>
      <c r="F169" s="2455"/>
      <c r="G169" s="2455"/>
      <c r="H169" s="2455"/>
      <c r="I169" s="2455"/>
      <c r="J169" s="2455"/>
      <c r="K169" s="2455"/>
      <c r="L169" s="2455"/>
      <c r="M169" s="2455"/>
      <c r="N169" s="2455"/>
      <c r="P169" s="2455"/>
      <c r="Q169" s="2455"/>
      <c r="R169" s="2455"/>
      <c r="S169" s="2455"/>
      <c r="W169" s="2570"/>
    </row>
    <row r="170" spans="5:23" x14ac:dyDescent="0.25">
      <c r="E170" s="2455"/>
      <c r="F170" s="2455"/>
      <c r="G170" s="2455"/>
      <c r="H170" s="2455"/>
      <c r="I170" s="2455"/>
      <c r="J170" s="2455"/>
      <c r="K170" s="2455"/>
      <c r="L170" s="2455"/>
      <c r="M170" s="2455"/>
      <c r="N170" s="2455"/>
      <c r="P170" s="2455"/>
      <c r="Q170" s="2455"/>
      <c r="R170" s="2455"/>
      <c r="S170" s="2455"/>
      <c r="W170" s="2570"/>
    </row>
  </sheetData>
  <mergeCells count="39">
    <mergeCell ref="AZ3:BA3"/>
    <mergeCell ref="BF3:BG3"/>
    <mergeCell ref="BB3:BC3"/>
    <mergeCell ref="AR3:AS3"/>
    <mergeCell ref="AT3:AU3"/>
    <mergeCell ref="AV3:AW3"/>
    <mergeCell ref="AX3:AY3"/>
    <mergeCell ref="AL3:AM3"/>
    <mergeCell ref="AN3:AO3"/>
    <mergeCell ref="AP3:AQ3"/>
    <mergeCell ref="T3:U3"/>
    <mergeCell ref="AH3:AI3"/>
    <mergeCell ref="AJ3:AK3"/>
    <mergeCell ref="AD3:AE3"/>
    <mergeCell ref="AF3:AG3"/>
    <mergeCell ref="Z3:AA3"/>
    <mergeCell ref="V3:W3"/>
    <mergeCell ref="D120:D128"/>
    <mergeCell ref="E4:E80"/>
    <mergeCell ref="J3:K3"/>
    <mergeCell ref="L3:M3"/>
    <mergeCell ref="P3:Q3"/>
    <mergeCell ref="D93:D100"/>
    <mergeCell ref="D102:D104"/>
    <mergeCell ref="D106:D108"/>
    <mergeCell ref="D110:D118"/>
    <mergeCell ref="R3:S3"/>
    <mergeCell ref="C1:O1"/>
    <mergeCell ref="C83:D83"/>
    <mergeCell ref="N3:O3"/>
    <mergeCell ref="C81:D81"/>
    <mergeCell ref="C32:D32"/>
    <mergeCell ref="C40:D40"/>
    <mergeCell ref="C47:D47"/>
    <mergeCell ref="C67:D67"/>
    <mergeCell ref="C79:D79"/>
    <mergeCell ref="C80:D80"/>
    <mergeCell ref="F3:G3"/>
    <mergeCell ref="H3:I3"/>
  </mergeCells>
  <printOptions horizontalCentered="1" verticalCentered="1"/>
  <pageMargins left="0" right="0" top="0" bottom="0" header="0" footer="0"/>
  <pageSetup scale="55" orientation="landscape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>
    <tabColor rgb="FF996633"/>
    <pageSetUpPr fitToPage="1"/>
  </sheetPr>
  <dimension ref="A1:BN109"/>
  <sheetViews>
    <sheetView topLeftCell="A64" zoomScaleNormal="100" zoomScaleSheetLayoutView="98" workbookViewId="0">
      <pane xSplit="8" topLeftCell="AZ1" activePane="topRight" state="frozen"/>
      <selection activeCell="F1" sqref="F1"/>
      <selection pane="topRight" activeCell="BD81" sqref="BD81"/>
    </sheetView>
  </sheetViews>
  <sheetFormatPr defaultColWidth="9.140625" defaultRowHeight="15" x14ac:dyDescent="0.25"/>
  <cols>
    <col min="1" max="1" width="16.85546875" style="346" hidden="1" customWidth="1"/>
    <col min="2" max="2" width="56.7109375" hidden="1" customWidth="1"/>
    <col min="3" max="3" width="6.140625" style="347" hidden="1" customWidth="1"/>
    <col min="4" max="4" width="11.140625" style="350" hidden="1" customWidth="1"/>
    <col min="5" max="5" width="8.140625" hidden="1" customWidth="1"/>
    <col min="6" max="6" width="13.28515625" customWidth="1"/>
    <col min="7" max="7" width="8.42578125" style="323" bestFit="1" customWidth="1"/>
    <col min="8" max="8" width="55" bestFit="1" customWidth="1"/>
    <col min="9" max="12" width="11.28515625" bestFit="1" customWidth="1"/>
    <col min="13" max="13" width="13.7109375" hidden="1" customWidth="1"/>
    <col min="14" max="14" width="11.28515625" hidden="1" customWidth="1"/>
    <col min="15" max="15" width="11.28515625" style="183" bestFit="1" customWidth="1"/>
    <col min="16" max="18" width="11.28515625" bestFit="1" customWidth="1"/>
    <col min="19" max="19" width="11.28515625" style="183" bestFit="1" customWidth="1"/>
    <col min="20" max="20" width="11.28515625" bestFit="1" customWidth="1"/>
    <col min="21" max="22" width="11.28515625" hidden="1" customWidth="1"/>
    <col min="23" max="24" width="11.28515625" bestFit="1" customWidth="1"/>
    <col min="25" max="26" width="11.28515625" hidden="1" customWidth="1"/>
    <col min="27" max="27" width="11.28515625" bestFit="1" customWidth="1"/>
    <col min="28" max="28" width="11.28515625" customWidth="1"/>
    <col min="29" max="30" width="11.28515625" bestFit="1" customWidth="1"/>
    <col min="31" max="31" width="12.42578125" bestFit="1" customWidth="1"/>
    <col min="32" max="32" width="14.28515625" bestFit="1" customWidth="1"/>
    <col min="33" max="33" width="11.28515625" bestFit="1" customWidth="1"/>
    <col min="34" max="34" width="11.28515625" style="346" bestFit="1" customWidth="1"/>
    <col min="35" max="35" width="11.28515625" style="346" hidden="1" customWidth="1"/>
    <col min="36" max="36" width="11.28515625" hidden="1" customWidth="1"/>
    <col min="37" max="38" width="11.28515625" bestFit="1" customWidth="1"/>
    <col min="39" max="40" width="11.28515625" hidden="1" customWidth="1"/>
    <col min="41" max="42" width="11.28515625" bestFit="1" customWidth="1"/>
    <col min="43" max="44" width="11.28515625" style="4332" customWidth="1"/>
    <col min="45" max="46" width="12.42578125" hidden="1" customWidth="1"/>
    <col min="47" max="48" width="11.28515625" bestFit="1" customWidth="1"/>
    <col min="49" max="50" width="12.42578125" hidden="1" customWidth="1"/>
    <col min="51" max="52" width="11.28515625" bestFit="1" customWidth="1"/>
    <col min="53" max="54" width="12.42578125" hidden="1" customWidth="1"/>
    <col min="55" max="56" width="11.28515625" bestFit="1" customWidth="1"/>
    <col min="57" max="57" width="12" style="5082" bestFit="1" customWidth="1"/>
    <col min="58" max="58" width="11.28515625" style="5082" customWidth="1"/>
    <col min="59" max="60" width="12.42578125" style="5082" bestFit="1" customWidth="1"/>
    <col min="61" max="62" width="12.42578125" bestFit="1" customWidth="1"/>
    <col min="63" max="63" width="12" bestFit="1" customWidth="1"/>
    <col min="64" max="64" width="11" bestFit="1" customWidth="1"/>
  </cols>
  <sheetData>
    <row r="1" spans="1:66" ht="22.5" x14ac:dyDescent="0.3">
      <c r="B1" s="17" t="s">
        <v>506</v>
      </c>
      <c r="C1" s="349"/>
      <c r="G1" s="1119"/>
      <c r="H1" s="465" t="s">
        <v>506</v>
      </c>
      <c r="I1" s="465"/>
      <c r="J1" s="122"/>
      <c r="K1" s="122"/>
      <c r="L1" s="122"/>
      <c r="M1" s="122"/>
      <c r="N1" s="122"/>
      <c r="O1" s="122"/>
      <c r="P1" s="122"/>
      <c r="Q1" s="122"/>
      <c r="R1" s="122"/>
      <c r="S1" s="122"/>
      <c r="T1" s="122"/>
      <c r="U1" s="122"/>
      <c r="V1" s="122"/>
      <c r="W1" s="122"/>
      <c r="X1" s="122"/>
      <c r="Y1" s="122"/>
      <c r="Z1" s="122"/>
      <c r="AA1" s="122"/>
      <c r="AB1" s="122"/>
      <c r="AC1" s="122"/>
      <c r="AD1" s="122"/>
      <c r="AE1" s="122"/>
      <c r="AF1" s="122"/>
    </row>
    <row r="2" spans="1:66" x14ac:dyDescent="0.25">
      <c r="B2" s="4"/>
      <c r="C2" s="349"/>
      <c r="G2" s="1119"/>
      <c r="H2" s="59"/>
      <c r="I2" s="59"/>
      <c r="J2" s="122"/>
      <c r="K2" s="122"/>
      <c r="L2" s="122"/>
      <c r="M2" s="122"/>
      <c r="N2" s="122"/>
      <c r="O2" s="188"/>
      <c r="P2" s="122"/>
      <c r="Q2" s="122"/>
      <c r="R2" s="122"/>
      <c r="S2" s="188"/>
      <c r="T2" s="122"/>
      <c r="U2" s="122"/>
      <c r="V2" s="122"/>
      <c r="W2" s="122"/>
      <c r="X2" s="122"/>
      <c r="Y2" s="122"/>
      <c r="Z2" s="122"/>
      <c r="AA2" s="122"/>
      <c r="AB2" s="122"/>
      <c r="AC2" s="122"/>
      <c r="AD2" s="122"/>
      <c r="AE2" s="122"/>
      <c r="AF2" s="122"/>
    </row>
    <row r="3" spans="1:66" ht="15.75" thickBot="1" x14ac:dyDescent="0.3">
      <c r="B3" s="24"/>
      <c r="C3" s="25"/>
      <c r="D3" s="351">
        <v>30</v>
      </c>
      <c r="E3" s="351">
        <v>31</v>
      </c>
      <c r="G3" s="1119"/>
      <c r="H3" s="59"/>
      <c r="I3" s="238">
        <v>30</v>
      </c>
      <c r="J3" s="419">
        <v>30</v>
      </c>
      <c r="K3" s="419">
        <v>31</v>
      </c>
      <c r="L3" s="419">
        <v>31</v>
      </c>
      <c r="M3" s="1120">
        <f>+I3+K3</f>
        <v>61</v>
      </c>
      <c r="N3" s="1120">
        <f>+J3+L3</f>
        <v>61</v>
      </c>
      <c r="O3" s="773">
        <v>30</v>
      </c>
      <c r="P3" s="419">
        <v>30</v>
      </c>
      <c r="Q3" s="419">
        <f>+M3+O3</f>
        <v>91</v>
      </c>
      <c r="R3" s="419">
        <f>+N3+P3</f>
        <v>91</v>
      </c>
      <c r="S3" s="700">
        <v>31</v>
      </c>
      <c r="T3" s="419">
        <v>31</v>
      </c>
      <c r="U3" s="1120">
        <f>+Q3+S3</f>
        <v>122</v>
      </c>
      <c r="V3" s="1120">
        <f>+R3+T3</f>
        <v>122</v>
      </c>
      <c r="W3" s="419">
        <v>31</v>
      </c>
      <c r="X3" s="419">
        <v>31</v>
      </c>
      <c r="Y3" s="1120">
        <f>+U3+W3</f>
        <v>153</v>
      </c>
      <c r="Z3" s="1120">
        <f>+V3+X3</f>
        <v>153</v>
      </c>
      <c r="AA3" s="419">
        <v>30</v>
      </c>
      <c r="AB3" s="419">
        <v>30</v>
      </c>
      <c r="AC3" s="419">
        <f>+AA3+W3+S3</f>
        <v>92</v>
      </c>
      <c r="AD3" s="419">
        <f>+AB3+X3+T3</f>
        <v>92</v>
      </c>
      <c r="AE3" s="1120">
        <f>+Y3+AA3</f>
        <v>183</v>
      </c>
      <c r="AF3" s="1120">
        <f>+Z3+AB3</f>
        <v>183</v>
      </c>
      <c r="AG3" s="419">
        <v>31</v>
      </c>
      <c r="AH3" s="419">
        <v>31</v>
      </c>
      <c r="AI3" s="4096">
        <f>+AE3+AG3</f>
        <v>214</v>
      </c>
      <c r="AJ3" s="4096">
        <f>+AF3+AH3</f>
        <v>214</v>
      </c>
      <c r="AK3" s="419">
        <v>30</v>
      </c>
      <c r="AL3" s="419">
        <v>30</v>
      </c>
      <c r="AM3" s="4204">
        <f>+AI3+AK3</f>
        <v>244</v>
      </c>
      <c r="AN3" s="4204">
        <f>+AJ3+AL3</f>
        <v>244</v>
      </c>
      <c r="AO3" s="419">
        <v>31</v>
      </c>
      <c r="AP3" s="419">
        <v>31</v>
      </c>
      <c r="AQ3" s="419">
        <f>+AO3+AK3+AG3</f>
        <v>92</v>
      </c>
      <c r="AR3" s="419">
        <f>+AP3+AL3+AH3</f>
        <v>92</v>
      </c>
      <c r="AS3" s="4334">
        <f>+AM3+AO3</f>
        <v>275</v>
      </c>
      <c r="AT3" s="4334">
        <f>+AN3+AP3</f>
        <v>275</v>
      </c>
      <c r="AU3" s="419">
        <v>31</v>
      </c>
      <c r="AV3" s="419">
        <v>31</v>
      </c>
      <c r="AW3" s="4432">
        <f>+AS3+AU3</f>
        <v>306</v>
      </c>
      <c r="AX3" s="4432">
        <f>+AT3+AV3</f>
        <v>306</v>
      </c>
      <c r="AY3" s="419">
        <v>29</v>
      </c>
      <c r="AZ3" s="419">
        <v>29</v>
      </c>
      <c r="BA3" s="4680">
        <f>+AW3+AY3</f>
        <v>335</v>
      </c>
      <c r="BB3" s="4680">
        <f>+AX3+AZ3</f>
        <v>335</v>
      </c>
      <c r="BC3" s="419">
        <v>31</v>
      </c>
      <c r="BD3" s="419">
        <v>31</v>
      </c>
      <c r="BE3" s="419">
        <f>+BC3+AY3+AU3</f>
        <v>91</v>
      </c>
      <c r="BF3" s="419">
        <f>+BD3+AZ3+AV3</f>
        <v>91</v>
      </c>
      <c r="BG3" s="5083">
        <f>AQ3+BE3</f>
        <v>183</v>
      </c>
      <c r="BH3" s="5083">
        <f>AR3+BF3</f>
        <v>183</v>
      </c>
      <c r="BI3" s="5083">
        <f>+BA3+BC3</f>
        <v>366</v>
      </c>
      <c r="BJ3" s="5083">
        <f>+BB3+BD3</f>
        <v>366</v>
      </c>
    </row>
    <row r="4" spans="1:66" ht="22.5" x14ac:dyDescent="0.25">
      <c r="B4" s="352" t="s">
        <v>139</v>
      </c>
      <c r="C4" s="6481" t="s">
        <v>176</v>
      </c>
      <c r="D4" s="353" t="s">
        <v>699</v>
      </c>
      <c r="E4" s="354" t="s">
        <v>700</v>
      </c>
      <c r="G4" s="1121"/>
      <c r="H4" s="1861" t="s">
        <v>139</v>
      </c>
      <c r="I4" s="6485" t="s">
        <v>1470</v>
      </c>
      <c r="J4" s="6022"/>
      <c r="K4" s="6412" t="s">
        <v>1526</v>
      </c>
      <c r="L4" s="6466"/>
      <c r="M4" s="6467" t="s">
        <v>15</v>
      </c>
      <c r="N4" s="6468"/>
      <c r="O4" s="6486" t="s">
        <v>1620</v>
      </c>
      <c r="P4" s="6022"/>
      <c r="Q4" s="6473" t="s">
        <v>828</v>
      </c>
      <c r="R4" s="6474"/>
      <c r="S4" s="6412" t="s">
        <v>1688</v>
      </c>
      <c r="T4" s="6466"/>
      <c r="U4" s="6467" t="s">
        <v>18</v>
      </c>
      <c r="V4" s="6468"/>
      <c r="W4" s="6412" t="s">
        <v>1731</v>
      </c>
      <c r="X4" s="6466"/>
      <c r="Y4" s="6467" t="s">
        <v>19</v>
      </c>
      <c r="Z4" s="6468"/>
      <c r="AA4" s="6412" t="s">
        <v>1766</v>
      </c>
      <c r="AB4" s="6466"/>
      <c r="AC4" s="6473" t="s">
        <v>870</v>
      </c>
      <c r="AD4" s="6474"/>
      <c r="AE4" s="6475" t="s">
        <v>679</v>
      </c>
      <c r="AF4" s="6476"/>
      <c r="AG4" s="6412" t="s">
        <v>1831</v>
      </c>
      <c r="AH4" s="6466"/>
      <c r="AI4" s="6467" t="s">
        <v>26</v>
      </c>
      <c r="AJ4" s="6468"/>
      <c r="AK4" s="6412" t="s">
        <v>1863</v>
      </c>
      <c r="AL4" s="6466"/>
      <c r="AM4" s="6467" t="s">
        <v>29</v>
      </c>
      <c r="AN4" s="6468"/>
      <c r="AO4" s="6412" t="s">
        <v>1888</v>
      </c>
      <c r="AP4" s="6466"/>
      <c r="AQ4" s="6473" t="s">
        <v>1889</v>
      </c>
      <c r="AR4" s="6474"/>
      <c r="AS4" s="6467" t="s">
        <v>1890</v>
      </c>
      <c r="AT4" s="6468"/>
      <c r="AU4" s="6412" t="s">
        <v>1918</v>
      </c>
      <c r="AV4" s="6466"/>
      <c r="AW4" s="6467" t="s">
        <v>30</v>
      </c>
      <c r="AX4" s="6468"/>
      <c r="AY4" s="6412" t="s">
        <v>1940</v>
      </c>
      <c r="AZ4" s="6466"/>
      <c r="BA4" s="6467" t="s">
        <v>32</v>
      </c>
      <c r="BB4" s="6468"/>
      <c r="BC4" s="6412" t="s">
        <v>1965</v>
      </c>
      <c r="BD4" s="6466"/>
      <c r="BE4" s="6473" t="s">
        <v>1964</v>
      </c>
      <c r="BF4" s="6474"/>
      <c r="BG4" s="6475" t="s">
        <v>693</v>
      </c>
      <c r="BH4" s="6476"/>
      <c r="BI4" s="6467" t="s">
        <v>1513</v>
      </c>
      <c r="BJ4" s="6468"/>
    </row>
    <row r="5" spans="1:66" ht="15.75" thickBot="1" x14ac:dyDescent="0.3">
      <c r="A5" s="340" t="s">
        <v>769</v>
      </c>
      <c r="B5" s="355" t="s">
        <v>422</v>
      </c>
      <c r="C5" s="6482"/>
      <c r="D5" s="353" t="s">
        <v>178</v>
      </c>
      <c r="E5" s="354" t="s">
        <v>178</v>
      </c>
      <c r="G5" s="1123"/>
      <c r="H5" s="1101"/>
      <c r="I5" s="1657" t="s">
        <v>177</v>
      </c>
      <c r="J5" s="852" t="s">
        <v>178</v>
      </c>
      <c r="K5" s="852" t="s">
        <v>177</v>
      </c>
      <c r="L5" s="949" t="s">
        <v>178</v>
      </c>
      <c r="M5" s="853" t="s">
        <v>177</v>
      </c>
      <c r="N5" s="1124" t="s">
        <v>178</v>
      </c>
      <c r="O5" s="2080" t="s">
        <v>177</v>
      </c>
      <c r="P5" s="852" t="s">
        <v>178</v>
      </c>
      <c r="Q5" s="854" t="s">
        <v>177</v>
      </c>
      <c r="R5" s="1125" t="s">
        <v>178</v>
      </c>
      <c r="S5" s="981" t="s">
        <v>177</v>
      </c>
      <c r="T5" s="949" t="s">
        <v>178</v>
      </c>
      <c r="U5" s="853" t="s">
        <v>177</v>
      </c>
      <c r="V5" s="1124" t="s">
        <v>178</v>
      </c>
      <c r="W5" s="981" t="s">
        <v>177</v>
      </c>
      <c r="X5" s="949" t="s">
        <v>178</v>
      </c>
      <c r="Y5" s="853" t="s">
        <v>177</v>
      </c>
      <c r="Z5" s="1124" t="s">
        <v>178</v>
      </c>
      <c r="AA5" s="981" t="s">
        <v>177</v>
      </c>
      <c r="AB5" s="949" t="s">
        <v>178</v>
      </c>
      <c r="AC5" s="854" t="s">
        <v>177</v>
      </c>
      <c r="AD5" s="1125" t="s">
        <v>178</v>
      </c>
      <c r="AE5" s="968" t="s">
        <v>177</v>
      </c>
      <c r="AF5" s="970" t="s">
        <v>178</v>
      </c>
      <c r="AG5" s="981" t="s">
        <v>177</v>
      </c>
      <c r="AH5" s="949" t="s">
        <v>178</v>
      </c>
      <c r="AI5" s="4097" t="s">
        <v>177</v>
      </c>
      <c r="AJ5" s="1124" t="s">
        <v>178</v>
      </c>
      <c r="AK5" s="981" t="s">
        <v>177</v>
      </c>
      <c r="AL5" s="949" t="s">
        <v>178</v>
      </c>
      <c r="AM5" s="4208" t="s">
        <v>177</v>
      </c>
      <c r="AN5" s="1124" t="s">
        <v>178</v>
      </c>
      <c r="AO5" s="981" t="s">
        <v>177</v>
      </c>
      <c r="AP5" s="949" t="s">
        <v>178</v>
      </c>
      <c r="AQ5" s="4336" t="s">
        <v>177</v>
      </c>
      <c r="AR5" s="1125" t="s">
        <v>178</v>
      </c>
      <c r="AS5" s="4337" t="s">
        <v>177</v>
      </c>
      <c r="AT5" s="1124" t="s">
        <v>178</v>
      </c>
      <c r="AU5" s="981" t="s">
        <v>177</v>
      </c>
      <c r="AV5" s="949" t="s">
        <v>178</v>
      </c>
      <c r="AW5" s="4433" t="s">
        <v>177</v>
      </c>
      <c r="AX5" s="1124" t="s">
        <v>178</v>
      </c>
      <c r="AY5" s="981" t="s">
        <v>177</v>
      </c>
      <c r="AZ5" s="949" t="s">
        <v>178</v>
      </c>
      <c r="BA5" s="4684" t="s">
        <v>177</v>
      </c>
      <c r="BB5" s="1124" t="s">
        <v>178</v>
      </c>
      <c r="BC5" s="981" t="s">
        <v>177</v>
      </c>
      <c r="BD5" s="949" t="s">
        <v>178</v>
      </c>
      <c r="BE5" s="5084" t="s">
        <v>177</v>
      </c>
      <c r="BF5" s="1125" t="s">
        <v>178</v>
      </c>
      <c r="BG5" s="5086" t="s">
        <v>177</v>
      </c>
      <c r="BH5" s="970" t="s">
        <v>178</v>
      </c>
      <c r="BI5" s="5085" t="s">
        <v>177</v>
      </c>
      <c r="BJ5" s="1124" t="s">
        <v>178</v>
      </c>
    </row>
    <row r="6" spans="1:66" ht="15.75" x14ac:dyDescent="0.25">
      <c r="A6" s="340">
        <v>1</v>
      </c>
      <c r="B6" s="356" t="s">
        <v>490</v>
      </c>
      <c r="C6" s="16" t="s">
        <v>218</v>
      </c>
      <c r="D6" s="357">
        <v>0</v>
      </c>
      <c r="E6" s="358">
        <v>0</v>
      </c>
      <c r="G6" s="1126">
        <v>1</v>
      </c>
      <c r="H6" s="1862" t="s">
        <v>770</v>
      </c>
      <c r="I6" s="1867">
        <f>SUM(I7:I11)</f>
        <v>192550295.09483194</v>
      </c>
      <c r="J6" s="388">
        <f>SUM(J7:J11)</f>
        <v>112075439.99999994</v>
      </c>
      <c r="K6" s="1867">
        <f>SUM(K7:K11)</f>
        <v>184618757.35935825</v>
      </c>
      <c r="L6" s="388">
        <f>SUM(L7:L11)</f>
        <v>103718327.99999997</v>
      </c>
      <c r="M6" s="1127">
        <f>+I6+K6</f>
        <v>377169052.45419019</v>
      </c>
      <c r="N6" s="1127">
        <f>+J6+L6</f>
        <v>215793767.99999991</v>
      </c>
      <c r="O6" s="1867">
        <f>SUM(O7:O11)</f>
        <v>174855657.42201525</v>
      </c>
      <c r="P6" s="388">
        <f>SUM(P7:P11)</f>
        <v>103521150.00000004</v>
      </c>
      <c r="Q6" s="1986">
        <f>+I6+K6+O6</f>
        <v>552024709.87620544</v>
      </c>
      <c r="R6" s="435">
        <f>+J6+L6+P6</f>
        <v>319314917.99999994</v>
      </c>
      <c r="S6" s="1867">
        <f>SUM(S7:S11)</f>
        <v>197467864.66198558</v>
      </c>
      <c r="T6" s="388">
        <f>SUM(T7:T11)</f>
        <v>116755950</v>
      </c>
      <c r="U6" s="1128">
        <f>+Q6+S6</f>
        <v>749492574.53819108</v>
      </c>
      <c r="V6" s="1127">
        <f>+R6+T6</f>
        <v>436070867.99999994</v>
      </c>
      <c r="W6" s="1867">
        <f>SUM(W7:W11)</f>
        <v>197265387.26140988</v>
      </c>
      <c r="X6" s="388">
        <f>SUM(X7:X11)</f>
        <v>117511050.00000012</v>
      </c>
      <c r="Y6" s="1128">
        <f>+U6+W6</f>
        <v>946757961.79960096</v>
      </c>
      <c r="Z6" s="1127">
        <f>+V6+X6</f>
        <v>553581918</v>
      </c>
      <c r="AA6" s="1867">
        <f>SUM(AA7:AA11)</f>
        <v>191369967.17408043</v>
      </c>
      <c r="AB6" s="388">
        <f>SUM(AB7:AB11)</f>
        <v>111196530.99999994</v>
      </c>
      <c r="AC6" s="1986">
        <f>S6+W6+AA6</f>
        <v>586103219.09747589</v>
      </c>
      <c r="AD6" s="435">
        <f>T6+X6+AB6</f>
        <v>345463531.00000006</v>
      </c>
      <c r="AE6" s="1129">
        <f>Q6+AC6</f>
        <v>1138127928.9736814</v>
      </c>
      <c r="AF6" s="1129">
        <f>R6+AD6</f>
        <v>664778449</v>
      </c>
      <c r="AG6" s="1867">
        <f>SUM(AG7:AG11)</f>
        <v>199613651.35248986</v>
      </c>
      <c r="AH6" s="388">
        <f>SUM(AH7:AH11)</f>
        <v>115026710</v>
      </c>
      <c r="AI6" s="1128">
        <f>+AE6+AG6</f>
        <v>1337741580.3261714</v>
      </c>
      <c r="AJ6" s="1127">
        <f>+AF6+AH6</f>
        <v>779805159</v>
      </c>
      <c r="AK6" s="1867">
        <f>SUM(AK7:AK11)</f>
        <v>193537163.78135806</v>
      </c>
      <c r="AL6" s="388">
        <f>SUM(AL7:AL11)</f>
        <v>108173110.00000003</v>
      </c>
      <c r="AM6" s="1128">
        <f>+AI6+AK6</f>
        <v>1531278744.1075294</v>
      </c>
      <c r="AN6" s="1127">
        <f>+AJ6+AL6</f>
        <v>887978269</v>
      </c>
      <c r="AO6" s="1867">
        <f>SUM(AO7:AO11)</f>
        <v>200181061.36202249</v>
      </c>
      <c r="AP6" s="388">
        <f>SUM(AP7:AP11)</f>
        <v>113874678.99999997</v>
      </c>
      <c r="AQ6" s="1986">
        <f>AG6+AK6+AO6</f>
        <v>593331876.49587047</v>
      </c>
      <c r="AR6" s="435">
        <f>AH6+AL6+AP6</f>
        <v>337074499</v>
      </c>
      <c r="AS6" s="1128">
        <f>+AM6+AO6</f>
        <v>1731459805.4695518</v>
      </c>
      <c r="AT6" s="1127">
        <f>+AN6+AP6</f>
        <v>1001852948</v>
      </c>
      <c r="AU6" s="1867">
        <f>SUM(AU7:AU11)</f>
        <v>200419929.58226341</v>
      </c>
      <c r="AV6" s="388">
        <f>SUM(AV7:AV11)</f>
        <v>113425722.49599992</v>
      </c>
      <c r="AW6" s="1128">
        <f>+AS6+AU6</f>
        <v>1931879735.0518153</v>
      </c>
      <c r="AX6" s="1127">
        <f>+AT6+AV6</f>
        <v>1115278670.4959998</v>
      </c>
      <c r="AY6" s="1867">
        <f>SUM(AY7:AY11)</f>
        <v>186752794.04509056</v>
      </c>
      <c r="AZ6" s="388">
        <f>SUM(AZ7:AZ12)</f>
        <v>105812998.00000006</v>
      </c>
      <c r="BA6" s="1128">
        <f>+AW6+AY6</f>
        <v>2118632529.0969057</v>
      </c>
      <c r="BB6" s="1127">
        <f>+AX6+AZ6</f>
        <v>1221091668.4959998</v>
      </c>
      <c r="BC6" s="1867">
        <f>SUM(BC7:BC11)</f>
        <v>200748471.37155521</v>
      </c>
      <c r="BD6" s="388">
        <f>SUM(BD7:BD12)</f>
        <v>112223400.03999996</v>
      </c>
      <c r="BE6" s="1986">
        <f>AU6+AY6+BC6</f>
        <v>587921194.99890924</v>
      </c>
      <c r="BF6" s="435">
        <f>AV6+AZ6+BD6</f>
        <v>331462120.53599995</v>
      </c>
      <c r="BG6" s="1129">
        <f>AQ6+BE6</f>
        <v>1181253071.4947796</v>
      </c>
      <c r="BH6" s="1129">
        <f>AR6+BF6</f>
        <v>668536619.53600001</v>
      </c>
      <c r="BI6" s="1128">
        <f t="shared" ref="BI6:BJ11" si="0">+BA6+BC6</f>
        <v>2319381000.468461</v>
      </c>
      <c r="BJ6" s="1127">
        <f t="shared" si="0"/>
        <v>1333315068.5359998</v>
      </c>
      <c r="BK6" s="26"/>
      <c r="BL6" s="2062"/>
      <c r="BM6" s="26"/>
      <c r="BN6" s="26"/>
    </row>
    <row r="7" spans="1:66" x14ac:dyDescent="0.25">
      <c r="A7" s="340">
        <v>2</v>
      </c>
      <c r="B7" s="359" t="s">
        <v>602</v>
      </c>
      <c r="C7" s="13" t="s">
        <v>218</v>
      </c>
      <c r="D7" s="360">
        <v>29290499.99999997</v>
      </c>
      <c r="E7" s="361">
        <v>29010500</v>
      </c>
      <c r="G7" s="1123">
        <v>1.1000000000000001</v>
      </c>
      <c r="H7" s="1101" t="s">
        <v>490</v>
      </c>
      <c r="I7" s="1868">
        <f>+I56*I$3*24*1000</f>
        <v>0</v>
      </c>
      <c r="J7" s="389">
        <v>0</v>
      </c>
      <c r="K7" s="1868">
        <f>+K56*K$3*24*1000</f>
        <v>0</v>
      </c>
      <c r="L7" s="389">
        <v>0</v>
      </c>
      <c r="M7" s="1130">
        <f t="shared" ref="M7:N47" si="1">+I7+K7</f>
        <v>0</v>
      </c>
      <c r="N7" s="1130">
        <f t="shared" si="1"/>
        <v>0</v>
      </c>
      <c r="O7" s="1868">
        <f>+O56*O$3*24*1000</f>
        <v>0</v>
      </c>
      <c r="P7" s="389">
        <v>0</v>
      </c>
      <c r="Q7" s="1987">
        <f t="shared" ref="Q7:Q47" si="2">+I7+K7+O7</f>
        <v>0</v>
      </c>
      <c r="R7" s="433">
        <f t="shared" ref="R7:R47" si="3">+J7+L7+P7</f>
        <v>0</v>
      </c>
      <c r="S7" s="1868">
        <f>+S56*S$3*24*1000</f>
        <v>0</v>
      </c>
      <c r="T7" s="389">
        <v>0</v>
      </c>
      <c r="U7" s="1130">
        <f t="shared" ref="U7:U33" si="4">+Q7+S7</f>
        <v>0</v>
      </c>
      <c r="V7" s="1130">
        <f t="shared" ref="V7:V33" si="5">+R7+T7</f>
        <v>0</v>
      </c>
      <c r="W7" s="1868">
        <f>+W56*W$3*24*1000</f>
        <v>0</v>
      </c>
      <c r="X7" s="389">
        <v>0</v>
      </c>
      <c r="Y7" s="1130">
        <f t="shared" ref="Y7:Y33" si="6">+U7+W7</f>
        <v>0</v>
      </c>
      <c r="Z7" s="1130">
        <f t="shared" ref="Z7:Z33" si="7">+V7+X7</f>
        <v>0</v>
      </c>
      <c r="AA7" s="1868">
        <f>+AA56*AA$3*24*1000</f>
        <v>0</v>
      </c>
      <c r="AB7" s="389">
        <v>0</v>
      </c>
      <c r="AC7" s="1987">
        <f>S7+W7+AA7</f>
        <v>0</v>
      </c>
      <c r="AD7" s="1987">
        <f>T7+X7+AB7</f>
        <v>0</v>
      </c>
      <c r="AE7" s="1132">
        <f>Q7+AC7</f>
        <v>0</v>
      </c>
      <c r="AF7" s="1132">
        <f>R7+AD7</f>
        <v>0</v>
      </c>
      <c r="AG7" s="1868">
        <f>+AG56*AG$3*24*1000</f>
        <v>0</v>
      </c>
      <c r="AH7" s="389">
        <v>0</v>
      </c>
      <c r="AI7" s="1130">
        <f t="shared" ref="AI7:AI33" si="8">+AE7+AG7</f>
        <v>0</v>
      </c>
      <c r="AJ7" s="1130">
        <f t="shared" ref="AJ7:AJ33" si="9">+AF7+AH7</f>
        <v>0</v>
      </c>
      <c r="AK7" s="1868">
        <f>+AK56*AK$3*24*1000</f>
        <v>0</v>
      </c>
      <c r="AL7" s="389">
        <v>0</v>
      </c>
      <c r="AM7" s="1130">
        <f t="shared" ref="AM7:AM33" si="10">+AI7+AK7</f>
        <v>0</v>
      </c>
      <c r="AN7" s="1130">
        <f t="shared" ref="AN7:AN33" si="11">+AJ7+AL7</f>
        <v>0</v>
      </c>
      <c r="AO7" s="1868">
        <f>+AO56*AO$3*24*1000</f>
        <v>0</v>
      </c>
      <c r="AP7" s="389">
        <v>0</v>
      </c>
      <c r="AQ7" s="1987">
        <f>AG7+AK7+AO7</f>
        <v>0</v>
      </c>
      <c r="AR7" s="1987">
        <f>AH7+AL7+AP7</f>
        <v>0</v>
      </c>
      <c r="AS7" s="1130">
        <f t="shared" ref="AS7:AS33" si="12">+AM7+AO7</f>
        <v>0</v>
      </c>
      <c r="AT7" s="1130">
        <f t="shared" ref="AT7:AT33" si="13">+AN7+AP7</f>
        <v>0</v>
      </c>
      <c r="AU7" s="1868">
        <f>+AU56*AU$3*24*1000</f>
        <v>0</v>
      </c>
      <c r="AV7" s="389">
        <v>0</v>
      </c>
      <c r="AW7" s="1130">
        <f t="shared" ref="AW7:AW33" si="14">+AS7+AU7</f>
        <v>0</v>
      </c>
      <c r="AX7" s="1130">
        <f t="shared" ref="AX7:AX33" si="15">+AT7+AV7</f>
        <v>0</v>
      </c>
      <c r="AY7" s="1868">
        <f>+AY56*AY$3*24*1000</f>
        <v>0</v>
      </c>
      <c r="AZ7" s="389">
        <v>0</v>
      </c>
      <c r="BA7" s="1130">
        <f t="shared" ref="BA7:BA33" si="16">+AW7+AY7</f>
        <v>0</v>
      </c>
      <c r="BB7" s="1130">
        <f t="shared" ref="BB7:BB33" si="17">+AX7+AZ7</f>
        <v>0</v>
      </c>
      <c r="BC7" s="1868">
        <f>+BC56*BC$3*24*1000</f>
        <v>0</v>
      </c>
      <c r="BD7" s="389">
        <v>0</v>
      </c>
      <c r="BE7" s="1987">
        <f>AU7+AY7+BC7</f>
        <v>0</v>
      </c>
      <c r="BF7" s="1987">
        <f>AV7+AZ7+BD7</f>
        <v>0</v>
      </c>
      <c r="BG7" s="1132">
        <f>AQ7+BE7</f>
        <v>0</v>
      </c>
      <c r="BH7" s="1132">
        <f>AR7+BF7</f>
        <v>0</v>
      </c>
      <c r="BI7" s="1130">
        <f t="shared" si="0"/>
        <v>0</v>
      </c>
      <c r="BJ7" s="1130">
        <f t="shared" si="0"/>
        <v>0</v>
      </c>
      <c r="BK7" s="26"/>
      <c r="BL7" s="2062"/>
      <c r="BM7" s="26"/>
      <c r="BN7" s="26"/>
    </row>
    <row r="8" spans="1:66" x14ac:dyDescent="0.25">
      <c r="A8" s="340">
        <v>3</v>
      </c>
      <c r="B8" s="362" t="s">
        <v>491</v>
      </c>
      <c r="C8" s="13" t="s">
        <v>218</v>
      </c>
      <c r="D8" s="360">
        <v>3137000</v>
      </c>
      <c r="E8" s="361">
        <v>766000</v>
      </c>
      <c r="G8" s="1123">
        <v>1.2</v>
      </c>
      <c r="H8" s="1101" t="s">
        <v>602</v>
      </c>
      <c r="I8" s="1869">
        <f>+I57*I$3*24*1000</f>
        <v>35403703.703703701</v>
      </c>
      <c r="J8" s="390">
        <v>37491799.999999933</v>
      </c>
      <c r="K8" s="1869">
        <f>+K57*K$3*24*1000</f>
        <v>35466592.59259259</v>
      </c>
      <c r="L8" s="390">
        <v>32811799.999999974</v>
      </c>
      <c r="M8" s="1131">
        <f t="shared" si="1"/>
        <v>70870296.296296299</v>
      </c>
      <c r="N8" s="1131">
        <f t="shared" si="1"/>
        <v>70303599.999999911</v>
      </c>
      <c r="O8" s="1869">
        <f>+O57*O$3*24*1000</f>
        <v>34778888.888888888</v>
      </c>
      <c r="P8" s="390">
        <v>30832000.000000045</v>
      </c>
      <c r="Q8" s="1987">
        <f t="shared" ref="Q8:Q11" si="18">+I8+K8+O8</f>
        <v>105649185.18518519</v>
      </c>
      <c r="R8" s="433">
        <f t="shared" ref="R8:R12" si="19">+J8+L8+P8</f>
        <v>101135599.99999996</v>
      </c>
      <c r="S8" s="1869">
        <f>+S57*S$3*24*1000</f>
        <v>36388259.259259254</v>
      </c>
      <c r="T8" s="390">
        <v>36977300</v>
      </c>
      <c r="U8" s="1131">
        <f t="shared" si="4"/>
        <v>142037444.44444445</v>
      </c>
      <c r="V8" s="1131">
        <f t="shared" si="5"/>
        <v>138112899.99999994</v>
      </c>
      <c r="W8" s="1869">
        <f>+W57*W$3*24*1000</f>
        <v>36388259.259259254</v>
      </c>
      <c r="X8" s="390">
        <v>35718900.000000127</v>
      </c>
      <c r="Y8" s="1131">
        <f t="shared" si="6"/>
        <v>178425703.7037037</v>
      </c>
      <c r="Z8" s="1131">
        <f t="shared" si="7"/>
        <v>173831800.00000006</v>
      </c>
      <c r="AA8" s="1869">
        <f>+AA57*AA$3*24*1000</f>
        <v>35242962.962962963</v>
      </c>
      <c r="AB8" s="390">
        <v>34912299.999999948</v>
      </c>
      <c r="AC8" s="1987">
        <f t="shared" ref="AC8:AC11" si="20">S8+W8+AA8</f>
        <v>108019481.48148146</v>
      </c>
      <c r="AD8" s="1987">
        <f t="shared" ref="AD8:AD12" si="21">T8+X8+AB8</f>
        <v>107608500.00000006</v>
      </c>
      <c r="AE8" s="1132">
        <f t="shared" ref="AE8:AE11" si="22">Q8+AC8</f>
        <v>213668666.66666666</v>
      </c>
      <c r="AF8" s="1132">
        <f t="shared" ref="AF8:AF12" si="23">R8+AD8</f>
        <v>208744100</v>
      </c>
      <c r="AG8" s="1869">
        <f>+AG57*AG$3*24*1000</f>
        <v>36669555.55555556</v>
      </c>
      <c r="AH8" s="390">
        <v>37720199.999999993</v>
      </c>
      <c r="AI8" s="1131">
        <f t="shared" si="8"/>
        <v>250338222.22222221</v>
      </c>
      <c r="AJ8" s="1131">
        <f t="shared" si="9"/>
        <v>246464300</v>
      </c>
      <c r="AK8" s="1869">
        <f>+AK57*AK$3*24*1000</f>
        <v>35484074.074074075</v>
      </c>
      <c r="AL8" s="390">
        <v>34698500.000000037</v>
      </c>
      <c r="AM8" s="1131">
        <f t="shared" si="10"/>
        <v>285822296.2962963</v>
      </c>
      <c r="AN8" s="1131">
        <f t="shared" si="11"/>
        <v>281162800.00000006</v>
      </c>
      <c r="AO8" s="1869">
        <f>+AO57*AO$3*24*1000</f>
        <v>36709740.740740746</v>
      </c>
      <c r="AP8" s="390">
        <v>37977099.999999978</v>
      </c>
      <c r="AQ8" s="1987">
        <f t="shared" ref="AQ8:AQ11" si="24">AG8+AK8+AO8</f>
        <v>108863370.37037039</v>
      </c>
      <c r="AR8" s="1987">
        <f t="shared" ref="AR8:AR12" si="25">AH8+AL8+AP8</f>
        <v>110395800</v>
      </c>
      <c r="AS8" s="1131">
        <f t="shared" si="12"/>
        <v>322532037.03703701</v>
      </c>
      <c r="AT8" s="1131">
        <f t="shared" si="13"/>
        <v>319139900.00000006</v>
      </c>
      <c r="AU8" s="1869">
        <f>+AU57*AU$3*24*1000</f>
        <v>36709740.740740746</v>
      </c>
      <c r="AV8" s="390">
        <v>38878499.999999925</v>
      </c>
      <c r="AW8" s="1131">
        <f t="shared" si="14"/>
        <v>359241777.77777779</v>
      </c>
      <c r="AX8" s="1131">
        <f t="shared" si="15"/>
        <v>358018400</v>
      </c>
      <c r="AY8" s="1869">
        <f>+AY57*AY$3*24*1000</f>
        <v>34298592.59259259</v>
      </c>
      <c r="AZ8" s="390">
        <v>36854000.000000067</v>
      </c>
      <c r="BA8" s="1131">
        <f t="shared" si="16"/>
        <v>393540370.37037039</v>
      </c>
      <c r="BB8" s="1131">
        <f t="shared" si="17"/>
        <v>394872400.00000006</v>
      </c>
      <c r="BC8" s="1869">
        <f>+BC57*BC$3*24*1000</f>
        <v>36749925.925925925</v>
      </c>
      <c r="BD8" s="390">
        <v>36330899.999999978</v>
      </c>
      <c r="BE8" s="1987">
        <f t="shared" ref="BE8:BE11" si="26">AU8+AY8+BC8</f>
        <v>107758259.25925927</v>
      </c>
      <c r="BF8" s="1987">
        <f t="shared" ref="BF8:BF12" si="27">AV8+AZ8+BD8</f>
        <v>112063399.99999997</v>
      </c>
      <c r="BG8" s="1132">
        <f t="shared" ref="BG8:BH11" si="28">AQ8+BE8</f>
        <v>216621629.62962967</v>
      </c>
      <c r="BH8" s="1132">
        <f t="shared" si="28"/>
        <v>222459199.99999997</v>
      </c>
      <c r="BI8" s="1131">
        <f t="shared" si="0"/>
        <v>430290296.2962963</v>
      </c>
      <c r="BJ8" s="1131">
        <f t="shared" si="0"/>
        <v>431203300.00000006</v>
      </c>
      <c r="BK8" s="26"/>
      <c r="BL8" s="2062"/>
      <c r="BM8" s="26"/>
      <c r="BN8" s="26"/>
    </row>
    <row r="9" spans="1:66" x14ac:dyDescent="0.25">
      <c r="A9" s="340">
        <v>4</v>
      </c>
      <c r="B9" s="362" t="s">
        <v>492</v>
      </c>
      <c r="C9" s="13" t="s">
        <v>218</v>
      </c>
      <c r="D9" s="360">
        <v>56402000</v>
      </c>
      <c r="E9" s="361">
        <v>65310000</v>
      </c>
      <c r="G9" s="1123">
        <v>1.3</v>
      </c>
      <c r="H9" s="1101" t="s">
        <v>491</v>
      </c>
      <c r="I9" s="1869">
        <f>+I58*I$3*24*1000</f>
        <v>3240000</v>
      </c>
      <c r="J9" s="390">
        <v>3378500</v>
      </c>
      <c r="K9" s="1869">
        <f>+K58*K$3*24*1000</f>
        <v>3348000</v>
      </c>
      <c r="L9" s="390">
        <v>3779985</v>
      </c>
      <c r="M9" s="1131">
        <f t="shared" si="1"/>
        <v>6588000</v>
      </c>
      <c r="N9" s="1131">
        <f t="shared" si="1"/>
        <v>7158485</v>
      </c>
      <c r="O9" s="1869">
        <f>+O58*O$3*24*1000</f>
        <v>3240000</v>
      </c>
      <c r="P9" s="390">
        <v>3883300</v>
      </c>
      <c r="Q9" s="1987">
        <f t="shared" si="18"/>
        <v>9828000</v>
      </c>
      <c r="R9" s="433">
        <f t="shared" si="19"/>
        <v>11041785</v>
      </c>
      <c r="S9" s="1869">
        <f>+S58*S$3*24*1000</f>
        <v>3348000</v>
      </c>
      <c r="T9" s="390">
        <v>3902900</v>
      </c>
      <c r="U9" s="1131">
        <f t="shared" si="4"/>
        <v>13176000</v>
      </c>
      <c r="V9" s="1131">
        <f t="shared" si="5"/>
        <v>14944685</v>
      </c>
      <c r="W9" s="1869">
        <f>+W58*W$3*24*1000</f>
        <v>3348000</v>
      </c>
      <c r="X9" s="390">
        <v>3622200</v>
      </c>
      <c r="Y9" s="1131">
        <f t="shared" si="6"/>
        <v>16524000</v>
      </c>
      <c r="Z9" s="1131">
        <f t="shared" si="7"/>
        <v>18566885</v>
      </c>
      <c r="AA9" s="1869">
        <f>+AA58*AA$3*24*1000</f>
        <v>3240000</v>
      </c>
      <c r="AB9" s="390">
        <v>3893591</v>
      </c>
      <c r="AC9" s="1987">
        <f t="shared" si="20"/>
        <v>9936000</v>
      </c>
      <c r="AD9" s="1987">
        <f t="shared" si="21"/>
        <v>11418691</v>
      </c>
      <c r="AE9" s="1132">
        <f t="shared" si="22"/>
        <v>19764000</v>
      </c>
      <c r="AF9" s="1132">
        <f t="shared" si="23"/>
        <v>22460476</v>
      </c>
      <c r="AG9" s="1869">
        <f>+AG58*AG$3*24*1000</f>
        <v>3348000</v>
      </c>
      <c r="AH9" s="390">
        <v>3682000</v>
      </c>
      <c r="AI9" s="1131">
        <f t="shared" si="8"/>
        <v>23112000</v>
      </c>
      <c r="AJ9" s="1131">
        <f t="shared" si="9"/>
        <v>26142476</v>
      </c>
      <c r="AK9" s="1869">
        <f>+AK58*AK$3*24*1000</f>
        <v>3240000</v>
      </c>
      <c r="AL9" s="390">
        <v>3158200</v>
      </c>
      <c r="AM9" s="1131">
        <f t="shared" si="10"/>
        <v>26352000</v>
      </c>
      <c r="AN9" s="1131">
        <f t="shared" si="11"/>
        <v>29300676</v>
      </c>
      <c r="AO9" s="1869">
        <f>+AO58*AO$3*24*1000</f>
        <v>3348000</v>
      </c>
      <c r="AP9" s="390">
        <v>2864000</v>
      </c>
      <c r="AQ9" s="1987">
        <f t="shared" si="24"/>
        <v>9936000</v>
      </c>
      <c r="AR9" s="1987">
        <f t="shared" si="25"/>
        <v>9704200</v>
      </c>
      <c r="AS9" s="1131">
        <f t="shared" si="12"/>
        <v>29700000</v>
      </c>
      <c r="AT9" s="1131">
        <f t="shared" si="13"/>
        <v>32164676</v>
      </c>
      <c r="AU9" s="1869">
        <f>+AU58*AU$3*24*1000</f>
        <v>3348000</v>
      </c>
      <c r="AV9" s="390">
        <v>3258300</v>
      </c>
      <c r="AW9" s="1131">
        <f t="shared" si="14"/>
        <v>33048000</v>
      </c>
      <c r="AX9" s="1131">
        <f t="shared" si="15"/>
        <v>35422976</v>
      </c>
      <c r="AY9" s="1869">
        <f>+AY58*AY$3*24*1000</f>
        <v>3132000</v>
      </c>
      <c r="AZ9" s="390">
        <v>2750500</v>
      </c>
      <c r="BA9" s="1131">
        <f t="shared" si="16"/>
        <v>36180000</v>
      </c>
      <c r="BB9" s="1131">
        <f t="shared" si="17"/>
        <v>38173476</v>
      </c>
      <c r="BC9" s="1869">
        <f>+BC58*BC$3*24*1000</f>
        <v>3348000</v>
      </c>
      <c r="BD9" s="390">
        <v>2891800</v>
      </c>
      <c r="BE9" s="1987">
        <f t="shared" si="26"/>
        <v>9828000</v>
      </c>
      <c r="BF9" s="1987">
        <f t="shared" si="27"/>
        <v>8900600</v>
      </c>
      <c r="BG9" s="1132">
        <f t="shared" si="28"/>
        <v>19764000</v>
      </c>
      <c r="BH9" s="1132">
        <f t="shared" si="28"/>
        <v>18604800</v>
      </c>
      <c r="BI9" s="1131">
        <f t="shared" si="0"/>
        <v>39528000</v>
      </c>
      <c r="BJ9" s="1131">
        <f t="shared" si="0"/>
        <v>41065276</v>
      </c>
      <c r="BK9" s="26"/>
      <c r="BL9" s="2062"/>
      <c r="BM9" s="26"/>
      <c r="BN9" s="26"/>
    </row>
    <row r="10" spans="1:66" ht="15.75" thickBot="1" x14ac:dyDescent="0.3">
      <c r="A10" s="340">
        <v>5</v>
      </c>
      <c r="B10" s="363" t="s">
        <v>493</v>
      </c>
      <c r="C10" s="14" t="s">
        <v>218</v>
      </c>
      <c r="D10" s="360">
        <v>514390</v>
      </c>
      <c r="E10" s="361">
        <v>517460.00000000029</v>
      </c>
      <c r="G10" s="1123">
        <v>1.4</v>
      </c>
      <c r="H10" s="1101" t="s">
        <v>492</v>
      </c>
      <c r="I10" s="1869">
        <f>+I59*I$3*24*1000</f>
        <v>76233295.695564225</v>
      </c>
      <c r="J10" s="390">
        <v>70658000</v>
      </c>
      <c r="K10" s="1869">
        <f>+K59*K$3*24*1000</f>
        <v>72158082.383382827</v>
      </c>
      <c r="L10" s="390">
        <v>66602223</v>
      </c>
      <c r="M10" s="1131">
        <f t="shared" si="1"/>
        <v>148391378.07894707</v>
      </c>
      <c r="N10" s="1131">
        <f t="shared" si="1"/>
        <v>137260223</v>
      </c>
      <c r="O10" s="1869">
        <f>+O59*O$3*24*1000</f>
        <v>67698384.266563162</v>
      </c>
      <c r="P10" s="390">
        <v>68302000</v>
      </c>
      <c r="Q10" s="1987">
        <f t="shared" si="18"/>
        <v>216089762.34551024</v>
      </c>
      <c r="R10" s="433">
        <f t="shared" si="19"/>
        <v>205562223</v>
      </c>
      <c r="S10" s="1869">
        <f>+S59*S$3*24*1000</f>
        <v>78121802.70136328</v>
      </c>
      <c r="T10" s="390">
        <v>75307000</v>
      </c>
      <c r="U10" s="1131">
        <f t="shared" si="4"/>
        <v>294211565.04687351</v>
      </c>
      <c r="V10" s="1131">
        <f t="shared" si="5"/>
        <v>280869223</v>
      </c>
      <c r="W10" s="1869">
        <f>+W59*W$3*24*1000</f>
        <v>78020564.001075208</v>
      </c>
      <c r="X10" s="390">
        <v>77624000</v>
      </c>
      <c r="Y10" s="1131">
        <f t="shared" si="6"/>
        <v>372232129.04794872</v>
      </c>
      <c r="Z10" s="1131">
        <f t="shared" si="7"/>
        <v>358493223</v>
      </c>
      <c r="AA10" s="1869">
        <f>+AA59*AA$3*24*1000</f>
        <v>75723502.105558649</v>
      </c>
      <c r="AB10" s="390">
        <v>71855000</v>
      </c>
      <c r="AC10" s="1987">
        <f t="shared" si="20"/>
        <v>231865868.80799711</v>
      </c>
      <c r="AD10" s="1987">
        <f t="shared" si="21"/>
        <v>224786000</v>
      </c>
      <c r="AE10" s="1132">
        <f t="shared" si="22"/>
        <v>447955631.15350735</v>
      </c>
      <c r="AF10" s="1132">
        <f t="shared" si="23"/>
        <v>430348223</v>
      </c>
      <c r="AG10" s="1869">
        <f>+AG59*AG$3*24*1000</f>
        <v>79054047.898467273</v>
      </c>
      <c r="AH10" s="390">
        <v>73075000</v>
      </c>
      <c r="AI10" s="1131">
        <f t="shared" si="8"/>
        <v>527009679.05197465</v>
      </c>
      <c r="AJ10" s="1131">
        <f t="shared" si="9"/>
        <v>503423223</v>
      </c>
      <c r="AK10" s="1869">
        <f>+AK59*AK$3*24*1000</f>
        <v>76686544.853641808</v>
      </c>
      <c r="AL10" s="390">
        <v>69780000</v>
      </c>
      <c r="AM10" s="1131">
        <f t="shared" si="10"/>
        <v>603696223.90561652</v>
      </c>
      <c r="AN10" s="1131">
        <f t="shared" si="11"/>
        <v>573203223</v>
      </c>
      <c r="AO10" s="1869">
        <f>+AO59*AO$3*24*1000</f>
        <v>79317660.310641021</v>
      </c>
      <c r="AP10" s="390">
        <v>72478989</v>
      </c>
      <c r="AQ10" s="1987">
        <f t="shared" si="24"/>
        <v>235058253.0627501</v>
      </c>
      <c r="AR10" s="1987">
        <f t="shared" si="25"/>
        <v>215333989</v>
      </c>
      <c r="AS10" s="1131">
        <f t="shared" si="12"/>
        <v>683013884.21625757</v>
      </c>
      <c r="AT10" s="1131">
        <f t="shared" si="13"/>
        <v>645682212</v>
      </c>
      <c r="AU10" s="1869">
        <f>+AU59*AU$3*24*1000</f>
        <v>79437094.420761377</v>
      </c>
      <c r="AV10" s="390">
        <v>70737002.495999992</v>
      </c>
      <c r="AW10" s="1131">
        <f t="shared" si="14"/>
        <v>762450978.63701892</v>
      </c>
      <c r="AX10" s="1131">
        <f t="shared" si="15"/>
        <v>716419214.49600005</v>
      </c>
      <c r="AY10" s="1869">
        <f>+AY59*AY$3*24*1000</f>
        <v>73965100.726249009</v>
      </c>
      <c r="AZ10" s="390">
        <v>65371013</v>
      </c>
      <c r="BA10" s="1131">
        <f t="shared" si="16"/>
        <v>836416079.3632679</v>
      </c>
      <c r="BB10" s="1131">
        <f t="shared" si="17"/>
        <v>781790227.49600005</v>
      </c>
      <c r="BC10" s="1869">
        <f>+BC59*BC$3*24*1000</f>
        <v>79581272.722814813</v>
      </c>
      <c r="BD10" s="390">
        <v>71880983.039999992</v>
      </c>
      <c r="BE10" s="1987">
        <f t="shared" si="26"/>
        <v>232983467.86982518</v>
      </c>
      <c r="BF10" s="1987">
        <f t="shared" si="27"/>
        <v>207988998.53599998</v>
      </c>
      <c r="BG10" s="1132">
        <f t="shared" si="28"/>
        <v>468041720.93257529</v>
      </c>
      <c r="BH10" s="1132">
        <f t="shared" si="28"/>
        <v>423322987.53600001</v>
      </c>
      <c r="BI10" s="1131">
        <f t="shared" si="0"/>
        <v>915997352.0860827</v>
      </c>
      <c r="BJ10" s="1131">
        <f t="shared" si="0"/>
        <v>853671210.53600001</v>
      </c>
      <c r="BK10" s="26"/>
      <c r="BL10" s="2062"/>
      <c r="BM10" s="26"/>
      <c r="BN10" s="26"/>
    </row>
    <row r="11" spans="1:66" ht="16.5" thickBot="1" x14ac:dyDescent="0.3">
      <c r="A11" s="340">
        <v>6</v>
      </c>
      <c r="B11" s="364" t="s">
        <v>494</v>
      </c>
      <c r="C11" s="15" t="s">
        <v>218</v>
      </c>
      <c r="D11" s="365">
        <f>SUM(D6:D10)</f>
        <v>89343889.99999997</v>
      </c>
      <c r="E11" s="366">
        <f>SUM(E6:E10)</f>
        <v>95603960</v>
      </c>
      <c r="G11" s="1123">
        <v>1.5</v>
      </c>
      <c r="H11" s="1101" t="s">
        <v>493</v>
      </c>
      <c r="I11" s="1868">
        <f>+I61*I$3*24*1000</f>
        <v>77673295.695564002</v>
      </c>
      <c r="J11" s="390">
        <v>547140.0000000007</v>
      </c>
      <c r="K11" s="1868">
        <f>+K61*K$3*24*1000</f>
        <v>73646082.383382827</v>
      </c>
      <c r="L11" s="390">
        <v>524319.9999999993</v>
      </c>
      <c r="M11" s="1131">
        <f t="shared" si="1"/>
        <v>151319378.07894683</v>
      </c>
      <c r="N11" s="1131">
        <f t="shared" si="1"/>
        <v>1071460</v>
      </c>
      <c r="O11" s="1868">
        <f>+O61*O$3*24*1000</f>
        <v>69138384.266563192</v>
      </c>
      <c r="P11" s="390">
        <v>503849.99999999942</v>
      </c>
      <c r="Q11" s="1987">
        <f t="shared" si="18"/>
        <v>220457762.34551001</v>
      </c>
      <c r="R11" s="433">
        <f t="shared" si="19"/>
        <v>1575309.9999999995</v>
      </c>
      <c r="S11" s="1868">
        <f>+S61*S$3*24*1000</f>
        <v>79609802.701363027</v>
      </c>
      <c r="T11" s="390">
        <v>568750.00000000047</v>
      </c>
      <c r="U11" s="1131">
        <f t="shared" si="4"/>
        <v>300067565.04687303</v>
      </c>
      <c r="V11" s="1131">
        <f t="shared" si="5"/>
        <v>2144060</v>
      </c>
      <c r="W11" s="1868">
        <f>+W61*W$3*24*1000</f>
        <v>79508564.001075402</v>
      </c>
      <c r="X11" s="390">
        <v>545950.00000000023</v>
      </c>
      <c r="Y11" s="1131">
        <f t="shared" si="6"/>
        <v>379576129.04794842</v>
      </c>
      <c r="Z11" s="1131">
        <f t="shared" si="7"/>
        <v>2690010</v>
      </c>
      <c r="AA11" s="1868">
        <f>+AA61*AA$3*24*1000</f>
        <v>77163502.105558798</v>
      </c>
      <c r="AB11" s="390">
        <v>535640.00000000081</v>
      </c>
      <c r="AC11" s="1987">
        <f t="shared" si="20"/>
        <v>236281868.80799723</v>
      </c>
      <c r="AD11" s="1987">
        <f t="shared" si="21"/>
        <v>1650340.0000000014</v>
      </c>
      <c r="AE11" s="1132">
        <f t="shared" si="22"/>
        <v>456739631.15350723</v>
      </c>
      <c r="AF11" s="1132">
        <f t="shared" si="23"/>
        <v>3225650.0000000009</v>
      </c>
      <c r="AG11" s="1868">
        <f>+AG61*AG$3*24*1000</f>
        <v>80542047.898467034</v>
      </c>
      <c r="AH11" s="390">
        <v>549509.99999999837</v>
      </c>
      <c r="AI11" s="1131">
        <f t="shared" si="8"/>
        <v>537281679.0519743</v>
      </c>
      <c r="AJ11" s="1131">
        <f t="shared" si="9"/>
        <v>3775159.9999999991</v>
      </c>
      <c r="AK11" s="1868">
        <f>+AK61*AK$3*24*1000</f>
        <v>78126544.853642166</v>
      </c>
      <c r="AL11" s="390">
        <v>536410.0000000007</v>
      </c>
      <c r="AM11" s="1131">
        <f t="shared" si="10"/>
        <v>615408223.90561652</v>
      </c>
      <c r="AN11" s="1131">
        <f t="shared" si="11"/>
        <v>4311570</v>
      </c>
      <c r="AO11" s="1868">
        <f>+AO61*AO$3*24*1000</f>
        <v>80805660.310640723</v>
      </c>
      <c r="AP11" s="390">
        <v>554590.00000000012</v>
      </c>
      <c r="AQ11" s="1987">
        <f t="shared" si="24"/>
        <v>239474253.06274992</v>
      </c>
      <c r="AR11" s="1987">
        <f t="shared" si="25"/>
        <v>1640509.9999999991</v>
      </c>
      <c r="AS11" s="1131">
        <f t="shared" si="12"/>
        <v>696213884.21625721</v>
      </c>
      <c r="AT11" s="1131">
        <f t="shared" si="13"/>
        <v>4866160</v>
      </c>
      <c r="AU11" s="1868">
        <f>+AU61*AU$3*24*1000</f>
        <v>80925094.420761302</v>
      </c>
      <c r="AV11" s="390">
        <v>551920</v>
      </c>
      <c r="AW11" s="1131">
        <f t="shared" si="14"/>
        <v>777138978.63701856</v>
      </c>
      <c r="AX11" s="1131">
        <f t="shared" si="15"/>
        <v>5418080</v>
      </c>
      <c r="AY11" s="1868">
        <f>+AY61*AY$3*24*1000</f>
        <v>75357100.726248965</v>
      </c>
      <c r="AZ11" s="390">
        <v>521730.00000000047</v>
      </c>
      <c r="BA11" s="1131">
        <f t="shared" si="16"/>
        <v>852496079.36326754</v>
      </c>
      <c r="BB11" s="1131">
        <f t="shared" si="17"/>
        <v>5939810</v>
      </c>
      <c r="BC11" s="1868">
        <f>+BC61*BC$3*24*1000</f>
        <v>81069272.722814456</v>
      </c>
      <c r="BD11" s="390">
        <v>558850.00000000012</v>
      </c>
      <c r="BE11" s="1987">
        <f t="shared" si="26"/>
        <v>237351467.86982471</v>
      </c>
      <c r="BF11" s="1987">
        <f t="shared" si="27"/>
        <v>1632500.0000000005</v>
      </c>
      <c r="BG11" s="1132">
        <f t="shared" si="28"/>
        <v>476825720.93257463</v>
      </c>
      <c r="BH11" s="1132">
        <f t="shared" si="28"/>
        <v>3273009.9999999995</v>
      </c>
      <c r="BI11" s="1131">
        <f t="shared" si="0"/>
        <v>933565352.08608198</v>
      </c>
      <c r="BJ11" s="1131">
        <f t="shared" si="0"/>
        <v>6498660</v>
      </c>
      <c r="BK11" s="26"/>
      <c r="BL11" s="2062"/>
      <c r="BM11" s="26"/>
      <c r="BN11" s="26"/>
    </row>
    <row r="12" spans="1:66" s="4700" customFormat="1" ht="15.75" x14ac:dyDescent="0.25">
      <c r="A12" s="4725"/>
      <c r="B12" s="4726"/>
      <c r="C12" s="4727"/>
      <c r="D12" s="4728"/>
      <c r="E12" s="366"/>
      <c r="G12" s="1123">
        <v>1.6</v>
      </c>
      <c r="H12" s="1101" t="s">
        <v>1946</v>
      </c>
      <c r="I12" s="1868"/>
      <c r="J12" s="390"/>
      <c r="K12" s="1868"/>
      <c r="L12" s="390"/>
      <c r="M12" s="1131"/>
      <c r="N12" s="1131"/>
      <c r="O12" s="1868"/>
      <c r="P12" s="390"/>
      <c r="Q12" s="4729"/>
      <c r="R12" s="433">
        <f t="shared" si="19"/>
        <v>0</v>
      </c>
      <c r="S12" s="1868"/>
      <c r="T12" s="390"/>
      <c r="U12" s="1131"/>
      <c r="V12" s="1131"/>
      <c r="W12" s="1868"/>
      <c r="X12" s="390"/>
      <c r="Y12" s="1131"/>
      <c r="Z12" s="1131"/>
      <c r="AA12" s="1868"/>
      <c r="AB12" s="390"/>
      <c r="AC12" s="4729"/>
      <c r="AD12" s="1987">
        <f t="shared" si="21"/>
        <v>0</v>
      </c>
      <c r="AE12" s="1132"/>
      <c r="AF12" s="1132">
        <f t="shared" si="23"/>
        <v>0</v>
      </c>
      <c r="AG12" s="1868"/>
      <c r="AH12" s="390"/>
      <c r="AI12" s="1131"/>
      <c r="AJ12" s="1131"/>
      <c r="AK12" s="1868"/>
      <c r="AL12" s="390"/>
      <c r="AM12" s="1131"/>
      <c r="AN12" s="1131"/>
      <c r="AO12" s="1868"/>
      <c r="AP12" s="390"/>
      <c r="AQ12" s="4729"/>
      <c r="AR12" s="1987">
        <f t="shared" si="25"/>
        <v>0</v>
      </c>
      <c r="AS12" s="1131"/>
      <c r="AT12" s="1131">
        <f t="shared" si="13"/>
        <v>0</v>
      </c>
      <c r="AU12" s="1868"/>
      <c r="AV12" s="390"/>
      <c r="AW12" s="1131"/>
      <c r="AX12" s="1131">
        <f t="shared" si="15"/>
        <v>0</v>
      </c>
      <c r="AY12" s="1868"/>
      <c r="AZ12" s="390">
        <v>315755</v>
      </c>
      <c r="BA12" s="1131">
        <f t="shared" si="16"/>
        <v>0</v>
      </c>
      <c r="BB12" s="1131">
        <f t="shared" si="17"/>
        <v>315755</v>
      </c>
      <c r="BC12" s="1868"/>
      <c r="BD12" s="390">
        <v>560867</v>
      </c>
      <c r="BE12" s="4729"/>
      <c r="BF12" s="1987">
        <f t="shared" si="27"/>
        <v>876622</v>
      </c>
      <c r="BG12" s="1132">
        <f t="shared" ref="BG12" si="29">AQ12+BE12</f>
        <v>0</v>
      </c>
      <c r="BH12" s="1132">
        <f t="shared" ref="BH12" si="30">AR12+BF12</f>
        <v>876622</v>
      </c>
      <c r="BI12" s="1131">
        <f>AS12+BG12</f>
        <v>0</v>
      </c>
      <c r="BJ12" s="1131">
        <f t="shared" ref="BJ12:BJ33" si="31">+BB12+BD12</f>
        <v>876622</v>
      </c>
      <c r="BK12" s="26"/>
      <c r="BL12" s="2062"/>
      <c r="BM12" s="26"/>
      <c r="BN12" s="26"/>
    </row>
    <row r="13" spans="1:66" ht="15.75" x14ac:dyDescent="0.25">
      <c r="A13" s="340">
        <v>7</v>
      </c>
      <c r="B13" s="356" t="s">
        <v>500</v>
      </c>
      <c r="C13" s="16" t="s">
        <v>218</v>
      </c>
      <c r="D13" s="360">
        <v>261981.80799999906</v>
      </c>
      <c r="E13" s="361">
        <v>317978.65699999966</v>
      </c>
      <c r="G13" s="1126">
        <v>2</v>
      </c>
      <c r="H13" s="1862" t="s">
        <v>771</v>
      </c>
      <c r="I13" s="1867">
        <f>SUM(I14:I15)</f>
        <v>2520000</v>
      </c>
      <c r="J13" s="391">
        <f>SUM(J14:J15)</f>
        <v>2105172.3760000295</v>
      </c>
      <c r="K13" s="1867">
        <f>SUM(K14:K15)</f>
        <v>2604000</v>
      </c>
      <c r="L13" s="391">
        <f>SUM(L14:L15)</f>
        <v>2210920.7329999385</v>
      </c>
      <c r="M13" s="1128">
        <f t="shared" si="1"/>
        <v>5124000</v>
      </c>
      <c r="N13" s="1128">
        <f t="shared" si="1"/>
        <v>4316093.1089999676</v>
      </c>
      <c r="O13" s="1867">
        <f>SUM(O14:O15)</f>
        <v>2520000</v>
      </c>
      <c r="P13" s="391">
        <f>SUM(P14:P15)</f>
        <v>2031618.7380000215</v>
      </c>
      <c r="Q13" s="1986">
        <f t="shared" si="2"/>
        <v>7644000</v>
      </c>
      <c r="R13" s="435">
        <f t="shared" si="3"/>
        <v>6347711.8469999889</v>
      </c>
      <c r="S13" s="1867">
        <f>SUM(S14:S15)</f>
        <v>2604000</v>
      </c>
      <c r="T13" s="391">
        <f>SUM(T14:T15)</f>
        <v>2213547.8489999715</v>
      </c>
      <c r="U13" s="1128">
        <f t="shared" si="4"/>
        <v>10248000</v>
      </c>
      <c r="V13" s="1128">
        <f t="shared" si="5"/>
        <v>8561259.6959999613</v>
      </c>
      <c r="W13" s="1867">
        <f>SUM(W14:W15)</f>
        <v>2604000</v>
      </c>
      <c r="X13" s="391">
        <f>SUM(X14:X15)</f>
        <v>2016473.685000102</v>
      </c>
      <c r="Y13" s="1128">
        <f t="shared" si="6"/>
        <v>12852000</v>
      </c>
      <c r="Z13" s="1128">
        <f t="shared" si="7"/>
        <v>10577733.381000064</v>
      </c>
      <c r="AA13" s="1867">
        <f>SUM(AA14:AA15)</f>
        <v>2520000</v>
      </c>
      <c r="AB13" s="391">
        <f>SUM(AB14:AB15)</f>
        <v>1604853.2809999567</v>
      </c>
      <c r="AC13" s="1986">
        <f>S13+W13+AA13</f>
        <v>7728000</v>
      </c>
      <c r="AD13" s="1986">
        <f>T13+X13+AB13</f>
        <v>5834874.8150000302</v>
      </c>
      <c r="AE13" s="1129">
        <f>Q13+AC13</f>
        <v>15372000</v>
      </c>
      <c r="AF13" s="1129">
        <f>R13+AD13</f>
        <v>12182586.662000019</v>
      </c>
      <c r="AG13" s="1867">
        <f>SUM(AG14:AG15)</f>
        <v>2604000</v>
      </c>
      <c r="AH13" s="391">
        <f>SUM(AH14:AH15)</f>
        <v>1503769.3709999518</v>
      </c>
      <c r="AI13" s="1128">
        <f t="shared" si="8"/>
        <v>17976000</v>
      </c>
      <c r="AJ13" s="1128">
        <f t="shared" si="9"/>
        <v>13686356.03299997</v>
      </c>
      <c r="AK13" s="1867">
        <f>SUM(AK14:AK15)</f>
        <v>2520000</v>
      </c>
      <c r="AL13" s="391">
        <f>SUM(AL14:AL15)</f>
        <v>1323878.0259999754</v>
      </c>
      <c r="AM13" s="1128">
        <f t="shared" si="10"/>
        <v>20496000</v>
      </c>
      <c r="AN13" s="1128">
        <f t="shared" si="11"/>
        <v>15010234.058999944</v>
      </c>
      <c r="AO13" s="1867">
        <f>SUM(AO14:AO15)</f>
        <v>2604000</v>
      </c>
      <c r="AP13" s="391">
        <f>SUM(AP14:AP15)</f>
        <v>1989012.6366000846</v>
      </c>
      <c r="AQ13" s="1986">
        <f>AG13+AK13+AO13</f>
        <v>7728000</v>
      </c>
      <c r="AR13" s="1986">
        <f>AH13+AL13+AP13</f>
        <v>4816660.0336000118</v>
      </c>
      <c r="AS13" s="1128">
        <f t="shared" si="12"/>
        <v>23100000</v>
      </c>
      <c r="AT13" s="1128">
        <f t="shared" si="13"/>
        <v>16999246.695600029</v>
      </c>
      <c r="AU13" s="1867">
        <f>SUM(AU14:AU15)</f>
        <v>2604000</v>
      </c>
      <c r="AV13" s="391">
        <f>SUM(AV14:AV15)</f>
        <v>1266760.382999857</v>
      </c>
      <c r="AW13" s="1128">
        <f t="shared" si="14"/>
        <v>25704000</v>
      </c>
      <c r="AX13" s="1128">
        <f t="shared" si="15"/>
        <v>18266007.078599885</v>
      </c>
      <c r="AY13" s="1867">
        <f>SUM(AY14:AY15)</f>
        <v>2436000</v>
      </c>
      <c r="AZ13" s="391">
        <f>SUM(AZ14:AZ15)</f>
        <v>1171854.673000141</v>
      </c>
      <c r="BA13" s="1128">
        <f t="shared" si="16"/>
        <v>28140000</v>
      </c>
      <c r="BB13" s="1128">
        <f t="shared" si="17"/>
        <v>19437861.751600027</v>
      </c>
      <c r="BC13" s="1867">
        <f>SUM(BC14:BC15)</f>
        <v>2604000</v>
      </c>
      <c r="BD13" s="391">
        <f>SUM(BD14:BD15)</f>
        <v>1268458.8809998697</v>
      </c>
      <c r="BE13" s="1986">
        <f>AU13+AY13+BC13</f>
        <v>7644000</v>
      </c>
      <c r="BF13" s="1986">
        <f>AV13+AZ13+BD13</f>
        <v>3707073.9369998677</v>
      </c>
      <c r="BG13" s="1129">
        <f>AQ13+BE13</f>
        <v>15372000</v>
      </c>
      <c r="BH13" s="1129">
        <f>AR13+BF13</f>
        <v>8523733.9705998786</v>
      </c>
      <c r="BI13" s="1128">
        <f t="shared" ref="BI13:BI33" si="32">+BA13+BC13</f>
        <v>30744000</v>
      </c>
      <c r="BJ13" s="1128">
        <f t="shared" si="31"/>
        <v>20706320.632599898</v>
      </c>
      <c r="BK13" s="26"/>
      <c r="BL13" s="2062"/>
      <c r="BM13" s="26"/>
      <c r="BN13" s="26"/>
    </row>
    <row r="14" spans="1:66" ht="15.75" thickBot="1" x14ac:dyDescent="0.3">
      <c r="A14" s="340">
        <v>8</v>
      </c>
      <c r="B14" s="367" t="s">
        <v>501</v>
      </c>
      <c r="C14" s="14" t="s">
        <v>218</v>
      </c>
      <c r="D14" s="360">
        <v>1020193.9999999553</v>
      </c>
      <c r="E14" s="361">
        <v>1775455.3000000119</v>
      </c>
      <c r="G14" s="1123">
        <v>2.1</v>
      </c>
      <c r="H14" s="1101" t="s">
        <v>500</v>
      </c>
      <c r="I14" s="1868">
        <f>+I63*I$3*24*1000</f>
        <v>360000</v>
      </c>
      <c r="J14" s="390">
        <v>94544.375999999815</v>
      </c>
      <c r="K14" s="1868">
        <f>+K63*K$3*24*1000</f>
        <v>372000</v>
      </c>
      <c r="L14" s="390">
        <v>286337.73299999826</v>
      </c>
      <c r="M14" s="1131">
        <f t="shared" si="1"/>
        <v>732000</v>
      </c>
      <c r="N14" s="1131">
        <f t="shared" si="1"/>
        <v>380882.10899999808</v>
      </c>
      <c r="O14" s="1868">
        <f>+O63*O$3*24*1000</f>
        <v>360000</v>
      </c>
      <c r="P14" s="390">
        <v>358602.73800000665</v>
      </c>
      <c r="Q14" s="1987">
        <f t="shared" si="2"/>
        <v>1092000</v>
      </c>
      <c r="R14" s="434">
        <f t="shared" si="3"/>
        <v>739484.84700000472</v>
      </c>
      <c r="S14" s="1868">
        <f>+S63*S$3*24*1000</f>
        <v>372000</v>
      </c>
      <c r="T14" s="390">
        <v>306134.54900000419</v>
      </c>
      <c r="U14" s="1131">
        <f t="shared" si="4"/>
        <v>1464000</v>
      </c>
      <c r="V14" s="1131">
        <f t="shared" si="5"/>
        <v>1045619.3960000089</v>
      </c>
      <c r="W14" s="1868">
        <f>+W63*W$3*24*1000</f>
        <v>372000</v>
      </c>
      <c r="X14" s="390">
        <v>255664.68499999773</v>
      </c>
      <c r="Y14" s="1131">
        <f t="shared" si="6"/>
        <v>1836000</v>
      </c>
      <c r="Z14" s="1131">
        <f t="shared" si="7"/>
        <v>1301284.0810000068</v>
      </c>
      <c r="AA14" s="1868">
        <f>+AA63*AA$3*24*1000</f>
        <v>360000</v>
      </c>
      <c r="AB14" s="390">
        <v>232406.28100000136</v>
      </c>
      <c r="AC14" s="1988">
        <f t="shared" ref="AC14:AC15" si="33">S14+W14+AA14</f>
        <v>1104000</v>
      </c>
      <c r="AD14" s="1988">
        <f t="shared" ref="AD14:AD15" si="34">T14+X14+AB14</f>
        <v>794205.51500000327</v>
      </c>
      <c r="AE14" s="1132">
        <f t="shared" ref="AE14:AE33" si="35">Q14+AC14</f>
        <v>2196000</v>
      </c>
      <c r="AF14" s="1132">
        <f t="shared" ref="AF14:AF33" si="36">R14+AD14</f>
        <v>1533690.3620000081</v>
      </c>
      <c r="AG14" s="1868">
        <f>+AG63*AG$3*24*1000</f>
        <v>372000</v>
      </c>
      <c r="AH14" s="390">
        <v>231437.77100000251</v>
      </c>
      <c r="AI14" s="1131">
        <f t="shared" si="8"/>
        <v>2568000</v>
      </c>
      <c r="AJ14" s="1131">
        <f t="shared" si="9"/>
        <v>1765128.1330000106</v>
      </c>
      <c r="AK14" s="1868">
        <f>+AK63*AK$3*24*1000</f>
        <v>360000</v>
      </c>
      <c r="AL14" s="390">
        <v>240525.62599999923</v>
      </c>
      <c r="AM14" s="1131">
        <f t="shared" si="10"/>
        <v>2928000</v>
      </c>
      <c r="AN14" s="1131">
        <f t="shared" si="11"/>
        <v>2005653.7590000099</v>
      </c>
      <c r="AO14" s="1868">
        <f>+AO63*AO$3*24*1000</f>
        <v>372000</v>
      </c>
      <c r="AP14" s="390">
        <v>259426.83659999818</v>
      </c>
      <c r="AQ14" s="1988">
        <f t="shared" ref="AQ14:AQ33" si="37">AG14+AK14+AO14</f>
        <v>1104000</v>
      </c>
      <c r="AR14" s="1988">
        <f t="shared" ref="AR14:AR33" si="38">AH14+AL14+AP14</f>
        <v>731390.23359999992</v>
      </c>
      <c r="AS14" s="1131">
        <f t="shared" si="12"/>
        <v>3300000</v>
      </c>
      <c r="AT14" s="1131">
        <f t="shared" si="13"/>
        <v>2265080.595600008</v>
      </c>
      <c r="AU14" s="1868">
        <f>+AU63*AU$3*24*1000</f>
        <v>372000</v>
      </c>
      <c r="AV14" s="390">
        <v>334747.58700000215</v>
      </c>
      <c r="AW14" s="1131">
        <f t="shared" si="14"/>
        <v>3672000</v>
      </c>
      <c r="AX14" s="1131">
        <f t="shared" si="15"/>
        <v>2599828.1826000102</v>
      </c>
      <c r="AY14" s="1868">
        <f>+AY63*AY$3*24*1000</f>
        <v>348000</v>
      </c>
      <c r="AZ14" s="390">
        <v>225147.37299999502</v>
      </c>
      <c r="BA14" s="1131">
        <f t="shared" si="16"/>
        <v>4020000</v>
      </c>
      <c r="BB14" s="1131">
        <f t="shared" si="17"/>
        <v>2824975.5556000052</v>
      </c>
      <c r="BC14" s="1868">
        <f>+BC63*BC$3*24*1000</f>
        <v>372000</v>
      </c>
      <c r="BD14" s="390">
        <v>200386.5410000002</v>
      </c>
      <c r="BE14" s="1988">
        <f t="shared" ref="BE14:BE33" si="39">AU14+AY14+BC14</f>
        <v>1092000</v>
      </c>
      <c r="BF14" s="1988">
        <f t="shared" ref="BF14:BF33" si="40">AV14+AZ14+BD14</f>
        <v>760281.50099999737</v>
      </c>
      <c r="BG14" s="1132">
        <f t="shared" ref="BG14:BH15" si="41">AQ14+BE14</f>
        <v>2196000</v>
      </c>
      <c r="BH14" s="1132">
        <f t="shared" si="41"/>
        <v>1491671.7345999973</v>
      </c>
      <c r="BI14" s="1131">
        <f t="shared" si="32"/>
        <v>4392000</v>
      </c>
      <c r="BJ14" s="1131">
        <f t="shared" si="31"/>
        <v>3025362.0966000054</v>
      </c>
      <c r="BK14" s="26"/>
      <c r="BL14" s="2062"/>
      <c r="BM14" s="26"/>
      <c r="BN14" s="26"/>
    </row>
    <row r="15" spans="1:66" ht="16.5" thickBot="1" x14ac:dyDescent="0.3">
      <c r="A15" s="340">
        <v>9</v>
      </c>
      <c r="B15" s="364" t="s">
        <v>502</v>
      </c>
      <c r="C15" s="15" t="s">
        <v>218</v>
      </c>
      <c r="D15" s="365">
        <f>SUM(D13:D14)</f>
        <v>1282175.8079999543</v>
      </c>
      <c r="E15" s="366">
        <f>SUM(E13:E14)</f>
        <v>2093433.9570000116</v>
      </c>
      <c r="G15" s="1123">
        <v>2.2000000000000002</v>
      </c>
      <c r="H15" s="1101" t="s">
        <v>501</v>
      </c>
      <c r="I15" s="1868">
        <f>+I64*I$3*24*1000</f>
        <v>2160000</v>
      </c>
      <c r="J15" s="390">
        <v>2010628.0000000298</v>
      </c>
      <c r="K15" s="1868">
        <f>+K64*K$3*24*1000</f>
        <v>2232000</v>
      </c>
      <c r="L15" s="390">
        <v>1924582.9999999404</v>
      </c>
      <c r="M15" s="1131">
        <f t="shared" si="1"/>
        <v>4392000</v>
      </c>
      <c r="N15" s="1131">
        <f t="shared" si="1"/>
        <v>3935210.9999999702</v>
      </c>
      <c r="O15" s="1868">
        <f>+O64*O$3*24*1000</f>
        <v>2160000</v>
      </c>
      <c r="P15" s="390">
        <v>1673016.0000000149</v>
      </c>
      <c r="Q15" s="1987">
        <f t="shared" ref="Q15" si="42">+I15+K15+O15</f>
        <v>6552000</v>
      </c>
      <c r="R15" s="434">
        <f t="shared" ref="R15" si="43">+J15+L15+P15</f>
        <v>5608226.9999999851</v>
      </c>
      <c r="S15" s="1868">
        <f>+S64*S$3*24*1000</f>
        <v>2232000</v>
      </c>
      <c r="T15" s="390">
        <v>1907413.2999999672</v>
      </c>
      <c r="U15" s="1131">
        <f t="shared" si="4"/>
        <v>8784000</v>
      </c>
      <c r="V15" s="1131">
        <f t="shared" si="5"/>
        <v>7515640.2999999523</v>
      </c>
      <c r="W15" s="1868">
        <f>+W64*W$3*24*1000</f>
        <v>2232000</v>
      </c>
      <c r="X15" s="390">
        <v>1760809.0000001043</v>
      </c>
      <c r="Y15" s="1131">
        <f t="shared" si="6"/>
        <v>11016000</v>
      </c>
      <c r="Z15" s="1131">
        <f t="shared" si="7"/>
        <v>9276449.3000000566</v>
      </c>
      <c r="AA15" s="1868">
        <f>+AA64*AA$3*24*1000</f>
        <v>2160000</v>
      </c>
      <c r="AB15" s="390">
        <v>1372446.9999999553</v>
      </c>
      <c r="AC15" s="1988">
        <f t="shared" si="33"/>
        <v>6624000</v>
      </c>
      <c r="AD15" s="1988">
        <f t="shared" si="34"/>
        <v>5040669.3000000268</v>
      </c>
      <c r="AE15" s="1132">
        <f t="shared" si="35"/>
        <v>13176000</v>
      </c>
      <c r="AF15" s="1132">
        <f t="shared" si="36"/>
        <v>10648896.300000012</v>
      </c>
      <c r="AG15" s="1868">
        <f>+AG64*AG$3*24*1000</f>
        <v>2232000</v>
      </c>
      <c r="AH15" s="390">
        <v>1272331.5999999493</v>
      </c>
      <c r="AI15" s="1131">
        <f t="shared" si="8"/>
        <v>15408000</v>
      </c>
      <c r="AJ15" s="1131">
        <f t="shared" si="9"/>
        <v>11921227.899999961</v>
      </c>
      <c r="AK15" s="1868">
        <f>+AK64*AK$3*24*1000</f>
        <v>2160000</v>
      </c>
      <c r="AL15" s="390">
        <v>1083352.3999999762</v>
      </c>
      <c r="AM15" s="1131">
        <f t="shared" si="10"/>
        <v>17568000</v>
      </c>
      <c r="AN15" s="1131">
        <f t="shared" si="11"/>
        <v>13004580.299999937</v>
      </c>
      <c r="AO15" s="1868">
        <f>+AO64*AO$3*24*1000</f>
        <v>2232000</v>
      </c>
      <c r="AP15" s="390">
        <v>1729585.8000000864</v>
      </c>
      <c r="AQ15" s="1988">
        <f t="shared" si="37"/>
        <v>6624000</v>
      </c>
      <c r="AR15" s="1988">
        <f t="shared" si="38"/>
        <v>4085269.8000000119</v>
      </c>
      <c r="AS15" s="1131">
        <f t="shared" si="12"/>
        <v>19800000</v>
      </c>
      <c r="AT15" s="1131">
        <f t="shared" si="13"/>
        <v>14734166.100000024</v>
      </c>
      <c r="AU15" s="1868">
        <f>+AU64*AU$3*24*1000</f>
        <v>2232000</v>
      </c>
      <c r="AV15" s="390">
        <v>932012.7959998548</v>
      </c>
      <c r="AW15" s="1131">
        <f t="shared" si="14"/>
        <v>22032000</v>
      </c>
      <c r="AX15" s="1131">
        <f t="shared" si="15"/>
        <v>15666178.895999879</v>
      </c>
      <c r="AY15" s="1868">
        <f>+AY64*AY$3*24*1000</f>
        <v>2088000</v>
      </c>
      <c r="AZ15" s="390">
        <v>946707.30000014603</v>
      </c>
      <c r="BA15" s="1131">
        <f t="shared" si="16"/>
        <v>24120000</v>
      </c>
      <c r="BB15" s="1131">
        <f t="shared" si="17"/>
        <v>16612886.196000025</v>
      </c>
      <c r="BC15" s="1868">
        <f>+BC64*BC$3*24*1000</f>
        <v>2232000</v>
      </c>
      <c r="BD15" s="390">
        <v>1068072.3399998695</v>
      </c>
      <c r="BE15" s="1988">
        <f t="shared" si="39"/>
        <v>6552000</v>
      </c>
      <c r="BF15" s="1988">
        <f t="shared" si="40"/>
        <v>2946792.4359998703</v>
      </c>
      <c r="BG15" s="1132">
        <f t="shared" si="41"/>
        <v>13176000</v>
      </c>
      <c r="BH15" s="1132">
        <f t="shared" si="41"/>
        <v>7032062.2359998822</v>
      </c>
      <c r="BI15" s="1131">
        <f t="shared" si="32"/>
        <v>26352000</v>
      </c>
      <c r="BJ15" s="1131">
        <f t="shared" si="31"/>
        <v>17680958.535999894</v>
      </c>
      <c r="BK15" s="26"/>
      <c r="BL15" s="2062"/>
      <c r="BM15" s="26"/>
      <c r="BN15" s="26"/>
    </row>
    <row r="16" spans="1:66" ht="16.5" thickBot="1" x14ac:dyDescent="0.3">
      <c r="A16" s="340">
        <v>10</v>
      </c>
      <c r="B16" s="368" t="s">
        <v>129</v>
      </c>
      <c r="C16" s="15" t="s">
        <v>218</v>
      </c>
      <c r="D16" s="369">
        <f>+D11-D15</f>
        <v>88061714.192000017</v>
      </c>
      <c r="E16" s="370">
        <f>+E11-E15</f>
        <v>93510526.042999983</v>
      </c>
      <c r="G16" s="1126">
        <v>3</v>
      </c>
      <c r="H16" s="1862" t="s">
        <v>772</v>
      </c>
      <c r="I16" s="1867">
        <f>I6-I13</f>
        <v>190030295.09483194</v>
      </c>
      <c r="J16" s="438">
        <f>J6-J13</f>
        <v>109970267.62399991</v>
      </c>
      <c r="K16" s="1867">
        <f>K6-K13</f>
        <v>182014757.35935825</v>
      </c>
      <c r="L16" s="438">
        <f>L6-L13</f>
        <v>101507407.26700003</v>
      </c>
      <c r="M16" s="1128">
        <f t="shared" si="1"/>
        <v>372045052.45419019</v>
      </c>
      <c r="N16" s="1128">
        <f t="shared" si="1"/>
        <v>211477674.89099994</v>
      </c>
      <c r="O16" s="1867">
        <f>O6-O13</f>
        <v>172335657.42201525</v>
      </c>
      <c r="P16" s="438">
        <f>P6-P13</f>
        <v>101489531.26200002</v>
      </c>
      <c r="Q16" s="1986">
        <f t="shared" si="2"/>
        <v>544380709.87620544</v>
      </c>
      <c r="R16" s="435">
        <f t="shared" si="3"/>
        <v>312967206.153</v>
      </c>
      <c r="S16" s="1867">
        <f>S6-S13</f>
        <v>194863864.66198558</v>
      </c>
      <c r="T16" s="438">
        <f>T6-T13</f>
        <v>114542402.15100002</v>
      </c>
      <c r="U16" s="1128">
        <f t="shared" si="4"/>
        <v>739244574.53819108</v>
      </c>
      <c r="V16" s="1128">
        <f t="shared" si="5"/>
        <v>427509608.30400002</v>
      </c>
      <c r="W16" s="1867">
        <f>W6-W13</f>
        <v>194661387.26140988</v>
      </c>
      <c r="X16" s="438">
        <f>X6-X13</f>
        <v>115494576.31500001</v>
      </c>
      <c r="Y16" s="1128">
        <f t="shared" si="6"/>
        <v>933905961.79960096</v>
      </c>
      <c r="Z16" s="1128">
        <f t="shared" si="7"/>
        <v>543004184.61900008</v>
      </c>
      <c r="AA16" s="1867">
        <f>AA6-AA13</f>
        <v>188849967.17408043</v>
      </c>
      <c r="AB16" s="438">
        <f>AB6-AB13</f>
        <v>109591677.71899998</v>
      </c>
      <c r="AC16" s="1986">
        <f t="shared" ref="AC16:AD18" si="44">S16+W16+AA16</f>
        <v>578375219.09747589</v>
      </c>
      <c r="AD16" s="1986">
        <f t="shared" si="44"/>
        <v>339628656.185</v>
      </c>
      <c r="AE16" s="1129">
        <f t="shared" si="35"/>
        <v>1122755928.9736814</v>
      </c>
      <c r="AF16" s="1129">
        <f t="shared" si="36"/>
        <v>652595862.33800006</v>
      </c>
      <c r="AG16" s="1867">
        <f>AG6-AG13</f>
        <v>197009651.35248986</v>
      </c>
      <c r="AH16" s="438">
        <f>AH6-AH13</f>
        <v>113522940.62900005</v>
      </c>
      <c r="AI16" s="1128">
        <f t="shared" si="8"/>
        <v>1319765580.3261714</v>
      </c>
      <c r="AJ16" s="1128">
        <f t="shared" si="9"/>
        <v>766118802.96700013</v>
      </c>
      <c r="AK16" s="1867">
        <f>AK6-AK13</f>
        <v>191017163.78135806</v>
      </c>
      <c r="AL16" s="438">
        <f>AL6-AL13</f>
        <v>106849231.97400005</v>
      </c>
      <c r="AM16" s="1128">
        <f t="shared" si="10"/>
        <v>1510782744.1075294</v>
      </c>
      <c r="AN16" s="1128">
        <f t="shared" si="11"/>
        <v>872968034.94100022</v>
      </c>
      <c r="AO16" s="1867">
        <f>AO6-AO13</f>
        <v>197577061.36202249</v>
      </c>
      <c r="AP16" s="438">
        <f>AP6-AP13</f>
        <v>111885666.36339989</v>
      </c>
      <c r="AQ16" s="1986">
        <f t="shared" si="37"/>
        <v>585603876.49587047</v>
      </c>
      <c r="AR16" s="1986">
        <f t="shared" si="38"/>
        <v>332257838.96640003</v>
      </c>
      <c r="AS16" s="1128">
        <f t="shared" si="12"/>
        <v>1708359805.4695518</v>
      </c>
      <c r="AT16" s="1128">
        <f t="shared" si="13"/>
        <v>984853701.30440009</v>
      </c>
      <c r="AU16" s="1867">
        <f>AU6-AU13</f>
        <v>197815929.58226341</v>
      </c>
      <c r="AV16" s="438">
        <f>AV6-AV13</f>
        <v>112158962.11300007</v>
      </c>
      <c r="AW16" s="1128">
        <f t="shared" si="14"/>
        <v>1906175735.0518153</v>
      </c>
      <c r="AX16" s="1128">
        <f t="shared" si="15"/>
        <v>1097012663.4174001</v>
      </c>
      <c r="AY16" s="1867">
        <f>AY6-AY13</f>
        <v>184316794.04509056</v>
      </c>
      <c r="AZ16" s="438">
        <f>AZ6-AZ13</f>
        <v>104641143.32699992</v>
      </c>
      <c r="BA16" s="1128">
        <f t="shared" si="16"/>
        <v>2090492529.0969057</v>
      </c>
      <c r="BB16" s="1128">
        <f t="shared" si="17"/>
        <v>1201653806.7444</v>
      </c>
      <c r="BC16" s="1867">
        <f>BC6-BC13</f>
        <v>198144471.37155521</v>
      </c>
      <c r="BD16" s="438">
        <f>BD6-BD13</f>
        <v>110954941.1590001</v>
      </c>
      <c r="BE16" s="1986">
        <f t="shared" si="39"/>
        <v>580277194.99890924</v>
      </c>
      <c r="BF16" s="1986">
        <f t="shared" si="40"/>
        <v>327755046.5990001</v>
      </c>
      <c r="BG16" s="1129">
        <f t="shared" ref="BG16:BH17" si="45">AQ16+BE16</f>
        <v>1165881071.4947796</v>
      </c>
      <c r="BH16" s="1129">
        <f t="shared" si="45"/>
        <v>660012885.56540012</v>
      </c>
      <c r="BI16" s="1128">
        <f t="shared" si="32"/>
        <v>2288637000.468461</v>
      </c>
      <c r="BJ16" s="1128">
        <f t="shared" si="31"/>
        <v>1312608747.9034002</v>
      </c>
      <c r="BK16" s="26"/>
      <c r="BL16" s="2062"/>
      <c r="BM16" s="26"/>
      <c r="BN16" s="26"/>
    </row>
    <row r="17" spans="1:66" ht="15.75" x14ac:dyDescent="0.25">
      <c r="A17" s="340">
        <v>11</v>
      </c>
      <c r="B17" s="359" t="s">
        <v>755</v>
      </c>
      <c r="C17" s="13" t="s">
        <v>218</v>
      </c>
      <c r="D17" s="360">
        <v>1093290</v>
      </c>
      <c r="E17" s="361">
        <v>1171532.8</v>
      </c>
      <c r="G17" s="1126">
        <v>4</v>
      </c>
      <c r="H17" s="1862" t="s">
        <v>773</v>
      </c>
      <c r="I17" s="1867">
        <f>I18+I40</f>
        <v>112896999.3992679</v>
      </c>
      <c r="J17" s="438">
        <f>J18+J40</f>
        <v>109971267.62399991</v>
      </c>
      <c r="K17" s="1867">
        <f>K18+K40</f>
        <v>108926674.97597542</v>
      </c>
      <c r="L17" s="438">
        <f>L18+L40</f>
        <v>101507407.26700005</v>
      </c>
      <c r="M17" s="1128">
        <f t="shared" si="1"/>
        <v>221823674.37524331</v>
      </c>
      <c r="N17" s="1128">
        <f t="shared" si="1"/>
        <v>211478674.89099997</v>
      </c>
      <c r="O17" s="1867">
        <f>O18+O40</f>
        <v>103737273.15545207</v>
      </c>
      <c r="P17" s="438">
        <f>P18+P40</f>
        <v>101489531.26200001</v>
      </c>
      <c r="Q17" s="1986">
        <f t="shared" si="2"/>
        <v>325560947.53069538</v>
      </c>
      <c r="R17" s="435">
        <f t="shared" si="3"/>
        <v>312968206.153</v>
      </c>
      <c r="S17" s="1867">
        <f>S18+S40</f>
        <v>115812061.96062255</v>
      </c>
      <c r="T17" s="438">
        <f>T18+T40</f>
        <v>114542402.15100002</v>
      </c>
      <c r="U17" s="1128">
        <f t="shared" si="4"/>
        <v>441373009.49131793</v>
      </c>
      <c r="V17" s="1128">
        <f t="shared" si="5"/>
        <v>427510608.30400002</v>
      </c>
      <c r="W17" s="1867">
        <f>W18+W40</f>
        <v>115710823.26033448</v>
      </c>
      <c r="X17" s="438">
        <f>X18+X40</f>
        <v>115494576.31500001</v>
      </c>
      <c r="Y17" s="1128">
        <f t="shared" si="6"/>
        <v>557083832.75165236</v>
      </c>
      <c r="Z17" s="1128">
        <f t="shared" si="7"/>
        <v>543005184.61900008</v>
      </c>
      <c r="AA17" s="1867">
        <f>AA18+AA40</f>
        <v>112226465.06852159</v>
      </c>
      <c r="AB17" s="438">
        <f>AB18+AB40</f>
        <v>109591677.719</v>
      </c>
      <c r="AC17" s="1986">
        <f t="shared" si="44"/>
        <v>343749350.28947866</v>
      </c>
      <c r="AD17" s="1986">
        <f t="shared" si="44"/>
        <v>339628656.185</v>
      </c>
      <c r="AE17" s="1129">
        <f t="shared" si="35"/>
        <v>669310297.82017398</v>
      </c>
      <c r="AF17" s="1129">
        <f t="shared" si="36"/>
        <v>652596862.33800006</v>
      </c>
      <c r="AG17" s="1867">
        <f>AG18+AG40</f>
        <v>117025603.45402282</v>
      </c>
      <c r="AH17" s="438">
        <f>AH18+AH40</f>
        <v>113522940.62900004</v>
      </c>
      <c r="AI17" s="1128">
        <f t="shared" si="8"/>
        <v>786335901.27419686</v>
      </c>
      <c r="AJ17" s="1128">
        <f t="shared" si="9"/>
        <v>766119802.96700013</v>
      </c>
      <c r="AK17" s="1867">
        <f>AK18+AK40</f>
        <v>113430618.92771587</v>
      </c>
      <c r="AL17" s="438">
        <f>AL18+AL40</f>
        <v>106849231.97400004</v>
      </c>
      <c r="AM17" s="1128">
        <f t="shared" si="10"/>
        <v>899766520.20191276</v>
      </c>
      <c r="AN17" s="1128">
        <f t="shared" si="11"/>
        <v>872969034.94100022</v>
      </c>
      <c r="AO17" s="1867">
        <f>AO18+AO40</f>
        <v>117329401.05138177</v>
      </c>
      <c r="AP17" s="438">
        <f>AP18+AP40</f>
        <v>111885666.36339988</v>
      </c>
      <c r="AQ17" s="1986">
        <f t="shared" si="37"/>
        <v>347785623.43312049</v>
      </c>
      <c r="AR17" s="1986">
        <f t="shared" si="38"/>
        <v>332257838.96639997</v>
      </c>
      <c r="AS17" s="1128">
        <f t="shared" si="12"/>
        <v>1017095921.2532945</v>
      </c>
      <c r="AT17" s="1128">
        <f t="shared" si="13"/>
        <v>984854701.30440009</v>
      </c>
      <c r="AU17" s="1867">
        <f>AU18+AU40</f>
        <v>117448835.16150212</v>
      </c>
      <c r="AV17" s="438">
        <f>AV18+AV40</f>
        <v>112158962.11300008</v>
      </c>
      <c r="AW17" s="1128">
        <f t="shared" si="14"/>
        <v>1134544756.4147966</v>
      </c>
      <c r="AX17" s="1128">
        <f t="shared" si="15"/>
        <v>1097013663.4174001</v>
      </c>
      <c r="AY17" s="1867">
        <f>AY18+AY40</f>
        <v>109481693.31884159</v>
      </c>
      <c r="AZ17" s="438">
        <f>AZ18+AZ40</f>
        <v>104641143.3269999</v>
      </c>
      <c r="BA17" s="1128">
        <f t="shared" si="16"/>
        <v>1244026449.7336383</v>
      </c>
      <c r="BB17" s="1128">
        <f t="shared" si="17"/>
        <v>1201654806.7444</v>
      </c>
      <c r="BC17" s="1867">
        <f>BC18+BC40</f>
        <v>117633198.64874072</v>
      </c>
      <c r="BD17" s="438">
        <f>BD18+BD40</f>
        <v>110954941.15900008</v>
      </c>
      <c r="BE17" s="1986">
        <f t="shared" si="39"/>
        <v>344563727.12908441</v>
      </c>
      <c r="BF17" s="1986">
        <f t="shared" si="40"/>
        <v>327755046.5990001</v>
      </c>
      <c r="BG17" s="1129">
        <f t="shared" si="45"/>
        <v>692349350.56220484</v>
      </c>
      <c r="BH17" s="1129">
        <f t="shared" si="45"/>
        <v>660012885.56540012</v>
      </c>
      <c r="BI17" s="1128">
        <f t="shared" si="32"/>
        <v>1361659648.3823791</v>
      </c>
      <c r="BJ17" s="1128">
        <f t="shared" si="31"/>
        <v>1312609747.9034002</v>
      </c>
      <c r="BK17" s="26"/>
      <c r="BL17" s="2062"/>
      <c r="BM17" s="26"/>
      <c r="BN17" s="26"/>
    </row>
    <row r="18" spans="1:66" ht="15.75" x14ac:dyDescent="0.25">
      <c r="A18" s="340">
        <v>12</v>
      </c>
      <c r="B18" s="359" t="s">
        <v>747</v>
      </c>
      <c r="C18" s="13" t="s">
        <v>218</v>
      </c>
      <c r="D18" s="360">
        <v>5090630.0000000047</v>
      </c>
      <c r="E18" s="361">
        <v>4892460.0000000009</v>
      </c>
      <c r="G18" s="1133">
        <v>4.0999999999999996</v>
      </c>
      <c r="H18" s="1863" t="s">
        <v>767</v>
      </c>
      <c r="I18" s="1870">
        <f>I19+I35</f>
        <v>103302999.3992679</v>
      </c>
      <c r="J18" s="392">
        <f>J19+J35</f>
        <v>100922951.41379991</v>
      </c>
      <c r="K18" s="1870">
        <f>K19+K35</f>
        <v>99012874.975975424</v>
      </c>
      <c r="L18" s="392">
        <f>L19+L35</f>
        <v>92315227.999000043</v>
      </c>
      <c r="M18" s="218">
        <f t="shared" si="1"/>
        <v>202315874.37524331</v>
      </c>
      <c r="N18" s="218">
        <f t="shared" si="1"/>
        <v>193238179.41279995</v>
      </c>
      <c r="O18" s="1870">
        <f>O19+O35</f>
        <v>94143273.155452073</v>
      </c>
      <c r="P18" s="392">
        <f>P19+P35</f>
        <v>92270824.904800013</v>
      </c>
      <c r="Q18" s="1989">
        <f t="shared" si="2"/>
        <v>296459147.53069538</v>
      </c>
      <c r="R18" s="1990">
        <f t="shared" si="3"/>
        <v>285509004.31759995</v>
      </c>
      <c r="S18" s="1870">
        <f>S19+S35</f>
        <v>105898261.96062255</v>
      </c>
      <c r="T18" s="392">
        <f>T19+T35</f>
        <v>104967481.95360003</v>
      </c>
      <c r="U18" s="2134">
        <f t="shared" si="4"/>
        <v>402357409.49131793</v>
      </c>
      <c r="V18" s="2134">
        <f t="shared" si="5"/>
        <v>390476486.2712</v>
      </c>
      <c r="W18" s="1870">
        <f>W19+W35</f>
        <v>105797023.26033448</v>
      </c>
      <c r="X18" s="392">
        <f>X19+X35</f>
        <v>106037593.70560001</v>
      </c>
      <c r="Y18" s="2134">
        <f t="shared" si="6"/>
        <v>508154432.75165242</v>
      </c>
      <c r="Z18" s="2134">
        <f t="shared" si="7"/>
        <v>496514079.97680002</v>
      </c>
      <c r="AA18" s="1870">
        <f>AA19+AA35</f>
        <v>102632465.06852159</v>
      </c>
      <c r="AB18" s="392">
        <f>AB19+AB35</f>
        <v>100060861.7586</v>
      </c>
      <c r="AC18" s="1989">
        <f t="shared" si="44"/>
        <v>314327750.28947866</v>
      </c>
      <c r="AD18" s="1990">
        <f t="shared" si="44"/>
        <v>311065937.41780007</v>
      </c>
      <c r="AE18" s="2280">
        <f t="shared" si="35"/>
        <v>610786897.82017398</v>
      </c>
      <c r="AF18" s="2280">
        <f t="shared" si="36"/>
        <v>596574941.73539996</v>
      </c>
      <c r="AG18" s="1870">
        <f>AG19+AG35</f>
        <v>107111803.45402282</v>
      </c>
      <c r="AH18" s="392">
        <f>AH19+AH35</f>
        <v>103963539.59700003</v>
      </c>
      <c r="AI18" s="2134">
        <f t="shared" si="8"/>
        <v>717898701.27419686</v>
      </c>
      <c r="AJ18" s="2134">
        <f t="shared" si="9"/>
        <v>700538481.33239996</v>
      </c>
      <c r="AK18" s="1870">
        <f>AK19+AK35</f>
        <v>103836618.92771587</v>
      </c>
      <c r="AL18" s="392">
        <f>AL19+AL35</f>
        <v>98160300.202000037</v>
      </c>
      <c r="AM18" s="2134">
        <f t="shared" si="10"/>
        <v>821735320.20191276</v>
      </c>
      <c r="AN18" s="2134">
        <f t="shared" si="11"/>
        <v>798698781.53439999</v>
      </c>
      <c r="AO18" s="1870">
        <f>AO19+AO35</f>
        <v>107415601.05138177</v>
      </c>
      <c r="AP18" s="392">
        <f>AP19+AP35</f>
        <v>103274808.47859988</v>
      </c>
      <c r="AQ18" s="1989">
        <f t="shared" si="37"/>
        <v>318364023.43312049</v>
      </c>
      <c r="AR18" s="1990">
        <f t="shared" si="38"/>
        <v>305398648.27759993</v>
      </c>
      <c r="AS18" s="2134">
        <f t="shared" si="12"/>
        <v>929150921.25329447</v>
      </c>
      <c r="AT18" s="2134">
        <f t="shared" si="13"/>
        <v>901973590.01299989</v>
      </c>
      <c r="AU18" s="1870">
        <f>AU19+AU35</f>
        <v>107535035.16150212</v>
      </c>
      <c r="AV18" s="392">
        <f>AV19+AV35</f>
        <v>103320765.31980008</v>
      </c>
      <c r="AW18" s="2134">
        <f t="shared" si="14"/>
        <v>1036685956.4147966</v>
      </c>
      <c r="AX18" s="2134">
        <f t="shared" si="15"/>
        <v>1005294355.3327999</v>
      </c>
      <c r="AY18" s="1870">
        <f>AY19+AY35</f>
        <v>100207493.31884159</v>
      </c>
      <c r="AZ18" s="392">
        <f>AZ19+AZ35</f>
        <v>96675748.405599907</v>
      </c>
      <c r="BA18" s="2134">
        <f t="shared" si="16"/>
        <v>1136893449.7336383</v>
      </c>
      <c r="BB18" s="2134">
        <f t="shared" si="17"/>
        <v>1101970103.7383997</v>
      </c>
      <c r="BC18" s="1870">
        <f>BC19+BC35</f>
        <v>107719398.64874072</v>
      </c>
      <c r="BD18" s="392">
        <f>BD19+BD35</f>
        <v>102429073.10720009</v>
      </c>
      <c r="BE18" s="1989">
        <f t="shared" si="39"/>
        <v>315461927.12908441</v>
      </c>
      <c r="BF18" s="1990">
        <f t="shared" si="40"/>
        <v>302425586.83260006</v>
      </c>
      <c r="BG18" s="2280">
        <f>AQ18+BE18</f>
        <v>633825950.56220484</v>
      </c>
      <c r="BH18" s="2280">
        <f>AR18+BF18</f>
        <v>607824235.11019993</v>
      </c>
      <c r="BI18" s="2134">
        <f t="shared" si="32"/>
        <v>1244612848.3823791</v>
      </c>
      <c r="BJ18" s="2134">
        <f t="shared" si="31"/>
        <v>1204399176.8455999</v>
      </c>
      <c r="BK18" s="26"/>
      <c r="BL18" s="2062"/>
      <c r="BM18" s="26"/>
      <c r="BN18" s="26"/>
    </row>
    <row r="19" spans="1:66" ht="15.75" x14ac:dyDescent="0.25">
      <c r="A19" s="340">
        <v>13</v>
      </c>
      <c r="B19" s="359" t="s">
        <v>654</v>
      </c>
      <c r="C19" s="13" t="s">
        <v>218</v>
      </c>
      <c r="D19" s="360">
        <v>1555939.9999999995</v>
      </c>
      <c r="E19" s="361">
        <v>1505040</v>
      </c>
      <c r="G19" s="1134" t="s">
        <v>774</v>
      </c>
      <c r="H19" s="1864" t="s">
        <v>746</v>
      </c>
      <c r="I19" s="1871">
        <f>SUM(I20:I33)</f>
        <v>100856499.30411671</v>
      </c>
      <c r="J19" s="393">
        <f>SUM(J20:J33)</f>
        <v>99313054.299999908</v>
      </c>
      <c r="K19" s="1871">
        <f>SUM(K20:K33)</f>
        <v>96484824.877652526</v>
      </c>
      <c r="L19" s="393">
        <f>SUM(L20:L33)</f>
        <v>90518198.200000048</v>
      </c>
      <c r="M19" s="1135">
        <f t="shared" si="1"/>
        <v>197341324.18176925</v>
      </c>
      <c r="N19" s="1135">
        <f t="shared" si="1"/>
        <v>189831252.49999994</v>
      </c>
      <c r="O19" s="1871">
        <f>SUM(O20:O33)</f>
        <v>91696773.060300887</v>
      </c>
      <c r="P19" s="393">
        <f>SUM(P20:P33)</f>
        <v>90564581.600000009</v>
      </c>
      <c r="Q19" s="1991">
        <f t="shared" si="2"/>
        <v>289038097.24207014</v>
      </c>
      <c r="R19" s="1992">
        <f t="shared" si="3"/>
        <v>280395834.09999996</v>
      </c>
      <c r="S19" s="1871">
        <f>SUM(S20:S33)</f>
        <v>103367083.70293298</v>
      </c>
      <c r="T19" s="393">
        <f>SUM(T20:T33)</f>
        <v>103111651.70000003</v>
      </c>
      <c r="U19" s="1135">
        <f t="shared" si="4"/>
        <v>392405180.94500315</v>
      </c>
      <c r="V19" s="1135">
        <f t="shared" si="5"/>
        <v>383507485.80000001</v>
      </c>
      <c r="W19" s="1871">
        <f>SUM(W20:W33)</f>
        <v>103265845.00264491</v>
      </c>
      <c r="X19" s="393">
        <f>SUM(X20:X33)</f>
        <v>104250509.30000001</v>
      </c>
      <c r="Y19" s="1135">
        <f t="shared" si="6"/>
        <v>495671025.94764805</v>
      </c>
      <c r="Z19" s="1135">
        <f t="shared" si="7"/>
        <v>487757995.10000002</v>
      </c>
      <c r="AA19" s="1871">
        <f>SUM(AA20:AA33)</f>
        <v>100182937.7223704</v>
      </c>
      <c r="AB19" s="393">
        <f>SUM(AB20:AB33)</f>
        <v>98228610.899999991</v>
      </c>
      <c r="AC19" s="1991">
        <f t="shared" ref="AC19:AC33" si="46">S19+W19+AA19</f>
        <v>306815866.4279483</v>
      </c>
      <c r="AD19" s="1992">
        <f t="shared" ref="AD19:AD33" si="47">T19+X19+AB19</f>
        <v>305590771.90000004</v>
      </c>
      <c r="AE19" s="1136">
        <f t="shared" si="35"/>
        <v>595853963.67001843</v>
      </c>
      <c r="AF19" s="1136">
        <f t="shared" si="36"/>
        <v>585986606</v>
      </c>
      <c r="AG19" s="1871">
        <f>SUM(AG20:AG33)</f>
        <v>104580625.19633326</v>
      </c>
      <c r="AH19" s="393">
        <f>SUM(AH20:AH33)</f>
        <v>102120932.80000004</v>
      </c>
      <c r="AI19" s="1135">
        <f t="shared" si="8"/>
        <v>700434588.86635172</v>
      </c>
      <c r="AJ19" s="1135">
        <f t="shared" si="9"/>
        <v>688107538.80000007</v>
      </c>
      <c r="AK19" s="1871">
        <f>SUM(AK20:AK33)</f>
        <v>101387091.58156468</v>
      </c>
      <c r="AL19" s="393">
        <f>SUM(AL20:AL33)</f>
        <v>96493277.400000036</v>
      </c>
      <c r="AM19" s="1135">
        <f t="shared" si="10"/>
        <v>801821680.44791639</v>
      </c>
      <c r="AN19" s="1135">
        <f t="shared" si="11"/>
        <v>784600816.20000005</v>
      </c>
      <c r="AO19" s="1871">
        <f>SUM(AO20:AO33)</f>
        <v>104884422.7936922</v>
      </c>
      <c r="AP19" s="393">
        <f>SUM(AP20:AP33)</f>
        <v>101717386.99999988</v>
      </c>
      <c r="AQ19" s="1991">
        <f t="shared" si="37"/>
        <v>310852139.57159019</v>
      </c>
      <c r="AR19" s="1992">
        <f t="shared" si="38"/>
        <v>300331597.19999993</v>
      </c>
      <c r="AS19" s="1135">
        <f t="shared" si="12"/>
        <v>906706103.24160862</v>
      </c>
      <c r="AT19" s="1135">
        <f t="shared" si="13"/>
        <v>886318203.19999993</v>
      </c>
      <c r="AU19" s="1871">
        <f>SUM(AU20:AU33)</f>
        <v>105003856.90381256</v>
      </c>
      <c r="AV19" s="393">
        <f>SUM(AV20:AV33)</f>
        <v>101744315.30000009</v>
      </c>
      <c r="AW19" s="1135">
        <f t="shared" si="14"/>
        <v>1011709960.1454211</v>
      </c>
      <c r="AX19" s="1135">
        <f t="shared" si="15"/>
        <v>988062518.5</v>
      </c>
      <c r="AY19" s="1871">
        <f>SUM(AY20:AY33)</f>
        <v>97839616.884228781</v>
      </c>
      <c r="AZ19" s="393">
        <f>SUM(AZ20:AZ33)</f>
        <v>95118741.499999911</v>
      </c>
      <c r="BA19" s="1135">
        <f t="shared" si="16"/>
        <v>1109549577.02965</v>
      </c>
      <c r="BB19" s="1135">
        <f t="shared" si="17"/>
        <v>1083181260</v>
      </c>
      <c r="BC19" s="1871">
        <f>SUM(BC20:BC33)</f>
        <v>105188220.39105116</v>
      </c>
      <c r="BD19" s="393">
        <f>SUM(BD20:BD33)</f>
        <v>100765566.40000008</v>
      </c>
      <c r="BE19" s="1991">
        <f t="shared" si="39"/>
        <v>308031694.17909253</v>
      </c>
      <c r="BF19" s="1992">
        <f t="shared" si="40"/>
        <v>297628623.20000011</v>
      </c>
      <c r="BG19" s="1129">
        <f>AQ19+BE19</f>
        <v>618883833.75068271</v>
      </c>
      <c r="BH19" s="1129">
        <f>AR19+BF19</f>
        <v>597960220.4000001</v>
      </c>
      <c r="BI19" s="1135">
        <f t="shared" si="32"/>
        <v>1214737797.420701</v>
      </c>
      <c r="BJ19" s="1135">
        <f t="shared" si="31"/>
        <v>1183946826.4000001</v>
      </c>
      <c r="BK19" s="26"/>
      <c r="BL19" s="2062"/>
      <c r="BM19" s="26"/>
      <c r="BN19" s="26"/>
    </row>
    <row r="20" spans="1:66" x14ac:dyDescent="0.25">
      <c r="A20" s="340">
        <v>14</v>
      </c>
      <c r="B20" s="359" t="s">
        <v>495</v>
      </c>
      <c r="C20" s="13" t="s">
        <v>218</v>
      </c>
      <c r="D20" s="360">
        <v>7954979.9999999814</v>
      </c>
      <c r="E20" s="361">
        <v>8018420.0000000149</v>
      </c>
      <c r="G20" s="1123" t="s">
        <v>775</v>
      </c>
      <c r="H20" s="1101" t="s">
        <v>747</v>
      </c>
      <c r="I20" s="1869">
        <f t="shared" ref="I20:I33" si="48">+I69*I$3*24*1000</f>
        <v>4817002.6749971965</v>
      </c>
      <c r="J20" s="390">
        <v>4878210.0000000019</v>
      </c>
      <c r="K20" s="1869">
        <f t="shared" ref="K20:K33" si="49">+K69*K$3*24*1000</f>
        <v>4977569.4308304368</v>
      </c>
      <c r="L20" s="390">
        <v>4961269.9999999916</v>
      </c>
      <c r="M20" s="1131">
        <f t="shared" si="1"/>
        <v>9794572.1058276333</v>
      </c>
      <c r="N20" s="1131">
        <f t="shared" si="1"/>
        <v>9839479.9999999925</v>
      </c>
      <c r="O20" s="1869">
        <f t="shared" ref="O20" si="50">+O69*O$3*24*1000</f>
        <v>4817002.6749971965</v>
      </c>
      <c r="P20" s="390">
        <v>4587389.9999999963</v>
      </c>
      <c r="Q20" s="1988">
        <f t="shared" si="2"/>
        <v>14611574.780824829</v>
      </c>
      <c r="R20" s="434">
        <f t="shared" si="3"/>
        <v>14426869.999999989</v>
      </c>
      <c r="S20" s="1869">
        <f t="shared" ref="S20:S33" si="51">+S69*S$3*24*1000</f>
        <v>4977569.4308304368</v>
      </c>
      <c r="T20" s="390">
        <v>4969400.0000000028</v>
      </c>
      <c r="U20" s="1131">
        <f t="shared" si="4"/>
        <v>19589144.211655267</v>
      </c>
      <c r="V20" s="1131">
        <f t="shared" si="5"/>
        <v>19396269.999999993</v>
      </c>
      <c r="W20" s="1869">
        <f t="shared" ref="W20:W33" si="52">+W69*W$3*24*1000</f>
        <v>4876330.7305423589</v>
      </c>
      <c r="X20" s="390">
        <v>4944069.9999999944</v>
      </c>
      <c r="Y20" s="1131">
        <f t="shared" si="6"/>
        <v>24465474.942197625</v>
      </c>
      <c r="Z20" s="1131">
        <f t="shared" si="7"/>
        <v>24340339.999999985</v>
      </c>
      <c r="AA20" s="1869">
        <f t="shared" ref="AA20:AA33" si="53">+AA69*AA$3*24*1000</f>
        <v>4719029.7392345406</v>
      </c>
      <c r="AB20" s="390">
        <v>4909690.0000000084</v>
      </c>
      <c r="AC20" s="1988">
        <f t="shared" si="46"/>
        <v>14572929.900607336</v>
      </c>
      <c r="AD20" s="434">
        <f t="shared" si="47"/>
        <v>14823160.000000004</v>
      </c>
      <c r="AE20" s="1132">
        <f t="shared" si="35"/>
        <v>29184504.681432165</v>
      </c>
      <c r="AF20" s="1132">
        <f t="shared" si="36"/>
        <v>29250029.999999993</v>
      </c>
      <c r="AG20" s="1869">
        <f t="shared" ref="AG20:AG33" si="54">+AG69*AG$3*24*1000</f>
        <v>4977569.4308304368</v>
      </c>
      <c r="AH20" s="390">
        <v>5339940.0000000093</v>
      </c>
      <c r="AI20" s="1131">
        <f t="shared" si="8"/>
        <v>34162074.112262599</v>
      </c>
      <c r="AJ20" s="1131">
        <f t="shared" si="9"/>
        <v>34589970</v>
      </c>
      <c r="AK20" s="1869">
        <f t="shared" ref="AK20:AK33" si="55">+AK69*AK$3*24*1000</f>
        <v>4817002.6749971965</v>
      </c>
      <c r="AL20" s="390">
        <v>4989619.9999999814</v>
      </c>
      <c r="AM20" s="1131">
        <f t="shared" si="10"/>
        <v>38979076.787259795</v>
      </c>
      <c r="AN20" s="1131">
        <f t="shared" si="11"/>
        <v>39579589.999999985</v>
      </c>
      <c r="AO20" s="1869">
        <f t="shared" ref="AO20:AO33" si="56">+AO69*AO$3*24*1000</f>
        <v>4977569.4308304368</v>
      </c>
      <c r="AP20" s="390">
        <v>5320750.0000000009</v>
      </c>
      <c r="AQ20" s="1988">
        <f t="shared" si="37"/>
        <v>14772141.536658071</v>
      </c>
      <c r="AR20" s="434">
        <f t="shared" si="38"/>
        <v>15650309.999999993</v>
      </c>
      <c r="AS20" s="1131">
        <f t="shared" si="12"/>
        <v>43956646.218090229</v>
      </c>
      <c r="AT20" s="1131">
        <f t="shared" si="13"/>
        <v>44900339.999999985</v>
      </c>
      <c r="AU20" s="1869">
        <f t="shared" ref="AU20:AU33" si="57">+AU69*AU$3*24*1000</f>
        <v>4977569.4308304368</v>
      </c>
      <c r="AV20" s="390">
        <v>5151590.0000000093</v>
      </c>
      <c r="AW20" s="1131">
        <f t="shared" si="14"/>
        <v>48934215.648920663</v>
      </c>
      <c r="AX20" s="1131">
        <f t="shared" si="15"/>
        <v>50051929.999999993</v>
      </c>
      <c r="AY20" s="1869">
        <f t="shared" ref="AY20:AY33" si="58">+AY69*AY$3*24*1000</f>
        <v>4656435.9191639582</v>
      </c>
      <c r="AZ20" s="390">
        <v>4984969.9999999963</v>
      </c>
      <c r="BA20" s="1131">
        <f t="shared" si="16"/>
        <v>53590651.56808462</v>
      </c>
      <c r="BB20" s="1131">
        <f t="shared" si="17"/>
        <v>55036899.999999985</v>
      </c>
      <c r="BC20" s="1869">
        <f t="shared" ref="BC20:BC33" si="59">+BC69*BC$3*24*1000</f>
        <v>4977569.4308304368</v>
      </c>
      <c r="BD20" s="390">
        <v>5145570.0000000037</v>
      </c>
      <c r="BE20" s="1988">
        <f t="shared" si="39"/>
        <v>14611574.780824833</v>
      </c>
      <c r="BF20" s="434">
        <f t="shared" si="40"/>
        <v>15282130.000000009</v>
      </c>
      <c r="BG20" s="1132">
        <f t="shared" ref="BG20:BH33" si="60">AQ20+BE20</f>
        <v>29383716.317482904</v>
      </c>
      <c r="BH20" s="1132">
        <f t="shared" si="60"/>
        <v>30932440</v>
      </c>
      <c r="BI20" s="1131">
        <f t="shared" si="32"/>
        <v>58568220.998915054</v>
      </c>
      <c r="BJ20" s="1131">
        <f t="shared" si="31"/>
        <v>60182469.999999985</v>
      </c>
      <c r="BK20" s="26"/>
      <c r="BL20" s="2062"/>
      <c r="BM20" s="26"/>
      <c r="BN20" s="26"/>
    </row>
    <row r="21" spans="1:66" s="4198" customFormat="1" x14ac:dyDescent="0.25">
      <c r="A21" s="340">
        <v>15</v>
      </c>
      <c r="B21" s="359" t="s">
        <v>748</v>
      </c>
      <c r="C21" s="13" t="s">
        <v>218</v>
      </c>
      <c r="D21" s="360">
        <v>9405013.9999999981</v>
      </c>
      <c r="E21" s="361">
        <v>9828956</v>
      </c>
      <c r="G21" s="1123" t="s">
        <v>776</v>
      </c>
      <c r="H21" s="1101" t="s">
        <v>654</v>
      </c>
      <c r="I21" s="1869">
        <f t="shared" si="48"/>
        <v>2088000</v>
      </c>
      <c r="J21" s="390">
        <v>1874519.9999999998</v>
      </c>
      <c r="K21" s="1869">
        <f t="shared" si="49"/>
        <v>2157600</v>
      </c>
      <c r="L21" s="390">
        <v>1753409.9999999967</v>
      </c>
      <c r="M21" s="1131">
        <f t="shared" si="1"/>
        <v>4245600</v>
      </c>
      <c r="N21" s="1131">
        <f t="shared" si="1"/>
        <v>3627929.9999999963</v>
      </c>
      <c r="O21" s="1869">
        <f t="shared" ref="O21" si="61">+O70*O$3*24*1000</f>
        <v>2088000</v>
      </c>
      <c r="P21" s="390">
        <v>1942390.0000000012</v>
      </c>
      <c r="Q21" s="1988">
        <f t="shared" ref="Q21:Q33" si="62">+I21+K21+O21</f>
        <v>6333600</v>
      </c>
      <c r="R21" s="434">
        <f t="shared" ref="R21:R33" si="63">+J21+L21+P21</f>
        <v>5570319.9999999972</v>
      </c>
      <c r="S21" s="1869">
        <f t="shared" si="51"/>
        <v>2157600</v>
      </c>
      <c r="T21" s="390">
        <v>2097869.9999999991</v>
      </c>
      <c r="U21" s="1131">
        <f t="shared" si="4"/>
        <v>8491200</v>
      </c>
      <c r="V21" s="1131">
        <f t="shared" si="5"/>
        <v>7668189.9999999963</v>
      </c>
      <c r="W21" s="1869">
        <f t="shared" si="52"/>
        <v>2157600</v>
      </c>
      <c r="X21" s="390">
        <v>2159800.0000000014</v>
      </c>
      <c r="Y21" s="1131">
        <f t="shared" si="6"/>
        <v>10648800</v>
      </c>
      <c r="Z21" s="1131">
        <f t="shared" si="7"/>
        <v>9827989.9999999981</v>
      </c>
      <c r="AA21" s="1869">
        <f t="shared" si="53"/>
        <v>2088000</v>
      </c>
      <c r="AB21" s="390">
        <v>2044421.0000000009</v>
      </c>
      <c r="AC21" s="1988">
        <f t="shared" si="46"/>
        <v>6403200</v>
      </c>
      <c r="AD21" s="434">
        <f t="shared" si="47"/>
        <v>6302091.0000000009</v>
      </c>
      <c r="AE21" s="1132">
        <f t="shared" si="35"/>
        <v>12736800</v>
      </c>
      <c r="AF21" s="1132">
        <f t="shared" si="36"/>
        <v>11872410.999999998</v>
      </c>
      <c r="AG21" s="1869">
        <f t="shared" si="54"/>
        <v>2157600</v>
      </c>
      <c r="AH21" s="390">
        <v>2208592.0000000009</v>
      </c>
      <c r="AI21" s="1131">
        <f t="shared" si="8"/>
        <v>14894400</v>
      </c>
      <c r="AJ21" s="1131">
        <f t="shared" si="9"/>
        <v>14081003</v>
      </c>
      <c r="AK21" s="1869">
        <f t="shared" si="55"/>
        <v>2088000</v>
      </c>
      <c r="AL21" s="390">
        <v>1985202.9999999988</v>
      </c>
      <c r="AM21" s="1131">
        <f t="shared" si="10"/>
        <v>16982400</v>
      </c>
      <c r="AN21" s="1131">
        <f t="shared" si="11"/>
        <v>16066205.999999998</v>
      </c>
      <c r="AO21" s="1869">
        <f t="shared" si="56"/>
        <v>2157600</v>
      </c>
      <c r="AP21" s="390">
        <v>2042453.9999999993</v>
      </c>
      <c r="AQ21" s="1988">
        <f t="shared" si="37"/>
        <v>6403200</v>
      </c>
      <c r="AR21" s="434">
        <f t="shared" si="38"/>
        <v>6236248.9999999991</v>
      </c>
      <c r="AS21" s="1131">
        <f t="shared" si="12"/>
        <v>19140000</v>
      </c>
      <c r="AT21" s="1131">
        <f t="shared" si="13"/>
        <v>18108659.999999996</v>
      </c>
      <c r="AU21" s="1869">
        <f t="shared" si="57"/>
        <v>2157600</v>
      </c>
      <c r="AV21" s="390">
        <v>1829694.000000003</v>
      </c>
      <c r="AW21" s="1131">
        <f t="shared" si="14"/>
        <v>21297600</v>
      </c>
      <c r="AX21" s="1131">
        <f t="shared" si="15"/>
        <v>19938354</v>
      </c>
      <c r="AY21" s="1869">
        <f t="shared" si="58"/>
        <v>2018399.9999999998</v>
      </c>
      <c r="AZ21" s="390">
        <v>1816093.9999999944</v>
      </c>
      <c r="BA21" s="1131">
        <f t="shared" si="16"/>
        <v>23316000</v>
      </c>
      <c r="BB21" s="1131">
        <f t="shared" si="17"/>
        <v>21754447.999999993</v>
      </c>
      <c r="BC21" s="1869">
        <f t="shared" si="59"/>
        <v>2157600</v>
      </c>
      <c r="BD21" s="390">
        <v>1960870</v>
      </c>
      <c r="BE21" s="1988">
        <f t="shared" si="39"/>
        <v>6333600</v>
      </c>
      <c r="BF21" s="434">
        <f t="shared" si="40"/>
        <v>5606657.9999999972</v>
      </c>
      <c r="BG21" s="1132">
        <f t="shared" si="60"/>
        <v>12736800</v>
      </c>
      <c r="BH21" s="1132">
        <f t="shared" si="60"/>
        <v>11842906.999999996</v>
      </c>
      <c r="BI21" s="1131">
        <f t="shared" si="32"/>
        <v>25473600</v>
      </c>
      <c r="BJ21" s="1131">
        <f t="shared" si="31"/>
        <v>23715317.999999993</v>
      </c>
      <c r="BK21" s="26"/>
      <c r="BL21" s="2062"/>
      <c r="BM21" s="26"/>
      <c r="BN21" s="26"/>
    </row>
    <row r="22" spans="1:66" x14ac:dyDescent="0.25">
      <c r="A22" s="340">
        <v>16</v>
      </c>
      <c r="B22" s="359" t="s">
        <v>749</v>
      </c>
      <c r="C22" s="13" t="s">
        <v>218</v>
      </c>
      <c r="D22" s="360">
        <v>16006660.000000006</v>
      </c>
      <c r="E22" s="361">
        <v>16895070</v>
      </c>
      <c r="G22" s="1123" t="s">
        <v>777</v>
      </c>
      <c r="H22" s="1101" t="s">
        <v>495</v>
      </c>
      <c r="I22" s="1869">
        <f t="shared" si="48"/>
        <v>11274105.407981269</v>
      </c>
      <c r="J22" s="390">
        <v>12486170</v>
      </c>
      <c r="K22" s="1869">
        <f t="shared" si="49"/>
        <v>9162083.1979678888</v>
      </c>
      <c r="L22" s="390">
        <v>10289590.000000002</v>
      </c>
      <c r="M22" s="1131">
        <f t="shared" si="1"/>
        <v>20436188.605949156</v>
      </c>
      <c r="N22" s="1131">
        <f t="shared" si="1"/>
        <v>22775760</v>
      </c>
      <c r="O22" s="1869">
        <f t="shared" ref="O22" si="64">+O71*O$3*24*1000</f>
        <v>9344505.1904787142</v>
      </c>
      <c r="P22" s="390">
        <v>10708909.999999993</v>
      </c>
      <c r="Q22" s="1988">
        <f t="shared" si="62"/>
        <v>29780693.796427868</v>
      </c>
      <c r="R22" s="434">
        <f t="shared" si="63"/>
        <v>33484669.999999993</v>
      </c>
      <c r="S22" s="1869">
        <f t="shared" si="51"/>
        <v>11530781.496502042</v>
      </c>
      <c r="T22" s="390">
        <v>12096100.000000006</v>
      </c>
      <c r="U22" s="1131">
        <f t="shared" si="4"/>
        <v>41311475.29292991</v>
      </c>
      <c r="V22" s="1131">
        <f t="shared" si="5"/>
        <v>45580770</v>
      </c>
      <c r="W22" s="1869">
        <f t="shared" si="52"/>
        <v>11530781.496502042</v>
      </c>
      <c r="X22" s="390">
        <v>11719710.000000024</v>
      </c>
      <c r="Y22" s="1131">
        <f t="shared" si="6"/>
        <v>52842256.789431952</v>
      </c>
      <c r="Z22" s="1131">
        <f t="shared" si="7"/>
        <v>57300480.000000022</v>
      </c>
      <c r="AA22" s="1869">
        <f t="shared" si="53"/>
        <v>11210550.213567724</v>
      </c>
      <c r="AB22" s="390">
        <v>11455569.999999989</v>
      </c>
      <c r="AC22" s="1988">
        <f t="shared" si="46"/>
        <v>34272113.20657181</v>
      </c>
      <c r="AD22" s="434">
        <f t="shared" si="47"/>
        <v>35271380.000000015</v>
      </c>
      <c r="AE22" s="1132">
        <f t="shared" si="35"/>
        <v>64052807.002999678</v>
      </c>
      <c r="AF22" s="1132">
        <f t="shared" si="36"/>
        <v>68756050</v>
      </c>
      <c r="AG22" s="1869">
        <f t="shared" si="54"/>
        <v>11731578.669316009</v>
      </c>
      <c r="AH22" s="390">
        <v>12629509.99999998</v>
      </c>
      <c r="AI22" s="1131">
        <f t="shared" si="8"/>
        <v>75784385.672315687</v>
      </c>
      <c r="AJ22" s="1131">
        <f t="shared" si="9"/>
        <v>81385559.999999985</v>
      </c>
      <c r="AK22" s="1869">
        <f t="shared" si="55"/>
        <v>11485034.170368567</v>
      </c>
      <c r="AL22" s="390">
        <v>11595860.000000024</v>
      </c>
      <c r="AM22" s="1131">
        <f t="shared" si="10"/>
        <v>87269419.842684254</v>
      </c>
      <c r="AN22" s="1131">
        <f t="shared" si="11"/>
        <v>92981420.000000015</v>
      </c>
      <c r="AO22" s="1869">
        <f t="shared" si="56"/>
        <v>11896760.105569836</v>
      </c>
      <c r="AP22" s="390">
        <v>12326569.999999976</v>
      </c>
      <c r="AQ22" s="1988">
        <f t="shared" si="37"/>
        <v>35113372.945254415</v>
      </c>
      <c r="AR22" s="434">
        <f t="shared" si="38"/>
        <v>36551939.999999978</v>
      </c>
      <c r="AS22" s="1131">
        <f t="shared" si="12"/>
        <v>99166179.948254094</v>
      </c>
      <c r="AT22" s="1131">
        <f t="shared" si="13"/>
        <v>105307989.99999999</v>
      </c>
      <c r="AU22" s="1869">
        <f t="shared" si="57"/>
        <v>12016194.215690186</v>
      </c>
      <c r="AV22" s="390">
        <v>11978469.99999998</v>
      </c>
      <c r="AW22" s="1131">
        <f t="shared" si="14"/>
        <v>111182374.16394427</v>
      </c>
      <c r="AX22" s="1131">
        <f t="shared" si="15"/>
        <v>117286459.99999997</v>
      </c>
      <c r="AY22" s="1869">
        <f t="shared" si="58"/>
        <v>11119055.561300777</v>
      </c>
      <c r="AZ22" s="390">
        <v>11554790.000000034</v>
      </c>
      <c r="BA22" s="1131">
        <f t="shared" si="16"/>
        <v>122301429.72524506</v>
      </c>
      <c r="BB22" s="1131">
        <f t="shared" si="17"/>
        <v>128841250</v>
      </c>
      <c r="BC22" s="1869">
        <f t="shared" si="59"/>
        <v>12061941.541823661</v>
      </c>
      <c r="BD22" s="390">
        <v>10230130.000000002</v>
      </c>
      <c r="BE22" s="1988">
        <f t="shared" si="39"/>
        <v>35197191.318814628</v>
      </c>
      <c r="BF22" s="434">
        <f t="shared" si="40"/>
        <v>33763390.000000015</v>
      </c>
      <c r="BG22" s="1132">
        <f t="shared" si="60"/>
        <v>70310564.264069051</v>
      </c>
      <c r="BH22" s="1132">
        <f t="shared" si="60"/>
        <v>70315330</v>
      </c>
      <c r="BI22" s="1131">
        <f t="shared" si="32"/>
        <v>134363371.26706871</v>
      </c>
      <c r="BJ22" s="1131">
        <f t="shared" si="31"/>
        <v>139071380</v>
      </c>
      <c r="BK22" s="26"/>
      <c r="BL22" s="2062"/>
      <c r="BM22" s="26"/>
      <c r="BN22" s="26"/>
    </row>
    <row r="23" spans="1:66" x14ac:dyDescent="0.25">
      <c r="A23" s="340">
        <v>17</v>
      </c>
      <c r="B23" s="359" t="s">
        <v>84</v>
      </c>
      <c r="C23" s="13" t="s">
        <v>218</v>
      </c>
      <c r="D23" s="360">
        <v>961360.0000000014</v>
      </c>
      <c r="E23" s="361">
        <v>1006979.9999999992</v>
      </c>
      <c r="G23" s="1123" t="s">
        <v>778</v>
      </c>
      <c r="H23" s="1101" t="s">
        <v>748</v>
      </c>
      <c r="I23" s="1869">
        <f t="shared" si="48"/>
        <v>11509523.490349162</v>
      </c>
      <c r="J23" s="390">
        <v>11353889.999999983</v>
      </c>
      <c r="K23" s="1869">
        <f t="shared" si="49"/>
        <v>11095525.964401629</v>
      </c>
      <c r="L23" s="390">
        <v>10323350.000000017</v>
      </c>
      <c r="M23" s="1131">
        <f t="shared" si="1"/>
        <v>22605049.454750791</v>
      </c>
      <c r="N23" s="1131">
        <f t="shared" si="1"/>
        <v>21677240</v>
      </c>
      <c r="O23" s="1869">
        <f t="shared" ref="O23" si="65">+O72*O$3*24*1000</f>
        <v>10522602.633729583</v>
      </c>
      <c r="P23" s="390">
        <v>10922676.000000007</v>
      </c>
      <c r="Q23" s="1988">
        <f t="shared" si="62"/>
        <v>33127652.088480376</v>
      </c>
      <c r="R23" s="434">
        <f t="shared" si="63"/>
        <v>32599916.000000007</v>
      </c>
      <c r="S23" s="1869">
        <f t="shared" si="51"/>
        <v>11655830.992345126</v>
      </c>
      <c r="T23" s="390">
        <v>11807405.999999989</v>
      </c>
      <c r="U23" s="1131">
        <f t="shared" si="4"/>
        <v>44783483.0808255</v>
      </c>
      <c r="V23" s="1131">
        <f t="shared" si="5"/>
        <v>44407322</v>
      </c>
      <c r="W23" s="1869">
        <f t="shared" si="52"/>
        <v>11655830.992345126</v>
      </c>
      <c r="X23" s="390">
        <v>12114454</v>
      </c>
      <c r="Y23" s="1131">
        <f t="shared" si="6"/>
        <v>56439314.073170625</v>
      </c>
      <c r="Z23" s="1131">
        <f t="shared" si="7"/>
        <v>56521776</v>
      </c>
      <c r="AA23" s="1869">
        <f t="shared" si="53"/>
        <v>11314446.82102121</v>
      </c>
      <c r="AB23" s="390">
        <v>10674859.999999991</v>
      </c>
      <c r="AC23" s="1988">
        <f t="shared" si="46"/>
        <v>34626108.805711463</v>
      </c>
      <c r="AD23" s="434">
        <f t="shared" si="47"/>
        <v>34596719.999999978</v>
      </c>
      <c r="AE23" s="1132">
        <f t="shared" si="35"/>
        <v>67753760.894191831</v>
      </c>
      <c r="AF23" s="1132">
        <f t="shared" si="36"/>
        <v>67196635.999999985</v>
      </c>
      <c r="AG23" s="1869">
        <f t="shared" si="54"/>
        <v>11997215.163669042</v>
      </c>
      <c r="AH23" s="390">
        <v>11450532.000000006</v>
      </c>
      <c r="AI23" s="1131">
        <f t="shared" si="8"/>
        <v>79750976.057860881</v>
      </c>
      <c r="AJ23" s="1131">
        <f t="shared" si="9"/>
        <v>78647167.999999985</v>
      </c>
      <c r="AK23" s="1869">
        <f t="shared" si="55"/>
        <v>11607061.825013138</v>
      </c>
      <c r="AL23" s="390">
        <v>10444469.999999993</v>
      </c>
      <c r="AM23" s="1131">
        <f t="shared" si="10"/>
        <v>91358037.882874012</v>
      </c>
      <c r="AN23" s="1131">
        <f t="shared" si="11"/>
        <v>89091637.99999997</v>
      </c>
      <c r="AO23" s="1869">
        <f t="shared" si="56"/>
        <v>12045984.331001025</v>
      </c>
      <c r="AP23" s="390">
        <v>11233764.000000004</v>
      </c>
      <c r="AQ23" s="1988">
        <f t="shared" si="37"/>
        <v>35650261.319683209</v>
      </c>
      <c r="AR23" s="434">
        <f t="shared" si="38"/>
        <v>33128766.000000004</v>
      </c>
      <c r="AS23" s="1131">
        <f t="shared" si="12"/>
        <v>103404022.21387504</v>
      </c>
      <c r="AT23" s="1131">
        <f t="shared" si="13"/>
        <v>100325401.99999997</v>
      </c>
      <c r="AU23" s="1869">
        <f t="shared" si="57"/>
        <v>12045984.331001025</v>
      </c>
      <c r="AV23" s="390">
        <v>12079834.000000007</v>
      </c>
      <c r="AW23" s="1131">
        <f t="shared" si="14"/>
        <v>115450006.54487607</v>
      </c>
      <c r="AX23" s="1131">
        <f t="shared" si="15"/>
        <v>112405235.99999997</v>
      </c>
      <c r="AY23" s="1869">
        <f t="shared" si="58"/>
        <v>11216908.486357234</v>
      </c>
      <c r="AZ23" s="390">
        <v>10709244.000000004</v>
      </c>
      <c r="BA23" s="1131">
        <f t="shared" si="16"/>
        <v>126666915.03123331</v>
      </c>
      <c r="BB23" s="1131">
        <f t="shared" si="17"/>
        <v>123114479.99999997</v>
      </c>
      <c r="BC23" s="1869">
        <f t="shared" si="59"/>
        <v>12094753.498333015</v>
      </c>
      <c r="BD23" s="390">
        <v>11770342.000000006</v>
      </c>
      <c r="BE23" s="1988">
        <f t="shared" si="39"/>
        <v>35357646.315691277</v>
      </c>
      <c r="BF23" s="434">
        <f t="shared" si="40"/>
        <v>34559420.000000015</v>
      </c>
      <c r="BG23" s="1132">
        <f t="shared" si="60"/>
        <v>71007907.635374486</v>
      </c>
      <c r="BH23" s="1132">
        <f t="shared" si="60"/>
        <v>67688186.000000015</v>
      </c>
      <c r="BI23" s="1131">
        <f t="shared" si="32"/>
        <v>138761668.52956632</v>
      </c>
      <c r="BJ23" s="1131">
        <f t="shared" si="31"/>
        <v>134884821.99999997</v>
      </c>
      <c r="BK23" s="26"/>
      <c r="BL23" s="2062"/>
      <c r="BM23" s="26"/>
      <c r="BN23" s="26"/>
    </row>
    <row r="24" spans="1:66" x14ac:dyDescent="0.25">
      <c r="A24" s="340">
        <v>18</v>
      </c>
      <c r="B24" s="359" t="s">
        <v>496</v>
      </c>
      <c r="C24" s="13" t="s">
        <v>218</v>
      </c>
      <c r="D24" s="360">
        <v>3675250.0000000093</v>
      </c>
      <c r="E24" s="361">
        <v>4377139.9999999879</v>
      </c>
      <c r="G24" s="1123" t="s">
        <v>779</v>
      </c>
      <c r="H24" s="1101" t="s">
        <v>749</v>
      </c>
      <c r="I24" s="1869">
        <f t="shared" si="48"/>
        <v>21096074.137933619</v>
      </c>
      <c r="J24" s="390">
        <v>20493070</v>
      </c>
      <c r="K24" s="1869">
        <f t="shared" si="49"/>
        <v>19080041.380781095</v>
      </c>
      <c r="L24" s="390">
        <v>17430960.000000007</v>
      </c>
      <c r="M24" s="1131">
        <f t="shared" si="1"/>
        <v>40176115.518714711</v>
      </c>
      <c r="N24" s="1131">
        <f t="shared" si="1"/>
        <v>37924030.000000007</v>
      </c>
      <c r="O24" s="1869">
        <f t="shared" ref="O24" si="66">+O73*O$3*24*1000</f>
        <v>17923902.367681123</v>
      </c>
      <c r="P24" s="390">
        <v>17891139.999999996</v>
      </c>
      <c r="Q24" s="1988">
        <f t="shared" si="62"/>
        <v>58100017.886395834</v>
      </c>
      <c r="R24" s="434">
        <f t="shared" si="63"/>
        <v>55815170</v>
      </c>
      <c r="S24" s="1869">
        <f t="shared" si="51"/>
        <v>21365615.119253039</v>
      </c>
      <c r="T24" s="390">
        <v>21451110</v>
      </c>
      <c r="U24" s="1131">
        <f t="shared" si="4"/>
        <v>79465633.005648881</v>
      </c>
      <c r="V24" s="1131">
        <f t="shared" si="5"/>
        <v>77266280</v>
      </c>
      <c r="W24" s="1869">
        <f t="shared" si="52"/>
        <v>21365615.119253039</v>
      </c>
      <c r="X24" s="390">
        <v>21352290</v>
      </c>
      <c r="Y24" s="1131">
        <f t="shared" si="6"/>
        <v>100831248.12490192</v>
      </c>
      <c r="Z24" s="1131">
        <f t="shared" si="7"/>
        <v>98618570</v>
      </c>
      <c r="AA24" s="1869">
        <f t="shared" si="53"/>
        <v>20736686.162841048</v>
      </c>
      <c r="AB24" s="390">
        <v>19878740.000000004</v>
      </c>
      <c r="AC24" s="1988">
        <f t="shared" si="46"/>
        <v>63467916.401347131</v>
      </c>
      <c r="AD24" s="434">
        <f t="shared" si="47"/>
        <v>62682140</v>
      </c>
      <c r="AE24" s="1132">
        <f t="shared" si="35"/>
        <v>121567934.28774297</v>
      </c>
      <c r="AF24" s="1132">
        <f t="shared" si="36"/>
        <v>118497310</v>
      </c>
      <c r="AG24" s="1869">
        <f t="shared" si="54"/>
        <v>21994544.075665027</v>
      </c>
      <c r="AH24" s="390">
        <v>20586952.999999989</v>
      </c>
      <c r="AI24" s="1131">
        <f t="shared" si="8"/>
        <v>143562478.363408</v>
      </c>
      <c r="AJ24" s="1131">
        <f t="shared" si="9"/>
        <v>139084263</v>
      </c>
      <c r="AK24" s="1869">
        <f t="shared" si="55"/>
        <v>21275768.125479896</v>
      </c>
      <c r="AL24" s="390">
        <v>19508617.000000004</v>
      </c>
      <c r="AM24" s="1131">
        <f t="shared" si="10"/>
        <v>164838246.48888791</v>
      </c>
      <c r="AN24" s="1131">
        <f t="shared" si="11"/>
        <v>158592880</v>
      </c>
      <c r="AO24" s="1869">
        <f t="shared" si="56"/>
        <v>22084391.069438171</v>
      </c>
      <c r="AP24" s="390">
        <v>21182829.999999996</v>
      </c>
      <c r="AQ24" s="1988">
        <f t="shared" si="37"/>
        <v>65354703.270583093</v>
      </c>
      <c r="AR24" s="434">
        <f t="shared" si="38"/>
        <v>61278399.999999985</v>
      </c>
      <c r="AS24" s="1131">
        <f t="shared" si="12"/>
        <v>186922637.55832607</v>
      </c>
      <c r="AT24" s="1131">
        <f t="shared" si="13"/>
        <v>179775710</v>
      </c>
      <c r="AU24" s="1869">
        <f t="shared" si="57"/>
        <v>22084391.069438171</v>
      </c>
      <c r="AV24" s="390">
        <v>20230790.000000007</v>
      </c>
      <c r="AW24" s="1131">
        <f t="shared" si="14"/>
        <v>209007028.62776423</v>
      </c>
      <c r="AX24" s="1131">
        <f t="shared" si="15"/>
        <v>200006500</v>
      </c>
      <c r="AY24" s="1869">
        <f t="shared" si="58"/>
        <v>20556992.175294768</v>
      </c>
      <c r="AZ24" s="390">
        <v>18807680.000000004</v>
      </c>
      <c r="BA24" s="1131">
        <f t="shared" si="16"/>
        <v>229564020.80305898</v>
      </c>
      <c r="BB24" s="1131">
        <f t="shared" si="17"/>
        <v>218814180</v>
      </c>
      <c r="BC24" s="1869">
        <f t="shared" si="59"/>
        <v>22174238.063211314</v>
      </c>
      <c r="BD24" s="390">
        <v>20268129.999999989</v>
      </c>
      <c r="BE24" s="1988">
        <f t="shared" si="39"/>
        <v>64815621.307944253</v>
      </c>
      <c r="BF24" s="434">
        <f t="shared" si="40"/>
        <v>59306600</v>
      </c>
      <c r="BG24" s="1132">
        <f t="shared" si="60"/>
        <v>130170324.57852735</v>
      </c>
      <c r="BH24" s="1132">
        <f t="shared" si="60"/>
        <v>120584999.99999999</v>
      </c>
      <c r="BI24" s="1131">
        <f t="shared" si="32"/>
        <v>251738258.8662703</v>
      </c>
      <c r="BJ24" s="1131">
        <f t="shared" si="31"/>
        <v>239082310</v>
      </c>
      <c r="BK24" s="26"/>
      <c r="BL24" s="2062"/>
      <c r="BM24" s="26"/>
      <c r="BN24" s="26"/>
    </row>
    <row r="25" spans="1:66" x14ac:dyDescent="0.25">
      <c r="A25" s="340">
        <v>19</v>
      </c>
      <c r="B25" s="359" t="s">
        <v>497</v>
      </c>
      <c r="C25" s="13" t="s">
        <v>218</v>
      </c>
      <c r="D25" s="360">
        <v>2119909.9999999995</v>
      </c>
      <c r="E25" s="361">
        <v>4863980</v>
      </c>
      <c r="G25" s="1123" t="s">
        <v>780</v>
      </c>
      <c r="H25" s="1101" t="s">
        <v>84</v>
      </c>
      <c r="I25" s="1869">
        <f t="shared" si="48"/>
        <v>1368000</v>
      </c>
      <c r="J25" s="390">
        <v>1065380.0000000037</v>
      </c>
      <c r="K25" s="1869">
        <f t="shared" si="49"/>
        <v>1413600</v>
      </c>
      <c r="L25" s="390">
        <v>794519.9999999993</v>
      </c>
      <c r="M25" s="1131">
        <f t="shared" si="1"/>
        <v>2781600</v>
      </c>
      <c r="N25" s="1131">
        <f t="shared" si="1"/>
        <v>1859900.000000003</v>
      </c>
      <c r="O25" s="1869">
        <f t="shared" ref="O25" si="67">+O74*O$3*24*1000</f>
        <v>1368000</v>
      </c>
      <c r="P25" s="390">
        <v>1045789.9999999992</v>
      </c>
      <c r="Q25" s="1988">
        <f t="shared" si="62"/>
        <v>4149600</v>
      </c>
      <c r="R25" s="434">
        <f t="shared" si="63"/>
        <v>2905690.0000000023</v>
      </c>
      <c r="S25" s="1869">
        <f t="shared" si="51"/>
        <v>1413600</v>
      </c>
      <c r="T25" s="390">
        <v>1400169.9999999995</v>
      </c>
      <c r="U25" s="1131">
        <f t="shared" si="4"/>
        <v>5563200</v>
      </c>
      <c r="V25" s="1131">
        <f t="shared" si="5"/>
        <v>4305860.0000000019</v>
      </c>
      <c r="W25" s="1869">
        <f t="shared" si="52"/>
        <v>1413600</v>
      </c>
      <c r="X25" s="390">
        <v>1402449.9999999988</v>
      </c>
      <c r="Y25" s="1131">
        <f t="shared" si="6"/>
        <v>6976800</v>
      </c>
      <c r="Z25" s="1131">
        <f t="shared" si="7"/>
        <v>5708310.0000000009</v>
      </c>
      <c r="AA25" s="1869">
        <f t="shared" si="53"/>
        <v>1368000</v>
      </c>
      <c r="AB25" s="390">
        <v>1281550.0000000019</v>
      </c>
      <c r="AC25" s="1988">
        <f t="shared" si="46"/>
        <v>4195200</v>
      </c>
      <c r="AD25" s="434">
        <f t="shared" si="47"/>
        <v>4084170</v>
      </c>
      <c r="AE25" s="1132">
        <f t="shared" si="35"/>
        <v>8344800</v>
      </c>
      <c r="AF25" s="1132">
        <f t="shared" si="36"/>
        <v>6989860.0000000019</v>
      </c>
      <c r="AG25" s="1869">
        <f t="shared" si="54"/>
        <v>1413600</v>
      </c>
      <c r="AH25" s="390">
        <v>1174479.9999999977</v>
      </c>
      <c r="AI25" s="1131">
        <f t="shared" si="8"/>
        <v>9758400</v>
      </c>
      <c r="AJ25" s="1131">
        <f t="shared" si="9"/>
        <v>8164340</v>
      </c>
      <c r="AK25" s="1869">
        <f t="shared" si="55"/>
        <v>1368000</v>
      </c>
      <c r="AL25" s="390">
        <v>1150140.0000000049</v>
      </c>
      <c r="AM25" s="1131">
        <f t="shared" si="10"/>
        <v>11126400</v>
      </c>
      <c r="AN25" s="1131">
        <f t="shared" si="11"/>
        <v>9314480.0000000056</v>
      </c>
      <c r="AO25" s="1869">
        <f t="shared" si="56"/>
        <v>1413600</v>
      </c>
      <c r="AP25" s="390">
        <v>1278349.9999999958</v>
      </c>
      <c r="AQ25" s="1988">
        <f t="shared" si="37"/>
        <v>4195200</v>
      </c>
      <c r="AR25" s="434">
        <f t="shared" si="38"/>
        <v>3602969.9999999986</v>
      </c>
      <c r="AS25" s="1131">
        <f t="shared" si="12"/>
        <v>12540000</v>
      </c>
      <c r="AT25" s="1131">
        <f t="shared" si="13"/>
        <v>10592830.000000002</v>
      </c>
      <c r="AU25" s="1869">
        <f t="shared" si="57"/>
        <v>1413600</v>
      </c>
      <c r="AV25" s="390">
        <v>1236710.0000000014</v>
      </c>
      <c r="AW25" s="1131">
        <f t="shared" si="14"/>
        <v>13953600</v>
      </c>
      <c r="AX25" s="1131">
        <f t="shared" si="15"/>
        <v>11829540.000000004</v>
      </c>
      <c r="AY25" s="1869">
        <f t="shared" si="58"/>
        <v>1322399.9999999998</v>
      </c>
      <c r="AZ25" s="390">
        <v>1274340.0000000023</v>
      </c>
      <c r="BA25" s="1131">
        <f t="shared" si="16"/>
        <v>15276000</v>
      </c>
      <c r="BB25" s="1131">
        <f t="shared" si="17"/>
        <v>13103880.000000006</v>
      </c>
      <c r="BC25" s="1869">
        <f t="shared" si="59"/>
        <v>1413600</v>
      </c>
      <c r="BD25" s="390">
        <v>1333179.9999999972</v>
      </c>
      <c r="BE25" s="1988">
        <f t="shared" si="39"/>
        <v>4149600</v>
      </c>
      <c r="BF25" s="434">
        <f t="shared" si="40"/>
        <v>3844230.0000000009</v>
      </c>
      <c r="BG25" s="1132">
        <f t="shared" si="60"/>
        <v>8344800</v>
      </c>
      <c r="BH25" s="1132">
        <f t="shared" si="60"/>
        <v>7447200</v>
      </c>
      <c r="BI25" s="1131">
        <f t="shared" si="32"/>
        <v>16689600</v>
      </c>
      <c r="BJ25" s="1131">
        <f t="shared" si="31"/>
        <v>14437060.000000004</v>
      </c>
      <c r="BK25" s="26"/>
      <c r="BL25" s="2062"/>
      <c r="BM25" s="26"/>
      <c r="BN25" s="26"/>
    </row>
    <row r="26" spans="1:66" x14ac:dyDescent="0.25">
      <c r="A26" s="340">
        <v>20</v>
      </c>
      <c r="B26" s="359" t="s">
        <v>498</v>
      </c>
      <c r="C26" s="13" t="s">
        <v>218</v>
      </c>
      <c r="D26" s="360">
        <v>423946.99999999942</v>
      </c>
      <c r="E26" s="361">
        <v>543130.00000000047</v>
      </c>
      <c r="G26" s="1123" t="s">
        <v>781</v>
      </c>
      <c r="H26" s="1101" t="s">
        <v>496</v>
      </c>
      <c r="I26" s="1869">
        <f t="shared" si="48"/>
        <v>7143984.3750000019</v>
      </c>
      <c r="J26" s="390">
        <v>6823463.3333333312</v>
      </c>
      <c r="K26" s="1869">
        <f t="shared" si="49"/>
        <v>6879421.8750000019</v>
      </c>
      <c r="L26" s="390">
        <v>5923896.6666666698</v>
      </c>
      <c r="M26" s="1131">
        <f t="shared" si="1"/>
        <v>14023406.250000004</v>
      </c>
      <c r="N26" s="1131">
        <f t="shared" si="1"/>
        <v>12747360</v>
      </c>
      <c r="O26" s="1869">
        <f t="shared" ref="O26" si="68">+O75*O$3*24*1000</f>
        <v>6435187.5</v>
      </c>
      <c r="P26" s="390">
        <v>5758968.333333333</v>
      </c>
      <c r="Q26" s="1988">
        <f t="shared" si="62"/>
        <v>20458593.750000004</v>
      </c>
      <c r="R26" s="434">
        <f t="shared" si="63"/>
        <v>18506328.333333332</v>
      </c>
      <c r="S26" s="1869">
        <f t="shared" si="51"/>
        <v>7312078.125</v>
      </c>
      <c r="T26" s="390">
        <v>7012131.6666666623</v>
      </c>
      <c r="U26" s="1131">
        <f t="shared" si="4"/>
        <v>27770671.875000004</v>
      </c>
      <c r="V26" s="1131">
        <f t="shared" si="5"/>
        <v>25518459.999999993</v>
      </c>
      <c r="W26" s="1869">
        <f t="shared" si="52"/>
        <v>7312078.125</v>
      </c>
      <c r="X26" s="390">
        <v>7418363.333333347</v>
      </c>
      <c r="Y26" s="1131">
        <f t="shared" si="6"/>
        <v>35082750</v>
      </c>
      <c r="Z26" s="1131">
        <f t="shared" si="7"/>
        <v>32936823.33333334</v>
      </c>
      <c r="AA26" s="1869">
        <f t="shared" si="53"/>
        <v>7143984.3750000019</v>
      </c>
      <c r="AB26" s="390">
        <v>7397149.9999999935</v>
      </c>
      <c r="AC26" s="1988">
        <f t="shared" si="46"/>
        <v>21768140.625</v>
      </c>
      <c r="AD26" s="434">
        <f t="shared" si="47"/>
        <v>21827645.000000004</v>
      </c>
      <c r="AE26" s="1132">
        <f t="shared" si="35"/>
        <v>42226734.375</v>
      </c>
      <c r="AF26" s="1132">
        <f t="shared" si="36"/>
        <v>40333973.333333336</v>
      </c>
      <c r="AG26" s="1869">
        <f t="shared" si="54"/>
        <v>7312078.125</v>
      </c>
      <c r="AH26" s="390">
        <v>7390114.9999999963</v>
      </c>
      <c r="AI26" s="1131">
        <f t="shared" si="8"/>
        <v>49538812.5</v>
      </c>
      <c r="AJ26" s="1131">
        <f t="shared" si="9"/>
        <v>47724088.333333328</v>
      </c>
      <c r="AK26" s="1869">
        <f t="shared" si="55"/>
        <v>7143984.3750000019</v>
      </c>
      <c r="AL26" s="390">
        <v>6733211.6666666623</v>
      </c>
      <c r="AM26" s="1131">
        <f t="shared" si="10"/>
        <v>56682796.875</v>
      </c>
      <c r="AN26" s="1131">
        <f t="shared" si="11"/>
        <v>54457299.999999993</v>
      </c>
      <c r="AO26" s="1869">
        <f t="shared" si="56"/>
        <v>7312078.125</v>
      </c>
      <c r="AP26" s="390">
        <v>6588990.0000000028</v>
      </c>
      <c r="AQ26" s="1988">
        <f t="shared" si="37"/>
        <v>21768140.625</v>
      </c>
      <c r="AR26" s="434">
        <f t="shared" si="38"/>
        <v>20712316.66666666</v>
      </c>
      <c r="AS26" s="1131">
        <f t="shared" si="12"/>
        <v>63994875</v>
      </c>
      <c r="AT26" s="1131">
        <f t="shared" si="13"/>
        <v>61046289.999999993</v>
      </c>
      <c r="AU26" s="1869">
        <f t="shared" si="57"/>
        <v>7312078.125</v>
      </c>
      <c r="AV26" s="390">
        <v>7090838.3333333358</v>
      </c>
      <c r="AW26" s="1131">
        <f t="shared" si="14"/>
        <v>71306953.125</v>
      </c>
      <c r="AX26" s="1131">
        <f t="shared" si="15"/>
        <v>68137128.333333328</v>
      </c>
      <c r="AY26" s="1869">
        <f t="shared" si="58"/>
        <v>6891843.7500000019</v>
      </c>
      <c r="AZ26" s="390">
        <v>6314919.9999999888</v>
      </c>
      <c r="BA26" s="1131">
        <f t="shared" si="16"/>
        <v>78198796.875</v>
      </c>
      <c r="BB26" s="1131">
        <f t="shared" si="17"/>
        <v>74452048.333333313</v>
      </c>
      <c r="BC26" s="1869">
        <f t="shared" si="59"/>
        <v>7312078.125</v>
      </c>
      <c r="BD26" s="390">
        <v>7252940.0000000075</v>
      </c>
      <c r="BE26" s="1988">
        <f t="shared" si="39"/>
        <v>21516000</v>
      </c>
      <c r="BF26" s="434">
        <f t="shared" si="40"/>
        <v>20658698.333333332</v>
      </c>
      <c r="BG26" s="1132">
        <f t="shared" si="60"/>
        <v>43284140.625</v>
      </c>
      <c r="BH26" s="1132">
        <f t="shared" si="60"/>
        <v>41371014.999999993</v>
      </c>
      <c r="BI26" s="1131">
        <f t="shared" si="32"/>
        <v>85510875</v>
      </c>
      <c r="BJ26" s="1131">
        <f t="shared" si="31"/>
        <v>81704988.333333313</v>
      </c>
      <c r="BK26" s="26"/>
      <c r="BL26" s="2062"/>
      <c r="BM26" s="26"/>
      <c r="BN26" s="26"/>
    </row>
    <row r="27" spans="1:66" x14ac:dyDescent="0.25">
      <c r="A27" s="340">
        <v>21</v>
      </c>
      <c r="B27" s="359" t="s">
        <v>782</v>
      </c>
      <c r="C27" s="13" t="s">
        <v>218</v>
      </c>
      <c r="D27" s="360">
        <v>378639</v>
      </c>
      <c r="E27" s="361">
        <v>383365</v>
      </c>
      <c r="G27" s="1123" t="s">
        <v>783</v>
      </c>
      <c r="H27" s="1101" t="s">
        <v>497</v>
      </c>
      <c r="I27" s="1869">
        <f t="shared" si="48"/>
        <v>6152522.9633076796</v>
      </c>
      <c r="J27" s="390">
        <v>5587673.3333333414</v>
      </c>
      <c r="K27" s="1869">
        <f t="shared" si="49"/>
        <v>5675899.1062997244</v>
      </c>
      <c r="L27" s="390">
        <v>4913076.6666666707</v>
      </c>
      <c r="M27" s="1131">
        <f t="shared" si="1"/>
        <v>11828422.069607403</v>
      </c>
      <c r="N27" s="1131">
        <f t="shared" si="1"/>
        <v>10500750.000000011</v>
      </c>
      <c r="O27" s="1869">
        <f t="shared" ref="O27" si="69">+O76*O$3*24*1000</f>
        <v>4348532.1279373933</v>
      </c>
      <c r="P27" s="390">
        <v>4932048.3333333209</v>
      </c>
      <c r="Q27" s="1988">
        <f t="shared" si="62"/>
        <v>16176954.197544796</v>
      </c>
      <c r="R27" s="434">
        <f t="shared" si="63"/>
        <v>15432798.333333332</v>
      </c>
      <c r="S27" s="1869">
        <f t="shared" si="51"/>
        <v>6364678.9275596701</v>
      </c>
      <c r="T27" s="390">
        <v>6095831.6666666716</v>
      </c>
      <c r="U27" s="1131">
        <f t="shared" si="4"/>
        <v>22541633.125104465</v>
      </c>
      <c r="V27" s="1131">
        <f t="shared" si="5"/>
        <v>21528630.000000004</v>
      </c>
      <c r="W27" s="1869">
        <f t="shared" si="52"/>
        <v>6364678.9275596701</v>
      </c>
      <c r="X27" s="390">
        <v>6442453.333333333</v>
      </c>
      <c r="Y27" s="1131">
        <f t="shared" si="6"/>
        <v>28906312.052664135</v>
      </c>
      <c r="Z27" s="1131">
        <f t="shared" si="7"/>
        <v>27971083.333333336</v>
      </c>
      <c r="AA27" s="1869">
        <f t="shared" si="53"/>
        <v>6194954.1561580794</v>
      </c>
      <c r="AB27" s="390">
        <v>5592789.9999999963</v>
      </c>
      <c r="AC27" s="1988">
        <f t="shared" si="46"/>
        <v>18924312.011277419</v>
      </c>
      <c r="AD27" s="434">
        <f t="shared" si="47"/>
        <v>18131075</v>
      </c>
      <c r="AE27" s="1132">
        <f t="shared" si="35"/>
        <v>35101266.208822213</v>
      </c>
      <c r="AF27" s="1132">
        <f t="shared" si="36"/>
        <v>33563873.333333328</v>
      </c>
      <c r="AG27" s="1869">
        <f t="shared" si="54"/>
        <v>6407110.120410068</v>
      </c>
      <c r="AH27" s="390">
        <v>5441095.0000000028</v>
      </c>
      <c r="AI27" s="1131">
        <f t="shared" si="8"/>
        <v>41508376.329232283</v>
      </c>
      <c r="AJ27" s="1131">
        <f t="shared" si="9"/>
        <v>39004968.333333328</v>
      </c>
      <c r="AK27" s="1869">
        <f t="shared" si="55"/>
        <v>6194954.1561580794</v>
      </c>
      <c r="AL27" s="390">
        <v>5378371.6666666651</v>
      </c>
      <c r="AM27" s="1131">
        <f t="shared" si="10"/>
        <v>47703330.485390365</v>
      </c>
      <c r="AN27" s="1131">
        <f t="shared" si="11"/>
        <v>44383339.999999993</v>
      </c>
      <c r="AO27" s="1869">
        <f t="shared" si="56"/>
        <v>6407110.120410068</v>
      </c>
      <c r="AP27" s="390">
        <v>5699910.0000000056</v>
      </c>
      <c r="AQ27" s="1988">
        <f t="shared" si="37"/>
        <v>19009174.396978214</v>
      </c>
      <c r="AR27" s="434">
        <f t="shared" si="38"/>
        <v>16519376.666666673</v>
      </c>
      <c r="AS27" s="1131">
        <f t="shared" si="12"/>
        <v>54110440.605800435</v>
      </c>
      <c r="AT27" s="1131">
        <f t="shared" si="13"/>
        <v>50083250</v>
      </c>
      <c r="AU27" s="1869">
        <f t="shared" si="57"/>
        <v>6407110.120410068</v>
      </c>
      <c r="AV27" s="390">
        <v>6081988.3333333293</v>
      </c>
      <c r="AW27" s="1131">
        <f t="shared" si="14"/>
        <v>60517550.726210505</v>
      </c>
      <c r="AX27" s="1131">
        <f t="shared" si="15"/>
        <v>56165238.333333328</v>
      </c>
      <c r="AY27" s="1869">
        <f t="shared" si="58"/>
        <v>5940366.999055692</v>
      </c>
      <c r="AZ27" s="390">
        <v>5655479.9999999972</v>
      </c>
      <c r="BA27" s="1131">
        <f t="shared" si="16"/>
        <v>66457917.725266196</v>
      </c>
      <c r="BB27" s="1131">
        <f t="shared" si="17"/>
        <v>61820718.333333328</v>
      </c>
      <c r="BC27" s="1869">
        <f t="shared" si="59"/>
        <v>6407110.120410068</v>
      </c>
      <c r="BD27" s="390">
        <v>6208110</v>
      </c>
      <c r="BE27" s="1988">
        <f t="shared" si="39"/>
        <v>18754587.239875831</v>
      </c>
      <c r="BF27" s="434">
        <f t="shared" si="40"/>
        <v>17945578.333333328</v>
      </c>
      <c r="BG27" s="1132">
        <f t="shared" si="60"/>
        <v>37763761.636854045</v>
      </c>
      <c r="BH27" s="1132">
        <f t="shared" si="60"/>
        <v>34464955</v>
      </c>
      <c r="BI27" s="1131">
        <f t="shared" si="32"/>
        <v>72865027.845676258</v>
      </c>
      <c r="BJ27" s="1131">
        <f t="shared" si="31"/>
        <v>68028828.333333328</v>
      </c>
      <c r="BK27" s="26"/>
      <c r="BL27" s="2062"/>
      <c r="BM27" s="26"/>
      <c r="BN27" s="26"/>
    </row>
    <row r="28" spans="1:66" x14ac:dyDescent="0.25">
      <c r="A28" s="340">
        <v>22</v>
      </c>
      <c r="B28" s="359" t="s">
        <v>784</v>
      </c>
      <c r="C28" s="13" t="s">
        <v>218</v>
      </c>
      <c r="D28" s="360">
        <v>5408863.7999999998</v>
      </c>
      <c r="E28" s="361">
        <v>5589150</v>
      </c>
      <c r="G28" s="1123" t="s">
        <v>785</v>
      </c>
      <c r="H28" s="1101" t="s">
        <v>498</v>
      </c>
      <c r="I28" s="1869">
        <f t="shared" si="48"/>
        <v>4807286.2545477962</v>
      </c>
      <c r="J28" s="390">
        <v>3367143.3333333307</v>
      </c>
      <c r="K28" s="1869">
        <f t="shared" si="49"/>
        <v>4423083.9223717386</v>
      </c>
      <c r="L28" s="390">
        <v>3180186.6666666679</v>
      </c>
      <c r="M28" s="1131">
        <f t="shared" si="1"/>
        <v>9230370.1769195348</v>
      </c>
      <c r="N28" s="1131">
        <f t="shared" si="1"/>
        <v>6547329.9999999981</v>
      </c>
      <c r="O28" s="1869">
        <f t="shared" ref="O28" si="70">+O77*O$3*24*1000</f>
        <v>4249040.5654768692</v>
      </c>
      <c r="P28" s="390">
        <v>3015063.333333334</v>
      </c>
      <c r="Q28" s="1988">
        <f t="shared" si="62"/>
        <v>13479410.742396403</v>
      </c>
      <c r="R28" s="434">
        <f t="shared" si="63"/>
        <v>9562393.3333333321</v>
      </c>
      <c r="S28" s="1869">
        <f t="shared" si="51"/>
        <v>4969329.6114426646</v>
      </c>
      <c r="T28" s="390">
        <v>3526096.6666666633</v>
      </c>
      <c r="U28" s="1131">
        <f t="shared" si="4"/>
        <v>18448740.35383907</v>
      </c>
      <c r="V28" s="1131">
        <f t="shared" si="5"/>
        <v>13088489.999999996</v>
      </c>
      <c r="W28" s="1869">
        <f t="shared" si="52"/>
        <v>4969329.6114426646</v>
      </c>
      <c r="X28" s="390">
        <v>3963613.3333333349</v>
      </c>
      <c r="Y28" s="1131">
        <f t="shared" si="6"/>
        <v>23418069.965281732</v>
      </c>
      <c r="Z28" s="1131">
        <f t="shared" si="7"/>
        <v>17052103.333333332</v>
      </c>
      <c r="AA28" s="1869">
        <f t="shared" si="53"/>
        <v>4807286.2545477962</v>
      </c>
      <c r="AB28" s="390">
        <v>3566580.9999999972</v>
      </c>
      <c r="AC28" s="1988">
        <f t="shared" si="46"/>
        <v>14745945.477433126</v>
      </c>
      <c r="AD28" s="434">
        <f t="shared" si="47"/>
        <v>11056290.999999996</v>
      </c>
      <c r="AE28" s="1132">
        <f t="shared" si="35"/>
        <v>28225356.21982953</v>
      </c>
      <c r="AF28" s="1132">
        <f t="shared" si="36"/>
        <v>20618684.333333328</v>
      </c>
      <c r="AG28" s="1869">
        <f t="shared" si="54"/>
        <v>4969329.6114426646</v>
      </c>
      <c r="AH28" s="390">
        <v>3620622.0000000056</v>
      </c>
      <c r="AI28" s="1131">
        <f t="shared" si="8"/>
        <v>33194685.831272192</v>
      </c>
      <c r="AJ28" s="1131">
        <f t="shared" si="9"/>
        <v>24239306.333333336</v>
      </c>
      <c r="AK28" s="1869">
        <f t="shared" si="55"/>
        <v>4807286.2545477962</v>
      </c>
      <c r="AL28" s="390">
        <v>3634779.6666666651</v>
      </c>
      <c r="AM28" s="1131">
        <f t="shared" si="10"/>
        <v>38001972.085819989</v>
      </c>
      <c r="AN28" s="1131">
        <f t="shared" si="11"/>
        <v>27874086</v>
      </c>
      <c r="AO28" s="1869">
        <f t="shared" si="56"/>
        <v>4969329.6114426646</v>
      </c>
      <c r="AP28" s="390">
        <v>3655641</v>
      </c>
      <c r="AQ28" s="1988">
        <f t="shared" si="37"/>
        <v>14745945.477433125</v>
      </c>
      <c r="AR28" s="434">
        <f t="shared" si="38"/>
        <v>10911042.666666672</v>
      </c>
      <c r="AS28" s="1131">
        <f t="shared" si="12"/>
        <v>42971301.697262652</v>
      </c>
      <c r="AT28" s="1131">
        <f t="shared" si="13"/>
        <v>31529727</v>
      </c>
      <c r="AU28" s="1869">
        <f t="shared" si="57"/>
        <v>4969329.6114426646</v>
      </c>
      <c r="AV28" s="390">
        <v>3613682.3333333377</v>
      </c>
      <c r="AW28" s="1131">
        <f t="shared" si="14"/>
        <v>47940631.308705315</v>
      </c>
      <c r="AX28" s="1131">
        <f t="shared" si="15"/>
        <v>35143409.333333336</v>
      </c>
      <c r="AY28" s="1869">
        <f t="shared" si="58"/>
        <v>4537213.9930563467</v>
      </c>
      <c r="AZ28" s="390">
        <v>3304544.9999999991</v>
      </c>
      <c r="BA28" s="1131">
        <f t="shared" si="16"/>
        <v>52477845.301761664</v>
      </c>
      <c r="BB28" s="1131">
        <f t="shared" si="17"/>
        <v>38447954.333333336</v>
      </c>
      <c r="BC28" s="1869">
        <f t="shared" si="59"/>
        <v>4969329.6114426646</v>
      </c>
      <c r="BD28" s="390">
        <v>3926232.9999999977</v>
      </c>
      <c r="BE28" s="1988">
        <f t="shared" si="39"/>
        <v>14475873.215941677</v>
      </c>
      <c r="BF28" s="434">
        <f t="shared" si="40"/>
        <v>10844460.333333334</v>
      </c>
      <c r="BG28" s="1132">
        <f t="shared" si="60"/>
        <v>29221818.693374801</v>
      </c>
      <c r="BH28" s="1132">
        <f t="shared" si="60"/>
        <v>21755503.000000007</v>
      </c>
      <c r="BI28" s="1131">
        <f t="shared" si="32"/>
        <v>57447174.913204327</v>
      </c>
      <c r="BJ28" s="1131">
        <f t="shared" si="31"/>
        <v>42374187.333333336</v>
      </c>
      <c r="BK28" s="26"/>
      <c r="BL28" s="2062"/>
      <c r="BM28" s="26"/>
      <c r="BN28" s="26"/>
    </row>
    <row r="29" spans="1:66" x14ac:dyDescent="0.25">
      <c r="A29" s="340">
        <v>23</v>
      </c>
      <c r="B29" s="359" t="s">
        <v>750</v>
      </c>
      <c r="C29" s="13" t="s">
        <v>218</v>
      </c>
      <c r="D29" s="360">
        <v>24602610.000000015</v>
      </c>
      <c r="E29" s="361">
        <v>25208649.999999989</v>
      </c>
      <c r="G29" s="1123" t="s">
        <v>786</v>
      </c>
      <c r="H29" s="1101" t="s">
        <v>750</v>
      </c>
      <c r="I29" s="1869">
        <f t="shared" si="48"/>
        <v>24768000</v>
      </c>
      <c r="J29" s="390">
        <v>25356421.999999933</v>
      </c>
      <c r="K29" s="1869">
        <f t="shared" si="49"/>
        <v>25593600</v>
      </c>
      <c r="L29" s="390">
        <v>24896349.999999993</v>
      </c>
      <c r="M29" s="1131">
        <f t="shared" si="1"/>
        <v>50361600</v>
      </c>
      <c r="N29" s="1131">
        <f t="shared" si="1"/>
        <v>50252771.999999925</v>
      </c>
      <c r="O29" s="1869">
        <f t="shared" ref="O29" si="71">+O78*O$3*24*1000</f>
        <v>24768000</v>
      </c>
      <c r="P29" s="390">
        <v>23730800.00000003</v>
      </c>
      <c r="Q29" s="1988">
        <f t="shared" si="62"/>
        <v>75129600</v>
      </c>
      <c r="R29" s="434">
        <f t="shared" si="63"/>
        <v>73983571.999999955</v>
      </c>
      <c r="S29" s="1869">
        <f t="shared" si="51"/>
        <v>25593600</v>
      </c>
      <c r="T29" s="390">
        <v>26263720.000000037</v>
      </c>
      <c r="U29" s="1131">
        <f t="shared" si="4"/>
        <v>100723200</v>
      </c>
      <c r="V29" s="1131">
        <f t="shared" si="5"/>
        <v>100247292</v>
      </c>
      <c r="W29" s="1869">
        <f t="shared" si="52"/>
        <v>25593600</v>
      </c>
      <c r="X29" s="390">
        <v>26176409.99999997</v>
      </c>
      <c r="Y29" s="1131">
        <f t="shared" si="6"/>
        <v>126316800</v>
      </c>
      <c r="Z29" s="1131">
        <f t="shared" si="7"/>
        <v>126423701.99999997</v>
      </c>
      <c r="AA29" s="1869">
        <f t="shared" si="53"/>
        <v>24768000</v>
      </c>
      <c r="AB29" s="390">
        <v>25471430</v>
      </c>
      <c r="AC29" s="1988">
        <f t="shared" si="46"/>
        <v>75955200</v>
      </c>
      <c r="AD29" s="434">
        <f t="shared" si="47"/>
        <v>77911560</v>
      </c>
      <c r="AE29" s="1132">
        <f t="shared" si="35"/>
        <v>151084800</v>
      </c>
      <c r="AF29" s="1132">
        <f t="shared" si="36"/>
        <v>151895131.99999994</v>
      </c>
      <c r="AG29" s="1869">
        <f t="shared" si="54"/>
        <v>25593600</v>
      </c>
      <c r="AH29" s="390">
        <v>26243109.400000058</v>
      </c>
      <c r="AI29" s="1131">
        <f t="shared" si="8"/>
        <v>176678400</v>
      </c>
      <c r="AJ29" s="1131">
        <f t="shared" si="9"/>
        <v>178138241.40000001</v>
      </c>
      <c r="AK29" s="1869">
        <f t="shared" si="55"/>
        <v>24768000</v>
      </c>
      <c r="AL29" s="390">
        <v>25149629.600000028</v>
      </c>
      <c r="AM29" s="1131">
        <f t="shared" si="10"/>
        <v>201446400</v>
      </c>
      <c r="AN29" s="1131">
        <f t="shared" si="11"/>
        <v>203287871.00000003</v>
      </c>
      <c r="AO29" s="1869">
        <f t="shared" si="56"/>
        <v>25593600</v>
      </c>
      <c r="AP29" s="390">
        <v>26013571.999999929</v>
      </c>
      <c r="AQ29" s="1988">
        <f t="shared" si="37"/>
        <v>75955200</v>
      </c>
      <c r="AR29" s="434">
        <f t="shared" si="38"/>
        <v>77406311.000000015</v>
      </c>
      <c r="AS29" s="1131">
        <f t="shared" si="12"/>
        <v>227040000</v>
      </c>
      <c r="AT29" s="1131">
        <f t="shared" si="13"/>
        <v>229301442.99999997</v>
      </c>
      <c r="AU29" s="1869">
        <f t="shared" si="57"/>
        <v>25593600</v>
      </c>
      <c r="AV29" s="390">
        <v>25940014.00000006</v>
      </c>
      <c r="AW29" s="1131">
        <f t="shared" si="14"/>
        <v>252633600</v>
      </c>
      <c r="AX29" s="1131">
        <f t="shared" si="15"/>
        <v>255241457.00000003</v>
      </c>
      <c r="AY29" s="1869">
        <f t="shared" si="58"/>
        <v>23942399.999999996</v>
      </c>
      <c r="AZ29" s="390">
        <v>24452409.999999896</v>
      </c>
      <c r="BA29" s="1131">
        <f t="shared" si="16"/>
        <v>276576000</v>
      </c>
      <c r="BB29" s="1131">
        <f t="shared" si="17"/>
        <v>279693866.99999994</v>
      </c>
      <c r="BC29" s="1869">
        <f t="shared" si="59"/>
        <v>25593600</v>
      </c>
      <c r="BD29" s="390">
        <v>26264286.000000052</v>
      </c>
      <c r="BE29" s="1988">
        <f t="shared" si="39"/>
        <v>75129600</v>
      </c>
      <c r="BF29" s="434">
        <f t="shared" si="40"/>
        <v>76656710</v>
      </c>
      <c r="BG29" s="1132">
        <f t="shared" si="60"/>
        <v>151084800</v>
      </c>
      <c r="BH29" s="1132">
        <f t="shared" si="60"/>
        <v>154063021</v>
      </c>
      <c r="BI29" s="1131">
        <f t="shared" si="32"/>
        <v>302169600</v>
      </c>
      <c r="BJ29" s="1131">
        <f t="shared" si="31"/>
        <v>305958153</v>
      </c>
      <c r="BK29" s="26"/>
      <c r="BL29" s="2062"/>
      <c r="BM29" s="26"/>
      <c r="BN29" s="26"/>
    </row>
    <row r="30" spans="1:66" x14ac:dyDescent="0.25">
      <c r="A30" s="340">
        <v>24</v>
      </c>
      <c r="B30" s="359" t="s">
        <v>499</v>
      </c>
      <c r="C30" s="13" t="s">
        <v>218</v>
      </c>
      <c r="D30" s="360">
        <v>3577000</v>
      </c>
      <c r="E30" s="361">
        <v>3313400.0000000051</v>
      </c>
      <c r="G30" s="1123" t="s">
        <v>787</v>
      </c>
      <c r="H30" s="1101" t="s">
        <v>499</v>
      </c>
      <c r="I30" s="1869">
        <f t="shared" si="48"/>
        <v>3456000</v>
      </c>
      <c r="J30" s="390">
        <v>3697699.9999999935</v>
      </c>
      <c r="K30" s="1869">
        <f t="shared" si="49"/>
        <v>3571200</v>
      </c>
      <c r="L30" s="390">
        <v>3805900.0000000084</v>
      </c>
      <c r="M30" s="1131">
        <f t="shared" si="1"/>
        <v>7027200</v>
      </c>
      <c r="N30" s="1131">
        <f t="shared" si="1"/>
        <v>7503600.0000000019</v>
      </c>
      <c r="O30" s="1869">
        <f t="shared" ref="O30" si="72">+O79*O$3*24*1000</f>
        <v>3456000</v>
      </c>
      <c r="P30" s="390">
        <v>3733100.0000000061</v>
      </c>
      <c r="Q30" s="1988">
        <f t="shared" si="62"/>
        <v>10483200</v>
      </c>
      <c r="R30" s="434">
        <f t="shared" si="63"/>
        <v>11236700.000000007</v>
      </c>
      <c r="S30" s="1869">
        <f t="shared" si="51"/>
        <v>3571200</v>
      </c>
      <c r="T30" s="390">
        <v>3803999.9999999925</v>
      </c>
      <c r="U30" s="1131">
        <f t="shared" si="4"/>
        <v>14054400</v>
      </c>
      <c r="V30" s="1131">
        <f t="shared" si="5"/>
        <v>15040700</v>
      </c>
      <c r="W30" s="1869">
        <f t="shared" si="52"/>
        <v>3571200</v>
      </c>
      <c r="X30" s="390">
        <v>3983900.0000000088</v>
      </c>
      <c r="Y30" s="1131">
        <f t="shared" si="6"/>
        <v>17625600</v>
      </c>
      <c r="Z30" s="1131">
        <f t="shared" si="7"/>
        <v>19024600.000000007</v>
      </c>
      <c r="AA30" s="1869">
        <f t="shared" si="53"/>
        <v>3456000</v>
      </c>
      <c r="AB30" s="390">
        <v>3802199.9999999972</v>
      </c>
      <c r="AC30" s="1988">
        <f t="shared" si="46"/>
        <v>10598400</v>
      </c>
      <c r="AD30" s="434">
        <f t="shared" si="47"/>
        <v>11590100</v>
      </c>
      <c r="AE30" s="1132">
        <f t="shared" si="35"/>
        <v>21081600</v>
      </c>
      <c r="AF30" s="1132">
        <f t="shared" si="36"/>
        <v>22826800.000000007</v>
      </c>
      <c r="AG30" s="1869">
        <f t="shared" si="54"/>
        <v>3571200</v>
      </c>
      <c r="AH30" s="390">
        <v>4074899.9999999944</v>
      </c>
      <c r="AI30" s="1131">
        <f t="shared" si="8"/>
        <v>24652800</v>
      </c>
      <c r="AJ30" s="1131">
        <f t="shared" si="9"/>
        <v>26901700</v>
      </c>
      <c r="AK30" s="1869">
        <f t="shared" si="55"/>
        <v>3456000</v>
      </c>
      <c r="AL30" s="390">
        <v>4018900.0000000088</v>
      </c>
      <c r="AM30" s="1131">
        <f t="shared" si="10"/>
        <v>28108800</v>
      </c>
      <c r="AN30" s="1131">
        <f t="shared" si="11"/>
        <v>30920600.000000007</v>
      </c>
      <c r="AO30" s="1869">
        <f t="shared" si="56"/>
        <v>3571200</v>
      </c>
      <c r="AP30" s="390">
        <v>3981199.9999999823</v>
      </c>
      <c r="AQ30" s="1988">
        <f t="shared" si="37"/>
        <v>10598400</v>
      </c>
      <c r="AR30" s="434">
        <f t="shared" si="38"/>
        <v>12074999.999999985</v>
      </c>
      <c r="AS30" s="1131">
        <f t="shared" si="12"/>
        <v>31680000</v>
      </c>
      <c r="AT30" s="1131">
        <f t="shared" si="13"/>
        <v>34901799.999999993</v>
      </c>
      <c r="AU30" s="1869">
        <f t="shared" si="57"/>
        <v>3571200</v>
      </c>
      <c r="AV30" s="390">
        <v>4155400.0000000084</v>
      </c>
      <c r="AW30" s="1131">
        <f t="shared" si="14"/>
        <v>35251200</v>
      </c>
      <c r="AX30" s="1131">
        <f t="shared" si="15"/>
        <v>39057200</v>
      </c>
      <c r="AY30" s="1869">
        <f t="shared" si="58"/>
        <v>3340799.9999999995</v>
      </c>
      <c r="AZ30" s="390">
        <v>3991299.9999999958</v>
      </c>
      <c r="BA30" s="1131">
        <f t="shared" si="16"/>
        <v>38592000</v>
      </c>
      <c r="BB30" s="1131">
        <f t="shared" si="17"/>
        <v>43048499.999999993</v>
      </c>
      <c r="BC30" s="1869">
        <f t="shared" si="59"/>
        <v>3571200</v>
      </c>
      <c r="BD30" s="390">
        <v>3968900.0000000084</v>
      </c>
      <c r="BE30" s="1988">
        <f t="shared" si="39"/>
        <v>10483200</v>
      </c>
      <c r="BF30" s="434">
        <f t="shared" si="40"/>
        <v>12115600.000000011</v>
      </c>
      <c r="BG30" s="1132">
        <f t="shared" si="60"/>
        <v>21081600</v>
      </c>
      <c r="BH30" s="1132">
        <f t="shared" si="60"/>
        <v>24190599.999999996</v>
      </c>
      <c r="BI30" s="1131">
        <f t="shared" si="32"/>
        <v>42163200</v>
      </c>
      <c r="BJ30" s="1131">
        <f t="shared" si="31"/>
        <v>47017400</v>
      </c>
      <c r="BK30" s="26"/>
      <c r="BL30" s="2062"/>
      <c r="BM30" s="26"/>
      <c r="BN30" s="26"/>
    </row>
    <row r="31" spans="1:66" x14ac:dyDescent="0.25">
      <c r="A31" s="340">
        <v>25</v>
      </c>
      <c r="B31" s="359" t="s">
        <v>788</v>
      </c>
      <c r="C31" s="13" t="s">
        <v>218</v>
      </c>
      <c r="D31" s="360">
        <v>2204510.0000000019</v>
      </c>
      <c r="E31" s="361">
        <v>2354639.9999999991</v>
      </c>
      <c r="G31" s="1123" t="s">
        <v>789</v>
      </c>
      <c r="H31" s="1101" t="s">
        <v>751</v>
      </c>
      <c r="I31" s="1868">
        <f t="shared" si="48"/>
        <v>648000</v>
      </c>
      <c r="J31" s="390">
        <v>610619.99999999895</v>
      </c>
      <c r="K31" s="1868">
        <f t="shared" si="49"/>
        <v>669600</v>
      </c>
      <c r="L31" s="390">
        <v>613280.00000000151</v>
      </c>
      <c r="M31" s="1131">
        <f t="shared" si="1"/>
        <v>1317600</v>
      </c>
      <c r="N31" s="1131">
        <f t="shared" si="1"/>
        <v>1223900.0000000005</v>
      </c>
      <c r="O31" s="1868">
        <f t="shared" ref="O31" si="73">+O80*O$3*24*1000</f>
        <v>648000</v>
      </c>
      <c r="P31" s="390">
        <v>608939.99999999953</v>
      </c>
      <c r="Q31" s="1988">
        <f t="shared" si="62"/>
        <v>1965600</v>
      </c>
      <c r="R31" s="434">
        <f t="shared" si="63"/>
        <v>1832840</v>
      </c>
      <c r="S31" s="1868">
        <f t="shared" si="51"/>
        <v>669600</v>
      </c>
      <c r="T31" s="390">
        <v>644689.99999999872</v>
      </c>
      <c r="U31" s="1131">
        <f t="shared" si="4"/>
        <v>2635200</v>
      </c>
      <c r="V31" s="1131">
        <f t="shared" si="5"/>
        <v>2477529.9999999986</v>
      </c>
      <c r="W31" s="1868">
        <f t="shared" si="52"/>
        <v>669600</v>
      </c>
      <c r="X31" s="390">
        <v>642750</v>
      </c>
      <c r="Y31" s="1131">
        <f t="shared" si="6"/>
        <v>3304800</v>
      </c>
      <c r="Z31" s="1131">
        <f t="shared" si="7"/>
        <v>3120279.9999999986</v>
      </c>
      <c r="AA31" s="1868">
        <f t="shared" si="53"/>
        <v>648000</v>
      </c>
      <c r="AB31" s="390">
        <v>674840.00000000012</v>
      </c>
      <c r="AC31" s="1987">
        <f t="shared" si="46"/>
        <v>1987200</v>
      </c>
      <c r="AD31" s="434">
        <f t="shared" si="47"/>
        <v>1962279.9999999986</v>
      </c>
      <c r="AE31" s="1132">
        <f t="shared" si="35"/>
        <v>3952800</v>
      </c>
      <c r="AF31" s="1132">
        <f t="shared" si="36"/>
        <v>3795119.9999999986</v>
      </c>
      <c r="AG31" s="1868">
        <f t="shared" si="54"/>
        <v>669600</v>
      </c>
      <c r="AH31" s="390">
        <v>574709.99999999907</v>
      </c>
      <c r="AI31" s="1131">
        <f t="shared" si="8"/>
        <v>4622400</v>
      </c>
      <c r="AJ31" s="1131">
        <f t="shared" si="9"/>
        <v>4369829.9999999981</v>
      </c>
      <c r="AK31" s="1868">
        <f t="shared" si="55"/>
        <v>648000</v>
      </c>
      <c r="AL31" s="390">
        <v>593910.00000000163</v>
      </c>
      <c r="AM31" s="1131">
        <f t="shared" si="10"/>
        <v>5270400</v>
      </c>
      <c r="AN31" s="1131">
        <f t="shared" si="11"/>
        <v>4963740</v>
      </c>
      <c r="AO31" s="1868">
        <f t="shared" si="56"/>
        <v>669600</v>
      </c>
      <c r="AP31" s="390">
        <v>580729.9999999986</v>
      </c>
      <c r="AQ31" s="1987">
        <f t="shared" si="37"/>
        <v>1987200</v>
      </c>
      <c r="AR31" s="434">
        <f t="shared" si="38"/>
        <v>1749349.9999999993</v>
      </c>
      <c r="AS31" s="1131">
        <f t="shared" si="12"/>
        <v>5940000</v>
      </c>
      <c r="AT31" s="1131">
        <f t="shared" si="13"/>
        <v>5544469.9999999981</v>
      </c>
      <c r="AU31" s="1868">
        <f t="shared" si="57"/>
        <v>669600</v>
      </c>
      <c r="AV31" s="390">
        <v>546250.00000000093</v>
      </c>
      <c r="AW31" s="1131">
        <f t="shared" si="14"/>
        <v>6609600</v>
      </c>
      <c r="AX31" s="1131">
        <f t="shared" si="15"/>
        <v>6090719.9999999991</v>
      </c>
      <c r="AY31" s="1868">
        <f t="shared" si="58"/>
        <v>626400.00000000012</v>
      </c>
      <c r="AZ31" s="390">
        <v>545879.99999999953</v>
      </c>
      <c r="BA31" s="1131">
        <f t="shared" si="16"/>
        <v>7236000</v>
      </c>
      <c r="BB31" s="1131">
        <f t="shared" si="17"/>
        <v>6636599.9999999981</v>
      </c>
      <c r="BC31" s="1868">
        <f t="shared" si="59"/>
        <v>669600</v>
      </c>
      <c r="BD31" s="390">
        <v>617159.99999999953</v>
      </c>
      <c r="BE31" s="1987">
        <f t="shared" si="39"/>
        <v>1965600</v>
      </c>
      <c r="BF31" s="434">
        <f t="shared" si="40"/>
        <v>1709290</v>
      </c>
      <c r="BG31" s="1132">
        <f t="shared" si="60"/>
        <v>3952800</v>
      </c>
      <c r="BH31" s="1132">
        <f t="shared" si="60"/>
        <v>3458639.9999999991</v>
      </c>
      <c r="BI31" s="1131">
        <f t="shared" si="32"/>
        <v>7905600</v>
      </c>
      <c r="BJ31" s="1131">
        <f t="shared" si="31"/>
        <v>7253759.9999999981</v>
      </c>
      <c r="BK31" s="26"/>
      <c r="BL31" s="2062"/>
      <c r="BM31" s="26"/>
      <c r="BN31" s="26"/>
    </row>
    <row r="32" spans="1:66" x14ac:dyDescent="0.25">
      <c r="A32" s="340"/>
      <c r="B32" s="359"/>
      <c r="C32" s="13"/>
      <c r="D32" s="360"/>
      <c r="E32" s="361"/>
      <c r="G32" s="1123" t="s">
        <v>790</v>
      </c>
      <c r="H32" s="1101" t="s">
        <v>752</v>
      </c>
      <c r="I32" s="1868">
        <f t="shared" si="48"/>
        <v>720000</v>
      </c>
      <c r="J32" s="390">
        <v>917799.99999999919</v>
      </c>
      <c r="K32" s="1868">
        <f t="shared" si="49"/>
        <v>744000</v>
      </c>
      <c r="L32" s="390">
        <v>838700.0000000007</v>
      </c>
      <c r="M32" s="1131">
        <f t="shared" si="1"/>
        <v>1464000</v>
      </c>
      <c r="N32" s="1131">
        <f t="shared" si="1"/>
        <v>1756500</v>
      </c>
      <c r="O32" s="1868">
        <f t="shared" ref="O32" si="74">+O81*O$3*24*1000</f>
        <v>720000</v>
      </c>
      <c r="P32" s="390">
        <v>959500</v>
      </c>
      <c r="Q32" s="1988">
        <f t="shared" si="62"/>
        <v>2184000</v>
      </c>
      <c r="R32" s="434">
        <f t="shared" si="63"/>
        <v>2716000</v>
      </c>
      <c r="S32" s="1868">
        <f t="shared" si="51"/>
        <v>744000</v>
      </c>
      <c r="T32" s="390">
        <v>1083000</v>
      </c>
      <c r="U32" s="1131">
        <f t="shared" si="4"/>
        <v>2928000</v>
      </c>
      <c r="V32" s="1131">
        <f t="shared" si="5"/>
        <v>3799000</v>
      </c>
      <c r="W32" s="1868">
        <f t="shared" si="52"/>
        <v>744000</v>
      </c>
      <c r="X32" s="390">
        <v>1065700.0000000007</v>
      </c>
      <c r="Y32" s="1131">
        <f t="shared" si="6"/>
        <v>3672000</v>
      </c>
      <c r="Z32" s="1131">
        <f t="shared" si="7"/>
        <v>4864700.0000000009</v>
      </c>
      <c r="AA32" s="1868">
        <f t="shared" si="53"/>
        <v>720000</v>
      </c>
      <c r="AB32" s="390">
        <v>690500</v>
      </c>
      <c r="AC32" s="1987">
        <f t="shared" si="46"/>
        <v>2208000</v>
      </c>
      <c r="AD32" s="434">
        <f t="shared" si="47"/>
        <v>2839200.0000000009</v>
      </c>
      <c r="AE32" s="1132">
        <f t="shared" si="35"/>
        <v>4392000</v>
      </c>
      <c r="AF32" s="1132">
        <f t="shared" si="36"/>
        <v>5555200.0000000009</v>
      </c>
      <c r="AG32" s="1868">
        <f t="shared" si="54"/>
        <v>744000</v>
      </c>
      <c r="AH32" s="390">
        <v>568500</v>
      </c>
      <c r="AI32" s="1131">
        <f t="shared" si="8"/>
        <v>5136000</v>
      </c>
      <c r="AJ32" s="1131">
        <f t="shared" si="9"/>
        <v>6123700.0000000009</v>
      </c>
      <c r="AK32" s="1868">
        <f t="shared" si="55"/>
        <v>720000</v>
      </c>
      <c r="AL32" s="390">
        <v>521799.9999999993</v>
      </c>
      <c r="AM32" s="1131">
        <f t="shared" si="10"/>
        <v>5856000</v>
      </c>
      <c r="AN32" s="1131">
        <f t="shared" si="11"/>
        <v>6645500</v>
      </c>
      <c r="AO32" s="1868">
        <f t="shared" si="56"/>
        <v>744000</v>
      </c>
      <c r="AP32" s="390">
        <v>1000999.9999999964</v>
      </c>
      <c r="AQ32" s="1987">
        <f t="shared" si="37"/>
        <v>2208000</v>
      </c>
      <c r="AR32" s="434">
        <f t="shared" si="38"/>
        <v>2091299.9999999958</v>
      </c>
      <c r="AS32" s="1131">
        <f t="shared" si="12"/>
        <v>6600000</v>
      </c>
      <c r="AT32" s="1131">
        <f t="shared" si="13"/>
        <v>7646499.9999999963</v>
      </c>
      <c r="AU32" s="1868">
        <f t="shared" si="57"/>
        <v>744000</v>
      </c>
      <c r="AV32" s="390">
        <v>1025300.0000000028</v>
      </c>
      <c r="AW32" s="1131">
        <f t="shared" si="14"/>
        <v>7344000</v>
      </c>
      <c r="AX32" s="1131">
        <f t="shared" si="15"/>
        <v>8671800</v>
      </c>
      <c r="AY32" s="1868">
        <f t="shared" si="58"/>
        <v>696000</v>
      </c>
      <c r="AZ32" s="390">
        <v>953399.9999999979</v>
      </c>
      <c r="BA32" s="1131">
        <f t="shared" si="16"/>
        <v>8040000</v>
      </c>
      <c r="BB32" s="1131">
        <f t="shared" si="17"/>
        <v>9625199.9999999981</v>
      </c>
      <c r="BC32" s="1868">
        <f t="shared" si="59"/>
        <v>744000</v>
      </c>
      <c r="BD32" s="390">
        <v>1017500.0000000072</v>
      </c>
      <c r="BE32" s="1987">
        <f t="shared" si="39"/>
        <v>2184000</v>
      </c>
      <c r="BF32" s="434">
        <f t="shared" si="40"/>
        <v>2996200.0000000079</v>
      </c>
      <c r="BG32" s="1132">
        <f t="shared" si="60"/>
        <v>4392000</v>
      </c>
      <c r="BH32" s="1132">
        <f t="shared" si="60"/>
        <v>5087500.0000000037</v>
      </c>
      <c r="BI32" s="1131">
        <f t="shared" si="32"/>
        <v>8784000</v>
      </c>
      <c r="BJ32" s="1131">
        <f t="shared" si="31"/>
        <v>10642700.000000006</v>
      </c>
      <c r="BK32" s="26"/>
      <c r="BL32" s="2062"/>
      <c r="BM32" s="26"/>
      <c r="BN32" s="26"/>
    </row>
    <row r="33" spans="1:66" x14ac:dyDescent="0.25">
      <c r="A33" s="340">
        <v>26</v>
      </c>
      <c r="B33" s="359" t="s">
        <v>791</v>
      </c>
      <c r="C33" s="13" t="s">
        <v>218</v>
      </c>
      <c r="D33" s="360">
        <v>1110620</v>
      </c>
      <c r="E33" s="361">
        <v>1155720.0000000005</v>
      </c>
      <c r="G33" s="1123" t="s">
        <v>792</v>
      </c>
      <c r="H33" s="1101" t="s">
        <v>753</v>
      </c>
      <c r="I33" s="1868">
        <f t="shared" si="48"/>
        <v>1008000</v>
      </c>
      <c r="J33" s="390">
        <v>800992.30000000109</v>
      </c>
      <c r="K33" s="1868">
        <f t="shared" si="49"/>
        <v>1041599.9999999999</v>
      </c>
      <c r="L33" s="390">
        <v>793708.19999999972</v>
      </c>
      <c r="M33" s="1131">
        <f t="shared" si="1"/>
        <v>2049600</v>
      </c>
      <c r="N33" s="1131">
        <f t="shared" si="1"/>
        <v>1594700.5000000009</v>
      </c>
      <c r="O33" s="1868">
        <f t="shared" ref="O33" si="75">+O82*O$3*24*1000</f>
        <v>1008000</v>
      </c>
      <c r="P33" s="390">
        <v>727865.60000000021</v>
      </c>
      <c r="Q33" s="1988">
        <f t="shared" si="62"/>
        <v>3057600</v>
      </c>
      <c r="R33" s="434">
        <f t="shared" si="63"/>
        <v>2322566.100000001</v>
      </c>
      <c r="S33" s="1868">
        <f t="shared" si="51"/>
        <v>1041599.9999999999</v>
      </c>
      <c r="T33" s="390">
        <v>860125.70000000042</v>
      </c>
      <c r="U33" s="1131">
        <f t="shared" si="4"/>
        <v>4099200</v>
      </c>
      <c r="V33" s="1131">
        <f t="shared" si="5"/>
        <v>3182691.8000000017</v>
      </c>
      <c r="W33" s="1868">
        <f t="shared" si="52"/>
        <v>1041599.9999999999</v>
      </c>
      <c r="X33" s="390">
        <v>864545.299999999</v>
      </c>
      <c r="Y33" s="1131">
        <f t="shared" si="6"/>
        <v>5140800</v>
      </c>
      <c r="Z33" s="1131">
        <f t="shared" si="7"/>
        <v>4047237.1000000006</v>
      </c>
      <c r="AA33" s="1868">
        <f t="shared" si="53"/>
        <v>1008000</v>
      </c>
      <c r="AB33" s="390">
        <v>788288.89999999979</v>
      </c>
      <c r="AC33" s="1987">
        <f t="shared" si="46"/>
        <v>3091200</v>
      </c>
      <c r="AD33" s="434">
        <f t="shared" si="47"/>
        <v>2512959.8999999994</v>
      </c>
      <c r="AE33" s="1132">
        <f t="shared" si="35"/>
        <v>6148800</v>
      </c>
      <c r="AF33" s="1132">
        <f t="shared" si="36"/>
        <v>4835526</v>
      </c>
      <c r="AG33" s="1868">
        <f t="shared" si="54"/>
        <v>1041599.9999999999</v>
      </c>
      <c r="AH33" s="390">
        <v>817874.40000000014</v>
      </c>
      <c r="AI33" s="1131">
        <f t="shared" si="8"/>
        <v>7190400</v>
      </c>
      <c r="AJ33" s="1131">
        <f t="shared" si="9"/>
        <v>5653400.4000000004</v>
      </c>
      <c r="AK33" s="1868">
        <f t="shared" si="55"/>
        <v>1008000</v>
      </c>
      <c r="AL33" s="390">
        <v>788764.80000000051</v>
      </c>
      <c r="AM33" s="1131">
        <f t="shared" si="10"/>
        <v>8198400</v>
      </c>
      <c r="AN33" s="1131">
        <f t="shared" si="11"/>
        <v>6442165.2000000011</v>
      </c>
      <c r="AO33" s="1868">
        <f t="shared" si="56"/>
        <v>1041599.9999999999</v>
      </c>
      <c r="AP33" s="390">
        <v>811625.99999999953</v>
      </c>
      <c r="AQ33" s="1987">
        <f t="shared" si="37"/>
        <v>3091200</v>
      </c>
      <c r="AR33" s="434">
        <f t="shared" si="38"/>
        <v>2418265.2000000002</v>
      </c>
      <c r="AS33" s="1131">
        <f t="shared" si="12"/>
        <v>9240000</v>
      </c>
      <c r="AT33" s="1131">
        <f t="shared" si="13"/>
        <v>7253791.2000000011</v>
      </c>
      <c r="AU33" s="1868">
        <f t="shared" si="57"/>
        <v>1041599.9999999999</v>
      </c>
      <c r="AV33" s="390">
        <v>783754.30000000075</v>
      </c>
      <c r="AW33" s="1131">
        <f t="shared" si="14"/>
        <v>10281600</v>
      </c>
      <c r="AX33" s="1131">
        <f t="shared" si="15"/>
        <v>8037545.5000000019</v>
      </c>
      <c r="AY33" s="1868">
        <f t="shared" si="58"/>
        <v>974399.99999999988</v>
      </c>
      <c r="AZ33" s="390">
        <v>753688.49999999977</v>
      </c>
      <c r="BA33" s="1131">
        <f t="shared" si="16"/>
        <v>11256000</v>
      </c>
      <c r="BB33" s="1131">
        <f t="shared" si="17"/>
        <v>8791234.0000000019</v>
      </c>
      <c r="BC33" s="1868">
        <f t="shared" si="59"/>
        <v>1041599.9999999999</v>
      </c>
      <c r="BD33" s="390">
        <v>802215.40000000061</v>
      </c>
      <c r="BE33" s="1987">
        <f t="shared" si="39"/>
        <v>3057599.9999999995</v>
      </c>
      <c r="BF33" s="434">
        <f t="shared" si="40"/>
        <v>2339658.2000000011</v>
      </c>
      <c r="BG33" s="1132">
        <f t="shared" si="60"/>
        <v>6148800</v>
      </c>
      <c r="BH33" s="1132">
        <f t="shared" si="60"/>
        <v>4757923.4000000013</v>
      </c>
      <c r="BI33" s="1131">
        <f t="shared" si="32"/>
        <v>12297600</v>
      </c>
      <c r="BJ33" s="1131">
        <f t="shared" si="31"/>
        <v>9593449.4000000022</v>
      </c>
      <c r="BK33" s="26"/>
      <c r="BL33" s="2062"/>
      <c r="BM33" s="26"/>
      <c r="BN33" s="26"/>
    </row>
    <row r="34" spans="1:66" s="183" customFormat="1" x14ac:dyDescent="0.25">
      <c r="G34" s="188"/>
      <c r="H34" s="188"/>
      <c r="I34" s="1872"/>
      <c r="K34" s="1872"/>
      <c r="M34" s="188"/>
      <c r="N34" s="1683"/>
      <c r="O34" s="1872"/>
      <c r="S34" s="1872"/>
      <c r="U34" s="188"/>
      <c r="V34" s="188"/>
      <c r="W34" s="1872"/>
      <c r="Y34" s="188"/>
      <c r="Z34" s="188"/>
      <c r="AA34" s="1872"/>
      <c r="AE34" s="188"/>
      <c r="AF34" s="188"/>
      <c r="AG34" s="1872"/>
      <c r="AI34" s="188"/>
      <c r="AJ34" s="188"/>
      <c r="AK34" s="1872"/>
      <c r="AM34" s="188"/>
      <c r="AN34" s="188"/>
      <c r="AO34" s="1872"/>
      <c r="AS34" s="188"/>
      <c r="AT34" s="188"/>
      <c r="AU34" s="1872"/>
      <c r="AW34" s="188"/>
      <c r="AX34" s="188"/>
      <c r="AY34" s="1872"/>
      <c r="BA34" s="188"/>
      <c r="BB34" s="188"/>
      <c r="BC34" s="1872"/>
      <c r="BG34" s="188"/>
      <c r="BH34" s="188"/>
      <c r="BI34" s="188"/>
      <c r="BJ34" s="188"/>
      <c r="BK34" s="26"/>
      <c r="BL34" s="2062"/>
      <c r="BM34" s="26"/>
      <c r="BN34" s="26"/>
    </row>
    <row r="35" spans="1:66" ht="15.75" x14ac:dyDescent="0.25">
      <c r="A35" s="340">
        <v>27</v>
      </c>
      <c r="B35" s="359" t="s">
        <v>751</v>
      </c>
      <c r="C35" s="13" t="s">
        <v>218</v>
      </c>
      <c r="D35" s="360">
        <v>454899.99999999919</v>
      </c>
      <c r="E35" s="361">
        <v>444510.0000000007</v>
      </c>
      <c r="G35" s="1134" t="s">
        <v>793</v>
      </c>
      <c r="H35" s="1864" t="s">
        <v>754</v>
      </c>
      <c r="I35" s="1871">
        <f>SUM(I36:I39)</f>
        <v>2446500.0951511883</v>
      </c>
      <c r="J35" s="393">
        <f>SUM(J36:J39)</f>
        <v>1609897.1137999995</v>
      </c>
      <c r="K35" s="1871">
        <f>SUM(K36:K39)</f>
        <v>2528050.0983228944</v>
      </c>
      <c r="L35" s="393">
        <f>SUM(L36:L39)</f>
        <v>1797029.7990000001</v>
      </c>
      <c r="M35" s="1135">
        <f t="shared" si="1"/>
        <v>4974550.1934740823</v>
      </c>
      <c r="N35" s="1135">
        <f t="shared" si="1"/>
        <v>3406926.9127999996</v>
      </c>
      <c r="O35" s="1871">
        <f>SUM(O36:O39)</f>
        <v>2446500.0951511883</v>
      </c>
      <c r="P35" s="393">
        <f>SUM(P36:P39)</f>
        <v>1706243.3048</v>
      </c>
      <c r="Q35" s="1991">
        <f t="shared" si="2"/>
        <v>7421050.2886252701</v>
      </c>
      <c r="R35" s="1992">
        <f t="shared" si="3"/>
        <v>5113170.2175999992</v>
      </c>
      <c r="S35" s="1871">
        <f>SUM(S36:S39)</f>
        <v>2531178.2576895617</v>
      </c>
      <c r="T35" s="393">
        <f>SUM(T36:T39)</f>
        <v>1855830.2535999992</v>
      </c>
      <c r="U35" s="1135">
        <f t="shared" ref="U35:U47" si="76">+Q35+S35</f>
        <v>9952228.5463148318</v>
      </c>
      <c r="V35" s="1135">
        <f t="shared" ref="V35:V47" si="77">+R35+T35</f>
        <v>6969000.4711999986</v>
      </c>
      <c r="W35" s="1871">
        <f>SUM(W36:W39)</f>
        <v>2531178.2576895617</v>
      </c>
      <c r="X35" s="393">
        <f>SUM(X36:X39)</f>
        <v>1787084.4056000006</v>
      </c>
      <c r="Y35" s="1135">
        <f t="shared" ref="Y35:Y47" si="78">+U35+W35</f>
        <v>12483406.804004394</v>
      </c>
      <c r="Z35" s="1135">
        <f t="shared" ref="Z35:Z47" si="79">+V35+X35</f>
        <v>8756084.8767999988</v>
      </c>
      <c r="AA35" s="1871">
        <f>SUM(AA36:AA39)</f>
        <v>2449527.3461511885</v>
      </c>
      <c r="AB35" s="393">
        <f>SUM(AB36:AB39)</f>
        <v>1832250.8585999995</v>
      </c>
      <c r="AC35" s="1991">
        <f>S35+W35+AA35</f>
        <v>7511883.8615303114</v>
      </c>
      <c r="AD35" s="1992">
        <f>T35+X35+AB35</f>
        <v>5475165.5177999996</v>
      </c>
      <c r="AE35" s="1136">
        <f t="shared" ref="AE35:AE47" si="80">Q35+AC35</f>
        <v>14932934.150155582</v>
      </c>
      <c r="AF35" s="1136">
        <f t="shared" ref="AF35:AF47" si="81">R35+AD35</f>
        <v>10588335.735399999</v>
      </c>
      <c r="AG35" s="1871">
        <f>SUM(AG36:AG39)</f>
        <v>2531178.2576895617</v>
      </c>
      <c r="AH35" s="393">
        <f>SUM(AH36:AH39)</f>
        <v>1842606.7969999984</v>
      </c>
      <c r="AI35" s="1135">
        <f t="shared" ref="AI35:AI47" si="82">+AE35+AG35</f>
        <v>17464112.407845143</v>
      </c>
      <c r="AJ35" s="1135">
        <f t="shared" ref="AJ35:AJ47" si="83">+AF35+AH35</f>
        <v>12430942.532399997</v>
      </c>
      <c r="AK35" s="1871">
        <f>SUM(AK36:AK39)</f>
        <v>2449527.3461511885</v>
      </c>
      <c r="AL35" s="393">
        <f>SUM(AL36:AL39)</f>
        <v>1667022.8020000015</v>
      </c>
      <c r="AM35" s="1135">
        <f t="shared" ref="AM35:AM47" si="84">+AI35+AK35</f>
        <v>19913639.753996331</v>
      </c>
      <c r="AN35" s="1135">
        <f t="shared" ref="AN35:AN47" si="85">+AJ35+AL35</f>
        <v>14097965.334399998</v>
      </c>
      <c r="AO35" s="1871">
        <f>SUM(AO36:AO39)</f>
        <v>2531178.2576895617</v>
      </c>
      <c r="AP35" s="393">
        <f>SUM(AP36:AP39)</f>
        <v>1557421.4786000003</v>
      </c>
      <c r="AQ35" s="1991">
        <f>AG35+AK35+AO35</f>
        <v>7511883.8615303114</v>
      </c>
      <c r="AR35" s="1992">
        <f>AH35+AL35+AP35</f>
        <v>5067051.0776000004</v>
      </c>
      <c r="AS35" s="1135">
        <f t="shared" ref="AS35:AS47" si="86">+AM35+AO35</f>
        <v>22444818.011685893</v>
      </c>
      <c r="AT35" s="1135">
        <f t="shared" ref="AT35:AT47" si="87">+AN35+AP35</f>
        <v>15655386.812999999</v>
      </c>
      <c r="AU35" s="1871">
        <f>SUM(AU36:AU39)</f>
        <v>2531178.2576895617</v>
      </c>
      <c r="AV35" s="393">
        <f>SUM(AV36:AV39)</f>
        <v>1576450.0197999994</v>
      </c>
      <c r="AW35" s="1135">
        <f t="shared" ref="AW35:AW47" si="88">+AS35+AU35</f>
        <v>24975996.269375455</v>
      </c>
      <c r="AX35" s="1135">
        <f t="shared" ref="AX35:AX47" si="89">+AT35+AV35</f>
        <v>17231836.832799997</v>
      </c>
      <c r="AY35" s="1871">
        <f>SUM(AY36:AY39)</f>
        <v>2367876.4346128153</v>
      </c>
      <c r="AZ35" s="393">
        <f>SUM(AZ36:AZ39)</f>
        <v>1557006.9056000002</v>
      </c>
      <c r="BA35" s="1135">
        <f t="shared" ref="BA35:BA47" si="90">+AW35+AY35</f>
        <v>27343872.703988269</v>
      </c>
      <c r="BB35" s="1135">
        <f t="shared" ref="BB35:BB47" si="91">+AX35+AZ35</f>
        <v>18788843.738399997</v>
      </c>
      <c r="BC35" s="1871">
        <f>SUM(BC36:BC39)</f>
        <v>2531178.2576895617</v>
      </c>
      <c r="BD35" s="393">
        <f>SUM(BD36:BD39)</f>
        <v>1663506.7072000012</v>
      </c>
      <c r="BE35" s="1991">
        <f>AU35+AY35+BC35</f>
        <v>7430232.9499919387</v>
      </c>
      <c r="BF35" s="1992">
        <f>AV35+AZ35+BD35</f>
        <v>4796963.6326000011</v>
      </c>
      <c r="BG35" s="1129">
        <f>AQ35+BE35</f>
        <v>14942116.811522249</v>
      </c>
      <c r="BH35" s="1129">
        <f>AR35+BF35</f>
        <v>9864014.7102000006</v>
      </c>
      <c r="BI35" s="1135">
        <f t="shared" ref="BI35:BI47" si="92">+BA35+BC35</f>
        <v>29875050.961677831</v>
      </c>
      <c r="BJ35" s="1135">
        <f t="shared" ref="BJ35:BJ47" si="93">+BB35+BD35</f>
        <v>20452350.445599999</v>
      </c>
      <c r="BK35" s="26"/>
      <c r="BL35" s="2062"/>
      <c r="BM35" s="26"/>
      <c r="BN35" s="26"/>
    </row>
    <row r="36" spans="1:66" x14ac:dyDescent="0.25">
      <c r="A36" s="340">
        <v>28</v>
      </c>
      <c r="B36" s="372" t="s">
        <v>756</v>
      </c>
      <c r="C36" s="13" t="s">
        <v>218</v>
      </c>
      <c r="D36" s="360">
        <v>644972.74900000007</v>
      </c>
      <c r="E36" s="361">
        <v>646895.54300000006</v>
      </c>
      <c r="G36" s="1123" t="s">
        <v>794</v>
      </c>
      <c r="H36" s="1101" t="s">
        <v>755</v>
      </c>
      <c r="I36" s="1869">
        <f>+I85*I$3*24*1000</f>
        <v>1333527.3461511885</v>
      </c>
      <c r="J36" s="390">
        <v>1215429</v>
      </c>
      <c r="K36" s="1869">
        <f>+K85*K$3*24*1000</f>
        <v>1377978.2576895615</v>
      </c>
      <c r="L36" s="390">
        <v>1336778.9999999995</v>
      </c>
      <c r="M36" s="1131">
        <f t="shared" si="1"/>
        <v>2711505.6038407497</v>
      </c>
      <c r="N36" s="1131">
        <f t="shared" si="1"/>
        <v>2552207.9999999995</v>
      </c>
      <c r="O36" s="1869">
        <f>+O85*O$3*24*1000</f>
        <v>1333527.3461511885</v>
      </c>
      <c r="P36" s="390">
        <v>1324411.0000000007</v>
      </c>
      <c r="Q36" s="1988">
        <f t="shared" si="2"/>
        <v>4045032.9499919382</v>
      </c>
      <c r="R36" s="434">
        <f t="shared" si="3"/>
        <v>3876619</v>
      </c>
      <c r="S36" s="1869">
        <f>+S85*S$3*24*1000</f>
        <v>1377978.2576895615</v>
      </c>
      <c r="T36" s="390">
        <v>1424906.0000000002</v>
      </c>
      <c r="U36" s="1131">
        <f t="shared" si="76"/>
        <v>5423011.2076814994</v>
      </c>
      <c r="V36" s="1131">
        <f t="shared" si="77"/>
        <v>5301525</v>
      </c>
      <c r="W36" s="1869">
        <f>+W85*W$3*24*1000</f>
        <v>1377978.2576895615</v>
      </c>
      <c r="X36" s="390">
        <v>1358059.9999999998</v>
      </c>
      <c r="Y36" s="1131">
        <f t="shared" si="78"/>
        <v>6800989.4653710611</v>
      </c>
      <c r="Z36" s="1131">
        <f t="shared" si="79"/>
        <v>6659585</v>
      </c>
      <c r="AA36" s="1869">
        <f>+AA85*AA$3*24*1000</f>
        <v>1333527.3461511885</v>
      </c>
      <c r="AB36" s="390">
        <v>1334841</v>
      </c>
      <c r="AC36" s="1988">
        <f t="shared" ref="AC36:AC47" si="94">S36+W36+AA36</f>
        <v>4089483.8615303114</v>
      </c>
      <c r="AD36" s="434">
        <f t="shared" ref="AD36:AD47" si="95">T36+X36+AB36</f>
        <v>4117807</v>
      </c>
      <c r="AE36" s="1132">
        <f t="shared" si="80"/>
        <v>8134516.8115222491</v>
      </c>
      <c r="AF36" s="1132">
        <f t="shared" si="81"/>
        <v>7994426</v>
      </c>
      <c r="AG36" s="1869">
        <f>+AG85*AG$3*24*1000</f>
        <v>1377978.2576895615</v>
      </c>
      <c r="AH36" s="390">
        <v>1365550.9999999991</v>
      </c>
      <c r="AI36" s="1131">
        <f t="shared" si="82"/>
        <v>9512495.0692118108</v>
      </c>
      <c r="AJ36" s="1131">
        <f t="shared" si="83"/>
        <v>9359977</v>
      </c>
      <c r="AK36" s="1869">
        <f>+AK85*AK$3*24*1000</f>
        <v>1333527.3461511885</v>
      </c>
      <c r="AL36" s="390">
        <v>1229188.0000000005</v>
      </c>
      <c r="AM36" s="1131">
        <f t="shared" si="84"/>
        <v>10846022.415362999</v>
      </c>
      <c r="AN36" s="1131">
        <f t="shared" si="85"/>
        <v>10589165</v>
      </c>
      <c r="AO36" s="1869">
        <f>+AO85*AO$3*24*1000</f>
        <v>1377978.2576895615</v>
      </c>
      <c r="AP36" s="390">
        <v>1188366.0000000005</v>
      </c>
      <c r="AQ36" s="1988">
        <f t="shared" ref="AQ36:AQ42" si="96">AG36+AK36+AO36</f>
        <v>4089483.8615303114</v>
      </c>
      <c r="AR36" s="434">
        <f t="shared" ref="AR36:AR42" si="97">AH36+AL36+AP36</f>
        <v>3783105</v>
      </c>
      <c r="AS36" s="1131">
        <f t="shared" si="86"/>
        <v>12224000.673052561</v>
      </c>
      <c r="AT36" s="1131">
        <f t="shared" si="87"/>
        <v>11777531</v>
      </c>
      <c r="AU36" s="1869">
        <f>+AU85*AU$3*24*1000</f>
        <v>1377978.2576895615</v>
      </c>
      <c r="AV36" s="390">
        <v>1186833.9999999995</v>
      </c>
      <c r="AW36" s="1131">
        <f t="shared" si="88"/>
        <v>13601978.930742122</v>
      </c>
      <c r="AX36" s="1131">
        <f t="shared" si="89"/>
        <v>12964365</v>
      </c>
      <c r="AY36" s="1869">
        <f>+AY85*AY$3*24*1000</f>
        <v>1289076.4346128153</v>
      </c>
      <c r="AZ36" s="390">
        <v>1176336.9999999995</v>
      </c>
      <c r="BA36" s="1131">
        <f t="shared" si="90"/>
        <v>14891055.365354937</v>
      </c>
      <c r="BB36" s="1131">
        <f t="shared" si="91"/>
        <v>14140702</v>
      </c>
      <c r="BC36" s="1869">
        <f>+BC85*BC$3*24*1000</f>
        <v>1377978.2576895615</v>
      </c>
      <c r="BD36" s="390">
        <v>1262054.0000000009</v>
      </c>
      <c r="BE36" s="1988">
        <f t="shared" ref="BE36:BE42" si="98">AU36+AY36+BC36</f>
        <v>4045032.9499919387</v>
      </c>
      <c r="BF36" s="434">
        <f t="shared" ref="BF36:BF42" si="99">AV36+AZ36+BD36</f>
        <v>3625225</v>
      </c>
      <c r="BG36" s="1132">
        <f t="shared" ref="BG36:BG39" si="100">AQ36+BE36</f>
        <v>8134516.8115222501</v>
      </c>
      <c r="BH36" s="1132">
        <f t="shared" ref="BH36:BH39" si="101">AR36+BF36</f>
        <v>7408330</v>
      </c>
      <c r="BI36" s="1131">
        <f t="shared" si="92"/>
        <v>16269033.623044498</v>
      </c>
      <c r="BJ36" s="1131">
        <f t="shared" si="93"/>
        <v>15402756</v>
      </c>
      <c r="BK36" s="26"/>
      <c r="BL36" s="2062"/>
      <c r="BM36" s="26"/>
      <c r="BN36" s="26"/>
    </row>
    <row r="37" spans="1:66" x14ac:dyDescent="0.25">
      <c r="A37" s="340">
        <v>29</v>
      </c>
      <c r="B37" s="372" t="s">
        <v>757</v>
      </c>
      <c r="C37" s="13" t="s">
        <v>218</v>
      </c>
      <c r="D37" s="360">
        <v>187023.60760000031</v>
      </c>
      <c r="E37" s="361">
        <v>184126.8434000003</v>
      </c>
      <c r="G37" s="1123" t="s">
        <v>795</v>
      </c>
      <c r="H37" s="1101" t="s">
        <v>756</v>
      </c>
      <c r="I37" s="1869">
        <f>+I86*I$3*24*1000</f>
        <v>644972.74899999995</v>
      </c>
      <c r="J37" s="390">
        <v>209190.31280000019</v>
      </c>
      <c r="K37" s="1869">
        <f>+K86*K$3*24*1000</f>
        <v>666471.8406333332</v>
      </c>
      <c r="L37" s="390">
        <v>222506.39800000045</v>
      </c>
      <c r="M37" s="1131">
        <f t="shared" si="1"/>
        <v>1311444.589633333</v>
      </c>
      <c r="N37" s="1131">
        <f t="shared" si="1"/>
        <v>431696.71080000064</v>
      </c>
      <c r="O37" s="1869">
        <f>+O86*O$3*24*1000</f>
        <v>644972.74899999995</v>
      </c>
      <c r="P37" s="390">
        <v>220688.3758000001</v>
      </c>
      <c r="Q37" s="1988">
        <f t="shared" si="2"/>
        <v>1956417.3386333329</v>
      </c>
      <c r="R37" s="434">
        <f t="shared" si="3"/>
        <v>652385.08660000074</v>
      </c>
      <c r="S37" s="1869">
        <f>+S86*S$3*24*1000</f>
        <v>669600</v>
      </c>
      <c r="T37" s="390">
        <v>257171.02159999977</v>
      </c>
      <c r="U37" s="1131">
        <f t="shared" si="76"/>
        <v>2626017.3386333329</v>
      </c>
      <c r="V37" s="1131">
        <f t="shared" si="77"/>
        <v>909556.10820000048</v>
      </c>
      <c r="W37" s="1869">
        <f>+W86*W$3*24*1000</f>
        <v>669600</v>
      </c>
      <c r="X37" s="390">
        <v>264417.23959999974</v>
      </c>
      <c r="Y37" s="1131">
        <f t="shared" si="78"/>
        <v>3295617.3386333329</v>
      </c>
      <c r="Z37" s="1131">
        <f t="shared" si="79"/>
        <v>1173973.3478000001</v>
      </c>
      <c r="AA37" s="1869">
        <f>+AA86*AA$3*24*1000</f>
        <v>648000</v>
      </c>
      <c r="AB37" s="390">
        <v>260535.76559999978</v>
      </c>
      <c r="AC37" s="1988">
        <f t="shared" si="94"/>
        <v>1987200</v>
      </c>
      <c r="AD37" s="434">
        <f t="shared" si="95"/>
        <v>782124.02679999929</v>
      </c>
      <c r="AE37" s="1132">
        <f t="shared" si="80"/>
        <v>3943617.3386333329</v>
      </c>
      <c r="AF37" s="1132">
        <f t="shared" si="81"/>
        <v>1434509.1134000001</v>
      </c>
      <c r="AG37" s="1869">
        <f>+AG86*AG$3*24*1000</f>
        <v>669600</v>
      </c>
      <c r="AH37" s="390">
        <v>229307.71300000028</v>
      </c>
      <c r="AI37" s="1131">
        <f t="shared" si="82"/>
        <v>4613217.3386333324</v>
      </c>
      <c r="AJ37" s="1131">
        <f t="shared" si="83"/>
        <v>1663816.8264000004</v>
      </c>
      <c r="AK37" s="1869">
        <f>+AK86*AK$3*24*1000</f>
        <v>648000</v>
      </c>
      <c r="AL37" s="390">
        <v>221267.85800000018</v>
      </c>
      <c r="AM37" s="1131">
        <f t="shared" si="84"/>
        <v>5261217.3386333324</v>
      </c>
      <c r="AN37" s="1131">
        <f t="shared" si="85"/>
        <v>1885084.6844000006</v>
      </c>
      <c r="AO37" s="1869">
        <f>+AO86*AO$3*24*1000</f>
        <v>669600</v>
      </c>
      <c r="AP37" s="390">
        <v>232757.51219999947</v>
      </c>
      <c r="AQ37" s="1988">
        <f t="shared" si="96"/>
        <v>1987200</v>
      </c>
      <c r="AR37" s="434">
        <f t="shared" si="97"/>
        <v>683333.08319999999</v>
      </c>
      <c r="AS37" s="1131">
        <f t="shared" si="86"/>
        <v>5930817.3386333324</v>
      </c>
      <c r="AT37" s="1131">
        <f t="shared" si="87"/>
        <v>2117842.1965999999</v>
      </c>
      <c r="AU37" s="1869">
        <f>+AU86*AU$3*24*1000</f>
        <v>669600</v>
      </c>
      <c r="AV37" s="390">
        <v>231903.0218000001</v>
      </c>
      <c r="AW37" s="1131">
        <f t="shared" si="88"/>
        <v>6600417.3386333324</v>
      </c>
      <c r="AX37" s="1131">
        <f t="shared" si="89"/>
        <v>2349745.2184000001</v>
      </c>
      <c r="AY37" s="1869">
        <f>+AY86*AY$3*24*1000</f>
        <v>626400.00000000012</v>
      </c>
      <c r="AZ37" s="390">
        <v>216948.76259999967</v>
      </c>
      <c r="BA37" s="1131">
        <f t="shared" si="90"/>
        <v>7226817.3386333324</v>
      </c>
      <c r="BB37" s="1131">
        <f t="shared" si="91"/>
        <v>2566693.9809999997</v>
      </c>
      <c r="BC37" s="1869">
        <f>+BC86*BC$3*24*1000</f>
        <v>669600</v>
      </c>
      <c r="BD37" s="390">
        <v>241310.63520000016</v>
      </c>
      <c r="BE37" s="1988">
        <f t="shared" si="98"/>
        <v>1965600</v>
      </c>
      <c r="BF37" s="434">
        <f t="shared" si="99"/>
        <v>690162.41959999991</v>
      </c>
      <c r="BG37" s="1132">
        <f t="shared" si="100"/>
        <v>3952800</v>
      </c>
      <c r="BH37" s="1132">
        <f t="shared" si="101"/>
        <v>1373495.5027999999</v>
      </c>
      <c r="BI37" s="1131">
        <f t="shared" si="92"/>
        <v>7896417.3386333324</v>
      </c>
      <c r="BJ37" s="1131">
        <f t="shared" si="93"/>
        <v>2808004.6162</v>
      </c>
      <c r="BK37" s="26"/>
      <c r="BL37" s="2062"/>
      <c r="BM37" s="26"/>
      <c r="BN37" s="26"/>
    </row>
    <row r="38" spans="1:66" x14ac:dyDescent="0.25">
      <c r="A38" s="340">
        <v>30</v>
      </c>
      <c r="B38" s="372" t="s">
        <v>763</v>
      </c>
      <c r="C38" s="13" t="s">
        <v>218</v>
      </c>
      <c r="D38" s="360">
        <v>339821.83539999893</v>
      </c>
      <c r="E38" s="361">
        <v>349899.85260000126</v>
      </c>
      <c r="G38" s="1123" t="s">
        <v>796</v>
      </c>
      <c r="H38" s="1101" t="s">
        <v>757</v>
      </c>
      <c r="I38" s="1868">
        <f>+I87*I$3*24*1000</f>
        <v>360000</v>
      </c>
      <c r="J38" s="390">
        <v>96825.800999999919</v>
      </c>
      <c r="K38" s="1868">
        <f>+K87*K$3*24*1000</f>
        <v>372000</v>
      </c>
      <c r="L38" s="390">
        <v>111521.40099999997</v>
      </c>
      <c r="M38" s="1131">
        <f t="shared" si="1"/>
        <v>732000</v>
      </c>
      <c r="N38" s="1131">
        <f t="shared" si="1"/>
        <v>208347.20199999987</v>
      </c>
      <c r="O38" s="1868">
        <f>+O87*O$3*24*1000</f>
        <v>360000</v>
      </c>
      <c r="P38" s="390">
        <v>109629.92899999989</v>
      </c>
      <c r="Q38" s="1987">
        <f t="shared" si="2"/>
        <v>1092000</v>
      </c>
      <c r="R38" s="434">
        <f t="shared" si="3"/>
        <v>317977.13099999976</v>
      </c>
      <c r="S38" s="1868">
        <f>+S87*S$3*24*1000</f>
        <v>372000</v>
      </c>
      <c r="T38" s="390">
        <v>114073.23200000022</v>
      </c>
      <c r="U38" s="1131">
        <f t="shared" si="76"/>
        <v>1464000</v>
      </c>
      <c r="V38" s="1131">
        <f t="shared" si="77"/>
        <v>432050.36300000001</v>
      </c>
      <c r="W38" s="1868">
        <f>+W87*W$3*24*1000</f>
        <v>372000</v>
      </c>
      <c r="X38" s="390">
        <v>111587.36599999997</v>
      </c>
      <c r="Y38" s="1131">
        <f t="shared" si="78"/>
        <v>1836000</v>
      </c>
      <c r="Z38" s="1131">
        <f t="shared" si="79"/>
        <v>543637.72899999993</v>
      </c>
      <c r="AA38" s="1868">
        <f>+AA87*AA$3*24*1000</f>
        <v>360000</v>
      </c>
      <c r="AB38" s="390">
        <v>120723.89299999992</v>
      </c>
      <c r="AC38" s="1987">
        <f t="shared" si="94"/>
        <v>1104000</v>
      </c>
      <c r="AD38" s="434">
        <f t="shared" si="95"/>
        <v>346384.4910000001</v>
      </c>
      <c r="AE38" s="1132">
        <f t="shared" si="80"/>
        <v>2196000</v>
      </c>
      <c r="AF38" s="1132">
        <f t="shared" si="81"/>
        <v>664361.62199999986</v>
      </c>
      <c r="AG38" s="1868">
        <f>+AG87*AG$3*24*1000</f>
        <v>372000</v>
      </c>
      <c r="AH38" s="390">
        <v>103692.28399999996</v>
      </c>
      <c r="AI38" s="1131">
        <f t="shared" si="82"/>
        <v>2568000</v>
      </c>
      <c r="AJ38" s="1131">
        <f t="shared" si="83"/>
        <v>768053.90599999984</v>
      </c>
      <c r="AK38" s="1868">
        <f>+AK87*AK$3*24*1000</f>
        <v>360000</v>
      </c>
      <c r="AL38" s="390">
        <v>84455.543999999965</v>
      </c>
      <c r="AM38" s="1131">
        <f t="shared" si="84"/>
        <v>2928000</v>
      </c>
      <c r="AN38" s="1131">
        <f t="shared" si="85"/>
        <v>852509.44999999984</v>
      </c>
      <c r="AO38" s="1868">
        <f>+AO87*AO$3*24*1000</f>
        <v>372000</v>
      </c>
      <c r="AP38" s="390">
        <v>90473.366399999984</v>
      </c>
      <c r="AQ38" s="1987">
        <f t="shared" si="96"/>
        <v>1104000</v>
      </c>
      <c r="AR38" s="434">
        <f t="shared" si="97"/>
        <v>278621.19439999992</v>
      </c>
      <c r="AS38" s="1131">
        <f t="shared" si="86"/>
        <v>3300000</v>
      </c>
      <c r="AT38" s="1131">
        <f t="shared" si="87"/>
        <v>942982.81639999978</v>
      </c>
      <c r="AU38" s="1868">
        <f>+AU87*AU$3*24*1000</f>
        <v>372000</v>
      </c>
      <c r="AV38" s="390">
        <v>96238.998000000167</v>
      </c>
      <c r="AW38" s="1131">
        <f t="shared" si="88"/>
        <v>3672000</v>
      </c>
      <c r="AX38" s="1131">
        <f t="shared" si="89"/>
        <v>1039221.8143999999</v>
      </c>
      <c r="AY38" s="1868">
        <f>+AY87*AY$3*24*1000</f>
        <v>348000</v>
      </c>
      <c r="AZ38" s="390">
        <v>115347.94299999988</v>
      </c>
      <c r="BA38" s="1131">
        <f t="shared" si="90"/>
        <v>4020000</v>
      </c>
      <c r="BB38" s="1131">
        <f t="shared" si="91"/>
        <v>1154569.7573999998</v>
      </c>
      <c r="BC38" s="1868">
        <f>+BC87*BC$3*24*1000</f>
        <v>372000</v>
      </c>
      <c r="BD38" s="390">
        <v>110444.47200000005</v>
      </c>
      <c r="BE38" s="1987">
        <f t="shared" si="98"/>
        <v>1092000</v>
      </c>
      <c r="BF38" s="434">
        <f t="shared" si="99"/>
        <v>322031.41300000012</v>
      </c>
      <c r="BG38" s="1132">
        <f t="shared" si="100"/>
        <v>2196000</v>
      </c>
      <c r="BH38" s="1132">
        <f t="shared" si="101"/>
        <v>600652.6074000001</v>
      </c>
      <c r="BI38" s="1131">
        <f t="shared" si="92"/>
        <v>4392000</v>
      </c>
      <c r="BJ38" s="1131">
        <f t="shared" si="93"/>
        <v>1265014.2293999998</v>
      </c>
      <c r="BK38" s="26"/>
      <c r="BL38" s="2062"/>
      <c r="BM38" s="26"/>
      <c r="BN38" s="26"/>
    </row>
    <row r="39" spans="1:66" x14ac:dyDescent="0.25">
      <c r="A39" s="340"/>
      <c r="B39" s="372"/>
      <c r="C39" s="14"/>
      <c r="D39" s="360"/>
      <c r="E39" s="361"/>
      <c r="G39" s="1123" t="s">
        <v>796</v>
      </c>
      <c r="H39" s="1101" t="s">
        <v>758</v>
      </c>
      <c r="I39" s="1868">
        <f>+I88*I$3*24*1000</f>
        <v>108000</v>
      </c>
      <c r="J39" s="390">
        <v>88451.999999999418</v>
      </c>
      <c r="K39" s="1868">
        <f>+K88*K$3*24*1000</f>
        <v>111600</v>
      </c>
      <c r="L39" s="390">
        <v>126223</v>
      </c>
      <c r="M39" s="1131">
        <f t="shared" si="1"/>
        <v>219600</v>
      </c>
      <c r="N39" s="1131">
        <f t="shared" si="1"/>
        <v>214674.99999999942</v>
      </c>
      <c r="O39" s="1868">
        <f>+O88*O$3*24*1000</f>
        <v>108000</v>
      </c>
      <c r="P39" s="390">
        <v>51513.999999999418</v>
      </c>
      <c r="Q39" s="1987">
        <f t="shared" si="2"/>
        <v>327600</v>
      </c>
      <c r="R39" s="434">
        <f t="shared" si="3"/>
        <v>266188.99999999884</v>
      </c>
      <c r="S39" s="1868">
        <f>+S88*S$3*24*1000</f>
        <v>111600</v>
      </c>
      <c r="T39" s="390">
        <v>59679.999999998836</v>
      </c>
      <c r="U39" s="1131">
        <f t="shared" si="76"/>
        <v>439200</v>
      </c>
      <c r="V39" s="1131">
        <f t="shared" si="77"/>
        <v>325868.99999999767</v>
      </c>
      <c r="W39" s="1868">
        <f>+W88*W$3*24*1000</f>
        <v>111600</v>
      </c>
      <c r="X39" s="390">
        <v>53019.800000001167</v>
      </c>
      <c r="Y39" s="1131">
        <f t="shared" si="78"/>
        <v>550800</v>
      </c>
      <c r="Z39" s="1131">
        <f t="shared" si="79"/>
        <v>378888.79999999882</v>
      </c>
      <c r="AA39" s="1868">
        <f>+AA88*AA$3*24*1000</f>
        <v>108000</v>
      </c>
      <c r="AB39" s="390">
        <v>116150.19999999972</v>
      </c>
      <c r="AC39" s="1987">
        <f t="shared" si="94"/>
        <v>331200</v>
      </c>
      <c r="AD39" s="434">
        <f t="shared" si="95"/>
        <v>228849.99999999971</v>
      </c>
      <c r="AE39" s="1132">
        <f t="shared" si="80"/>
        <v>658800</v>
      </c>
      <c r="AF39" s="1132">
        <f t="shared" si="81"/>
        <v>495038.99999999854</v>
      </c>
      <c r="AG39" s="1868">
        <f>+AG88*AG$3*24*1000</f>
        <v>111600</v>
      </c>
      <c r="AH39" s="390">
        <v>144055.79999999912</v>
      </c>
      <c r="AI39" s="1131">
        <f t="shared" si="82"/>
        <v>770400</v>
      </c>
      <c r="AJ39" s="1131">
        <f t="shared" si="83"/>
        <v>639094.79999999772</v>
      </c>
      <c r="AK39" s="1868">
        <f>+AK88*AK$3*24*1000</f>
        <v>108000</v>
      </c>
      <c r="AL39" s="390">
        <v>132111.4000000009</v>
      </c>
      <c r="AM39" s="1131">
        <f t="shared" si="84"/>
        <v>878400</v>
      </c>
      <c r="AN39" s="1131">
        <f t="shared" si="85"/>
        <v>771206.19999999856</v>
      </c>
      <c r="AO39" s="1868">
        <f>+AO88*AO$3*24*1000</f>
        <v>111600</v>
      </c>
      <c r="AP39" s="390">
        <v>45824.600000000297</v>
      </c>
      <c r="AQ39" s="1987">
        <f t="shared" si="96"/>
        <v>331200</v>
      </c>
      <c r="AR39" s="434">
        <f t="shared" si="97"/>
        <v>321991.80000000028</v>
      </c>
      <c r="AS39" s="1131">
        <f t="shared" si="86"/>
        <v>990000</v>
      </c>
      <c r="AT39" s="1131">
        <f t="shared" si="87"/>
        <v>817030.79999999888</v>
      </c>
      <c r="AU39" s="1868">
        <f>+AU88*AU$3*24*1000</f>
        <v>111600</v>
      </c>
      <c r="AV39" s="390">
        <v>61473.999999999418</v>
      </c>
      <c r="AW39" s="1131">
        <f t="shared" si="88"/>
        <v>1101600</v>
      </c>
      <c r="AX39" s="1131">
        <f t="shared" si="89"/>
        <v>878504.7999999983</v>
      </c>
      <c r="AY39" s="1868">
        <f>+AY88*AY$3*24*1000</f>
        <v>104399.99999999999</v>
      </c>
      <c r="AZ39" s="390">
        <v>48373.200000001169</v>
      </c>
      <c r="BA39" s="1131">
        <f t="shared" si="90"/>
        <v>1206000</v>
      </c>
      <c r="BB39" s="1131">
        <f t="shared" si="91"/>
        <v>926877.99999999942</v>
      </c>
      <c r="BC39" s="1868">
        <f>+BC88*BC$3*24*1000</f>
        <v>111600</v>
      </c>
      <c r="BD39" s="390">
        <v>49697.600000000006</v>
      </c>
      <c r="BE39" s="1987">
        <f t="shared" si="98"/>
        <v>327600</v>
      </c>
      <c r="BF39" s="434">
        <f t="shared" si="99"/>
        <v>159544.8000000006</v>
      </c>
      <c r="BG39" s="1132">
        <f t="shared" si="100"/>
        <v>658800</v>
      </c>
      <c r="BH39" s="1132">
        <f t="shared" si="101"/>
        <v>481536.60000000091</v>
      </c>
      <c r="BI39" s="1131">
        <f t="shared" si="92"/>
        <v>1317600</v>
      </c>
      <c r="BJ39" s="1131">
        <f t="shared" si="93"/>
        <v>976575.59999999939</v>
      </c>
      <c r="BK39" s="26"/>
      <c r="BL39" s="2062"/>
      <c r="BM39" s="26"/>
      <c r="BN39" s="26"/>
    </row>
    <row r="40" spans="1:66" ht="16.5" thickBot="1" x14ac:dyDescent="0.3">
      <c r="A40" s="340">
        <v>31</v>
      </c>
      <c r="B40" s="359" t="s">
        <v>753</v>
      </c>
      <c r="C40" s="14" t="s">
        <v>218</v>
      </c>
      <c r="D40" s="360">
        <v>865772.19999999972</v>
      </c>
      <c r="E40" s="361">
        <v>777589.69999999867</v>
      </c>
      <c r="G40" s="1134">
        <v>4.2</v>
      </c>
      <c r="H40" s="1864" t="s">
        <v>759</v>
      </c>
      <c r="I40" s="1871">
        <f>I41+I43</f>
        <v>9594000</v>
      </c>
      <c r="J40" s="393">
        <f>J41+J43</f>
        <v>9048316.2102000006</v>
      </c>
      <c r="K40" s="1871">
        <f>K41+K43</f>
        <v>9913800</v>
      </c>
      <c r="L40" s="393">
        <f>L41+L43</f>
        <v>9192179.268000003</v>
      </c>
      <c r="M40" s="1135">
        <f t="shared" si="1"/>
        <v>19507800</v>
      </c>
      <c r="N40" s="1135">
        <f t="shared" si="1"/>
        <v>18240495.478200004</v>
      </c>
      <c r="O40" s="1871">
        <f>O41+O43</f>
        <v>9594000</v>
      </c>
      <c r="P40" s="393">
        <f>P41+P43</f>
        <v>9218706.3571999948</v>
      </c>
      <c r="Q40" s="1991">
        <f t="shared" si="2"/>
        <v>29101800</v>
      </c>
      <c r="R40" s="1992">
        <f t="shared" si="3"/>
        <v>27459201.8354</v>
      </c>
      <c r="S40" s="1871">
        <f>S41+S43</f>
        <v>9913800</v>
      </c>
      <c r="T40" s="393">
        <f>T41+T43</f>
        <v>9574920.1973999962</v>
      </c>
      <c r="U40" s="1135">
        <f t="shared" si="76"/>
        <v>39015600</v>
      </c>
      <c r="V40" s="1135">
        <f t="shared" si="77"/>
        <v>37034122.032799996</v>
      </c>
      <c r="W40" s="1871">
        <f>W41+W43</f>
        <v>9913800</v>
      </c>
      <c r="X40" s="393">
        <f>X41+X43</f>
        <v>9456982.6094000004</v>
      </c>
      <c r="Y40" s="1135">
        <f t="shared" si="78"/>
        <v>48929400</v>
      </c>
      <c r="Z40" s="1135">
        <f t="shared" si="79"/>
        <v>46491104.642199993</v>
      </c>
      <c r="AA40" s="1871">
        <f>AA41+AA43</f>
        <v>9594000</v>
      </c>
      <c r="AB40" s="393">
        <f>AB41+AB43</f>
        <v>9530815.9604000002</v>
      </c>
      <c r="AC40" s="1991">
        <f t="shared" si="94"/>
        <v>29421600</v>
      </c>
      <c r="AD40" s="1992">
        <f t="shared" si="95"/>
        <v>28562718.767199997</v>
      </c>
      <c r="AE40" s="1136">
        <f t="shared" si="80"/>
        <v>58523400</v>
      </c>
      <c r="AF40" s="1136">
        <f t="shared" si="81"/>
        <v>56021920.602599993</v>
      </c>
      <c r="AG40" s="1871">
        <f>AG41+AG43</f>
        <v>9913800</v>
      </c>
      <c r="AH40" s="393">
        <f>AH41+AH43</f>
        <v>9559401.0319999978</v>
      </c>
      <c r="AI40" s="1135">
        <f t="shared" si="82"/>
        <v>68437200</v>
      </c>
      <c r="AJ40" s="1135">
        <f t="shared" si="83"/>
        <v>65581321.634599991</v>
      </c>
      <c r="AK40" s="1871">
        <f>AK41+AK43</f>
        <v>9594000</v>
      </c>
      <c r="AL40" s="393">
        <f>AL41+AL43</f>
        <v>8688931.7720000073</v>
      </c>
      <c r="AM40" s="1135">
        <f t="shared" si="84"/>
        <v>78031200</v>
      </c>
      <c r="AN40" s="1135">
        <f t="shared" si="85"/>
        <v>74270253.406599998</v>
      </c>
      <c r="AO40" s="1871">
        <f>AO41+AO43</f>
        <v>9913800</v>
      </c>
      <c r="AP40" s="393">
        <f>AP41+AP43</f>
        <v>8610857.8847999964</v>
      </c>
      <c r="AQ40" s="1991">
        <f t="shared" si="96"/>
        <v>29421600</v>
      </c>
      <c r="AR40" s="1992">
        <f t="shared" si="97"/>
        <v>26859190.6888</v>
      </c>
      <c r="AS40" s="1135">
        <f t="shared" si="86"/>
        <v>87945000</v>
      </c>
      <c r="AT40" s="1135">
        <f t="shared" si="87"/>
        <v>82881111.2914</v>
      </c>
      <c r="AU40" s="1871">
        <f>AU41+AU43</f>
        <v>9913800</v>
      </c>
      <c r="AV40" s="393">
        <f>AV41+AV43</f>
        <v>8838196.7931999974</v>
      </c>
      <c r="AW40" s="1135">
        <f t="shared" si="88"/>
        <v>97858800</v>
      </c>
      <c r="AX40" s="1135">
        <f t="shared" si="89"/>
        <v>91719308.084600002</v>
      </c>
      <c r="AY40" s="1871">
        <f>AY41+AY43</f>
        <v>9274200</v>
      </c>
      <c r="AZ40" s="393">
        <f>AZ41+AZ43</f>
        <v>7965394.9214000003</v>
      </c>
      <c r="BA40" s="1135">
        <f t="shared" si="90"/>
        <v>107133000</v>
      </c>
      <c r="BB40" s="1135">
        <f t="shared" si="91"/>
        <v>99684703.005999997</v>
      </c>
      <c r="BC40" s="1871">
        <f>BC41+BC43</f>
        <v>9913800</v>
      </c>
      <c r="BD40" s="393">
        <f>BD41+BD43</f>
        <v>8525868.0517999977</v>
      </c>
      <c r="BE40" s="1991">
        <f t="shared" si="98"/>
        <v>29101800</v>
      </c>
      <c r="BF40" s="1992">
        <f t="shared" si="99"/>
        <v>25329459.766399994</v>
      </c>
      <c r="BG40" s="1129">
        <f>AQ40+BE40</f>
        <v>58523400</v>
      </c>
      <c r="BH40" s="1129">
        <f>AR40+BF40</f>
        <v>52188650.455199994</v>
      </c>
      <c r="BI40" s="1135">
        <f t="shared" si="92"/>
        <v>117046800</v>
      </c>
      <c r="BJ40" s="1135">
        <f t="shared" si="93"/>
        <v>108210571.05779999</v>
      </c>
      <c r="BK40" s="26"/>
      <c r="BL40" s="2062"/>
      <c r="BM40" s="26"/>
      <c r="BN40" s="26"/>
    </row>
    <row r="41" spans="1:66" ht="16.5" thickBot="1" x14ac:dyDescent="0.3">
      <c r="A41" s="340">
        <v>32</v>
      </c>
      <c r="B41" s="373" t="s">
        <v>797</v>
      </c>
      <c r="C41" s="15" t="s">
        <v>218</v>
      </c>
      <c r="D41" s="369">
        <f>SUM(D17:D40)</f>
        <v>88061714.192000017</v>
      </c>
      <c r="E41" s="370">
        <f>SUM(E17:E40)</f>
        <v>93510655.738999993</v>
      </c>
      <c r="G41" s="1134" t="s">
        <v>798</v>
      </c>
      <c r="H41" s="1864" t="s">
        <v>760</v>
      </c>
      <c r="I41" s="1871">
        <f>I42</f>
        <v>5616000</v>
      </c>
      <c r="J41" s="393">
        <f>J42</f>
        <v>5387217.6999999993</v>
      </c>
      <c r="K41" s="1871">
        <f>K42</f>
        <v>5803200</v>
      </c>
      <c r="L41" s="393">
        <f>L42</f>
        <v>5188941.8000000007</v>
      </c>
      <c r="M41" s="1135">
        <f t="shared" si="1"/>
        <v>11419200</v>
      </c>
      <c r="N41" s="1135">
        <f t="shared" si="1"/>
        <v>10576159.5</v>
      </c>
      <c r="O41" s="1871">
        <f>O42</f>
        <v>5616000</v>
      </c>
      <c r="P41" s="393">
        <f>P42</f>
        <v>5226038.4000000004</v>
      </c>
      <c r="Q41" s="1991">
        <f t="shared" si="2"/>
        <v>17035200</v>
      </c>
      <c r="R41" s="1992">
        <f t="shared" si="3"/>
        <v>15802197.9</v>
      </c>
      <c r="S41" s="1871">
        <f>S42</f>
        <v>5803200</v>
      </c>
      <c r="T41" s="393">
        <f>T42</f>
        <v>5602520</v>
      </c>
      <c r="U41" s="1135">
        <f t="shared" si="76"/>
        <v>22838400</v>
      </c>
      <c r="V41" s="1135">
        <f t="shared" si="77"/>
        <v>21404717.899999999</v>
      </c>
      <c r="W41" s="1871">
        <f>W42</f>
        <v>5803200</v>
      </c>
      <c r="X41" s="393">
        <f>X42</f>
        <v>5595110.6999999993</v>
      </c>
      <c r="Y41" s="1135">
        <f t="shared" si="78"/>
        <v>28641600</v>
      </c>
      <c r="Z41" s="1135">
        <f t="shared" si="79"/>
        <v>26999828.599999998</v>
      </c>
      <c r="AA41" s="1871">
        <f>AA42</f>
        <v>5616000</v>
      </c>
      <c r="AB41" s="393">
        <f>AB42</f>
        <v>5461312.1000000015</v>
      </c>
      <c r="AC41" s="1991">
        <f t="shared" si="94"/>
        <v>17222400</v>
      </c>
      <c r="AD41" s="1992">
        <f t="shared" si="95"/>
        <v>16658942.800000001</v>
      </c>
      <c r="AE41" s="1136">
        <f t="shared" si="80"/>
        <v>34257600</v>
      </c>
      <c r="AF41" s="1136">
        <f t="shared" si="81"/>
        <v>32461140.700000003</v>
      </c>
      <c r="AG41" s="1871">
        <f>AG42</f>
        <v>5803200</v>
      </c>
      <c r="AH41" s="393">
        <f>AH42</f>
        <v>5663615.5999999996</v>
      </c>
      <c r="AI41" s="1135">
        <f t="shared" si="82"/>
        <v>40060800</v>
      </c>
      <c r="AJ41" s="1135">
        <f t="shared" si="83"/>
        <v>38124756.300000004</v>
      </c>
      <c r="AK41" s="1871">
        <f>AK42</f>
        <v>5616000</v>
      </c>
      <c r="AL41" s="393">
        <f>AL42</f>
        <v>5404138.2000000067</v>
      </c>
      <c r="AM41" s="1135">
        <f t="shared" si="84"/>
        <v>45676800</v>
      </c>
      <c r="AN41" s="1135">
        <f t="shared" si="85"/>
        <v>43528894.500000015</v>
      </c>
      <c r="AO41" s="1871">
        <f>AO42</f>
        <v>5803200</v>
      </c>
      <c r="AP41" s="393">
        <f>AP42</f>
        <v>5551378.1999999946</v>
      </c>
      <c r="AQ41" s="1991">
        <f t="shared" si="96"/>
        <v>17222400</v>
      </c>
      <c r="AR41" s="1992">
        <f t="shared" si="97"/>
        <v>16619132</v>
      </c>
      <c r="AS41" s="1135">
        <f t="shared" si="86"/>
        <v>51480000</v>
      </c>
      <c r="AT41" s="1135">
        <f t="shared" si="87"/>
        <v>49080272.70000001</v>
      </c>
      <c r="AU41" s="1871">
        <f>AU42</f>
        <v>5803200</v>
      </c>
      <c r="AV41" s="393">
        <f>AV42</f>
        <v>5490094.3999999994</v>
      </c>
      <c r="AW41" s="1135">
        <f t="shared" si="88"/>
        <v>57283200</v>
      </c>
      <c r="AX41" s="1135">
        <f t="shared" si="89"/>
        <v>54570367.100000009</v>
      </c>
      <c r="AY41" s="1871">
        <f>AY42</f>
        <v>5428799.9999999991</v>
      </c>
      <c r="AZ41" s="393">
        <f>AZ42</f>
        <v>5206182.1999999955</v>
      </c>
      <c r="BA41" s="1135">
        <f t="shared" si="90"/>
        <v>62712000</v>
      </c>
      <c r="BB41" s="1135">
        <f t="shared" si="91"/>
        <v>59776549.300000004</v>
      </c>
      <c r="BC41" s="1871">
        <f>BC42</f>
        <v>5803200</v>
      </c>
      <c r="BD41" s="393">
        <f>BD42</f>
        <v>5515841.2999999998</v>
      </c>
      <c r="BE41" s="1991">
        <f t="shared" si="98"/>
        <v>17035200</v>
      </c>
      <c r="BF41" s="1992">
        <f t="shared" si="99"/>
        <v>16212117.899999995</v>
      </c>
      <c r="BG41" s="1129">
        <f>AQ41+BE41</f>
        <v>34257600</v>
      </c>
      <c r="BH41" s="1129">
        <f>AR41+BF41</f>
        <v>32831249.899999995</v>
      </c>
      <c r="BI41" s="1135">
        <f t="shared" si="92"/>
        <v>68515200</v>
      </c>
      <c r="BJ41" s="1135">
        <f t="shared" si="93"/>
        <v>65292390.600000001</v>
      </c>
      <c r="BK41" s="26"/>
      <c r="BL41" s="2062"/>
      <c r="BM41" s="26"/>
      <c r="BN41" s="26"/>
    </row>
    <row r="42" spans="1:66" ht="15.75" thickBot="1" x14ac:dyDescent="0.3">
      <c r="E42" s="350"/>
      <c r="G42" s="1123" t="s">
        <v>799</v>
      </c>
      <c r="H42" s="1101" t="s">
        <v>761</v>
      </c>
      <c r="I42" s="1868">
        <f>+I91*I$3*24*1000</f>
        <v>5616000</v>
      </c>
      <c r="J42" s="390">
        <v>5387217.6999999993</v>
      </c>
      <c r="K42" s="1868">
        <f>+K91*K$3*24*1000</f>
        <v>5803200</v>
      </c>
      <c r="L42" s="390">
        <v>5188941.8000000007</v>
      </c>
      <c r="M42" s="1131">
        <f t="shared" si="1"/>
        <v>11419200</v>
      </c>
      <c r="N42" s="1131">
        <f t="shared" si="1"/>
        <v>10576159.5</v>
      </c>
      <c r="O42" s="1868">
        <f>+O91*O$3*24*1000</f>
        <v>5616000</v>
      </c>
      <c r="P42" s="390">
        <v>5226038.4000000004</v>
      </c>
      <c r="Q42" s="1987">
        <f t="shared" si="2"/>
        <v>17035200</v>
      </c>
      <c r="R42" s="434">
        <f t="shared" si="3"/>
        <v>15802197.9</v>
      </c>
      <c r="S42" s="1868">
        <f>+S91*S$3*24*1000</f>
        <v>5803200</v>
      </c>
      <c r="T42" s="390">
        <v>5602520</v>
      </c>
      <c r="U42" s="1131">
        <f t="shared" si="76"/>
        <v>22838400</v>
      </c>
      <c r="V42" s="1131">
        <f t="shared" si="77"/>
        <v>21404717.899999999</v>
      </c>
      <c r="W42" s="1868">
        <f>+W91*W$3*24*1000</f>
        <v>5803200</v>
      </c>
      <c r="X42" s="390">
        <v>5595110.6999999993</v>
      </c>
      <c r="Y42" s="1131">
        <f t="shared" si="78"/>
        <v>28641600</v>
      </c>
      <c r="Z42" s="1131">
        <f t="shared" si="79"/>
        <v>26999828.599999998</v>
      </c>
      <c r="AA42" s="1868">
        <f>+AA91*AA$3*24*1000</f>
        <v>5616000</v>
      </c>
      <c r="AB42" s="390">
        <v>5461312.1000000015</v>
      </c>
      <c r="AC42" s="1987">
        <f t="shared" si="94"/>
        <v>17222400</v>
      </c>
      <c r="AD42" s="434">
        <f t="shared" si="95"/>
        <v>16658942.800000001</v>
      </c>
      <c r="AE42" s="1132">
        <f t="shared" si="80"/>
        <v>34257600</v>
      </c>
      <c r="AF42" s="1132">
        <f t="shared" si="81"/>
        <v>32461140.700000003</v>
      </c>
      <c r="AG42" s="1868">
        <f>+AG91*AG$3*24*1000</f>
        <v>5803200</v>
      </c>
      <c r="AH42" s="390">
        <v>5663615.5999999996</v>
      </c>
      <c r="AI42" s="1131">
        <f t="shared" si="82"/>
        <v>40060800</v>
      </c>
      <c r="AJ42" s="1131">
        <f t="shared" si="83"/>
        <v>38124756.300000004</v>
      </c>
      <c r="AK42" s="1868">
        <f>+AK91*AK$3*24*1000</f>
        <v>5616000</v>
      </c>
      <c r="AL42" s="390">
        <v>5404138.2000000067</v>
      </c>
      <c r="AM42" s="1131">
        <f t="shared" si="84"/>
        <v>45676800</v>
      </c>
      <c r="AN42" s="1131">
        <f t="shared" si="85"/>
        <v>43528894.500000015</v>
      </c>
      <c r="AO42" s="1868">
        <f>+AO91*AO$3*24*1000</f>
        <v>5803200</v>
      </c>
      <c r="AP42" s="390">
        <v>5551378.1999999946</v>
      </c>
      <c r="AQ42" s="1987">
        <f t="shared" si="96"/>
        <v>17222400</v>
      </c>
      <c r="AR42" s="434">
        <f t="shared" si="97"/>
        <v>16619132</v>
      </c>
      <c r="AS42" s="1131">
        <f t="shared" si="86"/>
        <v>51480000</v>
      </c>
      <c r="AT42" s="1131">
        <f t="shared" si="87"/>
        <v>49080272.70000001</v>
      </c>
      <c r="AU42" s="1868">
        <f>+AU91*AU$3*24*1000</f>
        <v>5803200</v>
      </c>
      <c r="AV42" s="390">
        <v>5490094.3999999994</v>
      </c>
      <c r="AW42" s="1131">
        <f t="shared" si="88"/>
        <v>57283200</v>
      </c>
      <c r="AX42" s="1131">
        <f t="shared" si="89"/>
        <v>54570367.100000009</v>
      </c>
      <c r="AY42" s="1868">
        <f>+AY91*AY$3*24*1000</f>
        <v>5428799.9999999991</v>
      </c>
      <c r="AZ42" s="390">
        <v>5206182.1999999955</v>
      </c>
      <c r="BA42" s="1131">
        <f t="shared" si="90"/>
        <v>62712000</v>
      </c>
      <c r="BB42" s="1131">
        <f t="shared" si="91"/>
        <v>59776549.300000004</v>
      </c>
      <c r="BC42" s="1868">
        <f>+BC91*BC$3*24*1000</f>
        <v>5803200</v>
      </c>
      <c r="BD42" s="390">
        <v>5515841.2999999998</v>
      </c>
      <c r="BE42" s="1987">
        <f t="shared" si="98"/>
        <v>17035200</v>
      </c>
      <c r="BF42" s="434">
        <f t="shared" si="99"/>
        <v>16212117.899999995</v>
      </c>
      <c r="BG42" s="1132">
        <f t="shared" ref="BG42" si="102">AQ42+BE42</f>
        <v>34257600</v>
      </c>
      <c r="BH42" s="1132">
        <f t="shared" ref="BH42" si="103">AR42+BF42</f>
        <v>32831249.899999995</v>
      </c>
      <c r="BI42" s="1131">
        <f t="shared" si="92"/>
        <v>68515200</v>
      </c>
      <c r="BJ42" s="1131">
        <f t="shared" si="93"/>
        <v>65292390.600000001</v>
      </c>
      <c r="BK42" s="26"/>
      <c r="BL42" s="2062"/>
      <c r="BM42" s="26"/>
      <c r="BN42" s="26"/>
    </row>
    <row r="43" spans="1:66" ht="21" thickBot="1" x14ac:dyDescent="0.3">
      <c r="A43" s="340">
        <v>33</v>
      </c>
      <c r="B43" s="374" t="s">
        <v>524</v>
      </c>
      <c r="C43" s="375" t="s">
        <v>218</v>
      </c>
      <c r="D43" s="376">
        <v>79406183.556600019</v>
      </c>
      <c r="E43" s="377">
        <v>84399504.886399984</v>
      </c>
      <c r="G43" s="1134" t="s">
        <v>800</v>
      </c>
      <c r="H43" s="1864" t="s">
        <v>762</v>
      </c>
      <c r="I43" s="1871">
        <f>SUM(I44:I47)</f>
        <v>3978000</v>
      </c>
      <c r="J43" s="393">
        <f>SUM(J44:J47)</f>
        <v>3661098.5102000008</v>
      </c>
      <c r="K43" s="1871">
        <f>SUM(K44:K47)</f>
        <v>4110600</v>
      </c>
      <c r="L43" s="393">
        <f>SUM(L44:L47)</f>
        <v>4003237.4680000017</v>
      </c>
      <c r="M43" s="1135">
        <f t="shared" si="1"/>
        <v>8088600</v>
      </c>
      <c r="N43" s="1135">
        <f t="shared" si="1"/>
        <v>7664335.9782000026</v>
      </c>
      <c r="O43" s="1871">
        <f>SUM(O44:O47)</f>
        <v>3978000</v>
      </c>
      <c r="P43" s="393">
        <f>SUM(P44:P47)</f>
        <v>3992667.9571999945</v>
      </c>
      <c r="Q43" s="1991">
        <f t="shared" si="2"/>
        <v>12066600</v>
      </c>
      <c r="R43" s="1992">
        <f t="shared" si="3"/>
        <v>11657003.935399998</v>
      </c>
      <c r="S43" s="1871">
        <f>SUM(S44:S47)</f>
        <v>4110600</v>
      </c>
      <c r="T43" s="393">
        <f>SUM(T44:T47)</f>
        <v>3972400.1973999958</v>
      </c>
      <c r="U43" s="1135">
        <f t="shared" si="76"/>
        <v>16177200</v>
      </c>
      <c r="V43" s="1135">
        <f t="shared" si="77"/>
        <v>15629404.132799994</v>
      </c>
      <c r="W43" s="1871">
        <f>SUM(W44:W47)</f>
        <v>4110600</v>
      </c>
      <c r="X43" s="393">
        <f>SUM(X44:X47)</f>
        <v>3861871.9094000021</v>
      </c>
      <c r="Y43" s="1135">
        <f t="shared" si="78"/>
        <v>20287800</v>
      </c>
      <c r="Z43" s="1135">
        <f t="shared" si="79"/>
        <v>19491276.042199995</v>
      </c>
      <c r="AA43" s="1871">
        <f>SUM(AA44:AA47)</f>
        <v>3978000</v>
      </c>
      <c r="AB43" s="393">
        <f>SUM(AB44:AB47)</f>
        <v>4069503.8603999987</v>
      </c>
      <c r="AC43" s="1991">
        <f>S43+W43+AA43</f>
        <v>12199200</v>
      </c>
      <c r="AD43" s="1992">
        <f>T43+X43+AB43</f>
        <v>11903775.967199996</v>
      </c>
      <c r="AE43" s="1136">
        <f t="shared" si="80"/>
        <v>24265800</v>
      </c>
      <c r="AF43" s="1136">
        <f t="shared" si="81"/>
        <v>23560779.902599994</v>
      </c>
      <c r="AG43" s="1871">
        <f>SUM(AG44:AG47)</f>
        <v>4110600</v>
      </c>
      <c r="AH43" s="393">
        <f>SUM(AH44:AH47)</f>
        <v>3895785.4319999982</v>
      </c>
      <c r="AI43" s="1135">
        <f t="shared" si="82"/>
        <v>28376400</v>
      </c>
      <c r="AJ43" s="1135">
        <f t="shared" si="83"/>
        <v>27456565.334599994</v>
      </c>
      <c r="AK43" s="1871">
        <f>SUM(AK44:AK47)</f>
        <v>3978000</v>
      </c>
      <c r="AL43" s="393">
        <f>SUM(AL44:AL47)</f>
        <v>3284793.5719999997</v>
      </c>
      <c r="AM43" s="1135">
        <f t="shared" si="84"/>
        <v>32354400</v>
      </c>
      <c r="AN43" s="1135">
        <f t="shared" si="85"/>
        <v>30741358.906599995</v>
      </c>
      <c r="AO43" s="1871">
        <f>SUM(AO44:AO47)</f>
        <v>4110600</v>
      </c>
      <c r="AP43" s="393">
        <f>SUM(AP44:AP47)</f>
        <v>3059479.6848000018</v>
      </c>
      <c r="AQ43" s="1991">
        <f>AG43+AK43+AO43</f>
        <v>12199200</v>
      </c>
      <c r="AR43" s="1992">
        <f>AH43+AL43+AP43</f>
        <v>10240058.6888</v>
      </c>
      <c r="AS43" s="1135">
        <f t="shared" si="86"/>
        <v>36465000</v>
      </c>
      <c r="AT43" s="1135">
        <f t="shared" si="87"/>
        <v>33800838.591399997</v>
      </c>
      <c r="AU43" s="1871">
        <f>SUM(AU44:AU47)</f>
        <v>4110600</v>
      </c>
      <c r="AV43" s="393">
        <f>SUM(AV44:AV47)</f>
        <v>3348102.3931999984</v>
      </c>
      <c r="AW43" s="1135">
        <f t="shared" si="88"/>
        <v>40575600</v>
      </c>
      <c r="AX43" s="1135">
        <f t="shared" si="89"/>
        <v>37148940.984599993</v>
      </c>
      <c r="AY43" s="1871">
        <f>SUM(AY44:AY47)</f>
        <v>3845400</v>
      </c>
      <c r="AZ43" s="393">
        <f>SUM(AZ44:AZ47)</f>
        <v>2759212.7214000048</v>
      </c>
      <c r="BA43" s="1135">
        <f t="shared" si="90"/>
        <v>44421000</v>
      </c>
      <c r="BB43" s="1135">
        <f t="shared" si="91"/>
        <v>39908153.706</v>
      </c>
      <c r="BC43" s="1871">
        <f>SUM(BC44:BC47)</f>
        <v>4110600</v>
      </c>
      <c r="BD43" s="393">
        <f>SUM(BD44:BD47)</f>
        <v>3010026.7517999979</v>
      </c>
      <c r="BE43" s="1991">
        <f>AU43+AY43+BC43</f>
        <v>12066600</v>
      </c>
      <c r="BF43" s="1992">
        <f>AV43+AZ43+BD43</f>
        <v>9117341.8663999997</v>
      </c>
      <c r="BG43" s="1129">
        <f>AQ43+BE43</f>
        <v>24265800</v>
      </c>
      <c r="BH43" s="1129">
        <f>AR43+BF43</f>
        <v>19357400.555199999</v>
      </c>
      <c r="BI43" s="1135">
        <f t="shared" si="92"/>
        <v>48531600</v>
      </c>
      <c r="BJ43" s="1135">
        <f t="shared" si="93"/>
        <v>42918180.457800001</v>
      </c>
      <c r="BK43" s="26"/>
      <c r="BL43" s="2062"/>
      <c r="BM43" s="26"/>
      <c r="BN43" s="26"/>
    </row>
    <row r="44" spans="1:66" ht="15.75" x14ac:dyDescent="0.25">
      <c r="A44" s="378"/>
      <c r="B44" s="379"/>
      <c r="C44" s="380"/>
      <c r="D44" s="381"/>
      <c r="E44" s="381"/>
      <c r="G44" s="1123" t="s">
        <v>801</v>
      </c>
      <c r="H44" s="1101" t="s">
        <v>763</v>
      </c>
      <c r="I44" s="1868">
        <f>+I93*I$3*24*1000</f>
        <v>378000</v>
      </c>
      <c r="J44" s="390">
        <v>400773.60820000002</v>
      </c>
      <c r="K44" s="1868">
        <f>+K93*K$3*24*1000</f>
        <v>390600</v>
      </c>
      <c r="L44" s="390">
        <v>457824.14200000075</v>
      </c>
      <c r="M44" s="1131">
        <f t="shared" si="1"/>
        <v>768600</v>
      </c>
      <c r="N44" s="1131">
        <f t="shared" si="1"/>
        <v>858597.75020000082</v>
      </c>
      <c r="O44" s="1868">
        <f>+O93*O$3*24*1000</f>
        <v>378000</v>
      </c>
      <c r="P44" s="390">
        <v>489148.45619999897</v>
      </c>
      <c r="Q44" s="1987">
        <f t="shared" si="2"/>
        <v>1146600</v>
      </c>
      <c r="R44" s="434">
        <f t="shared" si="3"/>
        <v>1347746.2063999998</v>
      </c>
      <c r="S44" s="1868">
        <f>+S93*S$3*24*1000</f>
        <v>390600</v>
      </c>
      <c r="T44" s="390">
        <v>495601.75240000122</v>
      </c>
      <c r="U44" s="1131">
        <f t="shared" si="76"/>
        <v>1537200</v>
      </c>
      <c r="V44" s="1131">
        <f t="shared" si="77"/>
        <v>1843347.9588000011</v>
      </c>
      <c r="W44" s="1868">
        <f>+W93*W$3*24*1000</f>
        <v>390600</v>
      </c>
      <c r="X44" s="390">
        <v>497087.46639999846</v>
      </c>
      <c r="Y44" s="1131">
        <f t="shared" si="78"/>
        <v>1927800</v>
      </c>
      <c r="Z44" s="1131">
        <f t="shared" si="79"/>
        <v>2340435.4251999995</v>
      </c>
      <c r="AA44" s="1868">
        <f>+AA93*AA$3*24*1000</f>
        <v>378000</v>
      </c>
      <c r="AB44" s="390">
        <v>480423.91340000066</v>
      </c>
      <c r="AC44" s="1987">
        <f t="shared" si="94"/>
        <v>1159200</v>
      </c>
      <c r="AD44" s="434">
        <f t="shared" si="95"/>
        <v>1473113.1322000003</v>
      </c>
      <c r="AE44" s="1132">
        <f t="shared" si="80"/>
        <v>2305800</v>
      </c>
      <c r="AF44" s="1132">
        <f t="shared" si="81"/>
        <v>2820859.3386000004</v>
      </c>
      <c r="AG44" s="1868">
        <f>+AG93*AG$3*24*1000</f>
        <v>390600</v>
      </c>
      <c r="AH44" s="390">
        <v>530499.81199999864</v>
      </c>
      <c r="AI44" s="1131">
        <f t="shared" si="82"/>
        <v>2696400</v>
      </c>
      <c r="AJ44" s="1131">
        <f t="shared" si="83"/>
        <v>3351359.1505999989</v>
      </c>
      <c r="AK44" s="1868">
        <f>+AK93*AK$3*24*1000</f>
        <v>378000</v>
      </c>
      <c r="AL44" s="390">
        <v>428961.46200000017</v>
      </c>
      <c r="AM44" s="1131">
        <f t="shared" si="84"/>
        <v>3074400</v>
      </c>
      <c r="AN44" s="1131">
        <f t="shared" si="85"/>
        <v>3780320.6125999992</v>
      </c>
      <c r="AO44" s="1868">
        <f>+AO93*AO$3*24*1000</f>
        <v>390600</v>
      </c>
      <c r="AP44" s="390">
        <v>385132.48880000063</v>
      </c>
      <c r="AQ44" s="1987">
        <f t="shared" ref="AQ44:AQ47" si="104">AG44+AK44+AO44</f>
        <v>1159200</v>
      </c>
      <c r="AR44" s="434">
        <f t="shared" ref="AR44:AR47" si="105">AH44+AL44+AP44</f>
        <v>1344593.7627999994</v>
      </c>
      <c r="AS44" s="1131">
        <f t="shared" si="86"/>
        <v>3465000</v>
      </c>
      <c r="AT44" s="1131">
        <f t="shared" si="87"/>
        <v>4165453.1014</v>
      </c>
      <c r="AU44" s="1868">
        <f>+AU93*AU$3*24*1000</f>
        <v>390600</v>
      </c>
      <c r="AV44" s="390">
        <v>405120.76620000089</v>
      </c>
      <c r="AW44" s="1131">
        <f t="shared" si="88"/>
        <v>3855600</v>
      </c>
      <c r="AX44" s="1131">
        <f t="shared" si="89"/>
        <v>4570573.8676000014</v>
      </c>
      <c r="AY44" s="1868">
        <f>+AY93*AY$3*24*1000</f>
        <v>365400.00000000006</v>
      </c>
      <c r="AZ44" s="390">
        <v>349087.53139999928</v>
      </c>
      <c r="BA44" s="1131">
        <f t="shared" si="90"/>
        <v>4221000</v>
      </c>
      <c r="BB44" s="1131">
        <f t="shared" si="91"/>
        <v>4919661.3990000002</v>
      </c>
      <c r="BC44" s="1868">
        <f>+BC93*BC$3*24*1000</f>
        <v>390600</v>
      </c>
      <c r="BD44" s="390">
        <v>384831.66580000013</v>
      </c>
      <c r="BE44" s="1987">
        <f t="shared" ref="BE44:BE47" si="106">AU44+AY44+BC44</f>
        <v>1146600</v>
      </c>
      <c r="BF44" s="434">
        <f t="shared" ref="BF44:BF47" si="107">AV44+AZ44+BD44</f>
        <v>1139039.9634000002</v>
      </c>
      <c r="BG44" s="1132">
        <f t="shared" ref="BG44:BG47" si="108">AQ44+BE44</f>
        <v>2305800</v>
      </c>
      <c r="BH44" s="1132">
        <f t="shared" ref="BH44:BH47" si="109">AR44+BF44</f>
        <v>2483633.7261999995</v>
      </c>
      <c r="BI44" s="1131">
        <f t="shared" si="92"/>
        <v>4611600</v>
      </c>
      <c r="BJ44" s="1131">
        <f t="shared" si="93"/>
        <v>5304493.0648000007</v>
      </c>
      <c r="BK44" s="26"/>
      <c r="BL44" s="2062"/>
      <c r="BM44" s="26"/>
      <c r="BN44" s="26"/>
    </row>
    <row r="45" spans="1:66" ht="15.75" x14ac:dyDescent="0.25">
      <c r="A45" s="378"/>
      <c r="B45" s="379"/>
      <c r="C45" s="380"/>
      <c r="D45" s="381"/>
      <c r="E45" s="381"/>
      <c r="G45" s="1123" t="s">
        <v>802</v>
      </c>
      <c r="H45" s="1101" t="s">
        <v>764</v>
      </c>
      <c r="I45" s="1868">
        <f>+I94*I$3*24*1000</f>
        <v>2520000</v>
      </c>
      <c r="J45" s="390">
        <v>2558747.544000003</v>
      </c>
      <c r="K45" s="1868">
        <f>+K94*K$3*24*1000</f>
        <v>2604000</v>
      </c>
      <c r="L45" s="390">
        <v>2699875.242000001</v>
      </c>
      <c r="M45" s="1131">
        <f t="shared" si="1"/>
        <v>5124000</v>
      </c>
      <c r="N45" s="1131">
        <f t="shared" si="1"/>
        <v>5258622.786000004</v>
      </c>
      <c r="O45" s="1868">
        <f>+O94*O$3*24*1000</f>
        <v>2520000</v>
      </c>
      <c r="P45" s="390">
        <v>2939681.5409999974</v>
      </c>
      <c r="Q45" s="1987">
        <f t="shared" si="2"/>
        <v>7644000</v>
      </c>
      <c r="R45" s="434">
        <f t="shared" si="3"/>
        <v>8198304.3270000014</v>
      </c>
      <c r="S45" s="1868">
        <f>+S94*S$3*24*1000</f>
        <v>2604000</v>
      </c>
      <c r="T45" s="390">
        <v>2891047.4939999995</v>
      </c>
      <c r="U45" s="1131">
        <f t="shared" si="76"/>
        <v>10248000</v>
      </c>
      <c r="V45" s="1131">
        <f t="shared" si="77"/>
        <v>11089351.821</v>
      </c>
      <c r="W45" s="1868">
        <f>+W94*W$3*24*1000</f>
        <v>2604000</v>
      </c>
      <c r="X45" s="390">
        <v>2728665.561999999</v>
      </c>
      <c r="Y45" s="1131">
        <f t="shared" si="78"/>
        <v>12852000</v>
      </c>
      <c r="Z45" s="1131">
        <f t="shared" si="79"/>
        <v>13818017.382999999</v>
      </c>
      <c r="AA45" s="1868">
        <f>+AA94*AA$3*24*1000</f>
        <v>2520000</v>
      </c>
      <c r="AB45" s="390">
        <v>2702703.2609999995</v>
      </c>
      <c r="AC45" s="1987">
        <f t="shared" si="94"/>
        <v>7728000</v>
      </c>
      <c r="AD45" s="434">
        <f t="shared" si="95"/>
        <v>8322416.3169999979</v>
      </c>
      <c r="AE45" s="1132">
        <f t="shared" si="80"/>
        <v>15372000</v>
      </c>
      <c r="AF45" s="1132">
        <f t="shared" si="81"/>
        <v>16520720.643999999</v>
      </c>
      <c r="AG45" s="1868">
        <f>+AG94*AG$3*24*1000</f>
        <v>2604000</v>
      </c>
      <c r="AH45" s="390">
        <v>2320527.0800000029</v>
      </c>
      <c r="AI45" s="1131">
        <f t="shared" si="82"/>
        <v>17976000</v>
      </c>
      <c r="AJ45" s="1131">
        <f t="shared" si="83"/>
        <v>18841247.724000003</v>
      </c>
      <c r="AK45" s="1868">
        <f>+AK94*AK$3*24*1000</f>
        <v>2520000</v>
      </c>
      <c r="AL45" s="390">
        <v>1866350.7449999959</v>
      </c>
      <c r="AM45" s="1131">
        <f t="shared" si="84"/>
        <v>20496000</v>
      </c>
      <c r="AN45" s="1131">
        <f t="shared" si="85"/>
        <v>20707598.469000001</v>
      </c>
      <c r="AO45" s="1868">
        <f>+AO94*AO$3*24*1000</f>
        <v>2604000</v>
      </c>
      <c r="AP45" s="390">
        <v>2018382.9599999995</v>
      </c>
      <c r="AQ45" s="1987">
        <f t="shared" si="104"/>
        <v>7728000</v>
      </c>
      <c r="AR45" s="434">
        <f t="shared" si="105"/>
        <v>6205260.7849999983</v>
      </c>
      <c r="AS45" s="1131">
        <f t="shared" si="86"/>
        <v>23100000</v>
      </c>
      <c r="AT45" s="1131">
        <f t="shared" si="87"/>
        <v>22725981.429000001</v>
      </c>
      <c r="AU45" s="1868">
        <f>+AU94*AU$3*24*1000</f>
        <v>2604000</v>
      </c>
      <c r="AV45" s="390">
        <v>2251761.2709999997</v>
      </c>
      <c r="AW45" s="1131">
        <f t="shared" si="88"/>
        <v>25704000</v>
      </c>
      <c r="AX45" s="1131">
        <f t="shared" si="89"/>
        <v>24977742.700000003</v>
      </c>
      <c r="AY45" s="1868">
        <f>+AY94*AY$3*24*1000</f>
        <v>2436000</v>
      </c>
      <c r="AZ45" s="390">
        <v>1840575.8020000006</v>
      </c>
      <c r="BA45" s="1131">
        <f t="shared" si="90"/>
        <v>28140000</v>
      </c>
      <c r="BB45" s="1131">
        <f t="shared" si="91"/>
        <v>26818318.502000004</v>
      </c>
      <c r="BC45" s="1868">
        <f>+BC94*BC$3*24*1000</f>
        <v>2604000</v>
      </c>
      <c r="BD45" s="390">
        <v>2048456.0419999985</v>
      </c>
      <c r="BE45" s="1987">
        <f t="shared" si="106"/>
        <v>7644000</v>
      </c>
      <c r="BF45" s="434">
        <f t="shared" si="107"/>
        <v>6140793.1149999984</v>
      </c>
      <c r="BG45" s="1132">
        <f t="shared" si="108"/>
        <v>15372000</v>
      </c>
      <c r="BH45" s="1132">
        <f t="shared" si="109"/>
        <v>12346053.899999997</v>
      </c>
      <c r="BI45" s="1131">
        <f t="shared" si="92"/>
        <v>30744000</v>
      </c>
      <c r="BJ45" s="1131">
        <f t="shared" si="93"/>
        <v>28866774.544000003</v>
      </c>
      <c r="BK45" s="26"/>
      <c r="BL45" s="2062"/>
      <c r="BM45" s="26"/>
      <c r="BN45" s="26"/>
    </row>
    <row r="46" spans="1:66" ht="22.5" x14ac:dyDescent="0.3">
      <c r="A46" s="378"/>
      <c r="B46" s="17" t="s">
        <v>507</v>
      </c>
      <c r="C46" s="382"/>
      <c r="D46" s="381"/>
      <c r="E46" s="381"/>
      <c r="G46" s="1123" t="s">
        <v>803</v>
      </c>
      <c r="H46" s="1101" t="s">
        <v>765</v>
      </c>
      <c r="I46" s="1868">
        <f>+I95*I$3*24*1000</f>
        <v>432000</v>
      </c>
      <c r="J46" s="390">
        <v>353807.99999999767</v>
      </c>
      <c r="K46" s="1868">
        <f>+K95*K$3*24*1000</f>
        <v>446400</v>
      </c>
      <c r="L46" s="390">
        <v>504892</v>
      </c>
      <c r="M46" s="1131">
        <f t="shared" si="1"/>
        <v>878400</v>
      </c>
      <c r="N46" s="1131">
        <f t="shared" si="1"/>
        <v>858699.99999999767</v>
      </c>
      <c r="O46" s="1868">
        <f>+O95*O$3*24*1000</f>
        <v>432000</v>
      </c>
      <c r="P46" s="390">
        <v>206055.99999999767</v>
      </c>
      <c r="Q46" s="1987">
        <f t="shared" si="2"/>
        <v>1310400</v>
      </c>
      <c r="R46" s="434">
        <f t="shared" si="3"/>
        <v>1064755.9999999953</v>
      </c>
      <c r="S46" s="1868">
        <f>+S95*S$3*24*1000</f>
        <v>446400</v>
      </c>
      <c r="T46" s="390">
        <v>238719.99999999534</v>
      </c>
      <c r="U46" s="1131">
        <f t="shared" si="76"/>
        <v>1756800</v>
      </c>
      <c r="V46" s="1131">
        <f t="shared" si="77"/>
        <v>1303475.9999999907</v>
      </c>
      <c r="W46" s="1868">
        <f>+W95*W$3*24*1000</f>
        <v>446400</v>
      </c>
      <c r="X46" s="390">
        <v>212079.20000000467</v>
      </c>
      <c r="Y46" s="1131">
        <f t="shared" si="78"/>
        <v>2203200</v>
      </c>
      <c r="Z46" s="1131">
        <f t="shared" si="79"/>
        <v>1515555.1999999953</v>
      </c>
      <c r="AA46" s="1868">
        <f>+AA95*AA$3*24*1000</f>
        <v>432000</v>
      </c>
      <c r="AB46" s="390">
        <v>464600.79999999888</v>
      </c>
      <c r="AC46" s="1987">
        <f t="shared" si="94"/>
        <v>1324800</v>
      </c>
      <c r="AD46" s="434">
        <f t="shared" si="95"/>
        <v>915399.99999999884</v>
      </c>
      <c r="AE46" s="1132">
        <f t="shared" si="80"/>
        <v>2635200</v>
      </c>
      <c r="AF46" s="1132">
        <f t="shared" si="81"/>
        <v>1980155.9999999942</v>
      </c>
      <c r="AG46" s="1868">
        <f>+AG95*AG$3*24*1000</f>
        <v>446400</v>
      </c>
      <c r="AH46" s="390">
        <v>576223.19999999646</v>
      </c>
      <c r="AI46" s="1131">
        <f t="shared" si="82"/>
        <v>3081600</v>
      </c>
      <c r="AJ46" s="1131">
        <f t="shared" si="83"/>
        <v>2556379.1999999909</v>
      </c>
      <c r="AK46" s="1868">
        <f>+AK95*AK$3*24*1000</f>
        <v>432000</v>
      </c>
      <c r="AL46" s="390">
        <v>528445.60000000359</v>
      </c>
      <c r="AM46" s="1131">
        <f t="shared" si="84"/>
        <v>3513600</v>
      </c>
      <c r="AN46" s="1131">
        <f t="shared" si="85"/>
        <v>3084824.7999999942</v>
      </c>
      <c r="AO46" s="1868">
        <f>+AO95*AO$3*24*1000</f>
        <v>446400</v>
      </c>
      <c r="AP46" s="390">
        <v>183298.40000000119</v>
      </c>
      <c r="AQ46" s="1987">
        <f t="shared" si="104"/>
        <v>1324800</v>
      </c>
      <c r="AR46" s="434">
        <f t="shared" si="105"/>
        <v>1287967.2000000011</v>
      </c>
      <c r="AS46" s="1131">
        <f t="shared" si="86"/>
        <v>3960000</v>
      </c>
      <c r="AT46" s="1131">
        <f t="shared" si="87"/>
        <v>3268123.1999999955</v>
      </c>
      <c r="AU46" s="1868">
        <f>+AU95*AU$3*24*1000</f>
        <v>446400</v>
      </c>
      <c r="AV46" s="390">
        <v>245895.99999999767</v>
      </c>
      <c r="AW46" s="1131">
        <f t="shared" si="88"/>
        <v>4406400</v>
      </c>
      <c r="AX46" s="1131">
        <f t="shared" si="89"/>
        <v>3514019.1999999932</v>
      </c>
      <c r="AY46" s="1868">
        <f>+AY95*AY$3*24*1000</f>
        <v>417599.99999999994</v>
      </c>
      <c r="AZ46" s="390">
        <v>193492.80000000467</v>
      </c>
      <c r="BA46" s="1131">
        <f t="shared" si="90"/>
        <v>4824000</v>
      </c>
      <c r="BB46" s="1131">
        <f t="shared" si="91"/>
        <v>3707511.9999999977</v>
      </c>
      <c r="BC46" s="1868">
        <f>+BC95*BC$3*24*1000</f>
        <v>446400</v>
      </c>
      <c r="BD46" s="390">
        <v>198790.40000000002</v>
      </c>
      <c r="BE46" s="1987">
        <f t="shared" si="106"/>
        <v>1310400</v>
      </c>
      <c r="BF46" s="434">
        <f t="shared" si="107"/>
        <v>638179.2000000024</v>
      </c>
      <c r="BG46" s="1132">
        <f t="shared" si="108"/>
        <v>2635200</v>
      </c>
      <c r="BH46" s="1132">
        <f t="shared" si="109"/>
        <v>1926146.4000000036</v>
      </c>
      <c r="BI46" s="1131">
        <f t="shared" si="92"/>
        <v>5270400</v>
      </c>
      <c r="BJ46" s="1131">
        <f t="shared" si="93"/>
        <v>3906302.3999999976</v>
      </c>
      <c r="BK46" s="26"/>
      <c r="BL46" s="2062"/>
      <c r="BM46" s="26"/>
      <c r="BN46" s="26"/>
    </row>
    <row r="47" spans="1:66" ht="15.75" thickBot="1" x14ac:dyDescent="0.3">
      <c r="B47" s="4"/>
      <c r="C47" s="349"/>
      <c r="E47" s="350"/>
      <c r="G47" s="1137" t="s">
        <v>804</v>
      </c>
      <c r="H47" s="1865" t="s">
        <v>766</v>
      </c>
      <c r="I47" s="1873">
        <f>+I96*I$3*24*1000</f>
        <v>648000</v>
      </c>
      <c r="J47" s="394">
        <v>347769.35800000001</v>
      </c>
      <c r="K47" s="1873">
        <f>+K96*K$3*24*1000</f>
        <v>669600</v>
      </c>
      <c r="L47" s="394">
        <v>340646.08399999986</v>
      </c>
      <c r="M47" s="1139">
        <f t="shared" si="1"/>
        <v>1317600</v>
      </c>
      <c r="N47" s="1139">
        <f t="shared" si="1"/>
        <v>688415.44199999981</v>
      </c>
      <c r="O47" s="1873">
        <f>+O96*O$3*24*1000</f>
        <v>648000</v>
      </c>
      <c r="P47" s="394">
        <v>357781.96000000043</v>
      </c>
      <c r="Q47" s="1993">
        <f t="shared" si="2"/>
        <v>1965600</v>
      </c>
      <c r="R47" s="1994">
        <f t="shared" si="3"/>
        <v>1046197.4020000002</v>
      </c>
      <c r="S47" s="1873">
        <f>+S96*S$3*24*1000</f>
        <v>669600</v>
      </c>
      <c r="T47" s="394">
        <v>347030.95099999994</v>
      </c>
      <c r="U47" s="1139">
        <f t="shared" si="76"/>
        <v>2635200</v>
      </c>
      <c r="V47" s="1139">
        <f t="shared" si="77"/>
        <v>1393228.3530000001</v>
      </c>
      <c r="W47" s="1873">
        <f>+W96*W$3*24*1000</f>
        <v>669600</v>
      </c>
      <c r="X47" s="394">
        <v>424039.68099999987</v>
      </c>
      <c r="Y47" s="1139">
        <f t="shared" si="78"/>
        <v>3304800</v>
      </c>
      <c r="Z47" s="1139">
        <f t="shared" si="79"/>
        <v>1817268.034</v>
      </c>
      <c r="AA47" s="1873">
        <f>+AA96*AA$3*24*1000</f>
        <v>648000</v>
      </c>
      <c r="AB47" s="394">
        <v>421775.88599999982</v>
      </c>
      <c r="AC47" s="1993">
        <f t="shared" si="94"/>
        <v>1987200</v>
      </c>
      <c r="AD47" s="1994">
        <f t="shared" si="95"/>
        <v>1192846.5179999997</v>
      </c>
      <c r="AE47" s="1140">
        <f t="shared" si="80"/>
        <v>3952800</v>
      </c>
      <c r="AF47" s="1140">
        <f t="shared" si="81"/>
        <v>2239043.92</v>
      </c>
      <c r="AG47" s="1873">
        <f>+AG96*AG$3*24*1000</f>
        <v>669600</v>
      </c>
      <c r="AH47" s="394">
        <v>468535.34000000032</v>
      </c>
      <c r="AI47" s="1139">
        <f t="shared" si="82"/>
        <v>4622400</v>
      </c>
      <c r="AJ47" s="1139">
        <f t="shared" si="83"/>
        <v>2707579.2600000002</v>
      </c>
      <c r="AK47" s="1873">
        <f>+AK96*AK$3*24*1000</f>
        <v>648000</v>
      </c>
      <c r="AL47" s="394">
        <v>461035.76499999978</v>
      </c>
      <c r="AM47" s="1139">
        <f t="shared" si="84"/>
        <v>5270400</v>
      </c>
      <c r="AN47" s="1139">
        <f t="shared" si="85"/>
        <v>3168615.0249999999</v>
      </c>
      <c r="AO47" s="1873">
        <f>+AO96*AO$3*24*1000</f>
        <v>669600</v>
      </c>
      <c r="AP47" s="394">
        <v>472665.83599999995</v>
      </c>
      <c r="AQ47" s="1993">
        <f t="shared" si="104"/>
        <v>1987200</v>
      </c>
      <c r="AR47" s="1994">
        <f t="shared" si="105"/>
        <v>1402236.9410000001</v>
      </c>
      <c r="AS47" s="1139">
        <f t="shared" si="86"/>
        <v>5940000</v>
      </c>
      <c r="AT47" s="1139">
        <f t="shared" si="87"/>
        <v>3641280.861</v>
      </c>
      <c r="AU47" s="1873">
        <f>+AU96*AU$3*24*1000</f>
        <v>669600</v>
      </c>
      <c r="AV47" s="394">
        <v>445324.35600000015</v>
      </c>
      <c r="AW47" s="1139">
        <f t="shared" si="88"/>
        <v>6609600</v>
      </c>
      <c r="AX47" s="1139">
        <f t="shared" si="89"/>
        <v>4086605.2170000002</v>
      </c>
      <c r="AY47" s="1873">
        <f>+AY96*AY$3*24*1000</f>
        <v>626400.00000000012</v>
      </c>
      <c r="AZ47" s="394">
        <v>376056.58800000022</v>
      </c>
      <c r="BA47" s="1139">
        <f t="shared" si="90"/>
        <v>7236000</v>
      </c>
      <c r="BB47" s="1139">
        <f t="shared" si="91"/>
        <v>4462661.8050000006</v>
      </c>
      <c r="BC47" s="1873">
        <f>+BC96*BC$3*24*1000</f>
        <v>669600</v>
      </c>
      <c r="BD47" s="394">
        <v>377948.64399999951</v>
      </c>
      <c r="BE47" s="1993">
        <f t="shared" si="106"/>
        <v>1965600</v>
      </c>
      <c r="BF47" s="1994">
        <f t="shared" si="107"/>
        <v>1199329.588</v>
      </c>
      <c r="BG47" s="1132">
        <f t="shared" si="108"/>
        <v>3952800</v>
      </c>
      <c r="BH47" s="1132">
        <f t="shared" si="109"/>
        <v>2601566.5290000001</v>
      </c>
      <c r="BI47" s="1139">
        <f t="shared" si="92"/>
        <v>7905600</v>
      </c>
      <c r="BJ47" s="1139">
        <f t="shared" si="93"/>
        <v>4840610.449</v>
      </c>
      <c r="BK47" s="26"/>
      <c r="BL47" s="2062"/>
      <c r="BM47" s="26"/>
      <c r="BN47" s="26"/>
    </row>
    <row r="48" spans="1:66" s="183" customFormat="1" ht="15.75" thickBot="1" x14ac:dyDescent="0.3">
      <c r="A48" s="404"/>
      <c r="B48" s="405"/>
      <c r="C48" s="406"/>
      <c r="D48" s="407"/>
      <c r="E48" s="407"/>
      <c r="G48" s="1141"/>
      <c r="H48" s="188"/>
      <c r="I48" s="409"/>
      <c r="K48" s="409"/>
      <c r="M48" s="188"/>
      <c r="N48" s="188"/>
      <c r="O48" s="409"/>
      <c r="Q48" s="188"/>
      <c r="R48" s="188"/>
      <c r="S48" s="409"/>
      <c r="U48" s="188"/>
      <c r="V48" s="188"/>
      <c r="W48" s="409"/>
      <c r="Y48" s="188"/>
      <c r="Z48" s="188"/>
      <c r="AA48" s="409"/>
      <c r="AC48" s="188"/>
      <c r="AD48" s="188"/>
      <c r="AE48" s="188"/>
      <c r="AF48" s="188"/>
      <c r="AG48" s="409"/>
      <c r="AI48" s="188"/>
      <c r="AJ48" s="188"/>
      <c r="AK48" s="409"/>
      <c r="AM48" s="188"/>
      <c r="AN48" s="188"/>
      <c r="AO48" s="409"/>
      <c r="AQ48" s="188"/>
      <c r="AR48" s="188"/>
      <c r="AS48" s="188"/>
      <c r="AT48" s="188"/>
      <c r="AU48" s="409"/>
      <c r="AW48" s="188"/>
      <c r="AX48" s="188"/>
      <c r="AY48" s="409"/>
      <c r="BA48" s="188"/>
      <c r="BB48" s="188"/>
      <c r="BC48" s="409"/>
      <c r="BE48" s="188"/>
      <c r="BF48" s="188"/>
      <c r="BG48" s="188"/>
      <c r="BH48" s="188"/>
      <c r="BI48" s="188"/>
      <c r="BJ48" s="188"/>
      <c r="BL48" s="2062"/>
    </row>
    <row r="49" spans="1:64" s="183" customFormat="1" ht="22.5" x14ac:dyDescent="0.25">
      <c r="A49" s="410"/>
      <c r="B49" s="411" t="s">
        <v>139</v>
      </c>
      <c r="C49" s="6483" t="s">
        <v>176</v>
      </c>
      <c r="D49" s="412"/>
      <c r="E49" s="412"/>
      <c r="G49" s="1141"/>
      <c r="H49" s="188"/>
      <c r="I49" s="409"/>
      <c r="K49" s="409"/>
      <c r="M49" s="188"/>
      <c r="N49" s="188"/>
      <c r="O49" s="409"/>
      <c r="Q49" s="188"/>
      <c r="R49" s="188"/>
      <c r="S49" s="409"/>
      <c r="U49" s="188"/>
      <c r="V49" s="188"/>
      <c r="W49" s="409"/>
      <c r="Y49" s="188"/>
      <c r="Z49" s="188"/>
      <c r="AA49" s="409"/>
      <c r="AC49" s="188"/>
      <c r="AD49" s="188"/>
      <c r="AE49" s="188"/>
      <c r="AF49" s="188"/>
      <c r="AG49" s="409"/>
      <c r="AI49" s="188"/>
      <c r="AJ49" s="188"/>
      <c r="AK49" s="409"/>
      <c r="AM49" s="188"/>
      <c r="AN49" s="188"/>
      <c r="AO49" s="409"/>
      <c r="AQ49" s="188"/>
      <c r="AR49" s="188"/>
      <c r="AS49" s="188"/>
      <c r="AT49" s="188"/>
      <c r="AU49" s="409"/>
      <c r="AW49" s="188"/>
      <c r="AX49" s="188"/>
      <c r="AY49" s="409"/>
      <c r="BA49" s="188"/>
      <c r="BB49" s="188"/>
      <c r="BC49" s="409"/>
      <c r="BE49" s="188"/>
      <c r="BF49" s="188"/>
      <c r="BG49" s="188"/>
      <c r="BH49" s="188"/>
      <c r="BI49" s="188"/>
      <c r="BJ49" s="188"/>
      <c r="BL49" s="2062"/>
    </row>
    <row r="50" spans="1:64" s="183" customFormat="1" ht="23.25" thickBot="1" x14ac:dyDescent="0.35">
      <c r="A50" s="410"/>
      <c r="B50" s="413" t="s">
        <v>422</v>
      </c>
      <c r="C50" s="6484"/>
      <c r="D50" s="414" t="s">
        <v>178</v>
      </c>
      <c r="E50" s="414" t="s">
        <v>178</v>
      </c>
      <c r="G50" s="1141"/>
      <c r="H50" s="960" t="s">
        <v>507</v>
      </c>
      <c r="I50" s="409"/>
      <c r="K50" s="409"/>
      <c r="M50" s="188"/>
      <c r="N50" s="188"/>
      <c r="O50" s="409"/>
      <c r="Q50" s="188"/>
      <c r="R50" s="188"/>
      <c r="S50" s="409"/>
      <c r="U50" s="188"/>
      <c r="V50" s="188"/>
      <c r="W50" s="409"/>
      <c r="Y50" s="188"/>
      <c r="Z50" s="188"/>
      <c r="AA50" s="409"/>
      <c r="AC50" s="188"/>
      <c r="AD50" s="188"/>
      <c r="AE50" s="188"/>
      <c r="AF50" s="188"/>
      <c r="AG50" s="409"/>
      <c r="AI50" s="188"/>
      <c r="AJ50" s="188"/>
      <c r="AK50" s="409"/>
      <c r="AM50" s="188"/>
      <c r="AN50" s="188"/>
      <c r="AO50" s="409"/>
      <c r="AQ50" s="188"/>
      <c r="AR50" s="188"/>
      <c r="AS50" s="188"/>
      <c r="AT50" s="188"/>
      <c r="AU50" s="409"/>
      <c r="AW50" s="188"/>
      <c r="AX50" s="188"/>
      <c r="AY50" s="409"/>
      <c r="BA50" s="188"/>
      <c r="BB50" s="188"/>
      <c r="BC50" s="409"/>
      <c r="BE50" s="188"/>
      <c r="BF50" s="188"/>
      <c r="BG50" s="188"/>
      <c r="BH50" s="188"/>
      <c r="BI50" s="188"/>
      <c r="BJ50" s="188"/>
      <c r="BL50" s="2062"/>
    </row>
    <row r="51" spans="1:64" s="183" customFormat="1" x14ac:dyDescent="0.25">
      <c r="A51" s="415"/>
      <c r="B51" s="416" t="s">
        <v>490</v>
      </c>
      <c r="C51" s="320" t="s">
        <v>389</v>
      </c>
      <c r="D51" s="417">
        <f t="shared" ref="D51:E56" si="110">+((D6/1000)/D$3)/24</f>
        <v>0</v>
      </c>
      <c r="E51" s="417">
        <f t="shared" si="110"/>
        <v>0</v>
      </c>
      <c r="G51" s="1141"/>
      <c r="H51" s="633"/>
      <c r="I51" s="409"/>
      <c r="K51" s="409"/>
      <c r="M51" s="188"/>
      <c r="N51" s="188"/>
      <c r="O51" s="409"/>
      <c r="Q51" s="188"/>
      <c r="R51" s="188"/>
      <c r="S51" s="409"/>
      <c r="U51" s="188"/>
      <c r="V51" s="188"/>
      <c r="W51" s="409"/>
      <c r="Y51" s="188"/>
      <c r="Z51" s="188"/>
      <c r="AA51" s="409"/>
      <c r="AC51" s="188"/>
      <c r="AD51" s="188"/>
      <c r="AE51" s="188"/>
      <c r="AF51" s="188"/>
      <c r="AG51" s="409"/>
      <c r="AI51" s="188"/>
      <c r="AJ51" s="188"/>
      <c r="AK51" s="409"/>
      <c r="AM51" s="188"/>
      <c r="AN51" s="188"/>
      <c r="AO51" s="409"/>
      <c r="AQ51" s="188"/>
      <c r="AR51" s="188"/>
      <c r="AS51" s="188"/>
      <c r="AT51" s="188"/>
      <c r="AU51" s="409"/>
      <c r="AW51" s="188"/>
      <c r="AX51" s="188"/>
      <c r="AY51" s="409"/>
      <c r="BA51" s="188"/>
      <c r="BB51" s="188"/>
      <c r="BC51" s="409"/>
      <c r="BE51" s="188"/>
      <c r="BF51" s="188"/>
      <c r="BG51" s="188"/>
      <c r="BH51" s="188"/>
      <c r="BI51" s="188"/>
      <c r="BJ51" s="188"/>
      <c r="BL51" s="2062"/>
    </row>
    <row r="52" spans="1:64" s="183" customFormat="1" ht="15.75" thickBot="1" x14ac:dyDescent="0.3">
      <c r="A52" s="418"/>
      <c r="B52" s="219" t="s">
        <v>602</v>
      </c>
      <c r="C52" s="269" t="s">
        <v>389</v>
      </c>
      <c r="D52" s="417">
        <f t="shared" si="110"/>
        <v>40.681249999999956</v>
      </c>
      <c r="E52" s="417">
        <f t="shared" si="110"/>
        <v>38.99260752688172</v>
      </c>
      <c r="G52" s="1141"/>
      <c r="H52" s="633"/>
      <c r="I52" s="436">
        <f t="shared" ref="I52:BB52" si="111">+I3</f>
        <v>30</v>
      </c>
      <c r="J52" s="436">
        <f t="shared" si="111"/>
        <v>30</v>
      </c>
      <c r="K52" s="436">
        <f t="shared" si="111"/>
        <v>31</v>
      </c>
      <c r="L52" s="436">
        <f t="shared" si="111"/>
        <v>31</v>
      </c>
      <c r="M52" s="436">
        <f t="shared" si="111"/>
        <v>61</v>
      </c>
      <c r="N52" s="436">
        <f t="shared" si="111"/>
        <v>61</v>
      </c>
      <c r="O52" s="436">
        <f t="shared" si="111"/>
        <v>30</v>
      </c>
      <c r="P52" s="436">
        <f t="shared" si="111"/>
        <v>30</v>
      </c>
      <c r="Q52" s="436">
        <f t="shared" si="111"/>
        <v>91</v>
      </c>
      <c r="R52" s="436">
        <f t="shared" si="111"/>
        <v>91</v>
      </c>
      <c r="S52" s="436">
        <f t="shared" si="111"/>
        <v>31</v>
      </c>
      <c r="T52" s="436">
        <f t="shared" si="111"/>
        <v>31</v>
      </c>
      <c r="U52" s="436">
        <f t="shared" si="111"/>
        <v>122</v>
      </c>
      <c r="V52" s="436">
        <f t="shared" si="111"/>
        <v>122</v>
      </c>
      <c r="W52" s="436">
        <f t="shared" si="111"/>
        <v>31</v>
      </c>
      <c r="X52" s="436">
        <f t="shared" si="111"/>
        <v>31</v>
      </c>
      <c r="Y52" s="436">
        <f t="shared" si="111"/>
        <v>153</v>
      </c>
      <c r="Z52" s="436">
        <f t="shared" si="111"/>
        <v>153</v>
      </c>
      <c r="AA52" s="436">
        <f t="shared" si="111"/>
        <v>30</v>
      </c>
      <c r="AB52" s="436">
        <f t="shared" si="111"/>
        <v>30</v>
      </c>
      <c r="AC52" s="436">
        <f t="shared" si="111"/>
        <v>92</v>
      </c>
      <c r="AD52" s="436">
        <f t="shared" si="111"/>
        <v>92</v>
      </c>
      <c r="AE52" s="436">
        <f t="shared" si="111"/>
        <v>183</v>
      </c>
      <c r="AF52" s="436">
        <f t="shared" si="111"/>
        <v>183</v>
      </c>
      <c r="AG52" s="436">
        <f t="shared" si="111"/>
        <v>31</v>
      </c>
      <c r="AH52" s="436">
        <f t="shared" si="111"/>
        <v>31</v>
      </c>
      <c r="AI52" s="436">
        <f t="shared" si="111"/>
        <v>214</v>
      </c>
      <c r="AJ52" s="436">
        <f t="shared" si="111"/>
        <v>214</v>
      </c>
      <c r="AK52" s="436">
        <f t="shared" si="111"/>
        <v>30</v>
      </c>
      <c r="AL52" s="436">
        <f t="shared" si="111"/>
        <v>30</v>
      </c>
      <c r="AM52" s="436">
        <f t="shared" si="111"/>
        <v>244</v>
      </c>
      <c r="AN52" s="436">
        <f t="shared" si="111"/>
        <v>244</v>
      </c>
      <c r="AO52" s="436">
        <f t="shared" si="111"/>
        <v>31</v>
      </c>
      <c r="AP52" s="436">
        <f t="shared" si="111"/>
        <v>31</v>
      </c>
      <c r="AQ52" s="436">
        <f t="shared" si="111"/>
        <v>92</v>
      </c>
      <c r="AR52" s="436">
        <f t="shared" si="111"/>
        <v>92</v>
      </c>
      <c r="AS52" s="436">
        <f t="shared" si="111"/>
        <v>275</v>
      </c>
      <c r="AT52" s="436">
        <f t="shared" si="111"/>
        <v>275</v>
      </c>
      <c r="AU52" s="436">
        <f t="shared" si="111"/>
        <v>31</v>
      </c>
      <c r="AV52" s="436">
        <f t="shared" si="111"/>
        <v>31</v>
      </c>
      <c r="AW52" s="436">
        <f t="shared" si="111"/>
        <v>306</v>
      </c>
      <c r="AX52" s="436">
        <f t="shared" si="111"/>
        <v>306</v>
      </c>
      <c r="AY52" s="436">
        <f t="shared" si="111"/>
        <v>29</v>
      </c>
      <c r="AZ52" s="436">
        <f t="shared" si="111"/>
        <v>29</v>
      </c>
      <c r="BA52" s="436">
        <f t="shared" si="111"/>
        <v>335</v>
      </c>
      <c r="BB52" s="436">
        <f t="shared" si="111"/>
        <v>335</v>
      </c>
      <c r="BC52" s="436">
        <f t="shared" ref="BC52:BJ52" si="112">+BC3</f>
        <v>31</v>
      </c>
      <c r="BD52" s="436">
        <f t="shared" si="112"/>
        <v>31</v>
      </c>
      <c r="BE52" s="436">
        <f t="shared" si="112"/>
        <v>91</v>
      </c>
      <c r="BF52" s="436">
        <f t="shared" si="112"/>
        <v>91</v>
      </c>
      <c r="BG52" s="436">
        <f t="shared" si="112"/>
        <v>183</v>
      </c>
      <c r="BH52" s="436">
        <f t="shared" si="112"/>
        <v>183</v>
      </c>
      <c r="BI52" s="436">
        <f t="shared" si="112"/>
        <v>366</v>
      </c>
      <c r="BJ52" s="436">
        <f t="shared" si="112"/>
        <v>366</v>
      </c>
      <c r="BL52" s="2062"/>
    </row>
    <row r="53" spans="1:64" ht="22.5" x14ac:dyDescent="0.25">
      <c r="A53" s="92"/>
      <c r="B53" s="219" t="s">
        <v>491</v>
      </c>
      <c r="C53" s="13" t="s">
        <v>389</v>
      </c>
      <c r="D53" s="383">
        <f t="shared" si="110"/>
        <v>4.3569444444444443</v>
      </c>
      <c r="E53" s="383">
        <f t="shared" si="110"/>
        <v>1.0295698924731183</v>
      </c>
      <c r="G53" s="1121"/>
      <c r="H53" s="1122" t="s">
        <v>139</v>
      </c>
      <c r="I53" s="6469" t="str">
        <f>+I4</f>
        <v>Apr'23</v>
      </c>
      <c r="J53" s="6470"/>
      <c r="K53" s="6469" t="str">
        <f>+K4</f>
        <v>May'23</v>
      </c>
      <c r="L53" s="6470"/>
      <c r="M53" s="6471" t="s">
        <v>15</v>
      </c>
      <c r="N53" s="6472"/>
      <c r="O53" s="6469" t="str">
        <f>+O4</f>
        <v>Jun'23</v>
      </c>
      <c r="P53" s="6470"/>
      <c r="Q53" s="6477" t="str">
        <f>+Q4</f>
        <v>QTR 1</v>
      </c>
      <c r="R53" s="6478"/>
      <c r="S53" s="6469" t="str">
        <f>+S4</f>
        <v>Jul'23</v>
      </c>
      <c r="T53" s="6470"/>
      <c r="U53" s="6471" t="s">
        <v>18</v>
      </c>
      <c r="V53" s="6472"/>
      <c r="W53" s="6469" t="str">
        <f>+W4</f>
        <v>Aug'23</v>
      </c>
      <c r="X53" s="6470"/>
      <c r="Y53" s="6471" t="s">
        <v>19</v>
      </c>
      <c r="Z53" s="6472"/>
      <c r="AA53" s="6469" t="str">
        <f>+AA4</f>
        <v>Sep'23</v>
      </c>
      <c r="AB53" s="6470"/>
      <c r="AC53" s="6477" t="str">
        <f>+AC4</f>
        <v>QTR 2</v>
      </c>
      <c r="AD53" s="6478"/>
      <c r="AE53" s="6479" t="s">
        <v>679</v>
      </c>
      <c r="AF53" s="6480"/>
      <c r="AG53" s="6469" t="str">
        <f>+AG4</f>
        <v>Oct'23</v>
      </c>
      <c r="AH53" s="6470"/>
      <c r="AI53" s="6471" t="s">
        <v>26</v>
      </c>
      <c r="AJ53" s="6472"/>
      <c r="AK53" s="6469" t="str">
        <f>+AK4</f>
        <v>Nov'23</v>
      </c>
      <c r="AL53" s="6470"/>
      <c r="AM53" s="6471" t="s">
        <v>29</v>
      </c>
      <c r="AN53" s="6472"/>
      <c r="AO53" s="6469" t="str">
        <f>+AO4</f>
        <v>Dec'23</v>
      </c>
      <c r="AP53" s="6470"/>
      <c r="AQ53" s="6477" t="str">
        <f>+AQ4</f>
        <v>QTR 3</v>
      </c>
      <c r="AR53" s="6478"/>
      <c r="AS53" s="6471" t="s">
        <v>29</v>
      </c>
      <c r="AT53" s="6472"/>
      <c r="AU53" s="6469" t="str">
        <f>+AU4</f>
        <v>Jan'24</v>
      </c>
      <c r="AV53" s="6470"/>
      <c r="AW53" s="6471" t="s">
        <v>29</v>
      </c>
      <c r="AX53" s="6472"/>
      <c r="AY53" s="6469" t="str">
        <f>+AY4</f>
        <v>Feb'24</v>
      </c>
      <c r="AZ53" s="6470"/>
      <c r="BA53" s="6471" t="str">
        <f>+BA4</f>
        <v>11M</v>
      </c>
      <c r="BB53" s="6472"/>
      <c r="BC53" s="6469" t="str">
        <f>+BC4</f>
        <v>Mar'24</v>
      </c>
      <c r="BD53" s="6470"/>
      <c r="BE53" s="6477" t="str">
        <f>+BE4</f>
        <v>QTR 4</v>
      </c>
      <c r="BF53" s="6478"/>
      <c r="BG53" s="6479" t="s">
        <v>679</v>
      </c>
      <c r="BH53" s="6480"/>
      <c r="BI53" s="6471" t="str">
        <f>+BI4</f>
        <v>2023-24</v>
      </c>
      <c r="BJ53" s="6472"/>
      <c r="BL53" s="2062"/>
    </row>
    <row r="54" spans="1:64" x14ac:dyDescent="0.25">
      <c r="A54" s="348"/>
      <c r="B54" s="219" t="s">
        <v>492</v>
      </c>
      <c r="C54" s="13" t="s">
        <v>389</v>
      </c>
      <c r="D54" s="383">
        <f t="shared" si="110"/>
        <v>78.336111111111109</v>
      </c>
      <c r="E54" s="383">
        <f t="shared" si="110"/>
        <v>87.782258064516142</v>
      </c>
      <c r="G54" s="1123"/>
      <c r="H54" s="336"/>
      <c r="I54" s="669" t="s">
        <v>177</v>
      </c>
      <c r="J54" s="5" t="s">
        <v>178</v>
      </c>
      <c r="K54" s="669" t="s">
        <v>177</v>
      </c>
      <c r="L54" s="5" t="s">
        <v>178</v>
      </c>
      <c r="M54" s="853" t="s">
        <v>177</v>
      </c>
      <c r="N54" s="1124" t="s">
        <v>178</v>
      </c>
      <c r="O54" s="669" t="s">
        <v>177</v>
      </c>
      <c r="P54" s="5" t="s">
        <v>178</v>
      </c>
      <c r="Q54" s="854" t="s">
        <v>177</v>
      </c>
      <c r="R54" s="1125" t="s">
        <v>178</v>
      </c>
      <c r="S54" s="669" t="s">
        <v>177</v>
      </c>
      <c r="T54" s="5" t="s">
        <v>178</v>
      </c>
      <c r="U54" s="853" t="s">
        <v>177</v>
      </c>
      <c r="V54" s="1124" t="s">
        <v>178</v>
      </c>
      <c r="W54" s="2076" t="s">
        <v>177</v>
      </c>
      <c r="X54" s="5" t="s">
        <v>178</v>
      </c>
      <c r="Y54" s="853" t="s">
        <v>177</v>
      </c>
      <c r="Z54" s="1124" t="s">
        <v>178</v>
      </c>
      <c r="AA54" s="2076" t="s">
        <v>177</v>
      </c>
      <c r="AB54" s="5" t="s">
        <v>178</v>
      </c>
      <c r="AC54" s="3383" t="s">
        <v>177</v>
      </c>
      <c r="AD54" s="1125" t="s">
        <v>178</v>
      </c>
      <c r="AE54" s="968" t="s">
        <v>177</v>
      </c>
      <c r="AF54" s="970" t="s">
        <v>178</v>
      </c>
      <c r="AG54" s="2076" t="s">
        <v>177</v>
      </c>
      <c r="AH54" s="5" t="s">
        <v>178</v>
      </c>
      <c r="AI54" s="4097" t="s">
        <v>177</v>
      </c>
      <c r="AJ54" s="1124" t="s">
        <v>178</v>
      </c>
      <c r="AK54" s="2076" t="s">
        <v>177</v>
      </c>
      <c r="AL54" s="5" t="s">
        <v>178</v>
      </c>
      <c r="AM54" s="4208" t="s">
        <v>177</v>
      </c>
      <c r="AN54" s="1124" t="s">
        <v>178</v>
      </c>
      <c r="AO54" s="2076" t="s">
        <v>177</v>
      </c>
      <c r="AP54" s="5" t="s">
        <v>178</v>
      </c>
      <c r="AQ54" s="4336" t="s">
        <v>177</v>
      </c>
      <c r="AR54" s="1125" t="s">
        <v>178</v>
      </c>
      <c r="AS54" s="4337" t="s">
        <v>177</v>
      </c>
      <c r="AT54" s="1124" t="s">
        <v>178</v>
      </c>
      <c r="AU54" s="2076" t="s">
        <v>177</v>
      </c>
      <c r="AV54" s="5" t="s">
        <v>178</v>
      </c>
      <c r="AW54" s="4433" t="s">
        <v>177</v>
      </c>
      <c r="AX54" s="1124" t="s">
        <v>178</v>
      </c>
      <c r="AY54" s="2076" t="s">
        <v>177</v>
      </c>
      <c r="AZ54" s="5" t="s">
        <v>178</v>
      </c>
      <c r="BA54" s="4684" t="s">
        <v>177</v>
      </c>
      <c r="BB54" s="1124" t="s">
        <v>178</v>
      </c>
      <c r="BC54" s="2076" t="s">
        <v>177</v>
      </c>
      <c r="BD54" s="5" t="s">
        <v>178</v>
      </c>
      <c r="BE54" s="5084" t="s">
        <v>177</v>
      </c>
      <c r="BF54" s="1125" t="s">
        <v>178</v>
      </c>
      <c r="BG54" s="5086" t="s">
        <v>177</v>
      </c>
      <c r="BH54" s="970" t="s">
        <v>178</v>
      </c>
      <c r="BI54" s="5085" t="s">
        <v>177</v>
      </c>
      <c r="BJ54" s="1124" t="s">
        <v>178</v>
      </c>
      <c r="BL54" s="2062"/>
    </row>
    <row r="55" spans="1:64" ht="16.5" thickBot="1" x14ac:dyDescent="0.3">
      <c r="A55" s="348"/>
      <c r="B55" s="23" t="s">
        <v>493</v>
      </c>
      <c r="C55" s="14" t="s">
        <v>389</v>
      </c>
      <c r="D55" s="383">
        <f t="shared" si="110"/>
        <v>0.71443055555555557</v>
      </c>
      <c r="E55" s="383">
        <f t="shared" si="110"/>
        <v>0.69551075268817242</v>
      </c>
      <c r="G55" s="1126">
        <v>1</v>
      </c>
      <c r="H55" s="978" t="s">
        <v>770</v>
      </c>
      <c r="I55" s="395">
        <f>+SUM(I56:I61)</f>
        <v>374.31054276443882</v>
      </c>
      <c r="J55" s="396">
        <f t="shared" ref="J55:J61" si="113">J6/1000/24/J$3</f>
        <v>155.66033333333326</v>
      </c>
      <c r="K55" s="395">
        <f>+SUM(K56:K61)</f>
        <v>346.1301609445444</v>
      </c>
      <c r="L55" s="396">
        <f t="shared" ref="L55:N59" si="114">L6/1000/24/L$3</f>
        <v>139.40635483870963</v>
      </c>
      <c r="M55" s="1142">
        <f t="shared" si="114"/>
        <v>257.62913419002064</v>
      </c>
      <c r="N55" s="1142">
        <f t="shared" si="114"/>
        <v>147.40011475409833</v>
      </c>
      <c r="O55" s="395">
        <f>+SUM(O56:O61)</f>
        <v>337.88061345635901</v>
      </c>
      <c r="P55" s="396">
        <f t="shared" ref="P55:R59" si="115">P6/1000/24/P$3</f>
        <v>143.77937500000004</v>
      </c>
      <c r="Q55" s="1143">
        <f t="shared" si="115"/>
        <v>252.75856679313435</v>
      </c>
      <c r="R55" s="1143">
        <f t="shared" si="115"/>
        <v>146.20646428571425</v>
      </c>
      <c r="S55" s="395">
        <f>+SUM(S56:S61)</f>
        <v>371.41621957439327</v>
      </c>
      <c r="T55" s="396">
        <f t="shared" ref="T55:V59" si="116">T6/1000/24/T$3</f>
        <v>156.93004032258065</v>
      </c>
      <c r="U55" s="1142">
        <f t="shared" si="116"/>
        <v>255.97423993790679</v>
      </c>
      <c r="V55" s="1142">
        <f t="shared" si="116"/>
        <v>148.93130737704917</v>
      </c>
      <c r="W55" s="462">
        <f>+SUM(W56:W61)</f>
        <v>371.00799900871669</v>
      </c>
      <c r="X55" s="396">
        <f t="shared" ref="X55:Z59" si="117">X6/1000/24/X$3</f>
        <v>157.94495967741952</v>
      </c>
      <c r="Y55" s="1142">
        <f t="shared" si="117"/>
        <v>257.83168894324643</v>
      </c>
      <c r="Z55" s="1142">
        <f t="shared" si="117"/>
        <v>150.75760294117646</v>
      </c>
      <c r="AA55" s="462">
        <f>+SUM(AA56:AA61)</f>
        <v>371.96315177727672</v>
      </c>
      <c r="AB55" s="396">
        <f t="shared" ref="AB55:AF59" si="118">AB6/1000/24/AB$3</f>
        <v>154.43962638888883</v>
      </c>
      <c r="AC55" s="1143">
        <f t="shared" si="118"/>
        <v>265.4452985042916</v>
      </c>
      <c r="AD55" s="1143">
        <f t="shared" si="118"/>
        <v>156.45993251811598</v>
      </c>
      <c r="AE55" s="1144">
        <f t="shared" si="118"/>
        <v>259.13659585010964</v>
      </c>
      <c r="AF55" s="1144">
        <f t="shared" si="118"/>
        <v>151.36121334244081</v>
      </c>
      <c r="AG55" s="395">
        <f>+SUM(AG56:AG61)</f>
        <v>375.55335920827537</v>
      </c>
      <c r="AH55" s="396">
        <f t="shared" ref="AH55:AJ59" si="119">AH6/1000/24/AH$3</f>
        <v>154.60579301075271</v>
      </c>
      <c r="AI55" s="1142">
        <f t="shared" si="119"/>
        <v>260.46370333453496</v>
      </c>
      <c r="AJ55" s="1142">
        <f t="shared" si="119"/>
        <v>151.83122254672895</v>
      </c>
      <c r="AK55" s="395">
        <f>+SUM(AK56:AK61)</f>
        <v>376.31070643750024</v>
      </c>
      <c r="AL55" s="396">
        <f t="shared" ref="AL55:AN59" si="120">AL6/1000/24/AL$3</f>
        <v>150.2404305555556</v>
      </c>
      <c r="AM55" s="1142">
        <f t="shared" si="120"/>
        <v>261.48885657573931</v>
      </c>
      <c r="AN55" s="1142">
        <f t="shared" si="120"/>
        <v>151.63563336748632</v>
      </c>
      <c r="AO55" s="395">
        <f>+SUM(AO56:AO61)</f>
        <v>376.67032482884844</v>
      </c>
      <c r="AP55" s="396">
        <f t="shared" ref="AP55:AT59" si="121">AP6/1000/24/AP$3</f>
        <v>153.0573642473118</v>
      </c>
      <c r="AQ55" s="1143">
        <f t="shared" si="121"/>
        <v>268.71914696370948</v>
      </c>
      <c r="AR55" s="1143">
        <f t="shared" si="121"/>
        <v>152.66055208333336</v>
      </c>
      <c r="AS55" s="1142">
        <f t="shared" si="121"/>
        <v>262.34239476811388</v>
      </c>
      <c r="AT55" s="1142">
        <f t="shared" si="121"/>
        <v>151.79590121212121</v>
      </c>
      <c r="AU55" s="395">
        <f>+SUM(AU56:AU61)</f>
        <v>377.15191398256013</v>
      </c>
      <c r="AV55" s="396">
        <f t="shared" ref="AV55:AX59" si="122">AV6/1000/24/AV$3</f>
        <v>152.45392808602139</v>
      </c>
      <c r="AW55" s="1142">
        <f t="shared" si="122"/>
        <v>263.055519478733</v>
      </c>
      <c r="AX55" s="1142">
        <f t="shared" si="122"/>
        <v>151.86256406535944</v>
      </c>
      <c r="AY55" s="395">
        <f>+SUM(AY56:AY61)</f>
        <v>375.59467639560273</v>
      </c>
      <c r="AZ55" s="396">
        <f t="shared" ref="AZ55:BB59" si="123">AZ6/1000/24/AZ$3</f>
        <v>152.03016954022999</v>
      </c>
      <c r="BA55" s="1142">
        <f t="shared" si="123"/>
        <v>263.51150859414247</v>
      </c>
      <c r="BB55" s="1142">
        <f t="shared" si="123"/>
        <v>151.87707319601989</v>
      </c>
      <c r="BC55" s="395">
        <f>+SUM(BC56:BC61)</f>
        <v>377.78729044942156</v>
      </c>
      <c r="BD55" s="396">
        <f t="shared" ref="BD55:BJ55" si="124">BD6/1000/24/BD$3</f>
        <v>150.83790327956984</v>
      </c>
      <c r="BE55" s="1143">
        <f t="shared" si="124"/>
        <v>269.19468635481195</v>
      </c>
      <c r="BF55" s="1143">
        <f t="shared" si="124"/>
        <v>151.76837020879117</v>
      </c>
      <c r="BG55" s="1144">
        <f t="shared" si="124"/>
        <v>268.9556173713068</v>
      </c>
      <c r="BH55" s="1144">
        <f t="shared" si="124"/>
        <v>152.21689880145721</v>
      </c>
      <c r="BI55" s="1142">
        <f t="shared" si="124"/>
        <v>264.04610661070819</v>
      </c>
      <c r="BJ55" s="1142">
        <f t="shared" si="124"/>
        <v>151.78905607194898</v>
      </c>
      <c r="BK55" s="5726"/>
      <c r="BL55" s="2062"/>
    </row>
    <row r="56" spans="1:64" ht="16.5" thickBot="1" x14ac:dyDescent="0.3">
      <c r="A56" s="93"/>
      <c r="B56" s="10" t="s">
        <v>494</v>
      </c>
      <c r="C56" s="15" t="s">
        <v>389</v>
      </c>
      <c r="D56" s="384">
        <f t="shared" si="110"/>
        <v>124.08873611111107</v>
      </c>
      <c r="E56" s="384">
        <f t="shared" si="110"/>
        <v>128.49994623655914</v>
      </c>
      <c r="G56" s="1123">
        <v>1.1000000000000001</v>
      </c>
      <c r="H56" s="336" t="s">
        <v>490</v>
      </c>
      <c r="I56" s="460">
        <v>0</v>
      </c>
      <c r="J56" s="398">
        <f t="shared" si="113"/>
        <v>0</v>
      </c>
      <c r="K56" s="460">
        <v>0</v>
      </c>
      <c r="L56" s="398">
        <f t="shared" si="114"/>
        <v>0</v>
      </c>
      <c r="M56" s="1145">
        <f t="shared" si="114"/>
        <v>0</v>
      </c>
      <c r="N56" s="1145">
        <f t="shared" si="114"/>
        <v>0</v>
      </c>
      <c r="O56" s="460">
        <v>0</v>
      </c>
      <c r="P56" s="398">
        <f t="shared" si="115"/>
        <v>0</v>
      </c>
      <c r="Q56" s="1146">
        <f t="shared" si="115"/>
        <v>0</v>
      </c>
      <c r="R56" s="1146">
        <f t="shared" si="115"/>
        <v>0</v>
      </c>
      <c r="S56" s="460">
        <v>0</v>
      </c>
      <c r="T56" s="398">
        <f t="shared" si="116"/>
        <v>0</v>
      </c>
      <c r="U56" s="1145">
        <f t="shared" si="116"/>
        <v>0</v>
      </c>
      <c r="V56" s="1145">
        <f t="shared" si="116"/>
        <v>0</v>
      </c>
      <c r="W56" s="460">
        <v>0</v>
      </c>
      <c r="X56" s="398">
        <f t="shared" si="117"/>
        <v>0</v>
      </c>
      <c r="Y56" s="1145">
        <f t="shared" si="117"/>
        <v>0</v>
      </c>
      <c r="Z56" s="1145">
        <f t="shared" si="117"/>
        <v>0</v>
      </c>
      <c r="AA56" s="460">
        <v>0</v>
      </c>
      <c r="AB56" s="398">
        <f t="shared" si="118"/>
        <v>0</v>
      </c>
      <c r="AC56" s="1146">
        <f t="shared" si="118"/>
        <v>0</v>
      </c>
      <c r="AD56" s="1146">
        <f t="shared" si="118"/>
        <v>0</v>
      </c>
      <c r="AE56" s="1147">
        <f t="shared" si="118"/>
        <v>0</v>
      </c>
      <c r="AF56" s="1147">
        <f t="shared" si="118"/>
        <v>0</v>
      </c>
      <c r="AG56" s="460">
        <v>0</v>
      </c>
      <c r="AH56" s="398">
        <f t="shared" si="119"/>
        <v>0</v>
      </c>
      <c r="AI56" s="1145">
        <f t="shared" si="119"/>
        <v>0</v>
      </c>
      <c r="AJ56" s="1145">
        <f t="shared" si="119"/>
        <v>0</v>
      </c>
      <c r="AK56" s="460">
        <v>0</v>
      </c>
      <c r="AL56" s="398">
        <f t="shared" si="120"/>
        <v>0</v>
      </c>
      <c r="AM56" s="1145">
        <f t="shared" si="120"/>
        <v>0</v>
      </c>
      <c r="AN56" s="1145">
        <f t="shared" si="120"/>
        <v>0</v>
      </c>
      <c r="AO56" s="460">
        <v>0</v>
      </c>
      <c r="AP56" s="398">
        <f t="shared" si="121"/>
        <v>0</v>
      </c>
      <c r="AQ56" s="1146">
        <f t="shared" si="121"/>
        <v>0</v>
      </c>
      <c r="AR56" s="1146">
        <f t="shared" si="121"/>
        <v>0</v>
      </c>
      <c r="AS56" s="1145">
        <f t="shared" si="121"/>
        <v>0</v>
      </c>
      <c r="AT56" s="1145">
        <f t="shared" si="121"/>
        <v>0</v>
      </c>
      <c r="AU56" s="460">
        <v>0</v>
      </c>
      <c r="AV56" s="398">
        <f t="shared" si="122"/>
        <v>0</v>
      </c>
      <c r="AW56" s="1145">
        <f t="shared" si="122"/>
        <v>0</v>
      </c>
      <c r="AX56" s="1145">
        <f t="shared" si="122"/>
        <v>0</v>
      </c>
      <c r="AY56" s="460">
        <v>0</v>
      </c>
      <c r="AZ56" s="398">
        <f t="shared" si="123"/>
        <v>0</v>
      </c>
      <c r="BA56" s="1145">
        <f t="shared" si="123"/>
        <v>0</v>
      </c>
      <c r="BB56" s="1145">
        <f t="shared" si="123"/>
        <v>0</v>
      </c>
      <c r="BC56" s="460">
        <v>0</v>
      </c>
      <c r="BD56" s="398">
        <f t="shared" ref="BD56:BJ56" si="125">BD7/1000/24/BD$3</f>
        <v>0</v>
      </c>
      <c r="BE56" s="1146">
        <f t="shared" si="125"/>
        <v>0</v>
      </c>
      <c r="BF56" s="1146">
        <f t="shared" si="125"/>
        <v>0</v>
      </c>
      <c r="BG56" s="1147">
        <f t="shared" si="125"/>
        <v>0</v>
      </c>
      <c r="BH56" s="1147">
        <f t="shared" si="125"/>
        <v>0</v>
      </c>
      <c r="BI56" s="1145">
        <f t="shared" si="125"/>
        <v>0</v>
      </c>
      <c r="BJ56" s="1145">
        <f t="shared" si="125"/>
        <v>0</v>
      </c>
      <c r="BK56" s="5726"/>
      <c r="BL56" s="2062"/>
    </row>
    <row r="57" spans="1:64" x14ac:dyDescent="0.25">
      <c r="A57" s="348"/>
      <c r="B57" s="85" t="s">
        <v>500</v>
      </c>
      <c r="C57" s="16" t="s">
        <v>389</v>
      </c>
      <c r="D57" s="383">
        <f t="shared" ref="D57:E59" si="126">+((D13/1000)/D$3)/24</f>
        <v>0.36386362222222091</v>
      </c>
      <c r="E57" s="383">
        <f t="shared" si="126"/>
        <v>0.42739066801075221</v>
      </c>
      <c r="G57" s="1123">
        <v>1.2</v>
      </c>
      <c r="H57" s="336" t="s">
        <v>602</v>
      </c>
      <c r="I57" s="460">
        <v>49.171810699588477</v>
      </c>
      <c r="J57" s="398">
        <f t="shared" si="113"/>
        <v>52.071944444444348</v>
      </c>
      <c r="K57" s="460">
        <v>47.670151334129827</v>
      </c>
      <c r="L57" s="398">
        <f t="shared" si="114"/>
        <v>44.101881720430072</v>
      </c>
      <c r="M57" s="1145">
        <f t="shared" si="114"/>
        <v>48.408672333535719</v>
      </c>
      <c r="N57" s="1145">
        <f t="shared" si="114"/>
        <v>48.021584699453484</v>
      </c>
      <c r="O57" s="460">
        <v>48.304012345679013</v>
      </c>
      <c r="P57" s="398">
        <f t="shared" si="115"/>
        <v>42.822222222222287</v>
      </c>
      <c r="Q57" s="1146">
        <f t="shared" si="115"/>
        <v>48.37416904083571</v>
      </c>
      <c r="R57" s="1146">
        <f t="shared" si="115"/>
        <v>46.307509157509138</v>
      </c>
      <c r="S57" s="460">
        <v>48.908950617283949</v>
      </c>
      <c r="T57" s="398">
        <f t="shared" si="116"/>
        <v>49.700672043010762</v>
      </c>
      <c r="U57" s="1145">
        <f t="shared" si="116"/>
        <v>48.51005616272009</v>
      </c>
      <c r="V57" s="1145">
        <f t="shared" si="116"/>
        <v>47.16970628415298</v>
      </c>
      <c r="W57" s="460">
        <v>48.908950617283949</v>
      </c>
      <c r="X57" s="398">
        <f t="shared" si="117"/>
        <v>48.009274193548556</v>
      </c>
      <c r="Y57" s="1145">
        <f t="shared" si="117"/>
        <v>48.590877914951989</v>
      </c>
      <c r="Z57" s="1145">
        <f t="shared" si="117"/>
        <v>47.339814814814829</v>
      </c>
      <c r="AA57" s="460">
        <v>48.94855967078189</v>
      </c>
      <c r="AB57" s="398">
        <f t="shared" si="118"/>
        <v>48.489305555555475</v>
      </c>
      <c r="AC57" s="1146">
        <f t="shared" si="118"/>
        <v>48.921866612989788</v>
      </c>
      <c r="AD57" s="1146">
        <f t="shared" si="118"/>
        <v>48.7357336956522</v>
      </c>
      <c r="AE57" s="1147">
        <f t="shared" si="118"/>
        <v>48.64951426836673</v>
      </c>
      <c r="AF57" s="1147">
        <f t="shared" si="118"/>
        <v>47.528255919854281</v>
      </c>
      <c r="AG57" s="460">
        <v>49.287037037037038</v>
      </c>
      <c r="AH57" s="398">
        <f t="shared" si="119"/>
        <v>50.699193548387079</v>
      </c>
      <c r="AI57" s="1145">
        <f t="shared" si="119"/>
        <v>48.741865697473173</v>
      </c>
      <c r="AJ57" s="1145">
        <f t="shared" si="119"/>
        <v>47.98759735202492</v>
      </c>
      <c r="AK57" s="460">
        <v>49.28343621399177</v>
      </c>
      <c r="AL57" s="398">
        <f t="shared" si="120"/>
        <v>48.192361111111161</v>
      </c>
      <c r="AM57" s="1145">
        <f t="shared" si="120"/>
        <v>48.808452236389392</v>
      </c>
      <c r="AN57" s="1145">
        <f t="shared" si="120"/>
        <v>48.012773224043727</v>
      </c>
      <c r="AO57" s="460">
        <v>49.341049382716051</v>
      </c>
      <c r="AP57" s="398">
        <f t="shared" si="121"/>
        <v>51.044489247311795</v>
      </c>
      <c r="AQ57" s="1146">
        <f t="shared" si="121"/>
        <v>49.304062667740212</v>
      </c>
      <c r="AR57" s="1146">
        <f t="shared" si="121"/>
        <v>49.998097826086955</v>
      </c>
      <c r="AS57" s="1145">
        <f t="shared" si="121"/>
        <v>48.868490460157126</v>
      </c>
      <c r="AT57" s="1145">
        <f t="shared" si="121"/>
        <v>48.354530303030316</v>
      </c>
      <c r="AU57" s="460">
        <v>49.341049382716051</v>
      </c>
      <c r="AV57" s="398">
        <f t="shared" si="122"/>
        <v>52.256048387096676</v>
      </c>
      <c r="AW57" s="1145">
        <f t="shared" si="122"/>
        <v>48.916364076494801</v>
      </c>
      <c r="AX57" s="1145">
        <f t="shared" si="122"/>
        <v>48.749782135076259</v>
      </c>
      <c r="AY57" s="460">
        <v>49.27958705832269</v>
      </c>
      <c r="AZ57" s="398">
        <f t="shared" si="123"/>
        <v>52.951149425287447</v>
      </c>
      <c r="BA57" s="1145">
        <f t="shared" si="123"/>
        <v>48.947807259996324</v>
      </c>
      <c r="BB57" s="1145">
        <f t="shared" si="123"/>
        <v>49.113482587064688</v>
      </c>
      <c r="BC57" s="460">
        <v>49.395061728395063</v>
      </c>
      <c r="BD57" s="398">
        <f t="shared" ref="BD57:BJ57" si="127">BD8/1000/24/BD$3</f>
        <v>48.831854838709653</v>
      </c>
      <c r="BE57" s="1146">
        <f t="shared" si="127"/>
        <v>49.339862298195641</v>
      </c>
      <c r="BF57" s="1146">
        <f t="shared" si="127"/>
        <v>51.311080586080564</v>
      </c>
      <c r="BG57" s="1147">
        <f t="shared" si="127"/>
        <v>49.321864669769958</v>
      </c>
      <c r="BH57" s="1147">
        <f t="shared" si="127"/>
        <v>50.651001821493622</v>
      </c>
      <c r="BI57" s="1145">
        <f t="shared" si="127"/>
        <v>48.98568946906834</v>
      </c>
      <c r="BJ57" s="1145">
        <f t="shared" si="127"/>
        <v>49.089628870673955</v>
      </c>
      <c r="BK57" s="5726"/>
      <c r="BL57" s="2062"/>
    </row>
    <row r="58" spans="1:64" ht="15.75" thickBot="1" x14ac:dyDescent="0.3">
      <c r="A58" s="348"/>
      <c r="B58" s="86" t="s">
        <v>501</v>
      </c>
      <c r="C58" s="14" t="s">
        <v>389</v>
      </c>
      <c r="D58" s="383">
        <f t="shared" si="126"/>
        <v>1.416936111111049</v>
      </c>
      <c r="E58" s="383">
        <f t="shared" si="126"/>
        <v>2.3863646505376503</v>
      </c>
      <c r="G58" s="1123">
        <v>1.3</v>
      </c>
      <c r="H58" s="336" t="s">
        <v>491</v>
      </c>
      <c r="I58" s="460">
        <v>4.5</v>
      </c>
      <c r="J58" s="398">
        <f t="shared" si="113"/>
        <v>4.6923611111111114</v>
      </c>
      <c r="K58" s="460">
        <v>4.5</v>
      </c>
      <c r="L58" s="398">
        <f t="shared" si="114"/>
        <v>5.0806250000000004</v>
      </c>
      <c r="M58" s="1145">
        <f t="shared" si="114"/>
        <v>4.5</v>
      </c>
      <c r="N58" s="1145">
        <f t="shared" si="114"/>
        <v>4.8896755464480872</v>
      </c>
      <c r="O58" s="460">
        <v>4.5</v>
      </c>
      <c r="P58" s="398">
        <f t="shared" si="115"/>
        <v>5.3934722222222229</v>
      </c>
      <c r="Q58" s="1146">
        <f t="shared" si="115"/>
        <v>4.5</v>
      </c>
      <c r="R58" s="1146">
        <f t="shared" si="115"/>
        <v>5.0557623626373625</v>
      </c>
      <c r="S58" s="460">
        <v>4.5</v>
      </c>
      <c r="T58" s="398">
        <f t="shared" si="116"/>
        <v>5.2458333333333336</v>
      </c>
      <c r="U58" s="1145">
        <f t="shared" si="116"/>
        <v>4.5</v>
      </c>
      <c r="V58" s="1145">
        <f t="shared" si="116"/>
        <v>5.1040590846994531</v>
      </c>
      <c r="W58" s="460">
        <v>4.5</v>
      </c>
      <c r="X58" s="398">
        <f t="shared" si="117"/>
        <v>4.8685483870967738</v>
      </c>
      <c r="Y58" s="1145">
        <f t="shared" si="117"/>
        <v>4.5</v>
      </c>
      <c r="Z58" s="1145">
        <f t="shared" si="117"/>
        <v>5.0563412309368188</v>
      </c>
      <c r="AA58" s="460">
        <v>4.5</v>
      </c>
      <c r="AB58" s="398">
        <f t="shared" si="118"/>
        <v>5.407765277777778</v>
      </c>
      <c r="AC58" s="1146">
        <f t="shared" si="118"/>
        <v>4.5</v>
      </c>
      <c r="AD58" s="1146">
        <f t="shared" si="118"/>
        <v>5.1715086050724635</v>
      </c>
      <c r="AE58" s="1147">
        <f t="shared" si="118"/>
        <v>4.5</v>
      </c>
      <c r="AF58" s="1147">
        <f t="shared" si="118"/>
        <v>5.1139517304189432</v>
      </c>
      <c r="AG58" s="460">
        <v>4.5</v>
      </c>
      <c r="AH58" s="398">
        <f t="shared" si="119"/>
        <v>4.9489247311827951</v>
      </c>
      <c r="AI58" s="1145">
        <f t="shared" si="119"/>
        <v>4.5</v>
      </c>
      <c r="AJ58" s="1145">
        <f t="shared" si="119"/>
        <v>5.0900459501557629</v>
      </c>
      <c r="AK58" s="460">
        <v>4.5</v>
      </c>
      <c r="AL58" s="398">
        <f t="shared" si="120"/>
        <v>4.3863888888888889</v>
      </c>
      <c r="AM58" s="1145">
        <f t="shared" si="120"/>
        <v>4.5</v>
      </c>
      <c r="AN58" s="1145">
        <f t="shared" si="120"/>
        <v>5.0035307377049181</v>
      </c>
      <c r="AO58" s="460">
        <v>4.5</v>
      </c>
      <c r="AP58" s="398">
        <f t="shared" si="121"/>
        <v>3.8494623655913975</v>
      </c>
      <c r="AQ58" s="1146">
        <f t="shared" si="121"/>
        <v>4.5</v>
      </c>
      <c r="AR58" s="1146">
        <f t="shared" si="121"/>
        <v>4.3950181159420296</v>
      </c>
      <c r="AS58" s="1145">
        <f t="shared" si="121"/>
        <v>4.5</v>
      </c>
      <c r="AT58" s="1145">
        <f t="shared" si="121"/>
        <v>4.8734357575757574</v>
      </c>
      <c r="AU58" s="460">
        <v>4.5</v>
      </c>
      <c r="AV58" s="398">
        <f t="shared" si="122"/>
        <v>4.3794354838709681</v>
      </c>
      <c r="AW58" s="1145">
        <f t="shared" si="122"/>
        <v>4.5</v>
      </c>
      <c r="AX58" s="1145">
        <f t="shared" si="122"/>
        <v>4.8233899782135081</v>
      </c>
      <c r="AY58" s="460">
        <v>4.5</v>
      </c>
      <c r="AZ58" s="398">
        <f t="shared" si="123"/>
        <v>3.951867816091954</v>
      </c>
      <c r="BA58" s="1145">
        <f t="shared" si="123"/>
        <v>4.5</v>
      </c>
      <c r="BB58" s="1145">
        <f t="shared" si="123"/>
        <v>4.7479447761194029</v>
      </c>
      <c r="BC58" s="460">
        <v>4.5</v>
      </c>
      <c r="BD58" s="398">
        <f t="shared" ref="BD58:BJ58" si="128">BD9/1000/24/BD$3</f>
        <v>3.8868279569892477</v>
      </c>
      <c r="BE58" s="1146">
        <f t="shared" si="128"/>
        <v>4.5</v>
      </c>
      <c r="BF58" s="1146">
        <f t="shared" si="128"/>
        <v>4.0753663003663005</v>
      </c>
      <c r="BG58" s="1147">
        <f t="shared" si="128"/>
        <v>4.5</v>
      </c>
      <c r="BH58" s="1147">
        <f t="shared" si="128"/>
        <v>4.2360655737704915</v>
      </c>
      <c r="BI58" s="1145">
        <f t="shared" si="128"/>
        <v>4.5</v>
      </c>
      <c r="BJ58" s="1145">
        <f t="shared" si="128"/>
        <v>4.6750086520947178</v>
      </c>
      <c r="BK58" s="5726"/>
      <c r="BL58" s="2062"/>
    </row>
    <row r="59" spans="1:64" ht="16.5" thickBot="1" x14ac:dyDescent="0.3">
      <c r="A59" s="93"/>
      <c r="B59" s="385" t="s">
        <v>502</v>
      </c>
      <c r="C59" s="386" t="s">
        <v>389</v>
      </c>
      <c r="D59" s="384">
        <f t="shared" si="126"/>
        <v>1.7807997333332697</v>
      </c>
      <c r="E59" s="384">
        <f t="shared" si="126"/>
        <v>2.8137553185484028</v>
      </c>
      <c r="G59" s="1123">
        <v>1.4</v>
      </c>
      <c r="H59" s="336" t="s">
        <v>492</v>
      </c>
      <c r="I59" s="460">
        <v>105.87957735495031</v>
      </c>
      <c r="J59" s="398">
        <f t="shared" si="113"/>
        <v>98.13611111111112</v>
      </c>
      <c r="K59" s="460">
        <v>96.986669870138201</v>
      </c>
      <c r="L59" s="398">
        <f t="shared" si="114"/>
        <v>89.519116935483865</v>
      </c>
      <c r="M59" s="1145">
        <f t="shared" si="114"/>
        <v>101.36023092824254</v>
      </c>
      <c r="N59" s="1145">
        <f t="shared" si="114"/>
        <v>93.756982923497262</v>
      </c>
      <c r="O59" s="460">
        <v>94.025533703559972</v>
      </c>
      <c r="P59" s="398">
        <f t="shared" si="115"/>
        <v>94.86388888888888</v>
      </c>
      <c r="Q59" s="1146">
        <f t="shared" si="115"/>
        <v>98.942198876149376</v>
      </c>
      <c r="R59" s="1146">
        <f t="shared" si="115"/>
        <v>94.121896978021965</v>
      </c>
      <c r="S59" s="460">
        <v>105.00242298570333</v>
      </c>
      <c r="T59" s="398">
        <f t="shared" si="116"/>
        <v>101.21908602150538</v>
      </c>
      <c r="U59" s="1145">
        <f t="shared" si="116"/>
        <v>100.48209188759341</v>
      </c>
      <c r="V59" s="1145">
        <f t="shared" si="116"/>
        <v>95.925281079234978</v>
      </c>
      <c r="W59" s="460">
        <v>104.86634946381076</v>
      </c>
      <c r="X59" s="398">
        <f t="shared" si="117"/>
        <v>104.33333333333334</v>
      </c>
      <c r="Y59" s="1145">
        <f t="shared" si="117"/>
        <v>101.37040551414724</v>
      </c>
      <c r="Z59" s="1145">
        <f t="shared" si="117"/>
        <v>97.628873366013067</v>
      </c>
      <c r="AA59" s="460">
        <v>105.1715307021648</v>
      </c>
      <c r="AB59" s="398">
        <f t="shared" si="118"/>
        <v>99.798611111111114</v>
      </c>
      <c r="AC59" s="1146">
        <f t="shared" si="118"/>
        <v>105.01171594565086</v>
      </c>
      <c r="AD59" s="1146">
        <f t="shared" si="118"/>
        <v>101.80525362318841</v>
      </c>
      <c r="AE59" s="1147">
        <f t="shared" si="118"/>
        <v>101.99354079087142</v>
      </c>
      <c r="AF59" s="1147">
        <f t="shared" si="118"/>
        <v>97.98456807832423</v>
      </c>
      <c r="AG59" s="460">
        <v>106.25544072374632</v>
      </c>
      <c r="AH59" s="398">
        <f t="shared" si="119"/>
        <v>98.219086021505376</v>
      </c>
      <c r="AI59" s="1145">
        <f t="shared" si="119"/>
        <v>102.61091881853089</v>
      </c>
      <c r="AJ59" s="1145">
        <f t="shared" si="119"/>
        <v>98.01854030373832</v>
      </c>
      <c r="AK59" s="460">
        <v>106.50909007450252</v>
      </c>
      <c r="AL59" s="398">
        <f t="shared" si="120"/>
        <v>96.916666666666671</v>
      </c>
      <c r="AM59" s="1145">
        <f t="shared" si="120"/>
        <v>103.09020216967497</v>
      </c>
      <c r="AN59" s="1145">
        <f t="shared" si="120"/>
        <v>97.883064036885244</v>
      </c>
      <c r="AO59" s="460">
        <v>106.60975848204438</v>
      </c>
      <c r="AP59" s="398">
        <f t="shared" si="121"/>
        <v>97.41799596774193</v>
      </c>
      <c r="AQ59" s="1146">
        <f t="shared" si="121"/>
        <v>106.45754214798464</v>
      </c>
      <c r="AR59" s="1146">
        <f t="shared" si="121"/>
        <v>97.524451539855065</v>
      </c>
      <c r="AS59" s="1145">
        <f t="shared" si="121"/>
        <v>103.48695215397842</v>
      </c>
      <c r="AT59" s="1145">
        <f t="shared" si="121"/>
        <v>97.830638181818188</v>
      </c>
      <c r="AU59" s="460">
        <v>106.77028819994808</v>
      </c>
      <c r="AV59" s="398">
        <f t="shared" si="122"/>
        <v>95.07661625806449</v>
      </c>
      <c r="AW59" s="1145">
        <f t="shared" si="122"/>
        <v>103.81957770111914</v>
      </c>
      <c r="AX59" s="1145">
        <f t="shared" si="122"/>
        <v>97.551635960784324</v>
      </c>
      <c r="AY59" s="460">
        <v>106.27169644576007</v>
      </c>
      <c r="AZ59" s="398">
        <f t="shared" si="123"/>
        <v>93.923869252873558</v>
      </c>
      <c r="BA59" s="1145">
        <f t="shared" si="123"/>
        <v>104.03185066707312</v>
      </c>
      <c r="BB59" s="1145">
        <f t="shared" si="123"/>
        <v>97.237590484577112</v>
      </c>
      <c r="BC59" s="460">
        <v>106.96407624034248</v>
      </c>
      <c r="BD59" s="398">
        <f t="shared" ref="BD59:BJ59" si="129">BD10/1000/24/BD$3</f>
        <v>96.614224516129028</v>
      </c>
      <c r="BE59" s="1146">
        <f t="shared" si="129"/>
        <v>106.67741202830824</v>
      </c>
      <c r="BF59" s="1146">
        <f t="shared" si="129"/>
        <v>95.233057937728915</v>
      </c>
      <c r="BG59" s="1147">
        <f t="shared" si="129"/>
        <v>106.56687635076851</v>
      </c>
      <c r="BH59" s="1147">
        <f t="shared" si="129"/>
        <v>96.385015377049186</v>
      </c>
      <c r="BI59" s="1145">
        <f t="shared" si="129"/>
        <v>104.28020857081998</v>
      </c>
      <c r="BJ59" s="1145">
        <f t="shared" si="129"/>
        <v>97.184791727686701</v>
      </c>
      <c r="BK59" s="5726"/>
      <c r="BL59" s="2062"/>
    </row>
    <row r="60" spans="1:64" s="5082" customFormat="1" ht="16.5" thickBot="1" x14ac:dyDescent="0.3">
      <c r="A60" s="93"/>
      <c r="B60" s="385"/>
      <c r="C60" s="386"/>
      <c r="D60" s="384"/>
      <c r="E60" s="384"/>
      <c r="G60" s="1123"/>
      <c r="H60" s="5095" t="s">
        <v>493</v>
      </c>
      <c r="I60" s="460">
        <v>106.87957735495</v>
      </c>
      <c r="J60" s="398">
        <f t="shared" si="113"/>
        <v>0.75991666666666757</v>
      </c>
      <c r="K60" s="460">
        <v>97.986669870138201</v>
      </c>
      <c r="L60" s="398">
        <f t="shared" ref="L60:N60" si="130">L11/1000/24/L$3</f>
        <v>0.70473118279569791</v>
      </c>
      <c r="M60" s="1145">
        <f t="shared" si="130"/>
        <v>103.36023092824236</v>
      </c>
      <c r="N60" s="1145">
        <f t="shared" si="130"/>
        <v>0.73187158469945357</v>
      </c>
      <c r="O60" s="460">
        <v>95.025533703560001</v>
      </c>
      <c r="P60" s="398">
        <f t="shared" ref="P60:R60" si="131">P11/1000/24/P$3</f>
        <v>0.69979166666666581</v>
      </c>
      <c r="Q60" s="1146">
        <f t="shared" si="131"/>
        <v>100.94219887614928</v>
      </c>
      <c r="R60" s="1146">
        <f t="shared" si="131"/>
        <v>0.72129578754578727</v>
      </c>
      <c r="S60" s="460">
        <v>106.00242298570301</v>
      </c>
      <c r="T60" s="398">
        <f t="shared" ref="T60:V60" si="132">T11/1000/24/T$3</f>
        <v>0.76444892473118342</v>
      </c>
      <c r="U60" s="1145">
        <f t="shared" si="132"/>
        <v>102.48209188759326</v>
      </c>
      <c r="V60" s="1145">
        <f t="shared" si="132"/>
        <v>0.73226092896174855</v>
      </c>
      <c r="W60" s="460">
        <v>105.86634946381101</v>
      </c>
      <c r="X60" s="398">
        <f t="shared" ref="X60:Z60" si="133">X11/1000/24/X$3</f>
        <v>0.73380376344086062</v>
      </c>
      <c r="Y60" s="1145">
        <f t="shared" si="133"/>
        <v>103.37040551414717</v>
      </c>
      <c r="Z60" s="1145">
        <f t="shared" si="133"/>
        <v>0.73257352941176479</v>
      </c>
      <c r="AA60" s="460">
        <v>106.171530702165</v>
      </c>
      <c r="AB60" s="398">
        <f t="shared" ref="AB60:AF60" si="134">AB11/1000/24/AB$3</f>
        <v>0.74394444444444552</v>
      </c>
      <c r="AC60" s="1146">
        <f t="shared" si="134"/>
        <v>107.01171594565093</v>
      </c>
      <c r="AD60" s="1146">
        <f t="shared" si="134"/>
        <v>0.74743659420289921</v>
      </c>
      <c r="AE60" s="1147">
        <f t="shared" si="134"/>
        <v>103.99354079087141</v>
      </c>
      <c r="AF60" s="1147">
        <f t="shared" si="134"/>
        <v>0.73443761384335171</v>
      </c>
      <c r="AG60" s="460">
        <v>107.25544072374601</v>
      </c>
      <c r="AH60" s="398">
        <f t="shared" ref="AH60:AJ60" si="135">AH11/1000/24/AH$3</f>
        <v>0.73858870967741719</v>
      </c>
      <c r="AI60" s="1145">
        <f t="shared" si="135"/>
        <v>104.61091881853082</v>
      </c>
      <c r="AJ60" s="1145">
        <f t="shared" si="135"/>
        <v>0.73503894080996868</v>
      </c>
      <c r="AK60" s="460">
        <v>107.50909007450301</v>
      </c>
      <c r="AL60" s="398">
        <f t="shared" ref="AL60:AN60" si="136">AL11/1000/24/AL$3</f>
        <v>0.74501388888888975</v>
      </c>
      <c r="AM60" s="1145">
        <f t="shared" si="136"/>
        <v>105.09020216967497</v>
      </c>
      <c r="AN60" s="1145">
        <f t="shared" si="136"/>
        <v>0.73626536885245897</v>
      </c>
      <c r="AO60" s="460">
        <v>107.609758482044</v>
      </c>
      <c r="AP60" s="398">
        <f t="shared" ref="AP60:AT60" si="137">AP11/1000/24/AP$3</f>
        <v>0.74541666666666684</v>
      </c>
      <c r="AQ60" s="1146">
        <f t="shared" si="137"/>
        <v>108.45754214798455</v>
      </c>
      <c r="AR60" s="1146">
        <f t="shared" si="137"/>
        <v>0.74298460144927492</v>
      </c>
      <c r="AS60" s="1145">
        <f t="shared" si="137"/>
        <v>105.48695215397838</v>
      </c>
      <c r="AT60" s="1145">
        <f t="shared" si="137"/>
        <v>0.73729696969696967</v>
      </c>
      <c r="AU60" s="460">
        <v>107.770288199948</v>
      </c>
      <c r="AV60" s="398">
        <f t="shared" ref="AV60:AX60" si="138">AV11/1000/24/AV$3</f>
        <v>0.74182795698924731</v>
      </c>
      <c r="AW60" s="1145">
        <f t="shared" si="138"/>
        <v>105.81957770111909</v>
      </c>
      <c r="AX60" s="1145">
        <f t="shared" si="138"/>
        <v>0.73775599128540303</v>
      </c>
      <c r="AY60" s="460">
        <v>107.27169644576</v>
      </c>
      <c r="AZ60" s="398">
        <f t="shared" ref="AZ60:BB60" si="139">AZ11/1000/24/AZ$3</f>
        <v>0.74961206896551791</v>
      </c>
      <c r="BA60" s="1145">
        <f t="shared" si="139"/>
        <v>106.03185066707307</v>
      </c>
      <c r="BB60" s="1145">
        <f t="shared" si="139"/>
        <v>0.73878233830845774</v>
      </c>
      <c r="BC60" s="460">
        <v>107.964076240342</v>
      </c>
      <c r="BD60" s="398">
        <f t="shared" ref="BD60:BJ60" si="140">BD11/1000/24/BD$3</f>
        <v>0.75114247311827975</v>
      </c>
      <c r="BE60" s="1146">
        <f t="shared" si="140"/>
        <v>108.67741202830801</v>
      </c>
      <c r="BF60" s="1146">
        <f t="shared" si="140"/>
        <v>0.74748168498168521</v>
      </c>
      <c r="BG60" s="1147">
        <f t="shared" si="140"/>
        <v>108.56687635076837</v>
      </c>
      <c r="BH60" s="1147">
        <f t="shared" si="140"/>
        <v>0.7452208561020035</v>
      </c>
      <c r="BI60" s="1145">
        <f t="shared" si="140"/>
        <v>106.28020857081989</v>
      </c>
      <c r="BJ60" s="1145">
        <f t="shared" si="140"/>
        <v>0.7398292349726775</v>
      </c>
      <c r="BK60" s="5726"/>
      <c r="BL60" s="2062"/>
    </row>
    <row r="61" spans="1:64" ht="15.75" x14ac:dyDescent="0.25">
      <c r="A61" s="93"/>
      <c r="B61" s="387" t="s">
        <v>129</v>
      </c>
      <c r="C61" s="51" t="s">
        <v>389</v>
      </c>
      <c r="D61" s="384">
        <f t="shared" ref="D61:E76" si="141">+((D16/1000)/D$3)/24</f>
        <v>122.30793637777781</v>
      </c>
      <c r="E61" s="384">
        <f t="shared" si="141"/>
        <v>125.68619091801072</v>
      </c>
      <c r="G61" s="1123">
        <v>1.5</v>
      </c>
      <c r="H61" s="336" t="s">
        <v>1946</v>
      </c>
      <c r="I61" s="460">
        <v>107.87957735495</v>
      </c>
      <c r="J61" s="398">
        <f t="shared" si="113"/>
        <v>0</v>
      </c>
      <c r="K61" s="460">
        <v>98.986669870138201</v>
      </c>
      <c r="L61" s="398">
        <f t="shared" ref="L61:N61" si="142">L12/1000/24/L$3</f>
        <v>0</v>
      </c>
      <c r="M61" s="1145">
        <f t="shared" si="142"/>
        <v>0</v>
      </c>
      <c r="N61" s="1145">
        <f t="shared" si="142"/>
        <v>0</v>
      </c>
      <c r="O61" s="460">
        <v>96.025533703560001</v>
      </c>
      <c r="P61" s="398">
        <f t="shared" ref="P61:R61" si="143">P12/1000/24/P$3</f>
        <v>0</v>
      </c>
      <c r="Q61" s="1146">
        <f t="shared" si="143"/>
        <v>0</v>
      </c>
      <c r="R61" s="1146">
        <f t="shared" si="143"/>
        <v>0</v>
      </c>
      <c r="S61" s="460">
        <v>107.00242298570301</v>
      </c>
      <c r="T61" s="398">
        <f t="shared" ref="T61:V61" si="144">T12/1000/24/T$3</f>
        <v>0</v>
      </c>
      <c r="U61" s="1145">
        <f t="shared" si="144"/>
        <v>0</v>
      </c>
      <c r="V61" s="1145">
        <f t="shared" si="144"/>
        <v>0</v>
      </c>
      <c r="W61" s="460">
        <v>106.86634946381101</v>
      </c>
      <c r="X61" s="398">
        <f t="shared" ref="X61:Z61" si="145">X12/1000/24/X$3</f>
        <v>0</v>
      </c>
      <c r="Y61" s="1145">
        <f t="shared" si="145"/>
        <v>0</v>
      </c>
      <c r="Z61" s="1145">
        <f t="shared" si="145"/>
        <v>0</v>
      </c>
      <c r="AA61" s="460">
        <v>107.171530702165</v>
      </c>
      <c r="AB61" s="398">
        <f t="shared" ref="AB61:AF61" si="146">AB12/1000/24/AB$3</f>
        <v>0</v>
      </c>
      <c r="AC61" s="1146">
        <f t="shared" si="146"/>
        <v>0</v>
      </c>
      <c r="AD61" s="1146">
        <f t="shared" si="146"/>
        <v>0</v>
      </c>
      <c r="AE61" s="1147">
        <f t="shared" si="146"/>
        <v>0</v>
      </c>
      <c r="AF61" s="1147">
        <f t="shared" si="146"/>
        <v>0</v>
      </c>
      <c r="AG61" s="460">
        <v>108.25544072374601</v>
      </c>
      <c r="AH61" s="398">
        <f t="shared" ref="AH61:AJ61" si="147">AH12/1000/24/AH$3</f>
        <v>0</v>
      </c>
      <c r="AI61" s="1145">
        <f t="shared" si="147"/>
        <v>0</v>
      </c>
      <c r="AJ61" s="1145">
        <f t="shared" si="147"/>
        <v>0</v>
      </c>
      <c r="AK61" s="460">
        <v>108.50909007450301</v>
      </c>
      <c r="AL61" s="398">
        <f t="shared" ref="AL61:AN61" si="148">AL12/1000/24/AL$3</f>
        <v>0</v>
      </c>
      <c r="AM61" s="1145">
        <f t="shared" si="148"/>
        <v>0</v>
      </c>
      <c r="AN61" s="1145">
        <f t="shared" si="148"/>
        <v>0</v>
      </c>
      <c r="AO61" s="460">
        <v>108.609758482044</v>
      </c>
      <c r="AP61" s="398">
        <f t="shared" ref="AP61:AT61" si="149">AP12/1000/24/AP$3</f>
        <v>0</v>
      </c>
      <c r="AQ61" s="1146">
        <f t="shared" si="149"/>
        <v>0</v>
      </c>
      <c r="AR61" s="1146">
        <f t="shared" si="149"/>
        <v>0</v>
      </c>
      <c r="AS61" s="1145">
        <f t="shared" si="149"/>
        <v>0</v>
      </c>
      <c r="AT61" s="1145">
        <f t="shared" si="149"/>
        <v>0</v>
      </c>
      <c r="AU61" s="460">
        <v>108.770288199948</v>
      </c>
      <c r="AV61" s="398">
        <f t="shared" ref="AV61:AX61" si="150">AV12/1000/24/AV$3</f>
        <v>0</v>
      </c>
      <c r="AW61" s="1145">
        <f t="shared" si="150"/>
        <v>0</v>
      </c>
      <c r="AX61" s="1145">
        <f t="shared" si="150"/>
        <v>0</v>
      </c>
      <c r="AY61" s="460">
        <v>108.27169644576</v>
      </c>
      <c r="AZ61" s="398">
        <f t="shared" ref="AZ61:BB61" si="151">AZ12/1000/24/AZ$3</f>
        <v>0.45367097701149423</v>
      </c>
      <c r="BA61" s="1145">
        <f t="shared" si="151"/>
        <v>0</v>
      </c>
      <c r="BB61" s="1145">
        <f t="shared" si="151"/>
        <v>3.9273009950248752E-2</v>
      </c>
      <c r="BC61" s="460">
        <v>108.964076240342</v>
      </c>
      <c r="BD61" s="398">
        <f t="shared" ref="BD61:BJ61" si="152">BD12/1000/24/BD$3</f>
        <v>0.75385349462365581</v>
      </c>
      <c r="BE61" s="1146">
        <f t="shared" si="152"/>
        <v>0</v>
      </c>
      <c r="BF61" s="1146">
        <f t="shared" si="152"/>
        <v>0.40138369963369963</v>
      </c>
      <c r="BG61" s="1147">
        <f t="shared" si="152"/>
        <v>0</v>
      </c>
      <c r="BH61" s="1147">
        <f t="shared" si="152"/>
        <v>0.19959517304189436</v>
      </c>
      <c r="BI61" s="1145">
        <f t="shared" si="152"/>
        <v>0</v>
      </c>
      <c r="BJ61" s="1145">
        <f t="shared" si="152"/>
        <v>9.9797586520947182E-2</v>
      </c>
      <c r="BK61" s="5726"/>
      <c r="BL61" s="2062"/>
    </row>
    <row r="62" spans="1:64" ht="15.75" x14ac:dyDescent="0.25">
      <c r="A62" s="348"/>
      <c r="B62" s="22" t="s">
        <v>755</v>
      </c>
      <c r="C62" s="13" t="s">
        <v>389</v>
      </c>
      <c r="D62" s="383">
        <f t="shared" si="141"/>
        <v>1.5184583333333332</v>
      </c>
      <c r="E62" s="383">
        <f t="shared" si="141"/>
        <v>1.5746408602150537</v>
      </c>
      <c r="G62" s="1126">
        <v>2</v>
      </c>
      <c r="H62" s="978" t="s">
        <v>771</v>
      </c>
      <c r="I62" s="462">
        <f>+I63+I64</f>
        <v>3.5</v>
      </c>
      <c r="J62" s="396">
        <f t="shared" ref="J62:J82" si="153">J13/1000/24/J$3</f>
        <v>2.923850522222263</v>
      </c>
      <c r="K62" s="462">
        <f>+K63+K64</f>
        <v>3.5</v>
      </c>
      <c r="L62" s="396">
        <f t="shared" ref="L62" si="154">L13/1000/24/L$3</f>
        <v>2.9716676518816376</v>
      </c>
      <c r="M62" s="1142">
        <f t="shared" ref="M62:N82" si="155">M13/1000/24/M$3</f>
        <v>3.5</v>
      </c>
      <c r="N62" s="1142">
        <f t="shared" si="155"/>
        <v>2.9481510307376828</v>
      </c>
      <c r="O62" s="462">
        <f>+O63+O64</f>
        <v>3.5</v>
      </c>
      <c r="P62" s="396">
        <f t="shared" ref="P62:R82" si="156">P13/1000/24/P$3</f>
        <v>2.8216926916666965</v>
      </c>
      <c r="Q62" s="1143">
        <f t="shared" si="156"/>
        <v>3.5</v>
      </c>
      <c r="R62" s="1143">
        <f t="shared" si="156"/>
        <v>2.9064614684065884</v>
      </c>
      <c r="S62" s="462">
        <f>+S63+S64</f>
        <v>3.5</v>
      </c>
      <c r="T62" s="396">
        <f t="shared" ref="T62:V82" si="157">T13/1000/24/T$3</f>
        <v>2.9751987217741549</v>
      </c>
      <c r="U62" s="1142">
        <f t="shared" si="157"/>
        <v>3.5</v>
      </c>
      <c r="V62" s="1142">
        <f t="shared" si="157"/>
        <v>2.9239274918032652</v>
      </c>
      <c r="W62" s="462">
        <f>+W63+W64</f>
        <v>3.5</v>
      </c>
      <c r="X62" s="396">
        <f t="shared" ref="X62:Z82" si="158">X13/1000/24/X$3</f>
        <v>2.7103140927420726</v>
      </c>
      <c r="Y62" s="1142">
        <f t="shared" si="158"/>
        <v>3.5</v>
      </c>
      <c r="Z62" s="1142">
        <f t="shared" si="158"/>
        <v>2.8806463455882527</v>
      </c>
      <c r="AA62" s="462">
        <f>+AA63+AA64</f>
        <v>3.5</v>
      </c>
      <c r="AB62" s="396">
        <f t="shared" ref="AB62" si="159">AB13/1000/24/AB$3</f>
        <v>2.2289628902777179</v>
      </c>
      <c r="AC62" s="1143">
        <f t="shared" ref="AC62:AF82" si="160">AC13/1000/24/AC$3</f>
        <v>3.5</v>
      </c>
      <c r="AD62" s="1143">
        <f t="shared" si="160"/>
        <v>2.642606347373202</v>
      </c>
      <c r="AE62" s="1144">
        <f t="shared" si="160"/>
        <v>3.5</v>
      </c>
      <c r="AF62" s="1144">
        <f t="shared" si="160"/>
        <v>2.7738129922586565</v>
      </c>
      <c r="AG62" s="462">
        <f>+AG63+AG64</f>
        <v>3.5</v>
      </c>
      <c r="AH62" s="396">
        <f t="shared" ref="AH62:AH82" si="161">AH13/1000/24/AH$3</f>
        <v>2.0211953911289675</v>
      </c>
      <c r="AI62" s="1142">
        <f t="shared" ref="AI62:AJ62" si="162">AI13/1000/24/AI$3</f>
        <v>3.5</v>
      </c>
      <c r="AJ62" s="1142">
        <f t="shared" si="162"/>
        <v>2.6647889472351971</v>
      </c>
      <c r="AK62" s="462">
        <f>+AK63+AK64</f>
        <v>3.5</v>
      </c>
      <c r="AL62" s="396">
        <f t="shared" ref="AL62:AN82" si="163">AL13/1000/24/AL$3</f>
        <v>1.8387194805555214</v>
      </c>
      <c r="AM62" s="1142">
        <f t="shared" si="163"/>
        <v>3.5</v>
      </c>
      <c r="AN62" s="1142">
        <f t="shared" si="163"/>
        <v>2.56322302920081</v>
      </c>
      <c r="AO62" s="462">
        <f>+AO63+AO64</f>
        <v>3.5</v>
      </c>
      <c r="AP62" s="396">
        <f t="shared" ref="AP62:AT62" si="164">AP13/1000/24/AP$3</f>
        <v>2.6734040814517264</v>
      </c>
      <c r="AQ62" s="1143">
        <f t="shared" si="164"/>
        <v>3.5</v>
      </c>
      <c r="AR62" s="1143">
        <f t="shared" si="164"/>
        <v>2.1814583485507302</v>
      </c>
      <c r="AS62" s="1142">
        <f t="shared" si="164"/>
        <v>3.5</v>
      </c>
      <c r="AT62" s="1142">
        <f t="shared" si="164"/>
        <v>2.5756434387272766</v>
      </c>
      <c r="AU62" s="462">
        <f>+AU63+AU64</f>
        <v>3.5</v>
      </c>
      <c r="AV62" s="396">
        <f t="shared" ref="AV62:AX62" si="165">AV13/1000/24/AV$3</f>
        <v>1.7026349233869045</v>
      </c>
      <c r="AW62" s="1142">
        <f t="shared" si="165"/>
        <v>3.5</v>
      </c>
      <c r="AX62" s="1142">
        <f t="shared" si="165"/>
        <v>2.4872013995914877</v>
      </c>
      <c r="AY62" s="462">
        <f>+AY63+AY64</f>
        <v>3.5</v>
      </c>
      <c r="AZ62" s="396">
        <f t="shared" ref="AZ62:BB62" si="166">AZ13/1000/24/AZ$3</f>
        <v>1.6836992428162945</v>
      </c>
      <c r="BA62" s="1142">
        <f t="shared" si="166"/>
        <v>3.5</v>
      </c>
      <c r="BB62" s="1142">
        <f t="shared" si="166"/>
        <v>2.4176444964676653</v>
      </c>
      <c r="BC62" s="462">
        <f>+BC63+BC64</f>
        <v>3.5</v>
      </c>
      <c r="BD62" s="396">
        <f t="shared" ref="BD62:BJ62" si="167">BD13/1000/24/BD$3</f>
        <v>1.7049178508062766</v>
      </c>
      <c r="BE62" s="1143">
        <f t="shared" si="167"/>
        <v>3.5</v>
      </c>
      <c r="BF62" s="1143">
        <f t="shared" si="167"/>
        <v>1.6973781762819908</v>
      </c>
      <c r="BG62" s="1144">
        <f t="shared" si="167"/>
        <v>3.5</v>
      </c>
      <c r="BH62" s="1144">
        <f t="shared" si="167"/>
        <v>1.9407408858378592</v>
      </c>
      <c r="BI62" s="1142">
        <f t="shared" si="167"/>
        <v>3.5</v>
      </c>
      <c r="BJ62" s="1142">
        <f t="shared" si="167"/>
        <v>2.357276939048258</v>
      </c>
      <c r="BK62" s="5726"/>
      <c r="BL62" s="2062"/>
    </row>
    <row r="63" spans="1:64" x14ac:dyDescent="0.25">
      <c r="A63" s="348"/>
      <c r="B63" s="22" t="s">
        <v>747</v>
      </c>
      <c r="C63" s="13" t="s">
        <v>389</v>
      </c>
      <c r="D63" s="383">
        <f t="shared" si="141"/>
        <v>7.0703194444444506</v>
      </c>
      <c r="E63" s="383">
        <f t="shared" si="141"/>
        <v>6.5758870967741947</v>
      </c>
      <c r="G63" s="1123">
        <v>2.1</v>
      </c>
      <c r="H63" s="336" t="s">
        <v>500</v>
      </c>
      <c r="I63" s="460">
        <v>0.5</v>
      </c>
      <c r="J63" s="398">
        <f t="shared" si="153"/>
        <v>0.13131163333333309</v>
      </c>
      <c r="K63" s="460">
        <v>0.5</v>
      </c>
      <c r="L63" s="398">
        <f t="shared" ref="L63" si="168">L14/1000/24/L$3</f>
        <v>0.38486254435483636</v>
      </c>
      <c r="M63" s="1145">
        <f t="shared" si="155"/>
        <v>0.5</v>
      </c>
      <c r="N63" s="1145">
        <f t="shared" si="155"/>
        <v>0.2601653749999987</v>
      </c>
      <c r="O63" s="460">
        <v>0.5</v>
      </c>
      <c r="P63" s="398">
        <f t="shared" si="156"/>
        <v>0.49805935833334253</v>
      </c>
      <c r="Q63" s="1146">
        <f t="shared" si="156"/>
        <v>0.5</v>
      </c>
      <c r="R63" s="1146">
        <f t="shared" si="156"/>
        <v>0.33859196291209009</v>
      </c>
      <c r="S63" s="460">
        <v>0.5</v>
      </c>
      <c r="T63" s="398">
        <f t="shared" si="157"/>
        <v>0.41147116801075834</v>
      </c>
      <c r="U63" s="1145">
        <f t="shared" si="157"/>
        <v>0.5</v>
      </c>
      <c r="V63" s="1145">
        <f t="shared" si="157"/>
        <v>0.35711044945355497</v>
      </c>
      <c r="W63" s="460">
        <v>0.5</v>
      </c>
      <c r="X63" s="398">
        <f t="shared" si="158"/>
        <v>0.34363532930107221</v>
      </c>
      <c r="Y63" s="1145">
        <f t="shared" si="158"/>
        <v>0.5</v>
      </c>
      <c r="Z63" s="1145">
        <f t="shared" si="158"/>
        <v>0.3543801963507644</v>
      </c>
      <c r="AA63" s="460">
        <v>0.5</v>
      </c>
      <c r="AB63" s="398">
        <f t="shared" ref="AB63" si="169">AB14/1000/24/AB$3</f>
        <v>0.32278650138889076</v>
      </c>
      <c r="AC63" s="1146">
        <f t="shared" si="160"/>
        <v>0.5</v>
      </c>
      <c r="AD63" s="1146">
        <f t="shared" si="160"/>
        <v>0.35969452672101598</v>
      </c>
      <c r="AE63" s="1147">
        <f t="shared" si="160"/>
        <v>0.5</v>
      </c>
      <c r="AF63" s="1147">
        <f t="shared" si="160"/>
        <v>0.34920090209471949</v>
      </c>
      <c r="AG63" s="460">
        <v>0.5</v>
      </c>
      <c r="AH63" s="398">
        <f t="shared" si="161"/>
        <v>0.3110722728494657</v>
      </c>
      <c r="AI63" s="1145">
        <f t="shared" ref="AI63:AJ63" si="170">AI14/1000/24/AI$3</f>
        <v>0.5</v>
      </c>
      <c r="AJ63" s="1145">
        <f t="shared" si="170"/>
        <v>0.34367759598909864</v>
      </c>
      <c r="AK63" s="460">
        <v>0.5</v>
      </c>
      <c r="AL63" s="398">
        <f t="shared" si="163"/>
        <v>0.33406336944444337</v>
      </c>
      <c r="AM63" s="1145">
        <f t="shared" si="163"/>
        <v>0.5</v>
      </c>
      <c r="AN63" s="1145">
        <f t="shared" si="163"/>
        <v>0.3424955189549197</v>
      </c>
      <c r="AO63" s="460">
        <v>0.5</v>
      </c>
      <c r="AP63" s="398">
        <f t="shared" ref="AP63:AT63" si="171">AP14/1000/24/AP$3</f>
        <v>0.34869198467741691</v>
      </c>
      <c r="AQ63" s="1146">
        <f t="shared" si="171"/>
        <v>0.5</v>
      </c>
      <c r="AR63" s="1146">
        <f t="shared" si="171"/>
        <v>0.33124557681159411</v>
      </c>
      <c r="AS63" s="1145">
        <f t="shared" si="171"/>
        <v>0.5</v>
      </c>
      <c r="AT63" s="1145">
        <f t="shared" si="171"/>
        <v>0.34319402963636486</v>
      </c>
      <c r="AU63" s="460">
        <v>0.5</v>
      </c>
      <c r="AV63" s="398">
        <f t="shared" ref="AV63:AX63" si="172">AV14/1000/24/AV$3</f>
        <v>0.44992955241935773</v>
      </c>
      <c r="AW63" s="1145">
        <f t="shared" si="172"/>
        <v>0.5</v>
      </c>
      <c r="AX63" s="1145">
        <f t="shared" si="172"/>
        <v>0.35400710547385761</v>
      </c>
      <c r="AY63" s="460">
        <v>0.5</v>
      </c>
      <c r="AZ63" s="398">
        <f t="shared" ref="AZ63:BB63" si="173">AZ14/1000/24/AZ$3</f>
        <v>0.32348760488505035</v>
      </c>
      <c r="BA63" s="1145">
        <f t="shared" si="173"/>
        <v>0.5</v>
      </c>
      <c r="BB63" s="1145">
        <f t="shared" si="173"/>
        <v>0.35136511885572203</v>
      </c>
      <c r="BC63" s="460">
        <v>0.5</v>
      </c>
      <c r="BD63" s="398">
        <f t="shared" ref="BD63:BJ63" si="174">BD14/1000/24/BD$3</f>
        <v>0.26933674865591428</v>
      </c>
      <c r="BE63" s="1146">
        <f t="shared" si="174"/>
        <v>0.5</v>
      </c>
      <c r="BF63" s="1146">
        <f t="shared" si="174"/>
        <v>0.34811424038461419</v>
      </c>
      <c r="BG63" s="1147">
        <f t="shared" si="174"/>
        <v>0.5</v>
      </c>
      <c r="BH63" s="1147">
        <f t="shared" si="174"/>
        <v>0.33963381935336917</v>
      </c>
      <c r="BI63" s="1145">
        <f t="shared" si="174"/>
        <v>0.5</v>
      </c>
      <c r="BJ63" s="1145">
        <f t="shared" si="174"/>
        <v>0.34441736072404433</v>
      </c>
      <c r="BK63" s="5726"/>
      <c r="BL63" s="2062"/>
    </row>
    <row r="64" spans="1:64" x14ac:dyDescent="0.25">
      <c r="A64" s="348"/>
      <c r="B64" s="22" t="s">
        <v>654</v>
      </c>
      <c r="C64" s="13" t="s">
        <v>389</v>
      </c>
      <c r="D64" s="383">
        <f t="shared" si="141"/>
        <v>2.1610277777777771</v>
      </c>
      <c r="E64" s="383">
        <f t="shared" si="141"/>
        <v>2.0229032258064517</v>
      </c>
      <c r="G64" s="1123">
        <v>2.2000000000000002</v>
      </c>
      <c r="H64" s="336" t="s">
        <v>501</v>
      </c>
      <c r="I64" s="460">
        <v>3</v>
      </c>
      <c r="J64" s="398">
        <f t="shared" si="153"/>
        <v>2.79253888888893</v>
      </c>
      <c r="K64" s="460">
        <v>3</v>
      </c>
      <c r="L64" s="398">
        <f t="shared" ref="L64" si="175">L15/1000/24/L$3</f>
        <v>2.5868051075268013</v>
      </c>
      <c r="M64" s="1145">
        <f t="shared" si="155"/>
        <v>3</v>
      </c>
      <c r="N64" s="1145">
        <f t="shared" si="155"/>
        <v>2.6879856557376844</v>
      </c>
      <c r="O64" s="460">
        <v>3</v>
      </c>
      <c r="P64" s="398">
        <f t="shared" si="156"/>
        <v>2.3236333333333539</v>
      </c>
      <c r="Q64" s="1146">
        <f t="shared" si="156"/>
        <v>3</v>
      </c>
      <c r="R64" s="1146">
        <f t="shared" si="156"/>
        <v>2.5678695054944987</v>
      </c>
      <c r="S64" s="460">
        <v>3</v>
      </c>
      <c r="T64" s="398">
        <f t="shared" si="157"/>
        <v>2.563727553763397</v>
      </c>
      <c r="U64" s="1145">
        <f t="shared" si="157"/>
        <v>3</v>
      </c>
      <c r="V64" s="1145">
        <f t="shared" si="157"/>
        <v>2.5668170423497103</v>
      </c>
      <c r="W64" s="460">
        <v>3</v>
      </c>
      <c r="X64" s="398">
        <f t="shared" si="158"/>
        <v>2.3666787634410005</v>
      </c>
      <c r="Y64" s="1145">
        <f t="shared" si="158"/>
        <v>3</v>
      </c>
      <c r="Z64" s="1145">
        <f t="shared" si="158"/>
        <v>2.5262661492374883</v>
      </c>
      <c r="AA64" s="460">
        <v>3</v>
      </c>
      <c r="AB64" s="398">
        <f t="shared" ref="AB64" si="176">AB15/1000/24/AB$3</f>
        <v>1.9061763888888268</v>
      </c>
      <c r="AC64" s="1146">
        <f t="shared" si="160"/>
        <v>3</v>
      </c>
      <c r="AD64" s="1146">
        <f t="shared" si="160"/>
        <v>2.2829118206521861</v>
      </c>
      <c r="AE64" s="1147">
        <f t="shared" si="160"/>
        <v>3</v>
      </c>
      <c r="AF64" s="1147">
        <f t="shared" si="160"/>
        <v>2.424612090163937</v>
      </c>
      <c r="AG64" s="460">
        <v>3</v>
      </c>
      <c r="AH64" s="398">
        <f t="shared" si="161"/>
        <v>1.7101231182795018</v>
      </c>
      <c r="AI64" s="1145">
        <f t="shared" ref="AI64:AJ64" si="177">AI15/1000/24/AI$3</f>
        <v>3</v>
      </c>
      <c r="AJ64" s="1145">
        <f t="shared" si="177"/>
        <v>2.3211113512460986</v>
      </c>
      <c r="AK64" s="460">
        <v>3</v>
      </c>
      <c r="AL64" s="398">
        <f t="shared" si="163"/>
        <v>1.5046561111110779</v>
      </c>
      <c r="AM64" s="1145">
        <f t="shared" si="163"/>
        <v>3</v>
      </c>
      <c r="AN64" s="1145">
        <f t="shared" si="163"/>
        <v>2.220727510245891</v>
      </c>
      <c r="AO64" s="460">
        <v>3</v>
      </c>
      <c r="AP64" s="398">
        <f t="shared" ref="AP64:AT64" si="178">AP15/1000/24/AP$3</f>
        <v>2.3247120967743098</v>
      </c>
      <c r="AQ64" s="1146">
        <f t="shared" si="178"/>
        <v>3</v>
      </c>
      <c r="AR64" s="1146">
        <f t="shared" si="178"/>
        <v>1.8502127717391359</v>
      </c>
      <c r="AS64" s="1145">
        <f t="shared" si="178"/>
        <v>3</v>
      </c>
      <c r="AT64" s="1145">
        <f t="shared" si="178"/>
        <v>2.2324494090909126</v>
      </c>
      <c r="AU64" s="460">
        <v>3</v>
      </c>
      <c r="AV64" s="398">
        <f t="shared" ref="AV64:AX64" si="179">AV15/1000/24/AV$3</f>
        <v>1.2527053709675469</v>
      </c>
      <c r="AW64" s="1145">
        <f t="shared" si="179"/>
        <v>3</v>
      </c>
      <c r="AX64" s="1145">
        <f t="shared" si="179"/>
        <v>2.1331942941176307</v>
      </c>
      <c r="AY64" s="460">
        <v>3</v>
      </c>
      <c r="AZ64" s="398">
        <f t="shared" ref="AZ64:BB64" si="180">AZ15/1000/24/AZ$3</f>
        <v>1.3602116379312441</v>
      </c>
      <c r="BA64" s="1145">
        <f t="shared" si="180"/>
        <v>3</v>
      </c>
      <c r="BB64" s="1145">
        <f t="shared" si="180"/>
        <v>2.0662793776119432</v>
      </c>
      <c r="BC64" s="460">
        <v>3</v>
      </c>
      <c r="BD64" s="398">
        <f t="shared" ref="BD64:BJ64" si="181">BD15/1000/24/BD$3</f>
        <v>1.4355811021503622</v>
      </c>
      <c r="BE64" s="1146">
        <f t="shared" si="181"/>
        <v>3</v>
      </c>
      <c r="BF64" s="1146">
        <f t="shared" si="181"/>
        <v>1.3492639358973764</v>
      </c>
      <c r="BG64" s="1147">
        <f t="shared" si="181"/>
        <v>3</v>
      </c>
      <c r="BH64" s="1147">
        <f t="shared" si="181"/>
        <v>1.6011070664844906</v>
      </c>
      <c r="BI64" s="1145">
        <f t="shared" si="181"/>
        <v>3</v>
      </c>
      <c r="BJ64" s="1145">
        <f t="shared" si="181"/>
        <v>2.0128595783242136</v>
      </c>
      <c r="BK64" s="5726"/>
      <c r="BL64" s="2062"/>
    </row>
    <row r="65" spans="1:64" ht="15.75" x14ac:dyDescent="0.25">
      <c r="A65" s="348"/>
      <c r="B65" s="22" t="s">
        <v>495</v>
      </c>
      <c r="C65" s="13" t="s">
        <v>389</v>
      </c>
      <c r="D65" s="383">
        <f t="shared" si="141"/>
        <v>11.048583333333307</v>
      </c>
      <c r="E65" s="383">
        <f t="shared" si="141"/>
        <v>10.777446236559159</v>
      </c>
      <c r="G65" s="1126">
        <v>3</v>
      </c>
      <c r="H65" s="978" t="s">
        <v>772</v>
      </c>
      <c r="I65" s="395">
        <f>+I55-I62</f>
        <v>370.81054276443882</v>
      </c>
      <c r="J65" s="396">
        <f t="shared" si="153"/>
        <v>152.73648281111099</v>
      </c>
      <c r="K65" s="395">
        <f>+K55-K62</f>
        <v>342.6301609445444</v>
      </c>
      <c r="L65" s="396">
        <f t="shared" ref="L65" si="182">L16/1000/24/L$3</f>
        <v>136.434687186828</v>
      </c>
      <c r="M65" s="1142">
        <f t="shared" si="155"/>
        <v>254.12913419002064</v>
      </c>
      <c r="N65" s="1142">
        <f t="shared" si="155"/>
        <v>144.45196372336062</v>
      </c>
      <c r="O65" s="395">
        <f>+O55-O62</f>
        <v>334.38061345635901</v>
      </c>
      <c r="P65" s="396">
        <f t="shared" si="156"/>
        <v>140.95768230833337</v>
      </c>
      <c r="Q65" s="1143">
        <f t="shared" si="156"/>
        <v>249.25856679313435</v>
      </c>
      <c r="R65" s="1143">
        <f t="shared" si="156"/>
        <v>143.3000028173077</v>
      </c>
      <c r="S65" s="395">
        <f>+S55-S62</f>
        <v>367.91621957439327</v>
      </c>
      <c r="T65" s="396">
        <f t="shared" si="157"/>
        <v>153.95484160080647</v>
      </c>
      <c r="U65" s="1142">
        <f t="shared" si="157"/>
        <v>252.47423993790679</v>
      </c>
      <c r="V65" s="1142">
        <f t="shared" si="157"/>
        <v>146.00737988524588</v>
      </c>
      <c r="W65" s="462">
        <f>+W55-W62</f>
        <v>367.50799900871669</v>
      </c>
      <c r="X65" s="396">
        <f t="shared" si="158"/>
        <v>155.23464558467742</v>
      </c>
      <c r="Y65" s="1142">
        <f t="shared" si="158"/>
        <v>254.33168894324646</v>
      </c>
      <c r="Z65" s="1142">
        <f t="shared" si="158"/>
        <v>147.87695659558824</v>
      </c>
      <c r="AA65" s="462">
        <f>+AA55-AA62</f>
        <v>368.46315177727672</v>
      </c>
      <c r="AB65" s="396">
        <f t="shared" ref="AB65" si="183">AB16/1000/24/AB$3</f>
        <v>152.2106634986111</v>
      </c>
      <c r="AC65" s="1143">
        <f t="shared" si="160"/>
        <v>261.9452985042916</v>
      </c>
      <c r="AD65" s="1143">
        <f t="shared" si="160"/>
        <v>153.81732617074277</v>
      </c>
      <c r="AE65" s="1144">
        <f t="shared" si="160"/>
        <v>255.63659585010964</v>
      </c>
      <c r="AF65" s="1144">
        <f t="shared" si="160"/>
        <v>148.58740035018215</v>
      </c>
      <c r="AG65" s="395">
        <f>+AG55-AG62</f>
        <v>372.05335920827537</v>
      </c>
      <c r="AH65" s="396">
        <f t="shared" si="161"/>
        <v>152.58459761962371</v>
      </c>
      <c r="AI65" s="1142">
        <f t="shared" ref="AI65:AJ65" si="184">AI16/1000/24/AI$3</f>
        <v>256.96370333453496</v>
      </c>
      <c r="AJ65" s="1142">
        <f t="shared" si="184"/>
        <v>149.16643359949381</v>
      </c>
      <c r="AK65" s="395">
        <f>+AK55-AK62</f>
        <v>372.81070643750024</v>
      </c>
      <c r="AL65" s="396">
        <f t="shared" si="163"/>
        <v>148.40171107500007</v>
      </c>
      <c r="AM65" s="1142">
        <f t="shared" si="163"/>
        <v>257.98885657573931</v>
      </c>
      <c r="AN65" s="1142">
        <f t="shared" si="163"/>
        <v>149.07241033828555</v>
      </c>
      <c r="AO65" s="395">
        <f>+AO55-AO62</f>
        <v>373.17032482884844</v>
      </c>
      <c r="AP65" s="396">
        <f t="shared" ref="AP65:AT65" si="185">AP16/1000/24/AP$3</f>
        <v>150.38396016586009</v>
      </c>
      <c r="AQ65" s="1143">
        <f t="shared" si="185"/>
        <v>265.21914696370948</v>
      </c>
      <c r="AR65" s="1143">
        <f t="shared" si="185"/>
        <v>150.47909373478259</v>
      </c>
      <c r="AS65" s="1142">
        <f t="shared" si="185"/>
        <v>258.84239476811388</v>
      </c>
      <c r="AT65" s="1142">
        <f t="shared" si="185"/>
        <v>149.22025777339397</v>
      </c>
      <c r="AU65" s="395">
        <f>+AU55-AU62</f>
        <v>373.65191398256013</v>
      </c>
      <c r="AV65" s="396">
        <f t="shared" ref="AV65:AX65" si="186">AV16/1000/24/AV$3</f>
        <v>150.75129316263448</v>
      </c>
      <c r="AW65" s="1142">
        <f t="shared" si="186"/>
        <v>259.555519478733</v>
      </c>
      <c r="AX65" s="1142">
        <f t="shared" si="186"/>
        <v>149.37536266576797</v>
      </c>
      <c r="AY65" s="395">
        <f>+AY55-AY62</f>
        <v>372.09467639560273</v>
      </c>
      <c r="AZ65" s="396">
        <f t="shared" ref="AZ65:BB65" si="187">AZ16/1000/24/AZ$3</f>
        <v>150.34647029741367</v>
      </c>
      <c r="BA65" s="1142">
        <f t="shared" si="187"/>
        <v>260.01150859414247</v>
      </c>
      <c r="BB65" s="1142">
        <f t="shared" si="187"/>
        <v>149.45942869955223</v>
      </c>
      <c r="BC65" s="395">
        <f>+BC55-BC62</f>
        <v>374.28729044942156</v>
      </c>
      <c r="BD65" s="396">
        <f t="shared" ref="BD65:BJ65" si="188">BD16/1000/24/BD$3</f>
        <v>149.13298542876356</v>
      </c>
      <c r="BE65" s="1143">
        <f t="shared" si="188"/>
        <v>265.69468635481195</v>
      </c>
      <c r="BF65" s="1143">
        <f t="shared" si="188"/>
        <v>150.0709920325092</v>
      </c>
      <c r="BG65" s="1144">
        <f t="shared" si="188"/>
        <v>265.4556173713068</v>
      </c>
      <c r="BH65" s="1144">
        <f t="shared" si="188"/>
        <v>150.27615791561934</v>
      </c>
      <c r="BI65" s="1142">
        <f t="shared" si="188"/>
        <v>260.54610661070819</v>
      </c>
      <c r="BJ65" s="1142">
        <f t="shared" si="188"/>
        <v>149.43177913290074</v>
      </c>
      <c r="BK65" s="5726"/>
      <c r="BL65" s="2062"/>
    </row>
    <row r="66" spans="1:64" ht="15.75" x14ac:dyDescent="0.25">
      <c r="A66" s="348"/>
      <c r="B66" s="22" t="s">
        <v>748</v>
      </c>
      <c r="C66" s="13" t="s">
        <v>389</v>
      </c>
      <c r="D66" s="383">
        <f t="shared" si="141"/>
        <v>13.06251944444444</v>
      </c>
      <c r="E66" s="383">
        <f t="shared" si="141"/>
        <v>13.210962365591397</v>
      </c>
      <c r="G66" s="1126">
        <v>4</v>
      </c>
      <c r="H66" s="978" t="s">
        <v>773</v>
      </c>
      <c r="I66" s="395">
        <f>+I67+I89</f>
        <v>156.80138805453879</v>
      </c>
      <c r="J66" s="396">
        <f t="shared" si="153"/>
        <v>152.73787169999986</v>
      </c>
      <c r="K66" s="395">
        <f>+K67+K89</f>
        <v>146.40682120426803</v>
      </c>
      <c r="L66" s="396">
        <f t="shared" ref="L66" si="189">L17/1000/24/L$3</f>
        <v>136.43468718682803</v>
      </c>
      <c r="M66" s="1142">
        <f t="shared" si="155"/>
        <v>151.51890326177821</v>
      </c>
      <c r="N66" s="1142">
        <f t="shared" si="155"/>
        <v>144.45264678346993</v>
      </c>
      <c r="O66" s="395">
        <f>+O67+O89</f>
        <v>144.07954604923899</v>
      </c>
      <c r="P66" s="396">
        <f t="shared" si="156"/>
        <v>140.95768230833335</v>
      </c>
      <c r="Q66" s="1143">
        <f t="shared" si="156"/>
        <v>149.06636791698506</v>
      </c>
      <c r="R66" s="1143">
        <f t="shared" si="156"/>
        <v>143.30046069276557</v>
      </c>
      <c r="S66" s="395">
        <f>+S67+S89</f>
        <v>155.66137360298728</v>
      </c>
      <c r="T66" s="396">
        <f t="shared" si="157"/>
        <v>153.95484160080647</v>
      </c>
      <c r="U66" s="1142">
        <f t="shared" si="157"/>
        <v>150.74214805031349</v>
      </c>
      <c r="V66" s="1142">
        <f t="shared" si="157"/>
        <v>146.00772141530055</v>
      </c>
      <c r="W66" s="462">
        <f>+W67+W89</f>
        <v>155.52530008109471</v>
      </c>
      <c r="X66" s="396">
        <f t="shared" si="158"/>
        <v>155.23464558467742</v>
      </c>
      <c r="Y66" s="1142">
        <f t="shared" si="158"/>
        <v>151.71128342909921</v>
      </c>
      <c r="Z66" s="1142">
        <f t="shared" si="158"/>
        <v>147.87722892674293</v>
      </c>
      <c r="AA66" s="462">
        <f>+AA67+AA89</f>
        <v>155.87009037294669</v>
      </c>
      <c r="AB66" s="396">
        <f t="shared" ref="AB66" si="190">AB17/1000/24/AB$3</f>
        <v>152.21066349861113</v>
      </c>
      <c r="AC66" s="1143">
        <f t="shared" si="160"/>
        <v>155.68358255864069</v>
      </c>
      <c r="AD66" s="1143">
        <f t="shared" si="160"/>
        <v>153.81732617074277</v>
      </c>
      <c r="AE66" s="1144">
        <f t="shared" si="160"/>
        <v>152.39305505923815</v>
      </c>
      <c r="AF66" s="1144">
        <f t="shared" si="160"/>
        <v>148.58762803688526</v>
      </c>
      <c r="AG66" s="395">
        <f>+AG67+AG89</f>
        <v>157.29247776078336</v>
      </c>
      <c r="AH66" s="396">
        <f t="shared" si="161"/>
        <v>152.58459761962368</v>
      </c>
      <c r="AI66" s="1142">
        <f t="shared" ref="AI66:AJ66" si="191">AI17/1000/24/AI$3</f>
        <v>153.10278451600408</v>
      </c>
      <c r="AJ66" s="1142">
        <f t="shared" si="191"/>
        <v>149.16662830354363</v>
      </c>
      <c r="AK66" s="395">
        <f>+AK67+AK89</f>
        <v>157.54252628849429</v>
      </c>
      <c r="AL66" s="396">
        <f t="shared" si="163"/>
        <v>148.40171107500007</v>
      </c>
      <c r="AM66" s="1142">
        <f t="shared" si="163"/>
        <v>153.64865440606434</v>
      </c>
      <c r="AN66" s="1142">
        <f t="shared" si="163"/>
        <v>149.07258110331287</v>
      </c>
      <c r="AO66" s="395">
        <f>+AO67+AO89</f>
        <v>157.70080786476043</v>
      </c>
      <c r="AP66" s="396">
        <f t="shared" ref="AP66:AT66" si="192">AP17/1000/24/AP$3</f>
        <v>150.38396016586006</v>
      </c>
      <c r="AQ66" s="1143">
        <f t="shared" si="192"/>
        <v>157.51160481572487</v>
      </c>
      <c r="AR66" s="1143">
        <f t="shared" si="192"/>
        <v>150.47909373478259</v>
      </c>
      <c r="AS66" s="1142">
        <f t="shared" si="192"/>
        <v>154.10544261413551</v>
      </c>
      <c r="AT66" s="1142">
        <f t="shared" si="192"/>
        <v>149.22040928854545</v>
      </c>
      <c r="AU66" s="395">
        <f>+AU67+AU89</f>
        <v>157.86133758266413</v>
      </c>
      <c r="AV66" s="396">
        <f t="shared" ref="AV66:AX66" si="193">AV17/1000/24/AV$3</f>
        <v>150.75129316263451</v>
      </c>
      <c r="AW66" s="1142">
        <f t="shared" si="193"/>
        <v>154.48594177761393</v>
      </c>
      <c r="AX66" s="1142">
        <f t="shared" si="193"/>
        <v>149.37549883134534</v>
      </c>
      <c r="AY66" s="395">
        <f>+AY67+AY89</f>
        <v>157.30128350408276</v>
      </c>
      <c r="AZ66" s="396">
        <f t="shared" ref="AZ66:BB66" si="194">AZ17/1000/24/AZ$3</f>
        <v>150.34647029741365</v>
      </c>
      <c r="BA66" s="1142">
        <f t="shared" si="194"/>
        <v>154.72965792706941</v>
      </c>
      <c r="BB66" s="1142">
        <f t="shared" si="194"/>
        <v>149.4595530776617</v>
      </c>
      <c r="BC66" s="395">
        <f>+BC67+BC89</f>
        <v>158.10913796873754</v>
      </c>
      <c r="BD66" s="396">
        <f t="shared" ref="BD66:BJ66" si="195">BD17/1000/24/BD$3</f>
        <v>149.13298542876353</v>
      </c>
      <c r="BE66" s="1143">
        <f t="shared" si="195"/>
        <v>157.76727432650387</v>
      </c>
      <c r="BF66" s="1143">
        <f t="shared" si="195"/>
        <v>150.0709920325092</v>
      </c>
      <c r="BG66" s="1144">
        <f t="shared" si="195"/>
        <v>157.63874102053845</v>
      </c>
      <c r="BH66" s="1144">
        <f t="shared" si="195"/>
        <v>150.27615791561934</v>
      </c>
      <c r="BI66" s="1142">
        <f t="shared" si="195"/>
        <v>155.0158980398883</v>
      </c>
      <c r="BJ66" s="1142">
        <f t="shared" si="195"/>
        <v>149.4318929762523</v>
      </c>
      <c r="BK66" s="5726"/>
      <c r="BL66" s="2062"/>
    </row>
    <row r="67" spans="1:64" ht="15.75" x14ac:dyDescent="0.25">
      <c r="A67" s="348"/>
      <c r="B67" s="22" t="s">
        <v>749</v>
      </c>
      <c r="C67" s="13" t="s">
        <v>389</v>
      </c>
      <c r="D67" s="383">
        <f t="shared" si="141"/>
        <v>22.231472222222227</v>
      </c>
      <c r="E67" s="383">
        <f t="shared" si="141"/>
        <v>22.708427419354837</v>
      </c>
      <c r="G67" s="1133">
        <v>4.0999999999999996</v>
      </c>
      <c r="H67" s="979" t="s">
        <v>767</v>
      </c>
      <c r="I67" s="399">
        <f>I68+I84</f>
        <v>143.4763880545388</v>
      </c>
      <c r="J67" s="400">
        <f t="shared" si="153"/>
        <v>140.17076585249987</v>
      </c>
      <c r="K67" s="399">
        <f>K68+K84</f>
        <v>133.08182120426804</v>
      </c>
      <c r="L67" s="400">
        <f t="shared" ref="L67" si="196">L18/1000/24/L$3</f>
        <v>124.07960752553768</v>
      </c>
      <c r="M67" s="1148">
        <f t="shared" si="155"/>
        <v>138.19390326177819</v>
      </c>
      <c r="N67" s="1148">
        <f t="shared" si="155"/>
        <v>131.99329194863384</v>
      </c>
      <c r="O67" s="399">
        <f>O68+O84</f>
        <v>130.754546049239</v>
      </c>
      <c r="P67" s="400">
        <f t="shared" si="156"/>
        <v>128.15392347888891</v>
      </c>
      <c r="Q67" s="2278">
        <f t="shared" si="156"/>
        <v>135.74136791698507</v>
      </c>
      <c r="R67" s="2278">
        <f t="shared" si="156"/>
        <v>130.72756607948716</v>
      </c>
      <c r="S67" s="399">
        <f>S68+S84</f>
        <v>142.33637360298729</v>
      </c>
      <c r="T67" s="400">
        <f t="shared" si="157"/>
        <v>141.08532520645164</v>
      </c>
      <c r="U67" s="1148">
        <f t="shared" si="157"/>
        <v>137.4171480503135</v>
      </c>
      <c r="V67" s="1148">
        <f t="shared" si="157"/>
        <v>133.35945569371586</v>
      </c>
      <c r="W67" s="399">
        <f>W68+W84</f>
        <v>142.20030008109472</v>
      </c>
      <c r="X67" s="400">
        <f t="shared" si="158"/>
        <v>142.52364745376346</v>
      </c>
      <c r="Y67" s="1148">
        <f t="shared" si="158"/>
        <v>138.38628342909925</v>
      </c>
      <c r="Z67" s="1148">
        <f t="shared" si="158"/>
        <v>135.21625271699347</v>
      </c>
      <c r="AA67" s="399">
        <f>AA68+AA84</f>
        <v>142.5450903729467</v>
      </c>
      <c r="AB67" s="400">
        <f t="shared" ref="AB67" si="197">AB18/1000/24/AB$3</f>
        <v>138.97341910916666</v>
      </c>
      <c r="AC67" s="2278">
        <f t="shared" si="160"/>
        <v>142.35858255864071</v>
      </c>
      <c r="AD67" s="2278">
        <f t="shared" si="160"/>
        <v>140.88131223632249</v>
      </c>
      <c r="AE67" s="2277">
        <f t="shared" si="160"/>
        <v>139.06805505923816</v>
      </c>
      <c r="AF67" s="2277">
        <f t="shared" si="160"/>
        <v>135.83218163374318</v>
      </c>
      <c r="AG67" s="399">
        <f>AG68+AG84</f>
        <v>143.96747776078337</v>
      </c>
      <c r="AH67" s="400">
        <f t="shared" si="161"/>
        <v>139.73594031854844</v>
      </c>
      <c r="AI67" s="1148">
        <f t="shared" ref="AI67:AJ67" si="198">AI18/1000/24/AI$3</f>
        <v>139.77778451600406</v>
      </c>
      <c r="AJ67" s="1148">
        <f t="shared" si="198"/>
        <v>136.39767938714954</v>
      </c>
      <c r="AK67" s="399">
        <f>AK68+AK84</f>
        <v>144.2175262884943</v>
      </c>
      <c r="AL67" s="400">
        <f t="shared" si="163"/>
        <v>136.33375028055562</v>
      </c>
      <c r="AM67" s="1148">
        <f t="shared" si="163"/>
        <v>140.32365440606435</v>
      </c>
      <c r="AN67" s="1148">
        <f t="shared" si="163"/>
        <v>136.38981925109289</v>
      </c>
      <c r="AO67" s="399">
        <f>AO68+AO84</f>
        <v>144.37580786476045</v>
      </c>
      <c r="AP67" s="400">
        <f t="shared" ref="AP67:AT67" si="199">AP18/1000/24/AP$3</f>
        <v>138.81022644973103</v>
      </c>
      <c r="AQ67" s="2278">
        <f t="shared" si="199"/>
        <v>144.18660481572488</v>
      </c>
      <c r="AR67" s="2278">
        <f t="shared" si="199"/>
        <v>138.31460519818839</v>
      </c>
      <c r="AS67" s="1148">
        <f t="shared" si="199"/>
        <v>140.78044261413552</v>
      </c>
      <c r="AT67" s="1148">
        <f t="shared" si="199"/>
        <v>136.66266515348485</v>
      </c>
      <c r="AU67" s="399">
        <f>AU68+AU84</f>
        <v>144.53633758266415</v>
      </c>
      <c r="AV67" s="400">
        <f t="shared" ref="AV67:AX67" si="200">AV18/1000/24/AV$3</f>
        <v>138.87199639758074</v>
      </c>
      <c r="AW67" s="1148">
        <f t="shared" si="200"/>
        <v>141.16094177761391</v>
      </c>
      <c r="AX67" s="1148">
        <f t="shared" si="200"/>
        <v>136.88648629259259</v>
      </c>
      <c r="AY67" s="399">
        <f>AY68+AY84</f>
        <v>143.97628350408277</v>
      </c>
      <c r="AZ67" s="400">
        <f t="shared" ref="AZ67:BB67" si="201">AZ18/1000/24/AZ$3</f>
        <v>138.90193736436768</v>
      </c>
      <c r="BA67" s="1148">
        <f t="shared" si="201"/>
        <v>141.40465792706942</v>
      </c>
      <c r="BB67" s="1148">
        <f t="shared" si="201"/>
        <v>137.06095817641787</v>
      </c>
      <c r="BC67" s="399">
        <f>BC68+BC84</f>
        <v>144.78413796873755</v>
      </c>
      <c r="BD67" s="400">
        <f t="shared" ref="BD67:BJ67" si="202">BD18/1000/24/BD$3</f>
        <v>137.6734853591399</v>
      </c>
      <c r="BE67" s="2278">
        <f t="shared" si="202"/>
        <v>144.44227432650385</v>
      </c>
      <c r="BF67" s="2278">
        <f t="shared" si="202"/>
        <v>138.4732540442308</v>
      </c>
      <c r="BG67" s="2277">
        <f t="shared" si="202"/>
        <v>144.31374102053843</v>
      </c>
      <c r="BH67" s="2277">
        <f t="shared" si="202"/>
        <v>138.39349615441708</v>
      </c>
      <c r="BI67" s="5096">
        <f t="shared" si="202"/>
        <v>141.69089803988834</v>
      </c>
      <c r="BJ67" s="5096">
        <f t="shared" si="202"/>
        <v>137.11283889408014</v>
      </c>
      <c r="BK67" s="5726"/>
      <c r="BL67" s="2062"/>
    </row>
    <row r="68" spans="1:64" x14ac:dyDescent="0.25">
      <c r="A68" s="348"/>
      <c r="B68" s="22" t="s">
        <v>84</v>
      </c>
      <c r="C68" s="13" t="s">
        <v>389</v>
      </c>
      <c r="D68" s="383">
        <f t="shared" si="141"/>
        <v>1.3352222222222243</v>
      </c>
      <c r="E68" s="383">
        <f t="shared" si="141"/>
        <v>1.3534677419354828</v>
      </c>
      <c r="G68" s="1134" t="s">
        <v>774</v>
      </c>
      <c r="H68" s="1012" t="s">
        <v>746</v>
      </c>
      <c r="I68" s="401">
        <f>+SUM(I69:I82)</f>
        <v>140.07847125571772</v>
      </c>
      <c r="J68" s="402">
        <f t="shared" si="153"/>
        <v>137.93479763888874</v>
      </c>
      <c r="K68" s="401">
        <f>+SUM(K69:K82)</f>
        <v>129.68390440544695</v>
      </c>
      <c r="L68" s="402">
        <f t="shared" ref="L68" si="203">L19/1000/24/L$3</f>
        <v>121.66424489247318</v>
      </c>
      <c r="M68" s="1149">
        <f t="shared" si="155"/>
        <v>134.79598646295716</v>
      </c>
      <c r="N68" s="1149">
        <f t="shared" si="155"/>
        <v>129.66615607923492</v>
      </c>
      <c r="O68" s="401">
        <f>+SUM(O69:O82)</f>
        <v>127.3566292504179</v>
      </c>
      <c r="P68" s="402">
        <f t="shared" si="156"/>
        <v>125.78414111111111</v>
      </c>
      <c r="Q68" s="1150">
        <f t="shared" si="156"/>
        <v>132.34345111816398</v>
      </c>
      <c r="R68" s="1150">
        <f t="shared" si="156"/>
        <v>128.38637092490842</v>
      </c>
      <c r="S68" s="401">
        <f>+SUM(S69:S82)</f>
        <v>138.93425228888842</v>
      </c>
      <c r="T68" s="402">
        <f t="shared" si="157"/>
        <v>138.59092970430112</v>
      </c>
      <c r="U68" s="1149">
        <f t="shared" si="157"/>
        <v>134.01816289105301</v>
      </c>
      <c r="V68" s="1149">
        <f t="shared" si="157"/>
        <v>130.97933258196721</v>
      </c>
      <c r="W68" s="461">
        <f>+SUM(W69:W82)</f>
        <v>138.79817876699585</v>
      </c>
      <c r="X68" s="402">
        <f t="shared" si="158"/>
        <v>140.12165228494624</v>
      </c>
      <c r="Y68" s="1149">
        <f t="shared" si="158"/>
        <v>134.98666283977343</v>
      </c>
      <c r="Z68" s="1149">
        <f t="shared" si="158"/>
        <v>132.83169801198258</v>
      </c>
      <c r="AA68" s="461">
        <f>+SUM(AA69:AA82)</f>
        <v>139.14296905884783</v>
      </c>
      <c r="AB68" s="402">
        <f t="shared" ref="AB68" si="204">AB19/1000/24/AB$3</f>
        <v>136.42862624999998</v>
      </c>
      <c r="AC68" s="1150">
        <f t="shared" si="160"/>
        <v>138.9564612445418</v>
      </c>
      <c r="AD68" s="1150">
        <f t="shared" si="160"/>
        <v>138.40161770833336</v>
      </c>
      <c r="AE68" s="1151">
        <f t="shared" si="160"/>
        <v>135.66802451503153</v>
      </c>
      <c r="AF68" s="1151">
        <f t="shared" si="160"/>
        <v>133.42135837887068</v>
      </c>
      <c r="AG68" s="401">
        <f>+SUM(AG69:AG82)</f>
        <v>140.56535644668449</v>
      </c>
      <c r="AH68" s="402">
        <f t="shared" si="161"/>
        <v>137.25931827956995</v>
      </c>
      <c r="AI68" s="1149">
        <f t="shared" ref="AI68:AJ68" si="205">AI19/1000/24/AI$3</f>
        <v>136.37745110326162</v>
      </c>
      <c r="AJ68" s="1149">
        <f t="shared" si="205"/>
        <v>133.9773245327103</v>
      </c>
      <c r="AK68" s="401">
        <f>+SUM(AK69:AK82)</f>
        <v>140.81540497439542</v>
      </c>
      <c r="AL68" s="402">
        <f t="shared" si="163"/>
        <v>134.01844083333339</v>
      </c>
      <c r="AM68" s="1149">
        <f t="shared" si="163"/>
        <v>136.92310116938464</v>
      </c>
      <c r="AN68" s="1149">
        <f t="shared" si="163"/>
        <v>133.98237981557378</v>
      </c>
      <c r="AO68" s="401">
        <f>+SUM(AO69:AO82)</f>
        <v>140.97368655066157</v>
      </c>
      <c r="AP68" s="402">
        <f t="shared" ref="AP68:AT68" si="206">AP19/1000/24/AP$3</f>
        <v>136.71691801075252</v>
      </c>
      <c r="AQ68" s="1150">
        <f t="shared" si="206"/>
        <v>140.78448350162597</v>
      </c>
      <c r="AR68" s="1150">
        <f t="shared" si="206"/>
        <v>136.01974510869562</v>
      </c>
      <c r="AS68" s="1149">
        <f t="shared" si="206"/>
        <v>137.37971261236493</v>
      </c>
      <c r="AT68" s="1149">
        <f t="shared" si="206"/>
        <v>134.29063684848484</v>
      </c>
      <c r="AU68" s="401">
        <f>+SUM(AU69:AU82)</f>
        <v>141.13421626856527</v>
      </c>
      <c r="AV68" s="402">
        <f t="shared" ref="AV68:AX68" si="207">AV19/1000/24/AV$3</f>
        <v>136.75311196236569</v>
      </c>
      <c r="AW68" s="1149">
        <f t="shared" si="207"/>
        <v>137.76007082590158</v>
      </c>
      <c r="AX68" s="1149">
        <f t="shared" si="207"/>
        <v>134.5401032815904</v>
      </c>
      <c r="AY68" s="401">
        <f>+SUM(AY69:AY82)</f>
        <v>140.57416218998389</v>
      </c>
      <c r="AZ68" s="402">
        <f t="shared" ref="AZ68:BB68" si="208">AZ19/1000/24/AZ$3</f>
        <v>136.66485847701136</v>
      </c>
      <c r="BA68" s="1149">
        <f t="shared" si="208"/>
        <v>138.00367873503109</v>
      </c>
      <c r="BB68" s="1149">
        <f t="shared" si="208"/>
        <v>134.72403731343283</v>
      </c>
      <c r="BC68" s="401">
        <f>+SUM(BC69:BC82)</f>
        <v>141.38201665463868</v>
      </c>
      <c r="BD68" s="402">
        <f t="shared" ref="BD68:BJ68" si="209">BD19/1000/24/BD$3</f>
        <v>135.43758924731193</v>
      </c>
      <c r="BE68" s="1150">
        <f t="shared" si="209"/>
        <v>141.040153012405</v>
      </c>
      <c r="BF68" s="1150">
        <f t="shared" si="209"/>
        <v>136.27684212454218</v>
      </c>
      <c r="BG68" s="1151">
        <f t="shared" si="209"/>
        <v>140.91161970643961</v>
      </c>
      <c r="BH68" s="1151">
        <f t="shared" si="209"/>
        <v>136.14759116575595</v>
      </c>
      <c r="BI68" s="1149">
        <f t="shared" si="209"/>
        <v>138.28982211073554</v>
      </c>
      <c r="BJ68" s="1149">
        <f t="shared" si="209"/>
        <v>134.7844747723133</v>
      </c>
      <c r="BK68" s="5726"/>
      <c r="BL68" s="2062"/>
    </row>
    <row r="69" spans="1:64" x14ac:dyDescent="0.25">
      <c r="A69" s="348"/>
      <c r="B69" s="22" t="s">
        <v>496</v>
      </c>
      <c r="C69" s="13" t="s">
        <v>389</v>
      </c>
      <c r="D69" s="383">
        <f t="shared" si="141"/>
        <v>5.1045138888889019</v>
      </c>
      <c r="E69" s="383">
        <f t="shared" si="141"/>
        <v>5.8832526881720257</v>
      </c>
      <c r="G69" s="1123" t="s">
        <v>775</v>
      </c>
      <c r="H69" s="336" t="s">
        <v>747</v>
      </c>
      <c r="I69" s="397">
        <v>6.6902814930516614</v>
      </c>
      <c r="J69" s="398">
        <f t="shared" si="153"/>
        <v>6.7752916666666696</v>
      </c>
      <c r="K69" s="397">
        <v>6.6902814930516614</v>
      </c>
      <c r="L69" s="398">
        <f t="shared" ref="L69" si="210">L20/1000/24/L$3</f>
        <v>6.6683736559139666</v>
      </c>
      <c r="M69" s="1145">
        <f t="shared" si="155"/>
        <v>6.6902814930516623</v>
      </c>
      <c r="N69" s="1145">
        <f t="shared" si="155"/>
        <v>6.7209562841529999</v>
      </c>
      <c r="O69" s="397">
        <v>6.6902814930516614</v>
      </c>
      <c r="P69" s="398">
        <f t="shared" si="156"/>
        <v>6.371374999999996</v>
      </c>
      <c r="Q69" s="1146">
        <f t="shared" si="156"/>
        <v>6.6902814930516623</v>
      </c>
      <c r="R69" s="1146">
        <f t="shared" si="156"/>
        <v>6.6057097069597015</v>
      </c>
      <c r="S69" s="397">
        <v>6.6902814930516614</v>
      </c>
      <c r="T69" s="398">
        <f t="shared" si="157"/>
        <v>6.6793010752688202</v>
      </c>
      <c r="U69" s="1145">
        <f t="shared" si="157"/>
        <v>6.6902814930516623</v>
      </c>
      <c r="V69" s="1145">
        <f t="shared" si="157"/>
        <v>6.6244091530054625</v>
      </c>
      <c r="W69" s="460">
        <v>6.5542079711590846</v>
      </c>
      <c r="X69" s="398">
        <f t="shared" si="158"/>
        <v>6.6452553763440783</v>
      </c>
      <c r="Y69" s="1145">
        <f t="shared" si="158"/>
        <v>6.662711040903492</v>
      </c>
      <c r="Z69" s="1145">
        <f t="shared" si="158"/>
        <v>6.6286328976034818</v>
      </c>
      <c r="AA69" s="460">
        <v>6.5542079711590846</v>
      </c>
      <c r="AB69" s="398">
        <f t="shared" ref="AB69" si="211">AB20/1000/24/AB$3</f>
        <v>6.8190138888889011</v>
      </c>
      <c r="AC69" s="1146">
        <f t="shared" si="160"/>
        <v>6.6000588317968001</v>
      </c>
      <c r="AD69" s="1146">
        <f t="shared" si="160"/>
        <v>6.7133876811594213</v>
      </c>
      <c r="AE69" s="1147">
        <f t="shared" si="160"/>
        <v>6.6449236524208022</v>
      </c>
      <c r="AF69" s="1147">
        <f t="shared" si="160"/>
        <v>6.6598428961748608</v>
      </c>
      <c r="AG69" s="397">
        <v>6.6902814930516614</v>
      </c>
      <c r="AH69" s="398">
        <f t="shared" si="161"/>
        <v>7.1773387096774321</v>
      </c>
      <c r="AI69" s="1145">
        <f t="shared" ref="AI69:AJ69" si="212">AI20/1000/24/AI$3</f>
        <v>6.6514941807364876</v>
      </c>
      <c r="AJ69" s="1145">
        <f t="shared" si="212"/>
        <v>6.7348072429906543</v>
      </c>
      <c r="AK69" s="397">
        <v>6.6902814930516614</v>
      </c>
      <c r="AL69" s="398">
        <f t="shared" si="163"/>
        <v>6.9300277777777524</v>
      </c>
      <c r="AM69" s="1145">
        <f t="shared" si="163"/>
        <v>6.6562631125785163</v>
      </c>
      <c r="AN69" s="1145">
        <f t="shared" si="163"/>
        <v>6.7588097677595602</v>
      </c>
      <c r="AO69" s="397">
        <v>6.6902814930516614</v>
      </c>
      <c r="AP69" s="398">
        <f t="shared" ref="AP69:AT69" si="213">AP20/1000/24/AP$3</f>
        <v>7.1515456989247328</v>
      </c>
      <c r="AQ69" s="1146">
        <f t="shared" si="213"/>
        <v>6.6902814930516632</v>
      </c>
      <c r="AR69" s="1146">
        <f t="shared" si="213"/>
        <v>7.0880027173913014</v>
      </c>
      <c r="AS69" s="1145">
        <f t="shared" si="213"/>
        <v>6.6600979118318531</v>
      </c>
      <c r="AT69" s="1145">
        <f t="shared" si="213"/>
        <v>6.8030818181818153</v>
      </c>
      <c r="AU69" s="397">
        <v>6.6902814930516614</v>
      </c>
      <c r="AV69" s="398">
        <f t="shared" ref="AV69:AX69" si="214">AV20/1000/24/AV$3</f>
        <v>6.9241801075268938</v>
      </c>
      <c r="AW69" s="1145">
        <f t="shared" si="214"/>
        <v>6.6631557256155585</v>
      </c>
      <c r="AX69" s="1145">
        <f t="shared" si="214"/>
        <v>6.8153499455337689</v>
      </c>
      <c r="AY69" s="397">
        <v>6.6902814930516632</v>
      </c>
      <c r="AZ69" s="398">
        <f t="shared" ref="AZ69:BB69" si="215">AZ20/1000/24/AZ$3</f>
        <v>7.1623132183907998</v>
      </c>
      <c r="BA69" s="1145">
        <f t="shared" si="215"/>
        <v>6.6655039263786842</v>
      </c>
      <c r="BB69" s="1145">
        <f t="shared" si="215"/>
        <v>6.8453855721393015</v>
      </c>
      <c r="BC69" s="397">
        <v>6.6902814930516614</v>
      </c>
      <c r="BD69" s="398">
        <f t="shared" ref="BD69:BJ69" si="216">BD20/1000/24/BD$3</f>
        <v>6.9160887096774237</v>
      </c>
      <c r="BE69" s="1146">
        <f t="shared" si="216"/>
        <v>6.6902814930516632</v>
      </c>
      <c r="BF69" s="1146">
        <f t="shared" si="216"/>
        <v>6.9973122710622757</v>
      </c>
      <c r="BG69" s="1147">
        <f t="shared" si="216"/>
        <v>6.6902814930516623</v>
      </c>
      <c r="BH69" s="1147">
        <f t="shared" si="216"/>
        <v>7.0429052823315121</v>
      </c>
      <c r="BI69" s="1145">
        <f t="shared" si="216"/>
        <v>6.6676025727362305</v>
      </c>
      <c r="BJ69" s="1145">
        <f t="shared" si="216"/>
        <v>6.8513740892531869</v>
      </c>
      <c r="BK69" s="5726"/>
      <c r="BL69" s="2062"/>
    </row>
    <row r="70" spans="1:64" x14ac:dyDescent="0.25">
      <c r="A70" s="348"/>
      <c r="B70" s="22" t="s">
        <v>497</v>
      </c>
      <c r="C70" s="13" t="s">
        <v>389</v>
      </c>
      <c r="D70" s="383">
        <f t="shared" si="141"/>
        <v>2.9443194444444436</v>
      </c>
      <c r="E70" s="383">
        <f t="shared" si="141"/>
        <v>6.5376075268817191</v>
      </c>
      <c r="G70" s="1123" t="s">
        <v>776</v>
      </c>
      <c r="H70" s="336" t="s">
        <v>654</v>
      </c>
      <c r="I70" s="397">
        <v>2.9</v>
      </c>
      <c r="J70" s="398">
        <f t="shared" si="153"/>
        <v>2.6034999999999995</v>
      </c>
      <c r="K70" s="397">
        <v>2.9</v>
      </c>
      <c r="L70" s="398">
        <f t="shared" ref="L70" si="217">L21/1000/24/L$3</f>
        <v>2.3567338709677377</v>
      </c>
      <c r="M70" s="1145">
        <f t="shared" si="155"/>
        <v>2.9</v>
      </c>
      <c r="N70" s="1145">
        <f t="shared" si="155"/>
        <v>2.4780942622950795</v>
      </c>
      <c r="O70" s="397">
        <v>2.9</v>
      </c>
      <c r="P70" s="398">
        <f t="shared" si="156"/>
        <v>2.6977638888888906</v>
      </c>
      <c r="Q70" s="1146">
        <f t="shared" si="156"/>
        <v>2.9000000000000004</v>
      </c>
      <c r="R70" s="1146">
        <f t="shared" si="156"/>
        <v>2.5505128205128194</v>
      </c>
      <c r="S70" s="397">
        <v>2.9</v>
      </c>
      <c r="T70" s="398">
        <f t="shared" si="157"/>
        <v>2.8197177419354822</v>
      </c>
      <c r="U70" s="1145">
        <f t="shared" si="157"/>
        <v>2.9</v>
      </c>
      <c r="V70" s="1145">
        <f t="shared" si="157"/>
        <v>2.6189173497267748</v>
      </c>
      <c r="W70" s="460">
        <v>2.9</v>
      </c>
      <c r="X70" s="398">
        <f t="shared" si="158"/>
        <v>2.9029569892473139</v>
      </c>
      <c r="Y70" s="1145">
        <f t="shared" si="158"/>
        <v>2.9</v>
      </c>
      <c r="Z70" s="1145">
        <f t="shared" si="158"/>
        <v>2.6764678649237466</v>
      </c>
      <c r="AA70" s="460">
        <v>2.9</v>
      </c>
      <c r="AB70" s="398">
        <f t="shared" ref="AB70" si="218">AB21/1000/24/AB$3</f>
        <v>2.8394736111111123</v>
      </c>
      <c r="AC70" s="1146">
        <f t="shared" si="160"/>
        <v>2.9</v>
      </c>
      <c r="AD70" s="1146">
        <f t="shared" si="160"/>
        <v>2.8542078804347835</v>
      </c>
      <c r="AE70" s="1147">
        <f t="shared" si="160"/>
        <v>2.8999999999999995</v>
      </c>
      <c r="AF70" s="1147">
        <f t="shared" si="160"/>
        <v>2.7031901183970852</v>
      </c>
      <c r="AG70" s="397">
        <v>2.9</v>
      </c>
      <c r="AH70" s="398">
        <f t="shared" si="161"/>
        <v>2.9685376344086034</v>
      </c>
      <c r="AI70" s="1145">
        <f t="shared" ref="AI70:AJ70" si="219">AI21/1000/24/AI$3</f>
        <v>2.9</v>
      </c>
      <c r="AJ70" s="1145">
        <f t="shared" si="219"/>
        <v>2.7416283099688474</v>
      </c>
      <c r="AK70" s="397">
        <v>2.9</v>
      </c>
      <c r="AL70" s="398">
        <f t="shared" si="163"/>
        <v>2.7572263888888875</v>
      </c>
      <c r="AM70" s="1145">
        <f t="shared" si="163"/>
        <v>2.9</v>
      </c>
      <c r="AN70" s="1145">
        <f t="shared" si="163"/>
        <v>2.7435461065573765</v>
      </c>
      <c r="AO70" s="397">
        <v>2.9</v>
      </c>
      <c r="AP70" s="398">
        <f t="shared" ref="AP70:AT70" si="220">AP21/1000/24/AP$3</f>
        <v>2.7452338709677409</v>
      </c>
      <c r="AQ70" s="1146">
        <f t="shared" si="220"/>
        <v>2.9</v>
      </c>
      <c r="AR70" s="1146">
        <f t="shared" si="220"/>
        <v>2.8243881340579704</v>
      </c>
      <c r="AS70" s="1145">
        <f t="shared" si="220"/>
        <v>2.9</v>
      </c>
      <c r="AT70" s="1145">
        <f t="shared" si="220"/>
        <v>2.743736363636363</v>
      </c>
      <c r="AU70" s="397">
        <v>2.9</v>
      </c>
      <c r="AV70" s="398">
        <f t="shared" ref="AV70:AX70" si="221">AV21/1000/24/AV$3</f>
        <v>2.4592661290322617</v>
      </c>
      <c r="AW70" s="1145">
        <f t="shared" si="221"/>
        <v>2.9</v>
      </c>
      <c r="AX70" s="1145">
        <f t="shared" si="221"/>
        <v>2.7149174836601304</v>
      </c>
      <c r="AY70" s="397">
        <v>2.9</v>
      </c>
      <c r="AZ70" s="398">
        <f t="shared" ref="AZ70:BB70" si="222">AZ21/1000/24/AZ$3</f>
        <v>2.6093304597701068</v>
      </c>
      <c r="BA70" s="1145">
        <f t="shared" si="222"/>
        <v>2.9</v>
      </c>
      <c r="BB70" s="1145">
        <f t="shared" si="222"/>
        <v>2.7057771144278595</v>
      </c>
      <c r="BC70" s="397">
        <v>2.9</v>
      </c>
      <c r="BD70" s="398">
        <f t="shared" ref="BD70:BJ70" si="223">BD21/1000/24/BD$3</f>
        <v>2.6355779569892475</v>
      </c>
      <c r="BE70" s="1146">
        <f t="shared" si="223"/>
        <v>2.9000000000000004</v>
      </c>
      <c r="BF70" s="1146">
        <f t="shared" si="223"/>
        <v>2.5671510989010979</v>
      </c>
      <c r="BG70" s="1147">
        <f t="shared" si="223"/>
        <v>2.8999999999999995</v>
      </c>
      <c r="BH70" s="1147">
        <f t="shared" si="223"/>
        <v>2.6964724499089243</v>
      </c>
      <c r="BI70" s="1145">
        <f t="shared" si="223"/>
        <v>2.8999999999999995</v>
      </c>
      <c r="BJ70" s="1145">
        <f t="shared" si="223"/>
        <v>2.6998312841530043</v>
      </c>
      <c r="BK70" s="5726"/>
      <c r="BL70" s="2062"/>
    </row>
    <row r="71" spans="1:64" x14ac:dyDescent="0.25">
      <c r="A71" s="348"/>
      <c r="B71" s="22" t="s">
        <v>498</v>
      </c>
      <c r="C71" s="13" t="s">
        <v>389</v>
      </c>
      <c r="D71" s="383">
        <f t="shared" si="141"/>
        <v>0.58881527777777698</v>
      </c>
      <c r="E71" s="383">
        <f t="shared" si="141"/>
        <v>0.73001344086021558</v>
      </c>
      <c r="G71" s="1123" t="s">
        <v>777</v>
      </c>
      <c r="H71" s="336" t="s">
        <v>495</v>
      </c>
      <c r="I71" s="397">
        <v>15.658479733307319</v>
      </c>
      <c r="J71" s="398">
        <f t="shared" si="153"/>
        <v>17.341902777777776</v>
      </c>
      <c r="K71" s="397">
        <v>12.314627954257915</v>
      </c>
      <c r="L71" s="398">
        <f t="shared" ref="L71" si="224">L22/1000/24/L$3</f>
        <v>13.830094086021509</v>
      </c>
      <c r="M71" s="1145">
        <f t="shared" si="155"/>
        <v>13.959145222642865</v>
      </c>
      <c r="N71" s="1145">
        <f t="shared" si="155"/>
        <v>15.557213114754097</v>
      </c>
      <c r="O71" s="397">
        <v>12.978479431220437</v>
      </c>
      <c r="P71" s="398">
        <f t="shared" si="156"/>
        <v>14.873486111111101</v>
      </c>
      <c r="Q71" s="1146">
        <f t="shared" si="156"/>
        <v>13.635848807888218</v>
      </c>
      <c r="R71" s="1146">
        <f t="shared" si="156"/>
        <v>15.331808608058603</v>
      </c>
      <c r="S71" s="397">
        <v>15.498362226481239</v>
      </c>
      <c r="T71" s="398">
        <f t="shared" si="157"/>
        <v>16.25819892473119</v>
      </c>
      <c r="U71" s="1145">
        <f t="shared" si="157"/>
        <v>14.109110414252017</v>
      </c>
      <c r="V71" s="1145">
        <f t="shared" si="157"/>
        <v>15.567202868852457</v>
      </c>
      <c r="W71" s="460">
        <v>15.498362226481239</v>
      </c>
      <c r="X71" s="398">
        <f t="shared" si="158"/>
        <v>15.752298387096808</v>
      </c>
      <c r="Y71" s="1145">
        <f t="shared" si="158"/>
        <v>14.390592807579509</v>
      </c>
      <c r="Z71" s="1145">
        <f t="shared" si="158"/>
        <v>15.604705882352947</v>
      </c>
      <c r="AA71" s="460">
        <v>15.570208629955173</v>
      </c>
      <c r="AB71" s="398">
        <f t="shared" ref="AB71" si="225">AB22/1000/24/AB$3</f>
        <v>15.910513888888874</v>
      </c>
      <c r="AC71" s="1146">
        <f t="shared" si="160"/>
        <v>15.52179040152709</v>
      </c>
      <c r="AD71" s="1146">
        <f t="shared" si="160"/>
        <v>15.974356884057977</v>
      </c>
      <c r="AE71" s="1147">
        <f t="shared" si="160"/>
        <v>14.583972450591911</v>
      </c>
      <c r="AF71" s="1147">
        <f t="shared" si="160"/>
        <v>15.654838342440803</v>
      </c>
      <c r="AG71" s="397">
        <v>15.768250899618291</v>
      </c>
      <c r="AH71" s="398">
        <f t="shared" si="161"/>
        <v>16.975147849462338</v>
      </c>
      <c r="AI71" s="1145">
        <f t="shared" ref="AI71:AJ71" si="226">AI22/1000/24/AI$3</f>
        <v>14.755526805357418</v>
      </c>
      <c r="AJ71" s="1145">
        <f t="shared" si="226"/>
        <v>15.846098130841117</v>
      </c>
      <c r="AK71" s="397">
        <v>15.951436347734122</v>
      </c>
      <c r="AL71" s="398">
        <f t="shared" si="163"/>
        <v>16.105361111111144</v>
      </c>
      <c r="AM71" s="1145">
        <f t="shared" si="163"/>
        <v>14.902564863846354</v>
      </c>
      <c r="AN71" s="1145">
        <f t="shared" si="163"/>
        <v>15.877974726775959</v>
      </c>
      <c r="AO71" s="397">
        <v>15.990268959099241</v>
      </c>
      <c r="AP71" s="398">
        <f t="shared" ref="AP71:AT71" si="227">AP22/1000/24/AP$3</f>
        <v>16.567970430107493</v>
      </c>
      <c r="AQ71" s="1146">
        <f t="shared" si="227"/>
        <v>15.902795717959426</v>
      </c>
      <c r="AR71" s="1146">
        <f t="shared" si="227"/>
        <v>16.554320652173907</v>
      </c>
      <c r="AS71" s="1145">
        <f t="shared" si="227"/>
        <v>15.0251787800385</v>
      </c>
      <c r="AT71" s="1145">
        <f t="shared" si="227"/>
        <v>15.95575606060606</v>
      </c>
      <c r="AU71" s="397">
        <v>16.150798677002939</v>
      </c>
      <c r="AV71" s="398">
        <f t="shared" ref="AV71:AX71" si="228">AV22/1000/24/AV$3</f>
        <v>16.100094086021478</v>
      </c>
      <c r="AW71" s="1145">
        <f t="shared" si="228"/>
        <v>15.139212168293065</v>
      </c>
      <c r="AX71" s="1145">
        <f t="shared" si="228"/>
        <v>15.970378540305006</v>
      </c>
      <c r="AY71" s="397">
        <v>15.975654542098818</v>
      </c>
      <c r="AZ71" s="398">
        <f t="shared" ref="AZ71:BB71" si="229">AZ22/1000/24/AZ$3</f>
        <v>16.60170977011499</v>
      </c>
      <c r="BA71" s="1145">
        <f t="shared" si="229"/>
        <v>15.211620612592668</v>
      </c>
      <c r="BB71" s="1145">
        <f t="shared" si="229"/>
        <v>16.025031094527364</v>
      </c>
      <c r="BC71" s="397">
        <v>16.212287018580188</v>
      </c>
      <c r="BD71" s="398">
        <f t="shared" ref="BD71:BJ71" si="230">BD22/1000/24/BD$3</f>
        <v>13.750174731182797</v>
      </c>
      <c r="BE71" s="1146">
        <f t="shared" si="230"/>
        <v>16.11593009103234</v>
      </c>
      <c r="BF71" s="1146">
        <f t="shared" si="230"/>
        <v>15.459427655677663</v>
      </c>
      <c r="BG71" s="1147">
        <f t="shared" si="230"/>
        <v>16.008780570143227</v>
      </c>
      <c r="BH71" s="1147">
        <f t="shared" si="230"/>
        <v>16.009865664845172</v>
      </c>
      <c r="BI71" s="1145">
        <f t="shared" si="230"/>
        <v>15.296376510367569</v>
      </c>
      <c r="BJ71" s="1145">
        <f t="shared" si="230"/>
        <v>15.832352003642988</v>
      </c>
      <c r="BK71" s="5726"/>
      <c r="BL71" s="2062"/>
    </row>
    <row r="72" spans="1:64" x14ac:dyDescent="0.25">
      <c r="A72" s="348"/>
      <c r="B72" s="22" t="s">
        <v>782</v>
      </c>
      <c r="C72" s="13" t="s">
        <v>389</v>
      </c>
      <c r="D72" s="383">
        <f t="shared" si="141"/>
        <v>0.52588749999999995</v>
      </c>
      <c r="E72" s="383">
        <f t="shared" si="141"/>
        <v>0.51527553763440859</v>
      </c>
      <c r="G72" s="1123" t="s">
        <v>778</v>
      </c>
      <c r="H72" s="336" t="s">
        <v>748</v>
      </c>
      <c r="I72" s="397">
        <v>15.985449292151616</v>
      </c>
      <c r="J72" s="398">
        <f t="shared" si="153"/>
        <v>15.769291666666643</v>
      </c>
      <c r="K72" s="397">
        <v>14.913341350002192</v>
      </c>
      <c r="L72" s="398">
        <f t="shared" ref="L72" si="231">L23/1000/24/L$3</f>
        <v>13.87547043010755</v>
      </c>
      <c r="M72" s="1145">
        <f t="shared" si="155"/>
        <v>15.440607551059284</v>
      </c>
      <c r="N72" s="1145">
        <f t="shared" si="155"/>
        <v>14.806857923497269</v>
      </c>
      <c r="O72" s="397">
        <v>14.614725880179975</v>
      </c>
      <c r="P72" s="398">
        <f t="shared" si="156"/>
        <v>15.170383333333342</v>
      </c>
      <c r="Q72" s="1146">
        <f t="shared" si="156"/>
        <v>15.168338868351821</v>
      </c>
      <c r="R72" s="1146">
        <f t="shared" si="156"/>
        <v>14.92670146520147</v>
      </c>
      <c r="S72" s="397">
        <v>15.666439505840223</v>
      </c>
      <c r="T72" s="398">
        <f t="shared" si="157"/>
        <v>15.870169354838694</v>
      </c>
      <c r="U72" s="1145">
        <f t="shared" si="157"/>
        <v>15.294905423779202</v>
      </c>
      <c r="V72" s="1145">
        <f t="shared" si="157"/>
        <v>15.166435109289619</v>
      </c>
      <c r="W72" s="460">
        <v>15.666439505840223</v>
      </c>
      <c r="X72" s="398">
        <f t="shared" si="158"/>
        <v>16.282868279569893</v>
      </c>
      <c r="Y72" s="1145">
        <f t="shared" si="158"/>
        <v>15.370183571124896</v>
      </c>
      <c r="Z72" s="1145">
        <f t="shared" si="158"/>
        <v>15.392640522875817</v>
      </c>
      <c r="AA72" s="460">
        <v>15.71450947364057</v>
      </c>
      <c r="AB72" s="398">
        <f>AB23/1000/24/AB$3</f>
        <v>14.826194444444432</v>
      </c>
      <c r="AC72" s="1146">
        <f t="shared" si="160"/>
        <v>15.682114495340336</v>
      </c>
      <c r="AD72" s="1146">
        <f t="shared" si="160"/>
        <v>15.668804347826077</v>
      </c>
      <c r="AE72" s="1147">
        <f t="shared" si="160"/>
        <v>15.426630440389761</v>
      </c>
      <c r="AF72" s="1147">
        <f t="shared" si="160"/>
        <v>15.299780510018211</v>
      </c>
      <c r="AG72" s="397">
        <v>16.125289198479894</v>
      </c>
      <c r="AH72" s="398">
        <f t="shared" si="161"/>
        <v>15.390500000000007</v>
      </c>
      <c r="AI72" s="1145">
        <f t="shared" ref="AI72:AJ72" si="232">AI23/1000/24/AI$3</f>
        <v>15.527838017496279</v>
      </c>
      <c r="AJ72" s="1145">
        <f t="shared" si="232"/>
        <v>15.312922118380062</v>
      </c>
      <c r="AK72" s="397">
        <v>16.120919201407137</v>
      </c>
      <c r="AL72" s="398">
        <f t="shared" si="163"/>
        <v>14.506208333333323</v>
      </c>
      <c r="AM72" s="1145">
        <f t="shared" si="163"/>
        <v>15.600757835190233</v>
      </c>
      <c r="AN72" s="1145">
        <f t="shared" si="163"/>
        <v>15.213735997267756</v>
      </c>
      <c r="AO72" s="397">
        <v>16.190839154571272</v>
      </c>
      <c r="AP72" s="398">
        <f t="shared" ref="AP72:AT72" si="233">AP23/1000/24/AP$3</f>
        <v>15.099145161290327</v>
      </c>
      <c r="AQ72" s="1146">
        <f t="shared" si="233"/>
        <v>16.145951684639137</v>
      </c>
      <c r="AR72" s="1146">
        <f t="shared" si="233"/>
        <v>15.003970108695652</v>
      </c>
      <c r="AS72" s="1145">
        <f t="shared" si="233"/>
        <v>15.66727609301137</v>
      </c>
      <c r="AT72" s="1145">
        <f t="shared" si="233"/>
        <v>15.20081848484848</v>
      </c>
      <c r="AU72" s="397">
        <v>16.190839154571272</v>
      </c>
      <c r="AV72" s="398">
        <f t="shared" ref="AV72:AX72" si="234">AV23/1000/24/AV$3</f>
        <v>16.236336021505387</v>
      </c>
      <c r="AW72" s="1145">
        <f t="shared" si="234"/>
        <v>15.720316795326264</v>
      </c>
      <c r="AX72" s="1145">
        <f t="shared" si="234"/>
        <v>15.305723856209147</v>
      </c>
      <c r="AY72" s="397">
        <v>16.116247825225912</v>
      </c>
      <c r="AZ72" s="398">
        <f t="shared" ref="AZ72:BB72" si="235">AZ23/1000/24/AZ$3</f>
        <v>15.386844827586213</v>
      </c>
      <c r="BA72" s="1145">
        <f t="shared" si="235"/>
        <v>15.754591421795187</v>
      </c>
      <c r="BB72" s="1145">
        <f t="shared" si="235"/>
        <v>15.312746268656712</v>
      </c>
      <c r="BC72" s="397">
        <v>16.256389110662656</v>
      </c>
      <c r="BD72" s="398">
        <f t="shared" ref="BD72:BJ72" si="236">BD23/1000/24/BD$3</f>
        <v>15.820352150537643</v>
      </c>
      <c r="BE72" s="1146">
        <f t="shared" si="236"/>
        <v>16.18939849619564</v>
      </c>
      <c r="BF72" s="1146">
        <f t="shared" si="236"/>
        <v>15.823910256410262</v>
      </c>
      <c r="BG72" s="1147">
        <f t="shared" si="236"/>
        <v>16.167556383281987</v>
      </c>
      <c r="BH72" s="1147">
        <f t="shared" si="236"/>
        <v>15.411699908925323</v>
      </c>
      <c r="BI72" s="1145">
        <f t="shared" si="236"/>
        <v>15.797093411835876</v>
      </c>
      <c r="BJ72" s="1145">
        <f t="shared" si="236"/>
        <v>15.355740209471762</v>
      </c>
      <c r="BK72" s="5726"/>
      <c r="BL72" s="2062"/>
    </row>
    <row r="73" spans="1:64" x14ac:dyDescent="0.25">
      <c r="A73" s="348"/>
      <c r="B73" s="22" t="s">
        <v>784</v>
      </c>
      <c r="C73" s="13" t="s">
        <v>389</v>
      </c>
      <c r="D73" s="383">
        <f t="shared" si="141"/>
        <v>7.5123108333333333</v>
      </c>
      <c r="E73" s="383">
        <f t="shared" si="141"/>
        <v>7.5122983870967737</v>
      </c>
      <c r="G73" s="1123" t="s">
        <v>779</v>
      </c>
      <c r="H73" s="336" t="s">
        <v>749</v>
      </c>
      <c r="I73" s="397">
        <v>29.300102969352245</v>
      </c>
      <c r="J73" s="398">
        <f t="shared" si="153"/>
        <v>28.462597222222222</v>
      </c>
      <c r="K73" s="397">
        <v>25.64521690965201</v>
      </c>
      <c r="L73" s="398">
        <f t="shared" ref="L73" si="237">L24/1000/24/L$3</f>
        <v>23.428709677419366</v>
      </c>
      <c r="M73" s="1145">
        <f t="shared" si="155"/>
        <v>27.442701857045567</v>
      </c>
      <c r="N73" s="1145">
        <f t="shared" si="155"/>
        <v>25.904392076502738</v>
      </c>
      <c r="O73" s="397">
        <v>24.894308844001561</v>
      </c>
      <c r="P73" s="398">
        <f t="shared" si="156"/>
        <v>24.84880555555555</v>
      </c>
      <c r="Q73" s="1146">
        <f t="shared" si="156"/>
        <v>26.602572292305787</v>
      </c>
      <c r="R73" s="1146">
        <f t="shared" si="156"/>
        <v>25.556396520146521</v>
      </c>
      <c r="S73" s="397">
        <v>28.71722462265193</v>
      </c>
      <c r="T73" s="398">
        <f t="shared" si="157"/>
        <v>28.832137096774193</v>
      </c>
      <c r="U73" s="1145">
        <f t="shared" si="157"/>
        <v>27.139901982803579</v>
      </c>
      <c r="V73" s="1145">
        <f t="shared" si="157"/>
        <v>26.388756830601093</v>
      </c>
      <c r="W73" s="460">
        <v>28.71722462265193</v>
      </c>
      <c r="X73" s="398">
        <f t="shared" si="158"/>
        <v>28.699314516129032</v>
      </c>
      <c r="Y73" s="1145">
        <f t="shared" si="158"/>
        <v>27.459490230093117</v>
      </c>
      <c r="Z73" s="1145">
        <f t="shared" si="158"/>
        <v>26.856909041394335</v>
      </c>
      <c r="AA73" s="460">
        <v>28.800953003945899</v>
      </c>
      <c r="AB73" s="398">
        <f t="shared" ref="AB73" si="238">AB24/1000/24/AB$3</f>
        <v>27.60936111111112</v>
      </c>
      <c r="AC73" s="1146">
        <f t="shared" si="160"/>
        <v>28.744527355682575</v>
      </c>
      <c r="AD73" s="1146">
        <f t="shared" si="160"/>
        <v>28.388650362318838</v>
      </c>
      <c r="AE73" s="1147">
        <f t="shared" si="160"/>
        <v>27.679402160232915</v>
      </c>
      <c r="AF73" s="1147">
        <f t="shared" si="160"/>
        <v>26.980261839708561</v>
      </c>
      <c r="AG73" s="397">
        <v>29.562559241485253</v>
      </c>
      <c r="AH73" s="398">
        <f t="shared" si="161"/>
        <v>27.67063575268816</v>
      </c>
      <c r="AI73" s="1145">
        <f t="shared" ref="AI73:AJ73" si="239">AI24/1000/24/AI$3</f>
        <v>27.952195943031153</v>
      </c>
      <c r="AJ73" s="1145">
        <f t="shared" si="239"/>
        <v>27.080269275700935</v>
      </c>
      <c r="AK73" s="397">
        <v>29.549677952055411</v>
      </c>
      <c r="AL73" s="398">
        <f t="shared" si="163"/>
        <v>27.095301388888892</v>
      </c>
      <c r="AM73" s="1145">
        <f t="shared" si="163"/>
        <v>28.148607665452172</v>
      </c>
      <c r="AN73" s="1145">
        <f t="shared" si="163"/>
        <v>27.082117486338799</v>
      </c>
      <c r="AO73" s="397">
        <v>29.68332132989001</v>
      </c>
      <c r="AP73" s="398">
        <f t="shared" ref="AP73:AT73" si="240">AP24/1000/24/AP$3</f>
        <v>28.471545698924725</v>
      </c>
      <c r="AQ73" s="1146">
        <f t="shared" si="240"/>
        <v>29.599050394285822</v>
      </c>
      <c r="AR73" s="1146">
        <f t="shared" si="240"/>
        <v>27.75289855072463</v>
      </c>
      <c r="AS73" s="1145">
        <f t="shared" si="240"/>
        <v>28.321611751261525</v>
      </c>
      <c r="AT73" s="1145">
        <f t="shared" si="240"/>
        <v>27.238743939393938</v>
      </c>
      <c r="AU73" s="397">
        <v>29.68332132989001</v>
      </c>
      <c r="AV73" s="398">
        <f t="shared" ref="AV73:AX73" si="241">AV24/1000/24/AV$3</f>
        <v>27.191922043010763</v>
      </c>
      <c r="AW73" s="1145">
        <f t="shared" si="241"/>
        <v>28.459562721645455</v>
      </c>
      <c r="AX73" s="1145">
        <f t="shared" si="241"/>
        <v>27.234000544662308</v>
      </c>
      <c r="AY73" s="397">
        <v>29.535908297837306</v>
      </c>
      <c r="AZ73" s="398">
        <f t="shared" ref="AZ73:BB73" si="242">AZ24/1000/24/AZ$3</f>
        <v>27.022528735632189</v>
      </c>
      <c r="BA73" s="1145">
        <f t="shared" si="242"/>
        <v>28.552738905853108</v>
      </c>
      <c r="BB73" s="1145">
        <f t="shared" si="242"/>
        <v>27.215694029850745</v>
      </c>
      <c r="BC73" s="397">
        <v>29.804083418294773</v>
      </c>
      <c r="BD73" s="398">
        <f t="shared" ref="BD73:BJ73" si="243">BD24/1000/24/BD$3</f>
        <v>27.242110215053753</v>
      </c>
      <c r="BE73" s="1146">
        <f t="shared" si="243"/>
        <v>29.677482283857259</v>
      </c>
      <c r="BF73" s="1146">
        <f t="shared" si="243"/>
        <v>27.155036630036626</v>
      </c>
      <c r="BG73" s="1147">
        <f t="shared" si="243"/>
        <v>29.638052044291289</v>
      </c>
      <c r="BH73" s="1147">
        <f t="shared" si="243"/>
        <v>27.45560109289617</v>
      </c>
      <c r="BI73" s="1145">
        <f t="shared" si="243"/>
        <v>28.658727102262102</v>
      </c>
      <c r="BJ73" s="1145">
        <f t="shared" si="243"/>
        <v>27.217931466302367</v>
      </c>
      <c r="BK73" s="5726"/>
      <c r="BL73" s="2062"/>
    </row>
    <row r="74" spans="1:64" x14ac:dyDescent="0.25">
      <c r="A74" s="348"/>
      <c r="B74" s="22" t="s">
        <v>750</v>
      </c>
      <c r="C74" s="13" t="s">
        <v>389</v>
      </c>
      <c r="D74" s="383">
        <f t="shared" si="141"/>
        <v>34.170291666666692</v>
      </c>
      <c r="E74" s="383">
        <f t="shared" si="141"/>
        <v>33.882594086021491</v>
      </c>
      <c r="G74" s="1123" t="s">
        <v>780</v>
      </c>
      <c r="H74" s="336" t="s">
        <v>84</v>
      </c>
      <c r="I74" s="397">
        <v>1.9</v>
      </c>
      <c r="J74" s="398">
        <f t="shared" si="153"/>
        <v>1.4796944444444498</v>
      </c>
      <c r="K74" s="397">
        <v>1.9</v>
      </c>
      <c r="L74" s="398">
        <f t="shared" ref="L74" si="244">L25/1000/24/L$3</f>
        <v>1.0679032258064507</v>
      </c>
      <c r="M74" s="1145">
        <f t="shared" si="155"/>
        <v>1.9</v>
      </c>
      <c r="N74" s="1145">
        <f t="shared" si="155"/>
        <v>1.2704234972677617</v>
      </c>
      <c r="O74" s="397">
        <v>1.9</v>
      </c>
      <c r="P74" s="398">
        <f t="shared" si="156"/>
        <v>1.45248611111111</v>
      </c>
      <c r="Q74" s="1146">
        <f t="shared" si="156"/>
        <v>1.9000000000000001</v>
      </c>
      <c r="R74" s="1146">
        <f t="shared" si="156"/>
        <v>1.3304441391941402</v>
      </c>
      <c r="S74" s="397">
        <v>1.9</v>
      </c>
      <c r="T74" s="398">
        <f t="shared" si="157"/>
        <v>1.8819489247311822</v>
      </c>
      <c r="U74" s="1145">
        <f t="shared" si="157"/>
        <v>1.9</v>
      </c>
      <c r="V74" s="1145">
        <f t="shared" si="157"/>
        <v>1.4705806010928966</v>
      </c>
      <c r="W74" s="460">
        <v>1.9</v>
      </c>
      <c r="X74" s="398">
        <f t="shared" si="158"/>
        <v>1.8850134408602135</v>
      </c>
      <c r="Y74" s="1145">
        <f t="shared" si="158"/>
        <v>1.9</v>
      </c>
      <c r="Z74" s="1145">
        <f t="shared" si="158"/>
        <v>1.5545506535947715</v>
      </c>
      <c r="AA74" s="460">
        <v>1.9</v>
      </c>
      <c r="AB74" s="398">
        <f t="shared" ref="AB74" si="245">AB25/1000/24/AB$3</f>
        <v>1.779930555555558</v>
      </c>
      <c r="AC74" s="1146">
        <f t="shared" si="160"/>
        <v>1.9</v>
      </c>
      <c r="AD74" s="1146">
        <f t="shared" si="160"/>
        <v>1.8497146739130437</v>
      </c>
      <c r="AE74" s="1147">
        <f t="shared" si="160"/>
        <v>1.9</v>
      </c>
      <c r="AF74" s="1147">
        <f t="shared" si="160"/>
        <v>1.5914981785063755</v>
      </c>
      <c r="AG74" s="397">
        <v>1.9</v>
      </c>
      <c r="AH74" s="398">
        <f t="shared" si="161"/>
        <v>1.5786021505376315</v>
      </c>
      <c r="AI74" s="1145">
        <f t="shared" ref="AI74:AJ74" si="246">AI25/1000/24/AI$3</f>
        <v>1.9</v>
      </c>
      <c r="AJ74" s="1145">
        <f t="shared" si="246"/>
        <v>1.5896300623052959</v>
      </c>
      <c r="AK74" s="397">
        <v>1.9</v>
      </c>
      <c r="AL74" s="398">
        <f t="shared" si="163"/>
        <v>1.5974166666666736</v>
      </c>
      <c r="AM74" s="1145">
        <f t="shared" si="163"/>
        <v>1.9</v>
      </c>
      <c r="AN74" s="1145">
        <f t="shared" si="163"/>
        <v>1.5905874316939899</v>
      </c>
      <c r="AO74" s="397">
        <v>1.9</v>
      </c>
      <c r="AP74" s="398">
        <f t="shared" ref="AP74:AT74" si="247">AP25/1000/24/AP$3</f>
        <v>1.7182123655913921</v>
      </c>
      <c r="AQ74" s="1146">
        <f t="shared" si="247"/>
        <v>1.9</v>
      </c>
      <c r="AR74" s="1146">
        <f t="shared" si="247"/>
        <v>1.6317798913043473</v>
      </c>
      <c r="AS74" s="1145">
        <f t="shared" si="247"/>
        <v>1.9</v>
      </c>
      <c r="AT74" s="1145">
        <f t="shared" si="247"/>
        <v>1.6049742424242428</v>
      </c>
      <c r="AU74" s="397">
        <v>1.9</v>
      </c>
      <c r="AV74" s="398">
        <f t="shared" ref="AV74:AX74" si="248">AV25/1000/24/AV$3</f>
        <v>1.6622446236559159</v>
      </c>
      <c r="AW74" s="1145">
        <f t="shared" si="248"/>
        <v>1.9</v>
      </c>
      <c r="AX74" s="1145">
        <f t="shared" si="248"/>
        <v>1.6107761437908503</v>
      </c>
      <c r="AY74" s="397">
        <v>1.9</v>
      </c>
      <c r="AZ74" s="398">
        <f t="shared" ref="AZ74:BB74" si="249">AZ25/1000/24/AZ$3</f>
        <v>1.8309482758620725</v>
      </c>
      <c r="BA74" s="1145">
        <f t="shared" si="249"/>
        <v>1.9</v>
      </c>
      <c r="BB74" s="1145">
        <f t="shared" si="249"/>
        <v>1.629835820895523</v>
      </c>
      <c r="BC74" s="397">
        <v>1.9</v>
      </c>
      <c r="BD74" s="398">
        <f t="shared" ref="BD74:BJ74" si="250">BD25/1000/24/BD$3</f>
        <v>1.7919086021505337</v>
      </c>
      <c r="BE74" s="1146">
        <f t="shared" si="250"/>
        <v>1.9000000000000001</v>
      </c>
      <c r="BF74" s="1146">
        <f t="shared" si="250"/>
        <v>1.7601785714285718</v>
      </c>
      <c r="BG74" s="1147">
        <f t="shared" si="250"/>
        <v>1.9</v>
      </c>
      <c r="BH74" s="1147">
        <f t="shared" si="250"/>
        <v>1.6956284153005465</v>
      </c>
      <c r="BI74" s="1145">
        <f t="shared" si="250"/>
        <v>1.9</v>
      </c>
      <c r="BJ74" s="1145">
        <f t="shared" si="250"/>
        <v>1.6435632969034613</v>
      </c>
      <c r="BK74" s="5726"/>
      <c r="BL74" s="2062"/>
    </row>
    <row r="75" spans="1:64" x14ac:dyDescent="0.25">
      <c r="A75" s="348"/>
      <c r="B75" s="22" t="s">
        <v>499</v>
      </c>
      <c r="C75" s="13" t="s">
        <v>389</v>
      </c>
      <c r="D75" s="383">
        <f t="shared" si="141"/>
        <v>4.9680555555555559</v>
      </c>
      <c r="E75" s="383">
        <f t="shared" si="141"/>
        <v>4.4534946236559207</v>
      </c>
      <c r="G75" s="1123" t="s">
        <v>781</v>
      </c>
      <c r="H75" s="336" t="s">
        <v>496</v>
      </c>
      <c r="I75" s="397">
        <v>9.9222005208333357</v>
      </c>
      <c r="J75" s="398">
        <f t="shared" si="153"/>
        <v>9.4770324074074033</v>
      </c>
      <c r="K75" s="397">
        <v>9.2465347782258078</v>
      </c>
      <c r="L75" s="398">
        <f t="shared" ref="L75" si="251">L26/1000/24/L$3</f>
        <v>7.962226702508965</v>
      </c>
      <c r="M75" s="1145">
        <f t="shared" si="155"/>
        <v>9.5788294057377072</v>
      </c>
      <c r="N75" s="1145">
        <f t="shared" si="155"/>
        <v>8.707213114754099</v>
      </c>
      <c r="O75" s="397">
        <v>8.9377604166666664</v>
      </c>
      <c r="P75" s="398">
        <f t="shared" si="156"/>
        <v>7.9985671296296301</v>
      </c>
      <c r="Q75" s="1146">
        <f t="shared" si="156"/>
        <v>9.3674879807692317</v>
      </c>
      <c r="R75" s="1146">
        <f t="shared" si="156"/>
        <v>8.4735935592185587</v>
      </c>
      <c r="S75" s="397">
        <v>9.828061995967742</v>
      </c>
      <c r="T75" s="398">
        <f t="shared" si="157"/>
        <v>9.4249081541218587</v>
      </c>
      <c r="U75" s="1145">
        <f t="shared" si="157"/>
        <v>9.484519082991806</v>
      </c>
      <c r="V75" s="1145">
        <f t="shared" si="157"/>
        <v>8.7153210382513624</v>
      </c>
      <c r="W75" s="460">
        <v>9.828061995967742</v>
      </c>
      <c r="X75" s="398">
        <f t="shared" si="158"/>
        <v>9.9709184587813819</v>
      </c>
      <c r="Y75" s="1145">
        <f t="shared" si="158"/>
        <v>9.554125816993464</v>
      </c>
      <c r="Z75" s="1145">
        <f t="shared" si="158"/>
        <v>8.9697231299927402</v>
      </c>
      <c r="AA75" s="460">
        <v>9.9222005208333357</v>
      </c>
      <c r="AB75" s="398">
        <f t="shared" ref="AB75" si="252">AB26/1000/24/AB$3</f>
        <v>10.273819444444435</v>
      </c>
      <c r="AC75" s="1146">
        <f t="shared" si="160"/>
        <v>9.8587593410326093</v>
      </c>
      <c r="AD75" s="1146">
        <f t="shared" si="160"/>
        <v>9.885708786231886</v>
      </c>
      <c r="AE75" s="1147">
        <f t="shared" si="160"/>
        <v>9.6144659323770494</v>
      </c>
      <c r="AF75" s="1147">
        <f t="shared" si="160"/>
        <v>9.1835094110503945</v>
      </c>
      <c r="AG75" s="397">
        <v>9.828061995967742</v>
      </c>
      <c r="AH75" s="398">
        <f t="shared" si="161"/>
        <v>9.9329502688171996</v>
      </c>
      <c r="AI75" s="1145">
        <f t="shared" ref="AI75:AJ75" si="253">AI26/1000/24/AI$3</f>
        <v>9.6454074182242984</v>
      </c>
      <c r="AJ75" s="1145">
        <f t="shared" si="253"/>
        <v>9.2920732736240907</v>
      </c>
      <c r="AK75" s="397">
        <v>9.9222005208333357</v>
      </c>
      <c r="AL75" s="398">
        <f t="shared" si="163"/>
        <v>9.3516828703703645</v>
      </c>
      <c r="AM75" s="1145">
        <f t="shared" si="163"/>
        <v>9.679439357069672</v>
      </c>
      <c r="AN75" s="1145">
        <f t="shared" si="163"/>
        <v>9.2994023224043705</v>
      </c>
      <c r="AO75" s="397">
        <v>9.828061995967742</v>
      </c>
      <c r="AP75" s="398">
        <f t="shared" ref="AP75:AT75" si="254">AP26/1000/24/AP$3</f>
        <v>8.8561693548387126</v>
      </c>
      <c r="AQ75" s="1146">
        <f t="shared" si="254"/>
        <v>9.8587593410326093</v>
      </c>
      <c r="AR75" s="1146">
        <f t="shared" si="254"/>
        <v>9.3805782004830895</v>
      </c>
      <c r="AS75" s="1145">
        <f t="shared" si="254"/>
        <v>9.696193181818181</v>
      </c>
      <c r="AT75" s="1145">
        <f t="shared" si="254"/>
        <v>9.2494378787878784</v>
      </c>
      <c r="AU75" s="397">
        <v>9.828061995967742</v>
      </c>
      <c r="AV75" s="398">
        <f t="shared" ref="AV75:AX75" si="255">AV26/1000/24/AV$3</f>
        <v>9.5306966845878183</v>
      </c>
      <c r="AW75" s="1145">
        <f t="shared" si="255"/>
        <v>9.7095524407679736</v>
      </c>
      <c r="AX75" s="1145">
        <f t="shared" si="255"/>
        <v>9.2779314179375447</v>
      </c>
      <c r="AY75" s="397">
        <v>9.9020743534482776</v>
      </c>
      <c r="AZ75" s="398">
        <f t="shared" ref="AZ75:BB75" si="256">AZ26/1000/24/AZ$3</f>
        <v>9.0731609195402143</v>
      </c>
      <c r="BA75" s="1145">
        <f t="shared" si="256"/>
        <v>9.7262185167910449</v>
      </c>
      <c r="BB75" s="1145">
        <f t="shared" si="256"/>
        <v>9.2602050165837451</v>
      </c>
      <c r="BC75" s="397">
        <v>9.828061995967742</v>
      </c>
      <c r="BD75" s="398">
        <f t="shared" ref="BD75:BJ75" si="257">BD26/1000/24/BD$3</f>
        <v>9.7485752688172145</v>
      </c>
      <c r="BE75" s="1146">
        <f t="shared" si="257"/>
        <v>9.8516483516483522</v>
      </c>
      <c r="BF75" s="1146">
        <f t="shared" si="257"/>
        <v>9.4591109584859598</v>
      </c>
      <c r="BG75" s="1147">
        <f t="shared" si="257"/>
        <v>9.8552232752732234</v>
      </c>
      <c r="BH75" s="1147">
        <f t="shared" si="257"/>
        <v>9.4196300091074665</v>
      </c>
      <c r="BI75" s="1145">
        <f t="shared" si="257"/>
        <v>9.7348446038251364</v>
      </c>
      <c r="BJ75" s="1145">
        <f t="shared" si="257"/>
        <v>9.3015697100789296</v>
      </c>
      <c r="BK75" s="5726"/>
      <c r="BL75" s="2062"/>
    </row>
    <row r="76" spans="1:64" x14ac:dyDescent="0.25">
      <c r="A76" s="348"/>
      <c r="B76" s="22" t="s">
        <v>788</v>
      </c>
      <c r="C76" s="13" t="s">
        <v>389</v>
      </c>
      <c r="D76" s="383">
        <f t="shared" si="141"/>
        <v>3.0618194444444473</v>
      </c>
      <c r="E76" s="383">
        <f t="shared" si="141"/>
        <v>3.1648387096774182</v>
      </c>
      <c r="G76" s="1123" t="s">
        <v>783</v>
      </c>
      <c r="H76" s="336" t="s">
        <v>497</v>
      </c>
      <c r="I76" s="397">
        <v>8.5451707823717769</v>
      </c>
      <c r="J76" s="398">
        <f t="shared" si="153"/>
        <v>7.7606574074074191</v>
      </c>
      <c r="K76" s="397">
        <v>7.6288966482523186</v>
      </c>
      <c r="L76" s="398">
        <f t="shared" ref="L76" si="258">L27/1000/24/L$3</f>
        <v>6.6035976702509016</v>
      </c>
      <c r="M76" s="1145">
        <f t="shared" si="155"/>
        <v>8.0795232715897551</v>
      </c>
      <c r="N76" s="1145">
        <f t="shared" si="155"/>
        <v>7.1726434426229586</v>
      </c>
      <c r="O76" s="397">
        <v>6.0396279554686014</v>
      </c>
      <c r="P76" s="398">
        <f t="shared" si="156"/>
        <v>6.8500671296296129</v>
      </c>
      <c r="Q76" s="1146">
        <f t="shared" si="156"/>
        <v>7.4070303102311339</v>
      </c>
      <c r="R76" s="1146">
        <f t="shared" si="156"/>
        <v>7.0662996031746035</v>
      </c>
      <c r="S76" s="397">
        <v>8.5546759779027823</v>
      </c>
      <c r="T76" s="398">
        <f t="shared" si="157"/>
        <v>8.193322132616494</v>
      </c>
      <c r="U76" s="1145">
        <f t="shared" si="157"/>
        <v>7.6986451930001589</v>
      </c>
      <c r="V76" s="1145">
        <f t="shared" si="157"/>
        <v>7.3526741803278703</v>
      </c>
      <c r="W76" s="460">
        <v>8.5546759779027823</v>
      </c>
      <c r="X76" s="398">
        <f t="shared" si="158"/>
        <v>8.6592114695340499</v>
      </c>
      <c r="Y76" s="1145">
        <f t="shared" si="158"/>
        <v>7.8720893389608211</v>
      </c>
      <c r="Z76" s="1145">
        <f t="shared" si="158"/>
        <v>7.6173974219317362</v>
      </c>
      <c r="AA76" s="460">
        <v>8.6041029946639984</v>
      </c>
      <c r="AB76" s="398">
        <f t="shared" ref="AB76" si="259">AB27/1000/24/AB$3</f>
        <v>7.7677638888888838</v>
      </c>
      <c r="AC76" s="1146">
        <f t="shared" si="160"/>
        <v>8.5707934833683961</v>
      </c>
      <c r="AD76" s="1146">
        <f t="shared" si="160"/>
        <v>8.2115375905797094</v>
      </c>
      <c r="AE76" s="1147">
        <f t="shared" si="160"/>
        <v>7.9920915776006858</v>
      </c>
      <c r="AF76" s="1147">
        <f t="shared" si="160"/>
        <v>7.6420476624165135</v>
      </c>
      <c r="AG76" s="397">
        <v>8.611707151088801</v>
      </c>
      <c r="AH76" s="398">
        <f t="shared" si="161"/>
        <v>7.3132997311828003</v>
      </c>
      <c r="AI76" s="1145">
        <f t="shared" ref="AI76:AJ76" si="260">AI27/1000/24/AI$3</f>
        <v>8.0818489737601791</v>
      </c>
      <c r="AJ76" s="1145">
        <f t="shared" si="260"/>
        <v>7.5944252985462093</v>
      </c>
      <c r="AK76" s="397">
        <v>8.6041029946639984</v>
      </c>
      <c r="AL76" s="398">
        <f t="shared" si="163"/>
        <v>7.4699606481481462</v>
      </c>
      <c r="AM76" s="1145">
        <f t="shared" si="163"/>
        <v>8.1460605337073719</v>
      </c>
      <c r="AN76" s="1145">
        <f t="shared" si="163"/>
        <v>7.5791222677595611</v>
      </c>
      <c r="AO76" s="397">
        <v>8.611707151088801</v>
      </c>
      <c r="AP76" s="398">
        <f t="shared" ref="AP76:AT76" si="261">AP27/1000/24/AP$3</f>
        <v>7.6611693548387167</v>
      </c>
      <c r="AQ76" s="1146">
        <f t="shared" si="261"/>
        <v>8.6092275348633223</v>
      </c>
      <c r="AR76" s="1146">
        <f t="shared" si="261"/>
        <v>7.4816017512077329</v>
      </c>
      <c r="AS76" s="1145">
        <f t="shared" si="261"/>
        <v>8.1985516069394588</v>
      </c>
      <c r="AT76" s="1145">
        <f t="shared" si="261"/>
        <v>7.5883712121212126</v>
      </c>
      <c r="AU76" s="397">
        <v>8.611707151088801</v>
      </c>
      <c r="AV76" s="398">
        <f t="shared" ref="AV76:AX76" si="262">AV27/1000/24/AV$3</f>
        <v>8.1747155017921092</v>
      </c>
      <c r="AW76" s="1145">
        <f t="shared" si="262"/>
        <v>8.2404072339611254</v>
      </c>
      <c r="AX76" s="1145">
        <f t="shared" si="262"/>
        <v>7.6477721042120539</v>
      </c>
      <c r="AY76" s="397">
        <v>8.5350100561144995</v>
      </c>
      <c r="AZ76" s="398">
        <f t="shared" ref="AZ76:BB76" si="263">AZ27/1000/24/AZ$3</f>
        <v>8.12568965517241</v>
      </c>
      <c r="BA76" s="1145">
        <f t="shared" si="263"/>
        <v>8.2659101648341036</v>
      </c>
      <c r="BB76" s="1145">
        <f t="shared" si="263"/>
        <v>7.6891440713101158</v>
      </c>
      <c r="BC76" s="397">
        <v>8.611707151088801</v>
      </c>
      <c r="BD76" s="398">
        <f t="shared" ref="BD76:BJ76" si="264">BD27/1000/24/BD$3</f>
        <v>8.3442338709677415</v>
      </c>
      <c r="BE76" s="1146">
        <f t="shared" si="264"/>
        <v>8.5872652197233652</v>
      </c>
      <c r="BF76" s="1146">
        <f t="shared" si="264"/>
        <v>8.2168398962148927</v>
      </c>
      <c r="BG76" s="1147">
        <f t="shared" si="264"/>
        <v>8.598306383618862</v>
      </c>
      <c r="BH76" s="1147">
        <f t="shared" si="264"/>
        <v>7.8472119763205841</v>
      </c>
      <c r="BI76" s="1145">
        <f t="shared" si="264"/>
        <v>8.2951989806097757</v>
      </c>
      <c r="BJ76" s="1145">
        <f t="shared" si="264"/>
        <v>7.744629819368547</v>
      </c>
      <c r="BK76" s="5726"/>
      <c r="BL76" s="2062"/>
    </row>
    <row r="77" spans="1:64" x14ac:dyDescent="0.25">
      <c r="A77" s="348"/>
      <c r="B77" s="22" t="s">
        <v>791</v>
      </c>
      <c r="C77" s="13" t="s">
        <v>389</v>
      </c>
      <c r="D77" s="383">
        <f>+((D33/1000)/D$3)/24</f>
        <v>1.5425277777777777</v>
      </c>
      <c r="E77" s="383">
        <f>+((E33/1000)/E$3)/24</f>
        <v>1.5533870967741941</v>
      </c>
      <c r="G77" s="1123" t="s">
        <v>785</v>
      </c>
      <c r="H77" s="336" t="s">
        <v>498</v>
      </c>
      <c r="I77" s="397">
        <v>6.6767864646497177</v>
      </c>
      <c r="J77" s="398">
        <f t="shared" si="153"/>
        <v>4.6765879629629588</v>
      </c>
      <c r="K77" s="397">
        <v>5.9450052720050248</v>
      </c>
      <c r="L77" s="398">
        <f t="shared" ref="L77" si="265">L28/1000/24/L$3</f>
        <v>4.2744444444444456</v>
      </c>
      <c r="M77" s="1145">
        <f t="shared" si="155"/>
        <v>6.3048976618302826</v>
      </c>
      <c r="N77" s="1145">
        <f t="shared" si="155"/>
        <v>4.4722199453551896</v>
      </c>
      <c r="O77" s="397">
        <v>5.9014452298289841</v>
      </c>
      <c r="P77" s="398">
        <f t="shared" si="156"/>
        <v>4.1875879629629633</v>
      </c>
      <c r="Q77" s="1146">
        <f t="shared" si="156"/>
        <v>6.1718913655661192</v>
      </c>
      <c r="R77" s="1146">
        <f t="shared" si="156"/>
        <v>4.3783852258852249</v>
      </c>
      <c r="S77" s="397">
        <v>6.6792064669928299</v>
      </c>
      <c r="T77" s="398">
        <f t="shared" si="157"/>
        <v>4.7393772401433649</v>
      </c>
      <c r="U77" s="1145">
        <f t="shared" si="157"/>
        <v>6.3007993011745453</v>
      </c>
      <c r="V77" s="1145">
        <f t="shared" si="157"/>
        <v>4.4701127049180318</v>
      </c>
      <c r="W77" s="460">
        <v>6.6792064669928299</v>
      </c>
      <c r="X77" s="398">
        <f t="shared" si="158"/>
        <v>5.3274372759856652</v>
      </c>
      <c r="Y77" s="1145">
        <f t="shared" si="158"/>
        <v>6.3774700341181187</v>
      </c>
      <c r="Z77" s="1145">
        <f t="shared" si="158"/>
        <v>4.6438189905591862</v>
      </c>
      <c r="AA77" s="460">
        <v>6.6767864646497177</v>
      </c>
      <c r="AB77" s="398">
        <f t="shared" ref="AB77" si="266">AB28/1000/24/AB$3</f>
        <v>4.9535847222222182</v>
      </c>
      <c r="AC77" s="1146">
        <f t="shared" si="160"/>
        <v>6.6784173357939887</v>
      </c>
      <c r="AD77" s="1146">
        <f t="shared" si="160"/>
        <v>5.0073781702898534</v>
      </c>
      <c r="AE77" s="1147">
        <f t="shared" si="160"/>
        <v>6.4265383014183817</v>
      </c>
      <c r="AF77" s="1147">
        <f t="shared" si="160"/>
        <v>4.6946002580449289</v>
      </c>
      <c r="AG77" s="397">
        <v>6.6792064669928299</v>
      </c>
      <c r="AH77" s="398">
        <f t="shared" si="161"/>
        <v>4.8664274193548458</v>
      </c>
      <c r="AI77" s="1145">
        <f t="shared" ref="AI77:AJ77" si="267">AI28/1000/24/AI$3</f>
        <v>6.4631397646558</v>
      </c>
      <c r="AJ77" s="1145">
        <f t="shared" si="267"/>
        <v>4.7194911085150579</v>
      </c>
      <c r="AK77" s="397">
        <v>6.6767864646497177</v>
      </c>
      <c r="AL77" s="398">
        <f t="shared" si="163"/>
        <v>5.0483050925925896</v>
      </c>
      <c r="AM77" s="1145">
        <f t="shared" si="163"/>
        <v>6.4894078015402989</v>
      </c>
      <c r="AN77" s="1145">
        <f t="shared" si="163"/>
        <v>4.7599190573770489</v>
      </c>
      <c r="AO77" s="397">
        <v>6.6792064669928299</v>
      </c>
      <c r="AP77" s="398">
        <f t="shared" ref="AP77:AT77" si="268">AP28/1000/24/AP$3</f>
        <v>4.9134959677419356</v>
      </c>
      <c r="AQ77" s="1146">
        <f t="shared" si="268"/>
        <v>6.6784173357939878</v>
      </c>
      <c r="AR77" s="1146">
        <f t="shared" si="268"/>
        <v>4.9415954106280218</v>
      </c>
      <c r="AS77" s="1145">
        <f t="shared" si="268"/>
        <v>6.5108032874640376</v>
      </c>
      <c r="AT77" s="1145">
        <f t="shared" si="268"/>
        <v>4.7772313636363632</v>
      </c>
      <c r="AU77" s="397">
        <v>6.6792064669928299</v>
      </c>
      <c r="AV77" s="398">
        <f t="shared" ref="AV77:AX77" si="269">AV28/1000/24/AV$3</f>
        <v>4.8570999103942718</v>
      </c>
      <c r="AW77" s="1145">
        <f t="shared" si="269"/>
        <v>6.5278637402921174</v>
      </c>
      <c r="AX77" s="1145">
        <f t="shared" si="269"/>
        <v>4.7853226216412494</v>
      </c>
      <c r="AY77" s="397">
        <v>6.5189856222073947</v>
      </c>
      <c r="AZ77" s="398">
        <f t="shared" ref="AZ77:BB77" si="270">AZ28/1000/24/AZ$3</f>
        <v>4.7479094827586188</v>
      </c>
      <c r="BA77" s="1145">
        <f t="shared" si="270"/>
        <v>6.5270951867862763</v>
      </c>
      <c r="BB77" s="1145">
        <f t="shared" si="270"/>
        <v>4.7820838723051411</v>
      </c>
      <c r="BC77" s="397">
        <v>6.6792064669928299</v>
      </c>
      <c r="BD77" s="398">
        <f t="shared" ref="BD77:BJ77" si="271">BD28/1000/24/BD$3</f>
        <v>5.2771948924731147</v>
      </c>
      <c r="BE77" s="1146">
        <f t="shared" si="271"/>
        <v>6.6281470768963731</v>
      </c>
      <c r="BF77" s="1146">
        <f t="shared" si="271"/>
        <v>4.9654122405372414</v>
      </c>
      <c r="BG77" s="1147">
        <f t="shared" si="271"/>
        <v>6.6534195567793262</v>
      </c>
      <c r="BH77" s="1147">
        <f t="shared" si="271"/>
        <v>4.9534387522768686</v>
      </c>
      <c r="BI77" s="1145">
        <f t="shared" si="271"/>
        <v>6.5399789290988535</v>
      </c>
      <c r="BJ77" s="1145">
        <f t="shared" si="271"/>
        <v>4.8240195051608987</v>
      </c>
      <c r="BK77" s="5726"/>
      <c r="BL77" s="2062"/>
    </row>
    <row r="78" spans="1:64" x14ac:dyDescent="0.25">
      <c r="A78" s="348"/>
      <c r="B78" s="22" t="s">
        <v>751</v>
      </c>
      <c r="C78" s="13" t="s">
        <v>389</v>
      </c>
      <c r="D78" s="383">
        <f t="shared" ref="D78:E81" si="272">+((D35/1000)/D$3)/24</f>
        <v>0.6318055555555544</v>
      </c>
      <c r="E78" s="383">
        <f t="shared" si="272"/>
        <v>0.59745967741935579</v>
      </c>
      <c r="G78" s="1123" t="s">
        <v>786</v>
      </c>
      <c r="H78" s="336" t="s">
        <v>750</v>
      </c>
      <c r="I78" s="460">
        <v>34.4</v>
      </c>
      <c r="J78" s="398">
        <f t="shared" si="153"/>
        <v>35.217252777777688</v>
      </c>
      <c r="K78" s="460">
        <v>34.4</v>
      </c>
      <c r="L78" s="398">
        <f t="shared" ref="L78" si="273">L29/1000/24/L$3</f>
        <v>33.462836021505368</v>
      </c>
      <c r="M78" s="1145">
        <f t="shared" si="155"/>
        <v>34.4</v>
      </c>
      <c r="N78" s="1145">
        <f t="shared" si="155"/>
        <v>34.325663934426174</v>
      </c>
      <c r="O78" s="460">
        <v>34.4</v>
      </c>
      <c r="P78" s="398">
        <f t="shared" si="156"/>
        <v>32.959444444444486</v>
      </c>
      <c r="Q78" s="1146">
        <f t="shared" si="156"/>
        <v>34.4</v>
      </c>
      <c r="R78" s="1146">
        <f t="shared" si="156"/>
        <v>33.875261904761885</v>
      </c>
      <c r="S78" s="460">
        <v>34.4</v>
      </c>
      <c r="T78" s="398">
        <f t="shared" si="157"/>
        <v>35.300698924731236</v>
      </c>
      <c r="U78" s="1145">
        <f t="shared" si="157"/>
        <v>34.4</v>
      </c>
      <c r="V78" s="1145">
        <f t="shared" si="157"/>
        <v>34.2374631147541</v>
      </c>
      <c r="W78" s="460">
        <v>34.4</v>
      </c>
      <c r="X78" s="398">
        <f t="shared" si="158"/>
        <v>35.18334677419351</v>
      </c>
      <c r="Y78" s="1145">
        <f t="shared" si="158"/>
        <v>34.4</v>
      </c>
      <c r="Z78" s="1145">
        <f t="shared" si="158"/>
        <v>34.429112745098031</v>
      </c>
      <c r="AA78" s="460">
        <v>34.4</v>
      </c>
      <c r="AB78" s="398">
        <f t="shared" ref="AB78" si="274">AB29/1000/24/AB$3</f>
        <v>35.376986111111115</v>
      </c>
      <c r="AC78" s="1146">
        <f t="shared" si="160"/>
        <v>34.4</v>
      </c>
      <c r="AD78" s="1146">
        <f t="shared" si="160"/>
        <v>35.286032608695656</v>
      </c>
      <c r="AE78" s="1147">
        <f t="shared" si="160"/>
        <v>34.4</v>
      </c>
      <c r="AF78" s="1147">
        <f t="shared" si="160"/>
        <v>34.584501821493618</v>
      </c>
      <c r="AG78" s="460">
        <v>34.4</v>
      </c>
      <c r="AH78" s="398">
        <f t="shared" si="161"/>
        <v>35.272996505376419</v>
      </c>
      <c r="AI78" s="1145">
        <f t="shared" ref="AI78:AJ78" si="275">AI29/1000/24/AI$3</f>
        <v>34.4</v>
      </c>
      <c r="AJ78" s="1145">
        <f t="shared" si="275"/>
        <v>34.684237032710278</v>
      </c>
      <c r="AK78" s="460">
        <v>34.4</v>
      </c>
      <c r="AL78" s="398">
        <f t="shared" si="163"/>
        <v>34.930041111111152</v>
      </c>
      <c r="AM78" s="1145">
        <f t="shared" si="163"/>
        <v>34.4</v>
      </c>
      <c r="AN78" s="1145">
        <f t="shared" si="163"/>
        <v>34.714458845628421</v>
      </c>
      <c r="AO78" s="460">
        <v>34.4</v>
      </c>
      <c r="AP78" s="398">
        <f t="shared" ref="AP78:AT78" si="276">AP29/1000/24/AP$3</f>
        <v>34.964478494623563</v>
      </c>
      <c r="AQ78" s="1146">
        <f t="shared" si="276"/>
        <v>34.4</v>
      </c>
      <c r="AR78" s="1146">
        <f t="shared" si="276"/>
        <v>35.057206068840586</v>
      </c>
      <c r="AS78" s="1145">
        <f t="shared" si="276"/>
        <v>34.4</v>
      </c>
      <c r="AT78" s="1145">
        <f t="shared" si="276"/>
        <v>34.742642878787876</v>
      </c>
      <c r="AU78" s="460">
        <v>34.4</v>
      </c>
      <c r="AV78" s="398">
        <f t="shared" ref="AV78:AX78" si="277">AV29/1000/24/AV$3</f>
        <v>34.865610215053849</v>
      </c>
      <c r="AW78" s="1145">
        <f t="shared" si="277"/>
        <v>34.4</v>
      </c>
      <c r="AX78" s="1145">
        <f t="shared" si="277"/>
        <v>34.755100354030503</v>
      </c>
      <c r="AY78" s="460">
        <v>34.4</v>
      </c>
      <c r="AZ78" s="398">
        <f t="shared" ref="AZ78:BB78" si="278">AZ29/1000/24/AZ$3</f>
        <v>35.132772988505593</v>
      </c>
      <c r="BA78" s="1145">
        <f t="shared" si="278"/>
        <v>34.4</v>
      </c>
      <c r="BB78" s="1145">
        <f t="shared" si="278"/>
        <v>34.787794402985071</v>
      </c>
      <c r="BC78" s="460">
        <v>34.4</v>
      </c>
      <c r="BD78" s="398">
        <f t="shared" ref="BD78:BJ78" si="279">BD29/1000/24/BD$3</f>
        <v>35.301459677419423</v>
      </c>
      <c r="BE78" s="1146">
        <f t="shared" si="279"/>
        <v>34.4</v>
      </c>
      <c r="BF78" s="1146">
        <f t="shared" si="279"/>
        <v>35.099226190476195</v>
      </c>
      <c r="BG78" s="1147">
        <f t="shared" si="279"/>
        <v>34.4</v>
      </c>
      <c r="BH78" s="1147">
        <f t="shared" si="279"/>
        <v>35.078101320582881</v>
      </c>
      <c r="BI78" s="1145">
        <f t="shared" si="279"/>
        <v>34.4</v>
      </c>
      <c r="BJ78" s="1145">
        <f t="shared" si="279"/>
        <v>34.831301571038246</v>
      </c>
      <c r="BK78" s="5726"/>
      <c r="BL78" s="2062"/>
    </row>
    <row r="79" spans="1:64" x14ac:dyDescent="0.25">
      <c r="A79" s="348"/>
      <c r="B79" s="2" t="s">
        <v>756</v>
      </c>
      <c r="C79" s="13" t="s">
        <v>389</v>
      </c>
      <c r="D79" s="383">
        <f t="shared" si="272"/>
        <v>0.89579548472222215</v>
      </c>
      <c r="E79" s="383">
        <f t="shared" si="272"/>
        <v>0.86948325672043014</v>
      </c>
      <c r="G79" s="1123" t="s">
        <v>787</v>
      </c>
      <c r="H79" s="336" t="s">
        <v>499</v>
      </c>
      <c r="I79" s="460">
        <v>4.8</v>
      </c>
      <c r="J79" s="398">
        <f t="shared" si="153"/>
        <v>5.1356944444444359</v>
      </c>
      <c r="K79" s="460">
        <v>4.8</v>
      </c>
      <c r="L79" s="398">
        <f t="shared" ref="L79" si="280">L30/1000/24/L$3</f>
        <v>5.1154569892473232</v>
      </c>
      <c r="M79" s="1145">
        <f t="shared" si="155"/>
        <v>4.8</v>
      </c>
      <c r="N79" s="1145">
        <f t="shared" si="155"/>
        <v>5.1254098360655753</v>
      </c>
      <c r="O79" s="460">
        <v>4.8</v>
      </c>
      <c r="P79" s="398">
        <f t="shared" si="156"/>
        <v>5.18486111111112</v>
      </c>
      <c r="Q79" s="1146">
        <f t="shared" si="156"/>
        <v>4.8</v>
      </c>
      <c r="R79" s="1146">
        <f t="shared" si="156"/>
        <v>5.1450091575091612</v>
      </c>
      <c r="S79" s="460">
        <v>4.8</v>
      </c>
      <c r="T79" s="398">
        <f t="shared" si="157"/>
        <v>5.1129032258064413</v>
      </c>
      <c r="U79" s="1145">
        <f t="shared" si="157"/>
        <v>4.8</v>
      </c>
      <c r="V79" s="1145">
        <f t="shared" si="157"/>
        <v>5.1368510928961744</v>
      </c>
      <c r="W79" s="460">
        <v>4.8</v>
      </c>
      <c r="X79" s="398">
        <f t="shared" si="158"/>
        <v>5.3547043010752811</v>
      </c>
      <c r="Y79" s="1145">
        <f t="shared" si="158"/>
        <v>4.8</v>
      </c>
      <c r="Z79" s="1145">
        <f t="shared" si="158"/>
        <v>5.180991285403052</v>
      </c>
      <c r="AA79" s="460">
        <v>4.8</v>
      </c>
      <c r="AB79" s="398">
        <f t="shared" ref="AB79" si="281">AB30/1000/24/AB$3</f>
        <v>5.2808333333333293</v>
      </c>
      <c r="AC79" s="1146">
        <f t="shared" si="160"/>
        <v>4.8</v>
      </c>
      <c r="AD79" s="1146">
        <f t="shared" si="160"/>
        <v>5.2491394927536232</v>
      </c>
      <c r="AE79" s="1147">
        <f t="shared" si="160"/>
        <v>4.8</v>
      </c>
      <c r="AF79" s="1147">
        <f t="shared" si="160"/>
        <v>5.1973588342440813</v>
      </c>
      <c r="AG79" s="460">
        <v>4.8</v>
      </c>
      <c r="AH79" s="398">
        <f t="shared" si="161"/>
        <v>5.4770161290322505</v>
      </c>
      <c r="AI79" s="1145">
        <f t="shared" ref="AI79:AJ79" si="282">AI30/1000/24/AI$3</f>
        <v>4.8</v>
      </c>
      <c r="AJ79" s="1145">
        <f t="shared" si="282"/>
        <v>5.237869937694704</v>
      </c>
      <c r="AK79" s="460">
        <v>4.8</v>
      </c>
      <c r="AL79" s="398">
        <f t="shared" si="163"/>
        <v>5.581805555555567</v>
      </c>
      <c r="AM79" s="1145">
        <f t="shared" si="163"/>
        <v>4.8</v>
      </c>
      <c r="AN79" s="1145">
        <f t="shared" si="163"/>
        <v>5.2801571038251378</v>
      </c>
      <c r="AO79" s="460">
        <v>4.8</v>
      </c>
      <c r="AP79" s="398">
        <f t="shared" ref="AP79:AT79" si="283">AP30/1000/24/AP$3</f>
        <v>5.3510752688171799</v>
      </c>
      <c r="AQ79" s="1146">
        <f t="shared" si="283"/>
        <v>4.8</v>
      </c>
      <c r="AR79" s="1146">
        <f t="shared" si="283"/>
        <v>5.4687499999999929</v>
      </c>
      <c r="AS79" s="1145">
        <f t="shared" si="283"/>
        <v>4.8</v>
      </c>
      <c r="AT79" s="1145">
        <f t="shared" si="283"/>
        <v>5.2881515151515144</v>
      </c>
      <c r="AU79" s="460">
        <v>4.8</v>
      </c>
      <c r="AV79" s="398">
        <f t="shared" ref="AV79:AX79" si="284">AV30/1000/24/AV$3</f>
        <v>5.5852150537634522</v>
      </c>
      <c r="AW79" s="1145">
        <f t="shared" si="284"/>
        <v>4.8</v>
      </c>
      <c r="AX79" s="1145">
        <f t="shared" si="284"/>
        <v>5.318246187363834</v>
      </c>
      <c r="AY79" s="460">
        <v>4.8</v>
      </c>
      <c r="AZ79" s="398">
        <f t="shared" ref="AZ79:BB79" si="285">AZ30/1000/24/AZ$3</f>
        <v>5.7346264367816024</v>
      </c>
      <c r="BA79" s="1145">
        <f t="shared" si="285"/>
        <v>4.8</v>
      </c>
      <c r="BB79" s="1145">
        <f t="shared" si="285"/>
        <v>5.3542910447761187</v>
      </c>
      <c r="BC79" s="460">
        <v>4.8</v>
      </c>
      <c r="BD79" s="398">
        <f t="shared" ref="BD79:BJ79" si="286">BD30/1000/24/BD$3</f>
        <v>5.3345430107526992</v>
      </c>
      <c r="BE79" s="1146">
        <f t="shared" si="286"/>
        <v>4.8</v>
      </c>
      <c r="BF79" s="1146">
        <f t="shared" si="286"/>
        <v>5.5474358974359026</v>
      </c>
      <c r="BG79" s="1147">
        <f t="shared" si="286"/>
        <v>4.8</v>
      </c>
      <c r="BH79" s="1147">
        <f t="shared" si="286"/>
        <v>5.5078779599271392</v>
      </c>
      <c r="BI79" s="1145">
        <f t="shared" si="286"/>
        <v>4.8</v>
      </c>
      <c r="BJ79" s="1145">
        <f t="shared" si="286"/>
        <v>5.3526183970856103</v>
      </c>
      <c r="BK79" s="5726"/>
      <c r="BL79" s="2062"/>
    </row>
    <row r="80" spans="1:64" x14ac:dyDescent="0.25">
      <c r="A80" s="348"/>
      <c r="B80" s="2" t="s">
        <v>757</v>
      </c>
      <c r="C80" s="13" t="s">
        <v>389</v>
      </c>
      <c r="D80" s="383">
        <f t="shared" si="272"/>
        <v>0.259755010555556</v>
      </c>
      <c r="E80" s="383">
        <f t="shared" si="272"/>
        <v>0.24748231639784987</v>
      </c>
      <c r="G80" s="1123" t="s">
        <v>789</v>
      </c>
      <c r="H80" s="336" t="s">
        <v>751</v>
      </c>
      <c r="I80" s="460">
        <v>0.9</v>
      </c>
      <c r="J80" s="398">
        <f t="shared" si="153"/>
        <v>0.84808333333333186</v>
      </c>
      <c r="K80" s="460">
        <v>0.9</v>
      </c>
      <c r="L80" s="398">
        <f t="shared" ref="L80" si="287">L31/1000/24/L$3</f>
        <v>0.82430107526881935</v>
      </c>
      <c r="M80" s="1145">
        <f t="shared" si="155"/>
        <v>0.9</v>
      </c>
      <c r="N80" s="1145">
        <f t="shared" si="155"/>
        <v>0.83599726775956329</v>
      </c>
      <c r="O80" s="460">
        <v>0.9</v>
      </c>
      <c r="P80" s="398">
        <f t="shared" si="156"/>
        <v>0.84574999999999922</v>
      </c>
      <c r="Q80" s="1146">
        <f t="shared" si="156"/>
        <v>0.89999999999999991</v>
      </c>
      <c r="R80" s="1146">
        <f t="shared" si="156"/>
        <v>0.83921245421245416</v>
      </c>
      <c r="S80" s="460">
        <v>0.9</v>
      </c>
      <c r="T80" s="398">
        <f t="shared" si="157"/>
        <v>0.86651881720429924</v>
      </c>
      <c r="U80" s="1145">
        <f t="shared" si="157"/>
        <v>0.9</v>
      </c>
      <c r="V80" s="1145">
        <f t="shared" si="157"/>
        <v>0.84615095628415249</v>
      </c>
      <c r="W80" s="460">
        <v>0.9</v>
      </c>
      <c r="X80" s="398">
        <f t="shared" si="158"/>
        <v>0.86391129032258063</v>
      </c>
      <c r="Y80" s="1145">
        <f t="shared" si="158"/>
        <v>0.90000000000000013</v>
      </c>
      <c r="Z80" s="1145">
        <f t="shared" si="158"/>
        <v>0.8497494553376902</v>
      </c>
      <c r="AA80" s="460">
        <v>0.9</v>
      </c>
      <c r="AB80" s="398">
        <f t="shared" ref="AB80" si="288">AB31/1000/24/AB$3</f>
        <v>0.93727777777777799</v>
      </c>
      <c r="AC80" s="1146">
        <f t="shared" si="160"/>
        <v>0.9</v>
      </c>
      <c r="AD80" s="1146">
        <f t="shared" si="160"/>
        <v>0.88871376811594149</v>
      </c>
      <c r="AE80" s="1147">
        <f t="shared" si="160"/>
        <v>0.90000000000000013</v>
      </c>
      <c r="AF80" s="1147">
        <f t="shared" si="160"/>
        <v>0.86409836065573742</v>
      </c>
      <c r="AG80" s="460">
        <v>0.9</v>
      </c>
      <c r="AH80" s="398">
        <f t="shared" si="161"/>
        <v>0.77245967741935351</v>
      </c>
      <c r="AI80" s="1145">
        <f t="shared" ref="AI80:AJ80" si="289">AI31/1000/24/AI$3</f>
        <v>0.9</v>
      </c>
      <c r="AJ80" s="1145">
        <f t="shared" si="289"/>
        <v>0.85082359813084085</v>
      </c>
      <c r="AK80" s="460">
        <v>0.9</v>
      </c>
      <c r="AL80" s="398">
        <f t="shared" si="163"/>
        <v>0.82487500000000236</v>
      </c>
      <c r="AM80" s="1145">
        <f t="shared" si="163"/>
        <v>0.9</v>
      </c>
      <c r="AN80" s="1145">
        <f t="shared" si="163"/>
        <v>0.84763319672131143</v>
      </c>
      <c r="AO80" s="460">
        <v>0.9</v>
      </c>
      <c r="AP80" s="398">
        <f t="shared" ref="AP80:AT80" si="290">AP31/1000/24/AP$3</f>
        <v>0.7805510752688154</v>
      </c>
      <c r="AQ80" s="1146">
        <f t="shared" si="290"/>
        <v>0.9</v>
      </c>
      <c r="AR80" s="1146">
        <f t="shared" si="290"/>
        <v>0.79227807971014463</v>
      </c>
      <c r="AS80" s="1145">
        <f t="shared" si="290"/>
        <v>0.9</v>
      </c>
      <c r="AT80" s="1145">
        <f t="shared" si="290"/>
        <v>0.84007121212121183</v>
      </c>
      <c r="AU80" s="460">
        <v>0.9</v>
      </c>
      <c r="AV80" s="398">
        <f t="shared" ref="AV80:AX80" si="291">AV31/1000/24/AV$3</f>
        <v>0.73420698924731298</v>
      </c>
      <c r="AW80" s="1145">
        <f t="shared" si="291"/>
        <v>0.90000000000000013</v>
      </c>
      <c r="AX80" s="1145">
        <f t="shared" si="291"/>
        <v>0.82934640522875813</v>
      </c>
      <c r="AY80" s="460">
        <v>0.9</v>
      </c>
      <c r="AZ80" s="398">
        <f t="shared" ref="AZ80:BB80" si="292">AZ31/1000/24/AZ$3</f>
        <v>0.78431034482758555</v>
      </c>
      <c r="BA80" s="1145">
        <f t="shared" si="292"/>
        <v>0.9</v>
      </c>
      <c r="BB80" s="1145">
        <f t="shared" si="292"/>
        <v>0.82544776119402963</v>
      </c>
      <c r="BC80" s="460">
        <v>0.9</v>
      </c>
      <c r="BD80" s="398">
        <f t="shared" ref="BD80:BJ80" si="293">BD31/1000/24/BD$3</f>
        <v>0.82951612903225735</v>
      </c>
      <c r="BE80" s="1146">
        <f t="shared" si="293"/>
        <v>0.89999999999999991</v>
      </c>
      <c r="BF80" s="1146">
        <f t="shared" si="293"/>
        <v>0.78264194139194132</v>
      </c>
      <c r="BG80" s="1147">
        <f t="shared" si="293"/>
        <v>0.90000000000000013</v>
      </c>
      <c r="BH80" s="1147">
        <f t="shared" si="293"/>
        <v>0.78748633879781393</v>
      </c>
      <c r="BI80" s="1145">
        <f t="shared" si="293"/>
        <v>0.90000000000000013</v>
      </c>
      <c r="BJ80" s="1145">
        <f t="shared" si="293"/>
        <v>0.82579234972677584</v>
      </c>
      <c r="BK80" s="5726"/>
      <c r="BL80" s="2062"/>
    </row>
    <row r="81" spans="1:64" ht="15.75" x14ac:dyDescent="0.25">
      <c r="A81" s="93"/>
      <c r="B81" s="2" t="s">
        <v>763</v>
      </c>
      <c r="C81" s="13" t="s">
        <v>389</v>
      </c>
      <c r="D81" s="383">
        <f t="shared" si="272"/>
        <v>0.47197477138888738</v>
      </c>
      <c r="E81" s="383">
        <f t="shared" si="272"/>
        <v>0.47029550080645333</v>
      </c>
      <c r="G81" s="1123" t="s">
        <v>790</v>
      </c>
      <c r="H81" s="336" t="s">
        <v>752</v>
      </c>
      <c r="I81" s="460">
        <v>1</v>
      </c>
      <c r="J81" s="398">
        <f t="shared" si="153"/>
        <v>1.274722222222221</v>
      </c>
      <c r="K81" s="460">
        <v>1</v>
      </c>
      <c r="L81" s="398">
        <f t="shared" ref="L81" si="294">L32/1000/24/L$3</f>
        <v>1.1272849462365599</v>
      </c>
      <c r="M81" s="1145">
        <f t="shared" si="155"/>
        <v>1</v>
      </c>
      <c r="N81" s="1145">
        <f t="shared" si="155"/>
        <v>1.1997950819672132</v>
      </c>
      <c r="O81" s="460">
        <v>1</v>
      </c>
      <c r="P81" s="398">
        <f t="shared" si="156"/>
        <v>1.3326388888888887</v>
      </c>
      <c r="Q81" s="1146">
        <f t="shared" si="156"/>
        <v>1</v>
      </c>
      <c r="R81" s="1146">
        <f t="shared" si="156"/>
        <v>1.2435897435897436</v>
      </c>
      <c r="S81" s="460">
        <v>1</v>
      </c>
      <c r="T81" s="398">
        <f t="shared" si="157"/>
        <v>1.4556451612903225</v>
      </c>
      <c r="U81" s="1145">
        <f t="shared" si="157"/>
        <v>1</v>
      </c>
      <c r="V81" s="1145">
        <f t="shared" si="157"/>
        <v>1.2974726775956282</v>
      </c>
      <c r="W81" s="460">
        <v>1</v>
      </c>
      <c r="X81" s="398">
        <f t="shared" si="158"/>
        <v>1.4323924731182804</v>
      </c>
      <c r="Y81" s="1145">
        <f t="shared" si="158"/>
        <v>1</v>
      </c>
      <c r="Z81" s="1145">
        <f t="shared" si="158"/>
        <v>1.3248093681917212</v>
      </c>
      <c r="AA81" s="460">
        <v>1</v>
      </c>
      <c r="AB81" s="398">
        <f t="shared" ref="AB81" si="295">AB32/1000/24/AB$3</f>
        <v>0.9590277777777777</v>
      </c>
      <c r="AC81" s="1146">
        <f t="shared" si="160"/>
        <v>1</v>
      </c>
      <c r="AD81" s="1146">
        <f t="shared" si="160"/>
        <v>1.2858695652173915</v>
      </c>
      <c r="AE81" s="1147">
        <f t="shared" si="160"/>
        <v>1</v>
      </c>
      <c r="AF81" s="1147">
        <f t="shared" si="160"/>
        <v>1.2648451730418946</v>
      </c>
      <c r="AG81" s="460">
        <v>1</v>
      </c>
      <c r="AH81" s="398">
        <f t="shared" si="161"/>
        <v>0.76411290322580649</v>
      </c>
      <c r="AI81" s="1145">
        <f t="shared" ref="AI81:AJ81" si="296">AI32/1000/24/AI$3</f>
        <v>1</v>
      </c>
      <c r="AJ81" s="1145">
        <f t="shared" si="296"/>
        <v>1.1923091900311529</v>
      </c>
      <c r="AK81" s="460">
        <v>1</v>
      </c>
      <c r="AL81" s="398">
        <f t="shared" si="163"/>
        <v>0.72472222222222116</v>
      </c>
      <c r="AM81" s="1145">
        <f t="shared" si="163"/>
        <v>1</v>
      </c>
      <c r="AN81" s="1145">
        <f t="shared" si="163"/>
        <v>1.1348189890710381</v>
      </c>
      <c r="AO81" s="460">
        <v>1</v>
      </c>
      <c r="AP81" s="398">
        <f t="shared" ref="AP81:AT81" si="297">AP32/1000/24/AP$3</f>
        <v>1.3454301075268769</v>
      </c>
      <c r="AQ81" s="1146">
        <f t="shared" si="297"/>
        <v>1</v>
      </c>
      <c r="AR81" s="1146">
        <f t="shared" si="297"/>
        <v>0.94714673913043279</v>
      </c>
      <c r="AS81" s="1145">
        <f t="shared" si="297"/>
        <v>1</v>
      </c>
      <c r="AT81" s="1145">
        <f t="shared" si="297"/>
        <v>1.1585606060606055</v>
      </c>
      <c r="AU81" s="460">
        <v>1</v>
      </c>
      <c r="AV81" s="398">
        <f t="shared" ref="AV81:AX81" si="298">AV32/1000/24/AV$3</f>
        <v>1.378091397849466</v>
      </c>
      <c r="AW81" s="1145">
        <f t="shared" si="298"/>
        <v>1</v>
      </c>
      <c r="AX81" s="1145">
        <f t="shared" si="298"/>
        <v>1.1808006535947713</v>
      </c>
      <c r="AY81" s="460">
        <v>1</v>
      </c>
      <c r="AZ81" s="398">
        <f t="shared" ref="AZ81:BB81" si="299">AZ32/1000/24/AZ$3</f>
        <v>1.3698275862068936</v>
      </c>
      <c r="BA81" s="1145">
        <f t="shared" si="299"/>
        <v>1</v>
      </c>
      <c r="BB81" s="1145">
        <f t="shared" si="299"/>
        <v>1.1971641791044774</v>
      </c>
      <c r="BC81" s="460">
        <v>1</v>
      </c>
      <c r="BD81" s="398">
        <f t="shared" ref="BD81:BJ81" si="300">BD32/1000/24/BD$3</f>
        <v>1.36760752688173</v>
      </c>
      <c r="BE81" s="1146">
        <f t="shared" si="300"/>
        <v>1</v>
      </c>
      <c r="BF81" s="1146">
        <f t="shared" si="300"/>
        <v>1.3718864468864505</v>
      </c>
      <c r="BG81" s="1147">
        <f t="shared" si="300"/>
        <v>1</v>
      </c>
      <c r="BH81" s="1147">
        <f t="shared" si="300"/>
        <v>1.1583561020036439</v>
      </c>
      <c r="BI81" s="1145">
        <f t="shared" si="300"/>
        <v>1</v>
      </c>
      <c r="BJ81" s="1145">
        <f t="shared" si="300"/>
        <v>1.2116006375227695</v>
      </c>
      <c r="BK81" s="5726"/>
      <c r="BL81" s="2062"/>
    </row>
    <row r="82" spans="1:64" x14ac:dyDescent="0.25">
      <c r="B82" s="22" t="s">
        <v>753</v>
      </c>
      <c r="C82" s="13" t="s">
        <v>389</v>
      </c>
      <c r="D82" s="383">
        <f>+((D40/1000)/D$3)/24</f>
        <v>1.2024613888888884</v>
      </c>
      <c r="E82" s="383">
        <f>+((E40/1000)/E$3)/24</f>
        <v>1.0451474462365573</v>
      </c>
      <c r="G82" s="1123" t="s">
        <v>792</v>
      </c>
      <c r="H82" s="336" t="s">
        <v>753</v>
      </c>
      <c r="I82" s="460">
        <v>1.4</v>
      </c>
      <c r="J82" s="398">
        <f t="shared" si="153"/>
        <v>1.1124893055555571</v>
      </c>
      <c r="K82" s="460">
        <v>1.4</v>
      </c>
      <c r="L82" s="398">
        <f t="shared" ref="L82" si="301">L33/1000/24/L$3</f>
        <v>1.0668120967741932</v>
      </c>
      <c r="M82" s="1145">
        <f t="shared" si="155"/>
        <v>1.4</v>
      </c>
      <c r="N82" s="1145">
        <f t="shared" si="155"/>
        <v>1.0892762978142083</v>
      </c>
      <c r="O82" s="460">
        <v>1.4</v>
      </c>
      <c r="P82" s="398">
        <f t="shared" si="156"/>
        <v>1.0109244444444447</v>
      </c>
      <c r="Q82" s="1146">
        <f t="shared" si="156"/>
        <v>1.4</v>
      </c>
      <c r="R82" s="1146">
        <f t="shared" si="156"/>
        <v>1.0634460164835169</v>
      </c>
      <c r="S82" s="460">
        <v>1.4</v>
      </c>
      <c r="T82" s="398">
        <f t="shared" si="157"/>
        <v>1.1560829301075275</v>
      </c>
      <c r="U82" s="1145">
        <f t="shared" si="157"/>
        <v>1.4</v>
      </c>
      <c r="V82" s="1145">
        <f t="shared" si="157"/>
        <v>1.0869849043715853</v>
      </c>
      <c r="W82" s="460">
        <v>1.4</v>
      </c>
      <c r="X82" s="398">
        <f t="shared" si="158"/>
        <v>1.1620232526881706</v>
      </c>
      <c r="Y82" s="1145">
        <f t="shared" si="158"/>
        <v>1.4000000000000001</v>
      </c>
      <c r="Z82" s="1145">
        <f t="shared" si="158"/>
        <v>1.1021887527233118</v>
      </c>
      <c r="AA82" s="460">
        <v>1.4</v>
      </c>
      <c r="AB82" s="398">
        <f t="shared" ref="AB82" si="302">AB33/1000/24/AB$3</f>
        <v>1.0948456944444442</v>
      </c>
      <c r="AC82" s="1146">
        <f t="shared" si="160"/>
        <v>1.4</v>
      </c>
      <c r="AD82" s="1146">
        <f t="shared" si="160"/>
        <v>1.1381158967391303</v>
      </c>
      <c r="AE82" s="1147">
        <f t="shared" si="160"/>
        <v>1.4</v>
      </c>
      <c r="AF82" s="1147">
        <f t="shared" si="160"/>
        <v>1.1009849726775955</v>
      </c>
      <c r="AG82" s="460">
        <v>1.4</v>
      </c>
      <c r="AH82" s="398">
        <f t="shared" si="161"/>
        <v>1.0992935483870969</v>
      </c>
      <c r="AI82" s="1145">
        <f t="shared" ref="AI82:AJ82" si="303">AI33/1000/24/AI$3</f>
        <v>1.4</v>
      </c>
      <c r="AJ82" s="1145">
        <f t="shared" si="303"/>
        <v>1.100739953271028</v>
      </c>
      <c r="AK82" s="460">
        <v>1.4</v>
      </c>
      <c r="AL82" s="398">
        <f t="shared" si="163"/>
        <v>1.0955066666666675</v>
      </c>
      <c r="AM82" s="1145">
        <f t="shared" si="163"/>
        <v>1.4</v>
      </c>
      <c r="AN82" s="1145">
        <f t="shared" si="163"/>
        <v>1.1000965163934429</v>
      </c>
      <c r="AO82" s="460">
        <v>1.4</v>
      </c>
      <c r="AP82" s="398">
        <f t="shared" ref="AP82:AT82" si="304">AP33/1000/24/AP$3</f>
        <v>1.0908951612903219</v>
      </c>
      <c r="AQ82" s="1146">
        <f t="shared" si="304"/>
        <v>1.4</v>
      </c>
      <c r="AR82" s="1146">
        <f t="shared" si="304"/>
        <v>1.0952288043478262</v>
      </c>
      <c r="AS82" s="1145">
        <f t="shared" si="304"/>
        <v>1.4</v>
      </c>
      <c r="AT82" s="1145">
        <f t="shared" si="304"/>
        <v>1.099059272727273</v>
      </c>
      <c r="AU82" s="460">
        <v>1.4</v>
      </c>
      <c r="AV82" s="398">
        <f t="shared" ref="AV82:AX82" si="305">AV33/1000/24/AV$3</f>
        <v>1.0534331989247321</v>
      </c>
      <c r="AW82" s="1145">
        <f t="shared" si="305"/>
        <v>1.4000000000000001</v>
      </c>
      <c r="AX82" s="1145">
        <f t="shared" si="305"/>
        <v>1.0944370234204797</v>
      </c>
      <c r="AY82" s="460">
        <v>1.4</v>
      </c>
      <c r="AZ82" s="398">
        <f t="shared" ref="AZ82:BB82" si="306">AZ33/1000/24/AZ$3</f>
        <v>1.0828857758620687</v>
      </c>
      <c r="BA82" s="1145">
        <f t="shared" si="306"/>
        <v>1.4</v>
      </c>
      <c r="BB82" s="1145">
        <f t="shared" si="306"/>
        <v>1.0934370646766172</v>
      </c>
      <c r="BC82" s="460">
        <v>1.4</v>
      </c>
      <c r="BD82" s="398">
        <f t="shared" ref="BD82:BJ82" si="307">BD33/1000/24/BD$3</f>
        <v>1.0782465053763448</v>
      </c>
      <c r="BE82" s="1146">
        <f t="shared" si="307"/>
        <v>1.3999999999999997</v>
      </c>
      <c r="BF82" s="1146">
        <f t="shared" si="307"/>
        <v>1.0712720695970701</v>
      </c>
      <c r="BG82" s="1147">
        <f t="shared" si="307"/>
        <v>1.4</v>
      </c>
      <c r="BH82" s="1147">
        <f t="shared" si="307"/>
        <v>1.0833158925318764</v>
      </c>
      <c r="BI82" s="1145">
        <f t="shared" si="307"/>
        <v>1.4</v>
      </c>
      <c r="BJ82" s="1145">
        <f t="shared" si="307"/>
        <v>1.092150432604736</v>
      </c>
      <c r="BK82" s="5726"/>
      <c r="BL82" s="2062"/>
    </row>
    <row r="83" spans="1:64" s="183" customFormat="1" x14ac:dyDescent="0.25">
      <c r="B83" s="183" t="s">
        <v>797</v>
      </c>
      <c r="C83" s="183" t="s">
        <v>389</v>
      </c>
      <c r="D83" s="183">
        <f>+((D41/1000)/D$3)/24</f>
        <v>122.30793637777781</v>
      </c>
      <c r="E83" s="183">
        <f>+((E41/1000)/E$3)/24</f>
        <v>125.68636524059139</v>
      </c>
      <c r="G83" s="188"/>
      <c r="H83" s="188"/>
      <c r="M83" s="188"/>
      <c r="N83" s="188"/>
      <c r="Q83" s="188"/>
      <c r="R83" s="188"/>
      <c r="U83" s="188"/>
      <c r="V83" s="188"/>
      <c r="Y83" s="188"/>
      <c r="Z83" s="188"/>
      <c r="AC83" s="188"/>
      <c r="AD83" s="188"/>
      <c r="AE83" s="188"/>
      <c r="AF83" s="188"/>
      <c r="AI83" s="188"/>
      <c r="AJ83" s="188"/>
      <c r="AM83" s="188"/>
      <c r="AN83" s="188"/>
      <c r="AQ83" s="188"/>
      <c r="AR83" s="188"/>
      <c r="AS83" s="188"/>
      <c r="AT83" s="188"/>
      <c r="AW83" s="188"/>
      <c r="AX83" s="188"/>
      <c r="BA83" s="188"/>
      <c r="BB83" s="188"/>
      <c r="BE83" s="188"/>
      <c r="BF83" s="188"/>
      <c r="BG83" s="188"/>
      <c r="BH83" s="188"/>
      <c r="BI83" s="188"/>
      <c r="BJ83" s="188"/>
      <c r="BL83" s="2062"/>
    </row>
    <row r="84" spans="1:64" ht="15.75" thickBot="1" x14ac:dyDescent="0.3">
      <c r="D84" s="384"/>
      <c r="E84" s="384"/>
      <c r="G84" s="1134" t="s">
        <v>793</v>
      </c>
      <c r="H84" s="1012" t="s">
        <v>754</v>
      </c>
      <c r="I84" s="461">
        <f>+SUM(I85:I88)</f>
        <v>3.397916798821095</v>
      </c>
      <c r="J84" s="402">
        <f t="shared" ref="J84:J96" si="308">J35/1000/24/J$3</f>
        <v>2.2359682136111103</v>
      </c>
      <c r="K84" s="461">
        <f>+SUM(K85:K88)</f>
        <v>3.3979167988210945</v>
      </c>
      <c r="L84" s="402">
        <f t="shared" ref="L84" si="309">L35/1000/24/L$3</f>
        <v>2.4153626330645164</v>
      </c>
      <c r="M84" s="1149">
        <f t="shared" ref="M84:N96" si="310">M35/1000/24/M$3</f>
        <v>3.3979167988210945</v>
      </c>
      <c r="N84" s="1149">
        <f t="shared" si="310"/>
        <v>2.3271358693989068</v>
      </c>
      <c r="O84" s="461">
        <f>+SUM(O85:O88)</f>
        <v>3.397916798821095</v>
      </c>
      <c r="P84" s="402">
        <f t="shared" ref="P84:R96" si="311">P35/1000/24/P$3</f>
        <v>2.3697823677777778</v>
      </c>
      <c r="Q84" s="1150">
        <f t="shared" si="311"/>
        <v>3.3979167988210941</v>
      </c>
      <c r="R84" s="1150">
        <f t="shared" si="311"/>
        <v>2.3411951545787542</v>
      </c>
      <c r="S84" s="461">
        <f>+SUM(S85:S88)</f>
        <v>3.4021213140988729</v>
      </c>
      <c r="T84" s="402">
        <f t="shared" ref="T84:V96" si="312">T35/1000/24/T$3</f>
        <v>2.4943955021505366</v>
      </c>
      <c r="U84" s="1149">
        <f t="shared" si="312"/>
        <v>3.3989851592605298</v>
      </c>
      <c r="V84" s="1149">
        <f t="shared" si="312"/>
        <v>2.3801231117486337</v>
      </c>
      <c r="W84" s="461">
        <f>+SUM(W85:W88)</f>
        <v>3.4021213140988729</v>
      </c>
      <c r="X84" s="402">
        <f t="shared" ref="X84:Z96" si="313">X35/1000/24/X$3</f>
        <v>2.401995168817205</v>
      </c>
      <c r="Y84" s="1149">
        <f t="shared" si="313"/>
        <v>3.3996205893258149</v>
      </c>
      <c r="Z84" s="1149">
        <f t="shared" si="313"/>
        <v>2.3845547050108928</v>
      </c>
      <c r="AA84" s="461">
        <f>+SUM(AA85:AA88)</f>
        <v>3.4021213140988729</v>
      </c>
      <c r="AB84" s="402">
        <f>AB35/1000/24/AB$3</f>
        <v>2.5447928591666655</v>
      </c>
      <c r="AC84" s="1150">
        <f>AC35/1000/24/AC$3</f>
        <v>3.4021213140988729</v>
      </c>
      <c r="AD84" s="1150">
        <f>AD35/1000/24/AD$3</f>
        <v>2.47969452798913</v>
      </c>
      <c r="AE84" s="1151">
        <f>AE35/1000/24/AE$3</f>
        <v>3.4000305442066443</v>
      </c>
      <c r="AF84" s="1151">
        <f>AF35/1000/24/AF$3</f>
        <v>2.4108232548724948</v>
      </c>
      <c r="AG84" s="461">
        <f>+SUM(AG85:AG88)</f>
        <v>3.4021213140988729</v>
      </c>
      <c r="AH84" s="402">
        <f t="shared" ref="AH84:AH96" si="314">AH35/1000/24/AH$3</f>
        <v>2.4766220389784923</v>
      </c>
      <c r="AI84" s="1149">
        <f t="shared" ref="AI84:AJ84" si="315">AI35/1000/24/AI$3</f>
        <v>3.4003334127424347</v>
      </c>
      <c r="AJ84" s="1149">
        <f t="shared" si="315"/>
        <v>2.4203548544392515</v>
      </c>
      <c r="AK84" s="461">
        <f>+SUM(AK85:AK88)</f>
        <v>3.4021213140988729</v>
      </c>
      <c r="AL84" s="402">
        <f t="shared" ref="AL84:AN96" si="316">AL35/1000/24/AL$3</f>
        <v>2.3153094472222246</v>
      </c>
      <c r="AM84" s="1149">
        <f t="shared" si="316"/>
        <v>3.4005532366797016</v>
      </c>
      <c r="AN84" s="1149">
        <f t="shared" si="316"/>
        <v>2.4074394355191253</v>
      </c>
      <c r="AO84" s="461">
        <f>+SUM(AO85:AO88)</f>
        <v>3.4021213140988729</v>
      </c>
      <c r="AP84" s="402">
        <f t="shared" ref="AP84:AT84" si="317">AP35/1000/24/AP$3</f>
        <v>2.0933084389784948</v>
      </c>
      <c r="AQ84" s="1150">
        <f t="shared" si="317"/>
        <v>3.4021213140988729</v>
      </c>
      <c r="AR84" s="1150">
        <f t="shared" si="317"/>
        <v>2.2948600894927536</v>
      </c>
      <c r="AS84" s="1149">
        <f t="shared" si="317"/>
        <v>3.4007300017705897</v>
      </c>
      <c r="AT84" s="1149">
        <f t="shared" si="317"/>
        <v>2.3720283049999997</v>
      </c>
      <c r="AU84" s="461">
        <f>+SUM(AU85:AU88)</f>
        <v>3.4021213140988729</v>
      </c>
      <c r="AV84" s="402">
        <f t="shared" ref="AV84:AX84" si="318">AV35/1000/24/AV$3</f>
        <v>2.1188844352150529</v>
      </c>
      <c r="AW84" s="1149">
        <f t="shared" si="318"/>
        <v>3.4008709517123439</v>
      </c>
      <c r="AX84" s="1149">
        <f t="shared" si="318"/>
        <v>2.3463830110021782</v>
      </c>
      <c r="AY84" s="461">
        <f>+SUM(AY85:AY88)</f>
        <v>3.4021213140988729</v>
      </c>
      <c r="AZ84" s="402">
        <f t="shared" ref="AZ84:BB84" si="319">AZ35/1000/24/AZ$3</f>
        <v>2.2370788873563221</v>
      </c>
      <c r="BA84" s="1149">
        <f t="shared" si="319"/>
        <v>3.4009791920383421</v>
      </c>
      <c r="BB84" s="1149">
        <f t="shared" si="319"/>
        <v>2.3369208629850742</v>
      </c>
      <c r="BC84" s="461">
        <f>+SUM(BC85:BC88)</f>
        <v>3.4021213140988729</v>
      </c>
      <c r="BD84" s="402">
        <f t="shared" ref="BD84:BJ84" si="320">BD35/1000/24/BD$3</f>
        <v>2.2358961118279588</v>
      </c>
      <c r="BE84" s="1150">
        <f t="shared" si="320"/>
        <v>3.4021213140988729</v>
      </c>
      <c r="BF84" s="1150">
        <f t="shared" si="320"/>
        <v>2.1964119196886451</v>
      </c>
      <c r="BG84" s="1151">
        <f t="shared" si="320"/>
        <v>3.4021213140988729</v>
      </c>
      <c r="BH84" s="1151">
        <f t="shared" si="320"/>
        <v>2.2459049886612026</v>
      </c>
      <c r="BI84" s="1149">
        <f t="shared" si="320"/>
        <v>3.4010759291527584</v>
      </c>
      <c r="BJ84" s="1149">
        <f t="shared" si="320"/>
        <v>2.3283641217668491</v>
      </c>
      <c r="BK84" s="5726"/>
      <c r="BL84" s="2062"/>
    </row>
    <row r="85" spans="1:64" ht="21" thickBot="1" x14ac:dyDescent="0.3">
      <c r="A85" s="340"/>
      <c r="B85" s="374" t="s">
        <v>524</v>
      </c>
      <c r="C85" s="251" t="s">
        <v>389</v>
      </c>
      <c r="D85" s="384">
        <f>+((D43/1000)/D$3)/24</f>
        <v>110.28636605083337</v>
      </c>
      <c r="E85" s="384">
        <f>+((E43/1000)/E$3)/24</f>
        <v>113.44019473978493</v>
      </c>
      <c r="G85" s="1123" t="s">
        <v>794</v>
      </c>
      <c r="H85" s="336" t="s">
        <v>755</v>
      </c>
      <c r="I85" s="460">
        <v>1.852121314098873</v>
      </c>
      <c r="J85" s="398">
        <f t="shared" si="308"/>
        <v>1.6880958333333334</v>
      </c>
      <c r="K85" s="460">
        <v>1.8521213140988728</v>
      </c>
      <c r="L85" s="398">
        <f t="shared" ref="L85" si="321">L36/1000/24/L$3</f>
        <v>1.7967459677419348</v>
      </c>
      <c r="M85" s="1145">
        <f t="shared" si="310"/>
        <v>1.8521213140988726</v>
      </c>
      <c r="N85" s="1145">
        <f t="shared" si="310"/>
        <v>1.7433114754098358</v>
      </c>
      <c r="O85" s="460">
        <v>1.852121314098873</v>
      </c>
      <c r="P85" s="398">
        <f t="shared" si="311"/>
        <v>1.8394597222222233</v>
      </c>
      <c r="Q85" s="1146">
        <f t="shared" si="311"/>
        <v>1.8521213140988726</v>
      </c>
      <c r="R85" s="1146">
        <f t="shared" si="311"/>
        <v>1.7750086996336996</v>
      </c>
      <c r="S85" s="460">
        <v>1.8521213140988728</v>
      </c>
      <c r="T85" s="398">
        <f t="shared" si="312"/>
        <v>1.91519623655914</v>
      </c>
      <c r="U85" s="1145">
        <f t="shared" si="312"/>
        <v>1.8521213140988726</v>
      </c>
      <c r="V85" s="1145">
        <f t="shared" si="312"/>
        <v>1.8106301229508197</v>
      </c>
      <c r="W85" s="460">
        <v>1.8521213140988728</v>
      </c>
      <c r="X85" s="398">
        <f t="shared" si="313"/>
        <v>1.825349462365591</v>
      </c>
      <c r="Y85" s="1145">
        <f t="shared" si="313"/>
        <v>1.8521213140988728</v>
      </c>
      <c r="Z85" s="1145">
        <f t="shared" si="313"/>
        <v>1.8136124727668845</v>
      </c>
      <c r="AA85" s="460">
        <v>1.852121314098873</v>
      </c>
      <c r="AB85" s="398">
        <f t="shared" ref="AB85" si="322">AB36/1000/24/AB$3</f>
        <v>1.8539458333333332</v>
      </c>
      <c r="AC85" s="1146">
        <f t="shared" ref="AC85:AF96" si="323">AC36/1000/24/AC$3</f>
        <v>1.8521213140988728</v>
      </c>
      <c r="AD85" s="1146">
        <f t="shared" si="323"/>
        <v>1.864948822463768</v>
      </c>
      <c r="AE85" s="1147">
        <f t="shared" si="323"/>
        <v>1.8521213140988728</v>
      </c>
      <c r="AF85" s="1147">
        <f t="shared" si="323"/>
        <v>1.8202244990892533</v>
      </c>
      <c r="AG85" s="460">
        <v>1.8521213140988728</v>
      </c>
      <c r="AH85" s="398">
        <f t="shared" si="314"/>
        <v>1.835418010752687</v>
      </c>
      <c r="AI85" s="1145">
        <f t="shared" ref="AI85:AJ85" si="324">AI36/1000/24/AI$3</f>
        <v>1.8521213140988728</v>
      </c>
      <c r="AJ85" s="1145">
        <f t="shared" si="324"/>
        <v>1.8224254283489099</v>
      </c>
      <c r="AK85" s="460">
        <v>1.852121314098873</v>
      </c>
      <c r="AL85" s="398">
        <f t="shared" si="316"/>
        <v>1.7072055555555563</v>
      </c>
      <c r="AM85" s="1145">
        <f t="shared" si="316"/>
        <v>1.8521213140988726</v>
      </c>
      <c r="AN85" s="1145">
        <f t="shared" si="316"/>
        <v>1.8082590505464482</v>
      </c>
      <c r="AO85" s="460">
        <v>1.8521213140988728</v>
      </c>
      <c r="AP85" s="398">
        <f t="shared" ref="AP85:AT85" si="325">AP36/1000/24/AP$3</f>
        <v>1.5972661290322585</v>
      </c>
      <c r="AQ85" s="1146">
        <f t="shared" si="325"/>
        <v>1.8521213140988728</v>
      </c>
      <c r="AR85" s="1146">
        <f t="shared" si="325"/>
        <v>1.7133627717391307</v>
      </c>
      <c r="AS85" s="1145">
        <f t="shared" si="325"/>
        <v>1.8521213140988726</v>
      </c>
      <c r="AT85" s="1145">
        <f t="shared" si="325"/>
        <v>1.7844743939393941</v>
      </c>
      <c r="AU85" s="460">
        <v>1.8521213140988728</v>
      </c>
      <c r="AV85" s="398">
        <f t="shared" ref="AV85:AX85" si="326">AV36/1000/24/AV$3</f>
        <v>1.5952069892473113</v>
      </c>
      <c r="AW85" s="1145">
        <f t="shared" si="326"/>
        <v>1.8521213140988728</v>
      </c>
      <c r="AX85" s="1145">
        <f t="shared" si="326"/>
        <v>1.7653002450980393</v>
      </c>
      <c r="AY85" s="460">
        <v>1.8521213140988728</v>
      </c>
      <c r="AZ85" s="398">
        <f t="shared" ref="AZ85:BB85" si="327">AZ36/1000/24/AZ$3</f>
        <v>1.6901393678160914</v>
      </c>
      <c r="BA85" s="1145">
        <f t="shared" si="327"/>
        <v>1.8521213140988728</v>
      </c>
      <c r="BB85" s="1145">
        <f t="shared" si="327"/>
        <v>1.7587937810945273</v>
      </c>
      <c r="BC85" s="460">
        <v>1.8521213140988728</v>
      </c>
      <c r="BD85" s="398">
        <f t="shared" ref="BD85:BJ85" si="328">BD36/1000/24/BD$3</f>
        <v>1.6963091397849477</v>
      </c>
      <c r="BE85" s="1146">
        <f t="shared" si="328"/>
        <v>1.852121314098873</v>
      </c>
      <c r="BF85" s="1146">
        <f t="shared" si="328"/>
        <v>1.6599015567765567</v>
      </c>
      <c r="BG85" s="1147">
        <f t="shared" si="328"/>
        <v>1.852121314098873</v>
      </c>
      <c r="BH85" s="1147">
        <f t="shared" si="328"/>
        <v>1.6867782331511838</v>
      </c>
      <c r="BI85" s="1145">
        <f t="shared" si="328"/>
        <v>1.8521213140988728</v>
      </c>
      <c r="BJ85" s="1145">
        <f t="shared" si="328"/>
        <v>1.7535013661202183</v>
      </c>
      <c r="BK85" s="5726"/>
      <c r="BL85" s="2062"/>
    </row>
    <row r="86" spans="1:64" x14ac:dyDescent="0.25">
      <c r="G86" s="1123" t="s">
        <v>795</v>
      </c>
      <c r="H86" s="336" t="s">
        <v>756</v>
      </c>
      <c r="I86" s="460">
        <v>0.89579548472222204</v>
      </c>
      <c r="J86" s="398">
        <f t="shared" si="308"/>
        <v>0.29054210111111139</v>
      </c>
      <c r="K86" s="460">
        <v>0.89579548472222204</v>
      </c>
      <c r="L86" s="398">
        <f t="shared" ref="L86" si="329">L37/1000/24/L$3</f>
        <v>0.29906773924731245</v>
      </c>
      <c r="M86" s="1145">
        <f t="shared" si="310"/>
        <v>0.89579548472222192</v>
      </c>
      <c r="N86" s="1145">
        <f t="shared" si="310"/>
        <v>0.29487480245901682</v>
      </c>
      <c r="O86" s="460">
        <v>0.89579548472222204</v>
      </c>
      <c r="P86" s="398">
        <f t="shared" si="311"/>
        <v>0.30651163305555573</v>
      </c>
      <c r="Q86" s="1146">
        <f t="shared" si="311"/>
        <v>0.89579548472222204</v>
      </c>
      <c r="R86" s="1146">
        <f t="shared" si="311"/>
        <v>0.29871112023809554</v>
      </c>
      <c r="S86" s="460">
        <v>0.9</v>
      </c>
      <c r="T86" s="398">
        <f t="shared" si="312"/>
        <v>0.34565997526881692</v>
      </c>
      <c r="U86" s="1145">
        <f t="shared" si="312"/>
        <v>0.89686384516165729</v>
      </c>
      <c r="V86" s="1145">
        <f t="shared" si="312"/>
        <v>0.31064074733606578</v>
      </c>
      <c r="W86" s="460">
        <v>0.9</v>
      </c>
      <c r="X86" s="398">
        <f t="shared" si="313"/>
        <v>0.35539951559139749</v>
      </c>
      <c r="Y86" s="1145">
        <f t="shared" si="313"/>
        <v>0.89749927522694251</v>
      </c>
      <c r="Z86" s="1145">
        <f t="shared" si="313"/>
        <v>0.31970951737472769</v>
      </c>
      <c r="AA86" s="460">
        <v>0.9</v>
      </c>
      <c r="AB86" s="398">
        <f t="shared" ref="AB86" si="330">AB37/1000/24/AB$3</f>
        <v>0.36185522999999969</v>
      </c>
      <c r="AC86" s="1146">
        <f t="shared" si="323"/>
        <v>0.9</v>
      </c>
      <c r="AD86" s="1146">
        <f t="shared" si="323"/>
        <v>0.3542228382246374</v>
      </c>
      <c r="AE86" s="1147">
        <f t="shared" si="323"/>
        <v>0.89790923010777157</v>
      </c>
      <c r="AF86" s="1147">
        <f t="shared" si="323"/>
        <v>0.32661865059198547</v>
      </c>
      <c r="AG86" s="460">
        <v>0.9</v>
      </c>
      <c r="AH86" s="398">
        <f t="shared" si="314"/>
        <v>0.30820929166666705</v>
      </c>
      <c r="AI86" s="1145">
        <f t="shared" ref="AI86:AJ86" si="331">AI37/1000/24/AI$3</f>
        <v>0.89821209864356155</v>
      </c>
      <c r="AJ86" s="1145">
        <f t="shared" si="331"/>
        <v>0.32395187429906552</v>
      </c>
      <c r="AK86" s="460">
        <v>0.9</v>
      </c>
      <c r="AL86" s="398">
        <f t="shared" si="316"/>
        <v>0.30731646944444468</v>
      </c>
      <c r="AM86" s="1145">
        <f t="shared" si="316"/>
        <v>0.8984319225808286</v>
      </c>
      <c r="AN86" s="1145">
        <f t="shared" si="316"/>
        <v>0.32190653763661214</v>
      </c>
      <c r="AO86" s="460">
        <v>0.9</v>
      </c>
      <c r="AP86" s="398">
        <f t="shared" ref="AP86:AT86" si="332">AP37/1000/24/AP$3</f>
        <v>0.31284611854838634</v>
      </c>
      <c r="AQ86" s="1146">
        <f t="shared" si="332"/>
        <v>0.9</v>
      </c>
      <c r="AR86" s="1146">
        <f t="shared" si="332"/>
        <v>0.30948056304347826</v>
      </c>
      <c r="AS86" s="1145">
        <f t="shared" si="332"/>
        <v>0.89860868767171709</v>
      </c>
      <c r="AT86" s="1145">
        <f t="shared" si="332"/>
        <v>0.32088518130303034</v>
      </c>
      <c r="AU86" s="460">
        <v>0.9</v>
      </c>
      <c r="AV86" s="398">
        <f t="shared" ref="AV86:AX86" si="333">AV37/1000/24/AV$3</f>
        <v>0.31169760994623669</v>
      </c>
      <c r="AW86" s="1145">
        <f t="shared" si="333"/>
        <v>0.89874963761347115</v>
      </c>
      <c r="AX86" s="1145">
        <f t="shared" si="333"/>
        <v>0.31995441427015253</v>
      </c>
      <c r="AY86" s="460">
        <v>0.9</v>
      </c>
      <c r="AZ86" s="398">
        <f t="shared" ref="AZ86:BB86" si="334">AZ37/1000/24/AZ$3</f>
        <v>0.31170799224137885</v>
      </c>
      <c r="BA86" s="1145">
        <f t="shared" si="334"/>
        <v>0.89885787793946925</v>
      </c>
      <c r="BB86" s="1145">
        <f t="shared" si="334"/>
        <v>0.31924054490049752</v>
      </c>
      <c r="BC86" s="460">
        <v>0.9</v>
      </c>
      <c r="BD86" s="398">
        <f t="shared" ref="BD86:BJ86" si="335">BD37/1000/24/BD$3</f>
        <v>0.32434225161290342</v>
      </c>
      <c r="BE86" s="1146">
        <f t="shared" si="335"/>
        <v>0.89999999999999991</v>
      </c>
      <c r="BF86" s="1146">
        <f t="shared" si="335"/>
        <v>0.31600843388278388</v>
      </c>
      <c r="BG86" s="1147">
        <f t="shared" si="335"/>
        <v>0.90000000000000013</v>
      </c>
      <c r="BH86" s="1147">
        <f t="shared" si="335"/>
        <v>0.31272666275045535</v>
      </c>
      <c r="BI86" s="1145">
        <f t="shared" si="335"/>
        <v>0.89895461505388563</v>
      </c>
      <c r="BJ86" s="1145">
        <f t="shared" si="335"/>
        <v>0.31967265667122041</v>
      </c>
      <c r="BK86" s="5726"/>
      <c r="BL86" s="2062"/>
    </row>
    <row r="87" spans="1:64" x14ac:dyDescent="0.25">
      <c r="G87" s="1123" t="s">
        <v>796</v>
      </c>
      <c r="H87" s="336" t="s">
        <v>757</v>
      </c>
      <c r="I87" s="460">
        <v>0.5</v>
      </c>
      <c r="J87" s="398">
        <f t="shared" si="308"/>
        <v>0.13448027916666655</v>
      </c>
      <c r="K87" s="460">
        <v>0.5</v>
      </c>
      <c r="L87" s="398">
        <f t="shared" ref="L87" si="336">L38/1000/24/L$3</f>
        <v>0.14989435618279567</v>
      </c>
      <c r="M87" s="1145">
        <f t="shared" si="310"/>
        <v>0.5</v>
      </c>
      <c r="N87" s="1145">
        <f t="shared" si="310"/>
        <v>0.14231366256830591</v>
      </c>
      <c r="O87" s="460">
        <v>0.5</v>
      </c>
      <c r="P87" s="398">
        <f t="shared" si="311"/>
        <v>0.15226379027777762</v>
      </c>
      <c r="Q87" s="1146">
        <f t="shared" si="311"/>
        <v>0.5</v>
      </c>
      <c r="R87" s="1146">
        <f t="shared" si="311"/>
        <v>0.14559392445054933</v>
      </c>
      <c r="S87" s="460">
        <v>0.5</v>
      </c>
      <c r="T87" s="398">
        <f t="shared" si="312"/>
        <v>0.15332423655914007</v>
      </c>
      <c r="U87" s="1145">
        <f t="shared" si="312"/>
        <v>0.5</v>
      </c>
      <c r="V87" s="1145">
        <f t="shared" si="312"/>
        <v>0.14755818408469945</v>
      </c>
      <c r="W87" s="460">
        <v>0.5</v>
      </c>
      <c r="X87" s="398">
        <f t="shared" si="313"/>
        <v>0.14998301881720424</v>
      </c>
      <c r="Y87" s="1145">
        <f t="shared" si="313"/>
        <v>0.5</v>
      </c>
      <c r="Z87" s="1145">
        <f t="shared" si="313"/>
        <v>0.14804949046840957</v>
      </c>
      <c r="AA87" s="460">
        <v>0.5</v>
      </c>
      <c r="AB87" s="398">
        <f t="shared" ref="AB87" si="337">AB38/1000/24/AB$3</f>
        <v>0.167672073611111</v>
      </c>
      <c r="AC87" s="1146">
        <f t="shared" si="323"/>
        <v>0.5</v>
      </c>
      <c r="AD87" s="1146">
        <f t="shared" si="323"/>
        <v>0.15687703396739133</v>
      </c>
      <c r="AE87" s="1147">
        <f t="shared" si="323"/>
        <v>0.5</v>
      </c>
      <c r="AF87" s="1147">
        <f t="shared" si="323"/>
        <v>0.15126630737704916</v>
      </c>
      <c r="AG87" s="460">
        <v>0.5</v>
      </c>
      <c r="AH87" s="398">
        <f t="shared" si="314"/>
        <v>0.13937134946236554</v>
      </c>
      <c r="AI87" s="1145">
        <f t="shared" ref="AI87:AJ87" si="338">AI38/1000/24/AI$3</f>
        <v>0.5</v>
      </c>
      <c r="AJ87" s="1145">
        <f t="shared" si="338"/>
        <v>0.1495432059968847</v>
      </c>
      <c r="AK87" s="460">
        <v>0.5</v>
      </c>
      <c r="AL87" s="398">
        <f t="shared" si="316"/>
        <v>0.11729936666666661</v>
      </c>
      <c r="AM87" s="1145">
        <f t="shared" si="316"/>
        <v>0.5</v>
      </c>
      <c r="AN87" s="1145">
        <f t="shared" si="316"/>
        <v>0.14557879952185787</v>
      </c>
      <c r="AO87" s="460">
        <v>0.5</v>
      </c>
      <c r="AP87" s="398">
        <f t="shared" ref="AP87:AT87" si="339">AP38/1000/24/AP$3</f>
        <v>0.12160398709677417</v>
      </c>
      <c r="AQ87" s="1146">
        <f t="shared" si="339"/>
        <v>0.5</v>
      </c>
      <c r="AR87" s="1146">
        <f t="shared" si="339"/>
        <v>0.12618713514492749</v>
      </c>
      <c r="AS87" s="1145">
        <f t="shared" si="339"/>
        <v>0.5</v>
      </c>
      <c r="AT87" s="1145">
        <f t="shared" si="339"/>
        <v>0.14287618430303028</v>
      </c>
      <c r="AU87" s="460">
        <v>0.5</v>
      </c>
      <c r="AV87" s="398">
        <f t="shared" ref="AV87:AX87" si="340">AV38/1000/24/AV$3</f>
        <v>0.12935349193548409</v>
      </c>
      <c r="AW87" s="1145">
        <f t="shared" si="340"/>
        <v>0.5</v>
      </c>
      <c r="AX87" s="1145">
        <f t="shared" si="340"/>
        <v>0.14150623834422654</v>
      </c>
      <c r="AY87" s="460">
        <v>0.5</v>
      </c>
      <c r="AZ87" s="398">
        <f t="shared" ref="AZ87:BB87" si="341">AZ38/1000/24/AZ$3</f>
        <v>0.1657298031609194</v>
      </c>
      <c r="BA87" s="1145">
        <f t="shared" si="341"/>
        <v>0.5</v>
      </c>
      <c r="BB87" s="1145">
        <f t="shared" si="341"/>
        <v>0.14360320365671639</v>
      </c>
      <c r="BC87" s="460">
        <v>0.5</v>
      </c>
      <c r="BD87" s="398">
        <f t="shared" ref="BD87:BJ87" si="342">BD38/1000/24/BD$3</f>
        <v>0.14844687096774201</v>
      </c>
      <c r="BE87" s="1146">
        <f t="shared" si="342"/>
        <v>0.5</v>
      </c>
      <c r="BF87" s="1146">
        <f t="shared" si="342"/>
        <v>0.14745028067765573</v>
      </c>
      <c r="BG87" s="1147">
        <f t="shared" si="342"/>
        <v>0.5</v>
      </c>
      <c r="BH87" s="1147">
        <f t="shared" si="342"/>
        <v>0.13676061188524594</v>
      </c>
      <c r="BI87" s="1145">
        <f t="shared" si="342"/>
        <v>0.5</v>
      </c>
      <c r="BJ87" s="1145">
        <f t="shared" si="342"/>
        <v>0.14401345963114751</v>
      </c>
      <c r="BK87" s="5726"/>
      <c r="BL87" s="2062"/>
    </row>
    <row r="88" spans="1:64" x14ac:dyDescent="0.25">
      <c r="G88" s="1123" t="s">
        <v>796</v>
      </c>
      <c r="H88" s="336" t="s">
        <v>758</v>
      </c>
      <c r="I88" s="460">
        <v>0.15</v>
      </c>
      <c r="J88" s="398">
        <f t="shared" si="308"/>
        <v>0.1228499999999992</v>
      </c>
      <c r="K88" s="460">
        <v>0.15</v>
      </c>
      <c r="L88" s="398">
        <f t="shared" ref="L88" si="343">L39/1000/24/L$3</f>
        <v>0.16965456989247313</v>
      </c>
      <c r="M88" s="1145">
        <f t="shared" si="310"/>
        <v>0.15</v>
      </c>
      <c r="N88" s="1145">
        <f t="shared" si="310"/>
        <v>0.14663592896174824</v>
      </c>
      <c r="O88" s="460">
        <v>0.15</v>
      </c>
      <c r="P88" s="398">
        <f t="shared" si="311"/>
        <v>7.1547222222221415E-2</v>
      </c>
      <c r="Q88" s="1146">
        <f t="shared" si="311"/>
        <v>0.15</v>
      </c>
      <c r="R88" s="1146">
        <f t="shared" si="311"/>
        <v>0.12188141025640972</v>
      </c>
      <c r="S88" s="460">
        <v>0.15</v>
      </c>
      <c r="T88" s="398">
        <f t="shared" si="312"/>
        <v>8.0215053763439292E-2</v>
      </c>
      <c r="U88" s="1145">
        <f t="shared" si="312"/>
        <v>0.15</v>
      </c>
      <c r="V88" s="1145">
        <f t="shared" si="312"/>
        <v>0.11129405737704839</v>
      </c>
      <c r="W88" s="460">
        <v>0.15</v>
      </c>
      <c r="X88" s="398">
        <f t="shared" si="313"/>
        <v>7.1263172043012329E-2</v>
      </c>
      <c r="Y88" s="1145">
        <f t="shared" si="313"/>
        <v>0.15</v>
      </c>
      <c r="Z88" s="1145">
        <f t="shared" si="313"/>
        <v>0.10318322440087113</v>
      </c>
      <c r="AA88" s="460">
        <v>0.15</v>
      </c>
      <c r="AB88" s="398">
        <f t="shared" ref="AB88" si="344">AB39/1000/24/AB$3</f>
        <v>0.16131972222222182</v>
      </c>
      <c r="AC88" s="1146">
        <f t="shared" si="323"/>
        <v>0.15</v>
      </c>
      <c r="AD88" s="1146">
        <f t="shared" si="323"/>
        <v>0.1036458333333332</v>
      </c>
      <c r="AE88" s="1147">
        <f t="shared" si="323"/>
        <v>0.15</v>
      </c>
      <c r="AF88" s="1147">
        <f t="shared" si="323"/>
        <v>0.11271379781420732</v>
      </c>
      <c r="AG88" s="460">
        <v>0.15</v>
      </c>
      <c r="AH88" s="398">
        <f t="shared" si="314"/>
        <v>0.19362338709677301</v>
      </c>
      <c r="AI88" s="1145">
        <f t="shared" ref="AI88:AJ88" si="345">AI39/1000/24/AI$3</f>
        <v>0.15</v>
      </c>
      <c r="AJ88" s="1145">
        <f t="shared" si="345"/>
        <v>0.12443434579439207</v>
      </c>
      <c r="AK88" s="460">
        <v>0.15</v>
      </c>
      <c r="AL88" s="398">
        <f t="shared" si="316"/>
        <v>0.18348805555555678</v>
      </c>
      <c r="AM88" s="1145">
        <f t="shared" si="316"/>
        <v>0.15</v>
      </c>
      <c r="AN88" s="1145">
        <f t="shared" si="316"/>
        <v>0.13169504781420743</v>
      </c>
      <c r="AO88" s="460">
        <v>0.15</v>
      </c>
      <c r="AP88" s="398">
        <f t="shared" ref="AP88:AT88" si="346">AP39/1000/24/AP$3</f>
        <v>6.1592204301075669E-2</v>
      </c>
      <c r="AQ88" s="1146">
        <f t="shared" si="346"/>
        <v>0.15</v>
      </c>
      <c r="AR88" s="1146">
        <f t="shared" si="346"/>
        <v>0.14582961956521753</v>
      </c>
      <c r="AS88" s="1145">
        <f t="shared" si="346"/>
        <v>0.15</v>
      </c>
      <c r="AT88" s="1145">
        <f t="shared" si="346"/>
        <v>0.12379254545454529</v>
      </c>
      <c r="AU88" s="460">
        <v>0.15</v>
      </c>
      <c r="AV88" s="398">
        <f t="shared" ref="AV88:AX88" si="347">AV39/1000/24/AV$3</f>
        <v>8.2626344086020737E-2</v>
      </c>
      <c r="AW88" s="1145">
        <f t="shared" si="347"/>
        <v>0.15</v>
      </c>
      <c r="AX88" s="1145">
        <f t="shared" si="347"/>
        <v>0.11962211328976013</v>
      </c>
      <c r="AY88" s="460">
        <v>0.15</v>
      </c>
      <c r="AZ88" s="398">
        <f t="shared" ref="AZ88:BB88" si="348">AZ39/1000/24/AZ$3</f>
        <v>6.9501724137932708E-2</v>
      </c>
      <c r="BA88" s="1145">
        <f t="shared" si="348"/>
        <v>0.15</v>
      </c>
      <c r="BB88" s="1145">
        <f t="shared" si="348"/>
        <v>0.11528333333333328</v>
      </c>
      <c r="BC88" s="460">
        <v>0.15</v>
      </c>
      <c r="BD88" s="398">
        <f t="shared" ref="BD88:BJ88" si="349">BD39/1000/24/BD$3</f>
        <v>6.6797849462365597E-2</v>
      </c>
      <c r="BE88" s="1146">
        <f t="shared" si="349"/>
        <v>0.15</v>
      </c>
      <c r="BF88" s="1146">
        <f t="shared" si="349"/>
        <v>7.3051648351648624E-2</v>
      </c>
      <c r="BG88" s="1147">
        <f t="shared" si="349"/>
        <v>0.15</v>
      </c>
      <c r="BH88" s="1147">
        <f t="shared" si="349"/>
        <v>0.10963948087431716</v>
      </c>
      <c r="BI88" s="1145">
        <f t="shared" si="349"/>
        <v>0.15</v>
      </c>
      <c r="BJ88" s="1145">
        <f t="shared" si="349"/>
        <v>0.11117663934426224</v>
      </c>
      <c r="BK88" s="5726"/>
      <c r="BL88" s="2062"/>
    </row>
    <row r="89" spans="1:64" x14ac:dyDescent="0.25">
      <c r="G89" s="1134">
        <v>4.2</v>
      </c>
      <c r="H89" s="1012" t="s">
        <v>759</v>
      </c>
      <c r="I89" s="461">
        <f>+I90+I92</f>
        <v>13.324999999999999</v>
      </c>
      <c r="J89" s="402">
        <f t="shared" si="308"/>
        <v>12.567105847500001</v>
      </c>
      <c r="K89" s="461">
        <f>+K90+K92</f>
        <v>13.324999999999999</v>
      </c>
      <c r="L89" s="402">
        <f t="shared" ref="L89" si="350">L40/1000/24/L$3</f>
        <v>12.355079661290327</v>
      </c>
      <c r="M89" s="1149">
        <f t="shared" si="310"/>
        <v>13.324999999999999</v>
      </c>
      <c r="N89" s="1149">
        <f t="shared" si="310"/>
        <v>12.459354834836066</v>
      </c>
      <c r="O89" s="461">
        <f>+O90+O92</f>
        <v>13.324999999999999</v>
      </c>
      <c r="P89" s="402">
        <f t="shared" si="311"/>
        <v>12.803758829444437</v>
      </c>
      <c r="Q89" s="1150">
        <f t="shared" si="311"/>
        <v>13.325000000000001</v>
      </c>
      <c r="R89" s="1150">
        <f t="shared" si="311"/>
        <v>12.572894613278388</v>
      </c>
      <c r="S89" s="461">
        <f>+S90+S92</f>
        <v>13.324999999999999</v>
      </c>
      <c r="T89" s="402">
        <f t="shared" si="312"/>
        <v>12.869516394354834</v>
      </c>
      <c r="U89" s="1149">
        <f t="shared" si="312"/>
        <v>13.324999999999999</v>
      </c>
      <c r="V89" s="1149">
        <f t="shared" si="312"/>
        <v>12.648265721584698</v>
      </c>
      <c r="W89" s="461">
        <f>+W90+W92</f>
        <v>13.324999999999999</v>
      </c>
      <c r="X89" s="402">
        <f t="shared" si="313"/>
        <v>12.710998130913978</v>
      </c>
      <c r="Y89" s="1149">
        <f t="shared" si="313"/>
        <v>13.325000000000001</v>
      </c>
      <c r="Z89" s="1149">
        <f t="shared" si="313"/>
        <v>12.660976209749453</v>
      </c>
      <c r="AA89" s="461">
        <f>+AA90+AA92</f>
        <v>13.324999999999999</v>
      </c>
      <c r="AB89" s="402">
        <f t="shared" ref="AB89" si="351">AB40/1000/24/AB$3</f>
        <v>13.237244389444443</v>
      </c>
      <c r="AC89" s="1150">
        <f t="shared" si="323"/>
        <v>13.324999999999999</v>
      </c>
      <c r="AD89" s="1150">
        <f t="shared" si="323"/>
        <v>12.93601393442029</v>
      </c>
      <c r="AE89" s="1151">
        <f t="shared" si="323"/>
        <v>13.324999999999999</v>
      </c>
      <c r="AF89" s="1151">
        <f t="shared" si="323"/>
        <v>12.755446403142075</v>
      </c>
      <c r="AG89" s="461">
        <f>+AG90+AG92</f>
        <v>13.324999999999999</v>
      </c>
      <c r="AH89" s="402">
        <f t="shared" si="314"/>
        <v>12.848657301075265</v>
      </c>
      <c r="AI89" s="1149">
        <f t="shared" ref="AI89:AJ89" si="352">AI40/1000/24/AI$3</f>
        <v>13.324999999999999</v>
      </c>
      <c r="AJ89" s="1149">
        <f t="shared" si="352"/>
        <v>12.768948916394081</v>
      </c>
      <c r="AK89" s="461">
        <f>+AK90+AK92</f>
        <v>13.324999999999999</v>
      </c>
      <c r="AL89" s="402">
        <f t="shared" si="316"/>
        <v>12.067960794444454</v>
      </c>
      <c r="AM89" s="1149">
        <f t="shared" si="316"/>
        <v>13.324999999999999</v>
      </c>
      <c r="AN89" s="1149">
        <f t="shared" si="316"/>
        <v>12.682761852219944</v>
      </c>
      <c r="AO89" s="461">
        <f>+AO90+AO92</f>
        <v>13.324999999999999</v>
      </c>
      <c r="AP89" s="402">
        <f t="shared" ref="AP89:AT89" si="353">AP40/1000/24/AP$3</f>
        <v>11.573733716129027</v>
      </c>
      <c r="AQ89" s="1150">
        <f t="shared" si="353"/>
        <v>13.324999999999999</v>
      </c>
      <c r="AR89" s="1150">
        <f t="shared" si="353"/>
        <v>12.164488536594204</v>
      </c>
      <c r="AS89" s="1149">
        <f t="shared" si="353"/>
        <v>13.324999999999999</v>
      </c>
      <c r="AT89" s="1149">
        <f t="shared" si="353"/>
        <v>12.557744135060606</v>
      </c>
      <c r="AU89" s="461">
        <f>+AU90+AU92</f>
        <v>13.324999999999999</v>
      </c>
      <c r="AV89" s="402">
        <f t="shared" ref="AV89:AX89" si="354">AV40/1000/24/AV$3</f>
        <v>11.879296765053759</v>
      </c>
      <c r="AW89" s="1149">
        <f t="shared" si="354"/>
        <v>13.325000000000001</v>
      </c>
      <c r="AX89" s="1149">
        <f t="shared" si="354"/>
        <v>12.489012538752725</v>
      </c>
      <c r="AY89" s="461">
        <f>+AY90+AY92</f>
        <v>13.324999999999999</v>
      </c>
      <c r="AZ89" s="402">
        <f t="shared" ref="AZ89:BB89" si="355">AZ40/1000/24/AZ$3</f>
        <v>11.444532933045977</v>
      </c>
      <c r="BA89" s="1149">
        <f t="shared" si="355"/>
        <v>13.324999999999999</v>
      </c>
      <c r="BB89" s="1149">
        <f t="shared" si="355"/>
        <v>12.398594901243781</v>
      </c>
      <c r="BC89" s="461">
        <f>+BC90+BC92</f>
        <v>13.324999999999999</v>
      </c>
      <c r="BD89" s="402">
        <f t="shared" ref="BD89:BJ89" si="356">BD40/1000/24/BD$3</f>
        <v>11.459500069623653</v>
      </c>
      <c r="BE89" s="1150">
        <f t="shared" si="356"/>
        <v>13.325000000000001</v>
      </c>
      <c r="BF89" s="1150">
        <f t="shared" si="356"/>
        <v>11.597737988278386</v>
      </c>
      <c r="BG89" s="1151">
        <f t="shared" si="356"/>
        <v>13.324999999999999</v>
      </c>
      <c r="BH89" s="1151">
        <f t="shared" si="356"/>
        <v>11.882661761202186</v>
      </c>
      <c r="BI89" s="1149">
        <f t="shared" si="356"/>
        <v>13.324999999999999</v>
      </c>
      <c r="BJ89" s="1149">
        <f t="shared" si="356"/>
        <v>12.319054082172132</v>
      </c>
      <c r="BK89" s="5726"/>
      <c r="BL89" s="2062"/>
    </row>
    <row r="90" spans="1:64" x14ac:dyDescent="0.25">
      <c r="G90" s="1134" t="s">
        <v>798</v>
      </c>
      <c r="H90" s="1012" t="s">
        <v>760</v>
      </c>
      <c r="I90" s="461">
        <f>+I91</f>
        <v>7.8</v>
      </c>
      <c r="J90" s="402">
        <f t="shared" si="308"/>
        <v>7.4822468055555538</v>
      </c>
      <c r="K90" s="461">
        <f>+K91</f>
        <v>7.8</v>
      </c>
      <c r="L90" s="402">
        <f t="shared" ref="L90" si="357">L41/1000/24/L$3</f>
        <v>6.9743841397849469</v>
      </c>
      <c r="M90" s="1149">
        <f t="shared" si="310"/>
        <v>7.8</v>
      </c>
      <c r="N90" s="1149">
        <f t="shared" si="310"/>
        <v>7.2241526639344267</v>
      </c>
      <c r="O90" s="461">
        <f>+O91</f>
        <v>7.8</v>
      </c>
      <c r="P90" s="402">
        <f t="shared" si="311"/>
        <v>7.2583866666666674</v>
      </c>
      <c r="Q90" s="1150">
        <f t="shared" si="311"/>
        <v>7.8000000000000007</v>
      </c>
      <c r="R90" s="1150">
        <f t="shared" si="311"/>
        <v>7.2354385989010988</v>
      </c>
      <c r="S90" s="461">
        <f>+S91</f>
        <v>7.8</v>
      </c>
      <c r="T90" s="402">
        <f t="shared" si="312"/>
        <v>7.530268817204302</v>
      </c>
      <c r="U90" s="1149">
        <f t="shared" si="312"/>
        <v>7.8</v>
      </c>
      <c r="V90" s="1149">
        <f t="shared" si="312"/>
        <v>7.3103544740437156</v>
      </c>
      <c r="W90" s="461">
        <f>+W91</f>
        <v>7.8</v>
      </c>
      <c r="X90" s="402">
        <f t="shared" si="313"/>
        <v>7.520310080645161</v>
      </c>
      <c r="Y90" s="1149">
        <f t="shared" si="313"/>
        <v>7.7999999999999989</v>
      </c>
      <c r="Z90" s="1149">
        <f t="shared" si="313"/>
        <v>7.3528944989106755</v>
      </c>
      <c r="AA90" s="461">
        <f>+AA91</f>
        <v>7.8</v>
      </c>
      <c r="AB90" s="402">
        <f t="shared" ref="AB90" si="358">AB41/1000/24/AB$3</f>
        <v>7.5851556944444471</v>
      </c>
      <c r="AC90" s="1150">
        <f t="shared" si="323"/>
        <v>7.8</v>
      </c>
      <c r="AD90" s="1150">
        <f t="shared" si="323"/>
        <v>7.544811050724638</v>
      </c>
      <c r="AE90" s="1151">
        <f t="shared" si="323"/>
        <v>7.7999999999999989</v>
      </c>
      <c r="AF90" s="1151">
        <f t="shared" si="323"/>
        <v>7.3909701047358842</v>
      </c>
      <c r="AG90" s="461">
        <f>+AG91</f>
        <v>7.8</v>
      </c>
      <c r="AH90" s="402">
        <f t="shared" si="314"/>
        <v>7.6123865591397841</v>
      </c>
      <c r="AI90" s="1149">
        <f t="shared" ref="AI90:AJ90" si="359">AI41/1000/24/AI$3</f>
        <v>7.8</v>
      </c>
      <c r="AJ90" s="1149">
        <f t="shared" si="359"/>
        <v>7.4230444509345794</v>
      </c>
      <c r="AK90" s="461">
        <f>+AK91</f>
        <v>7.8</v>
      </c>
      <c r="AL90" s="402">
        <f t="shared" si="316"/>
        <v>7.5057475000000098</v>
      </c>
      <c r="AM90" s="1149">
        <f t="shared" si="316"/>
        <v>7.8</v>
      </c>
      <c r="AN90" s="1149">
        <f t="shared" si="316"/>
        <v>7.4332128586065602</v>
      </c>
      <c r="AO90" s="461">
        <f>+AO91</f>
        <v>7.8</v>
      </c>
      <c r="AP90" s="402">
        <f t="shared" ref="AP90:AT90" si="360">AP41/1000/24/AP$3</f>
        <v>7.4615298387096702</v>
      </c>
      <c r="AQ90" s="1150">
        <f t="shared" si="360"/>
        <v>7.8</v>
      </c>
      <c r="AR90" s="1150">
        <f t="shared" si="360"/>
        <v>7.5267807971014493</v>
      </c>
      <c r="AS90" s="1149">
        <f t="shared" si="360"/>
        <v>7.8</v>
      </c>
      <c r="AT90" s="1149">
        <f t="shared" si="360"/>
        <v>7.4364049545454556</v>
      </c>
      <c r="AU90" s="461">
        <f>+AU91</f>
        <v>7.8</v>
      </c>
      <c r="AV90" s="402">
        <f t="shared" ref="AV90:AX90" si="361">AV41/1000/24/AV$3</f>
        <v>7.379159139784945</v>
      </c>
      <c r="AW90" s="1149">
        <f t="shared" si="361"/>
        <v>7.7999999999999989</v>
      </c>
      <c r="AX90" s="1149">
        <f t="shared" si="361"/>
        <v>7.4306055419389994</v>
      </c>
      <c r="AY90" s="461">
        <f>+AY91</f>
        <v>7.8</v>
      </c>
      <c r="AZ90" s="402">
        <f t="shared" ref="AZ90:BB90" si="362">AZ41/1000/24/AZ$3</f>
        <v>7.4801468390804535</v>
      </c>
      <c r="BA90" s="1149">
        <f t="shared" si="362"/>
        <v>7.8</v>
      </c>
      <c r="BB90" s="1149">
        <f t="shared" si="362"/>
        <v>7.4348941915422886</v>
      </c>
      <c r="BC90" s="461">
        <f>+BC91</f>
        <v>7.8</v>
      </c>
      <c r="BD90" s="402">
        <f t="shared" ref="BD90:BJ90" si="363">BD41/1000/24/BD$3</f>
        <v>7.413765188172043</v>
      </c>
      <c r="BE90" s="1150">
        <f t="shared" si="363"/>
        <v>7.8000000000000007</v>
      </c>
      <c r="BF90" s="1150">
        <f t="shared" si="363"/>
        <v>7.4231309065934044</v>
      </c>
      <c r="BG90" s="1151">
        <f t="shared" si="363"/>
        <v>7.7999999999999989</v>
      </c>
      <c r="BH90" s="1151">
        <f t="shared" si="363"/>
        <v>7.4752390482695796</v>
      </c>
      <c r="BI90" s="1149">
        <f t="shared" si="363"/>
        <v>7.7999999999999989</v>
      </c>
      <c r="BJ90" s="1149">
        <f t="shared" si="363"/>
        <v>7.4331045765027319</v>
      </c>
      <c r="BK90" s="5726"/>
      <c r="BL90" s="2062"/>
    </row>
    <row r="91" spans="1:64" x14ac:dyDescent="0.25">
      <c r="G91" s="1123" t="s">
        <v>799</v>
      </c>
      <c r="H91" s="336" t="s">
        <v>761</v>
      </c>
      <c r="I91" s="397">
        <v>7.8</v>
      </c>
      <c r="J91" s="398">
        <f t="shared" si="308"/>
        <v>7.4822468055555538</v>
      </c>
      <c r="K91" s="397">
        <v>7.8</v>
      </c>
      <c r="L91" s="398">
        <f t="shared" ref="L91" si="364">L42/1000/24/L$3</f>
        <v>6.9743841397849469</v>
      </c>
      <c r="M91" s="1145">
        <f t="shared" si="310"/>
        <v>7.8</v>
      </c>
      <c r="N91" s="1145">
        <f t="shared" si="310"/>
        <v>7.2241526639344267</v>
      </c>
      <c r="O91" s="397">
        <v>7.8</v>
      </c>
      <c r="P91" s="398">
        <f t="shared" si="311"/>
        <v>7.2583866666666674</v>
      </c>
      <c r="Q91" s="1146">
        <f t="shared" si="311"/>
        <v>7.8000000000000007</v>
      </c>
      <c r="R91" s="1146">
        <f t="shared" si="311"/>
        <v>7.2354385989010988</v>
      </c>
      <c r="S91" s="397">
        <v>7.8</v>
      </c>
      <c r="T91" s="398">
        <f t="shared" si="312"/>
        <v>7.530268817204302</v>
      </c>
      <c r="U91" s="1145">
        <f t="shared" si="312"/>
        <v>7.8</v>
      </c>
      <c r="V91" s="1145">
        <f t="shared" si="312"/>
        <v>7.3103544740437156</v>
      </c>
      <c r="W91" s="460">
        <v>7.8</v>
      </c>
      <c r="X91" s="398">
        <f t="shared" si="313"/>
        <v>7.520310080645161</v>
      </c>
      <c r="Y91" s="1145">
        <f t="shared" si="313"/>
        <v>7.7999999999999989</v>
      </c>
      <c r="Z91" s="1145">
        <f t="shared" si="313"/>
        <v>7.3528944989106755</v>
      </c>
      <c r="AA91" s="460">
        <v>7.8</v>
      </c>
      <c r="AB91" s="398">
        <f t="shared" ref="AB91" si="365">AB42/1000/24/AB$3</f>
        <v>7.5851556944444471</v>
      </c>
      <c r="AC91" s="1146">
        <f t="shared" si="323"/>
        <v>7.8</v>
      </c>
      <c r="AD91" s="1146">
        <f t="shared" si="323"/>
        <v>7.544811050724638</v>
      </c>
      <c r="AE91" s="1147">
        <f t="shared" si="323"/>
        <v>7.7999999999999989</v>
      </c>
      <c r="AF91" s="1147">
        <f t="shared" si="323"/>
        <v>7.3909701047358842</v>
      </c>
      <c r="AG91" s="397">
        <v>7.8</v>
      </c>
      <c r="AH91" s="398">
        <f t="shared" si="314"/>
        <v>7.6123865591397841</v>
      </c>
      <c r="AI91" s="1145">
        <f t="shared" ref="AI91:AJ91" si="366">AI42/1000/24/AI$3</f>
        <v>7.8</v>
      </c>
      <c r="AJ91" s="1145">
        <f t="shared" si="366"/>
        <v>7.4230444509345794</v>
      </c>
      <c r="AK91" s="397">
        <v>7.8</v>
      </c>
      <c r="AL91" s="398">
        <f t="shared" si="316"/>
        <v>7.5057475000000098</v>
      </c>
      <c r="AM91" s="1145">
        <f t="shared" si="316"/>
        <v>7.8</v>
      </c>
      <c r="AN91" s="1145">
        <f t="shared" si="316"/>
        <v>7.4332128586065602</v>
      </c>
      <c r="AO91" s="397">
        <v>7.8</v>
      </c>
      <c r="AP91" s="398">
        <f t="shared" ref="AP91:AT91" si="367">AP42/1000/24/AP$3</f>
        <v>7.4615298387096702</v>
      </c>
      <c r="AQ91" s="1146">
        <f t="shared" si="367"/>
        <v>7.8</v>
      </c>
      <c r="AR91" s="1146">
        <f t="shared" si="367"/>
        <v>7.5267807971014493</v>
      </c>
      <c r="AS91" s="1145">
        <f t="shared" si="367"/>
        <v>7.8</v>
      </c>
      <c r="AT91" s="1145">
        <f t="shared" si="367"/>
        <v>7.4364049545454556</v>
      </c>
      <c r="AU91" s="397">
        <v>7.8</v>
      </c>
      <c r="AV91" s="398">
        <f t="shared" ref="AV91:AX91" si="368">AV42/1000/24/AV$3</f>
        <v>7.379159139784945</v>
      </c>
      <c r="AW91" s="1145">
        <f t="shared" si="368"/>
        <v>7.7999999999999989</v>
      </c>
      <c r="AX91" s="1145">
        <f t="shared" si="368"/>
        <v>7.4306055419389994</v>
      </c>
      <c r="AY91" s="397">
        <v>7.8</v>
      </c>
      <c r="AZ91" s="398">
        <f t="shared" ref="AZ91:BB91" si="369">AZ42/1000/24/AZ$3</f>
        <v>7.4801468390804535</v>
      </c>
      <c r="BA91" s="1145">
        <f t="shared" si="369"/>
        <v>7.8</v>
      </c>
      <c r="BB91" s="1145">
        <f t="shared" si="369"/>
        <v>7.4348941915422886</v>
      </c>
      <c r="BC91" s="397">
        <v>7.8</v>
      </c>
      <c r="BD91" s="398">
        <f t="shared" ref="BD91:BJ91" si="370">BD42/1000/24/BD$3</f>
        <v>7.413765188172043</v>
      </c>
      <c r="BE91" s="1146">
        <f t="shared" si="370"/>
        <v>7.8000000000000007</v>
      </c>
      <c r="BF91" s="1146">
        <f t="shared" si="370"/>
        <v>7.4231309065934044</v>
      </c>
      <c r="BG91" s="1147">
        <f t="shared" si="370"/>
        <v>7.7999999999999989</v>
      </c>
      <c r="BH91" s="1147">
        <f t="shared" si="370"/>
        <v>7.4752390482695796</v>
      </c>
      <c r="BI91" s="1145">
        <f t="shared" si="370"/>
        <v>7.7999999999999989</v>
      </c>
      <c r="BJ91" s="1145">
        <f t="shared" si="370"/>
        <v>7.4331045765027319</v>
      </c>
      <c r="BK91" s="5726"/>
      <c r="BL91" s="2062"/>
    </row>
    <row r="92" spans="1:64" x14ac:dyDescent="0.25">
      <c r="G92" s="1134" t="s">
        <v>800</v>
      </c>
      <c r="H92" s="1012" t="s">
        <v>762</v>
      </c>
      <c r="I92" s="401">
        <f>+SUM(I93:I96)</f>
        <v>5.5250000000000004</v>
      </c>
      <c r="J92" s="402">
        <f t="shared" si="308"/>
        <v>5.084859041944445</v>
      </c>
      <c r="K92" s="401">
        <f>+SUM(K93:K96)</f>
        <v>5.5250000000000004</v>
      </c>
      <c r="L92" s="402">
        <f t="shared" ref="L92" si="371">L43/1000/24/L$3</f>
        <v>5.3806955215053787</v>
      </c>
      <c r="M92" s="1149">
        <f t="shared" si="310"/>
        <v>5.5250000000000004</v>
      </c>
      <c r="N92" s="1149">
        <f t="shared" si="310"/>
        <v>5.2352021709016414</v>
      </c>
      <c r="O92" s="401">
        <f>+SUM(O93:O96)</f>
        <v>5.5250000000000004</v>
      </c>
      <c r="P92" s="402">
        <f t="shared" si="311"/>
        <v>5.5453721627777695</v>
      </c>
      <c r="Q92" s="1150">
        <f t="shared" si="311"/>
        <v>5.5250000000000004</v>
      </c>
      <c r="R92" s="1150">
        <f t="shared" si="311"/>
        <v>5.3374560143772891</v>
      </c>
      <c r="S92" s="401">
        <f>+SUM(S93:S96)</f>
        <v>5.5250000000000004</v>
      </c>
      <c r="T92" s="402">
        <f t="shared" si="312"/>
        <v>5.3392475771505321</v>
      </c>
      <c r="U92" s="1149">
        <f t="shared" si="312"/>
        <v>5.5250000000000004</v>
      </c>
      <c r="V92" s="1149">
        <f t="shared" si="312"/>
        <v>5.3379112475409816</v>
      </c>
      <c r="W92" s="461">
        <f>+SUM(W93:W96)</f>
        <v>5.5250000000000004</v>
      </c>
      <c r="X92" s="402">
        <f t="shared" si="313"/>
        <v>5.19068805026882</v>
      </c>
      <c r="Y92" s="1149">
        <f t="shared" si="313"/>
        <v>5.5249999999999995</v>
      </c>
      <c r="Z92" s="1149">
        <f t="shared" si="313"/>
        <v>5.3080817108387786</v>
      </c>
      <c r="AA92" s="461">
        <f>+SUM(AA93:AA96)</f>
        <v>5.5250000000000004</v>
      </c>
      <c r="AB92" s="402">
        <f t="shared" ref="AB92" si="372">AB43/1000/24/AB$3</f>
        <v>5.6520886949999989</v>
      </c>
      <c r="AC92" s="1150">
        <f t="shared" si="323"/>
        <v>5.5250000000000004</v>
      </c>
      <c r="AD92" s="1150">
        <f t="shared" si="323"/>
        <v>5.3912028836956498</v>
      </c>
      <c r="AE92" s="1151">
        <f t="shared" si="323"/>
        <v>5.5249999999999995</v>
      </c>
      <c r="AF92" s="1151">
        <f t="shared" si="323"/>
        <v>5.364476298406192</v>
      </c>
      <c r="AG92" s="401">
        <f>+SUM(AG93:AG96)</f>
        <v>5.5250000000000004</v>
      </c>
      <c r="AH92" s="402">
        <f t="shared" si="314"/>
        <v>5.2362707419354813</v>
      </c>
      <c r="AI92" s="1149">
        <f t="shared" ref="AI92:AJ92" si="373">AI43/1000/24/AI$3</f>
        <v>5.5250000000000004</v>
      </c>
      <c r="AJ92" s="1149">
        <f t="shared" si="373"/>
        <v>5.3459044654595003</v>
      </c>
      <c r="AK92" s="401">
        <f>+SUM(AK93:AK96)</f>
        <v>5.5250000000000004</v>
      </c>
      <c r="AL92" s="402">
        <f t="shared" si="316"/>
        <v>4.5622132944444438</v>
      </c>
      <c r="AM92" s="1149">
        <f t="shared" si="316"/>
        <v>5.5250000000000004</v>
      </c>
      <c r="AN92" s="1149">
        <f t="shared" si="316"/>
        <v>5.249548993613387</v>
      </c>
      <c r="AO92" s="401">
        <f>+SUM(AO93:AO96)</f>
        <v>5.5250000000000004</v>
      </c>
      <c r="AP92" s="402">
        <f t="shared" ref="AP92:AT92" si="374">AP43/1000/24/AP$3</f>
        <v>4.1122038774193577</v>
      </c>
      <c r="AQ92" s="1150">
        <f t="shared" si="374"/>
        <v>5.5250000000000004</v>
      </c>
      <c r="AR92" s="1150">
        <f t="shared" si="374"/>
        <v>4.6377077394927531</v>
      </c>
      <c r="AS92" s="1149">
        <f t="shared" si="374"/>
        <v>5.5250000000000004</v>
      </c>
      <c r="AT92" s="1149">
        <f t="shared" si="374"/>
        <v>5.1213391805151502</v>
      </c>
      <c r="AU92" s="401">
        <f>+SUM(AU93:AU96)</f>
        <v>5.5250000000000004</v>
      </c>
      <c r="AV92" s="402">
        <f t="shared" ref="AV92:AX92" si="375">AV43/1000/24/AV$3</f>
        <v>4.500137625268815</v>
      </c>
      <c r="AW92" s="1149">
        <f t="shared" si="375"/>
        <v>5.5249999999999995</v>
      </c>
      <c r="AX92" s="1149">
        <f t="shared" si="375"/>
        <v>5.0584069968137246</v>
      </c>
      <c r="AY92" s="401">
        <f>+SUM(AY93:AY96)</f>
        <v>5.5250000000000004</v>
      </c>
      <c r="AZ92" s="402">
        <f t="shared" ref="AZ92:BB92" si="376">AZ43/1000/24/AZ$3</f>
        <v>3.964386093965524</v>
      </c>
      <c r="BA92" s="1149">
        <f t="shared" si="376"/>
        <v>5.5250000000000004</v>
      </c>
      <c r="BB92" s="1149">
        <f t="shared" si="376"/>
        <v>4.9637007097014916</v>
      </c>
      <c r="BC92" s="401">
        <f>+SUM(BC93:BC96)</f>
        <v>5.5250000000000004</v>
      </c>
      <c r="BD92" s="402">
        <f t="shared" ref="BD92:BJ92" si="377">BD43/1000/24/BD$3</f>
        <v>4.0457348814516099</v>
      </c>
      <c r="BE92" s="1150">
        <f t="shared" si="377"/>
        <v>5.5250000000000004</v>
      </c>
      <c r="BF92" s="1150">
        <f t="shared" si="377"/>
        <v>4.1746070816849814</v>
      </c>
      <c r="BG92" s="1151">
        <f t="shared" si="377"/>
        <v>5.5249999999999995</v>
      </c>
      <c r="BH92" s="1151">
        <f t="shared" si="377"/>
        <v>4.4074227129326049</v>
      </c>
      <c r="BI92" s="1149">
        <f t="shared" si="377"/>
        <v>5.5249999999999995</v>
      </c>
      <c r="BJ92" s="1149">
        <f t="shared" si="377"/>
        <v>4.8859495056693989</v>
      </c>
      <c r="BK92" s="5726"/>
      <c r="BL92" s="2062"/>
    </row>
    <row r="93" spans="1:64" x14ac:dyDescent="0.25">
      <c r="G93" s="1123" t="s">
        <v>801</v>
      </c>
      <c r="H93" s="336" t="s">
        <v>763</v>
      </c>
      <c r="I93" s="460">
        <v>0.52500000000000002</v>
      </c>
      <c r="J93" s="398">
        <f t="shared" si="308"/>
        <v>0.5566300113888889</v>
      </c>
      <c r="K93" s="460">
        <v>0.52500000000000002</v>
      </c>
      <c r="L93" s="398">
        <f t="shared" ref="L93" si="378">L44/1000/24/L$3</f>
        <v>0.61535502956989352</v>
      </c>
      <c r="M93" s="1145">
        <f t="shared" si="310"/>
        <v>0.52500000000000002</v>
      </c>
      <c r="N93" s="1145">
        <f t="shared" si="310"/>
        <v>0.58647387308743226</v>
      </c>
      <c r="O93" s="460">
        <v>0.52500000000000002</v>
      </c>
      <c r="P93" s="398">
        <f t="shared" si="311"/>
        <v>0.67937285583333196</v>
      </c>
      <c r="Q93" s="1146">
        <f t="shared" si="311"/>
        <v>0.52500000000000002</v>
      </c>
      <c r="R93" s="1146">
        <f t="shared" si="311"/>
        <v>0.61709991135531128</v>
      </c>
      <c r="S93" s="460">
        <v>0.52500000000000002</v>
      </c>
      <c r="T93" s="398">
        <f t="shared" si="312"/>
        <v>0.66613138763441027</v>
      </c>
      <c r="U93" s="1145">
        <f t="shared" si="312"/>
        <v>0.52500000000000002</v>
      </c>
      <c r="V93" s="1145">
        <f t="shared" si="312"/>
        <v>0.62955872909836108</v>
      </c>
      <c r="W93" s="460">
        <v>0.52500000000000002</v>
      </c>
      <c r="X93" s="398">
        <f t="shared" si="313"/>
        <v>0.66812831505376136</v>
      </c>
      <c r="Y93" s="1145">
        <f t="shared" si="313"/>
        <v>0.52500000000000002</v>
      </c>
      <c r="Z93" s="1145">
        <f t="shared" si="313"/>
        <v>0.63737348180827869</v>
      </c>
      <c r="AA93" s="460">
        <v>0.52500000000000002</v>
      </c>
      <c r="AB93" s="398">
        <f t="shared" ref="AB93" si="379">AB44/1000/24/AB$3</f>
        <v>0.66725543527777875</v>
      </c>
      <c r="AC93" s="1146">
        <f t="shared" si="323"/>
        <v>0.52500000000000002</v>
      </c>
      <c r="AD93" s="1146">
        <f t="shared" si="323"/>
        <v>0.66717080262681172</v>
      </c>
      <c r="AE93" s="1147">
        <f t="shared" si="323"/>
        <v>0.52500000000000002</v>
      </c>
      <c r="AF93" s="1147">
        <f t="shared" si="323"/>
        <v>0.64227216270491816</v>
      </c>
      <c r="AG93" s="460">
        <v>0.52500000000000002</v>
      </c>
      <c r="AH93" s="398">
        <f t="shared" si="314"/>
        <v>0.7130373817204283</v>
      </c>
      <c r="AI93" s="1145">
        <f t="shared" ref="AI93:AJ93" si="380">AI44/1000/24/AI$3</f>
        <v>0.52500000000000002</v>
      </c>
      <c r="AJ93" s="1145">
        <f t="shared" si="380"/>
        <v>0.65252319910436118</v>
      </c>
      <c r="AK93" s="460">
        <v>0.52500000000000002</v>
      </c>
      <c r="AL93" s="398">
        <f t="shared" si="316"/>
        <v>0.59577980833333355</v>
      </c>
      <c r="AM93" s="1145">
        <f t="shared" si="316"/>
        <v>0.52500000000000002</v>
      </c>
      <c r="AN93" s="1145">
        <f t="shared" si="316"/>
        <v>0.64554655269808736</v>
      </c>
      <c r="AO93" s="460">
        <v>0.52500000000000002</v>
      </c>
      <c r="AP93" s="398">
        <f t="shared" ref="AP93:AT93" si="381">AP44/1000/24/AP$3</f>
        <v>0.51765119462365683</v>
      </c>
      <c r="AQ93" s="1146">
        <f t="shared" si="381"/>
        <v>0.52500000000000002</v>
      </c>
      <c r="AR93" s="1146">
        <f t="shared" si="381"/>
        <v>0.60896456648550701</v>
      </c>
      <c r="AS93" s="1145">
        <f t="shared" si="381"/>
        <v>0.52500000000000002</v>
      </c>
      <c r="AT93" s="1145">
        <f t="shared" si="381"/>
        <v>0.63112925778787887</v>
      </c>
      <c r="AU93" s="460">
        <v>0.52500000000000002</v>
      </c>
      <c r="AV93" s="398">
        <f t="shared" ref="AV93:AX93" si="382">AV44/1000/24/AV$3</f>
        <v>0.54451715887096896</v>
      </c>
      <c r="AW93" s="1145">
        <f t="shared" si="382"/>
        <v>0.52500000000000002</v>
      </c>
      <c r="AX93" s="1145">
        <f t="shared" si="382"/>
        <v>0.62235482946623111</v>
      </c>
      <c r="AY93" s="460">
        <v>0.52500000000000002</v>
      </c>
      <c r="AZ93" s="398">
        <f t="shared" ref="AZ93:BB93" si="383">AZ44/1000/24/AZ$3</f>
        <v>0.50156254511494158</v>
      </c>
      <c r="BA93" s="1145">
        <f t="shared" si="383"/>
        <v>0.52500000000000002</v>
      </c>
      <c r="BB93" s="1145">
        <f t="shared" si="383"/>
        <v>0.611898183955224</v>
      </c>
      <c r="BC93" s="460">
        <v>0.52500000000000002</v>
      </c>
      <c r="BD93" s="398">
        <f t="shared" ref="BD93:BJ93" si="384">BD44/1000/24/BD$3</f>
        <v>0.51724686263440878</v>
      </c>
      <c r="BE93" s="1146">
        <f t="shared" si="384"/>
        <v>0.52500000000000002</v>
      </c>
      <c r="BF93" s="1146">
        <f t="shared" si="384"/>
        <v>0.52153844478021993</v>
      </c>
      <c r="BG93" s="1147">
        <f t="shared" si="384"/>
        <v>0.52500000000000002</v>
      </c>
      <c r="BH93" s="1147">
        <f t="shared" si="384"/>
        <v>0.56549037481785047</v>
      </c>
      <c r="BI93" s="1145">
        <f t="shared" si="384"/>
        <v>0.52500000000000002</v>
      </c>
      <c r="BJ93" s="1145">
        <f t="shared" si="384"/>
        <v>0.60388126876138448</v>
      </c>
      <c r="BK93" s="5726"/>
      <c r="BL93" s="2062"/>
    </row>
    <row r="94" spans="1:64" x14ac:dyDescent="0.25">
      <c r="G94" s="1123" t="s">
        <v>802</v>
      </c>
      <c r="H94" s="336" t="s">
        <v>764</v>
      </c>
      <c r="I94" s="460">
        <v>3.5</v>
      </c>
      <c r="J94" s="398">
        <f t="shared" si="308"/>
        <v>3.5538160333333377</v>
      </c>
      <c r="K94" s="460">
        <v>3.5</v>
      </c>
      <c r="L94" s="398">
        <f t="shared" ref="L94" si="385">L45/1000/24/L$3</f>
        <v>3.6288645725806465</v>
      </c>
      <c r="M94" s="1145">
        <f t="shared" si="310"/>
        <v>3.5</v>
      </c>
      <c r="N94" s="1145">
        <f t="shared" si="310"/>
        <v>3.5919554549180357</v>
      </c>
      <c r="O94" s="460">
        <v>3.5</v>
      </c>
      <c r="P94" s="398">
        <f t="shared" si="311"/>
        <v>4.0828910291666629</v>
      </c>
      <c r="Q94" s="1146">
        <f t="shared" si="311"/>
        <v>3.5</v>
      </c>
      <c r="R94" s="1146">
        <f t="shared" si="311"/>
        <v>3.7538023475274733</v>
      </c>
      <c r="S94" s="460">
        <v>3.5</v>
      </c>
      <c r="T94" s="398">
        <f t="shared" si="312"/>
        <v>3.8858165241935474</v>
      </c>
      <c r="U94" s="1145">
        <f t="shared" si="312"/>
        <v>3.5</v>
      </c>
      <c r="V94" s="1145">
        <f t="shared" si="312"/>
        <v>3.7873469334016394</v>
      </c>
      <c r="W94" s="460">
        <v>3.5</v>
      </c>
      <c r="X94" s="398">
        <f t="shared" si="313"/>
        <v>3.66756123924731</v>
      </c>
      <c r="Y94" s="1145">
        <f t="shared" si="313"/>
        <v>3.5</v>
      </c>
      <c r="Z94" s="1145">
        <f t="shared" si="313"/>
        <v>3.7630766293572981</v>
      </c>
      <c r="AA94" s="460">
        <v>3.5</v>
      </c>
      <c r="AB94" s="398">
        <f t="shared" ref="AB94" si="386">AB45/1000/24/AB$3</f>
        <v>3.7537545291666659</v>
      </c>
      <c r="AC94" s="1146">
        <f t="shared" si="323"/>
        <v>3.5</v>
      </c>
      <c r="AD94" s="1146">
        <f t="shared" si="323"/>
        <v>3.7692102884963754</v>
      </c>
      <c r="AE94" s="1147">
        <f t="shared" si="323"/>
        <v>3.5</v>
      </c>
      <c r="AF94" s="1147">
        <f t="shared" si="323"/>
        <v>3.7615484162112933</v>
      </c>
      <c r="AG94" s="460">
        <v>3.5</v>
      </c>
      <c r="AH94" s="398">
        <f t="shared" si="314"/>
        <v>3.1189880107526919</v>
      </c>
      <c r="AI94" s="1145">
        <f t="shared" ref="AI94:AJ94" si="387">AI45/1000/24/AI$3</f>
        <v>3.5</v>
      </c>
      <c r="AJ94" s="1145">
        <f t="shared" si="387"/>
        <v>3.6684672359813093</v>
      </c>
      <c r="AK94" s="460">
        <v>3.5</v>
      </c>
      <c r="AL94" s="398">
        <f t="shared" si="316"/>
        <v>2.5921538124999941</v>
      </c>
      <c r="AM94" s="1145">
        <f t="shared" si="316"/>
        <v>3.5</v>
      </c>
      <c r="AN94" s="1145">
        <f t="shared" si="316"/>
        <v>3.5361336183401644</v>
      </c>
      <c r="AO94" s="460">
        <v>3.5</v>
      </c>
      <c r="AP94" s="398">
        <f t="shared" ref="AP94:AT94" si="388">AP45/1000/24/AP$3</f>
        <v>2.7128803225806446</v>
      </c>
      <c r="AQ94" s="1146">
        <f t="shared" si="388"/>
        <v>3.5</v>
      </c>
      <c r="AR94" s="1146">
        <f t="shared" si="388"/>
        <v>2.8103536163949268</v>
      </c>
      <c r="AS94" s="1145">
        <f t="shared" si="388"/>
        <v>3.5</v>
      </c>
      <c r="AT94" s="1145">
        <f t="shared" si="388"/>
        <v>3.4433305195454551</v>
      </c>
      <c r="AU94" s="460">
        <v>3.5</v>
      </c>
      <c r="AV94" s="398">
        <f t="shared" ref="AV94:AX94" si="389">AV45/1000/24/AV$3</f>
        <v>3.0265608481182795</v>
      </c>
      <c r="AW94" s="1145">
        <f t="shared" si="389"/>
        <v>3.5</v>
      </c>
      <c r="AX94" s="1145">
        <f t="shared" si="389"/>
        <v>3.4011087554466237</v>
      </c>
      <c r="AY94" s="460">
        <v>3.5</v>
      </c>
      <c r="AZ94" s="398">
        <f t="shared" ref="AZ94:BB94" si="390">AZ45/1000/24/AZ$3</f>
        <v>2.644505462643679</v>
      </c>
      <c r="BA94" s="1145">
        <f t="shared" si="390"/>
        <v>3.5</v>
      </c>
      <c r="BB94" s="1145">
        <f t="shared" si="390"/>
        <v>3.3356117539801002</v>
      </c>
      <c r="BC94" s="460">
        <v>3.5</v>
      </c>
      <c r="BD94" s="398">
        <f t="shared" ref="BD94:BJ94" si="391">BD45/1000/24/BD$3</f>
        <v>2.7533011317204283</v>
      </c>
      <c r="BE94" s="1146">
        <f t="shared" si="391"/>
        <v>3.5</v>
      </c>
      <c r="BF94" s="1146">
        <f t="shared" si="391"/>
        <v>2.8117184592490836</v>
      </c>
      <c r="BG94" s="1147">
        <f t="shared" si="391"/>
        <v>3.5</v>
      </c>
      <c r="BH94" s="1147">
        <f t="shared" si="391"/>
        <v>2.8110323087431688</v>
      </c>
      <c r="BI94" s="1145">
        <f t="shared" si="391"/>
        <v>3.5</v>
      </c>
      <c r="BJ94" s="1145">
        <f t="shared" si="391"/>
        <v>3.2862903624772319</v>
      </c>
      <c r="BK94" s="5726"/>
      <c r="BL94" s="2062"/>
    </row>
    <row r="95" spans="1:64" x14ac:dyDescent="0.25">
      <c r="G95" s="1123" t="s">
        <v>803</v>
      </c>
      <c r="H95" s="336" t="s">
        <v>765</v>
      </c>
      <c r="I95" s="460">
        <v>0.6</v>
      </c>
      <c r="J95" s="398">
        <f t="shared" si="308"/>
        <v>0.49139999999999678</v>
      </c>
      <c r="K95" s="460">
        <v>0.6</v>
      </c>
      <c r="L95" s="398">
        <f t="shared" ref="L95" si="392">L46/1000/24/L$3</f>
        <v>0.67861827956989251</v>
      </c>
      <c r="M95" s="1145">
        <f t="shared" si="310"/>
        <v>0.6</v>
      </c>
      <c r="N95" s="1145">
        <f t="shared" si="310"/>
        <v>0.58654371584699294</v>
      </c>
      <c r="O95" s="460">
        <v>0.6</v>
      </c>
      <c r="P95" s="398">
        <f t="shared" si="311"/>
        <v>0.28618888888888566</v>
      </c>
      <c r="Q95" s="1146">
        <f t="shared" si="311"/>
        <v>0.6</v>
      </c>
      <c r="R95" s="1146">
        <f t="shared" si="311"/>
        <v>0.48752564102563889</v>
      </c>
      <c r="S95" s="460">
        <v>0.6</v>
      </c>
      <c r="T95" s="398">
        <f t="shared" si="312"/>
        <v>0.32086021505375717</v>
      </c>
      <c r="U95" s="1145">
        <f t="shared" si="312"/>
        <v>0.6</v>
      </c>
      <c r="V95" s="1145">
        <f t="shared" si="312"/>
        <v>0.44517622950819358</v>
      </c>
      <c r="W95" s="460">
        <v>0.6</v>
      </c>
      <c r="X95" s="398">
        <f t="shared" si="313"/>
        <v>0.28505268817204932</v>
      </c>
      <c r="Y95" s="1145">
        <f t="shared" si="313"/>
        <v>0.6</v>
      </c>
      <c r="Z95" s="1145">
        <f t="shared" si="313"/>
        <v>0.41273289760348453</v>
      </c>
      <c r="AA95" s="460">
        <v>0.6</v>
      </c>
      <c r="AB95" s="398">
        <f t="shared" ref="AB95" si="393">AB46/1000/24/AB$3</f>
        <v>0.64527888888888729</v>
      </c>
      <c r="AC95" s="1146">
        <f t="shared" si="323"/>
        <v>0.6</v>
      </c>
      <c r="AD95" s="1146">
        <f t="shared" si="323"/>
        <v>0.4145833333333328</v>
      </c>
      <c r="AE95" s="1147">
        <f t="shared" si="323"/>
        <v>0.6</v>
      </c>
      <c r="AF95" s="1147">
        <f t="shared" si="323"/>
        <v>0.45085519125682927</v>
      </c>
      <c r="AG95" s="460">
        <v>0.6</v>
      </c>
      <c r="AH95" s="398">
        <f t="shared" si="314"/>
        <v>0.77449354838709206</v>
      </c>
      <c r="AI95" s="1145">
        <f t="shared" ref="AI95:AJ95" si="394">AI46/1000/24/AI$3</f>
        <v>0.6</v>
      </c>
      <c r="AJ95" s="1145">
        <f t="shared" si="394"/>
        <v>0.49773738317756827</v>
      </c>
      <c r="AK95" s="460">
        <v>0.6</v>
      </c>
      <c r="AL95" s="398">
        <f t="shared" si="316"/>
        <v>0.73395222222222711</v>
      </c>
      <c r="AM95" s="1145">
        <f t="shared" si="316"/>
        <v>0.6</v>
      </c>
      <c r="AN95" s="1145">
        <f t="shared" si="316"/>
        <v>0.52678019125682973</v>
      </c>
      <c r="AO95" s="460">
        <v>0.6</v>
      </c>
      <c r="AP95" s="398">
        <f t="shared" ref="AP95:AT95" si="395">AP46/1000/24/AP$3</f>
        <v>0.24636881720430268</v>
      </c>
      <c r="AQ95" s="1146">
        <f t="shared" si="395"/>
        <v>0.6</v>
      </c>
      <c r="AR95" s="1146">
        <f t="shared" si="395"/>
        <v>0.58331847826087013</v>
      </c>
      <c r="AS95" s="1145">
        <f t="shared" si="395"/>
        <v>0.6</v>
      </c>
      <c r="AT95" s="1145">
        <f t="shared" si="395"/>
        <v>0.49517018181818118</v>
      </c>
      <c r="AU95" s="460">
        <v>0.6</v>
      </c>
      <c r="AV95" s="398">
        <f t="shared" ref="AV95:AX95" si="396">AV46/1000/24/AV$3</f>
        <v>0.33050537634408295</v>
      </c>
      <c r="AW95" s="1145">
        <f t="shared" si="396"/>
        <v>0.6</v>
      </c>
      <c r="AX95" s="1145">
        <f t="shared" si="396"/>
        <v>0.47848845315904054</v>
      </c>
      <c r="AY95" s="460">
        <v>0.6</v>
      </c>
      <c r="AZ95" s="398">
        <f t="shared" ref="AZ95:BB95" si="397">AZ46/1000/24/AZ$3</f>
        <v>0.27800689655173083</v>
      </c>
      <c r="BA95" s="1145">
        <f t="shared" si="397"/>
        <v>0.6</v>
      </c>
      <c r="BB95" s="1145">
        <f t="shared" si="397"/>
        <v>0.46113333333333312</v>
      </c>
      <c r="BC95" s="460">
        <v>0.6</v>
      </c>
      <c r="BD95" s="398">
        <f t="shared" ref="BD95:BJ95" si="398">BD46/1000/24/BD$3</f>
        <v>0.26719139784946239</v>
      </c>
      <c r="BE95" s="1146">
        <f t="shared" si="398"/>
        <v>0.6</v>
      </c>
      <c r="BF95" s="1146">
        <f t="shared" si="398"/>
        <v>0.29220659340659449</v>
      </c>
      <c r="BG95" s="1147">
        <f t="shared" si="398"/>
        <v>0.6</v>
      </c>
      <c r="BH95" s="1147">
        <f t="shared" si="398"/>
        <v>0.43855792349726863</v>
      </c>
      <c r="BI95" s="1145">
        <f t="shared" si="398"/>
        <v>0.6</v>
      </c>
      <c r="BJ95" s="1145">
        <f t="shared" si="398"/>
        <v>0.44470655737704895</v>
      </c>
      <c r="BK95" s="5726"/>
      <c r="BL95" s="2062"/>
    </row>
    <row r="96" spans="1:64" ht="15.75" thickBot="1" x14ac:dyDescent="0.3">
      <c r="G96" s="1123" t="s">
        <v>804</v>
      </c>
      <c r="H96" s="336" t="s">
        <v>766</v>
      </c>
      <c r="I96" s="463">
        <v>0.9</v>
      </c>
      <c r="J96" s="403">
        <f t="shared" si="308"/>
        <v>0.48301299722222224</v>
      </c>
      <c r="K96" s="463">
        <v>0.9</v>
      </c>
      <c r="L96" s="403">
        <f t="shared" ref="L96" si="399">L47/1000/24/L$3</f>
        <v>0.45785763978494604</v>
      </c>
      <c r="M96" s="1152">
        <f t="shared" si="310"/>
        <v>0.9</v>
      </c>
      <c r="N96" s="1152">
        <f t="shared" si="310"/>
        <v>0.47022912704918013</v>
      </c>
      <c r="O96" s="463">
        <v>0.9</v>
      </c>
      <c r="P96" s="403">
        <f t="shared" si="311"/>
        <v>0.49691938888888948</v>
      </c>
      <c r="Q96" s="1153">
        <f t="shared" si="311"/>
        <v>0.89999999999999991</v>
      </c>
      <c r="R96" s="1153">
        <f t="shared" si="311"/>
        <v>0.47902811446886462</v>
      </c>
      <c r="S96" s="463">
        <v>0.9</v>
      </c>
      <c r="T96" s="403">
        <f t="shared" si="312"/>
        <v>0.46643945026881717</v>
      </c>
      <c r="U96" s="1152">
        <f t="shared" si="312"/>
        <v>0.9</v>
      </c>
      <c r="V96" s="1152">
        <f t="shared" si="312"/>
        <v>0.47582935553278694</v>
      </c>
      <c r="W96" s="463">
        <v>0.9</v>
      </c>
      <c r="X96" s="403">
        <f t="shared" si="313"/>
        <v>0.5699458077956987</v>
      </c>
      <c r="Y96" s="1152">
        <f t="shared" si="313"/>
        <v>0.90000000000000013</v>
      </c>
      <c r="Z96" s="1152">
        <f t="shared" si="313"/>
        <v>0.49489870206971676</v>
      </c>
      <c r="AA96" s="463">
        <v>0.9</v>
      </c>
      <c r="AB96" s="403">
        <f t="shared" ref="AB96" si="400">AB47/1000/24/AB$3</f>
        <v>0.58579984166666643</v>
      </c>
      <c r="AC96" s="1153">
        <f t="shared" si="323"/>
        <v>0.9</v>
      </c>
      <c r="AD96" s="1153">
        <f t="shared" si="323"/>
        <v>0.54023845923913028</v>
      </c>
      <c r="AE96" s="1154">
        <f t="shared" si="323"/>
        <v>0.90000000000000013</v>
      </c>
      <c r="AF96" s="1154">
        <f t="shared" si="323"/>
        <v>0.50980052823315125</v>
      </c>
      <c r="AG96" s="463">
        <v>0.9</v>
      </c>
      <c r="AH96" s="403">
        <f t="shared" si="314"/>
        <v>0.62975180107526918</v>
      </c>
      <c r="AI96" s="1152">
        <f t="shared" ref="AI96:AJ96" si="401">AI47/1000/24/AI$3</f>
        <v>0.9</v>
      </c>
      <c r="AJ96" s="1152">
        <f t="shared" si="401"/>
        <v>0.52717664719626178</v>
      </c>
      <c r="AK96" s="463">
        <v>0.9</v>
      </c>
      <c r="AL96" s="403">
        <f t="shared" si="316"/>
        <v>0.64032745138888858</v>
      </c>
      <c r="AM96" s="1152">
        <f t="shared" si="316"/>
        <v>0.9</v>
      </c>
      <c r="AN96" s="1152">
        <f t="shared" si="316"/>
        <v>0.54108863131830598</v>
      </c>
      <c r="AO96" s="463">
        <v>0.9</v>
      </c>
      <c r="AP96" s="403">
        <f t="shared" ref="AP96:AT96" si="402">AP47/1000/24/AP$3</f>
        <v>0.63530354301075265</v>
      </c>
      <c r="AQ96" s="1153">
        <f t="shared" si="402"/>
        <v>0.9</v>
      </c>
      <c r="AR96" s="1153">
        <f t="shared" si="402"/>
        <v>0.63507107835144938</v>
      </c>
      <c r="AS96" s="1152">
        <f t="shared" si="402"/>
        <v>0.9</v>
      </c>
      <c r="AT96" s="1152">
        <f t="shared" si="402"/>
        <v>0.55170922136363643</v>
      </c>
      <c r="AU96" s="463">
        <v>0.9</v>
      </c>
      <c r="AV96" s="403">
        <f t="shared" ref="AV96:AX96" si="403">AV47/1000/24/AV$3</f>
        <v>0.59855424193548412</v>
      </c>
      <c r="AW96" s="1152">
        <f t="shared" si="403"/>
        <v>0.90000000000000013</v>
      </c>
      <c r="AX96" s="1152">
        <f t="shared" si="403"/>
        <v>0.55645495874183015</v>
      </c>
      <c r="AY96" s="463">
        <v>0.9</v>
      </c>
      <c r="AZ96" s="403">
        <f t="shared" ref="AZ96:BB96" si="404">AZ47/1000/24/AZ$3</f>
        <v>0.54031118965517266</v>
      </c>
      <c r="BA96" s="1152">
        <f t="shared" si="404"/>
        <v>0.9</v>
      </c>
      <c r="BB96" s="1152">
        <f t="shared" si="404"/>
        <v>0.55505743843283584</v>
      </c>
      <c r="BC96" s="463">
        <v>0.9</v>
      </c>
      <c r="BD96" s="403">
        <f t="shared" ref="BD96:BJ96" si="405">BD47/1000/24/BD$3</f>
        <v>0.50799548924731119</v>
      </c>
      <c r="BE96" s="1153">
        <f t="shared" si="405"/>
        <v>0.89999999999999991</v>
      </c>
      <c r="BF96" s="1153">
        <f t="shared" si="405"/>
        <v>0.54914358424908427</v>
      </c>
      <c r="BG96" s="1154">
        <f t="shared" si="405"/>
        <v>0.90000000000000013</v>
      </c>
      <c r="BH96" s="1154">
        <f t="shared" si="405"/>
        <v>0.5923421058743169</v>
      </c>
      <c r="BI96" s="1152">
        <f t="shared" si="405"/>
        <v>0.90000000000000013</v>
      </c>
      <c r="BJ96" s="1152">
        <f t="shared" si="405"/>
        <v>0.55107131705373402</v>
      </c>
      <c r="BK96" s="5726"/>
      <c r="BL96" s="2062"/>
    </row>
    <row r="97" spans="19:64" x14ac:dyDescent="0.25">
      <c r="BL97" s="1518"/>
    </row>
    <row r="109" spans="19:64" x14ac:dyDescent="0.25">
      <c r="S109" s="188"/>
      <c r="T109" s="122"/>
    </row>
  </sheetData>
  <mergeCells count="56">
    <mergeCell ref="AQ4:AR4"/>
    <mergeCell ref="AQ53:AR53"/>
    <mergeCell ref="C4:C5"/>
    <mergeCell ref="C49:C50"/>
    <mergeCell ref="I4:J4"/>
    <mergeCell ref="K4:L4"/>
    <mergeCell ref="AC4:AD4"/>
    <mergeCell ref="O4:P4"/>
    <mergeCell ref="M4:N4"/>
    <mergeCell ref="S4:T4"/>
    <mergeCell ref="U4:V4"/>
    <mergeCell ref="Q4:R4"/>
    <mergeCell ref="W4:X4"/>
    <mergeCell ref="Y4:Z4"/>
    <mergeCell ref="AA4:AB4"/>
    <mergeCell ref="AA53:AB53"/>
    <mergeCell ref="I53:J53"/>
    <mergeCell ref="K53:L53"/>
    <mergeCell ref="AC53:AD53"/>
    <mergeCell ref="O53:P53"/>
    <mergeCell ref="M53:N53"/>
    <mergeCell ref="S53:T53"/>
    <mergeCell ref="U53:V53"/>
    <mergeCell ref="Q53:R53"/>
    <mergeCell ref="W53:X53"/>
    <mergeCell ref="Y53:Z53"/>
    <mergeCell ref="AG4:AH4"/>
    <mergeCell ref="AI4:AJ4"/>
    <mergeCell ref="AG53:AH53"/>
    <mergeCell ref="AI53:AJ53"/>
    <mergeCell ref="AE4:AF4"/>
    <mergeCell ref="AE53:AF53"/>
    <mergeCell ref="AY4:AZ4"/>
    <mergeCell ref="BA4:BB4"/>
    <mergeCell ref="AY53:AZ53"/>
    <mergeCell ref="BA53:BB53"/>
    <mergeCell ref="AK4:AL4"/>
    <mergeCell ref="AM4:AN4"/>
    <mergeCell ref="AK53:AL53"/>
    <mergeCell ref="AM53:AN53"/>
    <mergeCell ref="AU4:AV4"/>
    <mergeCell ref="AW4:AX4"/>
    <mergeCell ref="AU53:AV53"/>
    <mergeCell ref="AW53:AX53"/>
    <mergeCell ref="AO4:AP4"/>
    <mergeCell ref="AS4:AT4"/>
    <mergeCell ref="AO53:AP53"/>
    <mergeCell ref="AS53:AT53"/>
    <mergeCell ref="BC4:BD4"/>
    <mergeCell ref="BI4:BJ4"/>
    <mergeCell ref="BC53:BD53"/>
    <mergeCell ref="BI53:BJ53"/>
    <mergeCell ref="BE4:BF4"/>
    <mergeCell ref="BG4:BH4"/>
    <mergeCell ref="BE53:BF53"/>
    <mergeCell ref="BG53:BH53"/>
  </mergeCells>
  <pageMargins left="0.45" right="0.45" top="0.5" bottom="0.5" header="0.3" footer="0.3"/>
  <pageSetup scale="37" orientation="landscape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>
    <tabColor rgb="FF660033"/>
    <pageSetUpPr fitToPage="1"/>
  </sheetPr>
  <dimension ref="A1:BI300"/>
  <sheetViews>
    <sheetView zoomScaleNormal="100" workbookViewId="0">
      <pane xSplit="3" topLeftCell="D1" activePane="topRight" state="frozen"/>
      <selection pane="topRight" activeCell="AV1" sqref="AV1:AW1048576"/>
    </sheetView>
  </sheetViews>
  <sheetFormatPr defaultColWidth="8.85546875" defaultRowHeight="15" x14ac:dyDescent="0.25"/>
  <cols>
    <col min="2" max="2" width="55.85546875" customWidth="1"/>
    <col min="3" max="3" width="18" customWidth="1"/>
    <col min="4" max="7" width="9.85546875" bestFit="1" customWidth="1"/>
    <col min="8" max="9" width="9.85546875" hidden="1" customWidth="1"/>
    <col min="10" max="10" width="9.85546875" customWidth="1"/>
    <col min="11" max="11" width="9.85546875" bestFit="1" customWidth="1"/>
    <col min="12" max="12" width="9.85546875" customWidth="1"/>
    <col min="13" max="15" width="9.85546875" bestFit="1" customWidth="1"/>
    <col min="16" max="16" width="11.28515625" hidden="1" customWidth="1"/>
    <col min="17" max="17" width="9.85546875" hidden="1" customWidth="1"/>
    <col min="18" max="19" width="9.85546875" bestFit="1" customWidth="1"/>
    <col min="20" max="21" width="11.28515625" hidden="1" customWidth="1"/>
    <col min="22" max="22" width="9.85546875" customWidth="1"/>
    <col min="23" max="25" width="9.85546875" bestFit="1" customWidth="1"/>
    <col min="26" max="27" width="11.28515625" bestFit="1" customWidth="1"/>
    <col min="28" max="29" width="9.85546875" bestFit="1" customWidth="1"/>
    <col min="30" max="31" width="11.28515625" hidden="1" customWidth="1"/>
    <col min="32" max="33" width="9.85546875" bestFit="1" customWidth="1"/>
    <col min="34" max="35" width="11.28515625" hidden="1" customWidth="1"/>
    <col min="36" max="37" width="9.85546875" bestFit="1" customWidth="1"/>
    <col min="38" max="39" width="9.85546875" style="4365" bestFit="1" customWidth="1"/>
    <col min="40" max="41" width="11.28515625" hidden="1" customWidth="1"/>
    <col min="42" max="43" width="9.85546875" bestFit="1" customWidth="1"/>
    <col min="44" max="45" width="11.28515625" hidden="1" customWidth="1"/>
    <col min="46" max="47" width="9.85546875" bestFit="1" customWidth="1"/>
    <col min="48" max="49" width="11.28515625" hidden="1" customWidth="1"/>
    <col min="50" max="51" width="9.85546875" bestFit="1" customWidth="1"/>
    <col min="52" max="53" width="9.85546875" style="5211" customWidth="1"/>
    <col min="54" max="55" width="11.28515625" style="5211" bestFit="1" customWidth="1"/>
    <col min="56" max="57" width="11.28515625" bestFit="1" customWidth="1"/>
  </cols>
  <sheetData>
    <row r="1" spans="1:61" ht="22.5" x14ac:dyDescent="0.3">
      <c r="B1" s="465" t="s">
        <v>1144</v>
      </c>
      <c r="C1" s="59"/>
      <c r="D1" s="633"/>
      <c r="E1" s="59"/>
      <c r="F1" s="59"/>
      <c r="G1" s="59"/>
      <c r="H1" s="59"/>
      <c r="I1" s="59"/>
      <c r="J1" s="188"/>
      <c r="K1" s="188"/>
      <c r="L1" s="122"/>
      <c r="M1" s="122"/>
      <c r="N1" s="188"/>
      <c r="O1" s="188"/>
      <c r="P1" s="122"/>
      <c r="Q1" s="122"/>
      <c r="R1" s="122"/>
      <c r="S1" s="122"/>
      <c r="T1" s="122"/>
      <c r="U1" s="122"/>
      <c r="V1" s="122"/>
      <c r="W1" s="122"/>
      <c r="X1" s="122"/>
      <c r="Y1" s="122"/>
      <c r="Z1" s="122"/>
      <c r="AA1" s="122"/>
    </row>
    <row r="2" spans="1:61" ht="15.75" thickBot="1" x14ac:dyDescent="0.3">
      <c r="B2" s="59"/>
      <c r="C2" s="59"/>
      <c r="D2" s="476">
        <v>30</v>
      </c>
      <c r="E2" s="126">
        <v>30</v>
      </c>
      <c r="F2" s="126">
        <v>31</v>
      </c>
      <c r="G2" s="126">
        <v>31</v>
      </c>
      <c r="H2" s="126">
        <f>+D2+F2</f>
        <v>61</v>
      </c>
      <c r="I2" s="126">
        <f>+E2+G2</f>
        <v>61</v>
      </c>
      <c r="J2" s="476">
        <v>30</v>
      </c>
      <c r="K2" s="476">
        <v>30</v>
      </c>
      <c r="L2" s="126">
        <f>+H2+J2</f>
        <v>91</v>
      </c>
      <c r="M2" s="126">
        <f>+I2+K2</f>
        <v>91</v>
      </c>
      <c r="N2" s="476">
        <v>31</v>
      </c>
      <c r="O2" s="476">
        <v>31</v>
      </c>
      <c r="P2" s="126">
        <f>+L2+N2</f>
        <v>122</v>
      </c>
      <c r="Q2" s="126">
        <f>+M2+O2</f>
        <v>122</v>
      </c>
      <c r="R2" s="126">
        <v>31</v>
      </c>
      <c r="S2" s="126">
        <v>31</v>
      </c>
      <c r="T2" s="126">
        <f>+P2+R2</f>
        <v>153</v>
      </c>
      <c r="U2" s="126">
        <f>+Q2+S2</f>
        <v>153</v>
      </c>
      <c r="V2" s="126">
        <v>30</v>
      </c>
      <c r="W2" s="126">
        <v>30</v>
      </c>
      <c r="X2" s="126">
        <f>+N2+R2+V2</f>
        <v>92</v>
      </c>
      <c r="Y2" s="126">
        <f>+O2+S2+W2</f>
        <v>92</v>
      </c>
      <c r="Z2" s="126">
        <f>+T2+V2</f>
        <v>183</v>
      </c>
      <c r="AA2" s="126">
        <f>+U2+W2</f>
        <v>183</v>
      </c>
      <c r="AB2" s="126">
        <v>31</v>
      </c>
      <c r="AC2" s="126">
        <v>31</v>
      </c>
      <c r="AD2" s="126">
        <f>+Z2+AB2</f>
        <v>214</v>
      </c>
      <c r="AE2" s="126">
        <f>+AA2+AC2</f>
        <v>214</v>
      </c>
      <c r="AF2" s="126">
        <v>30</v>
      </c>
      <c r="AG2" s="126">
        <v>30</v>
      </c>
      <c r="AH2" s="126">
        <f>+AD2+AF2</f>
        <v>244</v>
      </c>
      <c r="AI2" s="126">
        <f>+AE2+AG2</f>
        <v>244</v>
      </c>
      <c r="AJ2" s="126">
        <v>31</v>
      </c>
      <c r="AK2" s="126">
        <v>31</v>
      </c>
      <c r="AL2" s="126">
        <f>+AB2+AF2+AJ2</f>
        <v>92</v>
      </c>
      <c r="AM2" s="126">
        <f>+AC2+AG2+AK2</f>
        <v>92</v>
      </c>
      <c r="AN2" s="126">
        <f>+AH2+AJ2</f>
        <v>275</v>
      </c>
      <c r="AO2" s="126">
        <f>+AI2+AK2</f>
        <v>275</v>
      </c>
      <c r="AP2" s="126">
        <v>31</v>
      </c>
      <c r="AQ2" s="126">
        <v>31</v>
      </c>
      <c r="AR2" s="126">
        <f>+AN2+AP2</f>
        <v>306</v>
      </c>
      <c r="AS2" s="126">
        <f>+AO2+AQ2</f>
        <v>306</v>
      </c>
      <c r="AT2" s="126">
        <v>29</v>
      </c>
      <c r="AU2" s="126">
        <v>29</v>
      </c>
      <c r="AV2" s="126">
        <f>+AR2+AT2</f>
        <v>335</v>
      </c>
      <c r="AW2" s="126">
        <f>+AS2+AU2</f>
        <v>335</v>
      </c>
      <c r="AX2" s="126">
        <v>31</v>
      </c>
      <c r="AY2" s="126">
        <v>31</v>
      </c>
      <c r="AZ2" s="126">
        <f>+AP2+AT2+AX2</f>
        <v>91</v>
      </c>
      <c r="BA2" s="126">
        <f>+AQ2+AU2+AY2</f>
        <v>91</v>
      </c>
      <c r="BB2" s="126">
        <f>AZ2+AL2</f>
        <v>183</v>
      </c>
      <c r="BC2" s="126">
        <f>BA2+AM2</f>
        <v>183</v>
      </c>
      <c r="BD2" s="126">
        <f>+AV2+AX2</f>
        <v>366</v>
      </c>
      <c r="BE2" s="126">
        <f>+AW2+AY2</f>
        <v>366</v>
      </c>
    </row>
    <row r="3" spans="1:61" ht="16.5" thickTop="1" thickBot="1" x14ac:dyDescent="0.3">
      <c r="B3" s="6506" t="s">
        <v>175</v>
      </c>
      <c r="C3" s="6509" t="s">
        <v>176</v>
      </c>
      <c r="D3" s="6045" t="s">
        <v>1470</v>
      </c>
      <c r="E3" s="6063"/>
      <c r="F3" s="6045" t="s">
        <v>1526</v>
      </c>
      <c r="G3" s="6045"/>
      <c r="H3" s="6046" t="s">
        <v>15</v>
      </c>
      <c r="I3" s="6047"/>
      <c r="J3" s="6076" t="s">
        <v>1620</v>
      </c>
      <c r="K3" s="6077"/>
      <c r="L3" s="6078" t="s">
        <v>658</v>
      </c>
      <c r="M3" s="6508"/>
      <c r="N3" s="6076" t="s">
        <v>1688</v>
      </c>
      <c r="O3" s="6077"/>
      <c r="P3" s="6489" t="s">
        <v>18</v>
      </c>
      <c r="Q3" s="6490"/>
      <c r="R3" s="6076" t="s">
        <v>1731</v>
      </c>
      <c r="S3" s="6077"/>
      <c r="T3" s="6489" t="s">
        <v>19</v>
      </c>
      <c r="U3" s="6490"/>
      <c r="V3" s="6076" t="s">
        <v>1766</v>
      </c>
      <c r="W3" s="6077"/>
      <c r="X3" s="6078" t="s">
        <v>682</v>
      </c>
      <c r="Y3" s="6079"/>
      <c r="Z3" s="6143" t="s">
        <v>679</v>
      </c>
      <c r="AA3" s="6075"/>
      <c r="AB3" s="6076" t="s">
        <v>1831</v>
      </c>
      <c r="AC3" s="6077"/>
      <c r="AD3" s="6489" t="s">
        <v>26</v>
      </c>
      <c r="AE3" s="6490"/>
      <c r="AF3" s="6076" t="s">
        <v>1863</v>
      </c>
      <c r="AG3" s="6077"/>
      <c r="AH3" s="6489" t="s">
        <v>29</v>
      </c>
      <c r="AI3" s="6490"/>
      <c r="AJ3" s="6076" t="s">
        <v>1888</v>
      </c>
      <c r="AK3" s="6077"/>
      <c r="AL3" s="6078" t="s">
        <v>682</v>
      </c>
      <c r="AM3" s="6079"/>
      <c r="AN3" s="6489" t="s">
        <v>1890</v>
      </c>
      <c r="AO3" s="6490"/>
      <c r="AP3" s="6076" t="s">
        <v>1918</v>
      </c>
      <c r="AQ3" s="6077"/>
      <c r="AR3" s="6489" t="s">
        <v>30</v>
      </c>
      <c r="AS3" s="6490"/>
      <c r="AT3" s="6076" t="s">
        <v>1940</v>
      </c>
      <c r="AU3" s="6077"/>
      <c r="AV3" s="6489" t="s">
        <v>32</v>
      </c>
      <c r="AW3" s="6490"/>
      <c r="AX3" s="6076" t="s">
        <v>1965</v>
      </c>
      <c r="AY3" s="6077"/>
      <c r="AZ3" s="6078" t="s">
        <v>685</v>
      </c>
      <c r="BA3" s="6079"/>
      <c r="BB3" s="6143" t="s">
        <v>693</v>
      </c>
      <c r="BC3" s="6075"/>
      <c r="BD3" s="6489" t="s">
        <v>1513</v>
      </c>
      <c r="BE3" s="6490"/>
    </row>
    <row r="4" spans="1:61" ht="15.75" thickBot="1" x14ac:dyDescent="0.3">
      <c r="B4" s="6507"/>
      <c r="C4" s="6062"/>
      <c r="D4" s="271" t="s">
        <v>177</v>
      </c>
      <c r="E4" s="191" t="s">
        <v>178</v>
      </c>
      <c r="F4" s="667" t="s">
        <v>177</v>
      </c>
      <c r="G4" s="214" t="s">
        <v>178</v>
      </c>
      <c r="H4" s="179" t="s">
        <v>177</v>
      </c>
      <c r="I4" s="256" t="s">
        <v>178</v>
      </c>
      <c r="J4" s="2089" t="s">
        <v>177</v>
      </c>
      <c r="K4" s="477" t="s">
        <v>178</v>
      </c>
      <c r="L4" s="850" t="s">
        <v>177</v>
      </c>
      <c r="M4" s="833" t="s">
        <v>178</v>
      </c>
      <c r="N4" s="2089" t="s">
        <v>177</v>
      </c>
      <c r="O4" s="477" t="s">
        <v>178</v>
      </c>
      <c r="P4" s="2135" t="s">
        <v>177</v>
      </c>
      <c r="Q4" s="2136" t="s">
        <v>178</v>
      </c>
      <c r="R4" s="2089" t="s">
        <v>177</v>
      </c>
      <c r="S4" s="214" t="s">
        <v>178</v>
      </c>
      <c r="T4" s="2135" t="s">
        <v>177</v>
      </c>
      <c r="U4" s="2136" t="s">
        <v>178</v>
      </c>
      <c r="V4" s="2089" t="s">
        <v>177</v>
      </c>
      <c r="W4" s="214" t="s">
        <v>178</v>
      </c>
      <c r="X4" s="850" t="s">
        <v>177</v>
      </c>
      <c r="Y4" s="206" t="s">
        <v>178</v>
      </c>
      <c r="Z4" s="851" t="s">
        <v>177</v>
      </c>
      <c r="AA4" s="599" t="s">
        <v>178</v>
      </c>
      <c r="AB4" s="2089" t="s">
        <v>177</v>
      </c>
      <c r="AC4" s="214" t="s">
        <v>178</v>
      </c>
      <c r="AD4" s="4131" t="s">
        <v>177</v>
      </c>
      <c r="AE4" s="2136" t="s">
        <v>178</v>
      </c>
      <c r="AF4" s="2089" t="s">
        <v>177</v>
      </c>
      <c r="AG4" s="214" t="s">
        <v>178</v>
      </c>
      <c r="AH4" s="4207" t="s">
        <v>177</v>
      </c>
      <c r="AI4" s="2136" t="s">
        <v>178</v>
      </c>
      <c r="AJ4" s="2089" t="s">
        <v>177</v>
      </c>
      <c r="AK4" s="214" t="s">
        <v>178</v>
      </c>
      <c r="AL4" s="4364" t="s">
        <v>177</v>
      </c>
      <c r="AM4" s="206" t="s">
        <v>178</v>
      </c>
      <c r="AN4" s="4360" t="s">
        <v>177</v>
      </c>
      <c r="AO4" s="2136" t="s">
        <v>178</v>
      </c>
      <c r="AP4" s="2089" t="s">
        <v>177</v>
      </c>
      <c r="AQ4" s="214" t="s">
        <v>178</v>
      </c>
      <c r="AR4" s="4466" t="s">
        <v>177</v>
      </c>
      <c r="AS4" s="2136" t="s">
        <v>178</v>
      </c>
      <c r="AT4" s="2089" t="s">
        <v>177</v>
      </c>
      <c r="AU4" s="214" t="s">
        <v>178</v>
      </c>
      <c r="AV4" s="4683" t="s">
        <v>177</v>
      </c>
      <c r="AW4" s="2136" t="s">
        <v>178</v>
      </c>
      <c r="AX4" s="2089" t="s">
        <v>177</v>
      </c>
      <c r="AY4" s="214" t="s">
        <v>178</v>
      </c>
      <c r="AZ4" s="5209" t="s">
        <v>177</v>
      </c>
      <c r="BA4" s="206" t="s">
        <v>178</v>
      </c>
      <c r="BB4" s="5210" t="s">
        <v>177</v>
      </c>
      <c r="BC4" s="599" t="s">
        <v>178</v>
      </c>
      <c r="BD4" s="5220" t="s">
        <v>177</v>
      </c>
      <c r="BE4" s="2136" t="s">
        <v>178</v>
      </c>
    </row>
    <row r="5" spans="1:61" ht="22.7" customHeight="1" x14ac:dyDescent="0.3">
      <c r="B5" s="1161" t="s">
        <v>464</v>
      </c>
      <c r="C5" s="253"/>
      <c r="D5" s="1162"/>
      <c r="E5" s="158"/>
      <c r="F5" s="158"/>
      <c r="G5" s="253"/>
      <c r="H5" s="253"/>
      <c r="I5" s="158"/>
      <c r="J5" s="2090"/>
      <c r="K5" s="2090"/>
      <c r="L5" s="158"/>
      <c r="M5" s="158"/>
      <c r="N5" s="2090"/>
      <c r="O5" s="2090"/>
      <c r="P5" s="158"/>
      <c r="Q5" s="158"/>
      <c r="R5" s="2090"/>
      <c r="S5" s="158"/>
      <c r="T5" s="158"/>
      <c r="U5" s="158"/>
      <c r="V5" s="2090"/>
      <c r="W5" s="158"/>
      <c r="X5" s="158"/>
      <c r="Y5" s="158"/>
      <c r="Z5" s="158"/>
      <c r="AA5" s="158"/>
      <c r="AB5" s="2090"/>
      <c r="AC5" s="158"/>
      <c r="AD5" s="158"/>
      <c r="AE5" s="158"/>
      <c r="AF5" s="2090"/>
      <c r="AG5" s="158"/>
      <c r="AH5" s="158"/>
      <c r="AI5" s="158"/>
      <c r="AJ5" s="2090"/>
      <c r="AK5" s="158"/>
      <c r="AL5" s="158"/>
      <c r="AM5" s="158"/>
      <c r="AN5" s="158"/>
      <c r="AO5" s="158"/>
      <c r="AP5" s="2090"/>
      <c r="AQ5" s="158"/>
      <c r="AR5" s="158"/>
      <c r="AS5" s="158"/>
      <c r="AT5" s="2090"/>
      <c r="AU5" s="158"/>
      <c r="AV5" s="158"/>
      <c r="AW5" s="158"/>
      <c r="AX5" s="2090"/>
      <c r="AY5" s="158"/>
      <c r="AZ5" s="158"/>
      <c r="BA5" s="158"/>
      <c r="BB5" s="158"/>
      <c r="BC5" s="158"/>
      <c r="BD5" s="158"/>
      <c r="BE5" s="158"/>
    </row>
    <row r="6" spans="1:61" ht="16.5" thickBot="1" x14ac:dyDescent="0.3">
      <c r="B6" s="3757" t="s">
        <v>686</v>
      </c>
      <c r="C6" s="2147"/>
      <c r="D6" s="3758"/>
      <c r="E6" s="2147"/>
      <c r="F6" s="3758"/>
      <c r="G6" s="2147"/>
      <c r="H6" s="2147"/>
      <c r="I6" s="2147"/>
      <c r="J6" s="3758"/>
      <c r="K6" s="3758"/>
      <c r="L6" s="2147"/>
      <c r="M6" s="2147"/>
      <c r="N6" s="3758"/>
      <c r="O6" s="3758"/>
      <c r="P6" s="2147"/>
      <c r="Q6" s="2147"/>
      <c r="R6" s="3758"/>
      <c r="S6" s="2147"/>
      <c r="T6" s="2147"/>
      <c r="U6" s="2147"/>
      <c r="V6" s="3758"/>
      <c r="W6" s="2147"/>
      <c r="X6" s="2147"/>
      <c r="Y6" s="2147"/>
      <c r="Z6" s="2147"/>
      <c r="AA6" s="2147"/>
      <c r="AB6" s="3758"/>
      <c r="AC6" s="2147"/>
      <c r="AD6" s="2147"/>
      <c r="AE6" s="2147"/>
      <c r="AF6" s="3758"/>
      <c r="AG6" s="2147"/>
      <c r="AH6" s="2147"/>
      <c r="AI6" s="2147"/>
      <c r="AJ6" s="3758"/>
      <c r="AK6" s="2147"/>
      <c r="AL6" s="2147"/>
      <c r="AM6" s="2147"/>
      <c r="AN6" s="2147"/>
      <c r="AO6" s="2147"/>
      <c r="AP6" s="3758"/>
      <c r="AQ6" s="2147"/>
      <c r="AR6" s="2147"/>
      <c r="AS6" s="2147"/>
      <c r="AT6" s="3758"/>
      <c r="AU6" s="2147"/>
      <c r="AV6" s="2147"/>
      <c r="AW6" s="2147"/>
      <c r="AX6" s="3758"/>
      <c r="AY6" s="2147"/>
      <c r="AZ6" s="2147"/>
      <c r="BA6" s="2147"/>
      <c r="BB6" s="2147"/>
      <c r="BC6" s="2147"/>
      <c r="BD6" s="2147"/>
      <c r="BE6" s="2147"/>
    </row>
    <row r="7" spans="1:61" ht="15.75" thickBot="1" x14ac:dyDescent="0.3">
      <c r="B7" s="1894" t="s">
        <v>382</v>
      </c>
      <c r="C7" s="1067" t="s">
        <v>401</v>
      </c>
      <c r="D7" s="1168">
        <v>0</v>
      </c>
      <c r="E7" s="117">
        <v>0</v>
      </c>
      <c r="F7" s="1168">
        <v>0</v>
      </c>
      <c r="G7" s="117">
        <v>0</v>
      </c>
      <c r="H7" s="3137">
        <f t="shared" ref="H7:I9" si="0">+D7+F7</f>
        <v>0</v>
      </c>
      <c r="I7" s="3759">
        <f t="shared" si="0"/>
        <v>0</v>
      </c>
      <c r="J7" s="2082">
        <v>0</v>
      </c>
      <c r="K7" s="2252">
        <v>0</v>
      </c>
      <c r="L7" s="859">
        <f t="shared" ref="L7" si="1">+H7+J7</f>
        <v>0</v>
      </c>
      <c r="M7" s="859">
        <f>E7+G7+K7</f>
        <v>0</v>
      </c>
      <c r="N7" s="241">
        <v>0</v>
      </c>
      <c r="O7" s="341">
        <v>0</v>
      </c>
      <c r="P7" s="994">
        <f t="shared" ref="P7:Q9" si="2">+L7+N7</f>
        <v>0</v>
      </c>
      <c r="Q7" s="3760">
        <f t="shared" si="2"/>
        <v>0</v>
      </c>
      <c r="R7" s="2082">
        <v>0</v>
      </c>
      <c r="S7" s="3761">
        <v>0</v>
      </c>
      <c r="T7" s="3137">
        <f t="shared" ref="T7:U9" si="3">+P7+R7</f>
        <v>0</v>
      </c>
      <c r="U7" s="3760">
        <f t="shared" si="3"/>
        <v>0</v>
      </c>
      <c r="V7" s="2082">
        <v>0</v>
      </c>
      <c r="W7" s="3761">
        <v>0</v>
      </c>
      <c r="X7" s="862">
        <f t="shared" ref="X7" si="4">+V7+R7+N7</f>
        <v>0</v>
      </c>
      <c r="Y7" s="2169">
        <f>+O7+S7+W7</f>
        <v>0</v>
      </c>
      <c r="Z7" s="860">
        <f t="shared" ref="Z7" si="5">+T7+V7</f>
        <v>0</v>
      </c>
      <c r="AA7" s="550">
        <f>M7+Y7</f>
        <v>0</v>
      </c>
      <c r="AB7" s="2082">
        <v>0</v>
      </c>
      <c r="AC7" s="3761">
        <v>0</v>
      </c>
      <c r="AD7" s="3137">
        <f t="shared" ref="AD7:AD9" si="6">+Z7+AB7</f>
        <v>0</v>
      </c>
      <c r="AE7" s="3760">
        <f t="shared" ref="AE7:AE9" si="7">+AA7+AC7</f>
        <v>0</v>
      </c>
      <c r="AF7" s="2082">
        <v>0</v>
      </c>
      <c r="AG7" s="3761">
        <v>0</v>
      </c>
      <c r="AH7" s="3137">
        <f t="shared" ref="AH7:AH9" si="8">+AD7+AF7</f>
        <v>0</v>
      </c>
      <c r="AI7" s="3760">
        <f t="shared" ref="AI7:AI9" si="9">+AE7+AG7</f>
        <v>0</v>
      </c>
      <c r="AJ7" s="2082">
        <v>0</v>
      </c>
      <c r="AK7" s="3761">
        <v>0</v>
      </c>
      <c r="AL7" s="862">
        <f t="shared" ref="AL7" si="10">+AJ7+AF7+AB7</f>
        <v>0</v>
      </c>
      <c r="AM7" s="2169">
        <f>+AC7+AG7+AK7</f>
        <v>0</v>
      </c>
      <c r="AN7" s="3137">
        <f t="shared" ref="AN7:AO9" si="11">+AH7+AJ7</f>
        <v>0</v>
      </c>
      <c r="AO7" s="3760">
        <f t="shared" si="11"/>
        <v>0</v>
      </c>
      <c r="AP7" s="2082">
        <v>0</v>
      </c>
      <c r="AQ7" s="3761">
        <v>0</v>
      </c>
      <c r="AR7" s="3137">
        <f t="shared" ref="AR7:AR9" si="12">+AN7+AP7</f>
        <v>0</v>
      </c>
      <c r="AS7" s="3760">
        <f t="shared" ref="AS7:AS9" si="13">+AO7+AQ7</f>
        <v>0</v>
      </c>
      <c r="AT7" s="2082">
        <v>0</v>
      </c>
      <c r="AU7" s="3761">
        <v>0</v>
      </c>
      <c r="AV7" s="3137">
        <f t="shared" ref="AV7:AV9" si="14">+AR7+AT7</f>
        <v>0</v>
      </c>
      <c r="AW7" s="3760">
        <f t="shared" ref="AW7:AW9" si="15">+AS7+AU7</f>
        <v>0</v>
      </c>
      <c r="AX7" s="2082">
        <v>0</v>
      </c>
      <c r="AY7" s="3761">
        <v>0</v>
      </c>
      <c r="AZ7" s="862">
        <f t="shared" ref="AZ7" si="16">+AX7+AT7+AP7</f>
        <v>0</v>
      </c>
      <c r="BA7" s="2169">
        <f>+AQ7+AU7+AY7</f>
        <v>0</v>
      </c>
      <c r="BB7" s="860">
        <f>+AL7+AZ7</f>
        <v>0</v>
      </c>
      <c r="BC7" s="860">
        <f>+AM7+BA7</f>
        <v>0</v>
      </c>
      <c r="BD7" s="3137">
        <f t="shared" ref="BD7:BD9" si="17">+AV7+AX7</f>
        <v>0</v>
      </c>
      <c r="BE7" s="3760">
        <f t="shared" ref="BE7:BE9" si="18">+AW7+AY7</f>
        <v>0</v>
      </c>
      <c r="BF7" s="26"/>
      <c r="BG7" s="26"/>
      <c r="BI7" s="5726"/>
    </row>
    <row r="8" spans="1:61" ht="15.75" thickBot="1" x14ac:dyDescent="0.3">
      <c r="B8" s="3624" t="s">
        <v>381</v>
      </c>
      <c r="C8" s="13" t="s">
        <v>401</v>
      </c>
      <c r="D8" s="3612">
        <f>D12*D2*24</f>
        <v>3240</v>
      </c>
      <c r="E8" s="18">
        <f>+'POWER DISTRIBUTION'!J9/1000</f>
        <v>3378.5</v>
      </c>
      <c r="F8" s="3612">
        <f>F12*F2*24</f>
        <v>3348</v>
      </c>
      <c r="G8" s="18">
        <f>+'POWER DISTRIBUTION'!L9/1000</f>
        <v>3779.9850000000001</v>
      </c>
      <c r="H8" s="3615">
        <f t="shared" si="0"/>
        <v>6588</v>
      </c>
      <c r="I8" s="712">
        <f t="shared" si="0"/>
        <v>7158.4850000000006</v>
      </c>
      <c r="J8" s="3612">
        <f>J12*J2*24</f>
        <v>3240</v>
      </c>
      <c r="K8" s="18">
        <f>+'POWER DISTRIBUTION'!P9/1000</f>
        <v>3883.3</v>
      </c>
      <c r="L8" s="3611">
        <f>D8+F8+J8</f>
        <v>9828</v>
      </c>
      <c r="M8" s="3611">
        <f>E8+G8+K8</f>
        <v>11041.785</v>
      </c>
      <c r="N8" s="3616">
        <f>N12*N2*24</f>
        <v>3348</v>
      </c>
      <c r="O8" s="3616">
        <f>+'POWER DISTRIBUTION'!T9/1000</f>
        <v>3902.9</v>
      </c>
      <c r="P8" s="524">
        <f t="shared" si="2"/>
        <v>13176</v>
      </c>
      <c r="Q8" s="3615">
        <f t="shared" si="2"/>
        <v>14944.684999999999</v>
      </c>
      <c r="R8" s="3616">
        <f>R12*R2*24</f>
        <v>3348</v>
      </c>
      <c r="S8" s="3616">
        <f>+'POWER DISTRIBUTION'!X9/1000</f>
        <v>3622.2</v>
      </c>
      <c r="T8" s="524">
        <f t="shared" si="3"/>
        <v>16524</v>
      </c>
      <c r="U8" s="3615">
        <f t="shared" si="3"/>
        <v>18566.884999999998</v>
      </c>
      <c r="V8" s="3616">
        <f>V12*V2*24</f>
        <v>3240</v>
      </c>
      <c r="W8" s="3616">
        <f>+'POWER DISTRIBUTION'!AB9/1000</f>
        <v>3893.5909999999999</v>
      </c>
      <c r="X8" s="3611">
        <f>+N8+R8+V8</f>
        <v>9936</v>
      </c>
      <c r="Y8" s="636">
        <f>+O8+S8+W8</f>
        <v>11418.691000000001</v>
      </c>
      <c r="Z8" s="772">
        <f>L8+X8</f>
        <v>19764</v>
      </c>
      <c r="AA8" s="546">
        <f>M8+Y8</f>
        <v>22460.476000000002</v>
      </c>
      <c r="AB8" s="3616">
        <f>AB12*AB2*24</f>
        <v>3348</v>
      </c>
      <c r="AC8" s="3616">
        <f>+'POWER DISTRIBUTION'!AH9/1000</f>
        <v>3682</v>
      </c>
      <c r="AD8" s="524">
        <f t="shared" si="6"/>
        <v>23112</v>
      </c>
      <c r="AE8" s="3615">
        <f t="shared" si="7"/>
        <v>26142.476000000002</v>
      </c>
      <c r="AF8" s="3616">
        <f>AF12*AF2*24</f>
        <v>3240</v>
      </c>
      <c r="AG8" s="3616">
        <f>+'POWER DISTRIBUTION'!AL9/1000</f>
        <v>3158.2</v>
      </c>
      <c r="AH8" s="524">
        <f t="shared" si="8"/>
        <v>26352</v>
      </c>
      <c r="AI8" s="3615">
        <f t="shared" si="9"/>
        <v>29300.676000000003</v>
      </c>
      <c r="AJ8" s="3616">
        <f>AJ12*AJ2*24</f>
        <v>3348</v>
      </c>
      <c r="AK8" s="3616">
        <f>+'POWER DISTRIBUTION'!AP9/1000</f>
        <v>2864</v>
      </c>
      <c r="AL8" s="4363">
        <f>+AB8+AF8+AJ8</f>
        <v>9936</v>
      </c>
      <c r="AM8" s="636">
        <f>+AC8+AG8+AK8</f>
        <v>9704.2000000000007</v>
      </c>
      <c r="AN8" s="524">
        <f t="shared" si="11"/>
        <v>29700</v>
      </c>
      <c r="AO8" s="3615">
        <f t="shared" si="11"/>
        <v>32164.676000000003</v>
      </c>
      <c r="AP8" s="3616">
        <f>AP12*AP2*24</f>
        <v>3348</v>
      </c>
      <c r="AQ8" s="3616">
        <f>+'POWER DISTRIBUTION'!AV9/1000</f>
        <v>3258.3</v>
      </c>
      <c r="AR8" s="524">
        <f t="shared" si="12"/>
        <v>33048</v>
      </c>
      <c r="AS8" s="3615">
        <f t="shared" si="13"/>
        <v>35422.976000000002</v>
      </c>
      <c r="AT8" s="3616">
        <f>AT12*AT2*24</f>
        <v>3132</v>
      </c>
      <c r="AU8" s="3616">
        <f>+'POWER DISTRIBUTION'!AZ9/1000</f>
        <v>2750.5</v>
      </c>
      <c r="AV8" s="524">
        <f t="shared" si="14"/>
        <v>36180</v>
      </c>
      <c r="AW8" s="3615">
        <f t="shared" si="15"/>
        <v>38173.476000000002</v>
      </c>
      <c r="AX8" s="3616">
        <f>AX12*AX2*24</f>
        <v>3348</v>
      </c>
      <c r="AY8" s="3616">
        <f>+'POWER DISTRIBUTION'!BD9/1000</f>
        <v>2891.8</v>
      </c>
      <c r="AZ8" s="5208">
        <f>+AP8+AT8+AX8</f>
        <v>9828</v>
      </c>
      <c r="BA8" s="636">
        <f>+AQ8+AU8+AY8</f>
        <v>8900.6</v>
      </c>
      <c r="BB8" s="860">
        <f t="shared" ref="BB8:BB9" si="19">+AL8+AZ8</f>
        <v>19764</v>
      </c>
      <c r="BC8" s="860">
        <f t="shared" ref="BC8:BC9" si="20">+AM8+BA8</f>
        <v>18604.800000000003</v>
      </c>
      <c r="BD8" s="524">
        <f t="shared" si="17"/>
        <v>39528</v>
      </c>
      <c r="BE8" s="3615">
        <f t="shared" si="18"/>
        <v>41065.276000000005</v>
      </c>
      <c r="BF8" s="26"/>
      <c r="BG8" s="26"/>
      <c r="BH8" s="5726"/>
      <c r="BI8" s="5726"/>
    </row>
    <row r="9" spans="1:61" ht="15.75" customHeight="1" thickBot="1" x14ac:dyDescent="0.3">
      <c r="B9" s="2604" t="s">
        <v>624</v>
      </c>
      <c r="C9" s="878" t="s">
        <v>401</v>
      </c>
      <c r="D9" s="2597"/>
      <c r="E9" s="52">
        <f>1986040/1000</f>
        <v>1986.04</v>
      </c>
      <c r="F9" s="2597"/>
      <c r="G9" s="52">
        <f>2306620/1000</f>
        <v>2306.62</v>
      </c>
      <c r="H9" s="711">
        <f t="shared" si="0"/>
        <v>0</v>
      </c>
      <c r="I9" s="711">
        <f t="shared" si="0"/>
        <v>4292.66</v>
      </c>
      <c r="J9" s="2597"/>
      <c r="K9" s="52">
        <f>2174214/1000</f>
        <v>2174.2139999999999</v>
      </c>
      <c r="L9" s="2056">
        <f>D9+F9+J9</f>
        <v>0</v>
      </c>
      <c r="M9" s="2056">
        <f>E9+G9+K9</f>
        <v>6466.8739999999998</v>
      </c>
      <c r="N9" s="3762"/>
      <c r="O9" s="273">
        <f>2231465/1000</f>
        <v>2231.4650000000001</v>
      </c>
      <c r="P9" s="867">
        <f t="shared" si="2"/>
        <v>0</v>
      </c>
      <c r="Q9" s="711">
        <f t="shared" si="2"/>
        <v>8698.3389999999999</v>
      </c>
      <c r="R9" s="3762"/>
      <c r="S9" s="273">
        <f>2282421/1000</f>
        <v>2282.4209999999998</v>
      </c>
      <c r="T9" s="867">
        <f t="shared" si="3"/>
        <v>0</v>
      </c>
      <c r="U9" s="711">
        <f t="shared" si="3"/>
        <v>10980.76</v>
      </c>
      <c r="V9" s="3762"/>
      <c r="W9" s="273">
        <f>2240570/1000</f>
        <v>2240.5700000000002</v>
      </c>
      <c r="X9" s="2056">
        <f>+N9+R9+V9</f>
        <v>0</v>
      </c>
      <c r="Y9" s="3763">
        <f>+O9+S9+W9</f>
        <v>6754.4560000000001</v>
      </c>
      <c r="Z9" s="869">
        <f>L9+X9</f>
        <v>0</v>
      </c>
      <c r="AA9" s="551">
        <f>M9+Y9</f>
        <v>13221.33</v>
      </c>
      <c r="AB9" s="3762">
        <v>0</v>
      </c>
      <c r="AC9" s="273">
        <f>2259830/1000</f>
        <v>2259.83</v>
      </c>
      <c r="AD9" s="867">
        <f t="shared" si="6"/>
        <v>0</v>
      </c>
      <c r="AE9" s="711">
        <f t="shared" si="7"/>
        <v>15481.16</v>
      </c>
      <c r="AF9" s="3762">
        <v>0</v>
      </c>
      <c r="AG9" s="273">
        <f>2034142/1000</f>
        <v>2034.1420000000001</v>
      </c>
      <c r="AH9" s="867">
        <f t="shared" si="8"/>
        <v>0</v>
      </c>
      <c r="AI9" s="711">
        <f t="shared" si="9"/>
        <v>17515.302</v>
      </c>
      <c r="AJ9" s="3762">
        <v>0</v>
      </c>
      <c r="AK9" s="273">
        <f>2011328/1000</f>
        <v>2011.328</v>
      </c>
      <c r="AL9" s="2056">
        <f>+AB9+AF9+AJ9</f>
        <v>0</v>
      </c>
      <c r="AM9" s="3763">
        <f>+AC9+AG9+AK9</f>
        <v>6305.2999999999993</v>
      </c>
      <c r="AN9" s="867">
        <f t="shared" si="11"/>
        <v>0</v>
      </c>
      <c r="AO9" s="711">
        <f t="shared" si="11"/>
        <v>19526.63</v>
      </c>
      <c r="AP9" s="3762">
        <v>0</v>
      </c>
      <c r="AQ9" s="273">
        <v>1994</v>
      </c>
      <c r="AR9" s="867">
        <f t="shared" si="12"/>
        <v>0</v>
      </c>
      <c r="AS9" s="711">
        <f t="shared" si="13"/>
        <v>21520.63</v>
      </c>
      <c r="AT9" s="3762">
        <v>0</v>
      </c>
      <c r="AU9" s="273">
        <v>1790.867</v>
      </c>
      <c r="AV9" s="867">
        <f t="shared" si="14"/>
        <v>0</v>
      </c>
      <c r="AW9" s="711">
        <f t="shared" si="15"/>
        <v>23311.496999999999</v>
      </c>
      <c r="AX9" s="3762">
        <v>0</v>
      </c>
      <c r="AY9" s="273">
        <v>1982.12</v>
      </c>
      <c r="AZ9" s="2056">
        <f>+AP9+AT9+AX9</f>
        <v>0</v>
      </c>
      <c r="BA9" s="3763">
        <f>+AQ9+AU9+AY9</f>
        <v>5766.9870000000001</v>
      </c>
      <c r="BB9" s="860">
        <f t="shared" si="19"/>
        <v>0</v>
      </c>
      <c r="BC9" s="860">
        <f t="shared" si="20"/>
        <v>12072.287</v>
      </c>
      <c r="BD9" s="867">
        <f t="shared" si="17"/>
        <v>0</v>
      </c>
      <c r="BE9" s="711">
        <f t="shared" si="18"/>
        <v>25293.616999999998</v>
      </c>
      <c r="BF9" s="26"/>
      <c r="BG9" s="26"/>
      <c r="BH9" s="5726"/>
      <c r="BI9" s="5726"/>
    </row>
    <row r="10" spans="1:61" ht="15" customHeight="1" thickBot="1" x14ac:dyDescent="0.3">
      <c r="B10" s="3764" t="s">
        <v>463</v>
      </c>
      <c r="C10" s="3765" t="s">
        <v>401</v>
      </c>
      <c r="D10" s="1837">
        <f t="shared" ref="D10:I10" si="21">SUM(D7:D9)</f>
        <v>3240</v>
      </c>
      <c r="E10" s="698">
        <f t="shared" si="21"/>
        <v>5364.54</v>
      </c>
      <c r="F10" s="1837">
        <f t="shared" ref="F10:G10" si="22">SUM(F7:F9)</f>
        <v>3348</v>
      </c>
      <c r="G10" s="698">
        <f t="shared" si="22"/>
        <v>6086.6049999999996</v>
      </c>
      <c r="H10" s="3766">
        <f t="shared" si="21"/>
        <v>6588</v>
      </c>
      <c r="I10" s="697">
        <f t="shared" si="21"/>
        <v>11451.145</v>
      </c>
      <c r="J10" s="1837">
        <f t="shared" ref="J10:K10" si="23">SUM(J7:J9)</f>
        <v>3240</v>
      </c>
      <c r="K10" s="698">
        <f t="shared" si="23"/>
        <v>6057.5140000000001</v>
      </c>
      <c r="L10" s="2123">
        <f t="shared" ref="L10:Q10" si="24">SUM(L7:L9)</f>
        <v>9828</v>
      </c>
      <c r="M10" s="3767">
        <f t="shared" si="24"/>
        <v>17508.659</v>
      </c>
      <c r="N10" s="3768">
        <f t="shared" si="24"/>
        <v>3348</v>
      </c>
      <c r="O10" s="3768">
        <f t="shared" si="24"/>
        <v>6134.3649999999998</v>
      </c>
      <c r="P10" s="1089">
        <f t="shared" si="24"/>
        <v>13176</v>
      </c>
      <c r="Q10" s="697">
        <f t="shared" si="24"/>
        <v>23643.023999999998</v>
      </c>
      <c r="R10" s="3768">
        <f t="shared" ref="R10:U10" si="25">SUM(R7:R9)</f>
        <v>3348</v>
      </c>
      <c r="S10" s="3768">
        <f t="shared" si="25"/>
        <v>5904.6209999999992</v>
      </c>
      <c r="T10" s="1089">
        <f t="shared" si="25"/>
        <v>16524</v>
      </c>
      <c r="U10" s="697">
        <f t="shared" si="25"/>
        <v>29547.644999999997</v>
      </c>
      <c r="V10" s="3768">
        <f t="shared" ref="V10:Y10" si="26">SUM(V7:V9)</f>
        <v>3240</v>
      </c>
      <c r="W10" s="3768">
        <f t="shared" si="26"/>
        <v>6134.1610000000001</v>
      </c>
      <c r="X10" s="2123">
        <f t="shared" si="26"/>
        <v>9936</v>
      </c>
      <c r="Y10" s="3767">
        <f t="shared" si="26"/>
        <v>18173.147000000001</v>
      </c>
      <c r="Z10" s="3769">
        <f t="shared" ref="Z10:AE10" si="27">SUM(Z7:Z9)</f>
        <v>19764</v>
      </c>
      <c r="AA10" s="3770">
        <f t="shared" si="27"/>
        <v>35681.806000000004</v>
      </c>
      <c r="AB10" s="3768">
        <f t="shared" si="27"/>
        <v>3348</v>
      </c>
      <c r="AC10" s="3768">
        <f t="shared" si="27"/>
        <v>5941.83</v>
      </c>
      <c r="AD10" s="1089">
        <f t="shared" si="27"/>
        <v>23112</v>
      </c>
      <c r="AE10" s="697">
        <f t="shared" si="27"/>
        <v>41623.635999999999</v>
      </c>
      <c r="AF10" s="3768">
        <f t="shared" ref="AF10:AI10" si="28">SUM(AF7:AF9)</f>
        <v>3240</v>
      </c>
      <c r="AG10" s="3768">
        <f t="shared" si="28"/>
        <v>5192.3419999999996</v>
      </c>
      <c r="AH10" s="1089">
        <f t="shared" si="28"/>
        <v>26352</v>
      </c>
      <c r="AI10" s="697">
        <f t="shared" si="28"/>
        <v>46815.978000000003</v>
      </c>
      <c r="AJ10" s="3768">
        <f t="shared" ref="AJ10:AS10" si="29">SUM(AJ7:AJ9)</f>
        <v>3348</v>
      </c>
      <c r="AK10" s="3768">
        <f t="shared" si="29"/>
        <v>4875.3279999999995</v>
      </c>
      <c r="AL10" s="2123">
        <f t="shared" si="29"/>
        <v>9936</v>
      </c>
      <c r="AM10" s="3767">
        <f t="shared" si="29"/>
        <v>16009.5</v>
      </c>
      <c r="AN10" s="1089">
        <f t="shared" si="29"/>
        <v>29700</v>
      </c>
      <c r="AO10" s="697">
        <f t="shared" si="29"/>
        <v>51691.306000000004</v>
      </c>
      <c r="AP10" s="3768">
        <f t="shared" si="29"/>
        <v>3348</v>
      </c>
      <c r="AQ10" s="3768">
        <f t="shared" si="29"/>
        <v>5252.3</v>
      </c>
      <c r="AR10" s="1089">
        <f t="shared" si="29"/>
        <v>33048</v>
      </c>
      <c r="AS10" s="697">
        <f t="shared" si="29"/>
        <v>56943.606</v>
      </c>
      <c r="AT10" s="3768">
        <f t="shared" ref="AT10:AW10" si="30">SUM(AT7:AT9)</f>
        <v>3132</v>
      </c>
      <c r="AU10" s="3768">
        <f t="shared" si="30"/>
        <v>4541.3670000000002</v>
      </c>
      <c r="AV10" s="1089">
        <f t="shared" si="30"/>
        <v>36180</v>
      </c>
      <c r="AW10" s="697">
        <f t="shared" si="30"/>
        <v>61484.972999999998</v>
      </c>
      <c r="AX10" s="3768">
        <f t="shared" ref="AX10:BE10" si="31">SUM(AX7:AX9)</f>
        <v>3348</v>
      </c>
      <c r="AY10" s="3768">
        <f t="shared" si="31"/>
        <v>4873.92</v>
      </c>
      <c r="AZ10" s="2123">
        <f t="shared" si="31"/>
        <v>9828</v>
      </c>
      <c r="BA10" s="3767">
        <f t="shared" si="31"/>
        <v>14667.587</v>
      </c>
      <c r="BB10" s="3769">
        <f t="shared" si="31"/>
        <v>19764</v>
      </c>
      <c r="BC10" s="3770">
        <f t="shared" si="31"/>
        <v>30677.087000000003</v>
      </c>
      <c r="BD10" s="1089">
        <f t="shared" si="31"/>
        <v>39528</v>
      </c>
      <c r="BE10" s="697">
        <f t="shared" si="31"/>
        <v>66358.893000000011</v>
      </c>
      <c r="BF10" s="26"/>
      <c r="BG10" s="26"/>
      <c r="BH10" s="5726"/>
      <c r="BI10" s="5726"/>
    </row>
    <row r="11" spans="1:61" ht="12.75" customHeight="1" thickBot="1" x14ac:dyDescent="0.3">
      <c r="B11" s="3775" t="s">
        <v>466</v>
      </c>
      <c r="C11" s="3052" t="s">
        <v>389</v>
      </c>
      <c r="D11" s="2831">
        <v>0</v>
      </c>
      <c r="E11" s="3776">
        <f>+E7/(E2*24)</f>
        <v>0</v>
      </c>
      <c r="F11" s="2831">
        <v>0</v>
      </c>
      <c r="G11" s="3776">
        <f>+G7/(G2*24)</f>
        <v>0</v>
      </c>
      <c r="H11" s="3777">
        <v>0</v>
      </c>
      <c r="I11" s="3778">
        <f>+I7/(I2*24)</f>
        <v>0</v>
      </c>
      <c r="J11" s="2831">
        <v>0</v>
      </c>
      <c r="K11" s="3776">
        <f>+K7/(K2*24)</f>
        <v>0</v>
      </c>
      <c r="L11" s="3771">
        <v>0</v>
      </c>
      <c r="M11" s="3066">
        <f>+M7/(M2*24)</f>
        <v>0</v>
      </c>
      <c r="N11" s="2831">
        <v>0</v>
      </c>
      <c r="O11" s="3776">
        <f>+O7/(O2*24)</f>
        <v>0</v>
      </c>
      <c r="P11" s="3777">
        <v>0</v>
      </c>
      <c r="Q11" s="3778">
        <f>+Q7/(Q2*24)</f>
        <v>0</v>
      </c>
      <c r="R11" s="2831">
        <v>0</v>
      </c>
      <c r="S11" s="3776">
        <f>+S7/(S2*24)</f>
        <v>0</v>
      </c>
      <c r="T11" s="3777">
        <v>0</v>
      </c>
      <c r="U11" s="3778">
        <f>+U7/(U2*24)</f>
        <v>0</v>
      </c>
      <c r="V11" s="2831">
        <v>0</v>
      </c>
      <c r="W11" s="3776">
        <f>+W7/(W2*24)</f>
        <v>0</v>
      </c>
      <c r="X11" s="3771">
        <v>0</v>
      </c>
      <c r="Y11" s="3066">
        <f>+Y7/(Y2*24)</f>
        <v>0</v>
      </c>
      <c r="Z11" s="3779">
        <v>0</v>
      </c>
      <c r="AA11" s="3780">
        <f>+AA7/(AA2*24)</f>
        <v>0</v>
      </c>
      <c r="AB11" s="2831">
        <v>0</v>
      </c>
      <c r="AC11" s="3776">
        <f>+AC7/(AC2*24)</f>
        <v>0</v>
      </c>
      <c r="AD11" s="3777">
        <v>0</v>
      </c>
      <c r="AE11" s="3778">
        <f>+AE7/(AE2*24)</f>
        <v>0</v>
      </c>
      <c r="AF11" s="2831">
        <v>0</v>
      </c>
      <c r="AG11" s="3776">
        <f>+AG7/(AG2*24)</f>
        <v>0</v>
      </c>
      <c r="AH11" s="3777">
        <v>0</v>
      </c>
      <c r="AI11" s="3778">
        <f>+AI7/(AI2*24)</f>
        <v>0</v>
      </c>
      <c r="AJ11" s="2831">
        <v>0</v>
      </c>
      <c r="AK11" s="3776">
        <f>+AK7/(AK2*24)</f>
        <v>0</v>
      </c>
      <c r="AL11" s="3771">
        <v>0</v>
      </c>
      <c r="AM11" s="3066">
        <f>+AM7/(AM2*24)</f>
        <v>0</v>
      </c>
      <c r="AN11" s="3777">
        <v>0</v>
      </c>
      <c r="AO11" s="3778">
        <f>+AO7/(AO2*24)</f>
        <v>0</v>
      </c>
      <c r="AP11" s="2831">
        <v>0</v>
      </c>
      <c r="AQ11" s="3776">
        <f>+AQ7/(AQ2*24)</f>
        <v>0</v>
      </c>
      <c r="AR11" s="3777">
        <v>0</v>
      </c>
      <c r="AS11" s="3778">
        <f>+AS7/(AS2*24)</f>
        <v>0</v>
      </c>
      <c r="AT11" s="2831">
        <v>0</v>
      </c>
      <c r="AU11" s="3776">
        <f>+AU7/(AU2*24)</f>
        <v>0</v>
      </c>
      <c r="AV11" s="3777">
        <v>0</v>
      </c>
      <c r="AW11" s="3778">
        <f>+AW7/(AW2*24)</f>
        <v>0</v>
      </c>
      <c r="AX11" s="2831">
        <v>0</v>
      </c>
      <c r="AY11" s="3776">
        <f>+AY7/(AY2*24)</f>
        <v>0</v>
      </c>
      <c r="AZ11" s="3771">
        <v>0</v>
      </c>
      <c r="BA11" s="3066">
        <f>+BA7/(BA2*24)</f>
        <v>0</v>
      </c>
      <c r="BB11" s="3779">
        <v>0</v>
      </c>
      <c r="BC11" s="3780">
        <f>+BC7/(BC2*24)</f>
        <v>0</v>
      </c>
      <c r="BD11" s="3777">
        <v>0</v>
      </c>
      <c r="BE11" s="3778">
        <f>+BE7/(BE2*24)</f>
        <v>0</v>
      </c>
      <c r="BF11" s="26"/>
      <c r="BG11" s="26"/>
      <c r="BH11" s="5726"/>
      <c r="BI11" s="5726"/>
    </row>
    <row r="12" spans="1:61" x14ac:dyDescent="0.25">
      <c r="B12" s="3774" t="s">
        <v>659</v>
      </c>
      <c r="C12" s="959" t="s">
        <v>389</v>
      </c>
      <c r="D12" s="1425">
        <v>4.5</v>
      </c>
      <c r="E12" s="132">
        <f>+E8/(E2*24)</f>
        <v>4.6923611111111114</v>
      </c>
      <c r="F12" s="1425">
        <v>4.5</v>
      </c>
      <c r="G12" s="132">
        <f>+G8/(G2*24)</f>
        <v>5.0806250000000004</v>
      </c>
      <c r="H12" s="421">
        <f>+((D12*D2)+(F12*F2))/H2</f>
        <v>4.5</v>
      </c>
      <c r="I12" s="127">
        <f>+I8/(I2*24)</f>
        <v>4.8896755464480881</v>
      </c>
      <c r="J12" s="1425">
        <v>4.5</v>
      </c>
      <c r="K12" s="132">
        <f>+K8/(K2*24)</f>
        <v>5.3934722222222229</v>
      </c>
      <c r="L12" s="540">
        <f>+((D12*D2)+(F12*F2)+(J12*J2))/L2</f>
        <v>4.5</v>
      </c>
      <c r="M12" s="119">
        <f>+M8/(M2*24)</f>
        <v>5.0557623626373625</v>
      </c>
      <c r="N12" s="1425">
        <v>4.5</v>
      </c>
      <c r="O12" s="132">
        <f>+O8/(O2*24)</f>
        <v>5.2458333333333336</v>
      </c>
      <c r="P12" s="421">
        <f>+((L12*L2)+(N12*N2))/P2</f>
        <v>4.5</v>
      </c>
      <c r="Q12" s="127">
        <f>+Q8/(Q2*24)</f>
        <v>5.1040590846994531</v>
      </c>
      <c r="R12" s="1425">
        <v>4.5</v>
      </c>
      <c r="S12" s="132">
        <f>+S8/(S2*24)</f>
        <v>4.8685483870967738</v>
      </c>
      <c r="T12" s="421">
        <f>+((P12*P2)+(R12*R2))/T2</f>
        <v>4.5</v>
      </c>
      <c r="U12" s="127">
        <f>+U8/(U2*24)</f>
        <v>5.0563412309368188</v>
      </c>
      <c r="V12" s="1425">
        <v>4.5</v>
      </c>
      <c r="W12" s="132">
        <f>+W8/(W2*24)</f>
        <v>5.407765277777778</v>
      </c>
      <c r="X12" s="540">
        <f>+((N12*N2)+(R12*R2)+(V12*V2))/X2</f>
        <v>4.5</v>
      </c>
      <c r="Y12" s="119">
        <f>+Y8/(Y2*24)</f>
        <v>5.1715086050724643</v>
      </c>
      <c r="Z12" s="554">
        <f>+((L12*L2)+(X12*X2))/Z2</f>
        <v>4.5</v>
      </c>
      <c r="AA12" s="569">
        <f>+AA8/(AA2*24)</f>
        <v>5.1139517304189441</v>
      </c>
      <c r="AB12" s="1425">
        <v>4.5</v>
      </c>
      <c r="AC12" s="132">
        <f>+AC8/(AC2*24)</f>
        <v>4.948924731182796</v>
      </c>
      <c r="AD12" s="421">
        <f>+((Z12*Z2)+(AB12*AB2))/AD2</f>
        <v>4.5</v>
      </c>
      <c r="AE12" s="127">
        <f>+AE8/(AE2*24)</f>
        <v>5.0900459501557638</v>
      </c>
      <c r="AF12" s="1425">
        <v>4.5</v>
      </c>
      <c r="AG12" s="132">
        <f>+AG8/(AG2*24)</f>
        <v>4.3863888888888889</v>
      </c>
      <c r="AH12" s="421">
        <f>+((AD12*AD2)+(AF12*AF2))/AH2</f>
        <v>4.5</v>
      </c>
      <c r="AI12" s="127">
        <f>+AI8/(AI2*24)</f>
        <v>5.003530737704919</v>
      </c>
      <c r="AJ12" s="1425">
        <v>4.5</v>
      </c>
      <c r="AK12" s="132">
        <f>+AK8/(AK2*24)</f>
        <v>3.849462365591398</v>
      </c>
      <c r="AL12" s="540">
        <f>+((AB12*AB2)+(AF12*AF2)+(AJ12*AJ2))/AL2</f>
        <v>4.5</v>
      </c>
      <c r="AM12" s="119">
        <f>+AM8/(AM2*24)</f>
        <v>4.3950181159420296</v>
      </c>
      <c r="AN12" s="421">
        <f>+((AH12*AH2)+(AJ12*AJ2))/AN2</f>
        <v>4.5</v>
      </c>
      <c r="AO12" s="127">
        <f>+AO8/(AO2*24)</f>
        <v>4.8734357575757583</v>
      </c>
      <c r="AP12" s="1425">
        <v>4.5</v>
      </c>
      <c r="AQ12" s="132">
        <f>+AQ8/(AQ2*24)</f>
        <v>4.3794354838709681</v>
      </c>
      <c r="AR12" s="421">
        <f>+((AN12*AN2)+(AP12*AP2))/AR2</f>
        <v>4.5</v>
      </c>
      <c r="AS12" s="127">
        <f>+AS8/(AS2*24)</f>
        <v>4.8233899782135081</v>
      </c>
      <c r="AT12" s="1425">
        <v>4.5</v>
      </c>
      <c r="AU12" s="132">
        <f>+AU8/(AU2*24)</f>
        <v>3.951867816091954</v>
      </c>
      <c r="AV12" s="421">
        <f>+((AR12*AR2)+(AT12*AT2))/AV2</f>
        <v>4.5</v>
      </c>
      <c r="AW12" s="127">
        <f>+AW8/(AW2*24)</f>
        <v>4.7479447761194029</v>
      </c>
      <c r="AX12" s="1425">
        <v>4.5</v>
      </c>
      <c r="AY12" s="132">
        <f>+AY8/(AY2*24)</f>
        <v>3.8868279569892477</v>
      </c>
      <c r="AZ12" s="540">
        <f>+((AP12*AP2)+(AT12*AT2)+(AX12*AX2))/AZ2</f>
        <v>4.5</v>
      </c>
      <c r="BA12" s="119">
        <f>+BA8/(BA2*24)</f>
        <v>4.0753663003663005</v>
      </c>
      <c r="BB12" s="554">
        <f>+((AL12*AL2)+(AZ12*AZ2))/BB2</f>
        <v>4.5</v>
      </c>
      <c r="BC12" s="569">
        <f>+BC8/(BC2*24)</f>
        <v>4.2360655737704924</v>
      </c>
      <c r="BD12" s="421">
        <f>+((AV12*AV2)+(AX12*AX2))/BD2</f>
        <v>4.5</v>
      </c>
      <c r="BE12" s="127">
        <f>+BE8/(BE2*24)</f>
        <v>4.6750086520947178</v>
      </c>
      <c r="BF12" s="26"/>
      <c r="BG12" s="26"/>
      <c r="BH12" s="5726"/>
      <c r="BI12" s="5726"/>
    </row>
    <row r="13" spans="1:61" ht="15.75" customHeight="1" thickBot="1" x14ac:dyDescent="0.3">
      <c r="B13" s="1895" t="s">
        <v>625</v>
      </c>
      <c r="C13" s="1100" t="s">
        <v>389</v>
      </c>
      <c r="D13" s="273">
        <v>0</v>
      </c>
      <c r="E13" s="1902">
        <f>+E9/(E2*24)</f>
        <v>2.7583888888888888</v>
      </c>
      <c r="F13" s="273">
        <v>0</v>
      </c>
      <c r="G13" s="1902">
        <f>+G9/(G2*24)</f>
        <v>3.100295698924731</v>
      </c>
      <c r="H13" s="715">
        <f>+H9/(H2*24)</f>
        <v>0</v>
      </c>
      <c r="I13" s="161">
        <f>+I9/(I2*24)</f>
        <v>2.9321448087431694</v>
      </c>
      <c r="J13" s="273">
        <v>0</v>
      </c>
      <c r="K13" s="1902">
        <f>+K9/(K2*24)</f>
        <v>3.0197416666666665</v>
      </c>
      <c r="L13" s="716">
        <f>+L9/(L2*24)</f>
        <v>0</v>
      </c>
      <c r="M13" s="207">
        <f>+M9/(M2*24)</f>
        <v>2.9610228937728937</v>
      </c>
      <c r="N13" s="273">
        <v>0</v>
      </c>
      <c r="O13" s="1902">
        <f>+O9/(O2*24)</f>
        <v>2.9992809139784948</v>
      </c>
      <c r="P13" s="715">
        <f>+P9/(P2*24)</f>
        <v>0</v>
      </c>
      <c r="Q13" s="161">
        <f>+Q9/(Q2*24)</f>
        <v>2.9707441939890709</v>
      </c>
      <c r="R13" s="273">
        <v>0</v>
      </c>
      <c r="S13" s="1902">
        <f>+S9/(S2*24)</f>
        <v>3.0677701612903223</v>
      </c>
      <c r="T13" s="715">
        <f>+T9/(T2*24)</f>
        <v>0</v>
      </c>
      <c r="U13" s="161">
        <f>+U9/(U2*24)</f>
        <v>2.9904030501089327</v>
      </c>
      <c r="V13" s="273">
        <v>0</v>
      </c>
      <c r="W13" s="1902">
        <f>+W9/(W2*24)</f>
        <v>3.1119027777777779</v>
      </c>
      <c r="X13" s="716">
        <f>+X9/(X2*24)</f>
        <v>0</v>
      </c>
      <c r="Y13" s="207">
        <f>+Y9/(Y2*24)</f>
        <v>3.0590833333333336</v>
      </c>
      <c r="Z13" s="1167">
        <f>+Z9/(Z2*24)</f>
        <v>0</v>
      </c>
      <c r="AA13" s="3772">
        <f>+AA9/(AA2*24)</f>
        <v>3.0103210382513663</v>
      </c>
      <c r="AB13" s="273">
        <v>0</v>
      </c>
      <c r="AC13" s="1902">
        <f>+AC9/(AC2*24)</f>
        <v>3.0374059139784944</v>
      </c>
      <c r="AD13" s="715">
        <f>+AD9/(AD2*24)</f>
        <v>0</v>
      </c>
      <c r="AE13" s="161">
        <f>+AE9/(AE2*24)</f>
        <v>3.0142445482866043</v>
      </c>
      <c r="AF13" s="273">
        <v>0</v>
      </c>
      <c r="AG13" s="1902">
        <f>+AG9/(AG2*24)</f>
        <v>2.8251972222222221</v>
      </c>
      <c r="AH13" s="715">
        <f>+AH9/(AH2*24)</f>
        <v>0</v>
      </c>
      <c r="AI13" s="161">
        <f>+AI9/(AI2*24)</f>
        <v>2.9910010245901639</v>
      </c>
      <c r="AJ13" s="273">
        <v>0</v>
      </c>
      <c r="AK13" s="1902">
        <f>+AK9/(AK2*24)</f>
        <v>2.7033978494623656</v>
      </c>
      <c r="AL13" s="716">
        <f>+AL9/(AL2*24)</f>
        <v>0</v>
      </c>
      <c r="AM13" s="207">
        <f>+AM9/(AM2*24)</f>
        <v>2.8556612318840577</v>
      </c>
      <c r="AN13" s="715">
        <f>+AN9/(AN2*24)</f>
        <v>0</v>
      </c>
      <c r="AO13" s="161">
        <f>+AO9/(AO2*24)</f>
        <v>2.9585803030303031</v>
      </c>
      <c r="AP13" s="273">
        <v>0</v>
      </c>
      <c r="AQ13" s="1902">
        <f>+AQ9/(AQ2*24)</f>
        <v>2.6801075268817205</v>
      </c>
      <c r="AR13" s="715">
        <f>+AR9/(AR2*24)</f>
        <v>0</v>
      </c>
      <c r="AS13" s="161">
        <f>+AS9/(AS2*24)</f>
        <v>2.9303690087145973</v>
      </c>
      <c r="AT13" s="273">
        <v>0</v>
      </c>
      <c r="AU13" s="1902">
        <f>+AU9/(AU2*24)</f>
        <v>2.5730847701149426</v>
      </c>
      <c r="AV13" s="715">
        <f>+AV9/(AV2*24)</f>
        <v>0</v>
      </c>
      <c r="AW13" s="161">
        <f>+AW9/(AW2*24)</f>
        <v>2.8994399253731342</v>
      </c>
      <c r="AX13" s="273">
        <v>0</v>
      </c>
      <c r="AY13" s="1902">
        <f t="shared" ref="AY13:BE13" si="32">+AY9/(AY2*24)</f>
        <v>2.6641397849462365</v>
      </c>
      <c r="AZ13" s="716">
        <f t="shared" si="32"/>
        <v>0</v>
      </c>
      <c r="BA13" s="207">
        <f t="shared" si="32"/>
        <v>2.6405618131868134</v>
      </c>
      <c r="BB13" s="1167">
        <f t="shared" si="32"/>
        <v>0</v>
      </c>
      <c r="BC13" s="3772">
        <f t="shared" si="32"/>
        <v>2.7486992258652094</v>
      </c>
      <c r="BD13" s="715">
        <f t="shared" si="32"/>
        <v>0</v>
      </c>
      <c r="BE13" s="161">
        <f t="shared" si="32"/>
        <v>2.8795101320582877</v>
      </c>
      <c r="BF13" s="26"/>
      <c r="BG13" s="26"/>
      <c r="BH13" s="5726"/>
      <c r="BI13" s="5726"/>
    </row>
    <row r="14" spans="1:61" ht="16.5" thickBot="1" x14ac:dyDescent="0.3">
      <c r="B14" s="943" t="s">
        <v>391</v>
      </c>
      <c r="C14" s="50" t="s">
        <v>389</v>
      </c>
      <c r="D14" s="1896">
        <f t="shared" ref="D14:I14" si="33">SUM(D11:D13)</f>
        <v>4.5</v>
      </c>
      <c r="E14" s="1897">
        <f t="shared" si="33"/>
        <v>7.4507500000000002</v>
      </c>
      <c r="F14" s="1896">
        <f t="shared" ref="F14:G14" si="34">SUM(F11:F13)</f>
        <v>4.5</v>
      </c>
      <c r="G14" s="1897">
        <f t="shared" si="34"/>
        <v>8.1809206989247318</v>
      </c>
      <c r="H14" s="1898">
        <f t="shared" si="33"/>
        <v>4.5</v>
      </c>
      <c r="I14" s="1899">
        <f t="shared" si="33"/>
        <v>7.8218203551912575</v>
      </c>
      <c r="J14" s="1896">
        <f t="shared" ref="J14:K14" si="35">SUM(J11:J13)</f>
        <v>4.5</v>
      </c>
      <c r="K14" s="1897">
        <f t="shared" si="35"/>
        <v>8.4132138888888903</v>
      </c>
      <c r="L14" s="2049">
        <f t="shared" ref="L14:Q14" si="36">SUM(L11:L13)</f>
        <v>4.5</v>
      </c>
      <c r="M14" s="2050">
        <f t="shared" si="36"/>
        <v>8.0167852564102553</v>
      </c>
      <c r="N14" s="1896">
        <f t="shared" si="36"/>
        <v>4.5</v>
      </c>
      <c r="O14" s="2152">
        <f t="shared" si="36"/>
        <v>8.2451142473118288</v>
      </c>
      <c r="P14" s="1898">
        <f t="shared" si="36"/>
        <v>4.5</v>
      </c>
      <c r="Q14" s="1899">
        <f t="shared" si="36"/>
        <v>8.074803278688524</v>
      </c>
      <c r="R14" s="1896">
        <f t="shared" ref="R14:U14" si="37">SUM(R11:R13)</f>
        <v>4.5</v>
      </c>
      <c r="S14" s="2152">
        <f t="shared" si="37"/>
        <v>7.9363185483870957</v>
      </c>
      <c r="T14" s="1898">
        <f t="shared" si="37"/>
        <v>4.5</v>
      </c>
      <c r="U14" s="1899">
        <f t="shared" si="37"/>
        <v>8.0467442810457506</v>
      </c>
      <c r="V14" s="1896">
        <f t="shared" ref="V14:Y14" si="38">SUM(V11:V13)</f>
        <v>4.5</v>
      </c>
      <c r="W14" s="2152">
        <f t="shared" si="38"/>
        <v>8.519668055555556</v>
      </c>
      <c r="X14" s="2049">
        <f t="shared" si="38"/>
        <v>4.5</v>
      </c>
      <c r="Y14" s="2050">
        <f t="shared" si="38"/>
        <v>8.2305919384057979</v>
      </c>
      <c r="Z14" s="938">
        <f t="shared" ref="Z14:AE14" si="39">SUM(Z11:Z13)</f>
        <v>4.5</v>
      </c>
      <c r="AA14" s="3773">
        <f t="shared" si="39"/>
        <v>8.1242727686703109</v>
      </c>
      <c r="AB14" s="1896">
        <f t="shared" si="39"/>
        <v>4.5</v>
      </c>
      <c r="AC14" s="2152">
        <f t="shared" si="39"/>
        <v>7.9863306451612903</v>
      </c>
      <c r="AD14" s="1898">
        <f t="shared" si="39"/>
        <v>4.5</v>
      </c>
      <c r="AE14" s="1899">
        <f t="shared" si="39"/>
        <v>8.1042904984423672</v>
      </c>
      <c r="AF14" s="1896">
        <f t="shared" ref="AF14:AI14" si="40">SUM(AF11:AF13)</f>
        <v>4.5</v>
      </c>
      <c r="AG14" s="2152">
        <f t="shared" si="40"/>
        <v>7.211586111111111</v>
      </c>
      <c r="AH14" s="1898">
        <f t="shared" si="40"/>
        <v>4.5</v>
      </c>
      <c r="AI14" s="1899">
        <f t="shared" si="40"/>
        <v>7.9945317622950824</v>
      </c>
      <c r="AJ14" s="1896">
        <f t="shared" ref="AJ14:AS14" si="41">SUM(AJ11:AJ13)</f>
        <v>4.5</v>
      </c>
      <c r="AK14" s="2152">
        <f t="shared" si="41"/>
        <v>6.552860215053764</v>
      </c>
      <c r="AL14" s="2049">
        <f t="shared" si="41"/>
        <v>4.5</v>
      </c>
      <c r="AM14" s="2050">
        <f t="shared" si="41"/>
        <v>7.2506793478260878</v>
      </c>
      <c r="AN14" s="1898">
        <f t="shared" si="41"/>
        <v>4.5</v>
      </c>
      <c r="AO14" s="1899">
        <f t="shared" si="41"/>
        <v>7.8320160606060618</v>
      </c>
      <c r="AP14" s="1896">
        <f t="shared" si="41"/>
        <v>4.5</v>
      </c>
      <c r="AQ14" s="2152">
        <f t="shared" si="41"/>
        <v>7.0595430107526891</v>
      </c>
      <c r="AR14" s="1898">
        <f t="shared" si="41"/>
        <v>4.5</v>
      </c>
      <c r="AS14" s="1899">
        <f t="shared" si="41"/>
        <v>7.7537589869281049</v>
      </c>
      <c r="AT14" s="1896">
        <f t="shared" ref="AT14:AW14" si="42">SUM(AT11:AT13)</f>
        <v>4.5</v>
      </c>
      <c r="AU14" s="2152">
        <f t="shared" si="42"/>
        <v>6.5249525862068971</v>
      </c>
      <c r="AV14" s="1898">
        <f t="shared" si="42"/>
        <v>4.5</v>
      </c>
      <c r="AW14" s="1899">
        <f t="shared" si="42"/>
        <v>7.6473847014925376</v>
      </c>
      <c r="AX14" s="1896">
        <f t="shared" ref="AX14:BE14" si="43">SUM(AX11:AX13)</f>
        <v>4.5</v>
      </c>
      <c r="AY14" s="2152">
        <f t="shared" si="43"/>
        <v>6.5509677419354837</v>
      </c>
      <c r="AZ14" s="2049">
        <f t="shared" si="43"/>
        <v>4.5</v>
      </c>
      <c r="BA14" s="2050">
        <f t="shared" si="43"/>
        <v>6.7159281135531135</v>
      </c>
      <c r="BB14" s="938">
        <f t="shared" si="43"/>
        <v>4.5</v>
      </c>
      <c r="BC14" s="3773">
        <f t="shared" si="43"/>
        <v>6.9847647996357018</v>
      </c>
      <c r="BD14" s="1898">
        <f t="shared" si="43"/>
        <v>4.5</v>
      </c>
      <c r="BE14" s="1899">
        <f t="shared" si="43"/>
        <v>7.5545187841530055</v>
      </c>
      <c r="BF14" s="26"/>
      <c r="BG14" s="26"/>
      <c r="BH14" s="5726"/>
      <c r="BI14" s="5726"/>
    </row>
    <row r="15" spans="1:61" ht="15.75" x14ac:dyDescent="0.25">
      <c r="A15" s="2058">
        <f>SUM(A17:A18)</f>
        <v>26</v>
      </c>
      <c r="B15" s="309" t="s">
        <v>383</v>
      </c>
      <c r="C15" s="16" t="s">
        <v>68</v>
      </c>
      <c r="D15" s="1168">
        <f>26*D2*24</f>
        <v>18720</v>
      </c>
      <c r="E15" s="29">
        <f>+E21</f>
        <v>18720</v>
      </c>
      <c r="F15" s="1168">
        <f>26*F2*24</f>
        <v>19344</v>
      </c>
      <c r="G15" s="29">
        <f>+G21</f>
        <v>19344</v>
      </c>
      <c r="H15" s="1165">
        <f>+D15+F15</f>
        <v>38064</v>
      </c>
      <c r="I15" s="260">
        <f>+E15+G15</f>
        <v>38064</v>
      </c>
      <c r="J15" s="1168">
        <f>26*J2*24</f>
        <v>18720</v>
      </c>
      <c r="K15" s="29">
        <f>+K21</f>
        <v>18720</v>
      </c>
      <c r="L15" s="1166">
        <f>D15+F15+J15</f>
        <v>56784</v>
      </c>
      <c r="M15" s="151">
        <f>E15+G15+K15</f>
        <v>56784</v>
      </c>
      <c r="N15" s="1168">
        <f>26*N2*24</f>
        <v>19344</v>
      </c>
      <c r="O15" s="304">
        <f>+O21</f>
        <v>15816.000000000002</v>
      </c>
      <c r="P15" s="1165">
        <f>+L15+N15</f>
        <v>76128</v>
      </c>
      <c r="Q15" s="260">
        <f>+M15+O15</f>
        <v>72600</v>
      </c>
      <c r="R15" s="1168">
        <f>26*R2*24</f>
        <v>19344</v>
      </c>
      <c r="S15" s="304">
        <f>+S21</f>
        <v>19344</v>
      </c>
      <c r="T15" s="2576">
        <f>+P15+R15</f>
        <v>95472</v>
      </c>
      <c r="U15" s="260">
        <f>+Q15+S15</f>
        <v>91944</v>
      </c>
      <c r="V15" s="1168">
        <f>26*V2*24</f>
        <v>18720</v>
      </c>
      <c r="W15" s="304">
        <f>+W21</f>
        <v>18720</v>
      </c>
      <c r="X15" s="3412">
        <f>+N15+R15+V15</f>
        <v>57408</v>
      </c>
      <c r="Y15" s="151">
        <f>+O15+S15+W15</f>
        <v>53880</v>
      </c>
      <c r="Z15" s="772">
        <f>L15+X15</f>
        <v>114192</v>
      </c>
      <c r="AA15" s="788">
        <f>M15+Y15</f>
        <v>110664</v>
      </c>
      <c r="AB15" s="1168">
        <f>26*AB2*24</f>
        <v>19344</v>
      </c>
      <c r="AC15" s="304">
        <f>+AC21</f>
        <v>19128</v>
      </c>
      <c r="AD15" s="2576">
        <f>+Z15+AB15</f>
        <v>133536</v>
      </c>
      <c r="AE15" s="260">
        <f>+AA15+AC15</f>
        <v>129792</v>
      </c>
      <c r="AF15" s="1168">
        <f>26*AF2*24</f>
        <v>18720</v>
      </c>
      <c r="AG15" s="304">
        <f>+AG21</f>
        <v>18720</v>
      </c>
      <c r="AH15" s="2576">
        <f>+AD15+AF15</f>
        <v>152256</v>
      </c>
      <c r="AI15" s="260">
        <f>+AE15+AG15</f>
        <v>148512</v>
      </c>
      <c r="AJ15" s="1168">
        <f>26*AJ2*24</f>
        <v>19344</v>
      </c>
      <c r="AK15" s="304">
        <f>+AK21</f>
        <v>19344</v>
      </c>
      <c r="AL15" s="3412">
        <f>+AB15+AF15+AJ15</f>
        <v>57408</v>
      </c>
      <c r="AM15" s="151">
        <f>+AC15+AG15+AK15</f>
        <v>57192</v>
      </c>
      <c r="AN15" s="2576">
        <f>+AH15+AJ15</f>
        <v>171600</v>
      </c>
      <c r="AO15" s="260">
        <f>+AI15+AK15</f>
        <v>167856</v>
      </c>
      <c r="AP15" s="1168">
        <f>26*AP2*24</f>
        <v>19344</v>
      </c>
      <c r="AQ15" s="304">
        <f>+AQ21</f>
        <v>19344</v>
      </c>
      <c r="AR15" s="2576">
        <f>+AN15+AP15</f>
        <v>190944</v>
      </c>
      <c r="AS15" s="260">
        <f>+AO15+AQ15</f>
        <v>187200</v>
      </c>
      <c r="AT15" s="1168">
        <f>26*AT2*24</f>
        <v>18096</v>
      </c>
      <c r="AU15" s="304">
        <f>+AU21</f>
        <v>18096</v>
      </c>
      <c r="AV15" s="2576">
        <f>+AR15+AT15</f>
        <v>209040</v>
      </c>
      <c r="AW15" s="260">
        <f>+AS15+AU15</f>
        <v>205296</v>
      </c>
      <c r="AX15" s="1168">
        <f>26*AX2*24</f>
        <v>19344</v>
      </c>
      <c r="AY15" s="304">
        <f>+AY21</f>
        <v>19344</v>
      </c>
      <c r="AZ15" s="3412">
        <f>+AP15+AT15+AX15</f>
        <v>56784</v>
      </c>
      <c r="BA15" s="151">
        <f>+AQ15+AU15+AY15</f>
        <v>56784</v>
      </c>
      <c r="BB15" s="860">
        <f>+AL15+AZ15</f>
        <v>114192</v>
      </c>
      <c r="BC15" s="860">
        <f>+AM15+BA15</f>
        <v>113976</v>
      </c>
      <c r="BD15" s="2576">
        <f>+AV15+AX15</f>
        <v>228384</v>
      </c>
      <c r="BE15" s="260">
        <f>+AW15+AY15</f>
        <v>224640</v>
      </c>
      <c r="BF15" s="26"/>
      <c r="BG15" s="26"/>
      <c r="BH15" s="5726"/>
      <c r="BI15" s="5726"/>
    </row>
    <row r="16" spans="1:61" ht="19.5" thickBot="1" x14ac:dyDescent="0.35">
      <c r="A16" s="184"/>
      <c r="B16" s="606" t="s">
        <v>384</v>
      </c>
      <c r="C16" s="607"/>
      <c r="D16" s="1169"/>
      <c r="E16" s="810"/>
      <c r="F16" s="1169"/>
      <c r="G16" s="810"/>
      <c r="H16" s="607"/>
      <c r="I16" s="607"/>
      <c r="J16" s="1169"/>
      <c r="K16" s="810"/>
      <c r="L16" s="607"/>
      <c r="M16" s="607"/>
      <c r="N16" s="1169"/>
      <c r="O16" s="810"/>
      <c r="P16" s="607"/>
      <c r="Q16" s="607"/>
      <c r="R16" s="1169"/>
      <c r="S16" s="810"/>
      <c r="T16" s="607"/>
      <c r="U16" s="607"/>
      <c r="V16" s="1169"/>
      <c r="W16" s="810"/>
      <c r="X16" s="607"/>
      <c r="Y16" s="607"/>
      <c r="Z16" s="607"/>
      <c r="AA16" s="607"/>
      <c r="AB16" s="1169"/>
      <c r="AC16" s="810"/>
      <c r="AD16" s="607"/>
      <c r="AE16" s="607"/>
      <c r="AF16" s="1169"/>
      <c r="AG16" s="810"/>
      <c r="AH16" s="607"/>
      <c r="AI16" s="607"/>
      <c r="AJ16" s="1169"/>
      <c r="AK16" s="810"/>
      <c r="AL16" s="607"/>
      <c r="AM16" s="607"/>
      <c r="AN16" s="607"/>
      <c r="AO16" s="607"/>
      <c r="AP16" s="1169"/>
      <c r="AQ16" s="810"/>
      <c r="AR16" s="607"/>
      <c r="AS16" s="607"/>
      <c r="AT16" s="1169"/>
      <c r="AU16" s="810"/>
      <c r="AV16" s="607"/>
      <c r="AW16" s="607"/>
      <c r="AX16" s="1169"/>
      <c r="AY16" s="810"/>
      <c r="AZ16" s="607"/>
      <c r="BA16" s="607"/>
      <c r="BB16" s="607"/>
      <c r="BC16" s="607"/>
      <c r="BD16" s="607"/>
      <c r="BE16" s="607"/>
      <c r="BF16" s="26"/>
      <c r="BG16" s="26"/>
      <c r="BH16" s="5726"/>
      <c r="BI16" s="5726"/>
    </row>
    <row r="17" spans="1:61" ht="15.75" thickBot="1" x14ac:dyDescent="0.3">
      <c r="A17" s="2058">
        <v>17.5</v>
      </c>
      <c r="B17" s="310" t="s">
        <v>385</v>
      </c>
      <c r="C17" s="13" t="s">
        <v>68</v>
      </c>
      <c r="D17" s="488">
        <f>$A$17*D2*24</f>
        <v>12600</v>
      </c>
      <c r="E17" s="304">
        <v>12502.3</v>
      </c>
      <c r="F17" s="488">
        <f>$A$17*F2*24</f>
        <v>13020</v>
      </c>
      <c r="G17" s="304">
        <v>12947.8</v>
      </c>
      <c r="H17" s="864">
        <f>+D17+F17</f>
        <v>25620</v>
      </c>
      <c r="I17" s="260">
        <f>+E17+G17</f>
        <v>25450.1</v>
      </c>
      <c r="J17" s="488">
        <f>$A$17*J2*24</f>
        <v>12600</v>
      </c>
      <c r="K17" s="304">
        <v>12571.9</v>
      </c>
      <c r="L17" s="3611">
        <f>D17+F17+J17</f>
        <v>38220</v>
      </c>
      <c r="M17" s="3611">
        <f>E17+G17+K17</f>
        <v>38022</v>
      </c>
      <c r="N17" s="488">
        <f>$A$17*N2*24</f>
        <v>13020</v>
      </c>
      <c r="O17" s="304">
        <v>10694.7</v>
      </c>
      <c r="P17" s="864">
        <f>+L17+N17</f>
        <v>51240</v>
      </c>
      <c r="Q17" s="260">
        <f>+M17+O17</f>
        <v>48716.7</v>
      </c>
      <c r="R17" s="2575">
        <f>$A$17*R2*24</f>
        <v>13020</v>
      </c>
      <c r="S17" s="304">
        <v>12979</v>
      </c>
      <c r="T17" s="864">
        <f>+P17+R17</f>
        <v>64260</v>
      </c>
      <c r="U17" s="260">
        <f>+Q17+S17</f>
        <v>61695.7</v>
      </c>
      <c r="V17" s="3410">
        <f>$A$17*V2*24</f>
        <v>12600</v>
      </c>
      <c r="W17" s="304">
        <v>12543.1</v>
      </c>
      <c r="X17" s="3611">
        <f>+N17+R17+V17</f>
        <v>38640</v>
      </c>
      <c r="Y17" s="636">
        <f>+O17+S17+W17</f>
        <v>36216.800000000003</v>
      </c>
      <c r="Z17" s="3621">
        <f>L17+X17</f>
        <v>76860</v>
      </c>
      <c r="AA17" s="3621">
        <f>M17+Y17</f>
        <v>74238.8</v>
      </c>
      <c r="AB17" s="4127">
        <f>$A$17*AB2*24</f>
        <v>13020</v>
      </c>
      <c r="AC17" s="304">
        <v>12852.1</v>
      </c>
      <c r="AD17" s="864">
        <f>+Z17+AB17</f>
        <v>89880</v>
      </c>
      <c r="AE17" s="260">
        <f>+AA17+AC17</f>
        <v>87090.900000000009</v>
      </c>
      <c r="AF17" s="4199">
        <f>$A$17*AF2*24</f>
        <v>12600</v>
      </c>
      <c r="AG17" s="304">
        <v>12427.9</v>
      </c>
      <c r="AH17" s="864">
        <f>+AD17+AF17</f>
        <v>102480</v>
      </c>
      <c r="AI17" s="260">
        <f>+AE17+AG17</f>
        <v>99518.8</v>
      </c>
      <c r="AJ17" s="4355">
        <f>$A$17*AJ2*24</f>
        <v>13020</v>
      </c>
      <c r="AK17" s="304">
        <v>12979</v>
      </c>
      <c r="AL17" s="4363">
        <f>+AB17+AF17+AJ17</f>
        <v>38640</v>
      </c>
      <c r="AM17" s="636">
        <f>+AC17+AG17+AK17</f>
        <v>38259</v>
      </c>
      <c r="AN17" s="864">
        <f>+AH17+AJ17</f>
        <v>115500</v>
      </c>
      <c r="AO17" s="260">
        <f>+AI17+AK17</f>
        <v>112497.8</v>
      </c>
      <c r="AP17" s="4461">
        <f>$A$17*AP2*24</f>
        <v>13020</v>
      </c>
      <c r="AQ17" s="304">
        <v>12964.6</v>
      </c>
      <c r="AR17" s="864">
        <f>+AN17+AP17</f>
        <v>128520</v>
      </c>
      <c r="AS17" s="260">
        <f>+AO17+AQ17</f>
        <v>125462.40000000001</v>
      </c>
      <c r="AT17" s="4677">
        <f>$A$17*AT2*24</f>
        <v>12180</v>
      </c>
      <c r="AU17" s="304">
        <v>12160.1</v>
      </c>
      <c r="AV17" s="864">
        <f>+AR17+AT17</f>
        <v>140700</v>
      </c>
      <c r="AW17" s="260">
        <f>+AS17+AU17</f>
        <v>137622.5</v>
      </c>
      <c r="AX17" s="5213">
        <f>$A$17*AX2*24</f>
        <v>13020</v>
      </c>
      <c r="AY17" s="304">
        <v>12976.6</v>
      </c>
      <c r="AZ17" s="5208">
        <f>+AP17+AT17+AX17</f>
        <v>38220</v>
      </c>
      <c r="BA17" s="636">
        <f>+AQ17+AU17+AY17</f>
        <v>38101.300000000003</v>
      </c>
      <c r="BB17" s="860">
        <f>+AL17+AZ17</f>
        <v>76860</v>
      </c>
      <c r="BC17" s="860">
        <f>+AM17+BA17</f>
        <v>76360.3</v>
      </c>
      <c r="BD17" s="864">
        <f>+AV17+AX17</f>
        <v>153720</v>
      </c>
      <c r="BE17" s="260">
        <f>+AW17+AY17</f>
        <v>150599.1</v>
      </c>
      <c r="BF17" s="26"/>
      <c r="BG17" s="26"/>
      <c r="BH17" s="5726"/>
      <c r="BI17" s="5726"/>
    </row>
    <row r="18" spans="1:61" ht="15.75" thickBot="1" x14ac:dyDescent="0.3">
      <c r="A18" s="2308">
        <v>8.5</v>
      </c>
      <c r="B18" s="310" t="s">
        <v>387</v>
      </c>
      <c r="C18" s="13" t="s">
        <v>68</v>
      </c>
      <c r="D18" s="6286">
        <f>$A$18*D2*24</f>
        <v>6120</v>
      </c>
      <c r="E18" s="217">
        <v>6189.6</v>
      </c>
      <c r="F18" s="6286">
        <f>$A$18*F2*24</f>
        <v>6324</v>
      </c>
      <c r="G18" s="217">
        <v>6367.2</v>
      </c>
      <c r="H18" s="6491">
        <f>+D18+F18</f>
        <v>12444</v>
      </c>
      <c r="I18" s="258">
        <f>+E18+G18</f>
        <v>12556.8</v>
      </c>
      <c r="J18" s="6286">
        <f>$A$18*J2*24</f>
        <v>6120</v>
      </c>
      <c r="K18" s="217">
        <v>6120</v>
      </c>
      <c r="L18" s="6311">
        <f>D18+F18+J18</f>
        <v>18564</v>
      </c>
      <c r="M18" s="3611">
        <f t="shared" ref="M18:M19" si="44">E18+G18+K18</f>
        <v>18676.8</v>
      </c>
      <c r="N18" s="6286">
        <f>$A$18*N2*24</f>
        <v>6324</v>
      </c>
      <c r="O18" s="217">
        <v>5097.6000000000004</v>
      </c>
      <c r="P18" s="6491">
        <f>+L18+N18</f>
        <v>24888</v>
      </c>
      <c r="Q18" s="258">
        <f>+M18+O18</f>
        <v>23774.400000000001</v>
      </c>
      <c r="R18" s="6286">
        <f>$A$18*R2*24</f>
        <v>6324</v>
      </c>
      <c r="S18" s="217">
        <v>6336</v>
      </c>
      <c r="T18" s="6491">
        <f>+P18+R18</f>
        <v>31212</v>
      </c>
      <c r="U18" s="258">
        <f>+Q18+S18</f>
        <v>30110.400000000001</v>
      </c>
      <c r="V18" s="6286">
        <f>$A$18*V2*24</f>
        <v>6120</v>
      </c>
      <c r="W18" s="217">
        <v>6148.8</v>
      </c>
      <c r="X18" s="6311">
        <f>N18+R18+V18</f>
        <v>18768</v>
      </c>
      <c r="Y18" s="636">
        <f t="shared" ref="Y18:Y19" si="45">+O18+S18+W18</f>
        <v>17582.400000000001</v>
      </c>
      <c r="Z18" s="6024">
        <f>L18+X18</f>
        <v>37332</v>
      </c>
      <c r="AA18" s="3621">
        <f t="shared" ref="Z18:AA20" si="46">M18+Y18</f>
        <v>36259.199999999997</v>
      </c>
      <c r="AB18" s="6286">
        <f>$A$18*AB2*24</f>
        <v>6324</v>
      </c>
      <c r="AC18" s="217">
        <v>6247.2</v>
      </c>
      <c r="AD18" s="6491">
        <f>+Z18+AB18</f>
        <v>43656</v>
      </c>
      <c r="AE18" s="258">
        <f>+AA18+AC18</f>
        <v>42506.399999999994</v>
      </c>
      <c r="AF18" s="6286">
        <f>$A$18*AF2*24</f>
        <v>6120</v>
      </c>
      <c r="AG18" s="217">
        <v>6264</v>
      </c>
      <c r="AH18" s="6491">
        <f>+AD18+AF18</f>
        <v>49776</v>
      </c>
      <c r="AI18" s="258">
        <f>+AE18+AG18</f>
        <v>48770.399999999994</v>
      </c>
      <c r="AJ18" s="6286">
        <f>$A$18*AJ2*24</f>
        <v>6324</v>
      </c>
      <c r="AK18" s="217">
        <v>6336</v>
      </c>
      <c r="AL18" s="6311">
        <f>AB18+AF18+AJ18</f>
        <v>18768</v>
      </c>
      <c r="AM18" s="636">
        <f t="shared" ref="AM18:AM19" si="47">+AC18+AG18+AK18</f>
        <v>18847.2</v>
      </c>
      <c r="AN18" s="6491">
        <f>+AH18+AJ18</f>
        <v>56100</v>
      </c>
      <c r="AO18" s="258">
        <f>+AI18+AK18</f>
        <v>55106.399999999994</v>
      </c>
      <c r="AP18" s="6286">
        <f>$A$18*AP2*24</f>
        <v>6324</v>
      </c>
      <c r="AQ18" s="217">
        <v>6350.4</v>
      </c>
      <c r="AR18" s="6491">
        <f>+AN18+AP18</f>
        <v>62424</v>
      </c>
      <c r="AS18" s="258">
        <f>+AO18+AQ18</f>
        <v>61456.799999999996</v>
      </c>
      <c r="AT18" s="6286">
        <f>$A$18*AT2*24</f>
        <v>5916</v>
      </c>
      <c r="AU18" s="217">
        <v>5908.8</v>
      </c>
      <c r="AV18" s="6491">
        <f>+AR18+AT18</f>
        <v>68340</v>
      </c>
      <c r="AW18" s="258">
        <f>+AS18+AU18</f>
        <v>67365.599999999991</v>
      </c>
      <c r="AX18" s="6286">
        <f>$A$18*AX2*24</f>
        <v>6324</v>
      </c>
      <c r="AY18" s="217">
        <v>6338.4</v>
      </c>
      <c r="AZ18" s="6311">
        <f>AP18+AT18+AX18</f>
        <v>18564</v>
      </c>
      <c r="BA18" s="636">
        <f t="shared" ref="BA18:BA19" si="48">+AQ18+AU18+AY18</f>
        <v>18597.599999999999</v>
      </c>
      <c r="BB18" s="6024">
        <f>AL18+AZ18</f>
        <v>37332</v>
      </c>
      <c r="BC18" s="860">
        <f t="shared" ref="BC18:BC20" si="49">+AM18+BA18</f>
        <v>37444.800000000003</v>
      </c>
      <c r="BD18" s="6491">
        <f>+AV18+AX18</f>
        <v>74664</v>
      </c>
      <c r="BE18" s="258">
        <f>+AW18+AY18</f>
        <v>73703.999999999985</v>
      </c>
      <c r="BF18" s="26"/>
      <c r="BG18" s="26"/>
      <c r="BH18" s="5726"/>
      <c r="BI18" s="5726"/>
    </row>
    <row r="19" spans="1:61" ht="15" customHeight="1" thickBot="1" x14ac:dyDescent="0.3">
      <c r="A19" s="2058">
        <v>0</v>
      </c>
      <c r="B19" s="310" t="s">
        <v>388</v>
      </c>
      <c r="C19" s="13" t="s">
        <v>68</v>
      </c>
      <c r="D19" s="6287"/>
      <c r="E19" s="217">
        <v>0</v>
      </c>
      <c r="F19" s="6287"/>
      <c r="G19" s="217">
        <v>0</v>
      </c>
      <c r="H19" s="6492"/>
      <c r="I19" s="258">
        <f>+E19+G19</f>
        <v>0</v>
      </c>
      <c r="J19" s="6287"/>
      <c r="K19" s="217">
        <v>0</v>
      </c>
      <c r="L19" s="6498"/>
      <c r="M19" s="3611">
        <f t="shared" si="44"/>
        <v>0</v>
      </c>
      <c r="N19" s="6287"/>
      <c r="O19" s="217">
        <v>0</v>
      </c>
      <c r="P19" s="6492"/>
      <c r="Q19" s="258">
        <f>+M19+O19</f>
        <v>0</v>
      </c>
      <c r="R19" s="6287"/>
      <c r="S19" s="217">
        <v>0</v>
      </c>
      <c r="T19" s="6492"/>
      <c r="U19" s="258">
        <f>+Q19+S19</f>
        <v>0</v>
      </c>
      <c r="V19" s="6287"/>
      <c r="W19" s="217">
        <v>0</v>
      </c>
      <c r="X19" s="6498">
        <f t="shared" ref="X19" si="50">+N19+R19+V19</f>
        <v>0</v>
      </c>
      <c r="Y19" s="636">
        <f t="shared" si="45"/>
        <v>0</v>
      </c>
      <c r="Z19" s="6503"/>
      <c r="AA19" s="3621">
        <f t="shared" si="46"/>
        <v>0</v>
      </c>
      <c r="AB19" s="6287"/>
      <c r="AC19" s="217">
        <v>0</v>
      </c>
      <c r="AD19" s="6492"/>
      <c r="AE19" s="258">
        <f>+AA19+AC19</f>
        <v>0</v>
      </c>
      <c r="AF19" s="6287"/>
      <c r="AG19" s="217">
        <v>0</v>
      </c>
      <c r="AH19" s="6492"/>
      <c r="AI19" s="258">
        <f>+AE19+AG19</f>
        <v>0</v>
      </c>
      <c r="AJ19" s="6287"/>
      <c r="AK19" s="217">
        <v>0</v>
      </c>
      <c r="AL19" s="6498">
        <f t="shared" ref="AL19" si="51">+AB19+AF19+AJ19</f>
        <v>0</v>
      </c>
      <c r="AM19" s="636">
        <f t="shared" si="47"/>
        <v>0</v>
      </c>
      <c r="AN19" s="6492"/>
      <c r="AO19" s="258">
        <f>+AI19+AK19</f>
        <v>0</v>
      </c>
      <c r="AP19" s="6287"/>
      <c r="AQ19" s="217">
        <v>0</v>
      </c>
      <c r="AR19" s="6492"/>
      <c r="AS19" s="258">
        <f>+AO19+AQ19</f>
        <v>0</v>
      </c>
      <c r="AT19" s="6287"/>
      <c r="AU19" s="217">
        <v>0</v>
      </c>
      <c r="AV19" s="6492"/>
      <c r="AW19" s="258">
        <f>+AS19+AU19</f>
        <v>0</v>
      </c>
      <c r="AX19" s="6287"/>
      <c r="AY19" s="217">
        <v>0</v>
      </c>
      <c r="AZ19" s="6498">
        <f t="shared" ref="AZ19" si="52">+AP19+AT19+AX19</f>
        <v>0</v>
      </c>
      <c r="BA19" s="636">
        <f t="shared" si="48"/>
        <v>0</v>
      </c>
      <c r="BB19" s="6503"/>
      <c r="BC19" s="860">
        <f t="shared" si="49"/>
        <v>0</v>
      </c>
      <c r="BD19" s="6492"/>
      <c r="BE19" s="258">
        <f>+AW19+AY19</f>
        <v>0</v>
      </c>
      <c r="BF19" s="26"/>
      <c r="BG19" s="26"/>
      <c r="BH19" s="5726"/>
      <c r="BI19" s="5726"/>
    </row>
    <row r="20" spans="1:61" ht="15.75" thickBot="1" x14ac:dyDescent="0.3">
      <c r="B20" s="1170" t="s">
        <v>386</v>
      </c>
      <c r="C20" s="14" t="s">
        <v>68</v>
      </c>
      <c r="D20" s="1164">
        <f>+$A$19</f>
        <v>0</v>
      </c>
      <c r="E20" s="447">
        <v>28.1</v>
      </c>
      <c r="F20" s="1164">
        <f>+$A$19</f>
        <v>0</v>
      </c>
      <c r="G20" s="447">
        <v>29</v>
      </c>
      <c r="H20" s="1171">
        <f>+D20+F20</f>
        <v>0</v>
      </c>
      <c r="I20" s="258">
        <f>+E20+G20</f>
        <v>57.1</v>
      </c>
      <c r="J20" s="1164">
        <f>+$A$19</f>
        <v>0</v>
      </c>
      <c r="K20" s="447">
        <v>28.1</v>
      </c>
      <c r="L20" s="3611">
        <f>D20+F20+J20</f>
        <v>0</v>
      </c>
      <c r="M20" s="3611">
        <f>E20+G20+K20</f>
        <v>85.2</v>
      </c>
      <c r="N20" s="1164">
        <f>+$A$19</f>
        <v>0</v>
      </c>
      <c r="O20" s="447">
        <v>23.7</v>
      </c>
      <c r="P20" s="1171">
        <f>+L20+N20</f>
        <v>0</v>
      </c>
      <c r="Q20" s="258">
        <f>+M20+O20</f>
        <v>108.9</v>
      </c>
      <c r="R20" s="1164">
        <f>+$A$19</f>
        <v>0</v>
      </c>
      <c r="S20" s="447">
        <v>29</v>
      </c>
      <c r="T20" s="2574">
        <f>+P20+R20</f>
        <v>0</v>
      </c>
      <c r="U20" s="258">
        <f>+Q20+S20</f>
        <v>137.9</v>
      </c>
      <c r="V20" s="1164">
        <f>+$A$19</f>
        <v>0</v>
      </c>
      <c r="W20" s="447">
        <v>28.1</v>
      </c>
      <c r="X20" s="3611">
        <f>+N20+R20+V20</f>
        <v>0</v>
      </c>
      <c r="Y20" s="636">
        <f>+O20+S20+W20</f>
        <v>80.800000000000011</v>
      </c>
      <c r="Z20" s="3619">
        <f t="shared" si="46"/>
        <v>0</v>
      </c>
      <c r="AA20" s="3619">
        <f t="shared" si="46"/>
        <v>166</v>
      </c>
      <c r="AB20" s="1164">
        <f>+$A$19</f>
        <v>0</v>
      </c>
      <c r="AC20" s="447">
        <v>28.7</v>
      </c>
      <c r="AD20" s="4132">
        <f>+Z20+AB20</f>
        <v>0</v>
      </c>
      <c r="AE20" s="258">
        <f>+AA20+AC20</f>
        <v>194.7</v>
      </c>
      <c r="AF20" s="1164">
        <f>+$A$19</f>
        <v>0</v>
      </c>
      <c r="AG20" s="447">
        <v>28.1</v>
      </c>
      <c r="AH20" s="4206">
        <f>+AD20+AF20</f>
        <v>0</v>
      </c>
      <c r="AI20" s="258">
        <f>+AE20+AG20</f>
        <v>222.79999999999998</v>
      </c>
      <c r="AJ20" s="1164">
        <f>+$A$19</f>
        <v>0</v>
      </c>
      <c r="AK20" s="447">
        <v>29</v>
      </c>
      <c r="AL20" s="4363">
        <f>+AB20+AF20+AJ20</f>
        <v>0</v>
      </c>
      <c r="AM20" s="636">
        <f>+AC20+AG20+AK20</f>
        <v>85.8</v>
      </c>
      <c r="AN20" s="4359">
        <f>+AH20+AJ20</f>
        <v>0</v>
      </c>
      <c r="AO20" s="258">
        <f>+AI20+AK20</f>
        <v>251.79999999999998</v>
      </c>
      <c r="AP20" s="1164">
        <f>+$A$19</f>
        <v>0</v>
      </c>
      <c r="AQ20" s="447">
        <v>29</v>
      </c>
      <c r="AR20" s="4465">
        <f>+AN20+AP20</f>
        <v>0</v>
      </c>
      <c r="AS20" s="258">
        <f>+AO20+AQ20</f>
        <v>280.79999999999995</v>
      </c>
      <c r="AT20" s="1164">
        <f>+$A$19</f>
        <v>0</v>
      </c>
      <c r="AU20" s="447">
        <v>27.1</v>
      </c>
      <c r="AV20" s="4682">
        <f>+AR20+AT20</f>
        <v>0</v>
      </c>
      <c r="AW20" s="258">
        <f>+AS20+AU20</f>
        <v>307.89999999999998</v>
      </c>
      <c r="AX20" s="1164">
        <f>+$A$19</f>
        <v>0</v>
      </c>
      <c r="AY20" s="447">
        <v>29</v>
      </c>
      <c r="AZ20" s="5208">
        <f>+AP20+AT20+AX20</f>
        <v>0</v>
      </c>
      <c r="BA20" s="636">
        <f>+AQ20+AU20+AY20</f>
        <v>85.1</v>
      </c>
      <c r="BB20" s="5204">
        <f>AL20+AZ20</f>
        <v>0</v>
      </c>
      <c r="BC20" s="860">
        <f t="shared" si="49"/>
        <v>170.89999999999998</v>
      </c>
      <c r="BD20" s="5219">
        <f>+AV20+AX20</f>
        <v>0</v>
      </c>
      <c r="BE20" s="258">
        <f>+AW20+AY20</f>
        <v>336.9</v>
      </c>
      <c r="BF20" s="26"/>
      <c r="BG20" s="26"/>
      <c r="BH20" s="5726"/>
      <c r="BI20" s="5726"/>
    </row>
    <row r="21" spans="1:61" ht="16.5" thickBot="1" x14ac:dyDescent="0.3">
      <c r="B21" s="1172" t="s">
        <v>2</v>
      </c>
      <c r="C21" s="15" t="s">
        <v>68</v>
      </c>
      <c r="D21" s="1173">
        <f t="shared" ref="D21:I21" si="53">SUM(D17:D20)</f>
        <v>18720</v>
      </c>
      <c r="E21" s="31">
        <f t="shared" si="53"/>
        <v>18720</v>
      </c>
      <c r="F21" s="1173">
        <f t="shared" ref="F21:G21" si="54">SUM(F17:F20)</f>
        <v>19344</v>
      </c>
      <c r="G21" s="31">
        <f t="shared" si="54"/>
        <v>19344</v>
      </c>
      <c r="H21" s="54">
        <f t="shared" si="53"/>
        <v>38064</v>
      </c>
      <c r="I21" s="259">
        <f t="shared" si="53"/>
        <v>38063.999999999993</v>
      </c>
      <c r="J21" s="1173">
        <f t="shared" ref="J21:K21" si="55">SUM(J17:J20)</f>
        <v>18720</v>
      </c>
      <c r="K21" s="31">
        <f t="shared" si="55"/>
        <v>18720</v>
      </c>
      <c r="L21" s="428">
        <f t="shared" ref="L21:Q21" si="56">SUM(L17:L20)</f>
        <v>56784</v>
      </c>
      <c r="M21" s="152">
        <f t="shared" si="56"/>
        <v>56784</v>
      </c>
      <c r="N21" s="1173">
        <f t="shared" si="56"/>
        <v>19344</v>
      </c>
      <c r="O21" s="478">
        <f t="shared" si="56"/>
        <v>15816.000000000002</v>
      </c>
      <c r="P21" s="54">
        <f t="shared" si="56"/>
        <v>76128</v>
      </c>
      <c r="Q21" s="259">
        <f t="shared" si="56"/>
        <v>72600</v>
      </c>
      <c r="R21" s="1173">
        <f t="shared" ref="R21:U21" si="57">SUM(R17:R20)</f>
        <v>19344</v>
      </c>
      <c r="S21" s="478">
        <f t="shared" si="57"/>
        <v>19344</v>
      </c>
      <c r="T21" s="54">
        <f t="shared" si="57"/>
        <v>95472</v>
      </c>
      <c r="U21" s="259">
        <f t="shared" si="57"/>
        <v>91944</v>
      </c>
      <c r="V21" s="1173">
        <f t="shared" ref="V21:Y21" si="58">SUM(V17:V20)</f>
        <v>18720</v>
      </c>
      <c r="W21" s="478">
        <f t="shared" si="58"/>
        <v>18720</v>
      </c>
      <c r="X21" s="428">
        <f t="shared" si="58"/>
        <v>57408</v>
      </c>
      <c r="Y21" s="2170">
        <f t="shared" si="58"/>
        <v>53880.000000000007</v>
      </c>
      <c r="Z21" s="555">
        <f t="shared" ref="Z21:AE21" si="59">SUM(Z17:Z20)</f>
        <v>114192</v>
      </c>
      <c r="AA21" s="552">
        <f t="shared" si="59"/>
        <v>110664</v>
      </c>
      <c r="AB21" s="1173">
        <f t="shared" si="59"/>
        <v>19344</v>
      </c>
      <c r="AC21" s="478">
        <f t="shared" si="59"/>
        <v>19128</v>
      </c>
      <c r="AD21" s="54">
        <f t="shared" si="59"/>
        <v>133536</v>
      </c>
      <c r="AE21" s="259">
        <f t="shared" si="59"/>
        <v>129792</v>
      </c>
      <c r="AF21" s="1173">
        <f t="shared" ref="AF21:AI21" si="60">SUM(AF17:AF20)</f>
        <v>18720</v>
      </c>
      <c r="AG21" s="478">
        <f t="shared" si="60"/>
        <v>18720</v>
      </c>
      <c r="AH21" s="54">
        <f t="shared" si="60"/>
        <v>152256</v>
      </c>
      <c r="AI21" s="259">
        <f t="shared" si="60"/>
        <v>148512</v>
      </c>
      <c r="AJ21" s="1173">
        <f t="shared" ref="AJ21:AS21" si="61">SUM(AJ17:AJ20)</f>
        <v>19344</v>
      </c>
      <c r="AK21" s="478">
        <f t="shared" si="61"/>
        <v>19344</v>
      </c>
      <c r="AL21" s="428">
        <f t="shared" si="61"/>
        <v>57408</v>
      </c>
      <c r="AM21" s="2170">
        <f t="shared" si="61"/>
        <v>57192</v>
      </c>
      <c r="AN21" s="54">
        <f t="shared" si="61"/>
        <v>171600</v>
      </c>
      <c r="AO21" s="259">
        <f t="shared" si="61"/>
        <v>167856</v>
      </c>
      <c r="AP21" s="1173">
        <f t="shared" si="61"/>
        <v>19344</v>
      </c>
      <c r="AQ21" s="478">
        <f t="shared" si="61"/>
        <v>19344</v>
      </c>
      <c r="AR21" s="54">
        <f t="shared" si="61"/>
        <v>190944</v>
      </c>
      <c r="AS21" s="259">
        <f t="shared" si="61"/>
        <v>187200</v>
      </c>
      <c r="AT21" s="1173">
        <f t="shared" ref="AT21:AW21" si="62">SUM(AT17:AT20)</f>
        <v>18096</v>
      </c>
      <c r="AU21" s="478">
        <f t="shared" si="62"/>
        <v>18096</v>
      </c>
      <c r="AV21" s="54">
        <f t="shared" si="62"/>
        <v>209040</v>
      </c>
      <c r="AW21" s="259">
        <f t="shared" si="62"/>
        <v>205295.99999999997</v>
      </c>
      <c r="AX21" s="1173">
        <f t="shared" ref="AX21:BE21" si="63">SUM(AX17:AX20)</f>
        <v>19344</v>
      </c>
      <c r="AY21" s="478">
        <f t="shared" si="63"/>
        <v>19344</v>
      </c>
      <c r="AZ21" s="428">
        <f t="shared" si="63"/>
        <v>56784</v>
      </c>
      <c r="BA21" s="2170">
        <f t="shared" si="63"/>
        <v>56784</v>
      </c>
      <c r="BB21" s="555">
        <f t="shared" si="63"/>
        <v>114192</v>
      </c>
      <c r="BC21" s="552">
        <f t="shared" si="63"/>
        <v>113976</v>
      </c>
      <c r="BD21" s="54">
        <f t="shared" si="63"/>
        <v>228384</v>
      </c>
      <c r="BE21" s="259">
        <f t="shared" si="63"/>
        <v>224639.99999999997</v>
      </c>
      <c r="BF21" s="26"/>
      <c r="BG21" s="26"/>
      <c r="BH21" s="5726"/>
      <c r="BI21" s="5726"/>
    </row>
    <row r="22" spans="1:61" ht="16.5" thickBot="1" x14ac:dyDescent="0.3">
      <c r="A22" s="183"/>
      <c r="B22" s="1174" t="s">
        <v>461</v>
      </c>
      <c r="C22" s="605"/>
      <c r="D22" s="1175"/>
      <c r="E22" s="811"/>
      <c r="F22" s="1175"/>
      <c r="G22" s="811"/>
      <c r="H22" s="605"/>
      <c r="I22" s="605"/>
      <c r="J22" s="1175"/>
      <c r="K22" s="811"/>
      <c r="L22" s="605"/>
      <c r="M22" s="605"/>
      <c r="N22" s="1175"/>
      <c r="O22" s="811"/>
      <c r="P22" s="605"/>
      <c r="Q22" s="605"/>
      <c r="R22" s="1175"/>
      <c r="S22" s="811"/>
      <c r="T22" s="605"/>
      <c r="U22" s="605"/>
      <c r="V22" s="1175"/>
      <c r="W22" s="811"/>
      <c r="X22" s="605"/>
      <c r="Y22" s="605"/>
      <c r="Z22" s="605"/>
      <c r="AA22" s="605"/>
      <c r="AB22" s="1175"/>
      <c r="AC22" s="811"/>
      <c r="AD22" s="605"/>
      <c r="AE22" s="605"/>
      <c r="AF22" s="1175"/>
      <c r="AG22" s="811"/>
      <c r="AH22" s="605"/>
      <c r="AI22" s="605"/>
      <c r="AJ22" s="1175"/>
      <c r="AK22" s="811"/>
      <c r="AL22" s="605"/>
      <c r="AM22" s="605"/>
      <c r="AN22" s="605"/>
      <c r="AO22" s="605"/>
      <c r="AP22" s="1175"/>
      <c r="AQ22" s="811"/>
      <c r="AR22" s="605"/>
      <c r="AS22" s="605"/>
      <c r="AT22" s="1175"/>
      <c r="AU22" s="811"/>
      <c r="AV22" s="605"/>
      <c r="AW22" s="605"/>
      <c r="AX22" s="1175"/>
      <c r="AY22" s="811"/>
      <c r="AZ22" s="605"/>
      <c r="BA22" s="605"/>
      <c r="BB22" s="605"/>
      <c r="BC22" s="605"/>
      <c r="BD22" s="605"/>
      <c r="BE22" s="605"/>
      <c r="BF22" s="26"/>
      <c r="BG22" s="26"/>
      <c r="BH22" s="5726"/>
      <c r="BI22" s="5726"/>
    </row>
    <row r="23" spans="1:61" ht="15.75" thickBot="1" x14ac:dyDescent="0.3">
      <c r="B23" s="40" t="s">
        <v>563</v>
      </c>
      <c r="C23" s="13" t="s">
        <v>52</v>
      </c>
      <c r="D23" s="488">
        <v>2850</v>
      </c>
      <c r="E23" s="622">
        <v>2715</v>
      </c>
      <c r="F23" s="488">
        <v>2945</v>
      </c>
      <c r="G23" s="622">
        <v>2806</v>
      </c>
      <c r="H23" s="864">
        <f t="shared" ref="H23:I26" si="64">+D23+F23</f>
        <v>5795</v>
      </c>
      <c r="I23" s="261">
        <f t="shared" si="64"/>
        <v>5521</v>
      </c>
      <c r="J23" s="488">
        <v>2850</v>
      </c>
      <c r="K23" s="622">
        <v>2716</v>
      </c>
      <c r="L23" s="3611">
        <f t="shared" ref="L23:M26" si="65">D23+F23+J23</f>
        <v>8645</v>
      </c>
      <c r="M23" s="3611">
        <f t="shared" si="65"/>
        <v>8237</v>
      </c>
      <c r="N23" s="488">
        <v>4650</v>
      </c>
      <c r="O23" s="622">
        <v>1828</v>
      </c>
      <c r="P23" s="864">
        <f t="shared" ref="P23:Q26" si="66">+L23+N23</f>
        <v>13295</v>
      </c>
      <c r="Q23" s="261">
        <f t="shared" si="66"/>
        <v>10065</v>
      </c>
      <c r="R23" s="2575">
        <v>2945</v>
      </c>
      <c r="S23" s="622">
        <v>2805</v>
      </c>
      <c r="T23" s="864">
        <f t="shared" ref="T23:T26" si="67">+P23+R23</f>
        <v>16240</v>
      </c>
      <c r="U23" s="261">
        <f t="shared" ref="U23:U26" si="68">+Q23+S23</f>
        <v>12870</v>
      </c>
      <c r="V23" s="3410">
        <v>2850</v>
      </c>
      <c r="W23" s="622">
        <v>2637</v>
      </c>
      <c r="X23" s="3611">
        <f t="shared" ref="X23:X26" si="69">+N23+R23+V23</f>
        <v>10445</v>
      </c>
      <c r="Y23" s="636">
        <f t="shared" ref="Y23:Y26" si="70">+O23+S23+W23</f>
        <v>7270</v>
      </c>
      <c r="Z23" s="963">
        <f>L23+X23</f>
        <v>19090</v>
      </c>
      <c r="AA23" s="600">
        <f>M23+Y23</f>
        <v>15507</v>
      </c>
      <c r="AB23" s="4127">
        <v>2945</v>
      </c>
      <c r="AC23" s="622">
        <v>2684</v>
      </c>
      <c r="AD23" s="864">
        <f t="shared" ref="AD23:AD26" si="71">+Z23+AB23</f>
        <v>22035</v>
      </c>
      <c r="AE23" s="261">
        <f t="shared" ref="AE23:AE26" si="72">+AA23+AC23</f>
        <v>18191</v>
      </c>
      <c r="AF23" s="4199">
        <v>2850</v>
      </c>
      <c r="AG23" s="622">
        <v>2550</v>
      </c>
      <c r="AH23" s="864">
        <f t="shared" ref="AH23:AH26" si="73">+AD23+AF23</f>
        <v>24885</v>
      </c>
      <c r="AI23" s="261">
        <f t="shared" ref="AI23:AI26" si="74">+AE23+AG23</f>
        <v>20741</v>
      </c>
      <c r="AJ23" s="4355">
        <v>2945</v>
      </c>
      <c r="AK23" s="622">
        <v>2549</v>
      </c>
      <c r="AL23" s="4363">
        <f t="shared" ref="AL23:AL26" si="75">+AB23+AF23+AJ23</f>
        <v>8740</v>
      </c>
      <c r="AM23" s="636">
        <f t="shared" ref="AM23:AM26" si="76">+AC23+AG23+AK23</f>
        <v>7783</v>
      </c>
      <c r="AN23" s="864">
        <f t="shared" ref="AN23:AO26" si="77">+AH23+AJ23</f>
        <v>27830</v>
      </c>
      <c r="AO23" s="261">
        <f t="shared" si="77"/>
        <v>23290</v>
      </c>
      <c r="AP23" s="4461">
        <v>2945</v>
      </c>
      <c r="AQ23" s="622">
        <v>2487</v>
      </c>
      <c r="AR23" s="864">
        <f t="shared" ref="AR23:AR26" si="78">+AN23+AP23</f>
        <v>30775</v>
      </c>
      <c r="AS23" s="261">
        <f t="shared" ref="AS23:AS26" si="79">+AO23+AQ23</f>
        <v>25777</v>
      </c>
      <c r="AT23" s="4677">
        <v>2660</v>
      </c>
      <c r="AU23" s="622">
        <v>2327</v>
      </c>
      <c r="AV23" s="864">
        <f t="shared" ref="AV23:AV26" si="80">+AR23+AT23</f>
        <v>33435</v>
      </c>
      <c r="AW23" s="261">
        <f t="shared" ref="AW23:AW26" si="81">+AS23+AU23</f>
        <v>28104</v>
      </c>
      <c r="AX23" s="5213">
        <v>2945</v>
      </c>
      <c r="AY23" s="622">
        <v>2518</v>
      </c>
      <c r="AZ23" s="5208">
        <f t="shared" ref="AZ23:AZ26" si="82">+AP23+AT23+AX23</f>
        <v>8550</v>
      </c>
      <c r="BA23" s="636">
        <f t="shared" ref="BA23:BA26" si="83">+AQ23+AU23+AY23</f>
        <v>7332</v>
      </c>
      <c r="BB23" s="5228">
        <f t="shared" ref="BB23:BB26" si="84">AL23+AZ23</f>
        <v>17290</v>
      </c>
      <c r="BC23" s="860">
        <f t="shared" ref="BC23:BC26" si="85">+AM23+BA23</f>
        <v>15115</v>
      </c>
      <c r="BD23" s="864">
        <f t="shared" ref="BD23:BD26" si="86">+AV23+AX23</f>
        <v>36380</v>
      </c>
      <c r="BE23" s="261">
        <f t="shared" ref="BE23:BE26" si="87">+AW23+AY23</f>
        <v>30622</v>
      </c>
      <c r="BF23" s="26"/>
      <c r="BG23" s="26"/>
      <c r="BH23" s="5726"/>
      <c r="BI23" s="5726"/>
    </row>
    <row r="24" spans="1:61" ht="15" customHeight="1" thickBot="1" x14ac:dyDescent="0.3">
      <c r="A24" s="184" t="s">
        <v>478</v>
      </c>
      <c r="B24" s="1176" t="s">
        <v>397</v>
      </c>
      <c r="C24" s="13" t="s">
        <v>1145</v>
      </c>
      <c r="D24" s="189">
        <v>0</v>
      </c>
      <c r="E24" s="18"/>
      <c r="F24" s="189">
        <v>0</v>
      </c>
      <c r="G24" s="18">
        <v>0</v>
      </c>
      <c r="H24" s="88">
        <f t="shared" si="64"/>
        <v>0</v>
      </c>
      <c r="I24" s="262">
        <f t="shared" si="64"/>
        <v>0</v>
      </c>
      <c r="J24" s="189">
        <v>0</v>
      </c>
      <c r="K24" s="18">
        <v>0</v>
      </c>
      <c r="L24" s="3611">
        <f t="shared" si="65"/>
        <v>0</v>
      </c>
      <c r="M24" s="3611">
        <f t="shared" si="65"/>
        <v>0</v>
      </c>
      <c r="N24" s="189">
        <v>0</v>
      </c>
      <c r="O24" s="217">
        <v>0</v>
      </c>
      <c r="P24" s="88">
        <f t="shared" si="66"/>
        <v>0</v>
      </c>
      <c r="Q24" s="262">
        <f t="shared" si="66"/>
        <v>0</v>
      </c>
      <c r="R24" s="2573">
        <v>0</v>
      </c>
      <c r="S24" s="217">
        <v>0</v>
      </c>
      <c r="T24" s="88">
        <f t="shared" si="67"/>
        <v>0</v>
      </c>
      <c r="U24" s="262">
        <f t="shared" si="68"/>
        <v>0</v>
      </c>
      <c r="V24" s="3404">
        <v>0</v>
      </c>
      <c r="W24" s="217">
        <v>0</v>
      </c>
      <c r="X24" s="3611">
        <f t="shared" si="69"/>
        <v>0</v>
      </c>
      <c r="Y24" s="636">
        <f t="shared" si="70"/>
        <v>0</v>
      </c>
      <c r="Z24" s="963">
        <f t="shared" ref="Z24:Z26" si="88">L24+X24</f>
        <v>0</v>
      </c>
      <c r="AA24" s="600">
        <f t="shared" ref="AA24:AA26" si="89">M24+Y24</f>
        <v>0</v>
      </c>
      <c r="AB24" s="4120">
        <v>0</v>
      </c>
      <c r="AC24" s="217">
        <v>0</v>
      </c>
      <c r="AD24" s="4119">
        <f t="shared" si="71"/>
        <v>0</v>
      </c>
      <c r="AE24" s="262">
        <f t="shared" si="72"/>
        <v>0</v>
      </c>
      <c r="AF24" s="4195"/>
      <c r="AG24" s="217">
        <v>0</v>
      </c>
      <c r="AH24" s="4194">
        <f t="shared" si="73"/>
        <v>0</v>
      </c>
      <c r="AI24" s="262">
        <f t="shared" si="74"/>
        <v>0</v>
      </c>
      <c r="AJ24" s="4354">
        <v>0</v>
      </c>
      <c r="AK24" s="217">
        <v>0</v>
      </c>
      <c r="AL24" s="4363">
        <f t="shared" si="75"/>
        <v>0</v>
      </c>
      <c r="AM24" s="636">
        <f t="shared" si="76"/>
        <v>0</v>
      </c>
      <c r="AN24" s="4353">
        <f t="shared" si="77"/>
        <v>0</v>
      </c>
      <c r="AO24" s="262">
        <f t="shared" si="77"/>
        <v>0</v>
      </c>
      <c r="AP24" s="4447">
        <v>0</v>
      </c>
      <c r="AQ24" s="217">
        <v>0</v>
      </c>
      <c r="AR24" s="4446">
        <f t="shared" si="78"/>
        <v>0</v>
      </c>
      <c r="AS24" s="262">
        <f t="shared" si="79"/>
        <v>0</v>
      </c>
      <c r="AT24" s="4672">
        <v>0</v>
      </c>
      <c r="AU24" s="217">
        <v>0</v>
      </c>
      <c r="AV24" s="4671">
        <f t="shared" si="80"/>
        <v>0</v>
      </c>
      <c r="AW24" s="262">
        <f t="shared" si="81"/>
        <v>0</v>
      </c>
      <c r="AX24" s="5207">
        <v>0</v>
      </c>
      <c r="AY24" s="217">
        <v>0</v>
      </c>
      <c r="AZ24" s="5208">
        <f t="shared" si="82"/>
        <v>0</v>
      </c>
      <c r="BA24" s="636">
        <f t="shared" si="83"/>
        <v>0</v>
      </c>
      <c r="BB24" s="5228">
        <f t="shared" si="84"/>
        <v>0</v>
      </c>
      <c r="BC24" s="860">
        <f t="shared" si="85"/>
        <v>0</v>
      </c>
      <c r="BD24" s="5206">
        <f t="shared" si="86"/>
        <v>0</v>
      </c>
      <c r="BE24" s="262">
        <f t="shared" si="87"/>
        <v>0</v>
      </c>
      <c r="BF24" s="26"/>
      <c r="BG24" s="26"/>
      <c r="BH24" s="5726"/>
      <c r="BI24" s="5726"/>
    </row>
    <row r="25" spans="1:61" ht="15.75" thickBot="1" x14ac:dyDescent="0.3">
      <c r="A25" s="184" t="s">
        <v>478</v>
      </c>
      <c r="B25" s="1176" t="s">
        <v>398</v>
      </c>
      <c r="C25" s="13" t="s">
        <v>462</v>
      </c>
      <c r="D25" s="189">
        <f>+EMD!D26</f>
        <v>2520</v>
      </c>
      <c r="E25" s="114">
        <f>+EMD!E26</f>
        <v>3053.2921000000001</v>
      </c>
      <c r="F25" s="189">
        <f>+EMD!F26</f>
        <v>2604</v>
      </c>
      <c r="G25" s="114">
        <f>+EMD!G26</f>
        <v>3113.67058</v>
      </c>
      <c r="H25" s="88">
        <f t="shared" si="64"/>
        <v>5124</v>
      </c>
      <c r="I25" s="262">
        <f t="shared" si="64"/>
        <v>6166.9626800000005</v>
      </c>
      <c r="J25" s="189">
        <f>+EMD!J26</f>
        <v>2520</v>
      </c>
      <c r="K25" s="114">
        <f>+EMD!K26</f>
        <v>3091.0781200000006</v>
      </c>
      <c r="L25" s="3611">
        <f t="shared" si="65"/>
        <v>7644</v>
      </c>
      <c r="M25" s="3611">
        <f t="shared" si="65"/>
        <v>9258.0408000000007</v>
      </c>
      <c r="N25" s="189">
        <f>+EMD!N26</f>
        <v>2604</v>
      </c>
      <c r="O25" s="622">
        <f>+EMD!O26</f>
        <v>2356.1153800000002</v>
      </c>
      <c r="P25" s="88">
        <f t="shared" si="66"/>
        <v>10248</v>
      </c>
      <c r="Q25" s="262">
        <f t="shared" si="66"/>
        <v>11614.156180000002</v>
      </c>
      <c r="R25" s="2573">
        <f>+EMD!R26</f>
        <v>2604</v>
      </c>
      <c r="S25" s="622">
        <f>+EMD!S26</f>
        <v>3152.9739199999999</v>
      </c>
      <c r="T25" s="88">
        <f t="shared" si="67"/>
        <v>12852</v>
      </c>
      <c r="U25" s="262">
        <f t="shared" si="68"/>
        <v>14767.130100000002</v>
      </c>
      <c r="V25" s="3404">
        <f>+EMD!V26</f>
        <v>2520</v>
      </c>
      <c r="W25" s="622">
        <f>+EMD!W26</f>
        <v>3016.66</v>
      </c>
      <c r="X25" s="3611">
        <f t="shared" si="69"/>
        <v>7728</v>
      </c>
      <c r="Y25" s="636">
        <f t="shared" si="70"/>
        <v>8525.7492999999995</v>
      </c>
      <c r="Z25" s="963">
        <f t="shared" si="88"/>
        <v>15372</v>
      </c>
      <c r="AA25" s="600">
        <f t="shared" si="89"/>
        <v>17783.790099999998</v>
      </c>
      <c r="AB25" s="4120">
        <f>+EMD!AB26</f>
        <v>2604</v>
      </c>
      <c r="AC25" s="622">
        <f>+EMD!AC26</f>
        <v>3028.9236700000001</v>
      </c>
      <c r="AD25" s="4119">
        <f t="shared" si="71"/>
        <v>17976</v>
      </c>
      <c r="AE25" s="262">
        <f t="shared" si="72"/>
        <v>20812.713769999998</v>
      </c>
      <c r="AF25" s="4195">
        <f>+EMD!AF26</f>
        <v>2520</v>
      </c>
      <c r="AG25" s="622">
        <f>+EMD!AG26</f>
        <v>2868.7315499999991</v>
      </c>
      <c r="AH25" s="4194">
        <f t="shared" si="73"/>
        <v>20496</v>
      </c>
      <c r="AI25" s="262">
        <f t="shared" si="74"/>
        <v>23681.445319999999</v>
      </c>
      <c r="AJ25" s="4354">
        <f>+EMD!AJ26</f>
        <v>2604</v>
      </c>
      <c r="AK25" s="622">
        <f>+EMD!AK26</f>
        <v>2669.6612000000005</v>
      </c>
      <c r="AL25" s="4363">
        <f t="shared" si="75"/>
        <v>7728</v>
      </c>
      <c r="AM25" s="636">
        <f t="shared" si="76"/>
        <v>8567.3164199999992</v>
      </c>
      <c r="AN25" s="4353">
        <f t="shared" si="77"/>
        <v>23100</v>
      </c>
      <c r="AO25" s="262">
        <f t="shared" si="77"/>
        <v>26351.106520000001</v>
      </c>
      <c r="AP25" s="4447">
        <f>+EMD!AP26</f>
        <v>2604</v>
      </c>
      <c r="AQ25" s="622">
        <f>+EMD!AQ26</f>
        <v>2624.97678</v>
      </c>
      <c r="AR25" s="4446">
        <f t="shared" si="78"/>
        <v>25704</v>
      </c>
      <c r="AS25" s="262">
        <f t="shared" si="79"/>
        <v>28976.083300000002</v>
      </c>
      <c r="AT25" s="4672">
        <f>+EMD!AT26</f>
        <v>2436</v>
      </c>
      <c r="AU25" s="622">
        <f>+EMD!AU26</f>
        <v>2482.3000000000002</v>
      </c>
      <c r="AV25" s="4671">
        <f t="shared" si="80"/>
        <v>28140</v>
      </c>
      <c r="AW25" s="262">
        <f t="shared" si="81"/>
        <v>31458.383300000001</v>
      </c>
      <c r="AX25" s="5207">
        <f>+EMD!AX26</f>
        <v>2604</v>
      </c>
      <c r="AY25" s="622">
        <f>+EMD!AY26</f>
        <v>2665.9079800000009</v>
      </c>
      <c r="AZ25" s="5208">
        <f t="shared" si="82"/>
        <v>7644</v>
      </c>
      <c r="BA25" s="636">
        <f t="shared" si="83"/>
        <v>7773.184760000001</v>
      </c>
      <c r="BB25" s="5228">
        <f t="shared" si="84"/>
        <v>15372</v>
      </c>
      <c r="BC25" s="860">
        <f t="shared" si="85"/>
        <v>16340.501179999999</v>
      </c>
      <c r="BD25" s="5206">
        <f t="shared" si="86"/>
        <v>30744</v>
      </c>
      <c r="BE25" s="262">
        <f t="shared" si="87"/>
        <v>34124.291280000005</v>
      </c>
      <c r="BF25" s="26"/>
      <c r="BG25" s="26"/>
      <c r="BH25" s="5726"/>
      <c r="BI25" s="5726"/>
    </row>
    <row r="26" spans="1:61" ht="15.75" customHeight="1" thickBot="1" x14ac:dyDescent="0.3">
      <c r="A26" s="184" t="s">
        <v>478</v>
      </c>
      <c r="B26" s="1176" t="s">
        <v>399</v>
      </c>
      <c r="C26" s="13" t="s">
        <v>413</v>
      </c>
      <c r="D26" s="866">
        <v>0</v>
      </c>
      <c r="E26" s="190">
        <v>0</v>
      </c>
      <c r="F26" s="866">
        <v>0</v>
      </c>
      <c r="G26" s="190">
        <v>0</v>
      </c>
      <c r="H26" s="868">
        <f t="shared" si="64"/>
        <v>0</v>
      </c>
      <c r="I26" s="263">
        <f t="shared" si="64"/>
        <v>0</v>
      </c>
      <c r="J26" s="866">
        <v>0</v>
      </c>
      <c r="K26" s="190">
        <v>0</v>
      </c>
      <c r="L26" s="3611">
        <f t="shared" si="65"/>
        <v>0</v>
      </c>
      <c r="M26" s="3611">
        <f t="shared" si="65"/>
        <v>0</v>
      </c>
      <c r="N26" s="866">
        <v>0</v>
      </c>
      <c r="O26" s="190">
        <v>0</v>
      </c>
      <c r="P26" s="868">
        <f t="shared" si="66"/>
        <v>0</v>
      </c>
      <c r="Q26" s="263">
        <f t="shared" si="66"/>
        <v>0</v>
      </c>
      <c r="R26" s="866">
        <v>0</v>
      </c>
      <c r="S26" s="190">
        <v>0</v>
      </c>
      <c r="T26" s="868">
        <f t="shared" si="67"/>
        <v>0</v>
      </c>
      <c r="U26" s="263">
        <f t="shared" si="68"/>
        <v>0</v>
      </c>
      <c r="V26" s="866">
        <v>0</v>
      </c>
      <c r="W26" s="190">
        <v>0</v>
      </c>
      <c r="X26" s="3611">
        <f t="shared" si="69"/>
        <v>0</v>
      </c>
      <c r="Y26" s="636">
        <f t="shared" si="70"/>
        <v>0</v>
      </c>
      <c r="Z26" s="963">
        <f t="shared" si="88"/>
        <v>0</v>
      </c>
      <c r="AA26" s="600">
        <f t="shared" si="89"/>
        <v>0</v>
      </c>
      <c r="AB26" s="866">
        <v>0</v>
      </c>
      <c r="AC26" s="190">
        <v>0</v>
      </c>
      <c r="AD26" s="868">
        <f t="shared" si="71"/>
        <v>0</v>
      </c>
      <c r="AE26" s="263">
        <f t="shared" si="72"/>
        <v>0</v>
      </c>
      <c r="AF26" s="866">
        <v>0</v>
      </c>
      <c r="AG26" s="190">
        <v>0</v>
      </c>
      <c r="AH26" s="868">
        <f t="shared" si="73"/>
        <v>0</v>
      </c>
      <c r="AI26" s="263">
        <f t="shared" si="74"/>
        <v>0</v>
      </c>
      <c r="AJ26" s="866">
        <v>0</v>
      </c>
      <c r="AK26" s="190">
        <v>0</v>
      </c>
      <c r="AL26" s="4363">
        <f t="shared" si="75"/>
        <v>0</v>
      </c>
      <c r="AM26" s="636">
        <f t="shared" si="76"/>
        <v>0</v>
      </c>
      <c r="AN26" s="868">
        <f t="shared" si="77"/>
        <v>0</v>
      </c>
      <c r="AO26" s="263">
        <f t="shared" si="77"/>
        <v>0</v>
      </c>
      <c r="AP26" s="866">
        <v>0</v>
      </c>
      <c r="AQ26" s="190">
        <v>0</v>
      </c>
      <c r="AR26" s="868">
        <f t="shared" si="78"/>
        <v>0</v>
      </c>
      <c r="AS26" s="263">
        <f t="shared" si="79"/>
        <v>0</v>
      </c>
      <c r="AT26" s="866">
        <v>0</v>
      </c>
      <c r="AU26" s="190">
        <v>0</v>
      </c>
      <c r="AV26" s="868">
        <f t="shared" si="80"/>
        <v>0</v>
      </c>
      <c r="AW26" s="263">
        <f t="shared" si="81"/>
        <v>0</v>
      </c>
      <c r="AX26" s="866">
        <v>0</v>
      </c>
      <c r="AY26" s="190">
        <v>0</v>
      </c>
      <c r="AZ26" s="5208">
        <f t="shared" si="82"/>
        <v>0</v>
      </c>
      <c r="BA26" s="636">
        <f t="shared" si="83"/>
        <v>0</v>
      </c>
      <c r="BB26" s="5228">
        <f t="shared" si="84"/>
        <v>0</v>
      </c>
      <c r="BC26" s="860">
        <f t="shared" si="85"/>
        <v>0</v>
      </c>
      <c r="BD26" s="868">
        <f t="shared" si="86"/>
        <v>0</v>
      </c>
      <c r="BE26" s="263">
        <f t="shared" si="87"/>
        <v>0</v>
      </c>
      <c r="BF26" s="26"/>
      <c r="BG26" s="26"/>
      <c r="BH26" s="5726"/>
      <c r="BI26" s="5726"/>
    </row>
    <row r="27" spans="1:61" ht="16.5" thickBot="1" x14ac:dyDescent="0.3">
      <c r="B27" s="1178"/>
      <c r="C27" s="1179"/>
      <c r="D27" s="1180"/>
      <c r="E27" s="812"/>
      <c r="F27" s="1180"/>
      <c r="G27" s="812"/>
      <c r="H27" s="149"/>
      <c r="I27" s="149"/>
      <c r="J27" s="1180"/>
      <c r="K27" s="812"/>
      <c r="L27" s="149"/>
      <c r="M27" s="149"/>
      <c r="N27" s="2091"/>
      <c r="O27" s="2153"/>
      <c r="P27" s="149"/>
      <c r="Q27" s="149"/>
      <c r="R27" s="2091"/>
      <c r="S27" s="2153"/>
      <c r="T27" s="149"/>
      <c r="U27" s="149"/>
      <c r="V27" s="2091"/>
      <c r="W27" s="2153"/>
      <c r="X27" s="149"/>
      <c r="Y27" s="149"/>
      <c r="Z27" s="149"/>
      <c r="AA27" s="149"/>
      <c r="AB27" s="2091"/>
      <c r="AC27" s="2153"/>
      <c r="AD27" s="149"/>
      <c r="AE27" s="149"/>
      <c r="AF27" s="2091"/>
      <c r="AG27" s="2153"/>
      <c r="AH27" s="149"/>
      <c r="AI27" s="149"/>
      <c r="AJ27" s="2091"/>
      <c r="AK27" s="2153"/>
      <c r="AL27" s="149"/>
      <c r="AM27" s="149"/>
      <c r="AN27" s="149"/>
      <c r="AO27" s="149"/>
      <c r="AP27" s="2091"/>
      <c r="AQ27" s="2153"/>
      <c r="AR27" s="149"/>
      <c r="AS27" s="149"/>
      <c r="AT27" s="2091"/>
      <c r="AU27" s="2153"/>
      <c r="AV27" s="149"/>
      <c r="AW27" s="149"/>
      <c r="AX27" s="2091"/>
      <c r="AY27" s="2153"/>
      <c r="AZ27" s="149"/>
      <c r="BA27" s="149"/>
      <c r="BB27" s="149"/>
      <c r="BC27" s="149"/>
      <c r="BD27" s="149"/>
      <c r="BE27" s="149"/>
      <c r="BF27" s="26"/>
      <c r="BG27" s="26"/>
      <c r="BH27" s="5726"/>
      <c r="BI27" s="5726"/>
    </row>
    <row r="28" spans="1:61" ht="15.75" x14ac:dyDescent="0.25">
      <c r="B28" s="1181" t="s">
        <v>390</v>
      </c>
      <c r="C28" s="148"/>
      <c r="D28" s="1182"/>
      <c r="E28" s="813"/>
      <c r="F28" s="1182"/>
      <c r="G28" s="813"/>
      <c r="H28" s="148"/>
      <c r="I28" s="148"/>
      <c r="J28" s="1182"/>
      <c r="K28" s="813"/>
      <c r="L28" s="148"/>
      <c r="M28" s="148"/>
      <c r="N28" s="1175"/>
      <c r="O28" s="811"/>
      <c r="P28" s="148"/>
      <c r="Q28" s="148"/>
      <c r="R28" s="1175"/>
      <c r="S28" s="811"/>
      <c r="T28" s="148"/>
      <c r="U28" s="148"/>
      <c r="V28" s="1175"/>
      <c r="W28" s="811"/>
      <c r="X28" s="148"/>
      <c r="Y28" s="148"/>
      <c r="Z28" s="148"/>
      <c r="AA28" s="148"/>
      <c r="AB28" s="1175"/>
      <c r="AC28" s="811"/>
      <c r="AD28" s="148"/>
      <c r="AE28" s="148"/>
      <c r="AF28" s="1175"/>
      <c r="AG28" s="811"/>
      <c r="AH28" s="148"/>
      <c r="AI28" s="148"/>
      <c r="AJ28" s="1175"/>
      <c r="AK28" s="811"/>
      <c r="AL28" s="148"/>
      <c r="AM28" s="148"/>
      <c r="AN28" s="148"/>
      <c r="AO28" s="148"/>
      <c r="AP28" s="1175"/>
      <c r="AQ28" s="811"/>
      <c r="AR28" s="148"/>
      <c r="AS28" s="148"/>
      <c r="AT28" s="1175"/>
      <c r="AU28" s="811"/>
      <c r="AV28" s="148"/>
      <c r="AW28" s="148"/>
      <c r="AX28" s="1175"/>
      <c r="AY28" s="811"/>
      <c r="AZ28" s="148"/>
      <c r="BA28" s="148"/>
      <c r="BB28" s="148"/>
      <c r="BC28" s="148"/>
      <c r="BD28" s="148"/>
      <c r="BE28" s="148"/>
      <c r="BF28" s="26"/>
      <c r="BG28" s="26"/>
      <c r="BH28" s="5726"/>
      <c r="BI28" s="5726"/>
    </row>
    <row r="29" spans="1:61" ht="14.25" customHeight="1" x14ac:dyDescent="0.25">
      <c r="B29" s="40" t="s">
        <v>396</v>
      </c>
      <c r="C29" s="13" t="s">
        <v>392</v>
      </c>
      <c r="D29" s="1183">
        <f t="shared" ref="D29:K29" si="90">+D15/(D2*24)</f>
        <v>26</v>
      </c>
      <c r="E29" s="150">
        <f t="shared" si="90"/>
        <v>26</v>
      </c>
      <c r="F29" s="1183">
        <f t="shared" ref="F29:G29" si="91">+F15/(F2*24)</f>
        <v>26</v>
      </c>
      <c r="G29" s="150">
        <f t="shared" si="91"/>
        <v>26</v>
      </c>
      <c r="H29" s="71">
        <f t="shared" si="90"/>
        <v>26</v>
      </c>
      <c r="I29" s="522">
        <f t="shared" si="90"/>
        <v>26</v>
      </c>
      <c r="J29" s="1183">
        <f t="shared" si="90"/>
        <v>26</v>
      </c>
      <c r="K29" s="150">
        <f t="shared" si="90"/>
        <v>26</v>
      </c>
      <c r="L29" s="284">
        <f t="shared" ref="L29:Q29" si="92">+L15/(L2*24)</f>
        <v>26</v>
      </c>
      <c r="M29" s="523">
        <f t="shared" si="92"/>
        <v>26</v>
      </c>
      <c r="N29" s="1183">
        <f t="shared" si="92"/>
        <v>26</v>
      </c>
      <c r="O29" s="2154">
        <f t="shared" si="92"/>
        <v>21.258064516129036</v>
      </c>
      <c r="P29" s="71">
        <f t="shared" si="92"/>
        <v>26</v>
      </c>
      <c r="Q29" s="522">
        <f t="shared" si="92"/>
        <v>24.795081967213115</v>
      </c>
      <c r="R29" s="1183">
        <f t="shared" ref="R29:S29" si="93">+R15/(R2*24)</f>
        <v>26</v>
      </c>
      <c r="S29" s="2154">
        <f t="shared" si="93"/>
        <v>26</v>
      </c>
      <c r="T29" s="71">
        <f t="shared" ref="T29:Y29" si="94">+T15/(T2*24)</f>
        <v>26</v>
      </c>
      <c r="U29" s="522">
        <f t="shared" si="94"/>
        <v>25.03921568627451</v>
      </c>
      <c r="V29" s="1183">
        <f t="shared" si="94"/>
        <v>26</v>
      </c>
      <c r="W29" s="2154">
        <f t="shared" si="94"/>
        <v>26</v>
      </c>
      <c r="X29" s="284">
        <f t="shared" si="94"/>
        <v>26</v>
      </c>
      <c r="Y29" s="523">
        <f t="shared" si="94"/>
        <v>24.402173913043477</v>
      </c>
      <c r="Z29" s="554">
        <f t="shared" ref="Z29:AE29" si="95">+Z15/(Z2*24)</f>
        <v>26</v>
      </c>
      <c r="AA29" s="604">
        <f t="shared" si="95"/>
        <v>25.196721311475411</v>
      </c>
      <c r="AB29" s="1183">
        <f t="shared" si="95"/>
        <v>26</v>
      </c>
      <c r="AC29" s="2154">
        <f t="shared" si="95"/>
        <v>25.70967741935484</v>
      </c>
      <c r="AD29" s="71">
        <f t="shared" si="95"/>
        <v>26</v>
      </c>
      <c r="AE29" s="522">
        <f t="shared" si="95"/>
        <v>25.271028037383179</v>
      </c>
      <c r="AF29" s="1183">
        <f t="shared" ref="AF29:AI29" si="96">+AF15/(AF2*24)</f>
        <v>26</v>
      </c>
      <c r="AG29" s="2154">
        <f t="shared" si="96"/>
        <v>26</v>
      </c>
      <c r="AH29" s="71">
        <f t="shared" si="96"/>
        <v>26</v>
      </c>
      <c r="AI29" s="522">
        <f t="shared" si="96"/>
        <v>25.360655737704917</v>
      </c>
      <c r="AJ29" s="1183">
        <f t="shared" ref="AJ29:AS29" si="97">+AJ15/(AJ2*24)</f>
        <v>26</v>
      </c>
      <c r="AK29" s="2154">
        <f t="shared" si="97"/>
        <v>26</v>
      </c>
      <c r="AL29" s="284">
        <f t="shared" si="97"/>
        <v>26</v>
      </c>
      <c r="AM29" s="523">
        <f t="shared" si="97"/>
        <v>25.902173913043477</v>
      </c>
      <c r="AN29" s="71">
        <f t="shared" si="97"/>
        <v>26</v>
      </c>
      <c r="AO29" s="522">
        <f t="shared" si="97"/>
        <v>25.432727272727274</v>
      </c>
      <c r="AP29" s="1183">
        <f t="shared" si="97"/>
        <v>26</v>
      </c>
      <c r="AQ29" s="2154">
        <f t="shared" si="97"/>
        <v>26</v>
      </c>
      <c r="AR29" s="71">
        <f t="shared" si="97"/>
        <v>26</v>
      </c>
      <c r="AS29" s="522">
        <f t="shared" si="97"/>
        <v>25.490196078431371</v>
      </c>
      <c r="AT29" s="1183">
        <f t="shared" ref="AT29:AW29" si="98">+AT15/(AT2*24)</f>
        <v>26</v>
      </c>
      <c r="AU29" s="2154">
        <f t="shared" si="98"/>
        <v>26</v>
      </c>
      <c r="AV29" s="71">
        <f t="shared" si="98"/>
        <v>26</v>
      </c>
      <c r="AW29" s="522">
        <f t="shared" si="98"/>
        <v>25.534328358208956</v>
      </c>
      <c r="AX29" s="1183">
        <f t="shared" ref="AX29:BE29" si="99">+AX15/(AX2*24)</f>
        <v>26</v>
      </c>
      <c r="AY29" s="2154">
        <f t="shared" si="99"/>
        <v>26</v>
      </c>
      <c r="AZ29" s="284">
        <f t="shared" si="99"/>
        <v>26</v>
      </c>
      <c r="BA29" s="523">
        <f t="shared" si="99"/>
        <v>26</v>
      </c>
      <c r="BB29" s="554">
        <f t="shared" si="99"/>
        <v>26</v>
      </c>
      <c r="BC29" s="604">
        <f t="shared" si="99"/>
        <v>25.950819672131146</v>
      </c>
      <c r="BD29" s="71">
        <f t="shared" si="99"/>
        <v>26</v>
      </c>
      <c r="BE29" s="522">
        <f t="shared" si="99"/>
        <v>25.57377049180328</v>
      </c>
      <c r="BF29" s="26"/>
      <c r="BG29" s="26"/>
      <c r="BH29" s="5726"/>
      <c r="BI29" s="5726"/>
    </row>
    <row r="30" spans="1:61" ht="14.25" customHeight="1" x14ac:dyDescent="0.25">
      <c r="B30" s="1176" t="s">
        <v>563</v>
      </c>
      <c r="C30" s="13" t="s">
        <v>393</v>
      </c>
      <c r="D30" s="939">
        <f>+D23/D21*1000</f>
        <v>152.24358974358972</v>
      </c>
      <c r="E30" s="130">
        <f>+(E23*1000)/E15</f>
        <v>145.03205128205127</v>
      </c>
      <c r="F30" s="939">
        <f>+F23/F21*1000</f>
        <v>152.24358974358972</v>
      </c>
      <c r="G30" s="130">
        <f>+(G23*1000)/G15</f>
        <v>145.05789909015715</v>
      </c>
      <c r="H30" s="70">
        <f>+H23/H$21*1000</f>
        <v>152.24358974358972</v>
      </c>
      <c r="I30" s="331">
        <f>+(I23*1000)/I15</f>
        <v>145.04518705338378</v>
      </c>
      <c r="J30" s="939">
        <f>+J23/J21*1000</f>
        <v>152.24358974358972</v>
      </c>
      <c r="K30" s="130">
        <f>+(K23*1000)/K15</f>
        <v>145.08547008547009</v>
      </c>
      <c r="L30" s="106">
        <f>+L23/L$21*1000</f>
        <v>152.24358974358972</v>
      </c>
      <c r="M30" s="427">
        <f>+(M23*1000)/M15</f>
        <v>145.0584671738518</v>
      </c>
      <c r="N30" s="939">
        <f>+N23/N21*1000</f>
        <v>240.38461538461539</v>
      </c>
      <c r="O30" s="164">
        <f>+(O23*1000)/O15</f>
        <v>115.57916034395548</v>
      </c>
      <c r="P30" s="70">
        <f>+P23/P$21*1000</f>
        <v>174.64007986548972</v>
      </c>
      <c r="Q30" s="331">
        <f>+(Q23*1000)/Q15</f>
        <v>138.63636363636363</v>
      </c>
      <c r="R30" s="939">
        <f>+R23/R21*1000</f>
        <v>152.24358974358972</v>
      </c>
      <c r="S30" s="164">
        <f>+(S23*1000)/S15</f>
        <v>145.00620347394542</v>
      </c>
      <c r="T30" s="70">
        <f>+T23/T$21*1000</f>
        <v>170.10222892575831</v>
      </c>
      <c r="U30" s="331">
        <f>+(U23*1000)/U15</f>
        <v>139.97650743931089</v>
      </c>
      <c r="V30" s="939">
        <f>+V23/V21*1000</f>
        <v>152.24358974358972</v>
      </c>
      <c r="W30" s="164">
        <f>+(W23*1000)/W15</f>
        <v>140.86538461538461</v>
      </c>
      <c r="X30" s="106">
        <f>+X23/X$21*1000</f>
        <v>181.94328316610924</v>
      </c>
      <c r="Y30" s="427">
        <f>+(Y23*1000)/Y15</f>
        <v>134.92947290274685</v>
      </c>
      <c r="Z30" s="559">
        <f>+Z23/Z$21*1000</f>
        <v>167.17458315818973</v>
      </c>
      <c r="AA30" s="559">
        <f>+(AA23*1000)/AA15</f>
        <v>140.12687052700065</v>
      </c>
      <c r="AB30" s="939">
        <f>+AB23/AB21*1000</f>
        <v>152.24358974358972</v>
      </c>
      <c r="AC30" s="164">
        <f>+(AC23*1000)/AC15</f>
        <v>140.31785863655375</v>
      </c>
      <c r="AD30" s="70">
        <f>+AD23/AD$21*1000</f>
        <v>165.01168224299064</v>
      </c>
      <c r="AE30" s="331">
        <f>+(AE23*1000)/AE15</f>
        <v>140.15501725838266</v>
      </c>
      <c r="AF30" s="939">
        <f>+AF23/AF21*1000</f>
        <v>152.24358974358972</v>
      </c>
      <c r="AG30" s="164">
        <f>+(AG23*1000)/AG15</f>
        <v>136.21794871794873</v>
      </c>
      <c r="AH30" s="70">
        <f>+AH23/AH$21*1000</f>
        <v>163.44183480453972</v>
      </c>
      <c r="AI30" s="331">
        <f>+(AI23*1000)/AI15</f>
        <v>139.65874811463047</v>
      </c>
      <c r="AJ30" s="939">
        <f>+AJ23/AJ21*1000</f>
        <v>152.24358974358972</v>
      </c>
      <c r="AK30" s="164">
        <f>+(AK23*1000)/AK15</f>
        <v>131.77212572373864</v>
      </c>
      <c r="AL30" s="106">
        <f>+AL23/AL$21*1000</f>
        <v>152.24358974358972</v>
      </c>
      <c r="AM30" s="427">
        <f>+(AM23*1000)/AM15</f>
        <v>136.08546649881103</v>
      </c>
      <c r="AN30" s="70">
        <f>+AN23/AN$21*1000</f>
        <v>162.17948717948718</v>
      </c>
      <c r="AO30" s="331">
        <f>+(AO23*1000)/AO15</f>
        <v>138.74988085025259</v>
      </c>
      <c r="AP30" s="939">
        <f>+AP23/AP21*1000</f>
        <v>152.24358974358972</v>
      </c>
      <c r="AQ30" s="164">
        <f>+(AQ23*1000)/AQ15</f>
        <v>128.56699751861044</v>
      </c>
      <c r="AR30" s="70">
        <f>+AR23/AR$21*1000</f>
        <v>161.17290933467405</v>
      </c>
      <c r="AS30" s="331">
        <f>+(AS23*1000)/AS15</f>
        <v>137.69764957264957</v>
      </c>
      <c r="AT30" s="939">
        <f>+AT23/AT21*1000</f>
        <v>146.99381078691422</v>
      </c>
      <c r="AU30" s="164">
        <f>+(AU23*1000)/AU15</f>
        <v>128.59195402298852</v>
      </c>
      <c r="AV30" s="70">
        <f>+AV23/AV$21*1000</f>
        <v>159.94546498277842</v>
      </c>
      <c r="AW30" s="331">
        <f>+(AW23*1000)/AW15</f>
        <v>136.89501987374328</v>
      </c>
      <c r="AX30" s="939">
        <f>+AX23/AX21*1000</f>
        <v>152.24358974358972</v>
      </c>
      <c r="AY30" s="164">
        <f>+(AY23*1000)/AY15</f>
        <v>130.16956162117452</v>
      </c>
      <c r="AZ30" s="106">
        <f>+AZ23/AZ$21*1000</f>
        <v>150.57058326289098</v>
      </c>
      <c r="BA30" s="427">
        <f>+(BA23*1000)/BA15</f>
        <v>129.12087912087912</v>
      </c>
      <c r="BB30" s="559">
        <f>+BB23/BB$21*1000</f>
        <v>151.41165755919855</v>
      </c>
      <c r="BC30" s="559">
        <f>+(BC23*1000)/BC15</f>
        <v>132.61563838000981</v>
      </c>
      <c r="BD30" s="70">
        <f>+BD23/BD$21*1000</f>
        <v>159.29312035869415</v>
      </c>
      <c r="BE30" s="331">
        <f>+(BE23*1000)/BE15</f>
        <v>136.3158831908832</v>
      </c>
      <c r="BF30" s="26"/>
      <c r="BG30" s="26"/>
      <c r="BH30" s="5726"/>
      <c r="BI30" s="5726"/>
    </row>
    <row r="31" spans="1:61" ht="15" customHeight="1" x14ac:dyDescent="0.25">
      <c r="B31" s="1176" t="s">
        <v>397</v>
      </c>
      <c r="C31" s="13" t="s">
        <v>394</v>
      </c>
      <c r="D31" s="939">
        <f>+D24/D21*1000</f>
        <v>0</v>
      </c>
      <c r="E31" s="18">
        <f>+(E24*1000)/E15</f>
        <v>0</v>
      </c>
      <c r="F31" s="939">
        <f>+F24/F21*1000</f>
        <v>0</v>
      </c>
      <c r="G31" s="18">
        <f>+(G24*1000)/G15</f>
        <v>0</v>
      </c>
      <c r="H31" s="88">
        <f>+H24/H$21*1000</f>
        <v>0</v>
      </c>
      <c r="I31" s="947">
        <f>+(I24*1000)/I15</f>
        <v>0</v>
      </c>
      <c r="J31" s="939">
        <f>+J24/J21*1000</f>
        <v>0</v>
      </c>
      <c r="K31" s="18">
        <f>+(K24*1000)/K15</f>
        <v>0</v>
      </c>
      <c r="L31" s="101">
        <f>+L24/L$21*1000</f>
        <v>0</v>
      </c>
      <c r="M31" s="946">
        <f>+(M24*1000)/M15</f>
        <v>0</v>
      </c>
      <c r="N31" s="939">
        <f>+N24/N21*1000</f>
        <v>0</v>
      </c>
      <c r="O31" s="217">
        <f>+(O24*1000)/O15</f>
        <v>0</v>
      </c>
      <c r="P31" s="88">
        <f>+P24/P$21*1000</f>
        <v>0</v>
      </c>
      <c r="Q31" s="947">
        <f>+(Q24*1000)/Q15</f>
        <v>0</v>
      </c>
      <c r="R31" s="939">
        <f>+R24/R21*1000</f>
        <v>0</v>
      </c>
      <c r="S31" s="217">
        <f>+(S24*1000)/S15</f>
        <v>0</v>
      </c>
      <c r="T31" s="88">
        <f>+T24/T$21*1000</f>
        <v>0</v>
      </c>
      <c r="U31" s="947">
        <f>+(U24*1000)/U15</f>
        <v>0</v>
      </c>
      <c r="V31" s="939">
        <f>+V24/V21*1000</f>
        <v>0</v>
      </c>
      <c r="W31" s="217">
        <f>+(W24*1000)/W15</f>
        <v>0</v>
      </c>
      <c r="X31" s="3405">
        <f>+X24/X$21*1000</f>
        <v>0</v>
      </c>
      <c r="Y31" s="3403">
        <f>+(Y24*1000)/Y15</f>
        <v>0</v>
      </c>
      <c r="Z31" s="558">
        <f>+Z24/Z$21*1000</f>
        <v>0</v>
      </c>
      <c r="AA31" s="558">
        <f>+(AA24*1000)/AA15</f>
        <v>0</v>
      </c>
      <c r="AB31" s="939">
        <f>+AB24/AB21*1000</f>
        <v>0</v>
      </c>
      <c r="AC31" s="217">
        <f>+(AC24*1000)/AC15</f>
        <v>0</v>
      </c>
      <c r="AD31" s="4119">
        <f>+AD24/AD$21*1000</f>
        <v>0</v>
      </c>
      <c r="AE31" s="3615">
        <f>+(AE24*1000)/AE15</f>
        <v>0</v>
      </c>
      <c r="AF31" s="939">
        <f>+AF24/AF21*1000</f>
        <v>0</v>
      </c>
      <c r="AG31" s="217">
        <f>+(AG24*1000)/AG15</f>
        <v>0</v>
      </c>
      <c r="AH31" s="4194">
        <f>+AH24/AH$21*1000</f>
        <v>0</v>
      </c>
      <c r="AI31" s="3615">
        <f>+(AI24*1000)/AI15</f>
        <v>0</v>
      </c>
      <c r="AJ31" s="939">
        <f>+AJ24/AJ21*1000</f>
        <v>0</v>
      </c>
      <c r="AK31" s="217">
        <f>+(AK24*1000)/AK15</f>
        <v>0</v>
      </c>
      <c r="AL31" s="4363">
        <f>+AL24/AL$21*1000</f>
        <v>0</v>
      </c>
      <c r="AM31" s="4362">
        <f>+(AM24*1000)/AM15</f>
        <v>0</v>
      </c>
      <c r="AN31" s="4353">
        <f>+AN24/AN$21*1000</f>
        <v>0</v>
      </c>
      <c r="AO31" s="3615">
        <f>+(AO24*1000)/AO15</f>
        <v>0</v>
      </c>
      <c r="AP31" s="939">
        <f>+AP24/AP21*1000</f>
        <v>0</v>
      </c>
      <c r="AQ31" s="217">
        <f>+(AQ24*1000)/AQ15</f>
        <v>0</v>
      </c>
      <c r="AR31" s="4446">
        <f>+AR24/AR$21*1000</f>
        <v>0</v>
      </c>
      <c r="AS31" s="3615">
        <f>+(AS24*1000)/AS15</f>
        <v>0</v>
      </c>
      <c r="AT31" s="939">
        <f>+AT24/AT21*1000</f>
        <v>0</v>
      </c>
      <c r="AU31" s="217">
        <f>+(AU24*1000)/AU15</f>
        <v>0</v>
      </c>
      <c r="AV31" s="4671">
        <f>+AV24/AV$21*1000</f>
        <v>0</v>
      </c>
      <c r="AW31" s="3615">
        <f>+(AW24*1000)/AW15</f>
        <v>0</v>
      </c>
      <c r="AX31" s="939">
        <f>+AX24/AX21*1000</f>
        <v>0</v>
      </c>
      <c r="AY31" s="217">
        <f>+(AY24*1000)/AY15</f>
        <v>0</v>
      </c>
      <c r="AZ31" s="5208">
        <f>+AZ24/AZ$21*1000</f>
        <v>0</v>
      </c>
      <c r="BA31" s="5205">
        <f>+(BA24*1000)/BA15</f>
        <v>0</v>
      </c>
      <c r="BB31" s="5203">
        <f>+BB24/BB$21*1000</f>
        <v>0</v>
      </c>
      <c r="BC31" s="5203">
        <f>+(BC24*1000)/BC15</f>
        <v>0</v>
      </c>
      <c r="BD31" s="5206">
        <f>+BD24/BD$21*1000</f>
        <v>0</v>
      </c>
      <c r="BE31" s="3615">
        <f>+(BE24*1000)/BE15</f>
        <v>0</v>
      </c>
      <c r="BF31" s="26"/>
      <c r="BG31" s="26"/>
      <c r="BH31" s="5726"/>
      <c r="BI31" s="5726"/>
    </row>
    <row r="32" spans="1:61" x14ac:dyDescent="0.25">
      <c r="B32" s="1176" t="s">
        <v>398</v>
      </c>
      <c r="C32" s="13" t="s">
        <v>394</v>
      </c>
      <c r="D32" s="939">
        <f>+D25/D21*1000</f>
        <v>134.61538461538461</v>
      </c>
      <c r="E32" s="130">
        <f>+(E25*1000)/E15</f>
        <v>163.10321047008549</v>
      </c>
      <c r="F32" s="939">
        <f>+F25/F21*1000</f>
        <v>134.61538461538461</v>
      </c>
      <c r="G32" s="130">
        <f>+(G25*1000)/G15</f>
        <v>160.96311931348222</v>
      </c>
      <c r="H32" s="70">
        <f>+H25/H$21*1000</f>
        <v>134.61538461538461</v>
      </c>
      <c r="I32" s="331">
        <f>+(I25*1000)/I15</f>
        <v>162.01562316099202</v>
      </c>
      <c r="J32" s="939">
        <f>+J25/J21*1000</f>
        <v>134.61538461538461</v>
      </c>
      <c r="K32" s="130">
        <f>+(K25*1000)/K15</f>
        <v>165.12169444444447</v>
      </c>
      <c r="L32" s="106">
        <f>+L25/L$21*1000</f>
        <v>134.61538461538461</v>
      </c>
      <c r="M32" s="427">
        <f>+(M25*1000)/M15</f>
        <v>163.03960270498735</v>
      </c>
      <c r="N32" s="939">
        <f>+N25/N21*1000</f>
        <v>134.61538461538461</v>
      </c>
      <c r="O32" s="164">
        <f>+(O25*1000)/O15</f>
        <v>148.97037051087506</v>
      </c>
      <c r="P32" s="70">
        <f>+P25/P$21*1000</f>
        <v>134.61538461538461</v>
      </c>
      <c r="Q32" s="331">
        <f>+(Q25*1000)/Q15</f>
        <v>159.97460303030306</v>
      </c>
      <c r="R32" s="939">
        <f>+R25/R21*1000</f>
        <v>134.61538461538461</v>
      </c>
      <c r="S32" s="164">
        <f>+(S25*1000)/S15</f>
        <v>162.99492969396195</v>
      </c>
      <c r="T32" s="70">
        <f>+T25/T$21*1000</f>
        <v>134.61538461538461</v>
      </c>
      <c r="U32" s="331">
        <f>+(U25*1000)/U15</f>
        <v>160.61004633255027</v>
      </c>
      <c r="V32" s="939">
        <f>+V25/V21*1000</f>
        <v>134.61538461538461</v>
      </c>
      <c r="W32" s="164">
        <f>+(W25*1000)/W15</f>
        <v>161.14636752136752</v>
      </c>
      <c r="X32" s="106">
        <f>+X25/X$21*1000</f>
        <v>134.61538461538461</v>
      </c>
      <c r="Y32" s="427">
        <f>+(Y25*1000)/Y15</f>
        <v>158.23588158871564</v>
      </c>
      <c r="Z32" s="559">
        <f>+Z25/Z$21*1000</f>
        <v>134.61538461538461</v>
      </c>
      <c r="AA32" s="559">
        <f>+(AA25*1000)/AA15</f>
        <v>160.70077080170606</v>
      </c>
      <c r="AB32" s="939">
        <f>+AB25/AB21*1000</f>
        <v>134.61538461538461</v>
      </c>
      <c r="AC32" s="164">
        <f>+(AC25*1000)/AC15</f>
        <v>158.35025460058552</v>
      </c>
      <c r="AD32" s="70">
        <f>+AD25/AD$21*1000</f>
        <v>134.61538461538461</v>
      </c>
      <c r="AE32" s="331">
        <f>+(AE25*1000)/AE15</f>
        <v>160.3543652151134</v>
      </c>
      <c r="AF32" s="939">
        <f>+AF25/AF21*1000</f>
        <v>134.61538461538461</v>
      </c>
      <c r="AG32" s="164">
        <f>+(AG25*1000)/AG15</f>
        <v>153.24420673076918</v>
      </c>
      <c r="AH32" s="70">
        <f>+AH25/AH$21*1000</f>
        <v>134.61538461538461</v>
      </c>
      <c r="AI32" s="331">
        <f>+(AI25*1000)/AI15</f>
        <v>159.45812675070027</v>
      </c>
      <c r="AJ32" s="939">
        <f>+AJ25/AJ21*1000</f>
        <v>134.61538461538461</v>
      </c>
      <c r="AK32" s="164">
        <f>+(AK25*1000)/AK15</f>
        <v>138.0097808105873</v>
      </c>
      <c r="AL32" s="106">
        <f>+AL25/AL$21*1000</f>
        <v>134.61538461538461</v>
      </c>
      <c r="AM32" s="427">
        <f>+(AM25*1000)/AM15</f>
        <v>149.79921002937473</v>
      </c>
      <c r="AN32" s="70">
        <f>+AN25/AN$21*1000</f>
        <v>134.61538461538461</v>
      </c>
      <c r="AO32" s="331">
        <f>+(AO25*1000)/AO15</f>
        <v>156.98638428176531</v>
      </c>
      <c r="AP32" s="939">
        <f>+AP25/AP21*1000</f>
        <v>134.61538461538461</v>
      </c>
      <c r="AQ32" s="164">
        <f>+(AQ25*1000)/AQ15</f>
        <v>135.6997921836228</v>
      </c>
      <c r="AR32" s="70">
        <f>+AR25/AR$21*1000</f>
        <v>134.61538461538461</v>
      </c>
      <c r="AS32" s="331">
        <f>+(AS25*1000)/AS15</f>
        <v>154.78676976495726</v>
      </c>
      <c r="AT32" s="939">
        <f>+AT25/AT21*1000</f>
        <v>134.61538461538461</v>
      </c>
      <c r="AU32" s="164">
        <f>+(AU25*1000)/AU15</f>
        <v>137.17396109637488</v>
      </c>
      <c r="AV32" s="70">
        <f>+AV25/AV$21*1000</f>
        <v>134.61538461538461</v>
      </c>
      <c r="AW32" s="331">
        <f>+(AW25*1000)/AW15</f>
        <v>153.2342729522251</v>
      </c>
      <c r="AX32" s="939">
        <f>+AX25/AX21*1000</f>
        <v>134.61538461538461</v>
      </c>
      <c r="AY32" s="164">
        <f>+(AY25*1000)/AY15</f>
        <v>137.81575578990908</v>
      </c>
      <c r="AZ32" s="106">
        <f>+AZ25/AZ$21*1000</f>
        <v>134.61538461538461</v>
      </c>
      <c r="BA32" s="427">
        <f>+(BA25*1000)/BA15</f>
        <v>136.89040504367429</v>
      </c>
      <c r="BB32" s="559">
        <f>+BB25/BB$21*1000</f>
        <v>134.61538461538461</v>
      </c>
      <c r="BC32" s="559">
        <f>+(BC25*1000)/BC15</f>
        <v>143.36791236751597</v>
      </c>
      <c r="BD32" s="70">
        <f>+BD25/BD$21*1000</f>
        <v>134.61538461538461</v>
      </c>
      <c r="BE32" s="331">
        <f>+(BE25*1000)/BE15</f>
        <v>151.90656730769231</v>
      </c>
      <c r="BF32" s="26"/>
      <c r="BG32" s="26"/>
      <c r="BH32" s="5726"/>
      <c r="BI32" s="5726"/>
    </row>
    <row r="33" spans="1:61" ht="15" customHeight="1" x14ac:dyDescent="0.25">
      <c r="B33" s="1176" t="s">
        <v>399</v>
      </c>
      <c r="C33" s="13" t="s">
        <v>395</v>
      </c>
      <c r="D33" s="487">
        <f>+D26/D21*1000</f>
        <v>0</v>
      </c>
      <c r="E33" s="18">
        <f>+(E26*1000)/E15</f>
        <v>0</v>
      </c>
      <c r="F33" s="487">
        <f>+F26/F21*1000</f>
        <v>0</v>
      </c>
      <c r="G33" s="18">
        <f>+(G26*1000)/G15</f>
        <v>0</v>
      </c>
      <c r="H33" s="112">
        <f>+H26/H$21*1000</f>
        <v>0</v>
      </c>
      <c r="I33" s="947">
        <f>+(I26*1000)/I15</f>
        <v>0</v>
      </c>
      <c r="J33" s="487">
        <f>+J26/J21*1000</f>
        <v>0</v>
      </c>
      <c r="K33" s="18">
        <f>+(K26*1000)/K15</f>
        <v>0</v>
      </c>
      <c r="L33" s="459">
        <f>+L26/L$21*1000</f>
        <v>0</v>
      </c>
      <c r="M33" s="946">
        <f>+(M26*1000)/M15</f>
        <v>0</v>
      </c>
      <c r="N33" s="487">
        <f>+N26/N21*1000</f>
        <v>0</v>
      </c>
      <c r="O33" s="217">
        <f>+(O26*1000)/O15</f>
        <v>0</v>
      </c>
      <c r="P33" s="112">
        <f>+P26/P$21*1000</f>
        <v>0</v>
      </c>
      <c r="Q33" s="947">
        <f>+(Q26*1000)/Q15</f>
        <v>0</v>
      </c>
      <c r="R33" s="487">
        <f>+R26/R21*1000</f>
        <v>0</v>
      </c>
      <c r="S33" s="217">
        <f>+(S26*1000)/S15</f>
        <v>0</v>
      </c>
      <c r="T33" s="112">
        <f>+T26/T$21*1000</f>
        <v>0</v>
      </c>
      <c r="U33" s="947">
        <f>+(U26*1000)/U15</f>
        <v>0</v>
      </c>
      <c r="V33" s="487">
        <f>+V26/V21*1000</f>
        <v>0</v>
      </c>
      <c r="W33" s="217">
        <f>+(W26*1000)/W15</f>
        <v>0</v>
      </c>
      <c r="X33" s="459">
        <f>+X26/X$21*1000</f>
        <v>0</v>
      </c>
      <c r="Y33" s="3403">
        <f>+(Y26*1000)/Y15</f>
        <v>0</v>
      </c>
      <c r="Z33" s="558">
        <f>+Z26/Z$21*1000</f>
        <v>0</v>
      </c>
      <c r="AA33" s="558">
        <f>+(AA26*1000)/AA15</f>
        <v>0</v>
      </c>
      <c r="AB33" s="487">
        <f>+AB26/AB21*1000</f>
        <v>0</v>
      </c>
      <c r="AC33" s="217">
        <f>+(AC26*1000)/AC15</f>
        <v>0</v>
      </c>
      <c r="AD33" s="112">
        <f>+AD26/AD$21*1000</f>
        <v>0</v>
      </c>
      <c r="AE33" s="3615">
        <f>+(AE26*1000)/AE15</f>
        <v>0</v>
      </c>
      <c r="AF33" s="487">
        <f>+AF26/AF21*1000</f>
        <v>0</v>
      </c>
      <c r="AG33" s="217">
        <f>+(AG26*1000)/AG15</f>
        <v>0</v>
      </c>
      <c r="AH33" s="112">
        <f>+AH26/AH$21*1000</f>
        <v>0</v>
      </c>
      <c r="AI33" s="3615">
        <f>+(AI26*1000)/AI15</f>
        <v>0</v>
      </c>
      <c r="AJ33" s="487">
        <f>+AJ26/AJ21*1000</f>
        <v>0</v>
      </c>
      <c r="AK33" s="217">
        <f>+(AK26*1000)/AK15</f>
        <v>0</v>
      </c>
      <c r="AL33" s="459">
        <f>+AL26/AL$21*1000</f>
        <v>0</v>
      </c>
      <c r="AM33" s="4362">
        <f>+(AM26*1000)/AM15</f>
        <v>0</v>
      </c>
      <c r="AN33" s="112">
        <f>+AN26/AN$21*1000</f>
        <v>0</v>
      </c>
      <c r="AO33" s="3615">
        <f>+(AO26*1000)/AO15</f>
        <v>0</v>
      </c>
      <c r="AP33" s="487">
        <f>+AP26/AP21*1000</f>
        <v>0</v>
      </c>
      <c r="AQ33" s="217">
        <f>+(AQ26*1000)/AQ15</f>
        <v>0</v>
      </c>
      <c r="AR33" s="112">
        <f>+AR26/AR$21*1000</f>
        <v>0</v>
      </c>
      <c r="AS33" s="3615">
        <f>+(AS26*1000)/AS15</f>
        <v>0</v>
      </c>
      <c r="AT33" s="487">
        <f>+AT26/AT21*1000</f>
        <v>0</v>
      </c>
      <c r="AU33" s="217">
        <f>+(AU26*1000)/AU15</f>
        <v>0</v>
      </c>
      <c r="AV33" s="112">
        <f>+AV26/AV$21*1000</f>
        <v>0</v>
      </c>
      <c r="AW33" s="3615">
        <f>+(AW26*1000)/AW15</f>
        <v>0</v>
      </c>
      <c r="AX33" s="487">
        <f>+AX26/AX21*1000</f>
        <v>0</v>
      </c>
      <c r="AY33" s="217">
        <f>+(AY26*1000)/AY15</f>
        <v>0</v>
      </c>
      <c r="AZ33" s="459">
        <f>+AZ26/AZ$21*1000</f>
        <v>0</v>
      </c>
      <c r="BA33" s="5205">
        <f>+(BA26*1000)/BA15</f>
        <v>0</v>
      </c>
      <c r="BB33" s="5203">
        <f>+BB26/BB$21*1000</f>
        <v>0</v>
      </c>
      <c r="BC33" s="5203">
        <f>+(BC26*1000)/BC15</f>
        <v>0</v>
      </c>
      <c r="BD33" s="112">
        <f>+BD26/BD$21*1000</f>
        <v>0</v>
      </c>
      <c r="BE33" s="3615">
        <f>+(BE26*1000)/BE15</f>
        <v>0</v>
      </c>
      <c r="BF33" s="26"/>
      <c r="BG33" s="26"/>
      <c r="BH33" s="5726"/>
      <c r="BI33" s="5726"/>
    </row>
    <row r="34" spans="1:61" ht="15" customHeight="1" thickBot="1" x14ac:dyDescent="0.3">
      <c r="A34" s="2614">
        <v>1.125079186</v>
      </c>
      <c r="B34" s="1184" t="s">
        <v>400</v>
      </c>
      <c r="C34" s="1185" t="s">
        <v>560</v>
      </c>
      <c r="D34" s="1460">
        <f>+$A$34</f>
        <v>1.125079186</v>
      </c>
      <c r="E34" s="1460">
        <v>1.1990000000000001</v>
      </c>
      <c r="F34" s="1460">
        <f>+$A$34</f>
        <v>1.125079186</v>
      </c>
      <c r="G34" s="1460">
        <v>1.1879999999999999</v>
      </c>
      <c r="H34" s="1460">
        <f>+((D34*D21)+(F34*F21))/H21</f>
        <v>1.125079186</v>
      </c>
      <c r="I34" s="1460">
        <f>+((E34*E15)+(G34*G15))/I15</f>
        <v>1.1934098360655738</v>
      </c>
      <c r="J34" s="1460">
        <f>+$A$34</f>
        <v>1.125079186</v>
      </c>
      <c r="K34" s="1460">
        <v>1.2070000000000001</v>
      </c>
      <c r="L34" s="2057">
        <f>+((H34*H21)+(J34*J21))/L21</f>
        <v>1.125079186</v>
      </c>
      <c r="M34" s="2057">
        <f>+((I34*I15)+(K34*K15))/M15</f>
        <v>1.1978901098901098</v>
      </c>
      <c r="N34" s="1460">
        <f>+$A$34</f>
        <v>1.125079186</v>
      </c>
      <c r="O34" s="1460">
        <v>1.036</v>
      </c>
      <c r="P34" s="2615">
        <f>+((L34*L21)+(N34*N21))/P21</f>
        <v>1.125079186</v>
      </c>
      <c r="Q34" s="2615">
        <f>+((M34*M15)+(O34*O15))/Q15</f>
        <v>1.1626221487603305</v>
      </c>
      <c r="R34" s="1460">
        <f>+$A$34</f>
        <v>1.125079186</v>
      </c>
      <c r="S34" s="1460">
        <v>1.1970000000000001</v>
      </c>
      <c r="T34" s="2615">
        <f>+((P34*P21)+(R34*R21))/T21</f>
        <v>1.125079186</v>
      </c>
      <c r="U34" s="2615">
        <f>+((Q34*Q15)+(S34*S15))/U15</f>
        <v>1.1698548681806318</v>
      </c>
      <c r="V34" s="1460">
        <f>+$A$34</f>
        <v>1.125079186</v>
      </c>
      <c r="W34" s="1460">
        <v>1.177</v>
      </c>
      <c r="X34" s="2057">
        <f>+((N34*N21)+(R34*R21)+(V34*V21))/X21</f>
        <v>1.125079186</v>
      </c>
      <c r="Y34" s="2057">
        <f>+((O34*O21)+(S34*S21)+(W34*W21))/Y21</f>
        <v>1.1427910913140311</v>
      </c>
      <c r="Z34" s="3737">
        <f>+((T34*T21)+(V34*V21))/Z21</f>
        <v>1.125079186</v>
      </c>
      <c r="AA34" s="3737">
        <f>+((U34*U15)+(W34*W15))/AA15</f>
        <v>1.1710635436998482</v>
      </c>
      <c r="AB34" s="1460">
        <v>1.1250791859999998</v>
      </c>
      <c r="AC34" s="1460">
        <v>1.161</v>
      </c>
      <c r="AD34" s="2615">
        <f>+((Z34*Z21)+(AB34*AB21))/AD21</f>
        <v>1.125079186</v>
      </c>
      <c r="AE34" s="2615">
        <f>+((AA34*AA15)+(AC34*AC15))/AE15</f>
        <v>1.1695804363905327</v>
      </c>
      <c r="AF34" s="1460">
        <v>1.125079186</v>
      </c>
      <c r="AG34" s="1460">
        <v>1.125</v>
      </c>
      <c r="AH34" s="2615">
        <f>+((AD34*AD21)+(AF34*AF21))/AH21</f>
        <v>1.125079186</v>
      </c>
      <c r="AI34" s="2615">
        <f>+((AE34*AE15)+(AG34*AG15))/AI15</f>
        <v>1.1639610536522302</v>
      </c>
      <c r="AJ34" s="1460">
        <v>1.1250791859999998</v>
      </c>
      <c r="AK34" s="1460">
        <v>1.044</v>
      </c>
      <c r="AL34" s="2057">
        <f>+((AB34*AB21)+(AF34*AF21)+(AJ34*AJ21))/AL21</f>
        <v>1.125079186</v>
      </c>
      <c r="AM34" s="2057">
        <f>+((AC34*AC21)+(AG34*AG21)+(AK34*AK21))/AM21</f>
        <v>1.1096437263953001</v>
      </c>
      <c r="AN34" s="2615">
        <f>+((AH34*AH21)+(AJ34*AJ21))/AN21</f>
        <v>1.125079186</v>
      </c>
      <c r="AO34" s="2615">
        <f>+((AI34*AI15)+(AK34*AK15))/AO15</f>
        <v>1.1501365456105233</v>
      </c>
      <c r="AP34" s="1460">
        <v>1.1250791859999998</v>
      </c>
      <c r="AQ34" s="1460">
        <v>1.024</v>
      </c>
      <c r="AR34" s="2615">
        <f>+((AN34*AN21)+(AP34*AP21))/AR21</f>
        <v>1.125079186</v>
      </c>
      <c r="AS34" s="2615">
        <f>+((AO34*AO15)+(AQ34*AQ15))/AS15</f>
        <v>1.1371024358974358</v>
      </c>
      <c r="AT34" s="1460">
        <v>1.1250791859999998</v>
      </c>
      <c r="AU34" s="1460">
        <v>1.0289999999999999</v>
      </c>
      <c r="AV34" s="2615">
        <f>+((AR34*AR21)+(AT34*AT21))/AV21</f>
        <v>1.1250791859999998</v>
      </c>
      <c r="AW34" s="2615">
        <f>+((AS34*AS15)+(AU34*AU15))/AW15</f>
        <v>1.1275736497545008</v>
      </c>
      <c r="AX34" s="1460">
        <v>1.1250791859999998</v>
      </c>
      <c r="AY34" s="1460">
        <v>1.0369999999999999</v>
      </c>
      <c r="AZ34" s="2057">
        <f>+((AP34*AP21)+(AT34*AT21)+(AX34*AX21))/AZ21</f>
        <v>1.1250791859999998</v>
      </c>
      <c r="BA34" s="2057">
        <f>+((AQ34*AQ21)+(AU34*AU21)+(AY34*AY21))/BA21</f>
        <v>1.0300219780219779</v>
      </c>
      <c r="BB34" s="3737">
        <f>+((AL34*AL21)+(AZ34*AZ21))/BB21</f>
        <v>1.125079186</v>
      </c>
      <c r="BC34" s="3737">
        <f>+((AM34*AM15)+(BA34*BA15))/BC15</f>
        <v>1.0699753632343649</v>
      </c>
      <c r="BD34" s="2615">
        <f>+((AV34*AV21)+(AX34*AX21))/BD21</f>
        <v>1.1250791859999998</v>
      </c>
      <c r="BE34" s="2615">
        <f>+((AW34*AW15)+(AY34*AY15))/BE15</f>
        <v>1.1197742521367522</v>
      </c>
      <c r="BF34" s="26"/>
      <c r="BG34" s="26"/>
      <c r="BH34" s="5726"/>
      <c r="BI34" s="5726"/>
    </row>
    <row r="35" spans="1:61" ht="23.85" customHeight="1" thickTop="1" x14ac:dyDescent="0.3">
      <c r="B35" s="1186" t="s">
        <v>465</v>
      </c>
      <c r="C35" s="167"/>
      <c r="D35" s="1187"/>
      <c r="E35" s="814"/>
      <c r="F35" s="1187"/>
      <c r="G35" s="814"/>
      <c r="H35" s="167"/>
      <c r="I35" s="167"/>
      <c r="J35" s="1187"/>
      <c r="K35" s="814"/>
      <c r="L35" s="167"/>
      <c r="M35" s="167"/>
      <c r="N35" s="2092"/>
      <c r="O35" s="2155"/>
      <c r="P35" s="167"/>
      <c r="Q35" s="167"/>
      <c r="R35" s="2092"/>
      <c r="S35" s="814"/>
      <c r="T35" s="167"/>
      <c r="U35" s="167"/>
      <c r="V35" s="2092"/>
      <c r="W35" s="814"/>
      <c r="X35" s="167"/>
      <c r="Y35" s="167"/>
      <c r="Z35" s="167"/>
      <c r="AA35" s="167"/>
      <c r="AB35" s="2092"/>
      <c r="AC35" s="814"/>
      <c r="AD35" s="167"/>
      <c r="AE35" s="167"/>
      <c r="AF35" s="2092"/>
      <c r="AG35" s="814"/>
      <c r="AH35" s="167"/>
      <c r="AI35" s="167"/>
      <c r="AJ35" s="2092"/>
      <c r="AK35" s="814"/>
      <c r="AL35" s="167"/>
      <c r="AM35" s="167"/>
      <c r="AN35" s="167"/>
      <c r="AO35" s="167"/>
      <c r="AP35" s="2092"/>
      <c r="AQ35" s="814"/>
      <c r="AR35" s="167"/>
      <c r="AS35" s="167"/>
      <c r="AT35" s="2092"/>
      <c r="AU35" s="814"/>
      <c r="AV35" s="167"/>
      <c r="AW35" s="167"/>
      <c r="AX35" s="2092"/>
      <c r="AY35" s="814"/>
      <c r="AZ35" s="167"/>
      <c r="BA35" s="167"/>
      <c r="BB35" s="167"/>
      <c r="BC35" s="167"/>
      <c r="BD35" s="167"/>
      <c r="BE35" s="167"/>
      <c r="BF35" s="26"/>
      <c r="BG35" s="26"/>
      <c r="BH35" s="5726"/>
      <c r="BI35" s="5726"/>
    </row>
    <row r="36" spans="1:61" ht="19.5" thickBot="1" x14ac:dyDescent="0.3">
      <c r="B36" s="39" t="s">
        <v>409</v>
      </c>
      <c r="C36" s="7"/>
      <c r="D36" s="1188"/>
      <c r="E36" s="815"/>
      <c r="F36" s="1188"/>
      <c r="G36" s="815"/>
      <c r="H36" s="7"/>
      <c r="I36" s="502"/>
      <c r="J36" s="1188"/>
      <c r="K36" s="815"/>
      <c r="L36" s="7"/>
      <c r="M36" s="502"/>
      <c r="N36" s="2093"/>
      <c r="O36" s="2156"/>
      <c r="P36" s="7"/>
      <c r="Q36" s="502"/>
      <c r="R36" s="2093"/>
      <c r="S36" s="815"/>
      <c r="T36" s="7"/>
      <c r="U36" s="502"/>
      <c r="V36" s="2093"/>
      <c r="W36" s="815"/>
      <c r="X36" s="7"/>
      <c r="Y36" s="502"/>
      <c r="Z36" s="7"/>
      <c r="AA36" s="502"/>
      <c r="AB36" s="2093"/>
      <c r="AC36" s="815"/>
      <c r="AD36" s="7"/>
      <c r="AE36" s="502"/>
      <c r="AF36" s="2093"/>
      <c r="AG36" s="815"/>
      <c r="AH36" s="7"/>
      <c r="AI36" s="502"/>
      <c r="AJ36" s="2093"/>
      <c r="AK36" s="815"/>
      <c r="AL36" s="7"/>
      <c r="AM36" s="502"/>
      <c r="AN36" s="7"/>
      <c r="AO36" s="502"/>
      <c r="AP36" s="2093"/>
      <c r="AQ36" s="815"/>
      <c r="AR36" s="7"/>
      <c r="AS36" s="502"/>
      <c r="AT36" s="2093"/>
      <c r="AU36" s="815"/>
      <c r="AV36" s="7"/>
      <c r="AW36" s="502"/>
      <c r="AX36" s="2093"/>
      <c r="AY36" s="815"/>
      <c r="AZ36" s="7"/>
      <c r="BA36" s="502"/>
      <c r="BB36" s="7"/>
      <c r="BC36" s="502"/>
      <c r="BD36" s="7"/>
      <c r="BE36" s="502"/>
      <c r="BF36" s="26"/>
      <c r="BG36" s="26"/>
      <c r="BH36" s="5726"/>
      <c r="BI36" s="5726"/>
    </row>
    <row r="37" spans="1:61" x14ac:dyDescent="0.25">
      <c r="B37" s="6517" t="s">
        <v>402</v>
      </c>
      <c r="C37" s="18" t="s">
        <v>401</v>
      </c>
      <c r="D37" s="6493"/>
      <c r="E37" s="217">
        <v>8316.7999999999993</v>
      </c>
      <c r="F37" s="6493"/>
      <c r="G37" s="217">
        <v>9886.7999999999993</v>
      </c>
      <c r="H37" s="6496"/>
      <c r="I37" s="503">
        <f>+E37+G37</f>
        <v>18203.599999999999</v>
      </c>
      <c r="J37" s="6493"/>
      <c r="K37" s="217">
        <v>10926.4</v>
      </c>
      <c r="L37" s="6499"/>
      <c r="M37" s="512">
        <f>E37+G37+K37</f>
        <v>29130</v>
      </c>
      <c r="N37" s="6493"/>
      <c r="O37" s="217">
        <v>8635</v>
      </c>
      <c r="P37" s="6496"/>
      <c r="Q37" s="503">
        <f>+M37+O37</f>
        <v>37765</v>
      </c>
      <c r="R37" s="6493"/>
      <c r="S37" s="217">
        <v>10278.200000000001</v>
      </c>
      <c r="T37" s="6496"/>
      <c r="U37" s="503">
        <f>+Q37+S37</f>
        <v>48043.199999999997</v>
      </c>
      <c r="V37" s="6493"/>
      <c r="W37" s="217">
        <v>10085.9</v>
      </c>
      <c r="X37" s="6499"/>
      <c r="Y37" s="512">
        <f t="shared" ref="Y37" si="100">+O37+S37+W37</f>
        <v>28999.1</v>
      </c>
      <c r="Z37" s="6504"/>
      <c r="AA37" s="608">
        <f>M37+Y37</f>
        <v>58129.1</v>
      </c>
      <c r="AB37" s="6493"/>
      <c r="AC37" s="217">
        <v>10976.7</v>
      </c>
      <c r="AD37" s="6496"/>
      <c r="AE37" s="503">
        <f>+AA37+AC37</f>
        <v>69105.8</v>
      </c>
      <c r="AF37" s="6493"/>
      <c r="AG37" s="217">
        <v>10500.8</v>
      </c>
      <c r="AH37" s="6496"/>
      <c r="AI37" s="503">
        <f>+AE37+AG37</f>
        <v>79606.600000000006</v>
      </c>
      <c r="AJ37" s="6493"/>
      <c r="AK37" s="217">
        <v>11685.5</v>
      </c>
      <c r="AL37" s="6499"/>
      <c r="AM37" s="512">
        <f t="shared" ref="AM37" si="101">+AC37+AG37+AK37</f>
        <v>33163</v>
      </c>
      <c r="AN37" s="6496"/>
      <c r="AO37" s="503">
        <f>+AI37+AK37</f>
        <v>91292.1</v>
      </c>
      <c r="AP37" s="6493"/>
      <c r="AQ37" s="217">
        <v>11457.4</v>
      </c>
      <c r="AR37" s="6496"/>
      <c r="AS37" s="503">
        <f>+AO37+AQ37</f>
        <v>102749.5</v>
      </c>
      <c r="AT37" s="6493"/>
      <c r="AU37" s="217">
        <v>10614.1</v>
      </c>
      <c r="AV37" s="6496"/>
      <c r="AW37" s="503">
        <f>+AS37+AU37</f>
        <v>113363.6</v>
      </c>
      <c r="AX37" s="6493"/>
      <c r="AY37" s="217">
        <v>9737.4</v>
      </c>
      <c r="AZ37" s="6499"/>
      <c r="BA37" s="512">
        <f t="shared" ref="BA37" si="102">+AQ37+AU37+AY37</f>
        <v>31808.9</v>
      </c>
      <c r="BB37" s="6504"/>
      <c r="BC37" s="860">
        <f t="shared" ref="BC37" si="103">+AM37+BA37</f>
        <v>64971.9</v>
      </c>
      <c r="BD37" s="6496"/>
      <c r="BE37" s="503">
        <f>+AW37+AY37</f>
        <v>123101</v>
      </c>
      <c r="BF37" s="26"/>
      <c r="BG37" s="26"/>
      <c r="BH37" s="5726"/>
      <c r="BI37" s="5726"/>
    </row>
    <row r="38" spans="1:61" ht="15.75" thickBot="1" x14ac:dyDescent="0.3">
      <c r="B38" s="6517"/>
      <c r="C38" s="19" t="s">
        <v>389</v>
      </c>
      <c r="D38" s="6494"/>
      <c r="E38" s="816">
        <f>+E37/E$2/24</f>
        <v>11.55111111111111</v>
      </c>
      <c r="F38" s="6494"/>
      <c r="G38" s="816">
        <f>+G37/G$2/24</f>
        <v>13.288709677419353</v>
      </c>
      <c r="H38" s="6497"/>
      <c r="I38" s="504">
        <f>+I37/I$2/24</f>
        <v>12.434153005464481</v>
      </c>
      <c r="J38" s="6494"/>
      <c r="K38" s="816">
        <f>+K37/K$2/24</f>
        <v>15.175555555555555</v>
      </c>
      <c r="L38" s="6500"/>
      <c r="M38" s="513">
        <f>+M37/M$2/24</f>
        <v>13.337912087912088</v>
      </c>
      <c r="N38" s="6494"/>
      <c r="O38" s="816">
        <f>+O37/O$2/24</f>
        <v>11.606182795698926</v>
      </c>
      <c r="P38" s="6497"/>
      <c r="Q38" s="504">
        <f>+Q37/Q$2/24</f>
        <v>12.897882513661202</v>
      </c>
      <c r="R38" s="6494"/>
      <c r="S38" s="816">
        <f>+S37/S$2/24</f>
        <v>13.814784946236559</v>
      </c>
      <c r="T38" s="6497"/>
      <c r="U38" s="504">
        <f>+U37/U$2/24</f>
        <v>13.083660130718954</v>
      </c>
      <c r="V38" s="6494"/>
      <c r="W38" s="816">
        <f>+W37/W$2/24</f>
        <v>14.008194444444444</v>
      </c>
      <c r="X38" s="6500"/>
      <c r="Y38" s="513">
        <f>+Y37/Y$2/24</f>
        <v>13.133650362318839</v>
      </c>
      <c r="Z38" s="6505"/>
      <c r="AA38" s="609">
        <f>+AA37/AA$2/24</f>
        <v>13.235223132969034</v>
      </c>
      <c r="AB38" s="6494"/>
      <c r="AC38" s="816">
        <f>+AC37/AC$2/24</f>
        <v>14.753629032258067</v>
      </c>
      <c r="AD38" s="6497"/>
      <c r="AE38" s="504">
        <f>+AE37/AE$2/24</f>
        <v>13.455179127725858</v>
      </c>
      <c r="AF38" s="6494"/>
      <c r="AG38" s="816">
        <f>+AG37/AG$2/24</f>
        <v>14.584444444444443</v>
      </c>
      <c r="AH38" s="6497"/>
      <c r="AI38" s="504">
        <f>+AI37/AI$2/24</f>
        <v>13.594023224043717</v>
      </c>
      <c r="AJ38" s="6494"/>
      <c r="AK38" s="816">
        <f>+AK37/AK$2/24</f>
        <v>15.706317204301074</v>
      </c>
      <c r="AL38" s="6500"/>
      <c r="AM38" s="513">
        <f>+AM37/AM$2/24</f>
        <v>15.019474637681158</v>
      </c>
      <c r="AN38" s="6497"/>
      <c r="AO38" s="504">
        <f>+AO37/AO$2/24</f>
        <v>13.832136363636366</v>
      </c>
      <c r="AP38" s="6494"/>
      <c r="AQ38" s="816">
        <f>+AQ37/AQ$2/24</f>
        <v>15.399731182795698</v>
      </c>
      <c r="AR38" s="6497"/>
      <c r="AS38" s="504">
        <f>+AS37/AS$2/24</f>
        <v>13.990944989106753</v>
      </c>
      <c r="AT38" s="6494"/>
      <c r="AU38" s="816">
        <f>+AU37/AU$2/24</f>
        <v>15.250143678160919</v>
      </c>
      <c r="AV38" s="6497"/>
      <c r="AW38" s="504">
        <f>+AW37/AW$2/24</f>
        <v>14.099950248756221</v>
      </c>
      <c r="AX38" s="6494"/>
      <c r="AY38" s="816">
        <f>+AY37/AY$2/24</f>
        <v>13.087903225806452</v>
      </c>
      <c r="AZ38" s="6500"/>
      <c r="BA38" s="513">
        <f>+BA37/BA$2/24</f>
        <v>14.564514652014653</v>
      </c>
      <c r="BB38" s="6505"/>
      <c r="BC38" s="609">
        <f>+BC37/BC$2/24</f>
        <v>14.793237704918033</v>
      </c>
      <c r="BD38" s="6497"/>
      <c r="BE38" s="504">
        <f>+BE37/BE$2/24</f>
        <v>14.014230418943534</v>
      </c>
      <c r="BF38" s="26"/>
      <c r="BG38" s="26"/>
      <c r="BH38" s="5726"/>
      <c r="BI38" s="5726"/>
    </row>
    <row r="39" spans="1:61" x14ac:dyDescent="0.25">
      <c r="B39" s="6517" t="s">
        <v>403</v>
      </c>
      <c r="C39" s="18" t="s">
        <v>401</v>
      </c>
      <c r="D39" s="6494"/>
      <c r="E39" s="217">
        <v>11682.9</v>
      </c>
      <c r="F39" s="6494"/>
      <c r="G39" s="217">
        <v>9792.7000000000007</v>
      </c>
      <c r="H39" s="6497"/>
      <c r="I39" s="445">
        <f>+E39+G39</f>
        <v>21475.599999999999</v>
      </c>
      <c r="J39" s="6494"/>
      <c r="K39" s="217">
        <v>5115.3999999999996</v>
      </c>
      <c r="L39" s="6500"/>
      <c r="M39" s="512">
        <f>E39+G39+K39</f>
        <v>26591</v>
      </c>
      <c r="N39" s="6494"/>
      <c r="O39" s="217">
        <v>10730.8</v>
      </c>
      <c r="P39" s="6497"/>
      <c r="Q39" s="445">
        <f>+M39+O39</f>
        <v>37321.800000000003</v>
      </c>
      <c r="R39" s="6494"/>
      <c r="S39" s="217">
        <v>7760.7</v>
      </c>
      <c r="T39" s="6497"/>
      <c r="U39" s="445">
        <f>+Q39+S39</f>
        <v>45082.5</v>
      </c>
      <c r="V39" s="6494"/>
      <c r="W39" s="217">
        <v>9923.5</v>
      </c>
      <c r="X39" s="6500"/>
      <c r="Y39" s="514">
        <f t="shared" ref="Y39" si="104">+O39+S39+W39</f>
        <v>28415</v>
      </c>
      <c r="Z39" s="6505"/>
      <c r="AA39" s="608">
        <f>M39+Y39</f>
        <v>55006</v>
      </c>
      <c r="AB39" s="6494"/>
      <c r="AC39" s="217">
        <v>11020.9</v>
      </c>
      <c r="AD39" s="6497"/>
      <c r="AE39" s="445">
        <f>+AA39+AC39</f>
        <v>66026.899999999994</v>
      </c>
      <c r="AF39" s="6494"/>
      <c r="AG39" s="217">
        <v>10455.1</v>
      </c>
      <c r="AH39" s="6497"/>
      <c r="AI39" s="445">
        <f>+AE39+AG39</f>
        <v>76482</v>
      </c>
      <c r="AJ39" s="6494"/>
      <c r="AK39" s="217">
        <v>9326.0999999999804</v>
      </c>
      <c r="AL39" s="6500"/>
      <c r="AM39" s="514">
        <f t="shared" ref="AM39" si="105">+AC39+AG39+AK39</f>
        <v>30802.09999999998</v>
      </c>
      <c r="AN39" s="6497"/>
      <c r="AO39" s="445">
        <f>+AI39+AK39</f>
        <v>85808.099999999977</v>
      </c>
      <c r="AP39" s="6494"/>
      <c r="AQ39" s="217">
        <v>9866.5</v>
      </c>
      <c r="AR39" s="6497"/>
      <c r="AS39" s="445">
        <f>+AO39+AQ39</f>
        <v>95674.599999999977</v>
      </c>
      <c r="AT39" s="6494"/>
      <c r="AU39" s="217">
        <v>10492.9</v>
      </c>
      <c r="AV39" s="6497"/>
      <c r="AW39" s="445">
        <f>+AS39+AU39</f>
        <v>106167.49999999997</v>
      </c>
      <c r="AX39" s="6494"/>
      <c r="AY39" s="217">
        <v>10230.1</v>
      </c>
      <c r="AZ39" s="6500"/>
      <c r="BA39" s="514">
        <f t="shared" ref="BA39" si="106">+AQ39+AU39+AY39</f>
        <v>30589.5</v>
      </c>
      <c r="BB39" s="6505"/>
      <c r="BC39" s="860">
        <f t="shared" ref="BC39" si="107">+AM39+BA39</f>
        <v>61391.599999999977</v>
      </c>
      <c r="BD39" s="6497"/>
      <c r="BE39" s="445">
        <f>+AW39+AY39</f>
        <v>116397.59999999998</v>
      </c>
      <c r="BF39" s="26"/>
      <c r="BG39" s="26"/>
      <c r="BH39" s="5726"/>
      <c r="BI39" s="5726"/>
    </row>
    <row r="40" spans="1:61" ht="15.75" thickBot="1" x14ac:dyDescent="0.3">
      <c r="B40" s="6517"/>
      <c r="C40" s="19" t="s">
        <v>389</v>
      </c>
      <c r="D40" s="6494"/>
      <c r="E40" s="816">
        <f>+E39/E$2/24</f>
        <v>16.22625</v>
      </c>
      <c r="F40" s="6494"/>
      <c r="G40" s="816">
        <f>+G39/G$2/24</f>
        <v>13.162231182795701</v>
      </c>
      <c r="H40" s="6497"/>
      <c r="I40" s="504">
        <f>+I39/I$2/24</f>
        <v>14.669125683060109</v>
      </c>
      <c r="J40" s="6494"/>
      <c r="K40" s="816">
        <f>+K39/K$2/24</f>
        <v>7.1047222222222217</v>
      </c>
      <c r="L40" s="6500"/>
      <c r="M40" s="513">
        <f>+M39/M$2/24</f>
        <v>12.175366300366299</v>
      </c>
      <c r="N40" s="6494"/>
      <c r="O40" s="816">
        <f>+O39/O$2/24</f>
        <v>14.423118279569891</v>
      </c>
      <c r="P40" s="6497"/>
      <c r="Q40" s="504">
        <f>+Q39/Q$2/24</f>
        <v>12.746516393442624</v>
      </c>
      <c r="R40" s="6494"/>
      <c r="S40" s="816">
        <f>+S39/S$2/24</f>
        <v>10.431048387096775</v>
      </c>
      <c r="T40" s="6497"/>
      <c r="U40" s="504">
        <f>+U39/U$2/24</f>
        <v>12.277369281045752</v>
      </c>
      <c r="V40" s="6494"/>
      <c r="W40" s="816">
        <f>+W39/W$2/24</f>
        <v>13.78263888888889</v>
      </c>
      <c r="X40" s="6500"/>
      <c r="Y40" s="513">
        <f>+Y39/Y$2/24</f>
        <v>12.86911231884058</v>
      </c>
      <c r="Z40" s="6505"/>
      <c r="AA40" s="609">
        <f>+AA39/AA$2/24</f>
        <v>12.524134790528231</v>
      </c>
      <c r="AB40" s="6494"/>
      <c r="AC40" s="816">
        <f>+AC39/AC$2/24</f>
        <v>14.813037634408602</v>
      </c>
      <c r="AD40" s="6497"/>
      <c r="AE40" s="504">
        <f>+AE39/AE$2/24</f>
        <v>12.855704828660436</v>
      </c>
      <c r="AF40" s="6494"/>
      <c r="AG40" s="816">
        <f>+AG39/AG$2/24</f>
        <v>14.520972222222222</v>
      </c>
      <c r="AH40" s="6497"/>
      <c r="AI40" s="504">
        <f>+AI39/AI$2/24</f>
        <v>13.060450819672132</v>
      </c>
      <c r="AJ40" s="6494"/>
      <c r="AK40" s="816">
        <f>+AK39/AK$2/24</f>
        <v>12.535080645161264</v>
      </c>
      <c r="AL40" s="6500"/>
      <c r="AM40" s="513">
        <f>+AM39/AM$2/24</f>
        <v>13.950226449275354</v>
      </c>
      <c r="AN40" s="6497"/>
      <c r="AO40" s="504">
        <f>+AO39/AO$2/24</f>
        <v>13.00122727272727</v>
      </c>
      <c r="AP40" s="6494"/>
      <c r="AQ40" s="816">
        <f>+AQ39/AQ$2/24</f>
        <v>13.261424731182794</v>
      </c>
      <c r="AR40" s="6497"/>
      <c r="AS40" s="504">
        <f>+AS39/AS$2/24</f>
        <v>13.027587145969497</v>
      </c>
      <c r="AT40" s="6494"/>
      <c r="AU40" s="816">
        <f>+AU39/AU$2/24</f>
        <v>15.076005747126436</v>
      </c>
      <c r="AV40" s="6497"/>
      <c r="AW40" s="504">
        <f>+AW39/AW$2/24</f>
        <v>13.20491293532338</v>
      </c>
      <c r="AX40" s="6494"/>
      <c r="AY40" s="816">
        <f>+AY39/AY$2/24</f>
        <v>13.75013440860215</v>
      </c>
      <c r="AZ40" s="6500"/>
      <c r="BA40" s="513">
        <f>+BA39/BA$2/24</f>
        <v>14.006181318681319</v>
      </c>
      <c r="BB40" s="6505"/>
      <c r="BC40" s="609">
        <f>+BC39/BC$2/24</f>
        <v>13.978051001821489</v>
      </c>
      <c r="BD40" s="6497"/>
      <c r="BE40" s="504">
        <f>+BE39/BE$2/24</f>
        <v>13.25109289617486</v>
      </c>
      <c r="BF40" s="26"/>
      <c r="BG40" s="26"/>
      <c r="BH40" s="5726"/>
      <c r="BI40" s="5726"/>
    </row>
    <row r="41" spans="1:61" x14ac:dyDescent="0.25">
      <c r="B41" s="6517" t="s">
        <v>404</v>
      </c>
      <c r="C41" s="18" t="s">
        <v>401</v>
      </c>
      <c r="D41" s="6494"/>
      <c r="E41" s="217">
        <v>7735.8</v>
      </c>
      <c r="F41" s="6494"/>
      <c r="G41" s="217">
        <v>4944.3999999999996</v>
      </c>
      <c r="H41" s="6497"/>
      <c r="I41" s="445">
        <f>+E41+G41</f>
        <v>12680.2</v>
      </c>
      <c r="J41" s="6494"/>
      <c r="K41" s="217">
        <v>6532.2</v>
      </c>
      <c r="L41" s="6500"/>
      <c r="M41" s="512">
        <f>E41+G41+K41</f>
        <v>19212.400000000001</v>
      </c>
      <c r="N41" s="6494"/>
      <c r="O41" s="217">
        <v>7458.5</v>
      </c>
      <c r="P41" s="6497"/>
      <c r="Q41" s="445">
        <f>+M41+O41</f>
        <v>26670.9</v>
      </c>
      <c r="R41" s="6494"/>
      <c r="S41" s="217">
        <v>7303.7</v>
      </c>
      <c r="T41" s="6497"/>
      <c r="U41" s="445">
        <f>+Q41+S41</f>
        <v>33974.6</v>
      </c>
      <c r="V41" s="6494"/>
      <c r="W41" s="217">
        <v>5174.3</v>
      </c>
      <c r="X41" s="6500"/>
      <c r="Y41" s="514">
        <f t="shared" ref="Y41" si="108">+O41+S41+W41</f>
        <v>19936.5</v>
      </c>
      <c r="Z41" s="6505"/>
      <c r="AA41" s="608">
        <f>M41+Y41</f>
        <v>39148.9</v>
      </c>
      <c r="AB41" s="6494"/>
      <c r="AC41" s="217">
        <v>5419.8</v>
      </c>
      <c r="AD41" s="6497"/>
      <c r="AE41" s="445">
        <f>+AA41+AC41</f>
        <v>44568.700000000004</v>
      </c>
      <c r="AF41" s="6494"/>
      <c r="AG41" s="217">
        <v>5481.9</v>
      </c>
      <c r="AH41" s="6497"/>
      <c r="AI41" s="445">
        <f>+AE41+AG41</f>
        <v>50050.600000000006</v>
      </c>
      <c r="AJ41" s="6494"/>
      <c r="AK41" s="217">
        <v>7736.5</v>
      </c>
      <c r="AL41" s="6500"/>
      <c r="AM41" s="514">
        <f t="shared" ref="AM41" si="109">+AC41+AG41+AK41</f>
        <v>18638.2</v>
      </c>
      <c r="AN41" s="6497"/>
      <c r="AO41" s="445">
        <f>+AI41+AK41</f>
        <v>57787.100000000006</v>
      </c>
      <c r="AP41" s="6494"/>
      <c r="AQ41" s="217">
        <v>8312.7000000000007</v>
      </c>
      <c r="AR41" s="6497"/>
      <c r="AS41" s="445">
        <f>+AO41+AQ41</f>
        <v>66099.8</v>
      </c>
      <c r="AT41" s="6494"/>
      <c r="AU41" s="217">
        <v>6305.8</v>
      </c>
      <c r="AV41" s="6497"/>
      <c r="AW41" s="445">
        <f>+AS41+AU41</f>
        <v>72405.600000000006</v>
      </c>
      <c r="AX41" s="6494"/>
      <c r="AY41" s="217">
        <v>6545.8</v>
      </c>
      <c r="AZ41" s="6500"/>
      <c r="BA41" s="514">
        <f t="shared" ref="BA41" si="110">+AQ41+AU41+AY41</f>
        <v>21164.3</v>
      </c>
      <c r="BB41" s="6505"/>
      <c r="BC41" s="860">
        <f t="shared" ref="BC41" si="111">+AM41+BA41</f>
        <v>39802.5</v>
      </c>
      <c r="BD41" s="6497"/>
      <c r="BE41" s="445">
        <f>+AW41+AY41</f>
        <v>78951.400000000009</v>
      </c>
      <c r="BF41" s="26"/>
      <c r="BG41" s="26"/>
      <c r="BH41" s="5726"/>
      <c r="BI41" s="5726"/>
    </row>
    <row r="42" spans="1:61" ht="15.75" thickBot="1" x14ac:dyDescent="0.3">
      <c r="B42" s="6518"/>
      <c r="C42" s="20" t="s">
        <v>389</v>
      </c>
      <c r="D42" s="6495"/>
      <c r="E42" s="816">
        <f>+E41/E$2/24</f>
        <v>10.744166666666667</v>
      </c>
      <c r="F42" s="6495"/>
      <c r="G42" s="816">
        <f>+G41/G$2/24</f>
        <v>6.6456989247311817</v>
      </c>
      <c r="H42" s="6497"/>
      <c r="I42" s="504">
        <f>+I41/I$2/24</f>
        <v>8.6613387978142082</v>
      </c>
      <c r="J42" s="6495"/>
      <c r="K42" s="816">
        <f>+K41/K$2/24</f>
        <v>9.0724999999999998</v>
      </c>
      <c r="L42" s="6500"/>
      <c r="M42" s="513">
        <f>+M41/M$2/24</f>
        <v>8.7968864468864485</v>
      </c>
      <c r="N42" s="6495"/>
      <c r="O42" s="816">
        <f>+O41/O$2/24</f>
        <v>10.02486559139785</v>
      </c>
      <c r="P42" s="6497"/>
      <c r="Q42" s="504">
        <f>+Q41/Q$2/24</f>
        <v>9.10891393442623</v>
      </c>
      <c r="R42" s="6495"/>
      <c r="S42" s="816">
        <f>+S41/S$2/24</f>
        <v>9.8168010752688168</v>
      </c>
      <c r="T42" s="6497"/>
      <c r="U42" s="504">
        <f>+U41/U$2/24</f>
        <v>9.2523420479302825</v>
      </c>
      <c r="V42" s="6495"/>
      <c r="W42" s="816">
        <f>+W41/W$2/24</f>
        <v>7.1865277777777772</v>
      </c>
      <c r="X42" s="6500"/>
      <c r="Y42" s="513">
        <f>+Y41/Y$2/24</f>
        <v>9.0292119565217401</v>
      </c>
      <c r="Z42" s="6505"/>
      <c r="AA42" s="609">
        <f>+AA41/AA$2/24</f>
        <v>8.913683970856102</v>
      </c>
      <c r="AB42" s="6495"/>
      <c r="AC42" s="816">
        <f>+AC41/AC$2/24</f>
        <v>7.2846774193548391</v>
      </c>
      <c r="AD42" s="6497"/>
      <c r="AE42" s="504">
        <f>+AE41/AE$2/24</f>
        <v>8.6777063862928348</v>
      </c>
      <c r="AF42" s="6495"/>
      <c r="AG42" s="816">
        <f>+AG41/AG$2/24</f>
        <v>7.6137499999999996</v>
      </c>
      <c r="AH42" s="6497"/>
      <c r="AI42" s="504">
        <f>+AI41/AI$2/24</f>
        <v>8.5468920765027327</v>
      </c>
      <c r="AJ42" s="6495"/>
      <c r="AK42" s="816">
        <f>+AK41/AK$2/24</f>
        <v>10.398521505376344</v>
      </c>
      <c r="AL42" s="6500"/>
      <c r="AM42" s="513">
        <f>+AM41/AM$2/24</f>
        <v>8.4412137681159418</v>
      </c>
      <c r="AN42" s="6497"/>
      <c r="AO42" s="504">
        <f>+AO41/AO$2/24</f>
        <v>8.7556212121212127</v>
      </c>
      <c r="AP42" s="6495"/>
      <c r="AQ42" s="816">
        <f>+AQ41/AQ$2/24</f>
        <v>11.172983870967743</v>
      </c>
      <c r="AR42" s="6497"/>
      <c r="AS42" s="504">
        <f>+AS41/AS$2/24</f>
        <v>9.0005174291939003</v>
      </c>
      <c r="AT42" s="6495"/>
      <c r="AU42" s="816">
        <f>+AU41/AU$2/24</f>
        <v>9.0600574712643684</v>
      </c>
      <c r="AV42" s="6497"/>
      <c r="AW42" s="504">
        <f>+AW41/AW$2/24</f>
        <v>9.0056716417910447</v>
      </c>
      <c r="AX42" s="6495"/>
      <c r="AY42" s="816">
        <f>+AY41/AY$2/24</f>
        <v>8.7981182795698931</v>
      </c>
      <c r="AZ42" s="6500"/>
      <c r="BA42" s="513">
        <f>+BA41/BA$2/24</f>
        <v>9.6906135531135522</v>
      </c>
      <c r="BB42" s="6505"/>
      <c r="BC42" s="609">
        <f>+BC41/BC$2/24</f>
        <v>9.0625</v>
      </c>
      <c r="BD42" s="6497"/>
      <c r="BE42" s="504">
        <f>+BE41/BE$2/24</f>
        <v>8.988091985428051</v>
      </c>
      <c r="BF42" s="26"/>
      <c r="BG42" s="26"/>
      <c r="BH42" s="5726"/>
      <c r="BI42" s="5726"/>
    </row>
    <row r="43" spans="1:61" ht="18.75" x14ac:dyDescent="0.25">
      <c r="B43" s="6522" t="s">
        <v>467</v>
      </c>
      <c r="C43" s="48" t="s">
        <v>401</v>
      </c>
      <c r="D43" s="1189">
        <f>+D44*D2*24</f>
        <v>25920</v>
      </c>
      <c r="E43" s="491">
        <f>+E37+E39+E41</f>
        <v>27735.499999999996</v>
      </c>
      <c r="F43" s="1189">
        <f>+F44*F2*24</f>
        <v>26784</v>
      </c>
      <c r="G43" s="491">
        <f>+G37+G39+G41</f>
        <v>24623.9</v>
      </c>
      <c r="H43" s="807">
        <f>+D43+F43</f>
        <v>52704</v>
      </c>
      <c r="I43" s="505">
        <f>+E43+G43</f>
        <v>52359.399999999994</v>
      </c>
      <c r="J43" s="1189">
        <f>+J44*J2*24</f>
        <v>25920</v>
      </c>
      <c r="K43" s="491">
        <f>+K37+K39+K41</f>
        <v>22574</v>
      </c>
      <c r="L43" s="834">
        <f>D43+F43+J43</f>
        <v>78624</v>
      </c>
      <c r="M43" s="515">
        <f>M37+M39+M41</f>
        <v>74933.399999999994</v>
      </c>
      <c r="N43" s="1189">
        <f>+N44*N2*24</f>
        <v>26784</v>
      </c>
      <c r="O43" s="491">
        <f>+O37+O39+O41</f>
        <v>26824.3</v>
      </c>
      <c r="P43" s="807">
        <f>+L43+N43</f>
        <v>105408</v>
      </c>
      <c r="Q43" s="505">
        <f>+M43+O43</f>
        <v>101757.7</v>
      </c>
      <c r="R43" s="1189">
        <f>+R44*R2*24</f>
        <v>26784</v>
      </c>
      <c r="S43" s="491">
        <f>+S37+S39+S41</f>
        <v>25342.600000000002</v>
      </c>
      <c r="T43" s="807">
        <f>+P43+R43</f>
        <v>132192</v>
      </c>
      <c r="U43" s="505">
        <f>+Q43+S43</f>
        <v>127100.3</v>
      </c>
      <c r="V43" s="1189">
        <f>+V44*V2*24</f>
        <v>25920</v>
      </c>
      <c r="W43" s="491">
        <f>+W37+W39+W41</f>
        <v>25183.7</v>
      </c>
      <c r="X43" s="834">
        <f t="shared" ref="X43" si="112">+N43+R43+V43</f>
        <v>79488</v>
      </c>
      <c r="Y43" s="515">
        <f>Y37+Y39+Y41</f>
        <v>77350.600000000006</v>
      </c>
      <c r="Z43" s="1190">
        <f>L43+X43</f>
        <v>158112</v>
      </c>
      <c r="AA43" s="611">
        <f>M43+Y43</f>
        <v>152284</v>
      </c>
      <c r="AB43" s="1189">
        <f>+AB44*AB2*24</f>
        <v>26784</v>
      </c>
      <c r="AC43" s="491">
        <f>+AC37+AC39+AC41</f>
        <v>27417.399999999998</v>
      </c>
      <c r="AD43" s="807">
        <f>+Z43+AB43</f>
        <v>184896</v>
      </c>
      <c r="AE43" s="505">
        <f>+AA43+AC43</f>
        <v>179701.4</v>
      </c>
      <c r="AF43" s="1189">
        <f>+AF44*AF2*24</f>
        <v>25920</v>
      </c>
      <c r="AG43" s="491">
        <f>+AG37+AG39+AG41</f>
        <v>26437.800000000003</v>
      </c>
      <c r="AH43" s="807">
        <f>+AD43+AF43</f>
        <v>210816</v>
      </c>
      <c r="AI43" s="505">
        <f>+AE43+AG43</f>
        <v>206139.2</v>
      </c>
      <c r="AJ43" s="1189">
        <f>+AJ44*AJ2*24</f>
        <v>26784</v>
      </c>
      <c r="AK43" s="491">
        <f>+AK37+AK39+AK41</f>
        <v>28748.09999999998</v>
      </c>
      <c r="AL43" s="834">
        <f t="shared" ref="AL43" si="113">+AB43+AF43+AJ43</f>
        <v>79488</v>
      </c>
      <c r="AM43" s="515">
        <f>AM37+AM39+AM41</f>
        <v>82603.299999999974</v>
      </c>
      <c r="AN43" s="807">
        <f>+AH43+AJ43</f>
        <v>237600</v>
      </c>
      <c r="AO43" s="505">
        <f>+AI43+AK43</f>
        <v>234887.3</v>
      </c>
      <c r="AP43" s="1189">
        <f>+AP44*AP2*24</f>
        <v>26784</v>
      </c>
      <c r="AQ43" s="491">
        <f>+AQ37+AQ39+AQ41</f>
        <v>29636.600000000002</v>
      </c>
      <c r="AR43" s="807">
        <f>+AN43+AP43</f>
        <v>264384</v>
      </c>
      <c r="AS43" s="505">
        <f>+AO43+AQ43</f>
        <v>264523.89999999997</v>
      </c>
      <c r="AT43" s="1189">
        <f>+AT44*AT2*24</f>
        <v>25056</v>
      </c>
      <c r="AU43" s="491">
        <f>+AU37+AU39+AU41</f>
        <v>27412.799999999999</v>
      </c>
      <c r="AV43" s="807">
        <f>+AR43+AT43</f>
        <v>289440</v>
      </c>
      <c r="AW43" s="505">
        <f>+AS43+AU43</f>
        <v>291936.69999999995</v>
      </c>
      <c r="AX43" s="1189">
        <f>+AX44*AX2*24</f>
        <v>26784</v>
      </c>
      <c r="AY43" s="491">
        <f>+AY37+AY39+AY41</f>
        <v>26513.3</v>
      </c>
      <c r="AZ43" s="834">
        <f t="shared" ref="AZ43" si="114">+AP43+AT43+AX43</f>
        <v>78624</v>
      </c>
      <c r="BA43" s="515">
        <f>BA37+BA39+BA41</f>
        <v>83562.7</v>
      </c>
      <c r="BB43" s="1190">
        <f>AL43+AZ43</f>
        <v>158112</v>
      </c>
      <c r="BC43" s="611">
        <f>AM43+BA43</f>
        <v>166165.99999999997</v>
      </c>
      <c r="BD43" s="807">
        <f>+AV43+AX43</f>
        <v>316224</v>
      </c>
      <c r="BE43" s="505">
        <f>+AW43+AY43</f>
        <v>318449.99999999994</v>
      </c>
      <c r="BF43" s="26"/>
      <c r="BG43" s="26"/>
      <c r="BH43" s="5726"/>
      <c r="BI43" s="5726"/>
    </row>
    <row r="44" spans="1:61" ht="19.5" thickBot="1" x14ac:dyDescent="0.3">
      <c r="B44" s="6523"/>
      <c r="C44" s="21" t="s">
        <v>389</v>
      </c>
      <c r="D44" s="1193">
        <v>36</v>
      </c>
      <c r="E44" s="490">
        <f>+E43/E$2/24</f>
        <v>38.52152777777777</v>
      </c>
      <c r="F44" s="1193">
        <v>36</v>
      </c>
      <c r="G44" s="490">
        <f>+G43/G$2/24</f>
        <v>33.096639784946241</v>
      </c>
      <c r="H44" s="1191">
        <f>+H43/(H2*24)</f>
        <v>36</v>
      </c>
      <c r="I44" s="506">
        <f>+I43/I$2/24</f>
        <v>35.764617486338793</v>
      </c>
      <c r="J44" s="1193">
        <v>36</v>
      </c>
      <c r="K44" s="490">
        <f>+K43/K$2/24</f>
        <v>31.352777777777778</v>
      </c>
      <c r="L44" s="1192">
        <f>+L43/(L2*24)</f>
        <v>36</v>
      </c>
      <c r="M44" s="516">
        <f>+M43/M$2/24</f>
        <v>34.310164835164834</v>
      </c>
      <c r="N44" s="1193">
        <v>36</v>
      </c>
      <c r="O44" s="490">
        <f>+O43/O$2/24</f>
        <v>36.054166666666667</v>
      </c>
      <c r="P44" s="1191">
        <f>+P43/(P2*24)</f>
        <v>36</v>
      </c>
      <c r="Q44" s="506">
        <f>+Q43/Q$2/24</f>
        <v>34.753312841530054</v>
      </c>
      <c r="R44" s="1193">
        <v>36</v>
      </c>
      <c r="S44" s="490">
        <f>+S43/S$2/24</f>
        <v>34.062634408602158</v>
      </c>
      <c r="T44" s="1191">
        <f>+T43/(T2*24)</f>
        <v>36</v>
      </c>
      <c r="U44" s="506">
        <f>+U43/U$2/24</f>
        <v>34.613371459694989</v>
      </c>
      <c r="V44" s="1193">
        <v>36</v>
      </c>
      <c r="W44" s="490">
        <f>+W43/W$2/24</f>
        <v>34.977361111111115</v>
      </c>
      <c r="X44" s="1192">
        <f>+X43/(X2*24)</f>
        <v>36</v>
      </c>
      <c r="Y44" s="516">
        <f>+Y43/(Y2*24)</f>
        <v>35.031974637681159</v>
      </c>
      <c r="Z44" s="1194">
        <f>+Z43/(Z2*24)</f>
        <v>36</v>
      </c>
      <c r="AA44" s="612">
        <f>+AA43/AA$2/24</f>
        <v>34.673041894353368</v>
      </c>
      <c r="AB44" s="1193">
        <v>36</v>
      </c>
      <c r="AC44" s="490">
        <f>+AC43/AC$2/24</f>
        <v>36.851344086021506</v>
      </c>
      <c r="AD44" s="1191">
        <f>+AD43/(AD2*24)</f>
        <v>36</v>
      </c>
      <c r="AE44" s="506">
        <f>+AE43/AE$2/24</f>
        <v>34.988590342679124</v>
      </c>
      <c r="AF44" s="1193">
        <v>36</v>
      </c>
      <c r="AG44" s="490">
        <f>+AG43/AG$2/24</f>
        <v>36.719166666666673</v>
      </c>
      <c r="AH44" s="1191">
        <f>+AH43/(AH2*24)</f>
        <v>36</v>
      </c>
      <c r="AI44" s="506">
        <f>+AI43/AI$2/24</f>
        <v>35.20136612021858</v>
      </c>
      <c r="AJ44" s="1193">
        <v>36</v>
      </c>
      <c r="AK44" s="490">
        <f>+AK43/AK$2/24</f>
        <v>38.639919354838682</v>
      </c>
      <c r="AL44" s="1192">
        <f>+AL43/(AL2*24)</f>
        <v>36</v>
      </c>
      <c r="AM44" s="516">
        <f>+AM43/(AM2*24)</f>
        <v>37.410914855072448</v>
      </c>
      <c r="AN44" s="1191">
        <f>+AN43/(AN2*24)</f>
        <v>36</v>
      </c>
      <c r="AO44" s="506">
        <f>+AO43/AO$2/24</f>
        <v>35.588984848484849</v>
      </c>
      <c r="AP44" s="1193">
        <v>36</v>
      </c>
      <c r="AQ44" s="490">
        <f>+AQ43/AQ$2/24</f>
        <v>39.834139784946238</v>
      </c>
      <c r="AR44" s="1191">
        <f>+AR43/(AR2*24)</f>
        <v>36</v>
      </c>
      <c r="AS44" s="506">
        <f>+AS43/AS$2/24</f>
        <v>36.019049564270148</v>
      </c>
      <c r="AT44" s="1193">
        <v>36</v>
      </c>
      <c r="AU44" s="490">
        <f>+AU43/AU$2/24</f>
        <v>39.38620689655172</v>
      </c>
      <c r="AV44" s="1191">
        <f>+AV43/(AV2*24)</f>
        <v>36</v>
      </c>
      <c r="AW44" s="506">
        <f>+AW43/AW$2/24</f>
        <v>36.31053482587064</v>
      </c>
      <c r="AX44" s="1193">
        <v>36</v>
      </c>
      <c r="AY44" s="490">
        <f>+AY43/AY$2/24</f>
        <v>35.636155913978492</v>
      </c>
      <c r="AZ44" s="1192">
        <f>+AZ43/(AZ2*24)</f>
        <v>36</v>
      </c>
      <c r="BA44" s="516">
        <f>+BA43/(BA2*24)</f>
        <v>38.261309523809523</v>
      </c>
      <c r="BB44" s="1194">
        <f>+BB43/(BB2*24)</f>
        <v>36</v>
      </c>
      <c r="BC44" s="612">
        <f>+BC43/BC$2/24</f>
        <v>37.833788706739519</v>
      </c>
      <c r="BD44" s="1191">
        <f>+BD43/(BD2*24)</f>
        <v>36</v>
      </c>
      <c r="BE44" s="506">
        <f>+BE43/BE$2/24</f>
        <v>36.253415300546443</v>
      </c>
      <c r="BF44" s="26"/>
      <c r="BG44" s="26"/>
      <c r="BH44" s="5726"/>
      <c r="BI44" s="5726"/>
    </row>
    <row r="45" spans="1:61" ht="15" customHeight="1" x14ac:dyDescent="0.25">
      <c r="B45" s="6521" t="s">
        <v>405</v>
      </c>
      <c r="C45" s="29" t="s">
        <v>401</v>
      </c>
      <c r="D45" s="1195">
        <f>+D46*D2*24</f>
        <v>0</v>
      </c>
      <c r="E45" s="492">
        <v>0</v>
      </c>
      <c r="F45" s="1195">
        <f>+F46*F2*24</f>
        <v>0</v>
      </c>
      <c r="G45" s="492">
        <v>0</v>
      </c>
      <c r="H45" s="923">
        <f>+D45+F45</f>
        <v>0</v>
      </c>
      <c r="I45" s="445">
        <f>+E45+G45</f>
        <v>0</v>
      </c>
      <c r="J45" s="1195">
        <f>+J46*J2*24</f>
        <v>0</v>
      </c>
      <c r="K45" s="492">
        <v>0</v>
      </c>
      <c r="L45" s="924">
        <f>+H45+J45</f>
        <v>0</v>
      </c>
      <c r="M45" s="514">
        <f>+I45+K45</f>
        <v>0</v>
      </c>
      <c r="N45" s="1195">
        <f>+N46*N2*24</f>
        <v>0</v>
      </c>
      <c r="O45" s="492">
        <v>0</v>
      </c>
      <c r="P45" s="923">
        <f>+L45+N45</f>
        <v>0</v>
      </c>
      <c r="Q45" s="445">
        <f>+M45+O45</f>
        <v>0</v>
      </c>
      <c r="R45" s="1195">
        <f>+R46*R2*24</f>
        <v>0</v>
      </c>
      <c r="S45" s="492">
        <v>0</v>
      </c>
      <c r="T45" s="923">
        <f>+P45+R45</f>
        <v>0</v>
      </c>
      <c r="U45" s="445">
        <f>+Q45+S45</f>
        <v>0</v>
      </c>
      <c r="V45" s="1195">
        <f>+V46*V2*24</f>
        <v>0</v>
      </c>
      <c r="W45" s="492">
        <v>0</v>
      </c>
      <c r="X45" s="924">
        <f t="shared" ref="X45" si="115">+N45+R45+V45</f>
        <v>0</v>
      </c>
      <c r="Y45" s="514">
        <f t="shared" ref="Y45" si="116">+O45+S45+W45</f>
        <v>0</v>
      </c>
      <c r="Z45" s="926">
        <f>L45+X45</f>
        <v>0</v>
      </c>
      <c r="AA45" s="610">
        <f>M45+Y45</f>
        <v>0</v>
      </c>
      <c r="AB45" s="1195">
        <f>+AB46*AB2*24</f>
        <v>0</v>
      </c>
      <c r="AC45" s="492">
        <v>1.10000000000036</v>
      </c>
      <c r="AD45" s="923">
        <f>+Z45+AB45</f>
        <v>0</v>
      </c>
      <c r="AE45" s="445">
        <f>+AA45+AC45</f>
        <v>1.10000000000036</v>
      </c>
      <c r="AF45" s="1195">
        <f>+AF46*AF2*24</f>
        <v>0</v>
      </c>
      <c r="AG45" s="492">
        <v>0</v>
      </c>
      <c r="AH45" s="923">
        <f>+AD45+AF45</f>
        <v>0</v>
      </c>
      <c r="AI45" s="445">
        <f>+AE45+AG45</f>
        <v>1.10000000000036</v>
      </c>
      <c r="AJ45" s="1195">
        <f>+AJ46*AJ2*24</f>
        <v>0</v>
      </c>
      <c r="AK45" s="492">
        <v>0</v>
      </c>
      <c r="AL45" s="924">
        <f t="shared" ref="AL45" si="117">+AB45+AF45+AJ45</f>
        <v>0</v>
      </c>
      <c r="AM45" s="514">
        <f t="shared" ref="AM45" si="118">+AC45+AG45+AK45</f>
        <v>1.10000000000036</v>
      </c>
      <c r="AN45" s="923">
        <f>+AH45+AJ45</f>
        <v>0</v>
      </c>
      <c r="AO45" s="445">
        <f>+AI45+AK45</f>
        <v>1.10000000000036</v>
      </c>
      <c r="AP45" s="1195">
        <f>+AP46*AP2*24</f>
        <v>0</v>
      </c>
      <c r="AQ45" s="492">
        <v>0</v>
      </c>
      <c r="AR45" s="923">
        <f>+AN45+AP45</f>
        <v>0</v>
      </c>
      <c r="AS45" s="445">
        <f>+AO45+AQ45</f>
        <v>1.10000000000036</v>
      </c>
      <c r="AT45" s="1195">
        <f>+AT46*AT2*24</f>
        <v>0</v>
      </c>
      <c r="AU45" s="492">
        <v>0</v>
      </c>
      <c r="AV45" s="923">
        <f>+AR45+AT45</f>
        <v>0</v>
      </c>
      <c r="AW45" s="445">
        <f>+AS45+AU45</f>
        <v>1.10000000000036</v>
      </c>
      <c r="AX45" s="1195">
        <f>+AX46*AX2*24</f>
        <v>0</v>
      </c>
      <c r="AY45" s="492">
        <v>0</v>
      </c>
      <c r="AZ45" s="924">
        <f t="shared" ref="AZ45" si="119">+AP45+AT45+AX45</f>
        <v>0</v>
      </c>
      <c r="BA45" s="514">
        <f t="shared" ref="BA45" si="120">+AQ45+AU45+AY45</f>
        <v>0</v>
      </c>
      <c r="BB45" s="926">
        <f>AL45+AZ45</f>
        <v>0</v>
      </c>
      <c r="BC45" s="610">
        <f>AM45+BA45</f>
        <v>1.10000000000036</v>
      </c>
      <c r="BD45" s="923">
        <f>+AV45+AX45</f>
        <v>0</v>
      </c>
      <c r="BE45" s="445">
        <f>+AW45+AY45</f>
        <v>1.10000000000036</v>
      </c>
      <c r="BF45" s="26"/>
      <c r="BG45" s="26"/>
      <c r="BH45" s="5726"/>
      <c r="BI45" s="5726"/>
    </row>
    <row r="46" spans="1:61" ht="15" customHeight="1" thickBot="1" x14ac:dyDescent="0.3">
      <c r="B46" s="6517"/>
      <c r="C46" s="19" t="s">
        <v>389</v>
      </c>
      <c r="D46" s="1196">
        <v>0</v>
      </c>
      <c r="E46" s="817">
        <f>+E45/E$2/24</f>
        <v>0</v>
      </c>
      <c r="F46" s="1196">
        <v>0</v>
      </c>
      <c r="G46" s="817">
        <f>+G45/G$2/24</f>
        <v>0</v>
      </c>
      <c r="H46" s="809">
        <f>+H45/(H$2*24)</f>
        <v>0</v>
      </c>
      <c r="I46" s="507">
        <f>+I45/I$2/24</f>
        <v>0</v>
      </c>
      <c r="J46" s="1196">
        <v>0</v>
      </c>
      <c r="K46" s="817">
        <f>+K45/K$2/24</f>
        <v>0</v>
      </c>
      <c r="L46" s="835">
        <f>+L45/(L$2*24)</f>
        <v>0</v>
      </c>
      <c r="M46" s="517">
        <f>+M45/M$2/24</f>
        <v>0</v>
      </c>
      <c r="N46" s="1196">
        <v>0</v>
      </c>
      <c r="O46" s="817">
        <f>+O45/O$2/24</f>
        <v>0</v>
      </c>
      <c r="P46" s="809">
        <f>+P45/(P$2*24)</f>
        <v>0</v>
      </c>
      <c r="Q46" s="507">
        <f>+Q45/Q$2/24</f>
        <v>0</v>
      </c>
      <c r="R46" s="1196">
        <v>0</v>
      </c>
      <c r="S46" s="817">
        <f>+S45/S$2/24</f>
        <v>0</v>
      </c>
      <c r="T46" s="809">
        <f>+T45/(T$2*24)</f>
        <v>0</v>
      </c>
      <c r="U46" s="507">
        <f>+U45/U$2/24</f>
        <v>0</v>
      </c>
      <c r="V46" s="1196">
        <v>0</v>
      </c>
      <c r="W46" s="817">
        <f>+W45/W$2/24</f>
        <v>0</v>
      </c>
      <c r="X46" s="835">
        <f>+X45/(X$2*24)</f>
        <v>0</v>
      </c>
      <c r="Y46" s="517">
        <f>+Y45/Y$2/24</f>
        <v>0</v>
      </c>
      <c r="Z46" s="1197">
        <f>+Z45/(Z$2*24)</f>
        <v>0</v>
      </c>
      <c r="AA46" s="613">
        <f>+AA45/AA$2/24</f>
        <v>0</v>
      </c>
      <c r="AB46" s="1196">
        <v>0</v>
      </c>
      <c r="AC46" s="817">
        <f>+AC45/AC$2/24</f>
        <v>1.4784946236563979E-3</v>
      </c>
      <c r="AD46" s="809">
        <f>+AD45/(AD$2*24)</f>
        <v>0</v>
      </c>
      <c r="AE46" s="507">
        <f>+AE45/AE$2/24</f>
        <v>2.1417445482873056E-4</v>
      </c>
      <c r="AF46" s="1196">
        <v>0</v>
      </c>
      <c r="AG46" s="817">
        <f>+AG45/AG$2/24</f>
        <v>0</v>
      </c>
      <c r="AH46" s="809">
        <f>+AH45/(AH$2*24)</f>
        <v>0</v>
      </c>
      <c r="AI46" s="507">
        <f>+AI45/AI$2/24</f>
        <v>1.878415300547063E-4</v>
      </c>
      <c r="AJ46" s="1196">
        <v>0</v>
      </c>
      <c r="AK46" s="817">
        <f>+AK45/AK$2/24</f>
        <v>0</v>
      </c>
      <c r="AL46" s="835">
        <f>+AL45/(AL$2*24)</f>
        <v>0</v>
      </c>
      <c r="AM46" s="517">
        <f>+AM45/AM$2/24</f>
        <v>4.9818840579726449E-4</v>
      </c>
      <c r="AN46" s="809">
        <f>+AN45/(AN$2*24)</f>
        <v>0</v>
      </c>
      <c r="AO46" s="507">
        <f>+AO45/AO$2/24</f>
        <v>1.666666666667212E-4</v>
      </c>
      <c r="AP46" s="1196">
        <v>0</v>
      </c>
      <c r="AQ46" s="817">
        <f>+AQ45/AQ$2/24</f>
        <v>0</v>
      </c>
      <c r="AR46" s="809">
        <f>+AR45/(AR$2*24)</f>
        <v>0</v>
      </c>
      <c r="AS46" s="507">
        <f>+AS45/AS$2/24</f>
        <v>1.4978213507630173E-4</v>
      </c>
      <c r="AT46" s="1196">
        <v>0</v>
      </c>
      <c r="AU46" s="817">
        <f>+AU45/AU$2/24</f>
        <v>0</v>
      </c>
      <c r="AV46" s="809">
        <f>+AV45/(AV$2*24)</f>
        <v>0</v>
      </c>
      <c r="AW46" s="507">
        <f>+AW45/AW$2/24</f>
        <v>1.3681592039805474E-4</v>
      </c>
      <c r="AX46" s="1196">
        <v>0</v>
      </c>
      <c r="AY46" s="817">
        <f>+AY45/AY$2/24</f>
        <v>0</v>
      </c>
      <c r="AZ46" s="835">
        <f>+AZ45/(AZ$2*24)</f>
        <v>0</v>
      </c>
      <c r="BA46" s="517">
        <f>+BA45/BA$2/24</f>
        <v>0</v>
      </c>
      <c r="BB46" s="1197">
        <f>+BB45/(BB$2*24)</f>
        <v>0</v>
      </c>
      <c r="BC46" s="613">
        <f>+BC45/BC$2/24</f>
        <v>2.5045537340627504E-4</v>
      </c>
      <c r="BD46" s="809">
        <f>+BD45/(BD$2*24)</f>
        <v>0</v>
      </c>
      <c r="BE46" s="507">
        <f>+BE45/BE$2/24</f>
        <v>1.2522768670313752E-4</v>
      </c>
      <c r="BF46" s="26"/>
      <c r="BG46" s="26"/>
      <c r="BH46" s="5726"/>
      <c r="BI46" s="5726"/>
    </row>
    <row r="47" spans="1:61" x14ac:dyDescent="0.25">
      <c r="B47" s="6517" t="s">
        <v>406</v>
      </c>
      <c r="C47" s="18" t="s">
        <v>401</v>
      </c>
      <c r="D47" s="1198">
        <f>+D48*D2*24</f>
        <v>9483.7037037037026</v>
      </c>
      <c r="E47" s="304">
        <v>9756.2999999999993</v>
      </c>
      <c r="F47" s="1198">
        <f>+F48*F2*24</f>
        <v>8682.5925925925912</v>
      </c>
      <c r="G47" s="304">
        <v>8187.9</v>
      </c>
      <c r="H47" s="923">
        <f>+D47+F47</f>
        <v>18166.296296296292</v>
      </c>
      <c r="I47" s="445">
        <f>+E47+G47</f>
        <v>17944.199999999997</v>
      </c>
      <c r="J47" s="1198">
        <f>+J48*J2*24</f>
        <v>8858.8888888888869</v>
      </c>
      <c r="K47" s="304">
        <v>8258</v>
      </c>
      <c r="L47" s="924">
        <f>+H47+J47</f>
        <v>27025.185185185179</v>
      </c>
      <c r="M47" s="512">
        <f>E47+G47+K47</f>
        <v>26202.199999999997</v>
      </c>
      <c r="N47" s="1198">
        <f>+N48*N2*24</f>
        <v>9604.2592592592591</v>
      </c>
      <c r="O47" s="304">
        <v>10153</v>
      </c>
      <c r="P47" s="923">
        <f>+L47+N47</f>
        <v>36629.444444444438</v>
      </c>
      <c r="Q47" s="445">
        <f>+M47+O47</f>
        <v>36355.199999999997</v>
      </c>
      <c r="R47" s="1198">
        <f>+R48*R2*24</f>
        <v>9604.2592592592591</v>
      </c>
      <c r="S47" s="304">
        <v>10376.299999999999</v>
      </c>
      <c r="T47" s="923">
        <f>+P47+R47</f>
        <v>46233.703703703693</v>
      </c>
      <c r="U47" s="445">
        <f>+Q47+S47</f>
        <v>46731.5</v>
      </c>
      <c r="V47" s="1198">
        <f>+V48*V2*24</f>
        <v>9322.9629629629635</v>
      </c>
      <c r="W47" s="304">
        <v>9728.6</v>
      </c>
      <c r="X47" s="924">
        <f t="shared" ref="X47:Y47" si="121">+N47+R47+V47</f>
        <v>28531.481481481482</v>
      </c>
      <c r="Y47" s="514">
        <f t="shared" si="121"/>
        <v>30257.9</v>
      </c>
      <c r="Z47" s="926">
        <f>L47+X47</f>
        <v>55556.666666666657</v>
      </c>
      <c r="AA47" s="610">
        <f>M47+Y47</f>
        <v>56460.1</v>
      </c>
      <c r="AB47" s="1198">
        <f>+AB48*AB2*24</f>
        <v>9885.5555555555547</v>
      </c>
      <c r="AC47" s="304">
        <v>10301.700000000001</v>
      </c>
      <c r="AD47" s="923">
        <f>+Z47+AB47</f>
        <v>65442.222222222212</v>
      </c>
      <c r="AE47" s="445">
        <f>+AA47+AC47</f>
        <v>66761.8</v>
      </c>
      <c r="AF47" s="1198">
        <f>+AF48*AF2*24</f>
        <v>9564.074074074073</v>
      </c>
      <c r="AG47" s="304">
        <v>8260.7000000000698</v>
      </c>
      <c r="AH47" s="923">
        <f>+AD47+AF47</f>
        <v>75006.296296296292</v>
      </c>
      <c r="AI47" s="445">
        <f>+AE47+AG47</f>
        <v>75022.500000000073</v>
      </c>
      <c r="AJ47" s="1198">
        <f>+AJ48*AJ2*24</f>
        <v>9925.7407407407409</v>
      </c>
      <c r="AK47" s="304">
        <f>9229000/1000</f>
        <v>9229</v>
      </c>
      <c r="AL47" s="924">
        <f t="shared" ref="AL47" si="122">+AB47+AF47+AJ47</f>
        <v>29375.370370370369</v>
      </c>
      <c r="AM47" s="514">
        <f t="shared" ref="AM47" si="123">+AC47+AG47+AK47</f>
        <v>27791.400000000071</v>
      </c>
      <c r="AN47" s="923">
        <f>+AH47+AJ47</f>
        <v>84932.037037037036</v>
      </c>
      <c r="AO47" s="445">
        <f>+AI47+AK47</f>
        <v>84251.500000000073</v>
      </c>
      <c r="AP47" s="1198">
        <f>+AP48*AP2*24</f>
        <v>9925.7407407407409</v>
      </c>
      <c r="AQ47" s="304">
        <v>9241.9</v>
      </c>
      <c r="AR47" s="923">
        <f>+AN47+AP47</f>
        <v>94857.777777777781</v>
      </c>
      <c r="AS47" s="445">
        <f>+AO47+AQ47</f>
        <v>93493.400000000067</v>
      </c>
      <c r="AT47" s="1198">
        <f>+AT48*AT2*24</f>
        <v>9242.5925925925931</v>
      </c>
      <c r="AU47" s="304">
        <v>9441.2000000000007</v>
      </c>
      <c r="AV47" s="923">
        <f>+AR47+AT47</f>
        <v>104100.37037037038</v>
      </c>
      <c r="AW47" s="445">
        <f>+AS47+AU47</f>
        <v>102934.60000000006</v>
      </c>
      <c r="AX47" s="1198">
        <f>+AX48*AX2*24</f>
        <v>9965.9259259259252</v>
      </c>
      <c r="AY47" s="304">
        <v>9817.6</v>
      </c>
      <c r="AZ47" s="924">
        <f t="shared" ref="AZ47" si="124">+AP47+AT47+AX47</f>
        <v>29134.259259259263</v>
      </c>
      <c r="BA47" s="514">
        <f t="shared" ref="BA47" si="125">+AQ47+AU47+AY47</f>
        <v>28500.699999999997</v>
      </c>
      <c r="BB47" s="926">
        <f>AL47+AZ47</f>
        <v>58509.629629629635</v>
      </c>
      <c r="BC47" s="610">
        <f>AM47+BA47</f>
        <v>56292.100000000064</v>
      </c>
      <c r="BD47" s="923">
        <f>+AV47+AX47</f>
        <v>114066.29629629631</v>
      </c>
      <c r="BE47" s="445">
        <f>+AW47+AY47</f>
        <v>112752.20000000007</v>
      </c>
      <c r="BF47" s="26"/>
      <c r="BG47" s="26"/>
      <c r="BH47" s="5726"/>
      <c r="BI47" s="5726"/>
    </row>
    <row r="48" spans="1:61" ht="15.75" thickBot="1" x14ac:dyDescent="0.3">
      <c r="B48" s="6518"/>
      <c r="C48" s="20" t="s">
        <v>389</v>
      </c>
      <c r="D48" s="1199">
        <v>13.171810699588477</v>
      </c>
      <c r="E48" s="817">
        <f>+E47/E$2/24</f>
        <v>13.550416666666665</v>
      </c>
      <c r="F48" s="1199">
        <v>11.670151334129828</v>
      </c>
      <c r="G48" s="817">
        <f>+G47/G$2/24</f>
        <v>11.005241935483872</v>
      </c>
      <c r="H48" s="809">
        <f>+H47/(H$2*24)</f>
        <v>12.408672333535719</v>
      </c>
      <c r="I48" s="507">
        <f>+I47/I$2/24</f>
        <v>12.256967213114754</v>
      </c>
      <c r="J48" s="1199">
        <v>12.304012345679011</v>
      </c>
      <c r="K48" s="817">
        <f>+K47/K$2/24</f>
        <v>11.469444444444443</v>
      </c>
      <c r="L48" s="835">
        <f>+L47/(L$2*24)</f>
        <v>12.374169040835705</v>
      </c>
      <c r="M48" s="517">
        <f>+M47/M$2/24</f>
        <v>11.99734432234432</v>
      </c>
      <c r="N48" s="1199">
        <v>12.908950617283949</v>
      </c>
      <c r="O48" s="817">
        <f>+O47/O$2/24</f>
        <v>13.646505376344086</v>
      </c>
      <c r="P48" s="809">
        <f>+P47/(P$2*24)</f>
        <v>12.510056162720096</v>
      </c>
      <c r="Q48" s="507">
        <f>+Q47/Q$2/24</f>
        <v>12.416393442622949</v>
      </c>
      <c r="R48" s="1199">
        <v>12.908950617283949</v>
      </c>
      <c r="S48" s="817">
        <f>+S47/S$2/24</f>
        <v>13.946639784946235</v>
      </c>
      <c r="T48" s="809">
        <f>+T47/(T$2*24)</f>
        <v>12.590877914951987</v>
      </c>
      <c r="U48" s="507">
        <f>+U47/U$2/24</f>
        <v>12.726443355119827</v>
      </c>
      <c r="V48" s="1199">
        <v>12.948559670781894</v>
      </c>
      <c r="W48" s="817">
        <f>+W47/W$2/24</f>
        <v>13.511944444444445</v>
      </c>
      <c r="X48" s="835">
        <f>+X47/(X$2*24)</f>
        <v>12.921866612989801</v>
      </c>
      <c r="Y48" s="517">
        <f>+Y47/Y$2/24</f>
        <v>13.703759057971014</v>
      </c>
      <c r="Z48" s="1197">
        <f>+Z47/(Z$2*24)</f>
        <v>12.649514268366724</v>
      </c>
      <c r="AA48" s="613">
        <f>+AA47/AA$2/24</f>
        <v>12.855214025500912</v>
      </c>
      <c r="AB48" s="1199">
        <v>13.287037037037036</v>
      </c>
      <c r="AC48" s="817">
        <f>+AC47/AC$2/24</f>
        <v>13.846370967741935</v>
      </c>
      <c r="AD48" s="809">
        <f>+AD47/(AD$2*24)</f>
        <v>12.741865697473171</v>
      </c>
      <c r="AE48" s="507">
        <f>+AE47/AE$2/24</f>
        <v>12.998792834890965</v>
      </c>
      <c r="AF48" s="1199">
        <v>13.283436213991768</v>
      </c>
      <c r="AG48" s="817">
        <f>+AG47/AG$2/24</f>
        <v>11.473194444444543</v>
      </c>
      <c r="AH48" s="809">
        <f>+AH47/(AH$2*24)</f>
        <v>12.808452236389394</v>
      </c>
      <c r="AI48" s="507">
        <f>+AI47/AI$2/24</f>
        <v>12.811219262295095</v>
      </c>
      <c r="AJ48" s="1199">
        <v>13.341049382716051</v>
      </c>
      <c r="AK48" s="817">
        <f>+AK47/AK$2/24</f>
        <v>12.404569892473118</v>
      </c>
      <c r="AL48" s="835">
        <f>+AL47/(AL$2*24)</f>
        <v>13.304062667740203</v>
      </c>
      <c r="AM48" s="517">
        <f>+AM47/AM$2/24</f>
        <v>12.586684782608728</v>
      </c>
      <c r="AN48" s="809">
        <f>+AN47/(AN$2*24)</f>
        <v>12.868490460157126</v>
      </c>
      <c r="AO48" s="507">
        <f>+AO47/AO$2/24</f>
        <v>12.765378787878801</v>
      </c>
      <c r="AP48" s="1199">
        <v>13.341049382716051</v>
      </c>
      <c r="AQ48" s="817">
        <f>+AQ47/AQ$2/24</f>
        <v>12.421908602150538</v>
      </c>
      <c r="AR48" s="809">
        <f>+AR47/(AR$2*24)</f>
        <v>12.916364076494796</v>
      </c>
      <c r="AS48" s="507">
        <f>+AS47/AS$2/24</f>
        <v>12.730582788671034</v>
      </c>
      <c r="AT48" s="1199">
        <v>13.27958705832269</v>
      </c>
      <c r="AU48" s="817">
        <f>+AU47/AU$2/24</f>
        <v>13.564942528735633</v>
      </c>
      <c r="AV48" s="809">
        <f>+AV47/(AV$2*24)</f>
        <v>12.947807259996315</v>
      </c>
      <c r="AW48" s="507">
        <f>+AW47/AW$2/24</f>
        <v>12.80281094527364</v>
      </c>
      <c r="AX48" s="1199">
        <v>13.39506172839506</v>
      </c>
      <c r="AY48" s="817">
        <f>+AY47/AY$2/24</f>
        <v>13.195698924731182</v>
      </c>
      <c r="AZ48" s="835">
        <f>+AZ47/(AZ$2*24)</f>
        <v>13.339862298195634</v>
      </c>
      <c r="BA48" s="517">
        <f>+BA47/BA$2/24</f>
        <v>13.049771062271061</v>
      </c>
      <c r="BB48" s="1197">
        <f>+BB47/(BB$2*24)</f>
        <v>13.321864669769953</v>
      </c>
      <c r="BC48" s="613">
        <f>+BC47/BC$2/24</f>
        <v>12.816962659380707</v>
      </c>
      <c r="BD48" s="5252">
        <f>+BD47/(BD$2*24)</f>
        <v>12.98568946906834</v>
      </c>
      <c r="BE48" s="507">
        <f>+BE47/BE$2/24</f>
        <v>12.83608834244081</v>
      </c>
      <c r="BF48" s="26"/>
      <c r="BG48" s="26"/>
      <c r="BH48" s="5726"/>
      <c r="BI48" s="5726"/>
    </row>
    <row r="49" spans="1:61" ht="15.75" x14ac:dyDescent="0.25">
      <c r="B49" s="6515" t="s">
        <v>410</v>
      </c>
      <c r="C49" s="160" t="s">
        <v>401</v>
      </c>
      <c r="D49" s="730">
        <f>+D43+D45+D47</f>
        <v>35403.703703703701</v>
      </c>
      <c r="E49" s="818">
        <f>+E43+E45+E47</f>
        <v>37491.799999999996</v>
      </c>
      <c r="F49" s="730">
        <f>+F43+F45+F47</f>
        <v>35466.592592592591</v>
      </c>
      <c r="G49" s="818">
        <f>+G43+G45+G47</f>
        <v>32811.800000000003</v>
      </c>
      <c r="H49" s="730">
        <f t="shared" ref="H49:I50" si="126">+H43+H45+H47</f>
        <v>70870.296296296292</v>
      </c>
      <c r="I49" s="730">
        <f t="shared" si="126"/>
        <v>70303.599999999991</v>
      </c>
      <c r="J49" s="730">
        <f>+J43+J45+J47</f>
        <v>34778.888888888891</v>
      </c>
      <c r="K49" s="818">
        <f>+K43+K45+K47</f>
        <v>30832</v>
      </c>
      <c r="L49" s="2138">
        <f t="shared" ref="L49:Q49" si="127">+L43+L45+L47</f>
        <v>105649.18518518518</v>
      </c>
      <c r="M49" s="2138">
        <f t="shared" si="127"/>
        <v>101135.59999999999</v>
      </c>
      <c r="N49" s="730">
        <f t="shared" si="127"/>
        <v>36388.259259259255</v>
      </c>
      <c r="O49" s="818">
        <f t="shared" si="127"/>
        <v>36977.300000000003</v>
      </c>
      <c r="P49" s="730">
        <f t="shared" si="127"/>
        <v>142037.44444444444</v>
      </c>
      <c r="Q49" s="730">
        <f t="shared" si="127"/>
        <v>138112.9</v>
      </c>
      <c r="R49" s="730">
        <f t="shared" ref="R49:U50" si="128">+R43+R45+R47</f>
        <v>36388.259259259255</v>
      </c>
      <c r="S49" s="818">
        <f t="shared" si="128"/>
        <v>35718.9</v>
      </c>
      <c r="T49" s="730">
        <f t="shared" si="128"/>
        <v>178425.70370370371</v>
      </c>
      <c r="U49" s="730">
        <f t="shared" si="128"/>
        <v>173831.8</v>
      </c>
      <c r="V49" s="730">
        <f t="shared" ref="V49:Y49" si="129">+V43+V45+V47</f>
        <v>35242.962962962964</v>
      </c>
      <c r="W49" s="818">
        <f t="shared" si="129"/>
        <v>34912.300000000003</v>
      </c>
      <c r="X49" s="2138">
        <f t="shared" si="129"/>
        <v>108019.48148148149</v>
      </c>
      <c r="Y49" s="2138">
        <f t="shared" si="129"/>
        <v>107608.5</v>
      </c>
      <c r="Z49" s="3735">
        <f t="shared" ref="Z49:AE49" si="130">+Z43+Z45+Z47</f>
        <v>213668.66666666666</v>
      </c>
      <c r="AA49" s="3735">
        <f t="shared" si="130"/>
        <v>208744.1</v>
      </c>
      <c r="AB49" s="730">
        <f t="shared" si="130"/>
        <v>36669.555555555555</v>
      </c>
      <c r="AC49" s="818">
        <f t="shared" si="130"/>
        <v>37720.199999999997</v>
      </c>
      <c r="AD49" s="730">
        <f t="shared" si="130"/>
        <v>250338.22222222222</v>
      </c>
      <c r="AE49" s="730">
        <f t="shared" si="130"/>
        <v>246464.3</v>
      </c>
      <c r="AF49" s="730">
        <f t="shared" ref="AF49:AI50" si="131">+AF43+AF45+AF47</f>
        <v>35484.074074074073</v>
      </c>
      <c r="AG49" s="818">
        <f t="shared" si="131"/>
        <v>34698.500000000073</v>
      </c>
      <c r="AH49" s="730">
        <f t="shared" si="131"/>
        <v>285822.29629629629</v>
      </c>
      <c r="AI49" s="730">
        <f t="shared" si="131"/>
        <v>281162.8000000001</v>
      </c>
      <c r="AJ49" s="730">
        <f t="shared" ref="AJ49:AS49" si="132">+AJ43+AJ45+AJ47</f>
        <v>36709.740740740745</v>
      </c>
      <c r="AK49" s="818">
        <f t="shared" si="132"/>
        <v>37977.099999999977</v>
      </c>
      <c r="AL49" s="2138">
        <f t="shared" si="132"/>
        <v>108863.37037037036</v>
      </c>
      <c r="AM49" s="2138">
        <f t="shared" si="132"/>
        <v>110395.80000000005</v>
      </c>
      <c r="AN49" s="730">
        <f t="shared" si="132"/>
        <v>322532.03703703702</v>
      </c>
      <c r="AO49" s="730">
        <f t="shared" si="132"/>
        <v>319139.90000000008</v>
      </c>
      <c r="AP49" s="730">
        <f t="shared" si="132"/>
        <v>36709.740740740745</v>
      </c>
      <c r="AQ49" s="818">
        <f t="shared" si="132"/>
        <v>38878.5</v>
      </c>
      <c r="AR49" s="730">
        <f t="shared" si="132"/>
        <v>359241.77777777775</v>
      </c>
      <c r="AS49" s="730">
        <f t="shared" si="132"/>
        <v>358018.4</v>
      </c>
      <c r="AT49" s="730">
        <f t="shared" ref="AT49:AW50" si="133">+AT43+AT45+AT47</f>
        <v>34298.592592592591</v>
      </c>
      <c r="AU49" s="818">
        <f t="shared" si="133"/>
        <v>36854</v>
      </c>
      <c r="AV49" s="730">
        <f t="shared" si="133"/>
        <v>393540.37037037039</v>
      </c>
      <c r="AW49" s="730">
        <f t="shared" si="133"/>
        <v>394872.4</v>
      </c>
      <c r="AX49" s="730">
        <f t="shared" ref="AX49:BE49" si="134">+AX43+AX45+AX47</f>
        <v>36749.925925925927</v>
      </c>
      <c r="AY49" s="818">
        <f t="shared" si="134"/>
        <v>36330.9</v>
      </c>
      <c r="AZ49" s="2138">
        <f t="shared" si="134"/>
        <v>107758.25925925927</v>
      </c>
      <c r="BA49" s="2138">
        <f t="shared" si="134"/>
        <v>112063.4</v>
      </c>
      <c r="BB49" s="3735">
        <f t="shared" si="134"/>
        <v>216621.62962962964</v>
      </c>
      <c r="BC49" s="3735">
        <f t="shared" si="134"/>
        <v>222459.20000000004</v>
      </c>
      <c r="BD49" s="730">
        <f t="shared" si="134"/>
        <v>430290.29629629629</v>
      </c>
      <c r="BE49" s="730">
        <f t="shared" si="134"/>
        <v>431203.3</v>
      </c>
      <c r="BF49" s="26"/>
      <c r="BG49" s="26"/>
      <c r="BH49" s="5726"/>
      <c r="BI49" s="5726"/>
    </row>
    <row r="50" spans="1:61" ht="16.5" thickBot="1" x14ac:dyDescent="0.3">
      <c r="B50" s="6516"/>
      <c r="C50" s="494" t="s">
        <v>389</v>
      </c>
      <c r="D50" s="1200">
        <v>49.171810699588477</v>
      </c>
      <c r="E50" s="819">
        <f>+E49/E$2/24</f>
        <v>52.071944444444433</v>
      </c>
      <c r="F50" s="1200">
        <v>47.670151334129827</v>
      </c>
      <c r="G50" s="819">
        <f>+G49/G$2/24</f>
        <v>44.101881720430107</v>
      </c>
      <c r="H50" s="1201">
        <f t="shared" si="126"/>
        <v>48.408672333535719</v>
      </c>
      <c r="I50" s="508">
        <f>+I49/I$2/24</f>
        <v>48.021584699453548</v>
      </c>
      <c r="J50" s="1200">
        <v>48.304012345679013</v>
      </c>
      <c r="K50" s="819">
        <f>+K49/K$2/24</f>
        <v>42.822222222222223</v>
      </c>
      <c r="L50" s="1202">
        <f>+L44+L46+L48</f>
        <v>48.374169040835703</v>
      </c>
      <c r="M50" s="518">
        <f>+M49/M$2/24</f>
        <v>46.307509157509152</v>
      </c>
      <c r="N50" s="1200">
        <f>N44+N48</f>
        <v>48.908950617283949</v>
      </c>
      <c r="O50" s="819">
        <f>+O49/O$2/24</f>
        <v>49.700672043010762</v>
      </c>
      <c r="P50" s="1201">
        <f>+P44+P46+P48</f>
        <v>48.510056162720097</v>
      </c>
      <c r="Q50" s="508">
        <f>+Q49/Q$2/24</f>
        <v>47.169706284153001</v>
      </c>
      <c r="R50" s="1200">
        <f>R44+R48</f>
        <v>48.908950617283949</v>
      </c>
      <c r="S50" s="819">
        <f>+S49/S$2/24</f>
        <v>48.009274193548386</v>
      </c>
      <c r="T50" s="1201">
        <f t="shared" si="128"/>
        <v>48.590877914951989</v>
      </c>
      <c r="U50" s="508">
        <f>+U49/U$2/24</f>
        <v>47.339814814814815</v>
      </c>
      <c r="V50" s="1200">
        <f>V44+V48</f>
        <v>48.94855967078189</v>
      </c>
      <c r="W50" s="819">
        <f>+W49/W$2/24</f>
        <v>48.489305555555553</v>
      </c>
      <c r="X50" s="1202">
        <f>+X44+X46+X48</f>
        <v>48.921866612989803</v>
      </c>
      <c r="Y50" s="518">
        <f>+Y49/Y$2/24</f>
        <v>48.735733695652179</v>
      </c>
      <c r="Z50" s="1203">
        <f>+Z44+Z46+Z48</f>
        <v>48.649514268366723</v>
      </c>
      <c r="AA50" s="614">
        <f>+AA49/AA$2/24</f>
        <v>47.528255919854281</v>
      </c>
      <c r="AB50" s="1200">
        <f>AB44+AB48</f>
        <v>49.287037037037038</v>
      </c>
      <c r="AC50" s="819">
        <f>+AC49/AC$2/24</f>
        <v>50.699193548387093</v>
      </c>
      <c r="AD50" s="1201">
        <f t="shared" ref="AD50" si="135">+AD44+AD46+AD48</f>
        <v>48.741865697473173</v>
      </c>
      <c r="AE50" s="508">
        <f>+AE49/AE$2/24</f>
        <v>47.98759735202492</v>
      </c>
      <c r="AF50" s="1200">
        <f>AF44+AF48</f>
        <v>49.28343621399177</v>
      </c>
      <c r="AG50" s="819">
        <f>+AG49/AG$2/24</f>
        <v>48.192361111111211</v>
      </c>
      <c r="AH50" s="1201">
        <f t="shared" si="131"/>
        <v>48.808452236389392</v>
      </c>
      <c r="AI50" s="508">
        <f>+AI49/AI$2/24</f>
        <v>48.012773224043734</v>
      </c>
      <c r="AJ50" s="1200">
        <f>AJ44+AJ48</f>
        <v>49.341049382716051</v>
      </c>
      <c r="AK50" s="819">
        <f>+AK49/AK$2/24</f>
        <v>51.044489247311795</v>
      </c>
      <c r="AL50" s="1202">
        <f>+AL44+AL46+AL48</f>
        <v>49.304062667740205</v>
      </c>
      <c r="AM50" s="518">
        <f>+AM49/AM$2/24</f>
        <v>49.998097826086983</v>
      </c>
      <c r="AN50" s="1201">
        <f t="shared" ref="AN50" si="136">+AN44+AN46+AN48</f>
        <v>48.868490460157126</v>
      </c>
      <c r="AO50" s="508">
        <f>+AO49/AO$2/24</f>
        <v>48.354530303030316</v>
      </c>
      <c r="AP50" s="1200">
        <f>AP44+AP48</f>
        <v>49.341049382716051</v>
      </c>
      <c r="AQ50" s="819">
        <f>+AQ49/AQ$2/24</f>
        <v>52.256048387096776</v>
      </c>
      <c r="AR50" s="1201">
        <f t="shared" ref="AR50" si="137">+AR44+AR46+AR48</f>
        <v>48.916364076494794</v>
      </c>
      <c r="AS50" s="508">
        <f>+AS49/AS$2/24</f>
        <v>48.749782135076259</v>
      </c>
      <c r="AT50" s="1200">
        <f>AT44+AT48</f>
        <v>49.27958705832269</v>
      </c>
      <c r="AU50" s="819">
        <f>+AU49/AU$2/24</f>
        <v>52.951149425287355</v>
      </c>
      <c r="AV50" s="1201">
        <f t="shared" si="133"/>
        <v>48.947807259996317</v>
      </c>
      <c r="AW50" s="508">
        <f>+AW49/AW$2/24</f>
        <v>49.113482587064681</v>
      </c>
      <c r="AX50" s="1200">
        <f>AX44+AX48</f>
        <v>49.395061728395063</v>
      </c>
      <c r="AY50" s="819">
        <f>+AY49/AY$2/24</f>
        <v>48.831854838709681</v>
      </c>
      <c r="AZ50" s="1202">
        <f>+AZ44+AZ46+AZ48</f>
        <v>49.339862298195634</v>
      </c>
      <c r="BA50" s="518">
        <f>+BA49/BA$2/24</f>
        <v>51.311080586080585</v>
      </c>
      <c r="BB50" s="1203">
        <f>+BB44+BB46+BB48</f>
        <v>49.321864669769951</v>
      </c>
      <c r="BC50" s="614">
        <f>+BC49/BC$2/24</f>
        <v>50.65100182149363</v>
      </c>
      <c r="BD50" s="1201">
        <f t="shared" ref="BD50" si="138">+BD44+BD46+BD48</f>
        <v>48.98568946906834</v>
      </c>
      <c r="BE50" s="508">
        <f>+BE49/BE$2/24</f>
        <v>49.089628870673948</v>
      </c>
      <c r="BF50" s="26"/>
      <c r="BG50" s="26"/>
      <c r="BH50" s="5726"/>
      <c r="BI50" s="5726"/>
    </row>
    <row r="51" spans="1:61" ht="15.75" x14ac:dyDescent="0.25">
      <c r="B51" s="495" t="s">
        <v>407</v>
      </c>
      <c r="C51" s="255" t="s">
        <v>401</v>
      </c>
      <c r="D51" s="1204">
        <f>+D52*D2*24</f>
        <v>76233.295695564229</v>
      </c>
      <c r="E51" s="493">
        <f>+'POWER DISTRIBUTION'!J10/1000</f>
        <v>70658</v>
      </c>
      <c r="F51" s="1204">
        <f>+F52*F2*24</f>
        <v>72158.082383382833</v>
      </c>
      <c r="G51" s="493">
        <f>+'POWER DISTRIBUTION'!L10/1000</f>
        <v>66602.222999999998</v>
      </c>
      <c r="H51" s="923">
        <f>+D51+F51</f>
        <v>148391.37807894708</v>
      </c>
      <c r="I51" s="509">
        <f>+E51+G51</f>
        <v>137260.223</v>
      </c>
      <c r="J51" s="1204">
        <f>+J52*J2*24</f>
        <v>67698.384266563167</v>
      </c>
      <c r="K51" s="493">
        <f>+'POWER DISTRIBUTION'!P10/1000</f>
        <v>68302</v>
      </c>
      <c r="L51" s="924">
        <f>+H51+J51</f>
        <v>216089.76234551024</v>
      </c>
      <c r="M51" s="519">
        <f>E51+G51+K51</f>
        <v>205562.223</v>
      </c>
      <c r="N51" s="1204">
        <f>+N52*N2*24</f>
        <v>78121.802701363282</v>
      </c>
      <c r="O51" s="493">
        <f>+'POWER DISTRIBUTION'!T10/1000</f>
        <v>75307</v>
      </c>
      <c r="P51" s="923">
        <f>+L51+N51</f>
        <v>294211.56504687353</v>
      </c>
      <c r="Q51" s="509">
        <f>+M51+O51</f>
        <v>280869.223</v>
      </c>
      <c r="R51" s="1204">
        <f>+R52*R2*24</f>
        <v>78020.56400107521</v>
      </c>
      <c r="S51" s="493">
        <f>+'POWER DISTRIBUTION'!X10/1000</f>
        <v>77624</v>
      </c>
      <c r="T51" s="923">
        <f>+P51+R51</f>
        <v>372232.12904794875</v>
      </c>
      <c r="U51" s="509">
        <f>+Q51+S51</f>
        <v>358493.223</v>
      </c>
      <c r="V51" s="1204">
        <f>+V52*V2*24</f>
        <v>75723.502105558655</v>
      </c>
      <c r="W51" s="493">
        <f>+'POWER DISTRIBUTION'!AB10/1000</f>
        <v>71855</v>
      </c>
      <c r="X51" s="924">
        <f t="shared" ref="X51:Y51" si="139">+N51+R51+V51</f>
        <v>231865.86880799715</v>
      </c>
      <c r="Y51" s="519">
        <f t="shared" si="139"/>
        <v>224786</v>
      </c>
      <c r="Z51" s="926">
        <f>L51+X51</f>
        <v>447955.63115350739</v>
      </c>
      <c r="AA51" s="615">
        <f>M51+Y51</f>
        <v>430348.223</v>
      </c>
      <c r="AB51" s="1204">
        <f>+AB52*AB2*24</f>
        <v>79054.047898467266</v>
      </c>
      <c r="AC51" s="493">
        <f>+'POWER DISTRIBUTION'!AH10/1000</f>
        <v>73075</v>
      </c>
      <c r="AD51" s="923">
        <f>+Z51+AB51</f>
        <v>527009.67905197467</v>
      </c>
      <c r="AE51" s="509">
        <f>+AA51+AC51</f>
        <v>503423.223</v>
      </c>
      <c r="AF51" s="1204">
        <f>+AF52*AF2*24</f>
        <v>76686.544853641812</v>
      </c>
      <c r="AG51" s="493">
        <f>+'POWER DISTRIBUTION'!AL10/1000</f>
        <v>69780</v>
      </c>
      <c r="AH51" s="923">
        <f>+AD51+AF51</f>
        <v>603696.22390561644</v>
      </c>
      <c r="AI51" s="509">
        <f>+AE51+AG51</f>
        <v>573203.223</v>
      </c>
      <c r="AJ51" s="1204">
        <f>+AJ52*AJ2*24</f>
        <v>79317.660310641018</v>
      </c>
      <c r="AK51" s="493">
        <f>+'POWER DISTRIBUTION'!AP10/1000</f>
        <v>72478.989000000001</v>
      </c>
      <c r="AL51" s="924">
        <f t="shared" ref="AL51" si="140">+AB51+AF51+AJ51</f>
        <v>235058.2530627501</v>
      </c>
      <c r="AM51" s="519">
        <f t="shared" ref="AM51" si="141">+AC51+AG51+AK51</f>
        <v>215333.989</v>
      </c>
      <c r="AN51" s="923">
        <f>+AH51+AJ51</f>
        <v>683013.88421625749</v>
      </c>
      <c r="AO51" s="509">
        <f>+AI51+AK51</f>
        <v>645682.21200000006</v>
      </c>
      <c r="AP51" s="1204">
        <f>+AP52*AP2*24</f>
        <v>79437.094420761379</v>
      </c>
      <c r="AQ51" s="493">
        <f>+'POWER DISTRIBUTION'!AV10/1000</f>
        <v>70737.002495999986</v>
      </c>
      <c r="AR51" s="923">
        <f>+AN51+AP51</f>
        <v>762450.97863701882</v>
      </c>
      <c r="AS51" s="509">
        <f>+AO51+AQ51</f>
        <v>716419.21449600009</v>
      </c>
      <c r="AT51" s="1204">
        <f>+AT52*AT2*24</f>
        <v>73965.100726249002</v>
      </c>
      <c r="AU51" s="493">
        <f>+'POWER DISTRIBUTION'!AZ10/1000</f>
        <v>65371.012999999999</v>
      </c>
      <c r="AV51" s="923">
        <f>+AR51+AT51</f>
        <v>836416.07936326787</v>
      </c>
      <c r="AW51" s="509">
        <f>+AS51+AU51</f>
        <v>781790.22749600012</v>
      </c>
      <c r="AX51" s="1204">
        <f>+AX52*AX2*24</f>
        <v>79581.272722814814</v>
      </c>
      <c r="AY51" s="493">
        <f>+'POWER DISTRIBUTION'!BD10/1000</f>
        <v>71880.983039999992</v>
      </c>
      <c r="AZ51" s="924">
        <f t="shared" ref="AZ51" si="142">+AP51+AT51+AX51</f>
        <v>232983.4678698252</v>
      </c>
      <c r="BA51" s="519">
        <f t="shared" ref="BA51" si="143">+AQ51+AU51+AY51</f>
        <v>207988.99853599997</v>
      </c>
      <c r="BB51" s="926">
        <f>AL51+AZ51</f>
        <v>468041.72093257529</v>
      </c>
      <c r="BC51" s="615">
        <f>AM51+BA51</f>
        <v>423322.98753599997</v>
      </c>
      <c r="BD51" s="923">
        <f>+AV51+AX51</f>
        <v>915997.35208608268</v>
      </c>
      <c r="BE51" s="509">
        <f>+AW51+AY51</f>
        <v>853671.21053600009</v>
      </c>
      <c r="BF51" s="26"/>
      <c r="BG51" s="26"/>
      <c r="BH51" s="5726"/>
      <c r="BI51" s="5726"/>
    </row>
    <row r="52" spans="1:61" ht="16.5" thickBot="1" x14ac:dyDescent="0.3">
      <c r="B52" s="496" t="s">
        <v>408</v>
      </c>
      <c r="C52" s="497" t="s">
        <v>389</v>
      </c>
      <c r="D52" s="1205">
        <v>105.87957735495031</v>
      </c>
      <c r="E52" s="440">
        <f>+E51/E$2/24</f>
        <v>98.13611111111112</v>
      </c>
      <c r="F52" s="1205">
        <v>96.986669870138201</v>
      </c>
      <c r="G52" s="440">
        <f>+G51/G$2/24</f>
        <v>89.519116935483865</v>
      </c>
      <c r="H52" s="510">
        <f>+H51/H$2/24</f>
        <v>101.36023092824253</v>
      </c>
      <c r="I52" s="510">
        <f>+I51/I$2/24</f>
        <v>93.756982923497276</v>
      </c>
      <c r="J52" s="1205">
        <v>94.025533703559972</v>
      </c>
      <c r="K52" s="440">
        <f>+K51/K$2/24</f>
        <v>94.86388888888888</v>
      </c>
      <c r="L52" s="520">
        <f>+L51/L$2/24</f>
        <v>98.942198876149391</v>
      </c>
      <c r="M52" s="520">
        <f>+M51/M$2/24</f>
        <v>94.121896978021979</v>
      </c>
      <c r="N52" s="1205">
        <v>105.00242298570333</v>
      </c>
      <c r="O52" s="440">
        <f>+O51/O$2/24</f>
        <v>101.21908602150539</v>
      </c>
      <c r="P52" s="510">
        <f>+P51/P$2/24</f>
        <v>100.48209188759341</v>
      </c>
      <c r="Q52" s="510">
        <f>+Q51/Q$2/24</f>
        <v>95.925281079234978</v>
      </c>
      <c r="R52" s="1205">
        <v>104.86634946381076</v>
      </c>
      <c r="S52" s="440">
        <f>+S51/S$2/24</f>
        <v>104.33333333333333</v>
      </c>
      <c r="T52" s="510">
        <f>+T51/T$2/24</f>
        <v>101.37040551414727</v>
      </c>
      <c r="U52" s="510">
        <f>+U51/U$2/24</f>
        <v>97.628873366013067</v>
      </c>
      <c r="V52" s="1205">
        <v>105.1715307021648</v>
      </c>
      <c r="W52" s="440">
        <f>+W51/W$2/24</f>
        <v>99.7986111111111</v>
      </c>
      <c r="X52" s="520">
        <f>+X51/X$2/24</f>
        <v>105.01171594565089</v>
      </c>
      <c r="Y52" s="520">
        <f>+Y51/Y$2/24</f>
        <v>101.80525362318839</v>
      </c>
      <c r="Z52" s="616">
        <f>+Z51/Z$2/24</f>
        <v>101.99354079087145</v>
      </c>
      <c r="AA52" s="616">
        <f>+AA51/AA$2/24</f>
        <v>97.98456807832423</v>
      </c>
      <c r="AB52" s="1205">
        <v>106.25544072374632</v>
      </c>
      <c r="AC52" s="440">
        <f>+AC51/AC$2/24</f>
        <v>98.21908602150539</v>
      </c>
      <c r="AD52" s="510">
        <f>+AD51/AD$2/24</f>
        <v>102.61091881853089</v>
      </c>
      <c r="AE52" s="510">
        <f>+AE51/AE$2/24</f>
        <v>98.018540303738305</v>
      </c>
      <c r="AF52" s="1205">
        <v>106.50909007450252</v>
      </c>
      <c r="AG52" s="440">
        <f>+AG51/AG$2/24</f>
        <v>96.916666666666671</v>
      </c>
      <c r="AH52" s="510">
        <f>+AH51/AH$2/24</f>
        <v>103.09020216967492</v>
      </c>
      <c r="AI52" s="510">
        <f>+AI51/AI$2/24</f>
        <v>97.883064036885244</v>
      </c>
      <c r="AJ52" s="1205">
        <v>106.60975848204438</v>
      </c>
      <c r="AK52" s="440">
        <f>+AK51/AK$2/24</f>
        <v>97.417995967741945</v>
      </c>
      <c r="AL52" s="520">
        <f>+AL51/AL$2/24</f>
        <v>106.45754214798465</v>
      </c>
      <c r="AM52" s="520">
        <f>+AM51/AM$2/24</f>
        <v>97.524451539855079</v>
      </c>
      <c r="AN52" s="510">
        <f>+AN51/AN$2/24</f>
        <v>103.48695215397841</v>
      </c>
      <c r="AO52" s="510">
        <f>+AO51/AO$2/24</f>
        <v>97.830638181818188</v>
      </c>
      <c r="AP52" s="1205">
        <v>106.77028819994808</v>
      </c>
      <c r="AQ52" s="440">
        <f>+AQ51/AQ$2/24</f>
        <v>95.076616258064504</v>
      </c>
      <c r="AR52" s="510">
        <f>+AR51/AR$2/24</f>
        <v>103.81957770111912</v>
      </c>
      <c r="AS52" s="510">
        <f>+AS51/AS$2/24</f>
        <v>97.551635960784324</v>
      </c>
      <c r="AT52" s="1205">
        <v>106.27169644576007</v>
      </c>
      <c r="AU52" s="440">
        <f>+AU51/AU$2/24</f>
        <v>93.923869252873558</v>
      </c>
      <c r="AV52" s="510">
        <f>+AV51/AV$2/24</f>
        <v>104.03185066707312</v>
      </c>
      <c r="AW52" s="510">
        <f>+AW51/AW$2/24</f>
        <v>97.237590484577126</v>
      </c>
      <c r="AX52" s="1205">
        <v>106.96407624034248</v>
      </c>
      <c r="AY52" s="440">
        <f t="shared" ref="AY52:BE52" si="144">+AY51/AY$2/24</f>
        <v>96.614224516129013</v>
      </c>
      <c r="AZ52" s="520">
        <f t="shared" si="144"/>
        <v>106.67741202830824</v>
      </c>
      <c r="BA52" s="520">
        <f t="shared" si="144"/>
        <v>95.233057937728915</v>
      </c>
      <c r="BB52" s="616">
        <f t="shared" si="144"/>
        <v>106.56687635076851</v>
      </c>
      <c r="BC52" s="616">
        <f t="shared" si="144"/>
        <v>96.385015377049172</v>
      </c>
      <c r="BD52" s="510">
        <f t="shared" si="144"/>
        <v>104.28020857081998</v>
      </c>
      <c r="BE52" s="510">
        <f t="shared" si="144"/>
        <v>97.184791727686715</v>
      </c>
      <c r="BF52" s="26"/>
      <c r="BG52" s="26"/>
      <c r="BH52" s="5726"/>
      <c r="BI52" s="5726"/>
    </row>
    <row r="53" spans="1:61" ht="18.75" x14ac:dyDescent="0.25">
      <c r="B53" s="498" t="s">
        <v>469</v>
      </c>
      <c r="C53" s="159" t="s">
        <v>401</v>
      </c>
      <c r="D53" s="731">
        <f t="shared" ref="D53:K53" si="145">+D49+D51</f>
        <v>111636.99939926792</v>
      </c>
      <c r="E53" s="820">
        <f t="shared" si="145"/>
        <v>108149.79999999999</v>
      </c>
      <c r="F53" s="731">
        <f t="shared" ref="F53:G53" si="146">+F49+F51</f>
        <v>107624.67497597542</v>
      </c>
      <c r="G53" s="820">
        <f t="shared" si="146"/>
        <v>99414.023000000001</v>
      </c>
      <c r="H53" s="731">
        <f t="shared" si="145"/>
        <v>219261.67437524337</v>
      </c>
      <c r="I53" s="731">
        <f t="shared" si="145"/>
        <v>207563.82299999997</v>
      </c>
      <c r="J53" s="731">
        <f t="shared" si="145"/>
        <v>102477.27315545206</v>
      </c>
      <c r="K53" s="820">
        <f t="shared" si="145"/>
        <v>99134</v>
      </c>
      <c r="L53" s="2137">
        <f t="shared" ref="L53:M54" si="147">+L49+L51</f>
        <v>321738.94753069541</v>
      </c>
      <c r="M53" s="2137">
        <f t="shared" si="147"/>
        <v>306697.82299999997</v>
      </c>
      <c r="N53" s="731">
        <f>+N49+N51</f>
        <v>114510.06196062254</v>
      </c>
      <c r="O53" s="820">
        <f t="shared" ref="O53:Q54" si="148">+O49+O51</f>
        <v>112284.3</v>
      </c>
      <c r="P53" s="731">
        <f t="shared" si="148"/>
        <v>436249.00949131796</v>
      </c>
      <c r="Q53" s="731">
        <f t="shared" si="148"/>
        <v>418982.12300000002</v>
      </c>
      <c r="R53" s="731">
        <f t="shared" ref="R53:AA53" si="149">+R49+R51</f>
        <v>114408.82326033447</v>
      </c>
      <c r="S53" s="820">
        <f t="shared" si="149"/>
        <v>113342.9</v>
      </c>
      <c r="T53" s="731">
        <f t="shared" si="149"/>
        <v>550657.83275165246</v>
      </c>
      <c r="U53" s="731">
        <f t="shared" si="149"/>
        <v>532325.02300000004</v>
      </c>
      <c r="V53" s="731">
        <f t="shared" ref="V53:Y53" si="150">+V49+V51</f>
        <v>110966.46506852162</v>
      </c>
      <c r="W53" s="820">
        <f t="shared" si="150"/>
        <v>106767.3</v>
      </c>
      <c r="X53" s="2137">
        <f t="shared" si="150"/>
        <v>339885.35028947867</v>
      </c>
      <c r="Y53" s="2137">
        <f t="shared" si="150"/>
        <v>332394.5</v>
      </c>
      <c r="Z53" s="3736">
        <f t="shared" si="149"/>
        <v>661624.29782017402</v>
      </c>
      <c r="AA53" s="3736">
        <f t="shared" si="149"/>
        <v>639092.32299999997</v>
      </c>
      <c r="AB53" s="731">
        <f t="shared" ref="AB53:AE53" si="151">+AB49+AB51</f>
        <v>115723.60345402281</v>
      </c>
      <c r="AC53" s="820">
        <f t="shared" si="151"/>
        <v>110795.2</v>
      </c>
      <c r="AD53" s="731">
        <f t="shared" si="151"/>
        <v>777347.90127419692</v>
      </c>
      <c r="AE53" s="731">
        <f t="shared" si="151"/>
        <v>749887.52300000004</v>
      </c>
      <c r="AF53" s="731">
        <f t="shared" ref="AF53:AI53" si="152">+AF49+AF51</f>
        <v>112170.61892771588</v>
      </c>
      <c r="AG53" s="820">
        <f t="shared" si="152"/>
        <v>104478.50000000007</v>
      </c>
      <c r="AH53" s="731">
        <f t="shared" si="152"/>
        <v>889518.52020191273</v>
      </c>
      <c r="AI53" s="731">
        <f t="shared" si="152"/>
        <v>854366.02300000004</v>
      </c>
      <c r="AJ53" s="731">
        <f t="shared" ref="AJ53:AS54" si="153">+AJ49+AJ51</f>
        <v>116027.40105138176</v>
      </c>
      <c r="AK53" s="820">
        <f t="shared" si="153"/>
        <v>110456.08899999998</v>
      </c>
      <c r="AL53" s="4368">
        <f t="shared" si="153"/>
        <v>343921.62343312043</v>
      </c>
      <c r="AM53" s="4368">
        <f t="shared" si="153"/>
        <v>325729.78900000005</v>
      </c>
      <c r="AN53" s="731">
        <f t="shared" si="153"/>
        <v>1005545.9212532945</v>
      </c>
      <c r="AO53" s="731">
        <f t="shared" si="153"/>
        <v>964822.1120000002</v>
      </c>
      <c r="AP53" s="731">
        <f t="shared" si="153"/>
        <v>116146.83516150212</v>
      </c>
      <c r="AQ53" s="820">
        <f t="shared" si="153"/>
        <v>109615.50249599999</v>
      </c>
      <c r="AR53" s="731">
        <f t="shared" si="153"/>
        <v>1121692.7564147967</v>
      </c>
      <c r="AS53" s="731">
        <f t="shared" si="153"/>
        <v>1074437.6144960001</v>
      </c>
      <c r="AT53" s="731">
        <f t="shared" ref="AT53:AW53" si="154">+AT49+AT51</f>
        <v>108263.6933188416</v>
      </c>
      <c r="AU53" s="820">
        <f t="shared" si="154"/>
        <v>102225.01300000001</v>
      </c>
      <c r="AV53" s="731">
        <f t="shared" si="154"/>
        <v>1229956.4497336382</v>
      </c>
      <c r="AW53" s="731">
        <f t="shared" si="154"/>
        <v>1176662.6274960001</v>
      </c>
      <c r="AX53" s="731">
        <f t="shared" ref="AX53:BE53" si="155">+AX49+AX51</f>
        <v>116331.19864874074</v>
      </c>
      <c r="AY53" s="820">
        <f t="shared" si="155"/>
        <v>108211.88303999999</v>
      </c>
      <c r="AZ53" s="5218">
        <f t="shared" si="155"/>
        <v>340741.72712908447</v>
      </c>
      <c r="BA53" s="5218">
        <f t="shared" si="155"/>
        <v>320052.39853599994</v>
      </c>
      <c r="BB53" s="3736">
        <f t="shared" si="155"/>
        <v>684663.35056220496</v>
      </c>
      <c r="BC53" s="3736">
        <f t="shared" si="155"/>
        <v>645782.18753600004</v>
      </c>
      <c r="BD53" s="731">
        <f t="shared" si="155"/>
        <v>1346287.648382379</v>
      </c>
      <c r="BE53" s="731">
        <f t="shared" si="155"/>
        <v>1284874.5105360001</v>
      </c>
      <c r="BF53" s="26"/>
      <c r="BG53" s="26"/>
      <c r="BH53" s="5726"/>
      <c r="BI53" s="5726"/>
    </row>
    <row r="54" spans="1:61" ht="19.5" thickBot="1" x14ac:dyDescent="0.3">
      <c r="B54" s="499" t="s">
        <v>470</v>
      </c>
      <c r="C54" s="21" t="s">
        <v>389</v>
      </c>
      <c r="D54" s="865">
        <f>+D50+D52</f>
        <v>155.05138805453879</v>
      </c>
      <c r="E54" s="297">
        <f>+E53/E$2/24</f>
        <v>150.20805555555555</v>
      </c>
      <c r="F54" s="865">
        <f>+F50+F52</f>
        <v>144.65682120426803</v>
      </c>
      <c r="G54" s="297">
        <f>+G53/G$2/24</f>
        <v>133.62099865591398</v>
      </c>
      <c r="H54" s="808">
        <f>+H50+H52</f>
        <v>149.76890326177823</v>
      </c>
      <c r="I54" s="511">
        <f>+I53/I$2/24</f>
        <v>141.77856762295082</v>
      </c>
      <c r="J54" s="865">
        <f>+J50+J52</f>
        <v>142.32954604923899</v>
      </c>
      <c r="K54" s="297">
        <f>+K53/K$2/24</f>
        <v>137.6861111111111</v>
      </c>
      <c r="L54" s="3738">
        <f t="shared" si="147"/>
        <v>147.31636791698509</v>
      </c>
      <c r="M54" s="521">
        <f>+M53/M$2/24</f>
        <v>140.42940613553114</v>
      </c>
      <c r="N54" s="865">
        <f>+N50+N52</f>
        <v>153.91137360298728</v>
      </c>
      <c r="O54" s="297">
        <f>+O53/O$2/24</f>
        <v>150.91975806451612</v>
      </c>
      <c r="P54" s="808">
        <f t="shared" si="148"/>
        <v>148.99214805031352</v>
      </c>
      <c r="Q54" s="511">
        <f>+Q53/Q$2/24</f>
        <v>143.09498736338799</v>
      </c>
      <c r="R54" s="865">
        <f>+R50+R52</f>
        <v>153.77530008109471</v>
      </c>
      <c r="S54" s="297">
        <f>+S53/S$2/24</f>
        <v>152.34260752688172</v>
      </c>
      <c r="T54" s="808">
        <f>+T50+T52</f>
        <v>149.96128342909924</v>
      </c>
      <c r="U54" s="511">
        <f>+U53/U$2/24</f>
        <v>144.96868818082791</v>
      </c>
      <c r="V54" s="865">
        <f>+V50+V52</f>
        <v>154.12009037294669</v>
      </c>
      <c r="W54" s="297">
        <f>+W53/W$2/24</f>
        <v>148.28791666666669</v>
      </c>
      <c r="X54" s="3738">
        <f t="shared" ref="X54" si="156">+X50+X52</f>
        <v>153.93358255864069</v>
      </c>
      <c r="Y54" s="521">
        <f>+Y53/Y$2/24</f>
        <v>150.54098731884059</v>
      </c>
      <c r="Z54" s="3739">
        <f>+Z50+Z52</f>
        <v>150.64305505923818</v>
      </c>
      <c r="AA54" s="617">
        <f>+AA53/AA$2/24</f>
        <v>145.5128239981785</v>
      </c>
      <c r="AB54" s="865">
        <f>+AB50+AB52</f>
        <v>155.54247776078336</v>
      </c>
      <c r="AC54" s="297">
        <f>+AC53/AC$2/24</f>
        <v>148.91827956989246</v>
      </c>
      <c r="AD54" s="808">
        <f>+AD50+AD52</f>
        <v>151.35278451600408</v>
      </c>
      <c r="AE54" s="511">
        <f>+AE53/AE$2/24</f>
        <v>146.00613765576324</v>
      </c>
      <c r="AF54" s="865">
        <f>+AF50+AF52</f>
        <v>155.79252628849429</v>
      </c>
      <c r="AG54" s="297">
        <f>+AG53/AG$2/24</f>
        <v>145.10902777777787</v>
      </c>
      <c r="AH54" s="808">
        <f>+AH50+AH52</f>
        <v>151.89865440606431</v>
      </c>
      <c r="AI54" s="511">
        <f>+AI53/AI$2/24</f>
        <v>145.89583726092897</v>
      </c>
      <c r="AJ54" s="865">
        <f>+AJ50+AJ52</f>
        <v>155.95080786476043</v>
      </c>
      <c r="AK54" s="297">
        <f>+AK53/AK$2/24</f>
        <v>148.46248521505373</v>
      </c>
      <c r="AL54" s="4369">
        <f t="shared" si="153"/>
        <v>155.76160481572487</v>
      </c>
      <c r="AM54" s="521">
        <f>+AM53/AM$2/24</f>
        <v>147.52254936594207</v>
      </c>
      <c r="AN54" s="808">
        <f>+AN50+AN52</f>
        <v>152.35544261413554</v>
      </c>
      <c r="AO54" s="511">
        <f>+AO53/AO$2/24</f>
        <v>146.1851684848485</v>
      </c>
      <c r="AP54" s="865">
        <f>+AP50+AP52</f>
        <v>156.11133758266413</v>
      </c>
      <c r="AQ54" s="297">
        <f>+AQ53/AQ$2/24</f>
        <v>147.33266464516126</v>
      </c>
      <c r="AR54" s="808">
        <f>+AR50+AR52</f>
        <v>152.7359417776139</v>
      </c>
      <c r="AS54" s="511">
        <f>+AS53/AS$2/24</f>
        <v>146.30141809586058</v>
      </c>
      <c r="AT54" s="865">
        <f>+AT50+AT52</f>
        <v>155.55128350408276</v>
      </c>
      <c r="AU54" s="297">
        <f>+AU53/AU$2/24</f>
        <v>146.87501867816093</v>
      </c>
      <c r="AV54" s="5739">
        <f>+AV50+AV52</f>
        <v>152.97965792706944</v>
      </c>
      <c r="AW54" s="5734">
        <f>+AW53/AW$2/24</f>
        <v>146.35107307164182</v>
      </c>
      <c r="AX54" s="1237">
        <f>+AX50+AX52</f>
        <v>156.35913796873754</v>
      </c>
      <c r="AY54" s="4938">
        <f>+AY53/AY$2/24</f>
        <v>145.4460793548387</v>
      </c>
      <c r="AZ54" s="5735">
        <f t="shared" ref="AZ54" si="157">+AZ50+AZ52</f>
        <v>156.01727432650387</v>
      </c>
      <c r="BA54" s="5736">
        <f>+BA53/BA$2/24</f>
        <v>146.54413852380949</v>
      </c>
      <c r="BB54" s="5737">
        <f>+BB50+BB52</f>
        <v>155.88874102053848</v>
      </c>
      <c r="BC54" s="5738">
        <f>+BC53/BC$2/24</f>
        <v>147.03601719854282</v>
      </c>
      <c r="BD54" s="5739">
        <f>+BD50+BD52</f>
        <v>153.26589803988833</v>
      </c>
      <c r="BE54" s="5734">
        <f>+BE53/BE$2/24</f>
        <v>146.27442059836068</v>
      </c>
      <c r="BF54" s="26"/>
      <c r="BG54" s="26"/>
      <c r="BH54" s="5726"/>
      <c r="BI54" s="5726"/>
    </row>
    <row r="55" spans="1:61" ht="15.75" thickBot="1" x14ac:dyDescent="0.3">
      <c r="B55" s="49" t="s">
        <v>411</v>
      </c>
      <c r="C55" s="6"/>
      <c r="D55" s="1207"/>
      <c r="E55" s="821"/>
      <c r="F55" s="1207"/>
      <c r="G55" s="821"/>
      <c r="H55" s="6"/>
      <c r="I55" s="6"/>
      <c r="J55" s="1207"/>
      <c r="K55" s="821"/>
      <c r="L55" s="6"/>
      <c r="M55" s="6"/>
      <c r="N55" s="1207"/>
      <c r="O55" s="2157"/>
      <c r="P55" s="6"/>
      <c r="Q55" s="6"/>
      <c r="R55" s="1207"/>
      <c r="S55" s="821"/>
      <c r="T55" s="6"/>
      <c r="U55" s="6"/>
      <c r="V55" s="1207"/>
      <c r="W55" s="821"/>
      <c r="X55" s="6"/>
      <c r="Y55" s="6"/>
      <c r="Z55" s="3742"/>
      <c r="AA55" s="3742"/>
      <c r="AB55" s="1207"/>
      <c r="AC55" s="821"/>
      <c r="AD55" s="6"/>
      <c r="AE55" s="6"/>
      <c r="AF55" s="1207"/>
      <c r="AG55" s="821"/>
      <c r="AH55" s="6"/>
      <c r="AI55" s="6"/>
      <c r="AJ55" s="1207"/>
      <c r="AK55" s="821"/>
      <c r="AL55" s="6"/>
      <c r="AM55" s="6"/>
      <c r="AN55" s="6"/>
      <c r="AO55" s="6"/>
      <c r="AP55" s="1207"/>
      <c r="AQ55" s="821"/>
      <c r="AR55" s="6"/>
      <c r="AS55" s="6"/>
      <c r="AT55" s="1207"/>
      <c r="AU55" s="821"/>
      <c r="AV55" s="6"/>
      <c r="AW55" s="6"/>
      <c r="AX55" s="1207"/>
      <c r="AY55" s="821"/>
      <c r="AZ55" s="6"/>
      <c r="BA55" s="6"/>
      <c r="BB55" s="3742"/>
      <c r="BC55" s="3742"/>
      <c r="BD55" s="6"/>
      <c r="BE55" s="6"/>
      <c r="BF55" s="26"/>
      <c r="BG55" s="26"/>
      <c r="BH55" s="5726"/>
      <c r="BI55" s="5726"/>
    </row>
    <row r="56" spans="1:61" x14ac:dyDescent="0.25">
      <c r="B56" s="40" t="s">
        <v>65</v>
      </c>
      <c r="C56" s="13" t="s">
        <v>68</v>
      </c>
      <c r="D56" s="189">
        <f>D64*D2*24</f>
        <v>212229.80898181768</v>
      </c>
      <c r="E56" s="18">
        <v>206990.4</v>
      </c>
      <c r="F56" s="189">
        <f>F64*F2*24</f>
        <v>230331.58688469615</v>
      </c>
      <c r="G56" s="18">
        <v>184585.36</v>
      </c>
      <c r="H56" s="88">
        <f>+D56+F56</f>
        <v>442561.39586651383</v>
      </c>
      <c r="I56" s="258">
        <f>+E56+G56</f>
        <v>391575.76</v>
      </c>
      <c r="J56" s="189">
        <f>J64*J2*24</f>
        <v>237653.96460427475</v>
      </c>
      <c r="K56" s="18">
        <v>177220.56</v>
      </c>
      <c r="L56" s="924">
        <f t="shared" ref="L56:L57" si="158">+H56+J56</f>
        <v>680215.36047078855</v>
      </c>
      <c r="M56" s="514">
        <f t="shared" ref="M56:M57" si="159">+I56+K56</f>
        <v>568796.32000000007</v>
      </c>
      <c r="N56" s="189">
        <f>N64*N2*24</f>
        <v>216228.56419300026</v>
      </c>
      <c r="O56" s="217">
        <v>205347.6</v>
      </c>
      <c r="P56" s="88">
        <f>+L56+N56</f>
        <v>896443.92466378887</v>
      </c>
      <c r="Q56" s="258">
        <f>+M56+O56</f>
        <v>774143.92</v>
      </c>
      <c r="R56" s="189">
        <f>R64*R2*24</f>
        <v>214323.14677458012</v>
      </c>
      <c r="S56" s="18">
        <v>199269.6</v>
      </c>
      <c r="T56" s="88">
        <f>+P56+R56</f>
        <v>1110767.0714383689</v>
      </c>
      <c r="U56" s="258">
        <f>+Q56+S56</f>
        <v>973413.52</v>
      </c>
      <c r="V56" s="3404">
        <f>V64*V2*24</f>
        <v>207618.27473134894</v>
      </c>
      <c r="W56" s="18">
        <v>189902.8</v>
      </c>
      <c r="X56" s="3405">
        <f t="shared" ref="X56:Y57" si="160">+N56+R56+V56</f>
        <v>638169.98569892929</v>
      </c>
      <c r="Y56" s="636">
        <f t="shared" si="160"/>
        <v>594520</v>
      </c>
      <c r="Z56" s="860">
        <f>L56+X56</f>
        <v>1318385.3461697178</v>
      </c>
      <c r="AA56" s="550">
        <f>M56+Y56</f>
        <v>1163316.32</v>
      </c>
      <c r="AB56" s="4120">
        <f>AB64*AB2*24</f>
        <v>220544.0259875484</v>
      </c>
      <c r="AC56" s="18">
        <v>206666.4</v>
      </c>
      <c r="AD56" s="4119">
        <f>+Z56+AB56</f>
        <v>1538929.3721572664</v>
      </c>
      <c r="AE56" s="258">
        <f>+AA56+AC56</f>
        <v>1369982.72</v>
      </c>
      <c r="AF56" s="4195">
        <f>AF64*AF2*24</f>
        <v>213180.88763323589</v>
      </c>
      <c r="AG56" s="18">
        <v>196837.2</v>
      </c>
      <c r="AH56" s="4194">
        <f>+AD56+AF56</f>
        <v>1752110.2597905023</v>
      </c>
      <c r="AI56" s="258">
        <f>+AE56+AG56</f>
        <v>1566819.92</v>
      </c>
      <c r="AJ56" s="4354">
        <f>AJ64*AJ2*24</f>
        <v>221112.2100423543</v>
      </c>
      <c r="AK56" s="18">
        <v>215939.5</v>
      </c>
      <c r="AL56" s="4363">
        <f t="shared" ref="AL56:AL57" si="161">+AB56+AF56+AJ56</f>
        <v>654837.1236631386</v>
      </c>
      <c r="AM56" s="636">
        <f t="shared" ref="AM56:AM57" si="162">+AC56+AG56+AK56</f>
        <v>619443.1</v>
      </c>
      <c r="AN56" s="4353">
        <f>+AH56+AJ56</f>
        <v>1973222.4698328567</v>
      </c>
      <c r="AO56" s="258">
        <f>+AI56+AK56</f>
        <v>1782759.42</v>
      </c>
      <c r="AP56" s="4447">
        <f>AP64*AP2*24</f>
        <v>221037.04768126321</v>
      </c>
      <c r="AQ56" s="18">
        <v>217066.8</v>
      </c>
      <c r="AR56" s="4446">
        <f>+AN56+AP56</f>
        <v>2194259.5175141199</v>
      </c>
      <c r="AS56" s="258">
        <f>+AO56+AQ56</f>
        <v>1999826.22</v>
      </c>
      <c r="AT56" s="4672">
        <f>AT64*AT2*24</f>
        <v>206617.9722252214</v>
      </c>
      <c r="AU56" s="18">
        <v>210980.4</v>
      </c>
      <c r="AV56" s="4671">
        <f>+AR56+AT56</f>
        <v>2400877.4897393412</v>
      </c>
      <c r="AW56" s="258">
        <f>+AS56+AU56</f>
        <v>2210806.62</v>
      </c>
      <c r="AX56" s="5207">
        <f>AX64*AX2*24</f>
        <v>221763.27751179421</v>
      </c>
      <c r="AY56" s="18">
        <v>208403.04</v>
      </c>
      <c r="AZ56" s="5208">
        <f t="shared" ref="AZ56:AZ57" si="163">+AP56+AT56+AX56</f>
        <v>649418.29741827887</v>
      </c>
      <c r="BA56" s="636">
        <f t="shared" ref="BA56:BA57" si="164">+AQ56+AU56+AY56</f>
        <v>636450.24</v>
      </c>
      <c r="BB56" s="860">
        <f>AL56+AZ56</f>
        <v>1304255.4210814175</v>
      </c>
      <c r="BC56" s="550">
        <f>AM56+BA56</f>
        <v>1255893.3399999999</v>
      </c>
      <c r="BD56" s="5206">
        <f>+AV56+AX56</f>
        <v>2622640.7672511353</v>
      </c>
      <c r="BE56" s="258">
        <f>+AW56+AY56</f>
        <v>2419209.66</v>
      </c>
      <c r="BF56" s="26"/>
      <c r="BG56" s="26"/>
      <c r="BH56" s="5726"/>
      <c r="BI56" s="5726"/>
    </row>
    <row r="57" spans="1:61" ht="15.75" thickBot="1" x14ac:dyDescent="0.3">
      <c r="B57" s="41" t="s">
        <v>58</v>
      </c>
      <c r="C57" s="14" t="s">
        <v>68</v>
      </c>
      <c r="D57" s="1658">
        <f>D65*D2*24</f>
        <v>43920</v>
      </c>
      <c r="E57" s="18">
        <v>47752.80000000001</v>
      </c>
      <c r="F57" s="1658">
        <f>F65*F2*24</f>
        <v>45384</v>
      </c>
      <c r="G57" s="18">
        <v>42045.919999999998</v>
      </c>
      <c r="H57" s="88">
        <f>+D57+F57</f>
        <v>89304</v>
      </c>
      <c r="I57" s="258">
        <f>+E57+G57</f>
        <v>89798.720000000001</v>
      </c>
      <c r="J57" s="1658">
        <f>J65*J2*24</f>
        <v>43920</v>
      </c>
      <c r="K57" s="18">
        <v>39542.400000000001</v>
      </c>
      <c r="L57" s="924">
        <f t="shared" si="158"/>
        <v>133224</v>
      </c>
      <c r="M57" s="514">
        <f t="shared" si="159"/>
        <v>129341.12</v>
      </c>
      <c r="N57" s="1658">
        <f>N65*N2*24</f>
        <v>45384</v>
      </c>
      <c r="O57" s="217">
        <v>43902.400000000001</v>
      </c>
      <c r="P57" s="88">
        <f>+L57+N57</f>
        <v>178608</v>
      </c>
      <c r="Q57" s="258">
        <f>+M57+O57</f>
        <v>173243.51999999999</v>
      </c>
      <c r="R57" s="1658">
        <f>R65*R2*24</f>
        <v>45384</v>
      </c>
      <c r="S57" s="18">
        <v>44762.720000000001</v>
      </c>
      <c r="T57" s="88">
        <f>+P57+R57</f>
        <v>223992</v>
      </c>
      <c r="U57" s="258">
        <f>+Q57+S57</f>
        <v>218006.24</v>
      </c>
      <c r="V57" s="3409">
        <f>V65*V2*24</f>
        <v>43920</v>
      </c>
      <c r="W57" s="18">
        <v>45778.32</v>
      </c>
      <c r="X57" s="3405">
        <f t="shared" si="160"/>
        <v>134688</v>
      </c>
      <c r="Y57" s="636">
        <f t="shared" si="160"/>
        <v>134443.44</v>
      </c>
      <c r="Z57" s="869">
        <f>L57+X57</f>
        <v>267912</v>
      </c>
      <c r="AA57" s="551">
        <f>M57+Y57</f>
        <v>263784.56</v>
      </c>
      <c r="AB57" s="4128">
        <f>AB65*AB2*24</f>
        <v>45384</v>
      </c>
      <c r="AC57" s="18">
        <v>51076.800000000003</v>
      </c>
      <c r="AD57" s="4119">
        <f>+Z57+AB57</f>
        <v>313296</v>
      </c>
      <c r="AE57" s="258">
        <f>+AA57+AC57</f>
        <v>314861.36</v>
      </c>
      <c r="AF57" s="4200">
        <f>AF65*AF2*24</f>
        <v>43920</v>
      </c>
      <c r="AG57" s="18">
        <v>49291.199999999997</v>
      </c>
      <c r="AH57" s="4194">
        <f>+AD57+AF57</f>
        <v>357216</v>
      </c>
      <c r="AI57" s="258">
        <f>+AE57+AG57</f>
        <v>364152.56</v>
      </c>
      <c r="AJ57" s="4356">
        <f>AJ65*AJ2*24</f>
        <v>45384</v>
      </c>
      <c r="AK57" s="18">
        <v>51846.400000000001</v>
      </c>
      <c r="AL57" s="4363">
        <f t="shared" si="161"/>
        <v>134688</v>
      </c>
      <c r="AM57" s="636">
        <f t="shared" si="162"/>
        <v>152214.39999999999</v>
      </c>
      <c r="AN57" s="4353">
        <f>+AH57+AJ57</f>
        <v>402600</v>
      </c>
      <c r="AO57" s="258">
        <f>+AI57+AK57</f>
        <v>415998.96</v>
      </c>
      <c r="AP57" s="4460">
        <f>AP65*AP2*24</f>
        <v>45384</v>
      </c>
      <c r="AQ57" s="18">
        <v>50603.4</v>
      </c>
      <c r="AR57" s="4446">
        <f>+AN57+AP57</f>
        <v>447984</v>
      </c>
      <c r="AS57" s="258">
        <f>+AO57+AQ57</f>
        <v>466602.36000000004</v>
      </c>
      <c r="AT57" s="4676">
        <f>AT65*AT2*24</f>
        <v>42456</v>
      </c>
      <c r="AU57" s="18">
        <v>43087.199999999997</v>
      </c>
      <c r="AV57" s="4671">
        <f>+AR57+AT57</f>
        <v>490440</v>
      </c>
      <c r="AW57" s="258">
        <f>+AS57+AU57</f>
        <v>509689.56000000006</v>
      </c>
      <c r="AX57" s="5212">
        <f>AX65*AX2*24</f>
        <v>45384</v>
      </c>
      <c r="AY57" s="18">
        <v>51788</v>
      </c>
      <c r="AZ57" s="5208">
        <f t="shared" si="163"/>
        <v>133224</v>
      </c>
      <c r="BA57" s="636">
        <f t="shared" si="164"/>
        <v>145478.6</v>
      </c>
      <c r="BB57" s="869">
        <f>AL57+AZ57</f>
        <v>267912</v>
      </c>
      <c r="BC57" s="551">
        <f>AM57+BA57</f>
        <v>297693</v>
      </c>
      <c r="BD57" s="5206">
        <f>+AV57+AX57</f>
        <v>535824</v>
      </c>
      <c r="BE57" s="258">
        <f>+AW57+AY57</f>
        <v>561477.56000000006</v>
      </c>
      <c r="BF57" s="26"/>
      <c r="BG57" s="26"/>
      <c r="BH57" s="5726"/>
      <c r="BI57" s="5726"/>
    </row>
    <row r="58" spans="1:61" ht="15.75" x14ac:dyDescent="0.25">
      <c r="B58" s="6519" t="s">
        <v>2</v>
      </c>
      <c r="C58" s="51" t="s">
        <v>68</v>
      </c>
      <c r="D58" s="1208">
        <f t="shared" ref="D58:I58" si="165">SUM(D56:D57)</f>
        <v>256149.80898181768</v>
      </c>
      <c r="E58" s="160">
        <f t="shared" si="165"/>
        <v>254743.2</v>
      </c>
      <c r="F58" s="1208">
        <f t="shared" ref="F58:G58" si="166">SUM(F56:F57)</f>
        <v>275715.58688469615</v>
      </c>
      <c r="G58" s="160">
        <f t="shared" si="166"/>
        <v>226631.27999999997</v>
      </c>
      <c r="H58" s="1156">
        <f t="shared" si="165"/>
        <v>531865.39586651383</v>
      </c>
      <c r="I58" s="264">
        <f t="shared" si="165"/>
        <v>481374.48</v>
      </c>
      <c r="J58" s="1208">
        <f t="shared" ref="J58:K58" si="167">SUM(J56:J57)</f>
        <v>281573.96460427472</v>
      </c>
      <c r="K58" s="160">
        <f t="shared" si="167"/>
        <v>216762.96</v>
      </c>
      <c r="L58" s="1209">
        <f t="shared" ref="L58:Q58" si="168">SUM(L56:L57)</f>
        <v>813439.36047078855</v>
      </c>
      <c r="M58" s="285">
        <f t="shared" si="168"/>
        <v>698137.44000000006</v>
      </c>
      <c r="N58" s="1208">
        <f t="shared" si="168"/>
        <v>261612.56419300026</v>
      </c>
      <c r="O58" s="2158">
        <f t="shared" si="168"/>
        <v>249250</v>
      </c>
      <c r="P58" s="1156">
        <f t="shared" si="168"/>
        <v>1075051.9246637889</v>
      </c>
      <c r="Q58" s="264">
        <f t="shared" si="168"/>
        <v>947387.44000000006</v>
      </c>
      <c r="R58" s="1208">
        <f t="shared" ref="R58:U58" si="169">SUM(R56:R57)</f>
        <v>259707.14677458012</v>
      </c>
      <c r="S58" s="160">
        <f t="shared" si="169"/>
        <v>244032.32</v>
      </c>
      <c r="T58" s="1156">
        <f t="shared" si="169"/>
        <v>1334759.0714383689</v>
      </c>
      <c r="U58" s="264">
        <f t="shared" si="169"/>
        <v>1191419.76</v>
      </c>
      <c r="V58" s="1208">
        <f t="shared" ref="V58:Y58" si="170">SUM(V56:V57)</f>
        <v>251538.27473134894</v>
      </c>
      <c r="W58" s="160">
        <f t="shared" si="170"/>
        <v>235681.12</v>
      </c>
      <c r="X58" s="1209">
        <f t="shared" si="170"/>
        <v>772857.98569892929</v>
      </c>
      <c r="Y58" s="285">
        <f t="shared" si="170"/>
        <v>728963.44</v>
      </c>
      <c r="Z58" s="3740">
        <f t="shared" ref="Z58:AE58" si="171">SUM(Z56:Z57)</f>
        <v>1586297.3461697178</v>
      </c>
      <c r="AA58" s="3741">
        <f t="shared" si="171"/>
        <v>1427100.8800000001</v>
      </c>
      <c r="AB58" s="1208">
        <f t="shared" si="171"/>
        <v>265928.0259875484</v>
      </c>
      <c r="AC58" s="160">
        <f t="shared" si="171"/>
        <v>257743.2</v>
      </c>
      <c r="AD58" s="1156">
        <f t="shared" si="171"/>
        <v>1852225.3721572664</v>
      </c>
      <c r="AE58" s="264">
        <f t="shared" si="171"/>
        <v>1684844.08</v>
      </c>
      <c r="AF58" s="1208">
        <f t="shared" ref="AF58:AI58" si="172">SUM(AF56:AF57)</f>
        <v>257100.88763323589</v>
      </c>
      <c r="AG58" s="160">
        <f t="shared" si="172"/>
        <v>246128.40000000002</v>
      </c>
      <c r="AH58" s="1156">
        <f t="shared" si="172"/>
        <v>2109326.2597905025</v>
      </c>
      <c r="AI58" s="264">
        <f t="shared" si="172"/>
        <v>1930972.48</v>
      </c>
      <c r="AJ58" s="1208">
        <f t="shared" ref="AJ58:AS58" si="173">SUM(AJ56:AJ57)</f>
        <v>266496.2100423543</v>
      </c>
      <c r="AK58" s="160">
        <f t="shared" si="173"/>
        <v>267785.90000000002</v>
      </c>
      <c r="AL58" s="1209">
        <f t="shared" si="173"/>
        <v>789525.1236631386</v>
      </c>
      <c r="AM58" s="285">
        <f t="shared" si="173"/>
        <v>771657.5</v>
      </c>
      <c r="AN58" s="1156">
        <f t="shared" si="173"/>
        <v>2375822.4698328567</v>
      </c>
      <c r="AO58" s="264">
        <f t="shared" si="173"/>
        <v>2198758.38</v>
      </c>
      <c r="AP58" s="1208">
        <f t="shared" si="173"/>
        <v>266421.04768126318</v>
      </c>
      <c r="AQ58" s="160">
        <f t="shared" si="173"/>
        <v>267670.2</v>
      </c>
      <c r="AR58" s="1156">
        <f t="shared" si="173"/>
        <v>2642243.5175141199</v>
      </c>
      <c r="AS58" s="264">
        <f t="shared" si="173"/>
        <v>2466428.58</v>
      </c>
      <c r="AT58" s="1208">
        <f t="shared" ref="AT58:AW58" si="174">SUM(AT56:AT57)</f>
        <v>249073.9722252214</v>
      </c>
      <c r="AU58" s="160">
        <f t="shared" si="174"/>
        <v>254067.59999999998</v>
      </c>
      <c r="AV58" s="1156">
        <f t="shared" si="174"/>
        <v>2891317.4897393412</v>
      </c>
      <c r="AW58" s="264">
        <f t="shared" si="174"/>
        <v>2720496.18</v>
      </c>
      <c r="AX58" s="1208">
        <f t="shared" ref="AX58:BE58" si="175">SUM(AX56:AX57)</f>
        <v>267147.27751179424</v>
      </c>
      <c r="AY58" s="160">
        <f t="shared" si="175"/>
        <v>260191.04</v>
      </c>
      <c r="AZ58" s="1209">
        <f t="shared" si="175"/>
        <v>782642.29741827887</v>
      </c>
      <c r="BA58" s="285">
        <f t="shared" si="175"/>
        <v>781928.84</v>
      </c>
      <c r="BB58" s="3740">
        <f t="shared" si="175"/>
        <v>1572167.4210814175</v>
      </c>
      <c r="BC58" s="3741">
        <f t="shared" si="175"/>
        <v>1553586.3399999999</v>
      </c>
      <c r="BD58" s="1156">
        <f t="shared" si="175"/>
        <v>3158464.7672511353</v>
      </c>
      <c r="BE58" s="264">
        <f t="shared" si="175"/>
        <v>2980687.22</v>
      </c>
      <c r="BF58" s="26"/>
      <c r="BG58" s="26"/>
      <c r="BH58" s="5726"/>
      <c r="BI58" s="5726"/>
    </row>
    <row r="59" spans="1:61" ht="16.5" thickBot="1" x14ac:dyDescent="0.3">
      <c r="B59" s="6520"/>
      <c r="C59" s="50" t="s">
        <v>468</v>
      </c>
      <c r="D59" s="1211">
        <f t="shared" ref="D59:K59" si="176">+D58/(D2*24)</f>
        <v>355.76362358585789</v>
      </c>
      <c r="E59" s="822">
        <f t="shared" si="176"/>
        <v>353.81</v>
      </c>
      <c r="F59" s="1211">
        <f t="shared" ref="F59:G59" si="177">+F58/(F2*24)</f>
        <v>370.58546624287118</v>
      </c>
      <c r="G59" s="822">
        <f t="shared" si="177"/>
        <v>304.61193548387092</v>
      </c>
      <c r="H59" s="1210">
        <f t="shared" si="176"/>
        <v>363.29603542794661</v>
      </c>
      <c r="I59" s="265">
        <f t="shared" si="176"/>
        <v>328.80770491803275</v>
      </c>
      <c r="J59" s="1211">
        <f t="shared" si="176"/>
        <v>391.07495083927046</v>
      </c>
      <c r="K59" s="822">
        <f t="shared" si="176"/>
        <v>301.05966666666666</v>
      </c>
      <c r="L59" s="1212">
        <f t="shared" ref="L59:Q59" si="178">+L58/(L2*24)</f>
        <v>372.45391962948196</v>
      </c>
      <c r="M59" s="286">
        <f t="shared" si="178"/>
        <v>319.66000000000003</v>
      </c>
      <c r="N59" s="1211">
        <f t="shared" si="178"/>
        <v>351.6297905819896</v>
      </c>
      <c r="O59" s="1835">
        <f t="shared" si="178"/>
        <v>335.01344086021504</v>
      </c>
      <c r="P59" s="1210">
        <f t="shared" si="178"/>
        <v>367.16254257643061</v>
      </c>
      <c r="Q59" s="265">
        <f t="shared" si="178"/>
        <v>323.56128415300549</v>
      </c>
      <c r="R59" s="1211">
        <f t="shared" ref="R59:U59" si="179">+R58/(R2*24)</f>
        <v>349.06874566475824</v>
      </c>
      <c r="S59" s="822">
        <f t="shared" si="179"/>
        <v>328.00043010752688</v>
      </c>
      <c r="T59" s="1210">
        <f t="shared" si="179"/>
        <v>363.49647914988259</v>
      </c>
      <c r="U59" s="265">
        <f t="shared" si="179"/>
        <v>324.46071895424836</v>
      </c>
      <c r="V59" s="1211">
        <f t="shared" ref="V59:Y59" si="180">+V58/(V2*24)</f>
        <v>349.35871490465132</v>
      </c>
      <c r="W59" s="822">
        <f t="shared" si="180"/>
        <v>327.33488888888888</v>
      </c>
      <c r="X59" s="1212">
        <f t="shared" si="180"/>
        <v>350.02626163900783</v>
      </c>
      <c r="Y59" s="286">
        <f t="shared" si="180"/>
        <v>330.14648550724633</v>
      </c>
      <c r="Z59" s="1213">
        <f t="shared" ref="Z59:AE59" si="181">+Z58/(Z2*24)</f>
        <v>361.17881288017253</v>
      </c>
      <c r="AA59" s="618">
        <f t="shared" si="181"/>
        <v>324.93189435336978</v>
      </c>
      <c r="AB59" s="1211">
        <f t="shared" si="181"/>
        <v>357.43014245638227</v>
      </c>
      <c r="AC59" s="822">
        <f t="shared" si="181"/>
        <v>346.42903225806452</v>
      </c>
      <c r="AD59" s="1210">
        <f t="shared" si="181"/>
        <v>360.63578118326836</v>
      </c>
      <c r="AE59" s="265">
        <f t="shared" si="181"/>
        <v>328.04596573208727</v>
      </c>
      <c r="AF59" s="1211">
        <f t="shared" ref="AF59:AI59" si="182">+AF58/(AF2*24)</f>
        <v>357.08456615727209</v>
      </c>
      <c r="AG59" s="822">
        <f t="shared" si="182"/>
        <v>341.84500000000003</v>
      </c>
      <c r="AH59" s="1210">
        <f t="shared" si="182"/>
        <v>360.1991563849902</v>
      </c>
      <c r="AI59" s="265">
        <f t="shared" si="182"/>
        <v>329.74256830601092</v>
      </c>
      <c r="AJ59" s="1211">
        <f t="shared" ref="AJ59:AS59" si="183">+AJ58/(AJ2*24)</f>
        <v>358.19383070208909</v>
      </c>
      <c r="AK59" s="822">
        <f t="shared" si="183"/>
        <v>359.92728494623657</v>
      </c>
      <c r="AL59" s="1212">
        <f t="shared" si="183"/>
        <v>357.57478426772582</v>
      </c>
      <c r="AM59" s="286">
        <f t="shared" si="183"/>
        <v>349.48256340579712</v>
      </c>
      <c r="AN59" s="1210">
        <f t="shared" si="183"/>
        <v>359.97310148982677</v>
      </c>
      <c r="AO59" s="265">
        <f t="shared" si="183"/>
        <v>333.14520909090908</v>
      </c>
      <c r="AP59" s="1211">
        <f t="shared" si="183"/>
        <v>358.0928060232032</v>
      </c>
      <c r="AQ59" s="822">
        <f t="shared" si="183"/>
        <v>359.77177419354842</v>
      </c>
      <c r="AR59" s="1210">
        <f t="shared" si="183"/>
        <v>359.78261404059367</v>
      </c>
      <c r="AS59" s="265">
        <f t="shared" si="183"/>
        <v>335.84267156862745</v>
      </c>
      <c r="AT59" s="1211">
        <f t="shared" ref="AT59:AW59" si="184">+AT58/(AT2*24)</f>
        <v>357.86490262244456</v>
      </c>
      <c r="AU59" s="822">
        <f t="shared" si="184"/>
        <v>365.03965517241375</v>
      </c>
      <c r="AV59" s="1210">
        <f t="shared" si="184"/>
        <v>359.61660320141061</v>
      </c>
      <c r="AW59" s="265">
        <f t="shared" si="184"/>
        <v>338.37017164179105</v>
      </c>
      <c r="AX59" s="1211">
        <f t="shared" ref="AX59:BE59" si="185">+AX58/(AX2*24)</f>
        <v>359.06892138682019</v>
      </c>
      <c r="AY59" s="822">
        <f t="shared" si="185"/>
        <v>349.71913978494626</v>
      </c>
      <c r="AZ59" s="1212">
        <f t="shared" si="185"/>
        <v>358.35270028309475</v>
      </c>
      <c r="BA59" s="286">
        <f t="shared" si="185"/>
        <v>358.02602564102563</v>
      </c>
      <c r="BB59" s="1213">
        <f t="shared" si="185"/>
        <v>357.96161682181639</v>
      </c>
      <c r="BC59" s="618">
        <f t="shared" si="185"/>
        <v>353.73095173041889</v>
      </c>
      <c r="BD59" s="1210">
        <f t="shared" si="185"/>
        <v>359.57021485099443</v>
      </c>
      <c r="BE59" s="265">
        <f t="shared" si="185"/>
        <v>339.33142304189437</v>
      </c>
      <c r="BF59" s="26"/>
      <c r="BG59" s="26"/>
      <c r="BH59" s="5726"/>
      <c r="BI59" s="5726"/>
    </row>
    <row r="60" spans="1:61" ht="16.5" thickBot="1" x14ac:dyDescent="0.3">
      <c r="B60" s="42" t="s">
        <v>66</v>
      </c>
      <c r="C60" s="15" t="s">
        <v>68</v>
      </c>
      <c r="D60" s="547">
        <f>+D67*D2*24</f>
        <v>0</v>
      </c>
      <c r="E60" s="31">
        <v>7213.2799999999988</v>
      </c>
      <c r="F60" s="547">
        <f>+F67*F2*24</f>
        <v>0</v>
      </c>
      <c r="G60" s="31">
        <v>6885.1999999999534</v>
      </c>
      <c r="H60" s="54">
        <f>+D60+F60</f>
        <v>0</v>
      </c>
      <c r="I60" s="259">
        <f>+E60+G60</f>
        <v>14098.479999999952</v>
      </c>
      <c r="J60" s="547">
        <f>+J67*J2*24</f>
        <v>0</v>
      </c>
      <c r="K60" s="31">
        <v>3407.8399999999965</v>
      </c>
      <c r="L60" s="428">
        <f>+H60+J60</f>
        <v>0</v>
      </c>
      <c r="M60" s="152">
        <f t="shared" ref="M60" si="186">+I60+K60</f>
        <v>17506.319999999949</v>
      </c>
      <c r="N60" s="547">
        <f>+N67*N2*24</f>
        <v>0</v>
      </c>
      <c r="O60" s="478">
        <v>5084.6000000000004</v>
      </c>
      <c r="P60" s="54">
        <f>+L60+N60</f>
        <v>0</v>
      </c>
      <c r="Q60" s="259">
        <f>+M60+O60</f>
        <v>22590.919999999947</v>
      </c>
      <c r="R60" s="547">
        <f>+R67*R2*24</f>
        <v>0</v>
      </c>
      <c r="S60" s="31">
        <v>4147.7600000000093</v>
      </c>
      <c r="T60" s="54">
        <f>+P60+R60</f>
        <v>0</v>
      </c>
      <c r="U60" s="259">
        <f>+Q60+S60</f>
        <v>26738.679999999957</v>
      </c>
      <c r="V60" s="547">
        <f>+V67*V2*24</f>
        <v>0</v>
      </c>
      <c r="W60" s="31">
        <v>4897.2799999999697</v>
      </c>
      <c r="X60" s="428">
        <f t="shared" ref="X60:Y60" si="187">+N60+R60+V60</f>
        <v>0</v>
      </c>
      <c r="Y60" s="152">
        <f t="shared" si="187"/>
        <v>14129.639999999979</v>
      </c>
      <c r="Z60" s="555">
        <f>L60+X60</f>
        <v>0</v>
      </c>
      <c r="AA60" s="602">
        <f>M60+Y60</f>
        <v>31635.959999999926</v>
      </c>
      <c r="AB60" s="547">
        <f>+AB67*AB2*24</f>
        <v>0</v>
      </c>
      <c r="AC60" s="31">
        <v>11630</v>
      </c>
      <c r="AD60" s="54">
        <f>+Z60+AB60</f>
        <v>0</v>
      </c>
      <c r="AE60" s="259">
        <f>+AA60+AC60</f>
        <v>43265.959999999926</v>
      </c>
      <c r="AF60" s="547">
        <f>+AF67*AF2*24</f>
        <v>0</v>
      </c>
      <c r="AG60" s="31">
        <v>11068.5</v>
      </c>
      <c r="AH60" s="54">
        <f>+AD60+AF60</f>
        <v>0</v>
      </c>
      <c r="AI60" s="259">
        <f>+AE60+AG60</f>
        <v>54334.459999999926</v>
      </c>
      <c r="AJ60" s="547">
        <f>+AJ67*AJ2*24</f>
        <v>0</v>
      </c>
      <c r="AK60" s="31">
        <v>11170.5</v>
      </c>
      <c r="AL60" s="428">
        <f t="shared" ref="AL60" si="188">+AB60+AF60+AJ60</f>
        <v>0</v>
      </c>
      <c r="AM60" s="152">
        <f t="shared" ref="AM60" si="189">+AC60+AG60+AK60</f>
        <v>33869</v>
      </c>
      <c r="AN60" s="54">
        <f>+AH60+AJ60</f>
        <v>0</v>
      </c>
      <c r="AO60" s="259">
        <f>+AI60+AK60</f>
        <v>65504.959999999926</v>
      </c>
      <c r="AP60" s="547">
        <f>+AP67*AP2*24</f>
        <v>0</v>
      </c>
      <c r="AQ60" s="31">
        <v>10514.2</v>
      </c>
      <c r="AR60" s="54">
        <f>+AN60+AP60</f>
        <v>0</v>
      </c>
      <c r="AS60" s="259">
        <f>+AO60+AQ60</f>
        <v>76019.159999999931</v>
      </c>
      <c r="AT60" s="547">
        <f>+AT67*AT2*24</f>
        <v>0</v>
      </c>
      <c r="AU60" s="31">
        <v>8438.2000000000007</v>
      </c>
      <c r="AV60" s="54">
        <f>+AR60+AT60</f>
        <v>0</v>
      </c>
      <c r="AW60" s="259">
        <f>+AS60+AU60</f>
        <v>84457.359999999928</v>
      </c>
      <c r="AX60" s="547">
        <f>+AX67*AX2*24</f>
        <v>0</v>
      </c>
      <c r="AY60" s="31">
        <v>9660.1600000000035</v>
      </c>
      <c r="AZ60" s="428">
        <f t="shared" ref="AZ60" si="190">+AP60+AT60+AX60</f>
        <v>0</v>
      </c>
      <c r="BA60" s="152">
        <f t="shared" ref="BA60" si="191">+AQ60+AU60+AY60</f>
        <v>28612.560000000005</v>
      </c>
      <c r="BB60" s="555">
        <f>AN60+AZ60</f>
        <v>0</v>
      </c>
      <c r="BC60" s="602">
        <f>AM60+BA60</f>
        <v>62481.560000000005</v>
      </c>
      <c r="BD60" s="54">
        <f>+AV60+AX60</f>
        <v>0</v>
      </c>
      <c r="BE60" s="259">
        <f>+AW60+AY60</f>
        <v>94117.519999999931</v>
      </c>
      <c r="BF60" s="26"/>
      <c r="BG60" s="26"/>
      <c r="BH60" s="5726"/>
      <c r="BI60" s="5726"/>
    </row>
    <row r="61" spans="1:61" ht="19.5" thickBot="1" x14ac:dyDescent="0.3">
      <c r="B61" s="43" t="s">
        <v>67</v>
      </c>
      <c r="C61" s="964" t="s">
        <v>68</v>
      </c>
      <c r="D61" s="892">
        <f t="shared" ref="D61:K61" si="192">+D58-D60</f>
        <v>256149.80898181768</v>
      </c>
      <c r="E61" s="823">
        <f t="shared" si="192"/>
        <v>247529.92</v>
      </c>
      <c r="F61" s="892">
        <f t="shared" ref="F61:G61" si="193">+F58-F60</f>
        <v>275715.58688469615</v>
      </c>
      <c r="G61" s="823">
        <f t="shared" si="193"/>
        <v>219746.08000000002</v>
      </c>
      <c r="H61" s="1214">
        <f t="shared" si="192"/>
        <v>531865.39586651383</v>
      </c>
      <c r="I61" s="67">
        <f t="shared" si="192"/>
        <v>467276</v>
      </c>
      <c r="J61" s="892">
        <f t="shared" si="192"/>
        <v>281573.96460427472</v>
      </c>
      <c r="K61" s="823">
        <f t="shared" si="192"/>
        <v>213355.12</v>
      </c>
      <c r="L61" s="104">
        <f t="shared" ref="L61:Q61" si="194">+L58-L60</f>
        <v>813439.36047078855</v>
      </c>
      <c r="M61" s="105">
        <f t="shared" si="194"/>
        <v>680631.12000000011</v>
      </c>
      <c r="N61" s="892">
        <f t="shared" si="194"/>
        <v>261612.56419300026</v>
      </c>
      <c r="O61" s="2159">
        <f t="shared" si="194"/>
        <v>244165.4</v>
      </c>
      <c r="P61" s="1214">
        <f t="shared" si="194"/>
        <v>1075051.9246637889</v>
      </c>
      <c r="Q61" s="67">
        <f t="shared" si="194"/>
        <v>924796.52000000014</v>
      </c>
      <c r="R61" s="892">
        <f t="shared" ref="R61:U61" si="195">+R58-R60</f>
        <v>259707.14677458012</v>
      </c>
      <c r="S61" s="823">
        <f t="shared" si="195"/>
        <v>239884.56</v>
      </c>
      <c r="T61" s="1214">
        <f t="shared" si="195"/>
        <v>1334759.0714383689</v>
      </c>
      <c r="U61" s="67">
        <f t="shared" si="195"/>
        <v>1164681.08</v>
      </c>
      <c r="V61" s="892">
        <f t="shared" ref="V61:Y61" si="196">+V58-V60</f>
        <v>251538.27473134894</v>
      </c>
      <c r="W61" s="823">
        <f t="shared" si="196"/>
        <v>230783.84000000003</v>
      </c>
      <c r="X61" s="104">
        <f t="shared" si="196"/>
        <v>772857.98569892929</v>
      </c>
      <c r="Y61" s="105">
        <f t="shared" si="196"/>
        <v>714833.79999999993</v>
      </c>
      <c r="Z61" s="1215">
        <f t="shared" ref="Z61:AE61" si="197">+Z58-Z60</f>
        <v>1586297.3461697178</v>
      </c>
      <c r="AA61" s="619">
        <f t="shared" si="197"/>
        <v>1395464.9200000002</v>
      </c>
      <c r="AB61" s="892">
        <f t="shared" si="197"/>
        <v>265928.0259875484</v>
      </c>
      <c r="AC61" s="823">
        <f t="shared" si="197"/>
        <v>246113.2</v>
      </c>
      <c r="AD61" s="4130">
        <f t="shared" si="197"/>
        <v>1852225.3721572664</v>
      </c>
      <c r="AE61" s="67">
        <f t="shared" si="197"/>
        <v>1641578.12</v>
      </c>
      <c r="AF61" s="892">
        <f t="shared" ref="AF61:AI61" si="198">+AF58-AF60</f>
        <v>257100.88763323589</v>
      </c>
      <c r="AG61" s="823">
        <f t="shared" si="198"/>
        <v>235059.90000000002</v>
      </c>
      <c r="AH61" s="4203">
        <f t="shared" si="198"/>
        <v>2109326.2597905025</v>
      </c>
      <c r="AI61" s="67">
        <f t="shared" si="198"/>
        <v>1876638.02</v>
      </c>
      <c r="AJ61" s="892">
        <f t="shared" ref="AJ61:AS61" si="199">+AJ58-AJ60</f>
        <v>266496.2100423543</v>
      </c>
      <c r="AK61" s="823">
        <f t="shared" si="199"/>
        <v>256615.40000000002</v>
      </c>
      <c r="AL61" s="104">
        <f t="shared" si="199"/>
        <v>789525.1236631386</v>
      </c>
      <c r="AM61" s="105">
        <f t="shared" si="199"/>
        <v>737788.5</v>
      </c>
      <c r="AN61" s="4357">
        <f t="shared" si="199"/>
        <v>2375822.4698328567</v>
      </c>
      <c r="AO61" s="67">
        <f t="shared" si="199"/>
        <v>2133253.42</v>
      </c>
      <c r="AP61" s="892">
        <f t="shared" si="199"/>
        <v>266421.04768126318</v>
      </c>
      <c r="AQ61" s="823">
        <f t="shared" si="199"/>
        <v>257156</v>
      </c>
      <c r="AR61" s="4464">
        <f t="shared" si="199"/>
        <v>2642243.5175141199</v>
      </c>
      <c r="AS61" s="67">
        <f t="shared" si="199"/>
        <v>2390409.42</v>
      </c>
      <c r="AT61" s="892">
        <f t="shared" ref="AT61:AW61" si="200">+AT58-AT60</f>
        <v>249073.9722252214</v>
      </c>
      <c r="AU61" s="823">
        <f t="shared" si="200"/>
        <v>245629.39999999997</v>
      </c>
      <c r="AV61" s="4678">
        <f t="shared" si="200"/>
        <v>2891317.4897393412</v>
      </c>
      <c r="AW61" s="67">
        <f t="shared" si="200"/>
        <v>2636038.8200000003</v>
      </c>
      <c r="AX61" s="892">
        <f t="shared" ref="AX61:BE61" si="201">+AX58-AX60</f>
        <v>267147.27751179424</v>
      </c>
      <c r="AY61" s="823">
        <f t="shared" si="201"/>
        <v>250530.88</v>
      </c>
      <c r="AZ61" s="104">
        <f t="shared" si="201"/>
        <v>782642.29741827887</v>
      </c>
      <c r="BA61" s="105">
        <f t="shared" si="201"/>
        <v>753316.27999999991</v>
      </c>
      <c r="BB61" s="1215">
        <f t="shared" si="201"/>
        <v>1572167.4210814175</v>
      </c>
      <c r="BC61" s="619">
        <f t="shared" si="201"/>
        <v>1491104.7799999998</v>
      </c>
      <c r="BD61" s="5214">
        <f t="shared" si="201"/>
        <v>3158464.7672511353</v>
      </c>
      <c r="BE61" s="67">
        <f t="shared" si="201"/>
        <v>2886569.7</v>
      </c>
      <c r="BF61" s="26"/>
      <c r="BG61" s="26"/>
      <c r="BH61" s="5726"/>
      <c r="BI61" s="5726"/>
    </row>
    <row r="62" spans="1:61" ht="20.25" x14ac:dyDescent="0.25">
      <c r="A62" s="2059"/>
      <c r="B62" s="73" t="s">
        <v>488</v>
      </c>
      <c r="C62" s="68"/>
      <c r="D62" s="1216"/>
      <c r="E62" s="824"/>
      <c r="F62" s="1216"/>
      <c r="G62" s="824"/>
      <c r="H62" s="68"/>
      <c r="I62" s="68"/>
      <c r="J62" s="1216"/>
      <c r="K62" s="824"/>
      <c r="L62" s="68"/>
      <c r="M62" s="68"/>
      <c r="N62" s="2000"/>
      <c r="O62" s="2160"/>
      <c r="P62" s="68"/>
      <c r="Q62" s="68"/>
      <c r="R62" s="2000"/>
      <c r="S62" s="824"/>
      <c r="T62" s="68"/>
      <c r="U62" s="68"/>
      <c r="V62" s="2000"/>
      <c r="W62" s="824"/>
      <c r="X62" s="68"/>
      <c r="Y62" s="68"/>
      <c r="Z62" s="68"/>
      <c r="AA62" s="68"/>
      <c r="AB62" s="2000"/>
      <c r="AC62" s="824"/>
      <c r="AD62" s="68"/>
      <c r="AE62" s="68"/>
      <c r="AF62" s="2000"/>
      <c r="AG62" s="824"/>
      <c r="AH62" s="68"/>
      <c r="AI62" s="68"/>
      <c r="AJ62" s="2000"/>
      <c r="AK62" s="824"/>
      <c r="AL62" s="68"/>
      <c r="AM62" s="68"/>
      <c r="AN62" s="68"/>
      <c r="AO62" s="68"/>
      <c r="AP62" s="2000"/>
      <c r="AQ62" s="824"/>
      <c r="AR62" s="68"/>
      <c r="AS62" s="68"/>
      <c r="AT62" s="2000"/>
      <c r="AU62" s="824"/>
      <c r="AV62" s="68"/>
      <c r="AW62" s="68"/>
      <c r="AX62" s="2000"/>
      <c r="AY62" s="824"/>
      <c r="AZ62" s="68"/>
      <c r="BA62" s="68"/>
      <c r="BB62" s="68"/>
      <c r="BC62" s="68"/>
      <c r="BD62" s="68"/>
      <c r="BE62" s="68"/>
      <c r="BF62" s="26"/>
      <c r="BG62" s="26"/>
      <c r="BH62" s="5726"/>
      <c r="BI62" s="5726"/>
    </row>
    <row r="63" spans="1:61" ht="15.75" customHeight="1" x14ac:dyDescent="0.25">
      <c r="A63" s="2059"/>
      <c r="B63" s="74" t="s">
        <v>383</v>
      </c>
      <c r="C63" s="60"/>
      <c r="D63" s="1217"/>
      <c r="E63" s="825"/>
      <c r="F63" s="1217"/>
      <c r="G63" s="825"/>
      <c r="H63" s="60"/>
      <c r="I63" s="60"/>
      <c r="J63" s="1217"/>
      <c r="K63" s="825"/>
      <c r="L63" s="60"/>
      <c r="M63" s="60"/>
      <c r="N63" s="954"/>
      <c r="O63" s="1668"/>
      <c r="P63" s="60"/>
      <c r="Q63" s="60"/>
      <c r="R63" s="954"/>
      <c r="S63" s="825"/>
      <c r="T63" s="60"/>
      <c r="U63" s="60"/>
      <c r="V63" s="954"/>
      <c r="W63" s="825"/>
      <c r="X63" s="60"/>
      <c r="Y63" s="60"/>
      <c r="Z63" s="60"/>
      <c r="AA63" s="60"/>
      <c r="AB63" s="954"/>
      <c r="AC63" s="825"/>
      <c r="AD63" s="60"/>
      <c r="AE63" s="60"/>
      <c r="AF63" s="954"/>
      <c r="AG63" s="825"/>
      <c r="AH63" s="60"/>
      <c r="AI63" s="60"/>
      <c r="AJ63" s="954"/>
      <c r="AK63" s="825"/>
      <c r="AL63" s="60"/>
      <c r="AM63" s="60"/>
      <c r="AN63" s="60"/>
      <c r="AO63" s="60"/>
      <c r="AP63" s="954"/>
      <c r="AQ63" s="825"/>
      <c r="AR63" s="60"/>
      <c r="AS63" s="60"/>
      <c r="AT63" s="954"/>
      <c r="AU63" s="825"/>
      <c r="AV63" s="60"/>
      <c r="AW63" s="60"/>
      <c r="AX63" s="954"/>
      <c r="AY63" s="825"/>
      <c r="AZ63" s="60"/>
      <c r="BA63" s="60"/>
      <c r="BB63" s="60"/>
      <c r="BC63" s="60"/>
      <c r="BD63" s="60"/>
      <c r="BE63" s="60"/>
      <c r="BF63" s="26"/>
      <c r="BG63" s="26"/>
      <c r="BH63" s="5726"/>
      <c r="BI63" s="5726"/>
    </row>
    <row r="64" spans="1:61" ht="15.75" x14ac:dyDescent="0.25">
      <c r="A64" s="2059"/>
      <c r="B64" s="75" t="s">
        <v>479</v>
      </c>
      <c r="C64" s="62" t="s">
        <v>489</v>
      </c>
      <c r="D64" s="189">
        <v>294.76362358585789</v>
      </c>
      <c r="E64" s="18">
        <v>287.48666666666668</v>
      </c>
      <c r="F64" s="189">
        <v>309.58546624287118</v>
      </c>
      <c r="G64" s="18">
        <v>248.0986021505376</v>
      </c>
      <c r="H64" s="331">
        <f>+((D64*D$2)+(F$2*F64))/H$2</f>
        <v>302.29603542794661</v>
      </c>
      <c r="I64" s="331">
        <f>+((E64*E$2)+(G$2*G64))/I$2</f>
        <v>267.469781420765</v>
      </c>
      <c r="J64" s="189">
        <v>330.07495083927046</v>
      </c>
      <c r="K64" s="18">
        <v>246.13966666666667</v>
      </c>
      <c r="L64" s="427">
        <f>+((D$2*D64)+(F$2*F64)+(J$2*J64))/L$2</f>
        <v>311.45391962948196</v>
      </c>
      <c r="M64" s="427">
        <f>+((E$2*E64)+(G$2*G64)+(K$2*K64))/M$2</f>
        <v>260.43787545787541</v>
      </c>
      <c r="N64" s="189">
        <v>290.6297905819896</v>
      </c>
      <c r="O64" s="217">
        <v>276.00483870967741</v>
      </c>
      <c r="P64" s="331">
        <f>+((L64*L$2)+(N$2*N64))/P$2</f>
        <v>306.16254257643067</v>
      </c>
      <c r="Q64" s="331">
        <f>+((M64*M$2)+(O$2*O64))/Q$2</f>
        <v>264.39341530054639</v>
      </c>
      <c r="R64" s="189">
        <v>288.06874566475818</v>
      </c>
      <c r="S64" s="18">
        <v>267.83548387096778</v>
      </c>
      <c r="T64" s="331">
        <f>+((P64*P$2)+(R$2*R64))/T$2</f>
        <v>302.49647914988265</v>
      </c>
      <c r="U64" s="331">
        <f>+((Q64*Q$2)+(S$2*S64))/U$2</f>
        <v>265.0908278867102</v>
      </c>
      <c r="V64" s="3404">
        <v>288.35871490465132</v>
      </c>
      <c r="W64" s="18">
        <v>263.75388888888887</v>
      </c>
      <c r="X64" s="427">
        <f>+((N64*N$2)+(R64*R$2)+(V$2*V64))/X$2</f>
        <v>289.02626163900783</v>
      </c>
      <c r="Y64" s="427">
        <f>+((O64*O$2)+(S64*S$2)+(W$2*W64))/Y$2</f>
        <v>269.25724637681162</v>
      </c>
      <c r="Z64" s="603">
        <f>+((T64*T$2)+(V$2*V64))/Z$2</f>
        <v>300.17881288017253</v>
      </c>
      <c r="AA64" s="603">
        <f>+((M64*M$2)+(Y$2*Y64))/AA$2</f>
        <v>264.87165755919852</v>
      </c>
      <c r="AB64" s="4120">
        <v>296.43014245638227</v>
      </c>
      <c r="AC64" s="18">
        <v>277.77999999999997</v>
      </c>
      <c r="AD64" s="331">
        <f>+((Z64*Z$2)+(AB$2*AB64))/AD$2</f>
        <v>299.63578118326831</v>
      </c>
      <c r="AE64" s="331">
        <f>+((AA64*AA$2)+(AC$2*AC64))/AE$2</f>
        <v>266.74155763239872</v>
      </c>
      <c r="AF64" s="4195">
        <v>296.08456615727209</v>
      </c>
      <c r="AG64" s="18">
        <v>273.38499999999999</v>
      </c>
      <c r="AH64" s="331">
        <f>+((AD64*AD$2)+(AF$2*AF64))/AH$2</f>
        <v>299.19915638499009</v>
      </c>
      <c r="AI64" s="331">
        <f>+((AE64*AE$2)+(AG$2*AG64))/AI$2</f>
        <v>267.55837431693988</v>
      </c>
      <c r="AJ64" s="4354">
        <v>297.19383070208909</v>
      </c>
      <c r="AK64" s="18">
        <v>290.24</v>
      </c>
      <c r="AL64" s="427">
        <f>+((AB64*AB$2)+(AF64*AF$2)+(AJ$2*AJ64))/AL$2</f>
        <v>296.57478426772582</v>
      </c>
      <c r="AM64" s="427">
        <f>+((AC64*AC$2)+(AG64*AG$2)+(AK$2*AK64))/AM$2</f>
        <v>280.54532608695649</v>
      </c>
      <c r="AN64" s="331">
        <f>+((AH64*AH$2)+(AJ$2*AJ64))/AN$2</f>
        <v>298.97310148982672</v>
      </c>
      <c r="AO64" s="331">
        <f>+((AI64*AI$2)+(AK$2*AK64))/AO$2</f>
        <v>270.11521212121215</v>
      </c>
      <c r="AP64" s="4447">
        <v>297.09280602320325</v>
      </c>
      <c r="AQ64" s="18">
        <v>291.75645161290322</v>
      </c>
      <c r="AR64" s="331">
        <f>+((AN64*AN$2)+(AP$2*AP64))/AR$2</f>
        <v>298.78261404059361</v>
      </c>
      <c r="AS64" s="331">
        <f>+((AO64*AO$2)+(AQ$2*AQ64))/AS$2</f>
        <v>272.30762527233122</v>
      </c>
      <c r="AT64" s="4672">
        <v>296.86490262244456</v>
      </c>
      <c r="AU64" s="18">
        <v>303.13275862068963</v>
      </c>
      <c r="AV64" s="331">
        <f>+((AR64*AR$2)+(AT$2*AT64))/AV$2</f>
        <v>298.61660320141056</v>
      </c>
      <c r="AW64" s="331">
        <f>+((AS64*AS$2)+(AU$2*AU64))/AW$2</f>
        <v>274.9760696517414</v>
      </c>
      <c r="AX64" s="5207">
        <v>298.06892138682019</v>
      </c>
      <c r="AY64" s="18">
        <v>280.11161290322582</v>
      </c>
      <c r="AZ64" s="427">
        <f>+((AP64*AP$2)+(AT64*AT$2)+(AX$2*AX64))/AZ$2</f>
        <v>297.35270028309469</v>
      </c>
      <c r="BA64" s="427">
        <f>+((AQ64*AQ$2)+(AU64*AU$2)+(AY$2*AY64))/BA$2</f>
        <v>291.41494505494506</v>
      </c>
      <c r="BB64" s="603">
        <f>+((AL64*AL$2)+(AZ$2*AZ64))/BB$2</f>
        <v>296.96161682181634</v>
      </c>
      <c r="BC64" s="603">
        <f>+((AM64*AM$2)+(BA$2*BA64))/BC$2</f>
        <v>285.95043715846992</v>
      </c>
      <c r="BD64" s="331">
        <f>+((AV64*AV$2)+(AX$2*AX64))/BD$2</f>
        <v>298.57021485099443</v>
      </c>
      <c r="BE64" s="331">
        <f>+((AW64*AW$2)+(AY$2*AY64))/BE$2</f>
        <v>275.41104735883437</v>
      </c>
      <c r="BF64" s="26"/>
      <c r="BG64" s="26"/>
      <c r="BH64" s="5726"/>
      <c r="BI64" s="5726"/>
    </row>
    <row r="65" spans="1:61" ht="16.5" thickBot="1" x14ac:dyDescent="0.3">
      <c r="A65" s="2059"/>
      <c r="B65" s="77" t="s">
        <v>58</v>
      </c>
      <c r="C65" s="63" t="s">
        <v>489</v>
      </c>
      <c r="D65" s="1658">
        <v>61</v>
      </c>
      <c r="E65" s="130">
        <v>66.323333333333352</v>
      </c>
      <c r="F65" s="1658">
        <v>61</v>
      </c>
      <c r="G65" s="130">
        <v>56.513333333333328</v>
      </c>
      <c r="H65" s="331">
        <f>+((D65*D$2)+(F$2*F65))/H$2</f>
        <v>61</v>
      </c>
      <c r="I65" s="331">
        <f>+((E65*E$2)+(G$2*G65))/I$2</f>
        <v>61.337923497267766</v>
      </c>
      <c r="J65" s="1658">
        <v>61</v>
      </c>
      <c r="K65" s="130">
        <v>54.92</v>
      </c>
      <c r="L65" s="427">
        <f>+((D$2*D65)+(F$2*F65)+(J$2*J65))/L$2</f>
        <v>61</v>
      </c>
      <c r="M65" s="427">
        <f>+((E$2*E65)+(G$2*G65)+(K$2*K65))/M$2</f>
        <v>59.222124542124547</v>
      </c>
      <c r="N65" s="1658">
        <v>61</v>
      </c>
      <c r="O65" s="164">
        <v>59.008602150537634</v>
      </c>
      <c r="P65" s="331">
        <f>+((L65*L$2)+(N$2*N65))/P$2</f>
        <v>61</v>
      </c>
      <c r="Q65" s="331">
        <f>+((M65*M$2)+(O$2*O65))/Q$2</f>
        <v>59.167868852459023</v>
      </c>
      <c r="R65" s="1658">
        <v>61</v>
      </c>
      <c r="S65" s="130">
        <v>60.164946236559139</v>
      </c>
      <c r="T65" s="331">
        <f>+((P65*P$2)+(R$2*R65))/T$2</f>
        <v>61</v>
      </c>
      <c r="U65" s="331">
        <f>+((Q65*Q$2)+(S$2*S65))/U$2</f>
        <v>59.369891067538134</v>
      </c>
      <c r="V65" s="3409">
        <v>61</v>
      </c>
      <c r="W65" s="130">
        <v>63.581000000000003</v>
      </c>
      <c r="X65" s="427">
        <f>+((N65*N$2)+(R65*R$2)+(V$2*V65))/X$2</f>
        <v>61</v>
      </c>
      <c r="Y65" s="427">
        <f>+((O65*O$2)+(S65*S$2)+(W$2*W65))/Y$2</f>
        <v>60.889239130434788</v>
      </c>
      <c r="Z65" s="603">
        <f>+((T65*T$2)+(V$2*V65))/Z$2</f>
        <v>61</v>
      </c>
      <c r="AA65" s="603">
        <f>+((M65*M$2)+(Y$2*Y65))/AA$2</f>
        <v>60.060236794171225</v>
      </c>
      <c r="AB65" s="4128">
        <v>61</v>
      </c>
      <c r="AC65" s="130">
        <v>68.650000000000006</v>
      </c>
      <c r="AD65" s="331">
        <f>+((Z65*Z$2)+(AB$2*AB65))/AD$2</f>
        <v>61</v>
      </c>
      <c r="AE65" s="331">
        <f>+((AA65*AA$2)+(AC$2*AC65))/AE$2</f>
        <v>61.304548286604366</v>
      </c>
      <c r="AF65" s="4200">
        <v>61</v>
      </c>
      <c r="AG65" s="130">
        <v>68.459999999999994</v>
      </c>
      <c r="AH65" s="331">
        <f>+((AD65*AD$2)+(AF$2*AF65))/AH$2</f>
        <v>61</v>
      </c>
      <c r="AI65" s="331">
        <f>+((AE65*AE$2)+(AG$2*AG65))/AI$2</f>
        <v>62.184316939890714</v>
      </c>
      <c r="AJ65" s="4356">
        <v>61</v>
      </c>
      <c r="AK65" s="130">
        <v>69.69</v>
      </c>
      <c r="AL65" s="427">
        <f>+((AB65*AB$2)+(AF65*AF$2)+(AJ$2*AJ65))/AL$2</f>
        <v>61</v>
      </c>
      <c r="AM65" s="427">
        <f>+((AC65*AC$2)+(AG65*AG$2)+(AK$2*AK65))/AM$2</f>
        <v>68.938478260869573</v>
      </c>
      <c r="AN65" s="331">
        <f>+((AH65*AH$2)+(AJ$2*AJ65))/AN$2</f>
        <v>61</v>
      </c>
      <c r="AO65" s="331">
        <f>+((AI65*AI$2)+(AK$2*AK65))/AO$2</f>
        <v>63.030412121212123</v>
      </c>
      <c r="AP65" s="4460">
        <v>61</v>
      </c>
      <c r="AQ65" s="130">
        <v>68.015268817204301</v>
      </c>
      <c r="AR65" s="331">
        <f>+((AN65*AN$2)+(AP$2*AP65))/AR$2</f>
        <v>61</v>
      </c>
      <c r="AS65" s="331">
        <f>+((AO65*AO$2)+(AQ$2*AQ65))/AS$2</f>
        <v>63.535413943355131</v>
      </c>
      <c r="AT65" s="4676">
        <v>61</v>
      </c>
      <c r="AU65" s="130">
        <v>61.906896551724131</v>
      </c>
      <c r="AV65" s="331">
        <f>+((AR65*AR$2)+(AT$2*AT65))/AV$2</f>
        <v>61</v>
      </c>
      <c r="AW65" s="331">
        <f>+((AS65*AS$2)+(AU$2*AU65))/AW$2</f>
        <v>63.394437810945284</v>
      </c>
      <c r="AX65" s="5212">
        <v>61</v>
      </c>
      <c r="AY65" s="130">
        <v>69.607526881720432</v>
      </c>
      <c r="AZ65" s="427">
        <f>+((AP65*AP$2)+(AT65*AT$2)+(AX$2*AX65))/AZ$2</f>
        <v>61</v>
      </c>
      <c r="BA65" s="427">
        <f>+((AQ65*AQ$2)+(AU65*AU$2)+(AY$2*AY65))/BA$2</f>
        <v>66.611062271062266</v>
      </c>
      <c r="BB65" s="603">
        <f>+((AL65*AL$2)+(AZ$2*AZ65))/BB$2</f>
        <v>61</v>
      </c>
      <c r="BC65" s="603">
        <f>+((AM65*AM$2)+(BA$2*BA65))/BC$2</f>
        <v>67.781129326047363</v>
      </c>
      <c r="BD65" s="331">
        <f>+((AV65*AV$2)+(AX$2*AX65))/BD$2</f>
        <v>61</v>
      </c>
      <c r="BE65" s="331">
        <f>+((AW65*AW$2)+(AY$2*AY65))/BE$2</f>
        <v>63.92068306010929</v>
      </c>
      <c r="BF65" s="26"/>
      <c r="BG65" s="26"/>
      <c r="BH65" s="5726"/>
      <c r="BI65" s="5726"/>
    </row>
    <row r="66" spans="1:61" ht="19.5" thickBot="1" x14ac:dyDescent="0.3">
      <c r="A66" s="2059"/>
      <c r="B66" s="78" t="s">
        <v>486</v>
      </c>
      <c r="C66" s="64" t="s">
        <v>489</v>
      </c>
      <c r="D66" s="721">
        <f t="shared" ref="D66:I66" si="202">SUM(D64:D65)</f>
        <v>355.76362358585789</v>
      </c>
      <c r="E66" s="173">
        <f t="shared" si="202"/>
        <v>353.81000000000006</v>
      </c>
      <c r="F66" s="721">
        <f t="shared" ref="F66:G66" si="203">SUM(F64:F65)</f>
        <v>370.58546624287118</v>
      </c>
      <c r="G66" s="173">
        <f t="shared" si="203"/>
        <v>304.61193548387092</v>
      </c>
      <c r="H66" s="1043">
        <f t="shared" si="202"/>
        <v>363.29603542794661</v>
      </c>
      <c r="I66" s="725">
        <f t="shared" si="202"/>
        <v>328.80770491803275</v>
      </c>
      <c r="J66" s="721">
        <f t="shared" ref="J66:K66" si="204">SUM(J64:J65)</f>
        <v>391.07495083927046</v>
      </c>
      <c r="K66" s="173">
        <f t="shared" si="204"/>
        <v>301.05966666666666</v>
      </c>
      <c r="L66" s="2008">
        <f t="shared" ref="L66:Q66" si="205">SUM(L64:L65)</f>
        <v>372.45391962948196</v>
      </c>
      <c r="M66" s="726">
        <f t="shared" si="205"/>
        <v>319.65999999999997</v>
      </c>
      <c r="N66" s="721">
        <f t="shared" si="205"/>
        <v>351.6297905819896</v>
      </c>
      <c r="O66" s="307">
        <f t="shared" si="205"/>
        <v>335.01344086021504</v>
      </c>
      <c r="P66" s="1043">
        <f t="shared" si="205"/>
        <v>367.16254257643067</v>
      </c>
      <c r="Q66" s="725">
        <f t="shared" si="205"/>
        <v>323.56128415300543</v>
      </c>
      <c r="R66" s="721">
        <f t="shared" ref="R66:U66" si="206">SUM(R64:R65)</f>
        <v>349.06874566475818</v>
      </c>
      <c r="S66" s="173">
        <f t="shared" si="206"/>
        <v>328.00043010752694</v>
      </c>
      <c r="T66" s="1043">
        <f t="shared" si="206"/>
        <v>363.49647914988265</v>
      </c>
      <c r="U66" s="725">
        <f t="shared" si="206"/>
        <v>324.46071895424836</v>
      </c>
      <c r="V66" s="721">
        <f t="shared" ref="V66:Y66" si="207">SUM(V64:V65)</f>
        <v>349.35871490465132</v>
      </c>
      <c r="W66" s="173">
        <f t="shared" si="207"/>
        <v>327.33488888888888</v>
      </c>
      <c r="X66" s="3411">
        <f t="shared" si="207"/>
        <v>350.02626163900783</v>
      </c>
      <c r="Y66" s="726">
        <f t="shared" si="207"/>
        <v>330.14648550724644</v>
      </c>
      <c r="Z66" s="1218">
        <f t="shared" ref="Z66:AE66" si="208">SUM(Z64:Z65)</f>
        <v>361.17881288017253</v>
      </c>
      <c r="AA66" s="620">
        <f t="shared" si="208"/>
        <v>324.93189435336973</v>
      </c>
      <c r="AB66" s="721">
        <f t="shared" si="208"/>
        <v>357.43014245638227</v>
      </c>
      <c r="AC66" s="173">
        <f t="shared" si="208"/>
        <v>346.42999999999995</v>
      </c>
      <c r="AD66" s="4129">
        <f t="shared" si="208"/>
        <v>360.63578118326831</v>
      </c>
      <c r="AE66" s="725">
        <f t="shared" si="208"/>
        <v>328.04610591900308</v>
      </c>
      <c r="AF66" s="721">
        <f t="shared" ref="AF66:AI66" si="209">SUM(AF64:AF65)</f>
        <v>357.08456615727209</v>
      </c>
      <c r="AG66" s="173">
        <f t="shared" si="209"/>
        <v>341.84499999999997</v>
      </c>
      <c r="AH66" s="4202">
        <f t="shared" si="209"/>
        <v>360.19915638499009</v>
      </c>
      <c r="AI66" s="725">
        <f t="shared" si="209"/>
        <v>329.7426912568306</v>
      </c>
      <c r="AJ66" s="721">
        <f t="shared" ref="AJ66:AS66" si="210">SUM(AJ64:AJ65)</f>
        <v>358.19383070208909</v>
      </c>
      <c r="AK66" s="173">
        <f t="shared" si="210"/>
        <v>359.93</v>
      </c>
      <c r="AL66" s="4367">
        <f t="shared" si="210"/>
        <v>357.57478426772582</v>
      </c>
      <c r="AM66" s="726">
        <f t="shared" si="210"/>
        <v>349.48380434782609</v>
      </c>
      <c r="AN66" s="4358">
        <f t="shared" si="210"/>
        <v>359.97310148982672</v>
      </c>
      <c r="AO66" s="725">
        <f t="shared" si="210"/>
        <v>333.14562424242428</v>
      </c>
      <c r="AP66" s="721">
        <f t="shared" si="210"/>
        <v>358.09280602320325</v>
      </c>
      <c r="AQ66" s="173">
        <f t="shared" si="210"/>
        <v>359.77172043010751</v>
      </c>
      <c r="AR66" s="4463">
        <f t="shared" si="210"/>
        <v>359.78261404059361</v>
      </c>
      <c r="AS66" s="725">
        <f t="shared" si="210"/>
        <v>335.84303921568636</v>
      </c>
      <c r="AT66" s="721">
        <f t="shared" ref="AT66:AW66" si="211">SUM(AT64:AT65)</f>
        <v>357.86490262244456</v>
      </c>
      <c r="AU66" s="173">
        <f t="shared" si="211"/>
        <v>365.03965517241375</v>
      </c>
      <c r="AV66" s="4679">
        <f t="shared" si="211"/>
        <v>359.61660320141056</v>
      </c>
      <c r="AW66" s="725">
        <f t="shared" si="211"/>
        <v>338.3705074626867</v>
      </c>
      <c r="AX66" s="721">
        <f t="shared" ref="AX66:BE66" si="212">SUM(AX64:AX65)</f>
        <v>359.06892138682019</v>
      </c>
      <c r="AY66" s="173">
        <f t="shared" si="212"/>
        <v>349.71913978494626</v>
      </c>
      <c r="AZ66" s="5217">
        <f t="shared" si="212"/>
        <v>358.35270028309469</v>
      </c>
      <c r="BA66" s="726">
        <f t="shared" si="212"/>
        <v>358.02600732600735</v>
      </c>
      <c r="BB66" s="1218">
        <f t="shared" si="212"/>
        <v>357.96161682181634</v>
      </c>
      <c r="BC66" s="620">
        <f t="shared" si="212"/>
        <v>353.73156648451732</v>
      </c>
      <c r="BD66" s="5215">
        <f t="shared" si="212"/>
        <v>359.57021485099443</v>
      </c>
      <c r="BE66" s="725">
        <f t="shared" si="212"/>
        <v>339.33173041894366</v>
      </c>
      <c r="BF66" s="26"/>
      <c r="BG66" s="26"/>
      <c r="BH66" s="5726"/>
      <c r="BI66" s="5726"/>
    </row>
    <row r="67" spans="1:61" ht="15.75" x14ac:dyDescent="0.25">
      <c r="A67" s="2059"/>
      <c r="B67" s="79" t="s">
        <v>482</v>
      </c>
      <c r="C67" s="65" t="s">
        <v>489</v>
      </c>
      <c r="D67" s="488">
        <v>0</v>
      </c>
      <c r="E67" s="671">
        <v>10.018444444444443</v>
      </c>
      <c r="F67" s="488">
        <v>0</v>
      </c>
      <c r="G67" s="671">
        <v>9.2543010752687547</v>
      </c>
      <c r="H67" s="71">
        <v>0</v>
      </c>
      <c r="I67" s="76">
        <f>+((E67*E$2)+(G$2*G67))/I$2</f>
        <v>9.6301092896174545</v>
      </c>
      <c r="J67" s="488">
        <v>0</v>
      </c>
      <c r="K67" s="671">
        <v>4.7331111111111062</v>
      </c>
      <c r="L67" s="284">
        <v>0</v>
      </c>
      <c r="M67" s="107">
        <f>+((E$2*E67)+(G$2*G67)+(K$2*K67))/M$2</f>
        <v>8.015714285714262</v>
      </c>
      <c r="N67" s="488">
        <v>0</v>
      </c>
      <c r="O67" s="437">
        <v>6.83</v>
      </c>
      <c r="P67" s="71">
        <v>0</v>
      </c>
      <c r="Q67" s="76">
        <f>+((M67*M$2)+(O$2*O67))/Q$2</f>
        <v>7.7144262295081791</v>
      </c>
      <c r="R67" s="488">
        <v>0</v>
      </c>
      <c r="S67" s="437">
        <v>5.5749462365591524</v>
      </c>
      <c r="T67" s="71">
        <v>0</v>
      </c>
      <c r="U67" s="76">
        <f>+((Q67*Q$2)+(S$2*S67))/U$2</f>
        <v>7.2809368191721013</v>
      </c>
      <c r="V67" s="3410">
        <v>0</v>
      </c>
      <c r="W67" s="437">
        <v>6.801777777777736</v>
      </c>
      <c r="X67" s="284">
        <v>0</v>
      </c>
      <c r="Y67" s="107">
        <f>+((O67*O$2)+(S67*S$2)+(W$2*W67))/Y$2</f>
        <v>6.3978985507246291</v>
      </c>
      <c r="Z67" s="963">
        <v>0</v>
      </c>
      <c r="AA67" s="603">
        <f>+((M67*M$2)+(Y$2*Y67))/AA$2</f>
        <v>7.2023861566484353</v>
      </c>
      <c r="AB67" s="4127">
        <v>0</v>
      </c>
      <c r="AC67" s="437">
        <v>15.631720430107526</v>
      </c>
      <c r="AD67" s="71">
        <v>0</v>
      </c>
      <c r="AE67" s="76">
        <f>+((AA67*AA$2)+(AC$2*AC67))/AE$2</f>
        <v>8.4234579439252197</v>
      </c>
      <c r="AF67" s="4199">
        <v>0</v>
      </c>
      <c r="AG67" s="437">
        <v>15.37</v>
      </c>
      <c r="AH67" s="71">
        <v>0</v>
      </c>
      <c r="AI67" s="76">
        <f>+((AE67*AE$2)+(AG$2*AG67))/AI$2</f>
        <v>9.2775409836065457</v>
      </c>
      <c r="AJ67" s="4355">
        <v>0</v>
      </c>
      <c r="AK67" s="437">
        <v>15.01</v>
      </c>
      <c r="AL67" s="284">
        <v>0</v>
      </c>
      <c r="AM67" s="107">
        <f>+((AC67*AC$2)+(AG67*AG$2)+(AK$2*AK67))/AM$2</f>
        <v>15.336884057971014</v>
      </c>
      <c r="AN67" s="71">
        <v>0</v>
      </c>
      <c r="AO67" s="76">
        <f>+((AI67*AI$2)+(AK$2*AK67))/AO$2</f>
        <v>9.9237454545454433</v>
      </c>
      <c r="AP67" s="4461">
        <v>0</v>
      </c>
      <c r="AQ67" s="437">
        <v>14.13</v>
      </c>
      <c r="AR67" s="71">
        <v>0</v>
      </c>
      <c r="AS67" s="76">
        <f>+((AO67*AO$2)+(AQ$2*AQ67))/AS$2</f>
        <v>10.349869281045743</v>
      </c>
      <c r="AT67" s="4677">
        <v>0</v>
      </c>
      <c r="AU67" s="437">
        <v>12.12</v>
      </c>
      <c r="AV67" s="71">
        <v>0</v>
      </c>
      <c r="AW67" s="76">
        <f>+((AS67*AS$2)+(AU$2*AU67))/AW$2</f>
        <v>10.503104477611933</v>
      </c>
      <c r="AX67" s="5213">
        <v>0</v>
      </c>
      <c r="AY67" s="437">
        <v>12.98408602150538</v>
      </c>
      <c r="AZ67" s="284">
        <v>0</v>
      </c>
      <c r="BA67" s="107">
        <f>+((AQ67*AQ$2)+(AU67*AU$2)+(AY$2*AY67))/BA$2</f>
        <v>13.099084249084251</v>
      </c>
      <c r="BB67" s="963">
        <v>0</v>
      </c>
      <c r="BC67" s="603">
        <f>+((AM67*AM$2)+(BA$2*BA67))/BC$2</f>
        <v>14.22409836065574</v>
      </c>
      <c r="BD67" s="71">
        <v>0</v>
      </c>
      <c r="BE67" s="76">
        <f>+((AW67*AW$2)+(AY$2*AY67))/BE$2</f>
        <v>10.713242258652087</v>
      </c>
      <c r="BF67" s="26"/>
      <c r="BG67" s="26"/>
      <c r="BH67" s="5726"/>
      <c r="BI67" s="5726"/>
    </row>
    <row r="68" spans="1:61" ht="18.75" x14ac:dyDescent="0.25">
      <c r="A68" s="2059"/>
      <c r="B68" s="80" t="s">
        <v>487</v>
      </c>
      <c r="C68" s="66" t="s">
        <v>489</v>
      </c>
      <c r="D68" s="887">
        <f t="shared" ref="D68:K68" si="213">+D66-D67</f>
        <v>355.76362358585789</v>
      </c>
      <c r="E68" s="293">
        <f t="shared" si="213"/>
        <v>343.79155555555559</v>
      </c>
      <c r="F68" s="887">
        <f t="shared" ref="F68:G68" si="214">+F66-F67</f>
        <v>370.58546624287118</v>
      </c>
      <c r="G68" s="293">
        <f t="shared" si="214"/>
        <v>295.35763440860217</v>
      </c>
      <c r="H68" s="1219">
        <f t="shared" si="213"/>
        <v>363.29603542794661</v>
      </c>
      <c r="I68" s="81">
        <f t="shared" si="213"/>
        <v>319.1775956284153</v>
      </c>
      <c r="J68" s="887">
        <f t="shared" si="213"/>
        <v>391.07495083927046</v>
      </c>
      <c r="K68" s="293">
        <f t="shared" si="213"/>
        <v>296.32655555555556</v>
      </c>
      <c r="L68" s="108">
        <f t="shared" ref="L68:Q68" si="215">+L66-L67</f>
        <v>372.45391962948196</v>
      </c>
      <c r="M68" s="109">
        <f t="shared" si="215"/>
        <v>311.64428571428573</v>
      </c>
      <c r="N68" s="887">
        <f t="shared" si="215"/>
        <v>351.6297905819896</v>
      </c>
      <c r="O68" s="2161">
        <f t="shared" si="215"/>
        <v>328.18344086021506</v>
      </c>
      <c r="P68" s="1219">
        <f t="shared" si="215"/>
        <v>367.16254257643067</v>
      </c>
      <c r="Q68" s="81">
        <f t="shared" si="215"/>
        <v>315.84685792349723</v>
      </c>
      <c r="R68" s="887">
        <f t="shared" ref="R68:U68" si="216">+R66-R67</f>
        <v>349.06874566475818</v>
      </c>
      <c r="S68" s="293">
        <f t="shared" si="216"/>
        <v>322.42548387096781</v>
      </c>
      <c r="T68" s="1219">
        <f t="shared" si="216"/>
        <v>363.49647914988265</v>
      </c>
      <c r="U68" s="81">
        <f t="shared" si="216"/>
        <v>317.17978213507627</v>
      </c>
      <c r="V68" s="887">
        <f t="shared" ref="V68:Y68" si="217">+V66-V67</f>
        <v>349.35871490465132</v>
      </c>
      <c r="W68" s="293">
        <f t="shared" si="217"/>
        <v>320.53311111111117</v>
      </c>
      <c r="X68" s="108">
        <f t="shared" si="217"/>
        <v>350.02626163900783</v>
      </c>
      <c r="Y68" s="109">
        <f t="shared" si="217"/>
        <v>323.74858695652182</v>
      </c>
      <c r="Z68" s="1220">
        <f t="shared" ref="Z68:AE68" si="218">+Z66-Z67</f>
        <v>361.17881288017253</v>
      </c>
      <c r="AA68" s="621">
        <f t="shared" si="218"/>
        <v>317.72950819672127</v>
      </c>
      <c r="AB68" s="887">
        <f t="shared" si="218"/>
        <v>357.43014245638227</v>
      </c>
      <c r="AC68" s="293">
        <f t="shared" si="218"/>
        <v>330.79827956989243</v>
      </c>
      <c r="AD68" s="1219">
        <f t="shared" si="218"/>
        <v>360.63578118326831</v>
      </c>
      <c r="AE68" s="81">
        <f t="shared" si="218"/>
        <v>319.62264797507788</v>
      </c>
      <c r="AF68" s="887">
        <f t="shared" ref="AF68:AI68" si="219">+AF66-AF67</f>
        <v>357.08456615727209</v>
      </c>
      <c r="AG68" s="293">
        <f t="shared" si="219"/>
        <v>326.47499999999997</v>
      </c>
      <c r="AH68" s="1219">
        <f t="shared" si="219"/>
        <v>360.19915638499009</v>
      </c>
      <c r="AI68" s="81">
        <f t="shared" si="219"/>
        <v>320.46515027322403</v>
      </c>
      <c r="AJ68" s="887">
        <f t="shared" ref="AJ68:AS68" si="220">+AJ66-AJ67</f>
        <v>358.19383070208909</v>
      </c>
      <c r="AK68" s="293">
        <f t="shared" si="220"/>
        <v>344.92</v>
      </c>
      <c r="AL68" s="108">
        <f t="shared" si="220"/>
        <v>357.57478426772582</v>
      </c>
      <c r="AM68" s="109">
        <f t="shared" si="220"/>
        <v>334.14692028985507</v>
      </c>
      <c r="AN68" s="1219">
        <f t="shared" si="220"/>
        <v>359.97310148982672</v>
      </c>
      <c r="AO68" s="81">
        <f t="shared" si="220"/>
        <v>323.22187878787884</v>
      </c>
      <c r="AP68" s="887">
        <f t="shared" si="220"/>
        <v>358.09280602320325</v>
      </c>
      <c r="AQ68" s="293">
        <f t="shared" si="220"/>
        <v>345.64172043010751</v>
      </c>
      <c r="AR68" s="1219">
        <f t="shared" si="220"/>
        <v>359.78261404059361</v>
      </c>
      <c r="AS68" s="81">
        <f t="shared" si="220"/>
        <v>325.4931699346406</v>
      </c>
      <c r="AT68" s="887">
        <f t="shared" ref="AT68:AW68" si="221">+AT66-AT67</f>
        <v>357.86490262244456</v>
      </c>
      <c r="AU68" s="293">
        <f t="shared" si="221"/>
        <v>352.91965517241374</v>
      </c>
      <c r="AV68" s="1219">
        <f t="shared" si="221"/>
        <v>359.61660320141056</v>
      </c>
      <c r="AW68" s="81">
        <f t="shared" si="221"/>
        <v>327.86740298507476</v>
      </c>
      <c r="AX68" s="887">
        <f t="shared" ref="AX68:BE68" si="222">+AX66-AX67</f>
        <v>359.06892138682019</v>
      </c>
      <c r="AY68" s="293">
        <f t="shared" si="222"/>
        <v>336.73505376344087</v>
      </c>
      <c r="AZ68" s="108">
        <f t="shared" si="222"/>
        <v>358.35270028309469</v>
      </c>
      <c r="BA68" s="109">
        <f t="shared" si="222"/>
        <v>344.92692307692312</v>
      </c>
      <c r="BB68" s="1220">
        <f t="shared" si="222"/>
        <v>357.96161682181634</v>
      </c>
      <c r="BC68" s="621">
        <f t="shared" si="222"/>
        <v>339.5074681238616</v>
      </c>
      <c r="BD68" s="1219">
        <f t="shared" si="222"/>
        <v>359.57021485099443</v>
      </c>
      <c r="BE68" s="81">
        <f t="shared" si="222"/>
        <v>328.61848816029158</v>
      </c>
      <c r="BF68" s="26"/>
      <c r="BG68" s="26"/>
      <c r="BH68" s="5726"/>
      <c r="BI68" s="5726"/>
    </row>
    <row r="69" spans="1:61" ht="18.75" x14ac:dyDescent="0.25">
      <c r="B69" s="82" t="s">
        <v>485</v>
      </c>
      <c r="C69" s="61"/>
      <c r="D69" s="1221"/>
      <c r="E69" s="827"/>
      <c r="F69" s="1221"/>
      <c r="G69" s="827"/>
      <c r="H69" s="733"/>
      <c r="I69" s="733"/>
      <c r="J69" s="1221"/>
      <c r="K69" s="827"/>
      <c r="L69" s="733"/>
      <c r="M69" s="733"/>
      <c r="N69" s="2094"/>
      <c r="O69" s="2162"/>
      <c r="P69" s="733"/>
      <c r="Q69" s="733"/>
      <c r="R69" s="2094"/>
      <c r="S69" s="827"/>
      <c r="T69" s="733"/>
      <c r="U69" s="733"/>
      <c r="V69" s="2094"/>
      <c r="W69" s="827"/>
      <c r="X69" s="733"/>
      <c r="Y69" s="733"/>
      <c r="Z69" s="733"/>
      <c r="AA69" s="733"/>
      <c r="AB69" s="2094"/>
      <c r="AC69" s="827"/>
      <c r="AD69" s="733"/>
      <c r="AE69" s="733"/>
      <c r="AF69" s="2094"/>
      <c r="AG69" s="827"/>
      <c r="AH69" s="733"/>
      <c r="AI69" s="733"/>
      <c r="AJ69" s="2094"/>
      <c r="AK69" s="827"/>
      <c r="AL69" s="733"/>
      <c r="AM69" s="733"/>
      <c r="AN69" s="733"/>
      <c r="AO69" s="733"/>
      <c r="AP69" s="2094"/>
      <c r="AQ69" s="827"/>
      <c r="AR69" s="733"/>
      <c r="AS69" s="733"/>
      <c r="AT69" s="2094"/>
      <c r="AU69" s="827"/>
      <c r="AV69" s="733"/>
      <c r="AW69" s="733"/>
      <c r="AX69" s="2094"/>
      <c r="AY69" s="827"/>
      <c r="AZ69" s="733"/>
      <c r="BA69" s="733"/>
      <c r="BB69" s="733"/>
      <c r="BC69" s="733"/>
      <c r="BD69" s="733"/>
      <c r="BE69" s="733"/>
      <c r="BF69" s="26"/>
      <c r="BG69" s="26"/>
      <c r="BH69" s="5726"/>
      <c r="BI69" s="5726"/>
    </row>
    <row r="70" spans="1:61" ht="15.75" x14ac:dyDescent="0.25">
      <c r="B70" s="75" t="s">
        <v>644</v>
      </c>
      <c r="C70" s="62" t="s">
        <v>489</v>
      </c>
      <c r="D70" s="939">
        <v>24</v>
      </c>
      <c r="E70" s="130">
        <v>22.790333333333329</v>
      </c>
      <c r="F70" s="939">
        <v>24</v>
      </c>
      <c r="G70" s="130">
        <v>22.337096774193547</v>
      </c>
      <c r="H70" s="331">
        <f t="shared" ref="H70:I76" si="223">+((D70*D$2)+(F$2*F70))/H$2</f>
        <v>24</v>
      </c>
      <c r="I70" s="331">
        <f t="shared" si="223"/>
        <v>22.56</v>
      </c>
      <c r="J70" s="939">
        <v>24</v>
      </c>
      <c r="K70" s="130">
        <v>22.09</v>
      </c>
      <c r="L70" s="427">
        <f t="shared" ref="L70:L76" si="224">+((H70*H$2)+(J$2*J70))/L$2</f>
        <v>24</v>
      </c>
      <c r="M70" s="427">
        <f t="shared" ref="M70:M76" si="225">+((I70*I$2)+(K$2*K70))/M$2</f>
        <v>22.405054945054943</v>
      </c>
      <c r="N70" s="939">
        <v>24</v>
      </c>
      <c r="O70" s="164">
        <v>23.054838709677419</v>
      </c>
      <c r="P70" s="331">
        <f t="shared" ref="P70:P76" si="226">+((L70*L$2)+(N$2*N70))/P$2</f>
        <v>24</v>
      </c>
      <c r="Q70" s="331">
        <f t="shared" ref="Q70:Q76" si="227">+((M70*M$2)+(O$2*O70))/Q$2</f>
        <v>22.570163934426226</v>
      </c>
      <c r="R70" s="939">
        <v>24</v>
      </c>
      <c r="S70" s="130">
        <v>23.074193548387097</v>
      </c>
      <c r="T70" s="331">
        <f t="shared" ref="T70:T76" si="228">+((P70*P$2)+(R$2*R70))/T$2</f>
        <v>24</v>
      </c>
      <c r="U70" s="331">
        <f t="shared" ref="U70:U76" si="229">+((Q70*Q$2)+(S$2*S70))/U$2</f>
        <v>22.672287581699344</v>
      </c>
      <c r="V70" s="939">
        <v>24</v>
      </c>
      <c r="W70" s="130">
        <v>21.703666666666667</v>
      </c>
      <c r="X70" s="427">
        <f t="shared" ref="X70:Y72" si="230">+((N70*N$2)+(R70*R$2)+(V$2*V70))/X$2</f>
        <v>24</v>
      </c>
      <c r="Y70" s="427">
        <f t="shared" si="230"/>
        <v>22.62076086956522</v>
      </c>
      <c r="Z70" s="800">
        <f t="shared" ref="Z70:Z76" si="231">+((L70*L$2)+(X$2*X70))/Z$2</f>
        <v>24</v>
      </c>
      <c r="AA70" s="800">
        <f>+((M70*M$2)+(Y$2*Y70))/AA$2</f>
        <v>22.513497267759558</v>
      </c>
      <c r="AB70" s="939">
        <v>24</v>
      </c>
      <c r="AC70" s="130">
        <v>22.353763440860209</v>
      </c>
      <c r="AD70" s="331">
        <f t="shared" ref="AD70:AD76" si="232">+((Z70*Z$2)+(AB$2*AB70))/AD$2</f>
        <v>24</v>
      </c>
      <c r="AE70" s="331">
        <f t="shared" ref="AE70:AE76" si="233">+((AA70*AA$2)+(AC$2*AC70))/AE$2</f>
        <v>22.49035825545171</v>
      </c>
      <c r="AF70" s="939">
        <v>24</v>
      </c>
      <c r="AG70" s="130">
        <v>23.970000000000002</v>
      </c>
      <c r="AH70" s="331">
        <f t="shared" ref="AH70:AH76" si="234">+((AD70*AD$2)+(AF$2*AF70))/AH$2</f>
        <v>24</v>
      </c>
      <c r="AI70" s="331">
        <f t="shared" ref="AI70:AI76" si="235">+((AE70*AE$2)+(AG$2*AG70))/AI$2</f>
        <v>22.672281420765025</v>
      </c>
      <c r="AJ70" s="939">
        <v>24</v>
      </c>
      <c r="AK70" s="130">
        <v>23.87</v>
      </c>
      <c r="AL70" s="427">
        <f t="shared" ref="AL70:AL76" si="236">+((AB70*AB$2)+(AF70*AF$2)+(AJ$2*AJ70))/AL$2</f>
        <v>24</v>
      </c>
      <c r="AM70" s="427">
        <f t="shared" ref="AM70:AM76" si="237">+((AC70*AC$2)+(AG70*AG$2)+(AK$2*AK70))/AM$2</f>
        <v>23.391702898550726</v>
      </c>
      <c r="AN70" s="331">
        <f t="shared" ref="AN70:AO76" si="238">+((AH70*AH$2)+(AJ$2*AJ70))/AN$2</f>
        <v>24</v>
      </c>
      <c r="AO70" s="331">
        <f t="shared" si="238"/>
        <v>22.807296969696967</v>
      </c>
      <c r="AP70" s="939">
        <v>24</v>
      </c>
      <c r="AQ70" s="130">
        <v>21.74</v>
      </c>
      <c r="AR70" s="331">
        <f t="shared" ref="AR70:AR76" si="239">+((AN70*AN$2)+(AP$2*AP70))/AR$2</f>
        <v>24</v>
      </c>
      <c r="AS70" s="331">
        <f t="shared" ref="AS70:AS76" si="240">+((AO70*AO$2)+(AQ$2*AQ70))/AS$2</f>
        <v>22.699172113289759</v>
      </c>
      <c r="AT70" s="939">
        <v>24</v>
      </c>
      <c r="AU70" s="130">
        <v>23.868275862068966</v>
      </c>
      <c r="AV70" s="331">
        <f t="shared" ref="AV70:AV76" si="241">+((AR70*AR$2)+(AT$2*AT70))/AV$2</f>
        <v>24</v>
      </c>
      <c r="AW70" s="331">
        <f t="shared" ref="AW70:AW76" si="242">+((AS70*AS$2)+(AU$2*AU70))/AW$2</f>
        <v>22.800378109452733</v>
      </c>
      <c r="AX70" s="939">
        <v>24</v>
      </c>
      <c r="AY70" s="130">
        <v>21.74483870967742</v>
      </c>
      <c r="AZ70" s="427">
        <f t="shared" ref="AZ70:AZ76" si="243">+((AP70*AP$2)+(AT70*AT$2)+(AX$2*AX70))/AZ$2</f>
        <v>24</v>
      </c>
      <c r="BA70" s="427">
        <f t="shared" ref="BA70:BA76" si="244">+((AQ70*AQ$2)+(AU70*AU$2)+(AY$2*AY70))/BA$2</f>
        <v>22.419890109890112</v>
      </c>
      <c r="BB70" s="800">
        <f t="shared" ref="BB70:BC76" si="245">+((AL70*AL$2)+(AZ$2*AZ70))/BB$2</f>
        <v>24</v>
      </c>
      <c r="BC70" s="800">
        <f t="shared" si="245"/>
        <v>22.908451730418946</v>
      </c>
      <c r="BD70" s="331">
        <f t="shared" ref="BD70:BD76" si="246">+((AV70*AV$2)+(AX$2*AX70))/BD$2</f>
        <v>24</v>
      </c>
      <c r="BE70" s="331">
        <f t="shared" ref="BE70:BE76" si="247">+((AW70*AW$2)+(AY$2*AY70))/BE$2</f>
        <v>22.71097449908925</v>
      </c>
      <c r="BF70" s="26"/>
      <c r="BG70" s="26"/>
      <c r="BH70" s="5726"/>
      <c r="BI70" s="5726"/>
    </row>
    <row r="71" spans="1:61" ht="15.75" customHeight="1" x14ac:dyDescent="0.25">
      <c r="B71" s="75" t="s">
        <v>645</v>
      </c>
      <c r="C71" s="62" t="s">
        <v>489</v>
      </c>
      <c r="D71" s="939">
        <v>0</v>
      </c>
      <c r="E71" s="130">
        <v>0</v>
      </c>
      <c r="F71" s="939">
        <v>0</v>
      </c>
      <c r="G71" s="130">
        <v>0</v>
      </c>
      <c r="H71" s="331">
        <f t="shared" si="223"/>
        <v>0</v>
      </c>
      <c r="I71" s="331">
        <f t="shared" si="223"/>
        <v>0</v>
      </c>
      <c r="J71" s="939">
        <v>0</v>
      </c>
      <c r="K71" s="130">
        <v>0</v>
      </c>
      <c r="L71" s="427">
        <f t="shared" si="224"/>
        <v>0</v>
      </c>
      <c r="M71" s="427">
        <f t="shared" si="225"/>
        <v>0</v>
      </c>
      <c r="N71" s="939">
        <v>0</v>
      </c>
      <c r="O71" s="164">
        <v>0</v>
      </c>
      <c r="P71" s="331">
        <f t="shared" si="226"/>
        <v>0</v>
      </c>
      <c r="Q71" s="331">
        <f t="shared" si="227"/>
        <v>0</v>
      </c>
      <c r="R71" s="939">
        <v>0</v>
      </c>
      <c r="S71" s="939">
        <v>0</v>
      </c>
      <c r="T71" s="331">
        <f t="shared" si="228"/>
        <v>0</v>
      </c>
      <c r="U71" s="331">
        <f t="shared" si="229"/>
        <v>0</v>
      </c>
      <c r="V71" s="939">
        <v>0</v>
      </c>
      <c r="W71" s="939">
        <v>0</v>
      </c>
      <c r="X71" s="427">
        <f t="shared" si="230"/>
        <v>0</v>
      </c>
      <c r="Y71" s="427">
        <f t="shared" si="230"/>
        <v>0</v>
      </c>
      <c r="Z71" s="800">
        <f t="shared" si="231"/>
        <v>0</v>
      </c>
      <c r="AA71" s="800">
        <f t="shared" ref="AA71:AA76" si="248">+((M71*M$2)+(Y$2*Y71))/AA$2</f>
        <v>0</v>
      </c>
      <c r="AB71" s="939">
        <v>0</v>
      </c>
      <c r="AC71" s="939">
        <v>0</v>
      </c>
      <c r="AD71" s="331">
        <f t="shared" si="232"/>
        <v>0</v>
      </c>
      <c r="AE71" s="331">
        <f t="shared" si="233"/>
        <v>0</v>
      </c>
      <c r="AF71" s="939">
        <v>0</v>
      </c>
      <c r="AG71" s="939">
        <v>0</v>
      </c>
      <c r="AH71" s="331">
        <f t="shared" si="234"/>
        <v>0</v>
      </c>
      <c r="AI71" s="331">
        <f t="shared" si="235"/>
        <v>0</v>
      </c>
      <c r="AJ71" s="939">
        <v>0</v>
      </c>
      <c r="AK71" s="939">
        <v>0</v>
      </c>
      <c r="AL71" s="427">
        <f t="shared" si="236"/>
        <v>0</v>
      </c>
      <c r="AM71" s="427">
        <f t="shared" si="237"/>
        <v>0</v>
      </c>
      <c r="AN71" s="331">
        <f t="shared" si="238"/>
        <v>0</v>
      </c>
      <c r="AO71" s="331">
        <f t="shared" si="238"/>
        <v>0</v>
      </c>
      <c r="AP71" s="939">
        <v>0</v>
      </c>
      <c r="AQ71" s="939">
        <v>0</v>
      </c>
      <c r="AR71" s="331">
        <f t="shared" si="239"/>
        <v>0</v>
      </c>
      <c r="AS71" s="331">
        <f t="shared" si="240"/>
        <v>0</v>
      </c>
      <c r="AT71" s="939">
        <v>0</v>
      </c>
      <c r="AU71" s="939">
        <v>0</v>
      </c>
      <c r="AV71" s="331">
        <f t="shared" si="241"/>
        <v>0</v>
      </c>
      <c r="AW71" s="331">
        <f t="shared" si="242"/>
        <v>0</v>
      </c>
      <c r="AX71" s="939">
        <v>0</v>
      </c>
      <c r="AY71" s="939">
        <v>0</v>
      </c>
      <c r="AZ71" s="427">
        <f t="shared" si="243"/>
        <v>0</v>
      </c>
      <c r="BA71" s="427">
        <f t="shared" si="244"/>
        <v>0</v>
      </c>
      <c r="BB71" s="800">
        <f t="shared" si="245"/>
        <v>0</v>
      </c>
      <c r="BC71" s="800">
        <f t="shared" si="245"/>
        <v>0</v>
      </c>
      <c r="BD71" s="331">
        <f t="shared" si="246"/>
        <v>0</v>
      </c>
      <c r="BE71" s="331">
        <f t="shared" si="247"/>
        <v>0</v>
      </c>
      <c r="BF71" s="26"/>
      <c r="BG71" s="26"/>
      <c r="BH71" s="5726"/>
      <c r="BI71" s="5726"/>
    </row>
    <row r="72" spans="1:61" ht="15.75" x14ac:dyDescent="0.25">
      <c r="B72" s="75" t="s">
        <v>569</v>
      </c>
      <c r="C72" s="62" t="s">
        <v>489</v>
      </c>
      <c r="D72" s="939">
        <v>8</v>
      </c>
      <c r="E72" s="130">
        <v>7.504777777777778</v>
      </c>
      <c r="F72" s="939">
        <v>12</v>
      </c>
      <c r="G72" s="130">
        <v>6.7016129032258061</v>
      </c>
      <c r="H72" s="331">
        <f t="shared" si="223"/>
        <v>10.032786885245901</v>
      </c>
      <c r="I72" s="331">
        <f t="shared" si="223"/>
        <v>7.0966120218579229</v>
      </c>
      <c r="J72" s="939">
        <v>12</v>
      </c>
      <c r="K72" s="130">
        <v>9.3410000000000011</v>
      </c>
      <c r="L72" s="427">
        <f t="shared" si="224"/>
        <v>10.681318681318681</v>
      </c>
      <c r="M72" s="427">
        <f t="shared" si="225"/>
        <v>7.8365201465201464</v>
      </c>
      <c r="N72" s="939">
        <v>8</v>
      </c>
      <c r="O72" s="164">
        <v>6.1441935483870962</v>
      </c>
      <c r="P72" s="331">
        <f t="shared" si="226"/>
        <v>10</v>
      </c>
      <c r="Q72" s="331">
        <f t="shared" si="227"/>
        <v>7.4065027322404369</v>
      </c>
      <c r="R72" s="939">
        <v>8</v>
      </c>
      <c r="S72" s="130">
        <v>6.3564516129032258</v>
      </c>
      <c r="T72" s="331">
        <f t="shared" si="228"/>
        <v>9.594771241830065</v>
      </c>
      <c r="U72" s="331">
        <f t="shared" si="229"/>
        <v>7.1937472766884527</v>
      </c>
      <c r="V72" s="939">
        <v>8</v>
      </c>
      <c r="W72" s="164">
        <v>6.18</v>
      </c>
      <c r="X72" s="427">
        <f t="shared" si="230"/>
        <v>8</v>
      </c>
      <c r="Y72" s="427">
        <f t="shared" si="230"/>
        <v>6.227391304347826</v>
      </c>
      <c r="Z72" s="800">
        <f t="shared" si="231"/>
        <v>9.3333333333333339</v>
      </c>
      <c r="AA72" s="800">
        <f t="shared" si="248"/>
        <v>7.0275591985428045</v>
      </c>
      <c r="AB72" s="939">
        <v>8</v>
      </c>
      <c r="AC72" s="130">
        <v>7.2258064516129048</v>
      </c>
      <c r="AD72" s="331">
        <f t="shared" si="232"/>
        <v>9.1401869158878508</v>
      </c>
      <c r="AE72" s="331">
        <f t="shared" si="233"/>
        <v>7.0562772585669782</v>
      </c>
      <c r="AF72" s="939">
        <v>8</v>
      </c>
      <c r="AG72" s="130">
        <v>7.8526666666666669</v>
      </c>
      <c r="AH72" s="331">
        <f t="shared" si="234"/>
        <v>9</v>
      </c>
      <c r="AI72" s="331">
        <f t="shared" si="235"/>
        <v>7.1541939890710378</v>
      </c>
      <c r="AJ72" s="939">
        <v>8</v>
      </c>
      <c r="AK72" s="130">
        <v>12.01</v>
      </c>
      <c r="AL72" s="427">
        <f t="shared" si="236"/>
        <v>8</v>
      </c>
      <c r="AM72" s="427">
        <f t="shared" si="237"/>
        <v>9.042282608695654</v>
      </c>
      <c r="AN72" s="331">
        <f t="shared" si="238"/>
        <v>8.8872727272727268</v>
      </c>
      <c r="AO72" s="331">
        <f t="shared" si="238"/>
        <v>7.7015757575757577</v>
      </c>
      <c r="AP72" s="939">
        <v>8</v>
      </c>
      <c r="AQ72" s="130">
        <v>13.866774193548386</v>
      </c>
      <c r="AR72" s="331">
        <f t="shared" si="239"/>
        <v>8.7973856209150334</v>
      </c>
      <c r="AS72" s="331">
        <f t="shared" si="240"/>
        <v>8.3261546840958598</v>
      </c>
      <c r="AT72" s="939">
        <v>8</v>
      </c>
      <c r="AU72" s="130">
        <v>12.93896551724138</v>
      </c>
      <c r="AV72" s="331">
        <f t="shared" si="241"/>
        <v>8.7283582089552247</v>
      </c>
      <c r="AW72" s="331">
        <f t="shared" si="242"/>
        <v>8.7254726368159208</v>
      </c>
      <c r="AX72" s="939">
        <v>8</v>
      </c>
      <c r="AY72" s="130">
        <v>13.924193548387096</v>
      </c>
      <c r="AZ72" s="427">
        <f t="shared" si="243"/>
        <v>8</v>
      </c>
      <c r="BA72" s="427">
        <f t="shared" si="244"/>
        <v>13.590659340659341</v>
      </c>
      <c r="BB72" s="800">
        <f t="shared" si="245"/>
        <v>8</v>
      </c>
      <c r="BC72" s="800">
        <f t="shared" si="245"/>
        <v>11.304043715846996</v>
      </c>
      <c r="BD72" s="331">
        <f t="shared" si="246"/>
        <v>8.6666666666666679</v>
      </c>
      <c r="BE72" s="331">
        <f t="shared" si="247"/>
        <v>9.1658014571949007</v>
      </c>
      <c r="BF72" s="26"/>
      <c r="BG72" s="26"/>
      <c r="BH72" s="5726"/>
      <c r="BI72" s="5726"/>
    </row>
    <row r="73" spans="1:61" ht="15.75" x14ac:dyDescent="0.25">
      <c r="B73" s="75" t="s">
        <v>570</v>
      </c>
      <c r="C73" s="62" t="s">
        <v>489</v>
      </c>
      <c r="D73" s="939">
        <v>10</v>
      </c>
      <c r="E73" s="130">
        <v>8.1166666666666671</v>
      </c>
      <c r="F73" s="939">
        <v>10</v>
      </c>
      <c r="G73" s="130">
        <v>6.317204301075269</v>
      </c>
      <c r="H73" s="331">
        <f t="shared" si="223"/>
        <v>10</v>
      </c>
      <c r="I73" s="331">
        <f t="shared" si="223"/>
        <v>7.2021857923497272</v>
      </c>
      <c r="J73" s="939">
        <v>10</v>
      </c>
      <c r="K73" s="130">
        <v>7</v>
      </c>
      <c r="L73" s="427">
        <f t="shared" si="224"/>
        <v>10</v>
      </c>
      <c r="M73" s="427">
        <f t="shared" si="225"/>
        <v>7.1355311355311359</v>
      </c>
      <c r="N73" s="939">
        <v>10</v>
      </c>
      <c r="O73" s="164">
        <v>8.301075268817204</v>
      </c>
      <c r="P73" s="331">
        <f t="shared" si="226"/>
        <v>10</v>
      </c>
      <c r="Q73" s="331">
        <f t="shared" si="227"/>
        <v>7.4316939890710385</v>
      </c>
      <c r="R73" s="939">
        <v>10</v>
      </c>
      <c r="S73" s="130">
        <v>8.5816129032258068</v>
      </c>
      <c r="T73" s="331">
        <f t="shared" si="228"/>
        <v>10</v>
      </c>
      <c r="U73" s="331">
        <f t="shared" si="229"/>
        <v>7.6646840958605669</v>
      </c>
      <c r="V73" s="939">
        <v>10</v>
      </c>
      <c r="W73" s="130">
        <v>7.4023333333333339</v>
      </c>
      <c r="X73" s="427">
        <f t="shared" ref="X73:Y76" si="249">+((N73*N$2)+(R73*R$2)+(V$2*V73))/X$2</f>
        <v>10</v>
      </c>
      <c r="Y73" s="427">
        <f t="shared" si="249"/>
        <v>8.1025362318840592</v>
      </c>
      <c r="Z73" s="800">
        <f t="shared" si="231"/>
        <v>10</v>
      </c>
      <c r="AA73" s="800">
        <f t="shared" si="248"/>
        <v>7.6216757741347916</v>
      </c>
      <c r="AB73" s="939">
        <v>10</v>
      </c>
      <c r="AC73" s="130">
        <v>7.40967741935484</v>
      </c>
      <c r="AD73" s="331">
        <f t="shared" si="232"/>
        <v>10</v>
      </c>
      <c r="AE73" s="331">
        <f t="shared" si="233"/>
        <v>7.5909657320872288</v>
      </c>
      <c r="AF73" s="939">
        <v>10</v>
      </c>
      <c r="AG73" s="130">
        <v>7.5320555555555551</v>
      </c>
      <c r="AH73" s="331">
        <f t="shared" si="234"/>
        <v>10</v>
      </c>
      <c r="AI73" s="331">
        <f t="shared" si="235"/>
        <v>7.5837226775956292</v>
      </c>
      <c r="AJ73" s="939">
        <v>10</v>
      </c>
      <c r="AK73" s="130">
        <v>8.5299999999999994</v>
      </c>
      <c r="AL73" s="427">
        <f t="shared" si="236"/>
        <v>10</v>
      </c>
      <c r="AM73" s="427">
        <f t="shared" si="237"/>
        <v>7.8270833333333334</v>
      </c>
      <c r="AN73" s="331">
        <f t="shared" si="238"/>
        <v>10</v>
      </c>
      <c r="AO73" s="331">
        <f t="shared" si="238"/>
        <v>7.6903939393939407</v>
      </c>
      <c r="AP73" s="939">
        <v>10</v>
      </c>
      <c r="AQ73" s="130">
        <v>8.2682795698924743</v>
      </c>
      <c r="AR73" s="331">
        <f t="shared" si="239"/>
        <v>10</v>
      </c>
      <c r="AS73" s="331">
        <f t="shared" si="240"/>
        <v>7.7489379084967327</v>
      </c>
      <c r="AT73" s="939">
        <v>10</v>
      </c>
      <c r="AU73" s="130">
        <v>8.8121695402298865</v>
      </c>
      <c r="AV73" s="331">
        <f t="shared" si="241"/>
        <v>10</v>
      </c>
      <c r="AW73" s="331">
        <f t="shared" si="242"/>
        <v>7.8409788557213931</v>
      </c>
      <c r="AX73" s="939">
        <v>10</v>
      </c>
      <c r="AY73" s="130">
        <v>7.9383870967741936</v>
      </c>
      <c r="AZ73" s="427">
        <f t="shared" si="243"/>
        <v>10</v>
      </c>
      <c r="BA73" s="427">
        <f t="shared" si="244"/>
        <v>8.3292261904761915</v>
      </c>
      <c r="BB73" s="800">
        <f t="shared" si="245"/>
        <v>10</v>
      </c>
      <c r="BC73" s="800">
        <f t="shared" si="245"/>
        <v>8.0767827868852464</v>
      </c>
      <c r="BD73" s="331">
        <f t="shared" si="246"/>
        <v>10</v>
      </c>
      <c r="BE73" s="331">
        <f t="shared" si="247"/>
        <v>7.849229280510019</v>
      </c>
      <c r="BF73" s="26"/>
      <c r="BG73" s="26"/>
      <c r="BH73" s="5726"/>
      <c r="BI73" s="5726"/>
    </row>
    <row r="74" spans="1:61" ht="15.75" x14ac:dyDescent="0.25">
      <c r="B74" s="75" t="s">
        <v>636</v>
      </c>
      <c r="C74" s="62" t="s">
        <v>489</v>
      </c>
      <c r="D74" s="939">
        <v>13</v>
      </c>
      <c r="E74" s="130">
        <v>11.759999999999998</v>
      </c>
      <c r="F74" s="939">
        <v>13</v>
      </c>
      <c r="G74" s="130">
        <v>11.126021505376345</v>
      </c>
      <c r="H74" s="331">
        <f t="shared" si="223"/>
        <v>13</v>
      </c>
      <c r="I74" s="331">
        <f t="shared" si="223"/>
        <v>11.437814207650273</v>
      </c>
      <c r="J74" s="939">
        <v>13</v>
      </c>
      <c r="K74" s="130">
        <v>11.332666666666666</v>
      </c>
      <c r="L74" s="427">
        <f t="shared" si="224"/>
        <v>13</v>
      </c>
      <c r="M74" s="427">
        <f t="shared" si="225"/>
        <v>11.403150183150183</v>
      </c>
      <c r="N74" s="939">
        <v>13</v>
      </c>
      <c r="O74" s="164">
        <v>12.370645161290323</v>
      </c>
      <c r="P74" s="331">
        <f t="shared" si="226"/>
        <v>13</v>
      </c>
      <c r="Q74" s="331">
        <f t="shared" si="227"/>
        <v>11.648989071038251</v>
      </c>
      <c r="R74" s="939">
        <v>13</v>
      </c>
      <c r="S74" s="130">
        <v>12.935483870967742</v>
      </c>
      <c r="T74" s="331">
        <f t="shared" si="228"/>
        <v>13</v>
      </c>
      <c r="U74" s="331">
        <f t="shared" si="229"/>
        <v>11.909651416122005</v>
      </c>
      <c r="V74" s="939">
        <v>13</v>
      </c>
      <c r="W74" s="130">
        <v>13.334666666666665</v>
      </c>
      <c r="X74" s="427">
        <f t="shared" si="249"/>
        <v>13</v>
      </c>
      <c r="Y74" s="427">
        <f t="shared" si="249"/>
        <v>12.875326086956521</v>
      </c>
      <c r="Z74" s="800">
        <f t="shared" si="231"/>
        <v>13</v>
      </c>
      <c r="AA74" s="800">
        <f t="shared" si="248"/>
        <v>12.143260473588343</v>
      </c>
      <c r="AB74" s="939">
        <v>13</v>
      </c>
      <c r="AC74" s="130">
        <v>13.277419354838715</v>
      </c>
      <c r="AD74" s="331">
        <f t="shared" si="232"/>
        <v>13</v>
      </c>
      <c r="AE74" s="331">
        <f t="shared" si="233"/>
        <v>12.307554517133957</v>
      </c>
      <c r="AF74" s="939">
        <v>13</v>
      </c>
      <c r="AG74" s="130">
        <v>13.065666666666667</v>
      </c>
      <c r="AH74" s="331">
        <f t="shared" si="234"/>
        <v>13</v>
      </c>
      <c r="AI74" s="331">
        <f t="shared" si="235"/>
        <v>12.400765027322405</v>
      </c>
      <c r="AJ74" s="939">
        <v>13</v>
      </c>
      <c r="AK74" s="130">
        <v>13.096774193548388</v>
      </c>
      <c r="AL74" s="427">
        <f t="shared" si="236"/>
        <v>13</v>
      </c>
      <c r="AM74" s="427">
        <f t="shared" si="237"/>
        <v>13.147500000000003</v>
      </c>
      <c r="AN74" s="331">
        <f t="shared" si="238"/>
        <v>13</v>
      </c>
      <c r="AO74" s="331">
        <f t="shared" si="238"/>
        <v>12.479224242424243</v>
      </c>
      <c r="AP74" s="939">
        <v>13</v>
      </c>
      <c r="AQ74" s="130">
        <v>13.120967741935484</v>
      </c>
      <c r="AR74" s="331">
        <f t="shared" si="239"/>
        <v>13</v>
      </c>
      <c r="AS74" s="331">
        <f t="shared" si="240"/>
        <v>12.544237472766886</v>
      </c>
      <c r="AT74" s="939">
        <v>13</v>
      </c>
      <c r="AU74" s="130">
        <v>13.253793103448276</v>
      </c>
      <c r="AV74" s="331">
        <f t="shared" si="241"/>
        <v>13</v>
      </c>
      <c r="AW74" s="331">
        <f t="shared" si="242"/>
        <v>12.605661691542291</v>
      </c>
      <c r="AX74" s="939">
        <v>13</v>
      </c>
      <c r="AY74" s="130">
        <v>13.440645161290323</v>
      </c>
      <c r="AZ74" s="427">
        <f t="shared" si="243"/>
        <v>13</v>
      </c>
      <c r="BA74" s="427">
        <f t="shared" si="244"/>
        <v>13.272197802197802</v>
      </c>
      <c r="BB74" s="800">
        <f t="shared" si="245"/>
        <v>13</v>
      </c>
      <c r="BC74" s="800">
        <f t="shared" si="245"/>
        <v>13.209508196721313</v>
      </c>
      <c r="BD74" s="331">
        <f t="shared" si="246"/>
        <v>13</v>
      </c>
      <c r="BE74" s="331">
        <f t="shared" si="247"/>
        <v>12.676384335154829</v>
      </c>
      <c r="BF74" s="26"/>
      <c r="BG74" s="26"/>
      <c r="BH74" s="5726"/>
      <c r="BI74" s="5726"/>
    </row>
    <row r="75" spans="1:61" ht="15.75" x14ac:dyDescent="0.25">
      <c r="B75" s="75" t="s">
        <v>480</v>
      </c>
      <c r="C75" s="62" t="s">
        <v>489</v>
      </c>
      <c r="D75" s="939">
        <v>114</v>
      </c>
      <c r="E75" s="130">
        <v>104.66266666666668</v>
      </c>
      <c r="F75" s="939">
        <v>110</v>
      </c>
      <c r="G75" s="130">
        <v>85.046129032258065</v>
      </c>
      <c r="H75" s="331">
        <f t="shared" si="223"/>
        <v>111.9672131147541</v>
      </c>
      <c r="I75" s="331">
        <f t="shared" si="223"/>
        <v>94.693606557377052</v>
      </c>
      <c r="J75" s="939">
        <v>110</v>
      </c>
      <c r="K75" s="130">
        <v>94.740666666666669</v>
      </c>
      <c r="L75" s="427">
        <f t="shared" si="224"/>
        <v>111.31868131868131</v>
      </c>
      <c r="M75" s="427">
        <f t="shared" si="225"/>
        <v>94.709120879120889</v>
      </c>
      <c r="N75" s="939">
        <v>114</v>
      </c>
      <c r="O75" s="164">
        <v>103.51741935483872</v>
      </c>
      <c r="P75" s="331">
        <f t="shared" si="226"/>
        <v>112</v>
      </c>
      <c r="Q75" s="331">
        <f t="shared" si="227"/>
        <v>96.947295081967226</v>
      </c>
      <c r="R75" s="939">
        <v>114</v>
      </c>
      <c r="S75" s="130">
        <v>105.69032258064517</v>
      </c>
      <c r="T75" s="331">
        <f t="shared" si="228"/>
        <v>112.40522875816994</v>
      </c>
      <c r="U75" s="331">
        <f t="shared" si="229"/>
        <v>98.718758169934645</v>
      </c>
      <c r="V75" s="939">
        <v>114</v>
      </c>
      <c r="W75" s="130">
        <v>99.226333333333343</v>
      </c>
      <c r="X75" s="427">
        <f t="shared" si="249"/>
        <v>114</v>
      </c>
      <c r="Y75" s="427">
        <f t="shared" si="249"/>
        <v>102.85032608695654</v>
      </c>
      <c r="Z75" s="800">
        <f t="shared" si="231"/>
        <v>112.66666666666667</v>
      </c>
      <c r="AA75" s="800">
        <f t="shared" si="248"/>
        <v>98.801967213114764</v>
      </c>
      <c r="AB75" s="939">
        <v>114</v>
      </c>
      <c r="AC75" s="130">
        <v>103.34892473118282</v>
      </c>
      <c r="AD75" s="331">
        <f t="shared" si="232"/>
        <v>112.85981308411215</v>
      </c>
      <c r="AE75" s="331">
        <f t="shared" si="233"/>
        <v>99.460638629283494</v>
      </c>
      <c r="AF75" s="939">
        <v>114</v>
      </c>
      <c r="AG75" s="130">
        <v>95.757333333333335</v>
      </c>
      <c r="AH75" s="331">
        <f t="shared" si="234"/>
        <v>113</v>
      </c>
      <c r="AI75" s="331">
        <f t="shared" si="235"/>
        <v>99.005314207650287</v>
      </c>
      <c r="AJ75" s="939">
        <v>114</v>
      </c>
      <c r="AK75" s="130">
        <v>96.414193548387104</v>
      </c>
      <c r="AL75" s="427">
        <f t="shared" si="236"/>
        <v>114</v>
      </c>
      <c r="AM75" s="427">
        <f t="shared" si="237"/>
        <v>98.536702898550729</v>
      </c>
      <c r="AN75" s="331">
        <f t="shared" si="238"/>
        <v>113.11272727272727</v>
      </c>
      <c r="AO75" s="331">
        <f t="shared" si="238"/>
        <v>98.713224242424246</v>
      </c>
      <c r="AP75" s="939">
        <v>114</v>
      </c>
      <c r="AQ75" s="130">
        <v>94.964516129032262</v>
      </c>
      <c r="AR75" s="331">
        <f t="shared" si="239"/>
        <v>113.20261437908496</v>
      </c>
      <c r="AS75" s="331">
        <f t="shared" si="240"/>
        <v>98.333453159041412</v>
      </c>
      <c r="AT75" s="939">
        <v>114</v>
      </c>
      <c r="AU75" s="130">
        <v>100.73229885057471</v>
      </c>
      <c r="AV75" s="331">
        <f t="shared" si="241"/>
        <v>113.27164179104477</v>
      </c>
      <c r="AW75" s="331">
        <f t="shared" si="242"/>
        <v>98.541114427860705</v>
      </c>
      <c r="AX75" s="939">
        <v>114</v>
      </c>
      <c r="AY75" s="130">
        <v>102.89032258064515</v>
      </c>
      <c r="AZ75" s="427">
        <f t="shared" si="243"/>
        <v>114</v>
      </c>
      <c r="BA75" s="427">
        <f t="shared" si="244"/>
        <v>99.50260073260074</v>
      </c>
      <c r="BB75" s="800">
        <f t="shared" si="245"/>
        <v>114</v>
      </c>
      <c r="BC75" s="800">
        <f t="shared" si="245"/>
        <v>99.017012750455379</v>
      </c>
      <c r="BD75" s="331">
        <f t="shared" si="246"/>
        <v>113.33333333333333</v>
      </c>
      <c r="BE75" s="331">
        <f t="shared" si="247"/>
        <v>98.909489981785072</v>
      </c>
      <c r="BF75" s="26"/>
      <c r="BG75" s="26"/>
      <c r="BH75" s="5726"/>
      <c r="BI75" s="5726"/>
    </row>
    <row r="76" spans="1:61" ht="16.5" thickBot="1" x14ac:dyDescent="0.3">
      <c r="B76" s="77" t="s">
        <v>481</v>
      </c>
      <c r="C76" s="63" t="s">
        <v>489</v>
      </c>
      <c r="D76" s="939">
        <v>9</v>
      </c>
      <c r="E76" s="130">
        <v>8.4736666666666665</v>
      </c>
      <c r="F76" s="939">
        <v>9</v>
      </c>
      <c r="G76" s="130">
        <v>7.0612903225806445</v>
      </c>
      <c r="H76" s="331">
        <f t="shared" si="223"/>
        <v>9</v>
      </c>
      <c r="I76" s="331">
        <f t="shared" si="223"/>
        <v>7.7559016393442617</v>
      </c>
      <c r="J76" s="939">
        <v>9</v>
      </c>
      <c r="K76" s="130">
        <v>6.69</v>
      </c>
      <c r="L76" s="427">
        <f t="shared" si="224"/>
        <v>9</v>
      </c>
      <c r="M76" s="427">
        <f t="shared" si="225"/>
        <v>7.4045054945054938</v>
      </c>
      <c r="N76" s="1705">
        <v>9</v>
      </c>
      <c r="O76" s="164">
        <v>7.0956989247311837</v>
      </c>
      <c r="P76" s="331">
        <f t="shared" si="226"/>
        <v>9</v>
      </c>
      <c r="Q76" s="331">
        <f t="shared" si="227"/>
        <v>7.3260382513661204</v>
      </c>
      <c r="R76" s="1705">
        <v>9</v>
      </c>
      <c r="S76" s="130">
        <f>3.37043010752688+3.71344086021505</f>
        <v>7.0838709677419303</v>
      </c>
      <c r="T76" s="331">
        <f t="shared" si="228"/>
        <v>9</v>
      </c>
      <c r="U76" s="331">
        <f t="shared" si="229"/>
        <v>7.2769716775599118</v>
      </c>
      <c r="V76" s="1705">
        <v>9</v>
      </c>
      <c r="W76" s="130">
        <f>3.83333333333333+3.61777777777778</f>
        <v>7.4511111111111106</v>
      </c>
      <c r="X76" s="427">
        <f t="shared" si="249"/>
        <v>9</v>
      </c>
      <c r="Y76" s="427">
        <f t="shared" si="249"/>
        <v>7.2076086956521728</v>
      </c>
      <c r="Z76" s="800">
        <f t="shared" si="231"/>
        <v>9</v>
      </c>
      <c r="AA76" s="800">
        <f t="shared" si="248"/>
        <v>7.3055191256830589</v>
      </c>
      <c r="AB76" s="1705">
        <v>9</v>
      </c>
      <c r="AC76" s="164">
        <v>5.6268817204301076</v>
      </c>
      <c r="AD76" s="331">
        <f t="shared" si="232"/>
        <v>9</v>
      </c>
      <c r="AE76" s="331">
        <f t="shared" si="233"/>
        <v>7.0623520249221183</v>
      </c>
      <c r="AF76" s="1705">
        <v>9</v>
      </c>
      <c r="AG76" s="164">
        <v>7.1300000000000008</v>
      </c>
      <c r="AH76" s="331">
        <f t="shared" si="234"/>
        <v>9</v>
      </c>
      <c r="AI76" s="331">
        <f t="shared" si="235"/>
        <v>7.0706693989071034</v>
      </c>
      <c r="AJ76" s="1705">
        <v>9</v>
      </c>
      <c r="AK76" s="164">
        <v>8.92</v>
      </c>
      <c r="AL76" s="427">
        <f t="shared" si="236"/>
        <v>9</v>
      </c>
      <c r="AM76" s="427">
        <f t="shared" si="237"/>
        <v>7.2266666666666666</v>
      </c>
      <c r="AN76" s="331">
        <f t="shared" si="238"/>
        <v>9</v>
      </c>
      <c r="AO76" s="331">
        <f t="shared" si="238"/>
        <v>7.2791393939393938</v>
      </c>
      <c r="AP76" s="1705">
        <v>9</v>
      </c>
      <c r="AQ76" s="164">
        <v>7.227849462365592</v>
      </c>
      <c r="AR76" s="331">
        <f t="shared" si="239"/>
        <v>9</v>
      </c>
      <c r="AS76" s="331">
        <f t="shared" si="240"/>
        <v>7.273943355119826</v>
      </c>
      <c r="AT76" s="1705">
        <v>9</v>
      </c>
      <c r="AU76" s="164">
        <v>6.0563218390804598</v>
      </c>
      <c r="AV76" s="331">
        <f t="shared" si="241"/>
        <v>9</v>
      </c>
      <c r="AW76" s="331">
        <f t="shared" si="242"/>
        <v>7.1685373134328358</v>
      </c>
      <c r="AX76" s="1705">
        <v>9</v>
      </c>
      <c r="AY76" s="164">
        <v>6.3376344086021517</v>
      </c>
      <c r="AZ76" s="427">
        <f t="shared" si="243"/>
        <v>9</v>
      </c>
      <c r="BA76" s="427">
        <f t="shared" si="244"/>
        <v>6.5512454212454223</v>
      </c>
      <c r="BB76" s="800">
        <f t="shared" si="245"/>
        <v>9</v>
      </c>
      <c r="BC76" s="800">
        <f t="shared" si="245"/>
        <v>6.8908014571949012</v>
      </c>
      <c r="BD76" s="331">
        <f t="shared" si="246"/>
        <v>9</v>
      </c>
      <c r="BE76" s="331">
        <f t="shared" si="247"/>
        <v>7.0981602914389805</v>
      </c>
      <c r="BF76" s="26"/>
      <c r="BG76" s="26"/>
      <c r="BH76" s="5726"/>
      <c r="BI76" s="5726"/>
    </row>
    <row r="77" spans="1:61" ht="19.5" thickBot="1" x14ac:dyDescent="0.3">
      <c r="B77" s="83" t="s">
        <v>2</v>
      </c>
      <c r="C77" s="64" t="s">
        <v>489</v>
      </c>
      <c r="D77" s="1222">
        <f t="shared" ref="D77:AA77" si="250">SUM(D70:D76)</f>
        <v>178</v>
      </c>
      <c r="E77" s="176">
        <f t="shared" si="250"/>
        <v>163.30811111111112</v>
      </c>
      <c r="F77" s="1222">
        <f t="shared" ref="F77:G77" si="251">SUM(F70:F76)</f>
        <v>178</v>
      </c>
      <c r="G77" s="176">
        <f t="shared" si="251"/>
        <v>138.58935483870968</v>
      </c>
      <c r="H77" s="1043">
        <f t="shared" si="250"/>
        <v>178</v>
      </c>
      <c r="I77" s="725">
        <f t="shared" si="250"/>
        <v>150.74612021857925</v>
      </c>
      <c r="J77" s="1222">
        <f t="shared" ref="J77:K77" si="252">SUM(J70:J76)</f>
        <v>178</v>
      </c>
      <c r="K77" s="176">
        <f t="shared" si="252"/>
        <v>151.19433333333333</v>
      </c>
      <c r="L77" s="2131">
        <f t="shared" si="250"/>
        <v>178</v>
      </c>
      <c r="M77" s="2132">
        <f t="shared" si="250"/>
        <v>150.89388278388279</v>
      </c>
      <c r="N77" s="1222">
        <f t="shared" ref="N77:V77" si="253">SUM(N70:N76)</f>
        <v>178</v>
      </c>
      <c r="O77" s="1891">
        <f t="shared" si="253"/>
        <v>160.48387096774195</v>
      </c>
      <c r="P77" s="1043">
        <f t="shared" si="253"/>
        <v>178</v>
      </c>
      <c r="Q77" s="725">
        <f t="shared" si="253"/>
        <v>153.33068306010932</v>
      </c>
      <c r="R77" s="1222">
        <f t="shared" si="253"/>
        <v>178</v>
      </c>
      <c r="S77" s="176">
        <f t="shared" si="253"/>
        <v>163.72193548387099</v>
      </c>
      <c r="T77" s="1222">
        <f t="shared" si="253"/>
        <v>178</v>
      </c>
      <c r="U77" s="176">
        <f t="shared" si="253"/>
        <v>155.43610021786492</v>
      </c>
      <c r="V77" s="1222">
        <f t="shared" si="253"/>
        <v>178</v>
      </c>
      <c r="W77" s="176">
        <f t="shared" ref="W77" si="254">SUM(W70:W76)</f>
        <v>155.29811111111113</v>
      </c>
      <c r="X77" s="2131">
        <f t="shared" ref="X77:Y77" si="255">SUM(X70:X76)</f>
        <v>178</v>
      </c>
      <c r="Y77" s="2132">
        <f t="shared" si="255"/>
        <v>159.88394927536234</v>
      </c>
      <c r="Z77" s="1218">
        <f t="shared" si="250"/>
        <v>178</v>
      </c>
      <c r="AA77" s="620">
        <f t="shared" si="250"/>
        <v>155.41347905282331</v>
      </c>
      <c r="AB77" s="1222">
        <f t="shared" ref="AB77:AE77" si="256">SUM(AB70:AB76)</f>
        <v>178</v>
      </c>
      <c r="AC77" s="176">
        <f t="shared" si="256"/>
        <v>159.24247311827958</v>
      </c>
      <c r="AD77" s="1222">
        <f t="shared" si="256"/>
        <v>178</v>
      </c>
      <c r="AE77" s="176">
        <f t="shared" si="256"/>
        <v>155.9681464174455</v>
      </c>
      <c r="AF77" s="1222">
        <f t="shared" ref="AF77:AI77" si="257">SUM(AF70:AF76)</f>
        <v>178</v>
      </c>
      <c r="AG77" s="176">
        <f t="shared" si="257"/>
        <v>155.30772222222222</v>
      </c>
      <c r="AH77" s="1222">
        <f t="shared" si="257"/>
        <v>178</v>
      </c>
      <c r="AI77" s="176">
        <f t="shared" si="257"/>
        <v>155.88694672131152</v>
      </c>
      <c r="AJ77" s="1222">
        <f t="shared" ref="AJ77:AS77" si="258">SUM(AJ70:AJ76)</f>
        <v>178</v>
      </c>
      <c r="AK77" s="176">
        <f t="shared" si="258"/>
        <v>162.84096774193549</v>
      </c>
      <c r="AL77" s="2131">
        <f t="shared" si="258"/>
        <v>178</v>
      </c>
      <c r="AM77" s="2132">
        <f t="shared" si="258"/>
        <v>159.17193840579711</v>
      </c>
      <c r="AN77" s="1222">
        <f t="shared" si="258"/>
        <v>178</v>
      </c>
      <c r="AO77" s="176">
        <f t="shared" si="258"/>
        <v>156.67085454545455</v>
      </c>
      <c r="AP77" s="1222">
        <f t="shared" si="258"/>
        <v>178</v>
      </c>
      <c r="AQ77" s="176">
        <f t="shared" si="258"/>
        <v>159.18838709677419</v>
      </c>
      <c r="AR77" s="1222">
        <f t="shared" si="258"/>
        <v>178</v>
      </c>
      <c r="AS77" s="176">
        <f t="shared" si="258"/>
        <v>156.92589869281048</v>
      </c>
      <c r="AT77" s="1222">
        <f t="shared" ref="AT77:AW77" si="259">SUM(AT70:AT76)</f>
        <v>178</v>
      </c>
      <c r="AU77" s="176">
        <f t="shared" si="259"/>
        <v>165.66182471264366</v>
      </c>
      <c r="AV77" s="1222">
        <f t="shared" si="259"/>
        <v>178</v>
      </c>
      <c r="AW77" s="176">
        <f t="shared" si="259"/>
        <v>157.68214303482588</v>
      </c>
      <c r="AX77" s="1222">
        <f t="shared" ref="AX77:BE77" si="260">SUM(AX70:AX76)</f>
        <v>178</v>
      </c>
      <c r="AY77" s="176">
        <f t="shared" si="260"/>
        <v>166.27602150537635</v>
      </c>
      <c r="AZ77" s="2131">
        <f t="shared" si="260"/>
        <v>178</v>
      </c>
      <c r="BA77" s="2132">
        <f t="shared" si="260"/>
        <v>163.66581959706963</v>
      </c>
      <c r="BB77" s="1218">
        <f t="shared" ref="BB77:BC77" si="261">SUM(BB70:BB76)</f>
        <v>178</v>
      </c>
      <c r="BC77" s="620">
        <f t="shared" si="261"/>
        <v>161.40660063752276</v>
      </c>
      <c r="BD77" s="1222">
        <f t="shared" si="260"/>
        <v>178</v>
      </c>
      <c r="BE77" s="176">
        <f t="shared" si="260"/>
        <v>158.41003984517303</v>
      </c>
      <c r="BF77" s="26"/>
      <c r="BG77" s="26"/>
      <c r="BH77" s="5726"/>
      <c r="BI77" s="5726"/>
    </row>
    <row r="78" spans="1:61" ht="18.75" x14ac:dyDescent="0.25">
      <c r="B78" s="84" t="s">
        <v>484</v>
      </c>
      <c r="C78" s="72"/>
      <c r="D78" s="1223"/>
      <c r="E78" s="828"/>
      <c r="F78" s="1223"/>
      <c r="G78" s="828"/>
      <c r="H78" s="732"/>
      <c r="I78" s="732"/>
      <c r="J78" s="1223"/>
      <c r="K78" s="828"/>
      <c r="L78" s="732"/>
      <c r="M78" s="732"/>
      <c r="N78" s="1223"/>
      <c r="O78" s="828"/>
      <c r="P78" s="732"/>
      <c r="Q78" s="732"/>
      <c r="R78" s="1223"/>
      <c r="S78" s="828"/>
      <c r="T78" s="732"/>
      <c r="U78" s="732"/>
      <c r="V78" s="1223"/>
      <c r="W78" s="828"/>
      <c r="X78" s="732"/>
      <c r="Y78" s="732"/>
      <c r="Z78" s="732"/>
      <c r="AA78" s="732"/>
      <c r="AB78" s="1223"/>
      <c r="AC78" s="828"/>
      <c r="AD78" s="732"/>
      <c r="AE78" s="732"/>
      <c r="AF78" s="1223"/>
      <c r="AG78" s="828"/>
      <c r="AH78" s="732"/>
      <c r="AI78" s="732"/>
      <c r="AJ78" s="1223"/>
      <c r="AK78" s="828"/>
      <c r="AL78" s="732"/>
      <c r="AM78" s="732"/>
      <c r="AN78" s="732"/>
      <c r="AO78" s="732"/>
      <c r="AP78" s="1223"/>
      <c r="AQ78" s="828"/>
      <c r="AR78" s="732"/>
      <c r="AS78" s="732"/>
      <c r="AT78" s="1223"/>
      <c r="AU78" s="828"/>
      <c r="AV78" s="732"/>
      <c r="AW78" s="732"/>
      <c r="AX78" s="1223"/>
      <c r="AY78" s="828"/>
      <c r="AZ78" s="732"/>
      <c r="BA78" s="732"/>
      <c r="BB78" s="732"/>
      <c r="BC78" s="732"/>
      <c r="BD78" s="732"/>
      <c r="BE78" s="732"/>
      <c r="BF78" s="26"/>
      <c r="BG78" s="26"/>
      <c r="BH78" s="5726"/>
      <c r="BI78" s="5726"/>
    </row>
    <row r="79" spans="1:61" ht="15.75" customHeight="1" x14ac:dyDescent="0.25">
      <c r="B79" s="75" t="s">
        <v>635</v>
      </c>
      <c r="C79" s="62" t="s">
        <v>489</v>
      </c>
      <c r="D79" s="939">
        <v>0</v>
      </c>
      <c r="E79" s="111">
        <v>0</v>
      </c>
      <c r="F79" s="939">
        <v>0</v>
      </c>
      <c r="G79" s="111">
        <v>0</v>
      </c>
      <c r="H79" s="331">
        <f>+((D79*D$2)+(F$2*F79))/H$2</f>
        <v>0</v>
      </c>
      <c r="I79" s="331">
        <f>+((E79*E$2)+(G$2*G79))/I$2</f>
        <v>0</v>
      </c>
      <c r="J79" s="939">
        <v>0</v>
      </c>
      <c r="K79" s="111">
        <v>0</v>
      </c>
      <c r="L79" s="427">
        <f>+((H79*H$2)+(J$2*J79))/L$2</f>
        <v>0</v>
      </c>
      <c r="M79" s="427">
        <f>+((I79*I$2)+(K$2*K79))/M$2</f>
        <v>0</v>
      </c>
      <c r="N79" s="939">
        <v>0</v>
      </c>
      <c r="O79" s="197">
        <v>0</v>
      </c>
      <c r="P79" s="331">
        <f>+((L79*L$2)+(N$2*N79))/P$2</f>
        <v>0</v>
      </c>
      <c r="Q79" s="331">
        <f>+((M79*M$2)+(O$2*O79))/Q$2</f>
        <v>0</v>
      </c>
      <c r="R79" s="939">
        <v>0</v>
      </c>
      <c r="S79" s="111">
        <v>0</v>
      </c>
      <c r="T79" s="331">
        <f>+((P79*P$2)+(R$2*R79))/T$2</f>
        <v>0</v>
      </c>
      <c r="U79" s="331">
        <f>+((Q79*Q$2)+(S$2*S79))/U$2</f>
        <v>0</v>
      </c>
      <c r="V79" s="939">
        <v>0</v>
      </c>
      <c r="W79" s="111">
        <v>0</v>
      </c>
      <c r="X79" s="427">
        <f t="shared" ref="X79:Y80" si="262">+((N79*N$2)+(R79*R$2)+(V$2*V79))/X$2</f>
        <v>0</v>
      </c>
      <c r="Y79" s="427">
        <f t="shared" si="262"/>
        <v>0</v>
      </c>
      <c r="Z79" s="800">
        <f>+((L79*L$2)+(X$2*X79))/Z$2</f>
        <v>0</v>
      </c>
      <c r="AA79" s="800">
        <f>+((M79*M$2)+(Y$2*Y79))/AA$2</f>
        <v>0</v>
      </c>
      <c r="AB79" s="939">
        <v>0</v>
      </c>
      <c r="AC79" s="111">
        <v>0</v>
      </c>
      <c r="AD79" s="331">
        <f>+((Z79*Z$2)+(AB$2*AB79))/AD$2</f>
        <v>0</v>
      </c>
      <c r="AE79" s="331">
        <f>+((AA79*AA$2)+(AC$2*AC79))/AE$2</f>
        <v>0</v>
      </c>
      <c r="AF79" s="939">
        <v>0</v>
      </c>
      <c r="AG79" s="111">
        <v>0</v>
      </c>
      <c r="AH79" s="331">
        <f>+((AD79*AD$2)+(AF$2*AF79))/AH$2</f>
        <v>0</v>
      </c>
      <c r="AI79" s="331">
        <f>+((AE79*AE$2)+(AG$2*AG79))/AI$2</f>
        <v>0</v>
      </c>
      <c r="AJ79" s="939">
        <v>0</v>
      </c>
      <c r="AK79" s="111">
        <v>0</v>
      </c>
      <c r="AL79" s="427">
        <f t="shared" ref="AL79:AL80" si="263">+((AB79*AB$2)+(AF79*AF$2)+(AJ$2*AJ79))/AL$2</f>
        <v>0</v>
      </c>
      <c r="AM79" s="427">
        <f t="shared" ref="AM79:AM80" si="264">+((AC79*AC$2)+(AG79*AG$2)+(AK$2*AK79))/AM$2</f>
        <v>0</v>
      </c>
      <c r="AN79" s="331">
        <f>+((AH79*AH$2)+(AJ$2*AJ79))/AN$2</f>
        <v>0</v>
      </c>
      <c r="AO79" s="331">
        <f>+((AI79*AI$2)+(AK$2*AK79))/AO$2</f>
        <v>0</v>
      </c>
      <c r="AP79" s="939">
        <v>0</v>
      </c>
      <c r="AQ79" s="111">
        <v>0</v>
      </c>
      <c r="AR79" s="331">
        <f>+((AN79*AN$2)+(AP$2*AP79))/AR$2</f>
        <v>0</v>
      </c>
      <c r="AS79" s="331">
        <f>+((AO79*AO$2)+(AQ$2*AQ79))/AS$2</f>
        <v>0</v>
      </c>
      <c r="AT79" s="939">
        <v>0</v>
      </c>
      <c r="AU79" s="111">
        <v>0</v>
      </c>
      <c r="AV79" s="331">
        <f>+((AR79*AR$2)+(AT$2*AT79))/AV$2</f>
        <v>0</v>
      </c>
      <c r="AW79" s="331">
        <f>+((AS79*AS$2)+(AU$2*AU79))/AW$2</f>
        <v>0</v>
      </c>
      <c r="AX79" s="939">
        <v>0</v>
      </c>
      <c r="AY79" s="111">
        <v>0</v>
      </c>
      <c r="AZ79" s="427">
        <f t="shared" ref="AZ79:AZ80" si="265">+((AP79*AP$2)+(AT79*AT$2)+(AX$2*AX79))/AZ$2</f>
        <v>0</v>
      </c>
      <c r="BA79" s="427">
        <f t="shared" ref="BA79:BA80" si="266">+((AQ79*AQ$2)+(AU79*AU$2)+(AY$2*AY79))/BA$2</f>
        <v>0</v>
      </c>
      <c r="BB79" s="800">
        <f>+((AL79*AL$2)+(AZ$2*AZ79))/BB$2</f>
        <v>0</v>
      </c>
      <c r="BC79" s="800">
        <f>+((AM79*AM$2)+(BA$2*BA79))/BC$2</f>
        <v>0</v>
      </c>
      <c r="BD79" s="331">
        <f>+((AV79*AV$2)+(AX$2*AX79))/BD$2</f>
        <v>0</v>
      </c>
      <c r="BE79" s="331">
        <f>+((AW79*AW$2)+(AY$2*AY79))/BE$2</f>
        <v>0</v>
      </c>
      <c r="BF79" s="26"/>
      <c r="BG79" s="26"/>
      <c r="BH79" s="5726"/>
      <c r="BI79" s="5726"/>
    </row>
    <row r="80" spans="1:61" ht="16.5" thickBot="1" x14ac:dyDescent="0.3">
      <c r="B80" s="77" t="s">
        <v>483</v>
      </c>
      <c r="C80" s="63" t="s">
        <v>489</v>
      </c>
      <c r="D80" s="1705">
        <v>177.76362358585789</v>
      </c>
      <c r="E80" s="163">
        <v>180.48344444444444</v>
      </c>
      <c r="F80" s="1705">
        <v>192.58546624287118</v>
      </c>
      <c r="G80" s="163">
        <v>156.76827956989248</v>
      </c>
      <c r="H80" s="727">
        <f>+((D80*D$2)+(F$2*F80))/H$2</f>
        <v>185.29603542794658</v>
      </c>
      <c r="I80" s="727">
        <f>+((E80*E$2)+(G$2*G80))/I$2</f>
        <v>168.43147540983605</v>
      </c>
      <c r="J80" s="1705">
        <v>213.07495083927046</v>
      </c>
      <c r="K80" s="163">
        <v>145.13</v>
      </c>
      <c r="L80" s="1224">
        <f>+((H80*H$2)+(J$2*J80))/L$2</f>
        <v>194.45391962948193</v>
      </c>
      <c r="M80" s="1224">
        <f>+((I80*I$2)+(K$2*K80))/M$2</f>
        <v>160.74967032967032</v>
      </c>
      <c r="N80" s="1705">
        <v>173.6297905819896</v>
      </c>
      <c r="O80" s="2163">
        <v>167.69548387096773</v>
      </c>
      <c r="P80" s="727">
        <f>+((L80*L$2)+(N$2*N80))/P$2</f>
        <v>189.16254257643061</v>
      </c>
      <c r="Q80" s="727">
        <f>+((M80*M$2)+(O$2*O80))/Q$2</f>
        <v>162.51459016393443</v>
      </c>
      <c r="R80" s="1705">
        <v>171.06874566475818</v>
      </c>
      <c r="S80" s="163">
        <v>158.70354838709679</v>
      </c>
      <c r="T80" s="727">
        <f>+((P80*P$2)+(R$2*R80))/T$2</f>
        <v>185.49647914988259</v>
      </c>
      <c r="U80" s="727">
        <f>+((Q80*Q$2)+(S$2*S80))/U$2</f>
        <v>161.74241830065358</v>
      </c>
      <c r="V80" s="1705">
        <v>171.35871490465132</v>
      </c>
      <c r="W80" s="111">
        <v>165.23599999999999</v>
      </c>
      <c r="X80" s="1224">
        <f t="shared" si="262"/>
        <v>172.02626163900783</v>
      </c>
      <c r="Y80" s="1224">
        <f t="shared" si="262"/>
        <v>163.86358695652171</v>
      </c>
      <c r="Z80" s="800">
        <f>+((L80*L$2)+(X$2*X80))/Z$2</f>
        <v>183.17881288017256</v>
      </c>
      <c r="AA80" s="800">
        <f>+((M80*M$2)+(Y$2*Y80))/AA$2</f>
        <v>162.31513661202186</v>
      </c>
      <c r="AB80" s="1705">
        <v>179.43014245638227</v>
      </c>
      <c r="AC80" s="163">
        <v>171.5548387096774</v>
      </c>
      <c r="AD80" s="727">
        <f>+((Z80*Z$2)+(AB$2*AB80))/AD$2</f>
        <v>182.63578118326836</v>
      </c>
      <c r="AE80" s="727">
        <f>+((AA80*AA$2)+(AC$2*AC80))/AE$2</f>
        <v>163.65359813084115</v>
      </c>
      <c r="AF80" s="1705">
        <v>179.08456615727209</v>
      </c>
      <c r="AG80" s="163">
        <v>171.16433333333333</v>
      </c>
      <c r="AH80" s="727">
        <f>+((AD80*AD$2)+(AF$2*AF80))/AH$2</f>
        <v>182.19915638499015</v>
      </c>
      <c r="AI80" s="727">
        <f>+((AE80*AE$2)+(AG$2*AG80))/AI$2</f>
        <v>164.57704918032789</v>
      </c>
      <c r="AJ80" s="1705">
        <v>180.19383070208909</v>
      </c>
      <c r="AK80" s="163">
        <v>182.06870967741935</v>
      </c>
      <c r="AL80" s="1224">
        <f t="shared" si="263"/>
        <v>179.57478426772582</v>
      </c>
      <c r="AM80" s="1224">
        <f t="shared" si="264"/>
        <v>174.97021739130432</v>
      </c>
      <c r="AN80" s="727">
        <f>+((AH80*AH$2)+(AJ$2*AJ80))/AN$2</f>
        <v>181.97310148982675</v>
      </c>
      <c r="AO80" s="727">
        <f>+((AI80*AI$2)+(AK$2*AK80))/AO$2</f>
        <v>166.54883636363635</v>
      </c>
      <c r="AP80" s="1705">
        <v>180.09280602320325</v>
      </c>
      <c r="AQ80" s="163">
        <v>186.45139784946235</v>
      </c>
      <c r="AR80" s="727">
        <f>+((AN80*AN$2)+(AP$2*AP80))/AR$2</f>
        <v>181.78261404059367</v>
      </c>
      <c r="AS80" s="727">
        <f>+((AO80*AO$2)+(AQ$2*AQ80))/AS$2</f>
        <v>168.56510893246187</v>
      </c>
      <c r="AT80" s="1705">
        <v>179.86490262244456</v>
      </c>
      <c r="AU80" s="163">
        <v>187.253908045977</v>
      </c>
      <c r="AV80" s="727">
        <f>+((AR80*AR$2)+(AT$2*AT80))/AV$2</f>
        <v>181.61660320141061</v>
      </c>
      <c r="AW80" s="727">
        <f>+((AS80*AS$2)+(AU$2*AU80))/AW$2</f>
        <v>170.18294527363184</v>
      </c>
      <c r="AX80" s="1705">
        <v>181.06892138682019</v>
      </c>
      <c r="AY80" s="163">
        <v>170.45903225806452</v>
      </c>
      <c r="AZ80" s="1224">
        <f t="shared" si="265"/>
        <v>180.35270028309469</v>
      </c>
      <c r="BA80" s="1224">
        <f t="shared" si="266"/>
        <v>181.25919413919414</v>
      </c>
      <c r="BB80" s="800">
        <f>+((AL80*AL$2)+(AZ$2*AZ80))/BB$2</f>
        <v>179.96161682181634</v>
      </c>
      <c r="BC80" s="800">
        <f>+((AM80*AM$2)+(BA$2*BA80))/BC$2</f>
        <v>178.0975227686703</v>
      </c>
      <c r="BD80" s="727">
        <f>+((AV80*AV$2)+(AX$2*AX80))/BD$2</f>
        <v>181.57021485099449</v>
      </c>
      <c r="BE80" s="727">
        <f>+((AW80*AW$2)+(AY$2*AY80))/BE$2</f>
        <v>170.20632969034608</v>
      </c>
      <c r="BF80" s="26"/>
      <c r="BG80" s="26"/>
      <c r="BH80" s="5726"/>
      <c r="BI80" s="5726"/>
    </row>
    <row r="81" spans="1:61" ht="19.5" thickBot="1" x14ac:dyDescent="0.3">
      <c r="A81" s="183"/>
      <c r="B81" s="292" t="s">
        <v>2</v>
      </c>
      <c r="C81" s="244" t="s">
        <v>489</v>
      </c>
      <c r="D81" s="1222">
        <f t="shared" ref="D81:I81" si="267">SUM(D79:D80)</f>
        <v>177.76362358585789</v>
      </c>
      <c r="E81" s="176">
        <f t="shared" si="267"/>
        <v>180.48344444444444</v>
      </c>
      <c r="F81" s="1222">
        <f t="shared" ref="F81:G81" si="268">SUM(F79:F80)</f>
        <v>192.58546624287118</v>
      </c>
      <c r="G81" s="176">
        <f t="shared" si="268"/>
        <v>156.76827956989248</v>
      </c>
      <c r="H81" s="728">
        <f t="shared" si="267"/>
        <v>185.29603542794658</v>
      </c>
      <c r="I81" s="728">
        <f t="shared" si="267"/>
        <v>168.43147540983605</v>
      </c>
      <c r="J81" s="1222">
        <f t="shared" ref="J81:K81" si="269">SUM(J79:J80)</f>
        <v>213.07495083927046</v>
      </c>
      <c r="K81" s="3747">
        <f t="shared" si="269"/>
        <v>145.13</v>
      </c>
      <c r="L81" s="3625">
        <f t="shared" ref="L81:Q81" si="270">SUM(L79:L80)</f>
        <v>194.45391962948193</v>
      </c>
      <c r="M81" s="3750">
        <f t="shared" si="270"/>
        <v>160.74967032967032</v>
      </c>
      <c r="N81" s="3748">
        <f t="shared" si="270"/>
        <v>173.6297905819896</v>
      </c>
      <c r="O81" s="1891">
        <f t="shared" si="270"/>
        <v>167.69548387096773</v>
      </c>
      <c r="P81" s="728">
        <f t="shared" si="270"/>
        <v>189.16254257643061</v>
      </c>
      <c r="Q81" s="728">
        <f t="shared" si="270"/>
        <v>162.51459016393443</v>
      </c>
      <c r="R81" s="1222">
        <f t="shared" ref="R81:U81" si="271">SUM(R79:R80)</f>
        <v>171.06874566475818</v>
      </c>
      <c r="S81" s="176">
        <f t="shared" si="271"/>
        <v>158.70354838709679</v>
      </c>
      <c r="T81" s="728">
        <f t="shared" si="271"/>
        <v>185.49647914988259</v>
      </c>
      <c r="U81" s="728">
        <f t="shared" si="271"/>
        <v>161.74241830065358</v>
      </c>
      <c r="V81" s="1222">
        <f t="shared" ref="V81:Y81" si="272">SUM(V79:V80)</f>
        <v>171.35871490465132</v>
      </c>
      <c r="W81" s="3747">
        <f t="shared" si="272"/>
        <v>165.23599999999999</v>
      </c>
      <c r="X81" s="3625">
        <f t="shared" si="272"/>
        <v>172.02626163900783</v>
      </c>
      <c r="Y81" s="3750">
        <f t="shared" si="272"/>
        <v>163.86358695652171</v>
      </c>
      <c r="Z81" s="3752">
        <f t="shared" ref="Z81:AE81" si="273">SUM(Z79:Z80)</f>
        <v>183.17881288017256</v>
      </c>
      <c r="AA81" s="620">
        <f t="shared" si="273"/>
        <v>162.31513661202186</v>
      </c>
      <c r="AB81" s="1222">
        <f t="shared" si="273"/>
        <v>179.43014245638227</v>
      </c>
      <c r="AC81" s="176">
        <f t="shared" si="273"/>
        <v>171.5548387096774</v>
      </c>
      <c r="AD81" s="728">
        <f t="shared" si="273"/>
        <v>182.63578118326836</v>
      </c>
      <c r="AE81" s="728">
        <f t="shared" si="273"/>
        <v>163.65359813084115</v>
      </c>
      <c r="AF81" s="1222">
        <f t="shared" ref="AF81:AI81" si="274">SUM(AF79:AF80)</f>
        <v>179.08456615727209</v>
      </c>
      <c r="AG81" s="176">
        <f t="shared" si="274"/>
        <v>171.16433333333333</v>
      </c>
      <c r="AH81" s="728">
        <f t="shared" si="274"/>
        <v>182.19915638499015</v>
      </c>
      <c r="AI81" s="728">
        <f t="shared" si="274"/>
        <v>164.57704918032789</v>
      </c>
      <c r="AJ81" s="1222">
        <f t="shared" ref="AJ81:AS81" si="275">SUM(AJ79:AJ80)</f>
        <v>180.19383070208909</v>
      </c>
      <c r="AK81" s="176">
        <f t="shared" si="275"/>
        <v>182.06870967741935</v>
      </c>
      <c r="AL81" s="4366">
        <f t="shared" si="275"/>
        <v>179.57478426772582</v>
      </c>
      <c r="AM81" s="3750">
        <f t="shared" si="275"/>
        <v>174.97021739130432</v>
      </c>
      <c r="AN81" s="728">
        <f t="shared" si="275"/>
        <v>181.97310148982675</v>
      </c>
      <c r="AO81" s="728">
        <f t="shared" si="275"/>
        <v>166.54883636363635</v>
      </c>
      <c r="AP81" s="1222">
        <f t="shared" si="275"/>
        <v>180.09280602320325</v>
      </c>
      <c r="AQ81" s="176">
        <f t="shared" si="275"/>
        <v>186.45139784946235</v>
      </c>
      <c r="AR81" s="728">
        <f t="shared" si="275"/>
        <v>181.78261404059367</v>
      </c>
      <c r="AS81" s="728">
        <f t="shared" si="275"/>
        <v>168.56510893246187</v>
      </c>
      <c r="AT81" s="1222">
        <f t="shared" ref="AT81:AW81" si="276">SUM(AT79:AT80)</f>
        <v>179.86490262244456</v>
      </c>
      <c r="AU81" s="176">
        <f t="shared" si="276"/>
        <v>187.253908045977</v>
      </c>
      <c r="AV81" s="728">
        <f t="shared" si="276"/>
        <v>181.61660320141061</v>
      </c>
      <c r="AW81" s="728">
        <f t="shared" si="276"/>
        <v>170.18294527363184</v>
      </c>
      <c r="AX81" s="1222">
        <f t="shared" ref="AX81:BE81" si="277">SUM(AX79:AX80)</f>
        <v>181.06892138682019</v>
      </c>
      <c r="AY81" s="176">
        <f t="shared" si="277"/>
        <v>170.45903225806452</v>
      </c>
      <c r="AZ81" s="5216">
        <f t="shared" si="277"/>
        <v>180.35270028309469</v>
      </c>
      <c r="BA81" s="3750">
        <f t="shared" si="277"/>
        <v>181.25919413919414</v>
      </c>
      <c r="BB81" s="3752">
        <f t="shared" si="277"/>
        <v>179.96161682181634</v>
      </c>
      <c r="BC81" s="620">
        <f t="shared" si="277"/>
        <v>178.0975227686703</v>
      </c>
      <c r="BD81" s="728">
        <f t="shared" si="277"/>
        <v>181.57021485099449</v>
      </c>
      <c r="BE81" s="728">
        <f t="shared" si="277"/>
        <v>170.20632969034608</v>
      </c>
      <c r="BF81" s="26"/>
      <c r="BG81" s="26"/>
      <c r="BH81" s="5726"/>
      <c r="BI81" s="5726"/>
    </row>
    <row r="82" spans="1:61" x14ac:dyDescent="0.25">
      <c r="A82" s="183"/>
      <c r="B82" s="44" t="s">
        <v>71</v>
      </c>
      <c r="C82" s="16" t="s">
        <v>308</v>
      </c>
      <c r="D82" s="437">
        <f>+EMD!D28/(EMD!D$2*24)</f>
        <v>13.932001910113078</v>
      </c>
      <c r="E82" s="437">
        <f>+EMD!E28/(EMD!E$2*24)</f>
        <v>13.59416666666668</v>
      </c>
      <c r="F82" s="437">
        <f>+EMD!F28/(EMD!F$2*24)</f>
        <v>16.6845175166339</v>
      </c>
      <c r="G82" s="437">
        <f>+EMD!G28/(EMD!G$2*24)</f>
        <v>12.257647849462378</v>
      </c>
      <c r="H82" s="127">
        <f>+EMD!H28/(EMD!H$2*24)</f>
        <v>15.330821316705626</v>
      </c>
      <c r="I82" s="127">
        <f>+EMD!I28/(EMD!I$2*24)</f>
        <v>12.914952185792362</v>
      </c>
      <c r="J82" s="437">
        <f>+EMD!J28/(EMD!J$2*24)</f>
        <v>16.690793443431485</v>
      </c>
      <c r="K82" s="2142">
        <f>+EMD!K28/(EMD!K$2*24)</f>
        <v>13.189722222222217</v>
      </c>
      <c r="L82" s="2128">
        <f>+EMD!L28/(EMD!L$2*24)</f>
        <v>15.779163776065799</v>
      </c>
      <c r="M82" s="124">
        <f>+EMD!M28/(EMD!M$2*24)</f>
        <v>13.005535714285722</v>
      </c>
      <c r="N82" s="3745">
        <v>14.013845955809611</v>
      </c>
      <c r="O82" s="437">
        <f>+EMD!O28/(EMD!O$2*24)</f>
        <v>13.001639784946232</v>
      </c>
      <c r="P82" s="127">
        <f>+EMD!P28/(EMD!P$2*24)</f>
        <v>15.330599411902343</v>
      </c>
      <c r="Q82" s="127">
        <f>+EMD!Q28/(EMD!Q$2*24)</f>
        <v>13.004545765027327</v>
      </c>
      <c r="R82" s="437">
        <f>+EMD!R28/(EMD!R$2*24)</f>
        <v>13.333201471969186</v>
      </c>
      <c r="S82" s="437">
        <f>+EMD!S28/(EMD!S$2*24)</f>
        <v>13.618817204301072</v>
      </c>
      <c r="T82" s="127">
        <f>+EMD!T28/(EMD!T$2*24)</f>
        <v>14.925897868517193</v>
      </c>
      <c r="U82" s="127">
        <f>+EMD!U28/(EMD!U$2*24)</f>
        <v>13.129005991285405</v>
      </c>
      <c r="V82" s="437">
        <f>+EMD!V28/(EMD!V$2*24)</f>
        <v>13.481381723079123</v>
      </c>
      <c r="W82" s="2142">
        <f>+EMD!W28/(EMD!W$2*24)</f>
        <v>13.693055555555556</v>
      </c>
      <c r="X82" s="2128">
        <f>+EMD!X28/(EMD!X$2*24)</f>
        <v>13.610868716886047</v>
      </c>
      <c r="Y82" s="124">
        <f>+EMD!Y28/(EMD!Y$2*24)</f>
        <v>13.435063405797099</v>
      </c>
      <c r="Z82" s="3753">
        <f>+EMD!Z28/(EMD!Z$2*24)</f>
        <v>14.689091943035542</v>
      </c>
      <c r="AA82" s="569">
        <f>+EMD!AA28/(EMD!AA$2*24)</f>
        <v>13.221473132969038</v>
      </c>
      <c r="AB82" s="437">
        <f>+EMD!AB28/(EMD!AB$2*24)</f>
        <v>13.600769696329685</v>
      </c>
      <c r="AC82" s="437">
        <f>+EMD!AC28/(EMD!AC$2*24)</f>
        <v>13.287325268924732</v>
      </c>
      <c r="AD82" s="127">
        <f>+EMD!AD28/(EMD!AD$2*24)</f>
        <v>14.531437785802451</v>
      </c>
      <c r="AE82" s="127">
        <f>+EMD!AE28/(EMD!AE$2*24)</f>
        <v>13.231012461074769</v>
      </c>
      <c r="AF82" s="437">
        <f>+EMD!AF28/(EMD!AF$2*24)</f>
        <v>13.783841497410046</v>
      </c>
      <c r="AG82" s="437">
        <f>+EMD!AG28/(EMD!AG$2*24)</f>
        <v>13.150972222222228</v>
      </c>
      <c r="AH82" s="127">
        <f>+EMD!AH28/(EMD!AH$2*24)</f>
        <v>14.439520209360762</v>
      </c>
      <c r="AI82" s="127">
        <f>+EMD!AI28/(EMD!AI$2*24)</f>
        <v>13.221171448101098</v>
      </c>
      <c r="AJ82" s="437">
        <f>+EMD!AJ28/(EMD!AJ$2*24)</f>
        <v>13.519217241115173</v>
      </c>
      <c r="AK82" s="437">
        <f>+EMD!AK28/(EMD!AK$2*24)</f>
        <v>13.170819892473114</v>
      </c>
      <c r="AL82" s="2128">
        <f>+EMD!AL28/(EMD!AL$2*24)</f>
        <v>13.632987391120565</v>
      </c>
      <c r="AM82" s="124">
        <f>+EMD!AM28/(EMD!AM$2*24)</f>
        <v>13.203605072500002</v>
      </c>
      <c r="AN82" s="127">
        <f>+EMD!AN28/(EMD!AN$2*24)</f>
        <v>14.335776965667623</v>
      </c>
      <c r="AO82" s="127">
        <f>+EMD!AO28/(EMD!AO$2*24)</f>
        <v>13.21549545455758</v>
      </c>
      <c r="AP82" s="437">
        <f>+EMD!AP28/(EMD!AP$2*24)</f>
        <v>13.499493375237462</v>
      </c>
      <c r="AQ82" s="437">
        <f>+EMD!AQ28/(EMD!AQ$2*24)</f>
        <v>12.545349462365586</v>
      </c>
      <c r="AR82" s="127">
        <f>+EMD!AR28/(EMD!AR$2*24)</f>
        <v>14.251055425460645</v>
      </c>
      <c r="AS82" s="127">
        <f>+EMD!AS28/(EMD!AS$2*24)</f>
        <v>13.147604847505448</v>
      </c>
      <c r="AT82" s="437">
        <f>+EMD!AT28/(EMD!AT$2*24)</f>
        <v>13.986844443133085</v>
      </c>
      <c r="AU82" s="437">
        <f>+EMD!AU28/(EMD!AU$2*24)</f>
        <v>12.501910919540235</v>
      </c>
      <c r="AV82" s="127">
        <f>+EMD!AV28/(EMD!AV$2*24)</f>
        <v>14.228183429975575</v>
      </c>
      <c r="AW82" s="127">
        <f>+EMD!AW28/(EMD!AW$2*24)</f>
        <v>13.091708955233832</v>
      </c>
      <c r="AX82" s="437">
        <f>+EMD!AX28/(EMD!AX$2*24)</f>
        <v>13.437664785900651</v>
      </c>
      <c r="AY82" s="437">
        <f>+EMD!AY28/(EMD!AY$2*24)</f>
        <v>12.530483870967744</v>
      </c>
      <c r="AZ82" s="459">
        <f>+EMD!AZ28/(EMD!AZ$2*24)</f>
        <v>13.633740569737814</v>
      </c>
      <c r="BA82" s="3751">
        <f>+EMD!BA28/(EMD!BA$2*24)</f>
        <v>12.526442307692308</v>
      </c>
      <c r="BB82" s="3753">
        <f>+EMD!BB28/(EMD!BB$2*24)</f>
        <v>13.633361922564115</v>
      </c>
      <c r="BC82" s="569">
        <f>+EMD!BC28/(EMD!BC$2*24)</f>
        <v>12.8668738615847</v>
      </c>
      <c r="BD82" s="127">
        <f>+EMD!BD28/(EMD!BD$2*24)</f>
        <v>14.161226932799829</v>
      </c>
      <c r="BE82" s="127">
        <f>+EMD!BE28/(EMD!BE$2*24)</f>
        <v>13.044173497276869</v>
      </c>
      <c r="BF82" s="26"/>
      <c r="BG82" s="26"/>
      <c r="BH82" s="5726"/>
      <c r="BI82" s="5726"/>
    </row>
    <row r="83" spans="1:61" x14ac:dyDescent="0.25">
      <c r="A83" s="183"/>
      <c r="B83" s="45" t="s">
        <v>97</v>
      </c>
      <c r="C83" s="16" t="s">
        <v>308</v>
      </c>
      <c r="D83" s="437">
        <f>EMD!D62/(EMD!D$2*24)</f>
        <v>177.12308160453293</v>
      </c>
      <c r="E83" s="437">
        <f>EMD!E62/(EMD!E$2*24)</f>
        <v>179.07749999999999</v>
      </c>
      <c r="F83" s="437">
        <f>EMD!F62/(EMD!F$2*24)</f>
        <v>175.16626930670421</v>
      </c>
      <c r="G83" s="437">
        <f>EMD!G62/(EMD!G$2*24)</f>
        <v>149.32123655913978</v>
      </c>
      <c r="H83" s="127">
        <f>EMD!H62/(EMD!H$2*24)</f>
        <v>176.1286360105544</v>
      </c>
      <c r="I83" s="127">
        <f>EMD!I62/(EMD!I$2*24)</f>
        <v>163.9554644808743</v>
      </c>
      <c r="J83" s="437">
        <f>EMD!J62/(EMD!J$2*24)</f>
        <v>189.0696254813185</v>
      </c>
      <c r="K83" s="2142">
        <f>EMD!K62/(EMD!K$2*24)</f>
        <v>161.93194444444441</v>
      </c>
      <c r="L83" s="459">
        <f>EMD!L62/(EMD!L$2*24)</f>
        <v>180.39489627564146</v>
      </c>
      <c r="M83" s="3751">
        <f>EMD!M62/(EMD!M$2*24)</f>
        <v>163.28836996336995</v>
      </c>
      <c r="N83" s="3745">
        <v>173.35507194678468</v>
      </c>
      <c r="O83" s="437">
        <f>EMD!O62/(EMD!O$2*24)</f>
        <v>166.45543010752687</v>
      </c>
      <c r="P83" s="127">
        <f>EMD!P62/(EMD!P$2*24)</f>
        <v>178.60608845437457</v>
      </c>
      <c r="Q83" s="127">
        <f>EMD!Q62/(EMD!Q$2*24)</f>
        <v>164.09311475409834</v>
      </c>
      <c r="R83" s="437">
        <f>EMD!R62/(EMD!R$2*24)</f>
        <v>174.35507194678465</v>
      </c>
      <c r="S83" s="437">
        <f>EMD!S62/(EMD!S$2*24)</f>
        <v>170.78629032258075</v>
      </c>
      <c r="T83" s="127">
        <f>EMD!T62/(EMD!T$2*24)</f>
        <v>177.74477138420932</v>
      </c>
      <c r="U83" s="127">
        <f>EMD!U62/(EMD!U$2*24)</f>
        <v>165.44924836601308</v>
      </c>
      <c r="V83" s="437">
        <f>EMD!V62/(EMD!V$2*24)</f>
        <v>173.97377241543199</v>
      </c>
      <c r="W83" s="2142">
        <f>EMD!W62/(EMD!W$2*24)</f>
        <v>161.49722222222223</v>
      </c>
      <c r="X83" s="459">
        <f>EMD!X62/(EMD!X$2*24)</f>
        <v>173.89377862134359</v>
      </c>
      <c r="Y83" s="3751">
        <f>EMD!Y62/(EMD!Y$2*24)</f>
        <v>166.29793478260873</v>
      </c>
      <c r="Z83" s="3753">
        <f>EMD!Z62/(EMD!Z$2*24)</f>
        <v>177.12657483195073</v>
      </c>
      <c r="AA83" s="569">
        <f>EMD!AA62/(EMD!AA$2*24)</f>
        <v>164.80137522768672</v>
      </c>
      <c r="AB83" s="437">
        <f>EMD!AB62/(EMD!AB$2*24)</f>
        <v>180.2066420872039</v>
      </c>
      <c r="AC83" s="437">
        <f>EMD!AC62/(EMD!AC$2*24)</f>
        <v>173.13844086021504</v>
      </c>
      <c r="AD83" s="127">
        <f>EMD!AD62/(EMD!AD$2*24)</f>
        <v>177.57275279883319</v>
      </c>
      <c r="AE83" s="127">
        <f>EMD!AE62/(EMD!AE$2*24)</f>
        <v>166.00908099688473</v>
      </c>
      <c r="AF83" s="437">
        <f>EMD!AF62/(EMD!AF$2*24)</f>
        <v>179.09882605226886</v>
      </c>
      <c r="AG83" s="437">
        <f>EMD!AG62/(EMD!AG$2*24)</f>
        <v>164.8694444444445</v>
      </c>
      <c r="AH83" s="127">
        <f>EMD!AH62/(EMD!AH$2*24)</f>
        <v>177.76038475622283</v>
      </c>
      <c r="AI83" s="127">
        <f>EMD!AI62/(EMD!AI$2*24)</f>
        <v>165.86896174863389</v>
      </c>
      <c r="AJ83" s="437">
        <f>EMD!AJ62/(EMD!AJ$2*24)</f>
        <v>181.19455396411314</v>
      </c>
      <c r="AK83" s="437">
        <f>EMD!AK62/(EMD!AK$2*24)</f>
        <v>164.23521505376351</v>
      </c>
      <c r="AL83" s="459">
        <f>EMD!AL62/(EMD!AL$2*24)</f>
        <v>180.17828107781406</v>
      </c>
      <c r="AM83" s="3751">
        <f>EMD!AM62/(EMD!AM$2*24)</f>
        <v>167.44202898550728</v>
      </c>
      <c r="AN83" s="127">
        <f>EMD!AN62/(EMD!AN$2*24)</f>
        <v>178.14750928511231</v>
      </c>
      <c r="AO83" s="127">
        <f>EMD!AO62/(EMD!AO$2*24)</f>
        <v>165.68479393939396</v>
      </c>
      <c r="AP83" s="437">
        <f>EMD!AP62/(EMD!AP$2*24)</f>
        <v>181.19455396411314</v>
      </c>
      <c r="AQ83" s="437">
        <f>EMD!AQ62/(EMD!AQ$2*24)</f>
        <v>157.58467741935476</v>
      </c>
      <c r="AR83" s="127">
        <f>EMD!AR62/(EMD!AR$2*24)</f>
        <v>178.45619681795225</v>
      </c>
      <c r="AS83" s="127">
        <f>EMD!AS62/(EMD!AS$2*24)</f>
        <v>164.86419389978215</v>
      </c>
      <c r="AT83" s="437">
        <f>EMD!AT62/(EMD!AT$2*24)</f>
        <v>178.25773771481539</v>
      </c>
      <c r="AU83" s="437">
        <f>EMD!AU62/(EMD!AU$2*24)</f>
        <v>171.08189655172413</v>
      </c>
      <c r="AV83" s="127">
        <f>EMD!AV62/(EMD!AV$2*24)</f>
        <v>178.43901677618817</v>
      </c>
      <c r="AW83" s="127">
        <f>EMD!AW62/(EMD!AW$2*24)</f>
        <v>165.40244278606966</v>
      </c>
      <c r="AX83" s="437">
        <f>EMD!AX62/(EMD!AX$2*24)</f>
        <v>182.18246584102224</v>
      </c>
      <c r="AY83" s="437">
        <f>EMD!AY62/(EMD!AY$2*24)</f>
        <v>163.1115591397849</v>
      </c>
      <c r="AZ83" s="459">
        <f>EMD!AZ62/(EMD!AZ$2*24)</f>
        <v>180.59518689767958</v>
      </c>
      <c r="BA83" s="3751">
        <f>EMD!BA62/(EMD!BA$2*24)</f>
        <v>163.76877289377285</v>
      </c>
      <c r="BB83" s="3753">
        <f>EMD!BB62/(EMD!BB$2*24)</f>
        <v>180.38559490080732</v>
      </c>
      <c r="BC83" s="569">
        <f>EMD!BC62/(EMD!BC$2*24)</f>
        <v>165.61543715846994</v>
      </c>
      <c r="BD83" s="127">
        <f>EMD!BD62/(EMD!BD$2*24)</f>
        <v>178.75608486637904</v>
      </c>
      <c r="BE83" s="127">
        <f>EMD!BE62/(EMD!BE$2*24)</f>
        <v>165.20840619307833</v>
      </c>
      <c r="BF83" s="26"/>
      <c r="BG83" s="26"/>
      <c r="BH83" s="5726"/>
      <c r="BI83" s="5726"/>
    </row>
    <row r="84" spans="1:61" x14ac:dyDescent="0.25">
      <c r="A84" s="183"/>
      <c r="B84" s="45" t="s">
        <v>472</v>
      </c>
      <c r="C84" s="16" t="s">
        <v>308</v>
      </c>
      <c r="D84" s="437">
        <f>EMD!D84/(EMD!D$2*24)</f>
        <v>16.920859538784065</v>
      </c>
      <c r="E84" s="437">
        <f>EMD!E84/(EMD!E$2*24)</f>
        <v>15.378162499999998</v>
      </c>
      <c r="F84" s="437">
        <f>EMD!F84/(EMD!F$2*24)</f>
        <v>13.655153175086225</v>
      </c>
      <c r="G84" s="437">
        <f>EMD!G84/(EMD!G$2*24)</f>
        <v>9.0764126344086034</v>
      </c>
      <c r="H84" s="127">
        <f>EMD!H84/(EMD!H$2*24)</f>
        <v>15.2612382719868</v>
      </c>
      <c r="I84" s="127">
        <f>EMD!I84/(EMD!I$2*24)</f>
        <v>12.175633879781421</v>
      </c>
      <c r="J84" s="437">
        <f>EMD!J84/(EMD!J$2*24)</f>
        <v>13.799004192872118</v>
      </c>
      <c r="K84" s="2142">
        <f>EMD!K84/(EMD!K$2*24)</f>
        <v>0</v>
      </c>
      <c r="L84" s="459">
        <f>EMD!L84/(EMD!L$2*24)</f>
        <v>14.779183081069872</v>
      </c>
      <c r="M84" s="3751">
        <f>EMD!M84/(EMD!M$2*24)</f>
        <v>8.1616886446886454</v>
      </c>
      <c r="N84" s="3745">
        <v>16.584246297423412</v>
      </c>
      <c r="O84" s="437">
        <f>EMD!O84/(EMD!O$2*24)</f>
        <v>10.599130376344087</v>
      </c>
      <c r="P84" s="127">
        <f>EMD!P84/(EMD!P$2*24)</f>
        <v>15.237846685225282</v>
      </c>
      <c r="Q84" s="127">
        <f>EMD!Q84/(EMD!Q$2*24)</f>
        <v>8.7810385928961754</v>
      </c>
      <c r="R84" s="437">
        <f>EMD!R84/(EMD!R$2*24)</f>
        <v>16.584246297423412</v>
      </c>
      <c r="S84" s="437">
        <f>EMD!S84/(EMD!S$2*24)</f>
        <v>11.805456989247309</v>
      </c>
      <c r="T84" s="127">
        <f>EMD!T84/(EMD!T$2*24)</f>
        <v>15.510646606651047</v>
      </c>
      <c r="U84" s="127">
        <f>EMD!U84/(EMD!U$2*24)</f>
        <v>9.3938292483660142</v>
      </c>
      <c r="V84" s="437">
        <f>EMD!V84/(EMD!V$2*24)</f>
        <v>16.632599580712789</v>
      </c>
      <c r="W84" s="2142">
        <f>EMD!W84/(EMD!W$2*24)</f>
        <v>12.472777777777777</v>
      </c>
      <c r="X84" s="459">
        <f>EMD!X84/(EMD!X$2*24)</f>
        <v>16.60001367240908</v>
      </c>
      <c r="Y84" s="3751">
        <f>EMD!Y84/(EMD!Y$2*24)</f>
        <v>11.616581974637679</v>
      </c>
      <c r="Z84" s="3753">
        <f>EMD!Z84/(EMD!Z$2*24)</f>
        <v>15.694573323710348</v>
      </c>
      <c r="AA84" s="569">
        <f>EMD!AA84/(EMD!AA$2*24)</f>
        <v>9.898574908925319</v>
      </c>
      <c r="AB84" s="437">
        <f>EMD!AB84/(EMD!AB$2*24)</f>
        <v>17.072428484479612</v>
      </c>
      <c r="AC84" s="437">
        <f>EMD!AC84/(EMD!AC$2*24)</f>
        <v>14.136795698924725</v>
      </c>
      <c r="AD84" s="127">
        <f>EMD!AD84/(EMD!AD$2*24)</f>
        <v>15.894169164756361</v>
      </c>
      <c r="AE84" s="127">
        <f>EMD!AE84/(EMD!AE$2*24)</f>
        <v>10.51252278037383</v>
      </c>
      <c r="AF84" s="437">
        <f>EMD!AF84/(EMD!AF$2*24)</f>
        <v>17.064989517819704</v>
      </c>
      <c r="AG84" s="437">
        <f>EMD!AG84/(EMD!AG$2*24)</f>
        <v>14.959780555555552</v>
      </c>
      <c r="AH84" s="127">
        <f>EMD!AH84/(EMD!AH$2*24)</f>
        <v>16.038122486854313</v>
      </c>
      <c r="AI84" s="127">
        <f>EMD!AI84/(EMD!AI$2*24)</f>
        <v>11.059316769125683</v>
      </c>
      <c r="AJ84" s="437">
        <f>EMD!AJ84/(EMD!AJ$2*24)</f>
        <v>17.142168796916213</v>
      </c>
      <c r="AK84" s="437">
        <f>EMD!AK84/(EMD!AK$2*24)</f>
        <v>17.258198924731182</v>
      </c>
      <c r="AL84" s="459">
        <f>EMD!AL84/(EMD!AL$2*24)</f>
        <v>17.093502187585454</v>
      </c>
      <c r="AM84" s="3751">
        <f>EMD!AM84/(EMD!AM$2*24)</f>
        <v>15.456937499999995</v>
      </c>
      <c r="AN84" s="127">
        <f>EMD!AN84/(EMD!AN$2*24)</f>
        <v>16.162578616352199</v>
      </c>
      <c r="AO84" s="127">
        <f>EMD!AO84/(EMD!AO$2*24)</f>
        <v>11.758099848484848</v>
      </c>
      <c r="AP84" s="437">
        <f>EMD!AP84/(EMD!AP$2*24)</f>
        <v>17.142168796916213</v>
      </c>
      <c r="AQ84" s="437">
        <f>EMD!AQ84/(EMD!AQ$2*24)</f>
        <v>17.479772849462368</v>
      </c>
      <c r="AR84" s="127">
        <f>EMD!AR84/(EMD!AR$2*24)</f>
        <v>16.261818144448554</v>
      </c>
      <c r="AS84" s="127">
        <f>EMD!AS84/(EMD!AS$2*24)</f>
        <v>12.337746459694989</v>
      </c>
      <c r="AT84" s="437">
        <f>EMD!AT84/(EMD!AT$2*24)</f>
        <v>17.057037518976362</v>
      </c>
      <c r="AU84" s="437">
        <f>EMD!AU84/(EMD!AU$2*24)</f>
        <v>18.533692528735628</v>
      </c>
      <c r="AV84" s="127">
        <f>EMD!AV84/(EMD!AV$2*24)</f>
        <v>16.330658030601708</v>
      </c>
      <c r="AW84" s="127">
        <f>EMD!AW84/(EMD!AW$2*24)</f>
        <v>12.874111940298507</v>
      </c>
      <c r="AX84" s="437">
        <f>EMD!AX84/(EMD!AX$2*24)</f>
        <v>17.21190910935281</v>
      </c>
      <c r="AY84" s="437">
        <f>EMD!AY84/(EMD!AY$2*24)</f>
        <v>17.765235215053764</v>
      </c>
      <c r="AZ84" s="459">
        <f>EMD!AZ84/(EMD!AZ$2*24)</f>
        <v>17.138796737853344</v>
      </c>
      <c r="BA84" s="3751">
        <f>EMD!BA84/(EMD!BA$2*24)</f>
        <v>17.912882783882782</v>
      </c>
      <c r="BB84" s="3753">
        <f>EMD!BB84/(EMD!BB$2*24)</f>
        <v>17.116025707117576</v>
      </c>
      <c r="BC84" s="569">
        <f>EMD!BC84/(EMD!BC$2*24)</f>
        <v>16.678199908925315</v>
      </c>
      <c r="BD84" s="127">
        <f>EMD!BD84/(EMD!BD$2*24)</f>
        <v>16.405299515413962</v>
      </c>
      <c r="BE84" s="127">
        <f>EMD!BE84/(EMD!BE$2*24)</f>
        <v>13.28838740892532</v>
      </c>
      <c r="BF84" s="26"/>
      <c r="BG84" s="26"/>
      <c r="BH84" s="5726"/>
      <c r="BI84" s="5726"/>
    </row>
    <row r="85" spans="1:61" x14ac:dyDescent="0.25">
      <c r="A85" s="183"/>
      <c r="B85" s="45" t="s">
        <v>108</v>
      </c>
      <c r="C85" s="13" t="s">
        <v>471</v>
      </c>
      <c r="D85" s="882">
        <f>EMD!D93/(EMD!D$2*24)</f>
        <v>0.14385672591561871</v>
      </c>
      <c r="E85" s="882">
        <f>EMD!E93/(EMD!E$2*24)</f>
        <v>0.23153224982381962</v>
      </c>
      <c r="F85" s="882">
        <f>EMD!F93/(EMD!F$2*24)</f>
        <v>1.1697120580854889</v>
      </c>
      <c r="G85" s="882">
        <f>EMD!G93/(EMD!G$2*24)</f>
        <v>0.6374718026097429</v>
      </c>
      <c r="H85" s="915">
        <f>EMD!H93/(EMD!H$2*24)</f>
        <v>0.66519304226424125</v>
      </c>
      <c r="I85" s="915">
        <f>EMD!I93/(EMD!I$2*24)</f>
        <v>0.4378293996002724</v>
      </c>
      <c r="J85" s="882">
        <f>EMD!J93/(EMD!J$2*24)</f>
        <v>1.7332547262319216</v>
      </c>
      <c r="K85" s="3743">
        <f>EMD!K93/(EMD!K$2*24)</f>
        <v>0.64847619215409991</v>
      </c>
      <c r="L85" s="459">
        <f>EMD!L93/(EMD!L$2*24)</f>
        <v>1.017301289726114</v>
      </c>
      <c r="M85" s="3751">
        <f>EMD!M93/(EMD!M$2*24)</f>
        <v>0.50727339714549025</v>
      </c>
      <c r="N85" s="3746">
        <v>0.15536355722885098</v>
      </c>
      <c r="O85" s="882">
        <f>EMD!O93/(EMD!O$2*24)</f>
        <v>9.5478415058310062E-2</v>
      </c>
      <c r="P85" s="915">
        <f>EMD!P93/(EMD!P$2*24)</f>
        <v>0.79828432491123558</v>
      </c>
      <c r="Q85" s="915">
        <f>EMD!Q93/(EMD!Q$2*24)</f>
        <v>0.40263696727087889</v>
      </c>
      <c r="R85" s="882">
        <f>EMD!R93/(EMD!R$2*24)</f>
        <v>0.15536355722885098</v>
      </c>
      <c r="S85" s="882">
        <f>EMD!S93/(EMD!S$2*24)</f>
        <v>0</v>
      </c>
      <c r="T85" s="915">
        <f>EMD!T93/(EMD!T$2*24)</f>
        <v>0.66801933276643866</v>
      </c>
      <c r="U85" s="915">
        <f>EMD!U93/(EMD!U$2*24)</f>
        <v>0.32105692815063547</v>
      </c>
      <c r="V85" s="882">
        <f>EMD!V93/(EMD!V$2*24)</f>
        <v>0.12520340093073745</v>
      </c>
      <c r="W85" s="3743">
        <f>EMD!W93/(EMD!W$2*24)</f>
        <v>0.31740416666666665</v>
      </c>
      <c r="X85" s="459">
        <f>EMD!X93/(EMD!X$2*24)</f>
        <v>0.14552872365337918</v>
      </c>
      <c r="Y85" s="3751">
        <f>EMD!Y93/(EMD!Y$2*24)</f>
        <v>0.13567343333486534</v>
      </c>
      <c r="Z85" s="3754">
        <f>EMD!Z93/(EMD!Z$2*24)</f>
        <v>0.57903311443271721</v>
      </c>
      <c r="AA85" s="916">
        <f>EMD!AA93/(EMD!AA$2*24)</f>
        <v>0.32045811479260777</v>
      </c>
      <c r="AB85" s="882">
        <f>EMD!AB93/(EMD!AB$2*24)</f>
        <v>0.13731195240477057</v>
      </c>
      <c r="AC85" s="882">
        <f>EMD!AC93/(EMD!AC$2*24)</f>
        <v>0.15626974925549525</v>
      </c>
      <c r="AD85" s="915">
        <f>EMD!AD93/(EMD!AD$2*24)</f>
        <v>0.51504546946605201</v>
      </c>
      <c r="AE85" s="915">
        <f>EMD!AE93/(EMD!AE$2*24)</f>
        <v>0.2966738188503158</v>
      </c>
      <c r="AF85" s="882">
        <f>EMD!AF93/(EMD!AF$2*24)</f>
        <v>0.12520340093073745</v>
      </c>
      <c r="AG85" s="882">
        <f>EMD!AG93/(EMD!AG$2*24)</f>
        <v>0.35925491543340338</v>
      </c>
      <c r="AH85" s="915">
        <f>EMD!AH93/(EMD!AH$2*24)</f>
        <v>0.46711406759695601</v>
      </c>
      <c r="AI85" s="915">
        <f>EMD!AI93/(EMD!AI$2*24)</f>
        <v>0.30436821597118724</v>
      </c>
      <c r="AJ85" s="882">
        <f>EMD!AJ93/(EMD!AJ$2*24)</f>
        <v>0.13731195240477057</v>
      </c>
      <c r="AK85" s="882">
        <f>EMD!AK93/(EMD!AK$2*24)</f>
        <v>0.75381466567393018</v>
      </c>
      <c r="AL85" s="459">
        <f>EMD!AL93/(EMD!AL$2*24)</f>
        <v>0.13336351170671629</v>
      </c>
      <c r="AM85" s="3751">
        <f>EMD!AM93/(EMD!AM$2*24)</f>
        <v>0.42380722093276402</v>
      </c>
      <c r="AN85" s="127">
        <f>EMD!AN93/(EMD!AN$2*24)</f>
        <v>0.42993637461165513</v>
      </c>
      <c r="AO85" s="127">
        <f>EMD!AO93/(EMD!AO$2*24)</f>
        <v>0.35503308848313281</v>
      </c>
      <c r="AP85" s="882">
        <f>EMD!AP93/(EMD!AP$2*24)</f>
        <v>0.13731195240477057</v>
      </c>
      <c r="AQ85" s="882">
        <f>EMD!AQ93/(EMD!AQ$2*24)</f>
        <v>1.0693251831206563</v>
      </c>
      <c r="AR85" s="915">
        <f>EMD!AR93/(EMD!AR$2*24)</f>
        <v>0.40029141680638253</v>
      </c>
      <c r="AS85" s="915">
        <f>EMD!AS93/(EMD!AS$2*24)</f>
        <v>0.42739601310327408</v>
      </c>
      <c r="AT85" s="882">
        <f>EMD!AT93/(EMD!AT$2*24)</f>
        <v>0.18981587769327657</v>
      </c>
      <c r="AU85" s="882">
        <f>EMD!AU93/(EMD!AU$2*24)</f>
        <v>0.90588705536767022</v>
      </c>
      <c r="AV85" s="915">
        <f>EMD!AV93/(EMD!AV$2*24)</f>
        <v>0.38207114625629274</v>
      </c>
      <c r="AW85" s="915">
        <f>EMD!AW93/(EMD!AW$2*24)</f>
        <v>0.46881762571720687</v>
      </c>
      <c r="AX85" s="882">
        <f>EMD!AX93/(EMD!AX$2*24)</f>
        <v>0.13731195240477057</v>
      </c>
      <c r="AY85" s="882">
        <f>EMD!AY93/(EMD!AY$2*24)</f>
        <v>1.1341845027728854</v>
      </c>
      <c r="AZ85" s="459">
        <f>EMD!AZ93/(EMD!AZ$2*24)</f>
        <v>0.15404397255165711</v>
      </c>
      <c r="BA85" s="3751">
        <f>EMD!BA93/(EMD!BA$2*24)</f>
        <v>1.0393354381138706</v>
      </c>
      <c r="BB85" s="3753">
        <f>EMD!BB93/(EMD!BB$2*24)</f>
        <v>0.14364723813780708</v>
      </c>
      <c r="BC85" s="569">
        <f>EMD!BC93/(EMD!BC$2*24)</f>
        <v>0.72988955843812309</v>
      </c>
      <c r="BD85" s="127">
        <f>EMD!BD93/(EMD!BD$2*24)</f>
        <v>0.36134017628526216</v>
      </c>
      <c r="BE85" s="127">
        <f>EMD!BE93/(EMD!BE$2*24)</f>
        <v>0.52517383661536543</v>
      </c>
      <c r="BF85" s="26"/>
      <c r="BG85" s="26"/>
      <c r="BH85" s="5726"/>
      <c r="BI85" s="5726"/>
    </row>
    <row r="86" spans="1:61" x14ac:dyDescent="0.25">
      <c r="A86" s="183"/>
      <c r="B86" s="46" t="s">
        <v>416</v>
      </c>
      <c r="C86" s="18" t="s">
        <v>414</v>
      </c>
      <c r="D86" s="189">
        <v>8000</v>
      </c>
      <c r="E86" s="217">
        <v>8028.0000000000009</v>
      </c>
      <c r="F86" s="189">
        <v>8000</v>
      </c>
      <c r="G86" s="217">
        <v>8028.0000000000009</v>
      </c>
      <c r="H86" s="947">
        <f>+((D86*(D85*D2*24))+(F86*(F85*24*F2)))/(H85*24*H2)</f>
        <v>8000.0000000000009</v>
      </c>
      <c r="I86" s="947">
        <f>+((E86*(E85*E2*24))+(G86*(G85*24*G2)))/(I85*24*I2)</f>
        <v>8028.0000000000018</v>
      </c>
      <c r="J86" s="189">
        <v>8000</v>
      </c>
      <c r="K86" s="1795">
        <v>8027.98</v>
      </c>
      <c r="L86" s="3611">
        <f>+((H86*(H85*H2*24))+(J86*(J85*24*J2)))/(L85*24*L2)</f>
        <v>8000</v>
      </c>
      <c r="M86" s="98">
        <f>+((E86*(E85*E2*24))+(G86*(G85*G2*24))+(K86*(K85*24*K2)))/(M85*24*M2)</f>
        <v>8027.991571276506</v>
      </c>
      <c r="N86" s="3613">
        <v>8000</v>
      </c>
      <c r="O86" s="217">
        <v>8027.97</v>
      </c>
      <c r="P86" s="947">
        <f>+((L86*(L85*L2*24))+(N86*(N85*24*N2)))/(P85*24*P2)</f>
        <v>8000.0000000000009</v>
      </c>
      <c r="Q86" s="947">
        <f>+((M86*(M85*M2*24))+(O86*(O85*24*O2)))/(Q85*24*Q2)</f>
        <v>8027.9902714982618</v>
      </c>
      <c r="R86" s="189">
        <v>8000</v>
      </c>
      <c r="S86" s="217">
        <v>8027.97</v>
      </c>
      <c r="T86" s="947">
        <f>+((P86*(P85*P2*24))+(R86*(R85*24*R2)))/(T85*24*T2)</f>
        <v>8000.0000000000018</v>
      </c>
      <c r="U86" s="947">
        <f>+((Q86*(Q85*Q2*24))+(S86*(S85*24*S2)))/(U85*24*U2)</f>
        <v>8027.9902714982618</v>
      </c>
      <c r="V86" s="3404">
        <v>8000</v>
      </c>
      <c r="W86" s="1795">
        <v>8028</v>
      </c>
      <c r="X86" s="3611">
        <f>+((N86*(N85*N2*24))+(R86*(R85*R2*24))+(V86*(V85*24*V2)))/(X85*24*X2)</f>
        <v>7999.9999999999991</v>
      </c>
      <c r="Y86" s="98">
        <f>+((O86*(O85*O2*24))+(S86*(S85*S2*24))+(W86*(W85*24*W2)))/(Y85*24*Y2)</f>
        <v>8027.9928861368408</v>
      </c>
      <c r="Z86" s="953">
        <v>8000</v>
      </c>
      <c r="AA86" s="601">
        <f>+((M86*(M85*M2*24))+(Y86*(Y85*24*Y2)))/(AA85*24*AA2)</f>
        <v>8027.9918511359083</v>
      </c>
      <c r="AB86" s="4120">
        <v>8000</v>
      </c>
      <c r="AC86" s="217">
        <v>8027.97</v>
      </c>
      <c r="AD86" s="3615">
        <f>+((Z86*(Z85*Z2*24))+(AB86*(AB85*24*AB2)))/(AD85*24*AD2)</f>
        <v>8000.0000000000018</v>
      </c>
      <c r="AE86" s="3615">
        <f>+((AA86*(AA85*AA2*24))+(AC86*(AC85*24*AC2)))/(AE85*24*AE2)</f>
        <v>8027.9901838210044</v>
      </c>
      <c r="AF86" s="4195">
        <v>8000</v>
      </c>
      <c r="AG86" s="217">
        <v>8027.97</v>
      </c>
      <c r="AH86" s="3615">
        <f>+((AD86*(AD85*AD2*24))+(AF86*(AF85*24*AF2)))/(AH85*24*AH2)</f>
        <v>8000.0000000000018</v>
      </c>
      <c r="AI86" s="3615">
        <f>+((AE86*(AE85*AE2*24))+(AG86*(AG85*24*AG2)))/(AI85*24*AI2)</f>
        <v>8027.9872546937841</v>
      </c>
      <c r="AJ86" s="4354">
        <v>8000</v>
      </c>
      <c r="AK86" s="217">
        <v>8027.98</v>
      </c>
      <c r="AL86" s="4363">
        <f>+((AB86*(AB85*AB2*24))+(AF86*(AF85*AF2*24))+(AJ86*(AJ85*24*AJ2)))/(AL85*24*AL2)</f>
        <v>7999.9999999999991</v>
      </c>
      <c r="AM86" s="98">
        <f>+((AC86*(AC85*AC2*24))+(AG86*(AG85*AG2*24))+(AK86*(AK85*24*AK2)))/(AM85*24*AM2)</f>
        <v>8027.9759933563009</v>
      </c>
      <c r="AN86" s="3615">
        <f>+((AH86*(AH85*AH2*24))+(AJ86*(AJ85*24*AJ2)))/(AN85*24*AN2)</f>
        <v>8000.0000000000009</v>
      </c>
      <c r="AO86" s="3615">
        <f>+((AI86*(AI85*AI2*24))+(AK86*(AK85*24*AK2)))/(AO85*24*AO2)</f>
        <v>8027.9855183175296</v>
      </c>
      <c r="AP86" s="4447">
        <v>8000</v>
      </c>
      <c r="AQ86" s="217">
        <v>8028</v>
      </c>
      <c r="AR86" s="3615">
        <f>+((AN86*(AN85*AN2*24))+(AP86*(AP85*24*AP2)))/(AR85*24*AR2)</f>
        <v>7999.9999999999991</v>
      </c>
      <c r="AS86" s="3615">
        <f>+((AO86*(AO85*AO2*24))+(AQ86*(AQ85*24*AQ2)))/(AS85*24*AS2)</f>
        <v>8027.9891889306809</v>
      </c>
      <c r="AT86" s="4672">
        <v>8000</v>
      </c>
      <c r="AU86" s="217">
        <v>8028.03</v>
      </c>
      <c r="AV86" s="3615">
        <f>+((AR86*(AR85*AR2*24))+(AT86*(AT85*24*AT2)))/(AV85*24*AV2)</f>
        <v>7999.9999999999982</v>
      </c>
      <c r="AW86" s="3615">
        <f>+((AS86*(AS85*AS2*24))+(AU86*(AU85*24*AU2)))/(AW85*24*AW2)</f>
        <v>8027.996015480875</v>
      </c>
      <c r="AX86" s="5207">
        <v>8000</v>
      </c>
      <c r="AY86" s="217">
        <v>8028.21</v>
      </c>
      <c r="AZ86" s="5208">
        <f>+((AP86*(AP85*AP2*24))+(AT86*(AT85*AT2*24))+(AX86*(AX85*24*AX2)))/(AZ85*24*AZ2)</f>
        <v>8000</v>
      </c>
      <c r="BA86" s="98">
        <f>+((AQ86*(AQ85*AQ2*24))+(AU86*(AU85*AU2*24))+(AY86*(AY85*24*AY2)))/(BA85*24*BA2)</f>
        <v>8028.0863999143858</v>
      </c>
      <c r="BB86" s="953">
        <v>8000</v>
      </c>
      <c r="BC86" s="601">
        <f>+((AM86*(AM85*AM2*24))+(BA86*(BA85*24*BA2)))/(BC85*24*BC2)</f>
        <v>8028.0541712127542</v>
      </c>
      <c r="BD86" s="3615">
        <f>+((AV86*(AV85*AV2*24))+(AX86*(AX85*24*AX2)))/(BD85*24*BD2)</f>
        <v>7999.9999999999991</v>
      </c>
      <c r="BE86" s="3615">
        <f>+((AW86*(AW85*AW2*24))+(AY86*(AY85*24*AY2)))/(BE85*24*BE2)</f>
        <v>8028.0351575329505</v>
      </c>
      <c r="BF86" s="26"/>
      <c r="BG86" s="26"/>
      <c r="BH86" s="5726"/>
      <c r="BI86" s="5726"/>
    </row>
    <row r="87" spans="1:61" x14ac:dyDescent="0.25">
      <c r="A87" s="183"/>
      <c r="B87" s="45" t="s">
        <v>412</v>
      </c>
      <c r="C87" s="13" t="s">
        <v>413</v>
      </c>
      <c r="D87" s="1718">
        <v>14.399999999999999</v>
      </c>
      <c r="E87" s="197">
        <v>10.31</v>
      </c>
      <c r="F87" s="1718">
        <v>22.32</v>
      </c>
      <c r="G87" s="197">
        <v>14.86</v>
      </c>
      <c r="H87" s="451">
        <f>+D87+F87</f>
        <v>36.72</v>
      </c>
      <c r="I87" s="451">
        <f>+E87+G87</f>
        <v>25.17</v>
      </c>
      <c r="J87" s="487">
        <v>36.000000000000007</v>
      </c>
      <c r="K87" s="3744">
        <v>11.9</v>
      </c>
      <c r="L87" s="459">
        <f>+H87+J87</f>
        <v>72.72</v>
      </c>
      <c r="M87" s="3751">
        <f>+I87+K87</f>
        <v>37.07</v>
      </c>
      <c r="N87" s="542">
        <v>14.879999999999999</v>
      </c>
      <c r="O87" s="197">
        <v>25.82</v>
      </c>
      <c r="P87" s="451">
        <f>+L87+N87</f>
        <v>87.6</v>
      </c>
      <c r="Q87" s="451">
        <f>+M87+O87</f>
        <v>62.89</v>
      </c>
      <c r="R87" s="487">
        <v>7.4399999999999995</v>
      </c>
      <c r="S87" s="197">
        <v>1</v>
      </c>
      <c r="T87" s="451">
        <f>+P87+R87</f>
        <v>95.039999999999992</v>
      </c>
      <c r="U87" s="451">
        <f>+Q87+S87</f>
        <v>63.89</v>
      </c>
      <c r="V87" s="487">
        <v>14.399999999999999</v>
      </c>
      <c r="W87" s="3744">
        <v>21.78</v>
      </c>
      <c r="X87" s="459">
        <f t="shared" ref="X87:Y87" si="278">+N87+R87+V87</f>
        <v>36.72</v>
      </c>
      <c r="Y87" s="3751">
        <f t="shared" si="278"/>
        <v>48.6</v>
      </c>
      <c r="Z87" s="3755">
        <f>+L87+X87</f>
        <v>109.44</v>
      </c>
      <c r="AA87" s="772">
        <f>+M87+Y87</f>
        <v>85.67</v>
      </c>
      <c r="AB87" s="487">
        <v>7.4399999999999995</v>
      </c>
      <c r="AC87" s="3312">
        <v>24.3</v>
      </c>
      <c r="AD87" s="3313">
        <f>+Z87+AB87</f>
        <v>116.88</v>
      </c>
      <c r="AE87" s="3313">
        <f>+AA87+AC87</f>
        <v>109.97</v>
      </c>
      <c r="AF87" s="487">
        <v>7.1999999999999993</v>
      </c>
      <c r="AG87" s="3312">
        <v>52.25</v>
      </c>
      <c r="AH87" s="3313">
        <f>+AD87+AF87</f>
        <v>124.08</v>
      </c>
      <c r="AI87" s="3313">
        <f>+AE87+AG87</f>
        <v>162.22</v>
      </c>
      <c r="AJ87" s="487">
        <v>7.4399999999999995</v>
      </c>
      <c r="AK87" s="3312">
        <v>40.74</v>
      </c>
      <c r="AL87" s="459">
        <f t="shared" ref="AL87" si="279">+AB87+AF87+AJ87</f>
        <v>22.08</v>
      </c>
      <c r="AM87" s="3751">
        <f t="shared" ref="AM87" si="280">+AC87+AG87+AK87</f>
        <v>117.28999999999999</v>
      </c>
      <c r="AN87" s="3313">
        <f>+AH87+AJ87</f>
        <v>131.52000000000001</v>
      </c>
      <c r="AO87" s="3313">
        <f>+AI87+AK87</f>
        <v>202.96</v>
      </c>
      <c r="AP87" s="487">
        <v>7.4399999999999995</v>
      </c>
      <c r="AQ87" s="3312">
        <v>25.62</v>
      </c>
      <c r="AR87" s="3313">
        <f>+AN87+AP87</f>
        <v>138.96</v>
      </c>
      <c r="AS87" s="3313">
        <f>+AO87+AQ87</f>
        <v>228.58</v>
      </c>
      <c r="AT87" s="487">
        <v>6.96</v>
      </c>
      <c r="AU87" s="3312">
        <v>6.11</v>
      </c>
      <c r="AV87" s="3313">
        <f>+AR87+AT87</f>
        <v>145.92000000000002</v>
      </c>
      <c r="AW87" s="3313">
        <f>+AS87+AU87</f>
        <v>234.69000000000003</v>
      </c>
      <c r="AX87" s="487">
        <v>14.879999999999999</v>
      </c>
      <c r="AY87" s="3312">
        <v>25.399999999999995</v>
      </c>
      <c r="AZ87" s="459">
        <f t="shared" ref="AZ87" si="281">+AP87+AT87+AX87</f>
        <v>29.279999999999998</v>
      </c>
      <c r="BA87" s="3751">
        <f t="shared" ref="BA87" si="282">+AQ87+AU87+AY87</f>
        <v>57.129999999999995</v>
      </c>
      <c r="BB87" s="3755">
        <f>+AL87+AZ87</f>
        <v>51.36</v>
      </c>
      <c r="BC87" s="772">
        <f>+AM87+BA87</f>
        <v>174.42</v>
      </c>
      <c r="BD87" s="3313">
        <f>+AV87+AX87</f>
        <v>160.80000000000001</v>
      </c>
      <c r="BE87" s="3313">
        <f>+AW87+AY87</f>
        <v>260.09000000000003</v>
      </c>
      <c r="BF87" s="26"/>
      <c r="BG87" s="26"/>
      <c r="BH87" s="5726"/>
      <c r="BI87" s="5726"/>
    </row>
    <row r="88" spans="1:61" x14ac:dyDescent="0.25">
      <c r="A88" s="183"/>
      <c r="B88" s="46" t="s">
        <v>417</v>
      </c>
      <c r="C88" s="18" t="s">
        <v>418</v>
      </c>
      <c r="D88" s="189">
        <v>9135</v>
      </c>
      <c r="E88" s="217">
        <v>9135</v>
      </c>
      <c r="F88" s="189">
        <v>9135</v>
      </c>
      <c r="G88" s="217">
        <v>9135</v>
      </c>
      <c r="H88" s="947">
        <f>+AVERAGE(D88,F88)</f>
        <v>9135</v>
      </c>
      <c r="I88" s="947">
        <f>+AVERAGE(E88,G88)</f>
        <v>9135</v>
      </c>
      <c r="J88" s="189">
        <v>9135</v>
      </c>
      <c r="K88" s="1795">
        <v>9135</v>
      </c>
      <c r="L88" s="3611">
        <f>+AVERAGE(H88,J88)</f>
        <v>9135</v>
      </c>
      <c r="M88" s="98">
        <f>+AVERAGE(I88,K88)</f>
        <v>9135</v>
      </c>
      <c r="N88" s="3613">
        <v>9135</v>
      </c>
      <c r="O88" s="217">
        <v>9135</v>
      </c>
      <c r="P88" s="947">
        <f>+AVERAGE(L88,N88)</f>
        <v>9135</v>
      </c>
      <c r="Q88" s="947">
        <f>+AVERAGE(M88,O88)</f>
        <v>9135</v>
      </c>
      <c r="R88" s="189">
        <v>9135</v>
      </c>
      <c r="S88" s="217">
        <v>9135</v>
      </c>
      <c r="T88" s="947">
        <f>+AVERAGE(P88,R88)</f>
        <v>9135</v>
      </c>
      <c r="U88" s="947">
        <f>+AVERAGE(Q88,S88)</f>
        <v>9135</v>
      </c>
      <c r="V88" s="3404">
        <v>9135</v>
      </c>
      <c r="W88" s="1795">
        <v>9135</v>
      </c>
      <c r="X88" s="3611">
        <f>+AVERAGE(T88,V88)</f>
        <v>9135</v>
      </c>
      <c r="Y88" s="98">
        <f>+AVERAGE(U88,W88)</f>
        <v>9135</v>
      </c>
      <c r="Z88" s="953">
        <v>9135</v>
      </c>
      <c r="AA88" s="601">
        <f>+AVERAGE(M88,Y88)</f>
        <v>9135</v>
      </c>
      <c r="AB88" s="4120">
        <v>9135</v>
      </c>
      <c r="AC88" s="217">
        <v>9135</v>
      </c>
      <c r="AD88" s="3615">
        <f>+AVERAGE(Z88,AB88)</f>
        <v>9135</v>
      </c>
      <c r="AE88" s="3615">
        <f>+AVERAGE(AA88,AC88)</f>
        <v>9135</v>
      </c>
      <c r="AF88" s="4195">
        <v>9135</v>
      </c>
      <c r="AG88" s="217">
        <v>9135</v>
      </c>
      <c r="AH88" s="3615">
        <f>+AVERAGE(AD88,AF88)</f>
        <v>9135</v>
      </c>
      <c r="AI88" s="3615">
        <f>+AVERAGE(AE88,AG88)</f>
        <v>9135</v>
      </c>
      <c r="AJ88" s="4354">
        <v>9135</v>
      </c>
      <c r="AK88" s="217">
        <v>9135</v>
      </c>
      <c r="AL88" s="4363">
        <f>+AVERAGE(AH88,AJ88)</f>
        <v>9135</v>
      </c>
      <c r="AM88" s="98">
        <f>+AVERAGE(AI88,AK88)</f>
        <v>9135</v>
      </c>
      <c r="AN88" s="3615">
        <f>+AVERAGE(AH88,AJ88)</f>
        <v>9135</v>
      </c>
      <c r="AO88" s="3615">
        <f>+AVERAGE(AI88,AK88)</f>
        <v>9135</v>
      </c>
      <c r="AP88" s="4447">
        <v>9135</v>
      </c>
      <c r="AQ88" s="217">
        <v>9135</v>
      </c>
      <c r="AR88" s="3615">
        <f>+AVERAGE(AN88,AP88)</f>
        <v>9135</v>
      </c>
      <c r="AS88" s="3615">
        <f>+AVERAGE(AO88,AQ88)</f>
        <v>9135</v>
      </c>
      <c r="AT88" s="4672">
        <v>9135</v>
      </c>
      <c r="AU88" s="217">
        <v>9135</v>
      </c>
      <c r="AV88" s="3615">
        <f>+AVERAGE(AR88,AT88)</f>
        <v>9135</v>
      </c>
      <c r="AW88" s="3615">
        <f>+AVERAGE(AS88,AU88)</f>
        <v>9135</v>
      </c>
      <c r="AX88" s="5207">
        <v>9135</v>
      </c>
      <c r="AY88" s="217">
        <v>9135</v>
      </c>
      <c r="AZ88" s="5208">
        <f>+AVERAGE(AV88,AX88)</f>
        <v>9135</v>
      </c>
      <c r="BA88" s="98">
        <f>+AVERAGE(AW88,AY88)</f>
        <v>9135</v>
      </c>
      <c r="BB88" s="953">
        <v>9135</v>
      </c>
      <c r="BC88" s="601">
        <f>+AVERAGE(AM88,BA88)</f>
        <v>9135</v>
      </c>
      <c r="BD88" s="3615">
        <f>+AVERAGE(AV88,AX88)</f>
        <v>9135</v>
      </c>
      <c r="BE88" s="3615">
        <f>+AVERAGE(AW88,AY88)</f>
        <v>9135</v>
      </c>
      <c r="BF88" s="26"/>
      <c r="BG88" s="26"/>
      <c r="BH88" s="5726"/>
      <c r="BI88" s="5726"/>
    </row>
    <row r="89" spans="1:61" ht="15.75" customHeight="1" thickBot="1" x14ac:dyDescent="0.3">
      <c r="B89" s="47" t="s">
        <v>415</v>
      </c>
      <c r="C89" s="18" t="s">
        <v>512</v>
      </c>
      <c r="D89" s="1225">
        <v>0.83920858628011641</v>
      </c>
      <c r="E89" s="475">
        <v>0.89700000000000002</v>
      </c>
      <c r="F89" s="1225">
        <v>0.83832159980232146</v>
      </c>
      <c r="G89" s="475">
        <v>0.871</v>
      </c>
      <c r="H89" s="457">
        <f>+((D89*D58)+(F58*F89))/H58</f>
        <v>0.83874877821742877</v>
      </c>
      <c r="I89" s="457">
        <f>+((E89*E58)+(G58*G89))/I58</f>
        <v>0.88475919055783758</v>
      </c>
      <c r="J89" s="1225">
        <v>0.83799999999999997</v>
      </c>
      <c r="K89" s="474">
        <v>0.86448999999999998</v>
      </c>
      <c r="L89" s="471">
        <f>+((H89*H58)+(J58*J89))/L58</f>
        <v>0.83848958686090436</v>
      </c>
      <c r="M89" s="2127">
        <f>+((I89*I58)+(K58*K89))/M58+0.001</f>
        <v>0.87946585991778348</v>
      </c>
      <c r="N89" s="951">
        <v>0.83909989439204713</v>
      </c>
      <c r="O89" s="475">
        <v>0.84050000000000002</v>
      </c>
      <c r="P89" s="457">
        <f>+((L89*L58)+(N58*N89))/P58</f>
        <v>0.83863810444829301</v>
      </c>
      <c r="Q89" s="457">
        <f>+((M89*M58)+(O58*O89))/Q58-0.001</f>
        <v>0.86821425621855408</v>
      </c>
      <c r="R89" s="1225">
        <v>0.83931477218176898</v>
      </c>
      <c r="S89" s="475">
        <v>0.89200000000000002</v>
      </c>
      <c r="T89" s="457">
        <f>+((P89*P58)+(R58*R89))/T58</f>
        <v>0.83876976524771074</v>
      </c>
      <c r="U89" s="457">
        <f>+((Q89*Q58)+(S58*S89))/U58</f>
        <v>0.87308616655006632</v>
      </c>
      <c r="V89" s="1225">
        <v>0.83926852710998223</v>
      </c>
      <c r="W89" s="474">
        <v>0.89170000000000005</v>
      </c>
      <c r="X89" s="471">
        <f>+((N89*N58)+(R89*R58)+(V58*V89))/X58</f>
        <v>0.8392269848568209</v>
      </c>
      <c r="Y89" s="2127">
        <f>+((O89*O58)+(S89*S58)+(W58*W89))/Y58</f>
        <v>0.87429392775034109</v>
      </c>
      <c r="Z89" s="3756">
        <f>+((L89*L58)+(X89*X58))/Z58</f>
        <v>0.83884885363466444</v>
      </c>
      <c r="AA89" s="3756">
        <f>+((M89*M58)+(Y89*Y58))/AA58</f>
        <v>0.87682403584139057</v>
      </c>
      <c r="AB89" s="1225">
        <v>0.8393847307747051</v>
      </c>
      <c r="AC89" s="475">
        <v>0.87270000000000003</v>
      </c>
      <c r="AD89" s="457">
        <f>+((Z89*Z58)+(AB58*AB89))/AD58</f>
        <v>0.83892579068140016</v>
      </c>
      <c r="AE89" s="457">
        <f>+((AA89*AA58)+(AC58*AC89))/AE58</f>
        <v>0.87619315123474217</v>
      </c>
      <c r="AF89" s="1225">
        <v>0.83931056688705041</v>
      </c>
      <c r="AG89" s="475">
        <v>0.86350000000000005</v>
      </c>
      <c r="AH89" s="457">
        <f>+((AD89*AD58)+(AF58*AF89))/AH58</f>
        <v>0.83897269016105802</v>
      </c>
      <c r="AI89" s="457">
        <f>+((AE89*AE58)+(AG58*AG89))/AI58</f>
        <v>0.87457523848004315</v>
      </c>
      <c r="AJ89" s="1225">
        <v>0.83942778232075443</v>
      </c>
      <c r="AK89" s="475">
        <v>0.83799999999999997</v>
      </c>
      <c r="AL89" s="471">
        <f>+((AB89*AB58)+(AF89*AF58)+(AJ58*AJ89))/AL58</f>
        <v>0.83937511166663603</v>
      </c>
      <c r="AM89" s="2127">
        <f>+((AC89*AC58)+(AG89*AG58)+(AK58*AK89))/AM58</f>
        <v>0.85772372877863567</v>
      </c>
      <c r="AN89" s="457">
        <f>+((AH89*AH58)+(AJ58*AJ89))/AN58</f>
        <v>0.83902373788761131</v>
      </c>
      <c r="AO89" s="457">
        <f>+((AI89*AI58)+(AK58*AK89))/AO58</f>
        <v>0.87012075487548579</v>
      </c>
      <c r="AP89" s="1225">
        <v>0.83943272888557752</v>
      </c>
      <c r="AQ89" s="475">
        <v>0.81799999999999995</v>
      </c>
      <c r="AR89" s="457">
        <f>+((AN89*AN58)+(AP58*AP89))/AR58</f>
        <v>0.83906497701241123</v>
      </c>
      <c r="AS89" s="457">
        <f>+((AO89*AO58)+(AQ58*AQ89))/AS58</f>
        <v>0.86446432801001694</v>
      </c>
      <c r="AT89" s="1225">
        <v>0.83919190578675018</v>
      </c>
      <c r="AU89" s="475">
        <v>0.83299999999999996</v>
      </c>
      <c r="AV89" s="457">
        <f>+((AR89*AR58)+(AT58*AT89))/AV58</f>
        <v>0.83907591135432502</v>
      </c>
      <c r="AW89" s="457">
        <f>+((AS89*AS58)+(AU58*AU89))/AW58</f>
        <v>0.86152586907672124</v>
      </c>
      <c r="AX89" s="1225">
        <v>0.83946333608980761</v>
      </c>
      <c r="AY89" s="475">
        <v>0.875</v>
      </c>
      <c r="AZ89" s="471">
        <f>+((AP89*AP58)+(AT89*AT58)+(AX58*AX89))/AZ58</f>
        <v>0.83936653500017522</v>
      </c>
      <c r="BA89" s="2127">
        <f>+((AQ89*AQ58)+(AU89*AU58)+(AY58*AY89))/BA58</f>
        <v>0.84184092046023018</v>
      </c>
      <c r="BB89" s="3756">
        <f>+((AL89*AL58)+(AZ89*AZ58))/BB58</f>
        <v>0.83937084210739377</v>
      </c>
      <c r="BC89" s="3756">
        <f>+((AM89*AM58)+(BA89*BA58))/BC58</f>
        <v>0.84972982102816397</v>
      </c>
      <c r="BD89" s="457">
        <f>+((AV89*AV58)+(AX58*AX89))/BD58</f>
        <v>0.83910868026927321</v>
      </c>
      <c r="BE89" s="457">
        <f>+((AW89*AW58)+(AY58*AY89))/BE58-0.001</f>
        <v>0.86170205694188884</v>
      </c>
      <c r="BF89" s="26"/>
      <c r="BG89" s="26"/>
      <c r="BH89" s="5726"/>
      <c r="BI89" s="5726"/>
    </row>
    <row r="90" spans="1:61" x14ac:dyDescent="0.25">
      <c r="A90" s="183"/>
      <c r="B90" s="500" t="s">
        <v>64</v>
      </c>
      <c r="C90" s="501"/>
      <c r="D90" s="1227"/>
      <c r="E90" s="829"/>
      <c r="F90" s="1227"/>
      <c r="G90" s="829"/>
      <c r="H90" s="501"/>
      <c r="I90" s="501"/>
      <c r="J90" s="1227"/>
      <c r="K90" s="829"/>
      <c r="L90" s="3749"/>
      <c r="M90" s="3749"/>
      <c r="N90" s="1227"/>
      <c r="O90" s="829"/>
      <c r="P90" s="501"/>
      <c r="Q90" s="501"/>
      <c r="R90" s="1227"/>
      <c r="S90" s="829"/>
      <c r="T90" s="501"/>
      <c r="U90" s="501"/>
      <c r="V90" s="1227"/>
      <c r="W90" s="829"/>
      <c r="X90" s="3749"/>
      <c r="Y90" s="3749"/>
      <c r="Z90" s="501"/>
      <c r="AA90" s="501"/>
      <c r="AB90" s="1227"/>
      <c r="AC90" s="829"/>
      <c r="AD90" s="501"/>
      <c r="AE90" s="501"/>
      <c r="AF90" s="1227"/>
      <c r="AG90" s="829"/>
      <c r="AH90" s="501"/>
      <c r="AI90" s="501"/>
      <c r="AJ90" s="1227"/>
      <c r="AK90" s="829"/>
      <c r="AL90" s="3749"/>
      <c r="AM90" s="3749"/>
      <c r="AN90" s="501"/>
      <c r="AO90" s="501"/>
      <c r="AP90" s="1227"/>
      <c r="AQ90" s="829"/>
      <c r="AR90" s="501"/>
      <c r="AS90" s="501"/>
      <c r="AT90" s="1227"/>
      <c r="AU90" s="829"/>
      <c r="AV90" s="501"/>
      <c r="AW90" s="501"/>
      <c r="AX90" s="1227"/>
      <c r="AY90" s="829"/>
      <c r="AZ90" s="3749"/>
      <c r="BA90" s="3749"/>
      <c r="BB90" s="501"/>
      <c r="BC90" s="501"/>
      <c r="BD90" s="501"/>
      <c r="BE90" s="501"/>
      <c r="BF90" s="26"/>
      <c r="BG90" s="26"/>
      <c r="BH90" s="5726"/>
      <c r="BI90" s="5726"/>
    </row>
    <row r="91" spans="1:61" x14ac:dyDescent="0.25">
      <c r="B91" s="45" t="s">
        <v>420</v>
      </c>
      <c r="C91" s="130" t="s">
        <v>361</v>
      </c>
      <c r="D91" s="1228"/>
      <c r="E91" s="130">
        <v>95.399999999999991</v>
      </c>
      <c r="F91" s="1228"/>
      <c r="G91" s="130">
        <v>101.6</v>
      </c>
      <c r="H91" s="6487"/>
      <c r="I91" s="257">
        <f>+E91+G91</f>
        <v>197</v>
      </c>
      <c r="J91" s="1228"/>
      <c r="K91" s="130">
        <v>112.6</v>
      </c>
      <c r="L91" s="6501"/>
      <c r="M91" s="283">
        <f>E91+G91+K91</f>
        <v>309.60000000000002</v>
      </c>
      <c r="N91" s="1228"/>
      <c r="O91" s="164">
        <v>110.4</v>
      </c>
      <c r="P91" s="6487"/>
      <c r="Q91" s="257">
        <f>+M91+O91</f>
        <v>420</v>
      </c>
      <c r="R91" s="1228"/>
      <c r="S91" s="130">
        <v>112.4</v>
      </c>
      <c r="T91" s="6487"/>
      <c r="U91" s="257">
        <f>+Q91+S91</f>
        <v>532.4</v>
      </c>
      <c r="V91" s="1228"/>
      <c r="W91" s="130">
        <v>89.2</v>
      </c>
      <c r="X91" s="6501"/>
      <c r="Y91" s="287">
        <f t="shared" ref="Y91:Y108" si="283">+O91+S91+W91</f>
        <v>312</v>
      </c>
      <c r="Z91" s="6524"/>
      <c r="AA91" s="601">
        <f>M91+Y91</f>
        <v>621.6</v>
      </c>
      <c r="AB91" s="1228"/>
      <c r="AC91" s="130">
        <v>55.700000000000024</v>
      </c>
      <c r="AD91" s="6487"/>
      <c r="AE91" s="257">
        <f>+AA91+AC91</f>
        <v>677.30000000000007</v>
      </c>
      <c r="AF91" s="1228"/>
      <c r="AG91" s="130">
        <v>54.8</v>
      </c>
      <c r="AH91" s="6487"/>
      <c r="AI91" s="257">
        <f>+AE91+AG91</f>
        <v>732.1</v>
      </c>
      <c r="AJ91" s="1228"/>
      <c r="AK91" s="130">
        <v>82.6</v>
      </c>
      <c r="AL91" s="6501"/>
      <c r="AM91" s="287">
        <f t="shared" ref="AM91:AM108" si="284">+AC91+AG91+AK91</f>
        <v>193.10000000000002</v>
      </c>
      <c r="AN91" s="6487"/>
      <c r="AO91" s="257">
        <f t="shared" ref="AO91:AO108" si="285">+AI91+AK91</f>
        <v>814.7</v>
      </c>
      <c r="AP91" s="1228"/>
      <c r="AQ91" s="130">
        <v>81.400000000000006</v>
      </c>
      <c r="AR91" s="6487"/>
      <c r="AS91" s="257">
        <f>+AO91+AQ91</f>
        <v>896.1</v>
      </c>
      <c r="AT91" s="1228"/>
      <c r="AU91" s="130">
        <v>82.1</v>
      </c>
      <c r="AV91" s="6487"/>
      <c r="AW91" s="257">
        <f>+AS91+AU91</f>
        <v>978.2</v>
      </c>
      <c r="AX91" s="1228"/>
      <c r="AY91" s="130">
        <v>82.04</v>
      </c>
      <c r="AZ91" s="6501"/>
      <c r="BA91" s="287">
        <f t="shared" ref="BA91:BA108" si="286">+AQ91+AU91+AY91</f>
        <v>245.54000000000002</v>
      </c>
      <c r="BB91" s="6524"/>
      <c r="BC91" s="601">
        <f>AM91+BA91</f>
        <v>438.64000000000004</v>
      </c>
      <c r="BD91" s="6487"/>
      <c r="BE91" s="258">
        <f>+AW91+AY91</f>
        <v>1060.24</v>
      </c>
      <c r="BF91" s="26"/>
      <c r="BG91" s="26"/>
      <c r="BH91" s="5726"/>
      <c r="BI91" s="5726"/>
    </row>
    <row r="92" spans="1:61" x14ac:dyDescent="0.25">
      <c r="B92" s="45" t="s">
        <v>1222</v>
      </c>
      <c r="C92" s="130" t="s">
        <v>1232</v>
      </c>
      <c r="D92" s="1229"/>
      <c r="E92" s="18">
        <v>46.08</v>
      </c>
      <c r="F92" s="1229"/>
      <c r="G92" s="18">
        <v>48.143999999999998</v>
      </c>
      <c r="H92" s="6488"/>
      <c r="I92" s="257">
        <f t="shared" ref="I92:I108" si="287">+E92+G92</f>
        <v>94.22399999999999</v>
      </c>
      <c r="J92" s="1229"/>
      <c r="K92" s="18">
        <v>52.32</v>
      </c>
      <c r="L92" s="6502"/>
      <c r="M92" s="283">
        <f t="shared" ref="M92:M108" si="288">E92+G92+K92</f>
        <v>146.54399999999998</v>
      </c>
      <c r="N92" s="1229"/>
      <c r="O92" s="217">
        <v>52.8</v>
      </c>
      <c r="P92" s="6488"/>
      <c r="Q92" s="257">
        <f t="shared" ref="Q92:Q108" si="289">+M92+O92</f>
        <v>199.34399999999999</v>
      </c>
      <c r="R92" s="1229"/>
      <c r="S92" s="18">
        <v>57.503999999999998</v>
      </c>
      <c r="T92" s="6488"/>
      <c r="U92" s="257">
        <f t="shared" ref="U92:U108" si="290">+Q92+S92</f>
        <v>256.84800000000001</v>
      </c>
      <c r="V92" s="1229"/>
      <c r="W92" s="18">
        <v>44.735999999999997</v>
      </c>
      <c r="X92" s="6502"/>
      <c r="Y92" s="287">
        <f t="shared" si="283"/>
        <v>155.04</v>
      </c>
      <c r="Z92" s="6525"/>
      <c r="AA92" s="601">
        <f t="shared" ref="AA92:AA108" si="291">M92+Y92</f>
        <v>301.58399999999995</v>
      </c>
      <c r="AB92" s="1229"/>
      <c r="AC92" s="18">
        <v>23.04</v>
      </c>
      <c r="AD92" s="6488"/>
      <c r="AE92" s="257">
        <f t="shared" ref="AE92:AE108" si="292">+AA92+AC92</f>
        <v>324.62399999999997</v>
      </c>
      <c r="AF92" s="1229"/>
      <c r="AG92" s="18">
        <v>24</v>
      </c>
      <c r="AH92" s="6488"/>
      <c r="AI92" s="257">
        <f t="shared" ref="AI92:AI108" si="293">+AE92+AG92</f>
        <v>348.62399999999997</v>
      </c>
      <c r="AJ92" s="1229"/>
      <c r="AK92" s="18">
        <v>38.159999999999997</v>
      </c>
      <c r="AL92" s="6502"/>
      <c r="AM92" s="287">
        <f t="shared" si="284"/>
        <v>85.199999999999989</v>
      </c>
      <c r="AN92" s="6488"/>
      <c r="AO92" s="257">
        <f t="shared" si="285"/>
        <v>386.78399999999999</v>
      </c>
      <c r="AP92" s="1229"/>
      <c r="AQ92" s="18">
        <v>37.44</v>
      </c>
      <c r="AR92" s="6488"/>
      <c r="AS92" s="257">
        <f t="shared" ref="AS92:AS108" si="294">+AO92+AQ92</f>
        <v>424.22399999999999</v>
      </c>
      <c r="AT92" s="1229"/>
      <c r="AU92" s="18">
        <v>40.32</v>
      </c>
      <c r="AV92" s="6488"/>
      <c r="AW92" s="257">
        <f t="shared" ref="AW92:AW108" si="295">+AS92+AU92</f>
        <v>464.54399999999998</v>
      </c>
      <c r="AX92" s="1229"/>
      <c r="AY92" s="18">
        <v>38.880000000000003</v>
      </c>
      <c r="AZ92" s="6502"/>
      <c r="BA92" s="287">
        <f t="shared" si="286"/>
        <v>116.63999999999999</v>
      </c>
      <c r="BB92" s="6525"/>
      <c r="BC92" s="601">
        <f t="shared" ref="BC92:BC108" si="296">AM92+BA92</f>
        <v>201.83999999999997</v>
      </c>
      <c r="BD92" s="6488"/>
      <c r="BE92" s="258">
        <f t="shared" ref="BE92:BE108" si="297">+AW92+AY92</f>
        <v>503.42399999999998</v>
      </c>
      <c r="BF92" s="26"/>
      <c r="BG92" s="26"/>
      <c r="BH92" s="5726"/>
      <c r="BI92" s="5726"/>
    </row>
    <row r="93" spans="1:61" x14ac:dyDescent="0.25">
      <c r="B93" s="45" t="s">
        <v>1223</v>
      </c>
      <c r="C93" s="130" t="s">
        <v>1325</v>
      </c>
      <c r="D93" s="1229"/>
      <c r="E93" s="18">
        <v>450</v>
      </c>
      <c r="F93" s="1229"/>
      <c r="G93" s="18">
        <v>435</v>
      </c>
      <c r="H93" s="6488"/>
      <c r="I93" s="257">
        <f t="shared" si="287"/>
        <v>885</v>
      </c>
      <c r="J93" s="1229"/>
      <c r="K93" s="18">
        <v>455</v>
      </c>
      <c r="L93" s="6502"/>
      <c r="M93" s="283">
        <f t="shared" si="288"/>
        <v>1340</v>
      </c>
      <c r="N93" s="1229"/>
      <c r="O93" s="217">
        <v>465</v>
      </c>
      <c r="P93" s="6488"/>
      <c r="Q93" s="257">
        <f t="shared" si="289"/>
        <v>1805</v>
      </c>
      <c r="R93" s="1229"/>
      <c r="S93" s="18">
        <v>485</v>
      </c>
      <c r="T93" s="6488"/>
      <c r="U93" s="257">
        <f t="shared" si="290"/>
        <v>2290</v>
      </c>
      <c r="V93" s="1229"/>
      <c r="W93" s="18">
        <v>475</v>
      </c>
      <c r="X93" s="6502"/>
      <c r="Y93" s="287">
        <f t="shared" si="283"/>
        <v>1425</v>
      </c>
      <c r="Z93" s="6525"/>
      <c r="AA93" s="601">
        <f t="shared" si="291"/>
        <v>2765</v>
      </c>
      <c r="AB93" s="1229"/>
      <c r="AC93" s="18">
        <v>480</v>
      </c>
      <c r="AD93" s="6488"/>
      <c r="AE93" s="257">
        <f t="shared" si="292"/>
        <v>3245</v>
      </c>
      <c r="AF93" s="1229"/>
      <c r="AG93" s="18">
        <v>455</v>
      </c>
      <c r="AH93" s="6488"/>
      <c r="AI93" s="257">
        <f t="shared" si="293"/>
        <v>3700</v>
      </c>
      <c r="AJ93" s="1229"/>
      <c r="AK93" s="18">
        <v>535</v>
      </c>
      <c r="AL93" s="6502"/>
      <c r="AM93" s="287">
        <f t="shared" si="284"/>
        <v>1470</v>
      </c>
      <c r="AN93" s="6488"/>
      <c r="AO93" s="257">
        <f t="shared" si="285"/>
        <v>4235</v>
      </c>
      <c r="AP93" s="1229"/>
      <c r="AQ93" s="18">
        <v>470</v>
      </c>
      <c r="AR93" s="6488"/>
      <c r="AS93" s="257">
        <f t="shared" si="294"/>
        <v>4705</v>
      </c>
      <c r="AT93" s="1229"/>
      <c r="AU93" s="18">
        <v>435</v>
      </c>
      <c r="AV93" s="6488"/>
      <c r="AW93" s="257">
        <f t="shared" si="295"/>
        <v>5140</v>
      </c>
      <c r="AX93" s="1229"/>
      <c r="AY93" s="18">
        <v>460</v>
      </c>
      <c r="AZ93" s="6502"/>
      <c r="BA93" s="287">
        <f t="shared" si="286"/>
        <v>1365</v>
      </c>
      <c r="BB93" s="6525"/>
      <c r="BC93" s="601">
        <f t="shared" si="296"/>
        <v>2835</v>
      </c>
      <c r="BD93" s="6488"/>
      <c r="BE93" s="258">
        <f t="shared" si="297"/>
        <v>5600</v>
      </c>
      <c r="BF93" s="26"/>
      <c r="BG93" s="26"/>
      <c r="BH93" s="5726"/>
      <c r="BI93" s="5726"/>
    </row>
    <row r="94" spans="1:61" x14ac:dyDescent="0.25">
      <c r="B94" s="45" t="s">
        <v>1224</v>
      </c>
      <c r="C94" s="130" t="s">
        <v>1233</v>
      </c>
      <c r="D94" s="1229"/>
      <c r="E94" s="18">
        <v>500</v>
      </c>
      <c r="F94" s="1229"/>
      <c r="G94" s="18">
        <v>470</v>
      </c>
      <c r="H94" s="6488"/>
      <c r="I94" s="257">
        <f t="shared" si="287"/>
        <v>970</v>
      </c>
      <c r="J94" s="1229"/>
      <c r="K94" s="18">
        <v>635</v>
      </c>
      <c r="L94" s="6502"/>
      <c r="M94" s="283">
        <f t="shared" si="288"/>
        <v>1605</v>
      </c>
      <c r="N94" s="1229"/>
      <c r="O94" s="217">
        <v>815</v>
      </c>
      <c r="P94" s="6488"/>
      <c r="Q94" s="257">
        <f t="shared" si="289"/>
        <v>2420</v>
      </c>
      <c r="R94" s="1229"/>
      <c r="S94" s="18">
        <v>1110</v>
      </c>
      <c r="T94" s="6488"/>
      <c r="U94" s="257">
        <f t="shared" si="290"/>
        <v>3530</v>
      </c>
      <c r="V94" s="1229"/>
      <c r="W94" s="18">
        <v>1249</v>
      </c>
      <c r="X94" s="6502"/>
      <c r="Y94" s="287">
        <f t="shared" si="283"/>
        <v>3174</v>
      </c>
      <c r="Z94" s="6525"/>
      <c r="AA94" s="601">
        <f t="shared" si="291"/>
        <v>4779</v>
      </c>
      <c r="AB94" s="1229"/>
      <c r="AC94" s="18">
        <v>1460</v>
      </c>
      <c r="AD94" s="6488"/>
      <c r="AE94" s="257">
        <f t="shared" si="292"/>
        <v>6239</v>
      </c>
      <c r="AF94" s="1229"/>
      <c r="AG94" s="18">
        <v>1305</v>
      </c>
      <c r="AH94" s="6488"/>
      <c r="AI94" s="257">
        <f t="shared" si="293"/>
        <v>7544</v>
      </c>
      <c r="AJ94" s="1229"/>
      <c r="AK94" s="18">
        <v>1465</v>
      </c>
      <c r="AL94" s="6502"/>
      <c r="AM94" s="287">
        <f t="shared" si="284"/>
        <v>4230</v>
      </c>
      <c r="AN94" s="6488"/>
      <c r="AO94" s="257">
        <f t="shared" si="285"/>
        <v>9009</v>
      </c>
      <c r="AP94" s="1229"/>
      <c r="AQ94" s="18">
        <v>716</v>
      </c>
      <c r="AR94" s="6488"/>
      <c r="AS94" s="257">
        <f t="shared" si="294"/>
        <v>9725</v>
      </c>
      <c r="AT94" s="1229"/>
      <c r="AU94" s="18">
        <v>585</v>
      </c>
      <c r="AV94" s="6488"/>
      <c r="AW94" s="257">
        <f t="shared" si="295"/>
        <v>10310</v>
      </c>
      <c r="AX94" s="1229"/>
      <c r="AY94" s="18">
        <v>715</v>
      </c>
      <c r="AZ94" s="6502"/>
      <c r="BA94" s="287">
        <f t="shared" si="286"/>
        <v>2016</v>
      </c>
      <c r="BB94" s="6525"/>
      <c r="BC94" s="601">
        <f t="shared" si="296"/>
        <v>6246</v>
      </c>
      <c r="BD94" s="6488"/>
      <c r="BE94" s="258">
        <f t="shared" si="297"/>
        <v>11025</v>
      </c>
      <c r="BF94" s="26"/>
      <c r="BG94" s="26"/>
      <c r="BH94" s="5726"/>
      <c r="BI94" s="5726"/>
    </row>
    <row r="95" spans="1:61" x14ac:dyDescent="0.25">
      <c r="B95" s="45" t="s">
        <v>1225</v>
      </c>
      <c r="C95" s="130" t="s">
        <v>1325</v>
      </c>
      <c r="D95" s="1229"/>
      <c r="E95" s="18">
        <v>398</v>
      </c>
      <c r="F95" s="1229"/>
      <c r="G95" s="18">
        <v>351</v>
      </c>
      <c r="H95" s="6488"/>
      <c r="I95" s="257">
        <f t="shared" si="287"/>
        <v>749</v>
      </c>
      <c r="J95" s="1229"/>
      <c r="K95" s="18">
        <v>385</v>
      </c>
      <c r="L95" s="6502"/>
      <c r="M95" s="283">
        <f t="shared" si="288"/>
        <v>1134</v>
      </c>
      <c r="N95" s="1229"/>
      <c r="O95" s="217">
        <v>378</v>
      </c>
      <c r="P95" s="6488"/>
      <c r="Q95" s="257">
        <f t="shared" si="289"/>
        <v>1512</v>
      </c>
      <c r="R95" s="1229"/>
      <c r="S95" s="18">
        <v>460</v>
      </c>
      <c r="T95" s="6488"/>
      <c r="U95" s="257">
        <f t="shared" si="290"/>
        <v>1972</v>
      </c>
      <c r="V95" s="1229"/>
      <c r="W95" s="18">
        <v>349</v>
      </c>
      <c r="X95" s="6502"/>
      <c r="Y95" s="287">
        <f t="shared" si="283"/>
        <v>1187</v>
      </c>
      <c r="Z95" s="6525"/>
      <c r="AA95" s="601">
        <f t="shared" si="291"/>
        <v>2321</v>
      </c>
      <c r="AB95" s="1229"/>
      <c r="AC95" s="18">
        <v>285</v>
      </c>
      <c r="AD95" s="6488"/>
      <c r="AE95" s="257">
        <f t="shared" si="292"/>
        <v>2606</v>
      </c>
      <c r="AF95" s="1229"/>
      <c r="AG95" s="18">
        <v>275</v>
      </c>
      <c r="AH95" s="6488"/>
      <c r="AI95" s="257">
        <f t="shared" si="293"/>
        <v>2881</v>
      </c>
      <c r="AJ95" s="1229"/>
      <c r="AK95" s="18">
        <v>227</v>
      </c>
      <c r="AL95" s="6502"/>
      <c r="AM95" s="287">
        <f t="shared" si="284"/>
        <v>787</v>
      </c>
      <c r="AN95" s="6488"/>
      <c r="AO95" s="257">
        <f t="shared" si="285"/>
        <v>3108</v>
      </c>
      <c r="AP95" s="1229"/>
      <c r="AQ95" s="18">
        <v>251</v>
      </c>
      <c r="AR95" s="6488"/>
      <c r="AS95" s="257">
        <f t="shared" si="294"/>
        <v>3359</v>
      </c>
      <c r="AT95" s="1229"/>
      <c r="AU95" s="18">
        <v>211</v>
      </c>
      <c r="AV95" s="6488"/>
      <c r="AW95" s="257">
        <f t="shared" si="295"/>
        <v>3570</v>
      </c>
      <c r="AX95" s="1229"/>
      <c r="AY95" s="18">
        <v>379</v>
      </c>
      <c r="AZ95" s="6502"/>
      <c r="BA95" s="287">
        <f t="shared" si="286"/>
        <v>841</v>
      </c>
      <c r="BB95" s="6525"/>
      <c r="BC95" s="601">
        <f t="shared" si="296"/>
        <v>1628</v>
      </c>
      <c r="BD95" s="6488"/>
      <c r="BE95" s="258">
        <f t="shared" si="297"/>
        <v>3949</v>
      </c>
      <c r="BF95" s="26"/>
      <c r="BG95" s="26"/>
      <c r="BH95" s="5726"/>
      <c r="BI95" s="5726"/>
    </row>
    <row r="96" spans="1:61" x14ac:dyDescent="0.25">
      <c r="B96" s="45" t="s">
        <v>1226</v>
      </c>
      <c r="C96" s="130" t="s">
        <v>1325</v>
      </c>
      <c r="D96" s="1229"/>
      <c r="E96" s="18">
        <v>147</v>
      </c>
      <c r="F96" s="1229"/>
      <c r="G96" s="18">
        <v>220</v>
      </c>
      <c r="H96" s="6488"/>
      <c r="I96" s="257">
        <f t="shared" si="287"/>
        <v>367</v>
      </c>
      <c r="J96" s="1229"/>
      <c r="K96" s="18">
        <v>210</v>
      </c>
      <c r="L96" s="6502"/>
      <c r="M96" s="283">
        <f t="shared" si="288"/>
        <v>577</v>
      </c>
      <c r="N96" s="1229"/>
      <c r="O96" s="217">
        <v>225</v>
      </c>
      <c r="P96" s="6488"/>
      <c r="Q96" s="257">
        <f t="shared" si="289"/>
        <v>802</v>
      </c>
      <c r="R96" s="1229"/>
      <c r="S96" s="18">
        <v>275</v>
      </c>
      <c r="T96" s="6488"/>
      <c r="U96" s="257">
        <f t="shared" si="290"/>
        <v>1077</v>
      </c>
      <c r="V96" s="1229"/>
      <c r="W96" s="18">
        <v>234</v>
      </c>
      <c r="X96" s="6502"/>
      <c r="Y96" s="287">
        <f t="shared" si="283"/>
        <v>734</v>
      </c>
      <c r="Z96" s="6525"/>
      <c r="AA96" s="601">
        <f t="shared" si="291"/>
        <v>1311</v>
      </c>
      <c r="AB96" s="1229"/>
      <c r="AC96" s="18">
        <v>294</v>
      </c>
      <c r="AD96" s="6488"/>
      <c r="AE96" s="257">
        <f t="shared" si="292"/>
        <v>1605</v>
      </c>
      <c r="AF96" s="1229"/>
      <c r="AG96" s="18">
        <v>302</v>
      </c>
      <c r="AH96" s="6488"/>
      <c r="AI96" s="257">
        <f t="shared" si="293"/>
        <v>1907</v>
      </c>
      <c r="AJ96" s="1229"/>
      <c r="AK96" s="18">
        <v>268</v>
      </c>
      <c r="AL96" s="6502"/>
      <c r="AM96" s="287">
        <f t="shared" si="284"/>
        <v>864</v>
      </c>
      <c r="AN96" s="6488"/>
      <c r="AO96" s="257">
        <f t="shared" si="285"/>
        <v>2175</v>
      </c>
      <c r="AP96" s="1229"/>
      <c r="AQ96" s="18">
        <v>222</v>
      </c>
      <c r="AR96" s="6488"/>
      <c r="AS96" s="257">
        <f t="shared" si="294"/>
        <v>2397</v>
      </c>
      <c r="AT96" s="1229"/>
      <c r="AU96" s="18">
        <v>174</v>
      </c>
      <c r="AV96" s="6488"/>
      <c r="AW96" s="257">
        <f t="shared" si="295"/>
        <v>2571</v>
      </c>
      <c r="AX96" s="1229"/>
      <c r="AY96" s="18">
        <v>181</v>
      </c>
      <c r="AZ96" s="6502"/>
      <c r="BA96" s="287">
        <f t="shared" si="286"/>
        <v>577</v>
      </c>
      <c r="BB96" s="6525"/>
      <c r="BC96" s="601">
        <f t="shared" si="296"/>
        <v>1441</v>
      </c>
      <c r="BD96" s="6488"/>
      <c r="BE96" s="258">
        <f t="shared" si="297"/>
        <v>2752</v>
      </c>
      <c r="BF96" s="26"/>
      <c r="BG96" s="26"/>
      <c r="BH96" s="5726"/>
      <c r="BI96" s="5726"/>
    </row>
    <row r="97" spans="1:61" x14ac:dyDescent="0.25">
      <c r="A97" s="183"/>
      <c r="B97" s="1230" t="s">
        <v>1227</v>
      </c>
      <c r="C97" s="130" t="s">
        <v>1325</v>
      </c>
      <c r="D97" s="1229"/>
      <c r="E97" s="217">
        <v>5</v>
      </c>
      <c r="F97" s="1229"/>
      <c r="G97" s="217">
        <v>121</v>
      </c>
      <c r="H97" s="6488"/>
      <c r="I97" s="257">
        <f t="shared" si="287"/>
        <v>126</v>
      </c>
      <c r="J97" s="1229"/>
      <c r="K97" s="217">
        <v>93</v>
      </c>
      <c r="L97" s="6502"/>
      <c r="M97" s="283">
        <f t="shared" si="288"/>
        <v>219</v>
      </c>
      <c r="N97" s="1229"/>
      <c r="O97" s="217">
        <v>73</v>
      </c>
      <c r="P97" s="6488"/>
      <c r="Q97" s="257">
        <f t="shared" si="289"/>
        <v>292</v>
      </c>
      <c r="R97" s="1229"/>
      <c r="S97" s="217">
        <v>5</v>
      </c>
      <c r="T97" s="6488"/>
      <c r="U97" s="257">
        <f t="shared" si="290"/>
        <v>297</v>
      </c>
      <c r="V97" s="1229"/>
      <c r="W97" s="217">
        <v>30</v>
      </c>
      <c r="X97" s="6502"/>
      <c r="Y97" s="287">
        <f t="shared" si="283"/>
        <v>108</v>
      </c>
      <c r="Z97" s="6525"/>
      <c r="AA97" s="601">
        <f t="shared" si="291"/>
        <v>327</v>
      </c>
      <c r="AB97" s="1229"/>
      <c r="AC97" s="217">
        <v>10</v>
      </c>
      <c r="AD97" s="6488"/>
      <c r="AE97" s="257">
        <f t="shared" si="292"/>
        <v>337</v>
      </c>
      <c r="AF97" s="1229"/>
      <c r="AG97" s="217">
        <v>0</v>
      </c>
      <c r="AH97" s="6488"/>
      <c r="AI97" s="257">
        <f t="shared" si="293"/>
        <v>337</v>
      </c>
      <c r="AJ97" s="1229"/>
      <c r="AK97" s="217">
        <v>177</v>
      </c>
      <c r="AL97" s="6502"/>
      <c r="AM97" s="287">
        <f t="shared" si="284"/>
        <v>187</v>
      </c>
      <c r="AN97" s="6488"/>
      <c r="AO97" s="257">
        <f t="shared" si="285"/>
        <v>514</v>
      </c>
      <c r="AP97" s="1229"/>
      <c r="AQ97" s="217">
        <v>40</v>
      </c>
      <c r="AR97" s="6488"/>
      <c r="AS97" s="257">
        <f t="shared" si="294"/>
        <v>554</v>
      </c>
      <c r="AT97" s="1229"/>
      <c r="AU97" s="217">
        <v>5</v>
      </c>
      <c r="AV97" s="6488"/>
      <c r="AW97" s="257">
        <f t="shared" si="295"/>
        <v>559</v>
      </c>
      <c r="AX97" s="1229"/>
      <c r="AY97" s="217"/>
      <c r="AZ97" s="6502"/>
      <c r="BA97" s="287">
        <f t="shared" si="286"/>
        <v>45</v>
      </c>
      <c r="BB97" s="6525"/>
      <c r="BC97" s="601">
        <f t="shared" si="296"/>
        <v>232</v>
      </c>
      <c r="BD97" s="6488"/>
      <c r="BE97" s="258">
        <f t="shared" si="297"/>
        <v>559</v>
      </c>
      <c r="BF97" s="26"/>
      <c r="BG97" s="26"/>
      <c r="BH97" s="5726"/>
      <c r="BI97" s="5726"/>
    </row>
    <row r="98" spans="1:61" x14ac:dyDescent="0.25">
      <c r="A98" s="183"/>
      <c r="B98" s="1230" t="s">
        <v>1228</v>
      </c>
      <c r="C98" s="130" t="s">
        <v>1325</v>
      </c>
      <c r="D98" s="1229"/>
      <c r="E98" s="217">
        <v>3220</v>
      </c>
      <c r="F98" s="1229"/>
      <c r="G98" s="217">
        <v>4460</v>
      </c>
      <c r="H98" s="6488"/>
      <c r="I98" s="257">
        <f t="shared" si="287"/>
        <v>7680</v>
      </c>
      <c r="J98" s="1229"/>
      <c r="K98" s="217">
        <v>4270</v>
      </c>
      <c r="L98" s="6502"/>
      <c r="M98" s="283">
        <f t="shared" si="288"/>
        <v>11950</v>
      </c>
      <c r="N98" s="1229"/>
      <c r="O98" s="217">
        <v>4460</v>
      </c>
      <c r="P98" s="6488"/>
      <c r="Q98" s="257">
        <f t="shared" si="289"/>
        <v>16410</v>
      </c>
      <c r="R98" s="1229"/>
      <c r="S98" s="217">
        <v>4600</v>
      </c>
      <c r="T98" s="6488"/>
      <c r="U98" s="257">
        <f t="shared" si="290"/>
        <v>21010</v>
      </c>
      <c r="V98" s="1229"/>
      <c r="W98" s="217">
        <v>4615</v>
      </c>
      <c r="X98" s="6502"/>
      <c r="Y98" s="287">
        <f t="shared" si="283"/>
        <v>13675</v>
      </c>
      <c r="Z98" s="6525"/>
      <c r="AA98" s="601">
        <f t="shared" si="291"/>
        <v>25625</v>
      </c>
      <c r="AB98" s="1229"/>
      <c r="AC98" s="217">
        <v>5630</v>
      </c>
      <c r="AD98" s="6488"/>
      <c r="AE98" s="257">
        <f t="shared" si="292"/>
        <v>31255</v>
      </c>
      <c r="AF98" s="1229"/>
      <c r="AG98" s="217">
        <v>5175</v>
      </c>
      <c r="AH98" s="6488"/>
      <c r="AI98" s="257">
        <f t="shared" si="293"/>
        <v>36430</v>
      </c>
      <c r="AJ98" s="1229"/>
      <c r="AK98" s="217">
        <v>4970</v>
      </c>
      <c r="AL98" s="6502"/>
      <c r="AM98" s="287">
        <f t="shared" si="284"/>
        <v>15775</v>
      </c>
      <c r="AN98" s="6488"/>
      <c r="AO98" s="257">
        <f t="shared" si="285"/>
        <v>41400</v>
      </c>
      <c r="AP98" s="1229"/>
      <c r="AQ98" s="217">
        <v>4710</v>
      </c>
      <c r="AR98" s="6488"/>
      <c r="AS98" s="257">
        <f t="shared" si="294"/>
        <v>46110</v>
      </c>
      <c r="AT98" s="1229"/>
      <c r="AU98" s="217">
        <v>3540</v>
      </c>
      <c r="AV98" s="6488"/>
      <c r="AW98" s="257">
        <f t="shared" si="295"/>
        <v>49650</v>
      </c>
      <c r="AX98" s="1229"/>
      <c r="AY98" s="217">
        <v>3670</v>
      </c>
      <c r="AZ98" s="6502"/>
      <c r="BA98" s="287">
        <f t="shared" si="286"/>
        <v>11920</v>
      </c>
      <c r="BB98" s="6525"/>
      <c r="BC98" s="601">
        <f t="shared" si="296"/>
        <v>27695</v>
      </c>
      <c r="BD98" s="6488"/>
      <c r="BE98" s="258">
        <f t="shared" si="297"/>
        <v>53320</v>
      </c>
      <c r="BF98" s="26"/>
      <c r="BG98" s="26"/>
      <c r="BH98" s="5726"/>
      <c r="BI98" s="5726"/>
    </row>
    <row r="99" spans="1:61" x14ac:dyDescent="0.25">
      <c r="A99" s="183"/>
      <c r="B99" s="1230" t="s">
        <v>1229</v>
      </c>
      <c r="C99" s="130" t="s">
        <v>1325</v>
      </c>
      <c r="D99" s="1229"/>
      <c r="E99" s="217">
        <v>12</v>
      </c>
      <c r="F99" s="1229"/>
      <c r="G99" s="217">
        <v>25</v>
      </c>
      <c r="H99" s="6488"/>
      <c r="I99" s="257">
        <f t="shared" si="287"/>
        <v>37</v>
      </c>
      <c r="J99" s="1229"/>
      <c r="K99" s="217">
        <v>9</v>
      </c>
      <c r="L99" s="6502"/>
      <c r="M99" s="283">
        <f t="shared" si="288"/>
        <v>46</v>
      </c>
      <c r="N99" s="1229"/>
      <c r="O99" s="217">
        <v>28</v>
      </c>
      <c r="P99" s="6488"/>
      <c r="Q99" s="257">
        <f t="shared" si="289"/>
        <v>74</v>
      </c>
      <c r="R99" s="1229"/>
      <c r="S99" s="217">
        <v>21</v>
      </c>
      <c r="T99" s="6488"/>
      <c r="U99" s="257">
        <f t="shared" si="290"/>
        <v>95</v>
      </c>
      <c r="V99" s="1229"/>
      <c r="W99" s="217">
        <v>17</v>
      </c>
      <c r="X99" s="6502"/>
      <c r="Y99" s="287">
        <f t="shared" si="283"/>
        <v>66</v>
      </c>
      <c r="Z99" s="6525"/>
      <c r="AA99" s="601">
        <f t="shared" si="291"/>
        <v>112</v>
      </c>
      <c r="AB99" s="1229"/>
      <c r="AC99" s="217">
        <v>27</v>
      </c>
      <c r="AD99" s="6488"/>
      <c r="AE99" s="257">
        <f t="shared" si="292"/>
        <v>139</v>
      </c>
      <c r="AF99" s="1229"/>
      <c r="AG99" s="217">
        <v>37.5</v>
      </c>
      <c r="AH99" s="6488"/>
      <c r="AI99" s="257">
        <f t="shared" si="293"/>
        <v>176.5</v>
      </c>
      <c r="AJ99" s="1229"/>
      <c r="AK99" s="217">
        <v>28</v>
      </c>
      <c r="AL99" s="6502"/>
      <c r="AM99" s="287">
        <f t="shared" si="284"/>
        <v>92.5</v>
      </c>
      <c r="AN99" s="6488"/>
      <c r="AO99" s="257">
        <f t="shared" si="285"/>
        <v>204.5</v>
      </c>
      <c r="AP99" s="1229"/>
      <c r="AQ99" s="217">
        <v>35.200000000000003</v>
      </c>
      <c r="AR99" s="6488"/>
      <c r="AS99" s="257">
        <f t="shared" si="294"/>
        <v>239.7</v>
      </c>
      <c r="AT99" s="1229"/>
      <c r="AU99" s="217">
        <v>14</v>
      </c>
      <c r="AV99" s="6488"/>
      <c r="AW99" s="257">
        <f t="shared" si="295"/>
        <v>253.7</v>
      </c>
      <c r="AX99" s="1229"/>
      <c r="AY99" s="217">
        <v>6</v>
      </c>
      <c r="AZ99" s="6502"/>
      <c r="BA99" s="287">
        <f t="shared" si="286"/>
        <v>55.2</v>
      </c>
      <c r="BB99" s="6525"/>
      <c r="BC99" s="601">
        <f t="shared" si="296"/>
        <v>147.69999999999999</v>
      </c>
      <c r="BD99" s="6488"/>
      <c r="BE99" s="258">
        <f t="shared" si="297"/>
        <v>259.7</v>
      </c>
      <c r="BF99" s="26"/>
      <c r="BG99" s="26"/>
      <c r="BH99" s="5726"/>
      <c r="BI99" s="5726"/>
    </row>
    <row r="100" spans="1:61" x14ac:dyDescent="0.25">
      <c r="A100" s="183"/>
      <c r="B100" s="1230" t="s">
        <v>1230</v>
      </c>
      <c r="C100" s="130" t="s">
        <v>1325</v>
      </c>
      <c r="D100" s="1229"/>
      <c r="E100" s="217">
        <v>640</v>
      </c>
      <c r="F100" s="1229"/>
      <c r="G100" s="217">
        <v>513</v>
      </c>
      <c r="H100" s="6488"/>
      <c r="I100" s="257">
        <f t="shared" si="287"/>
        <v>1153</v>
      </c>
      <c r="J100" s="1229"/>
      <c r="K100" s="217">
        <v>600</v>
      </c>
      <c r="L100" s="6502"/>
      <c r="M100" s="283">
        <f t="shared" si="288"/>
        <v>1753</v>
      </c>
      <c r="N100" s="1229"/>
      <c r="O100" s="217">
        <v>694</v>
      </c>
      <c r="P100" s="6488"/>
      <c r="Q100" s="257">
        <f t="shared" si="289"/>
        <v>2447</v>
      </c>
      <c r="R100" s="1229"/>
      <c r="S100" s="217">
        <v>835</v>
      </c>
      <c r="T100" s="6488"/>
      <c r="U100" s="257">
        <f t="shared" si="290"/>
        <v>3282</v>
      </c>
      <c r="V100" s="1229"/>
      <c r="W100" s="217">
        <v>640</v>
      </c>
      <c r="X100" s="6502"/>
      <c r="Y100" s="287">
        <f t="shared" si="283"/>
        <v>2169</v>
      </c>
      <c r="Z100" s="6525"/>
      <c r="AA100" s="601">
        <f t="shared" si="291"/>
        <v>3922</v>
      </c>
      <c r="AB100" s="1229"/>
      <c r="AC100" s="217">
        <v>1185</v>
      </c>
      <c r="AD100" s="6488"/>
      <c r="AE100" s="257">
        <f t="shared" si="292"/>
        <v>5107</v>
      </c>
      <c r="AF100" s="1229"/>
      <c r="AG100" s="217">
        <v>1330</v>
      </c>
      <c r="AH100" s="6488"/>
      <c r="AI100" s="257">
        <f t="shared" si="293"/>
        <v>6437</v>
      </c>
      <c r="AJ100" s="1229"/>
      <c r="AK100" s="217">
        <v>1030</v>
      </c>
      <c r="AL100" s="6502"/>
      <c r="AM100" s="287">
        <f t="shared" si="284"/>
        <v>3545</v>
      </c>
      <c r="AN100" s="6488"/>
      <c r="AO100" s="257">
        <f t="shared" si="285"/>
        <v>7467</v>
      </c>
      <c r="AP100" s="1229"/>
      <c r="AQ100" s="217">
        <v>790</v>
      </c>
      <c r="AR100" s="6488"/>
      <c r="AS100" s="257">
        <f t="shared" si="294"/>
        <v>8257</v>
      </c>
      <c r="AT100" s="1229"/>
      <c r="AU100" s="217">
        <v>1005</v>
      </c>
      <c r="AV100" s="6488"/>
      <c r="AW100" s="257">
        <f t="shared" si="295"/>
        <v>9262</v>
      </c>
      <c r="AX100" s="1229"/>
      <c r="AY100" s="217">
        <v>443</v>
      </c>
      <c r="AZ100" s="6502"/>
      <c r="BA100" s="287">
        <f t="shared" si="286"/>
        <v>2238</v>
      </c>
      <c r="BB100" s="6525"/>
      <c r="BC100" s="601">
        <f t="shared" si="296"/>
        <v>5783</v>
      </c>
      <c r="BD100" s="6488"/>
      <c r="BE100" s="258">
        <f t="shared" si="297"/>
        <v>9705</v>
      </c>
      <c r="BF100" s="26"/>
      <c r="BG100" s="26"/>
      <c r="BH100" s="5726"/>
      <c r="BI100" s="5726"/>
    </row>
    <row r="101" spans="1:61" x14ac:dyDescent="0.25">
      <c r="A101" s="183"/>
      <c r="B101" s="1230" t="s">
        <v>1231</v>
      </c>
      <c r="C101" s="130" t="s">
        <v>1325</v>
      </c>
      <c r="D101" s="1229"/>
      <c r="E101" s="217">
        <v>39</v>
      </c>
      <c r="F101" s="1229"/>
      <c r="G101" s="217">
        <v>61</v>
      </c>
      <c r="H101" s="6488"/>
      <c r="I101" s="257">
        <f t="shared" si="287"/>
        <v>100</v>
      </c>
      <c r="J101" s="1229"/>
      <c r="K101" s="217">
        <v>66</v>
      </c>
      <c r="L101" s="6502"/>
      <c r="M101" s="283">
        <f t="shared" si="288"/>
        <v>166</v>
      </c>
      <c r="N101" s="1229"/>
      <c r="O101" s="217">
        <v>64</v>
      </c>
      <c r="P101" s="6488"/>
      <c r="Q101" s="257">
        <f t="shared" si="289"/>
        <v>230</v>
      </c>
      <c r="R101" s="1229"/>
      <c r="S101" s="217">
        <v>72</v>
      </c>
      <c r="T101" s="6488"/>
      <c r="U101" s="257">
        <f t="shared" si="290"/>
        <v>302</v>
      </c>
      <c r="V101" s="1229"/>
      <c r="W101" s="217">
        <v>74</v>
      </c>
      <c r="X101" s="6502"/>
      <c r="Y101" s="287">
        <f t="shared" si="283"/>
        <v>210</v>
      </c>
      <c r="Z101" s="6525"/>
      <c r="AA101" s="601">
        <f t="shared" si="291"/>
        <v>376</v>
      </c>
      <c r="AB101" s="1229"/>
      <c r="AC101" s="217">
        <v>94</v>
      </c>
      <c r="AD101" s="6488"/>
      <c r="AE101" s="257">
        <f t="shared" si="292"/>
        <v>470</v>
      </c>
      <c r="AF101" s="1229"/>
      <c r="AG101" s="217">
        <v>75</v>
      </c>
      <c r="AH101" s="6488"/>
      <c r="AI101" s="257">
        <f t="shared" si="293"/>
        <v>545</v>
      </c>
      <c r="AJ101" s="1229"/>
      <c r="AK101" s="217">
        <v>101</v>
      </c>
      <c r="AL101" s="6502"/>
      <c r="AM101" s="287">
        <f t="shared" si="284"/>
        <v>270</v>
      </c>
      <c r="AN101" s="6488"/>
      <c r="AO101" s="257">
        <f t="shared" si="285"/>
        <v>646</v>
      </c>
      <c r="AP101" s="1229"/>
      <c r="AQ101" s="217">
        <v>83</v>
      </c>
      <c r="AR101" s="6488"/>
      <c r="AS101" s="257">
        <f t="shared" si="294"/>
        <v>729</v>
      </c>
      <c r="AT101" s="1229"/>
      <c r="AU101" s="217">
        <v>65</v>
      </c>
      <c r="AV101" s="6488"/>
      <c r="AW101" s="257">
        <f t="shared" si="295"/>
        <v>794</v>
      </c>
      <c r="AX101" s="1229"/>
      <c r="AY101" s="217">
        <v>52</v>
      </c>
      <c r="AZ101" s="6502"/>
      <c r="BA101" s="287">
        <f t="shared" si="286"/>
        <v>200</v>
      </c>
      <c r="BB101" s="6525"/>
      <c r="BC101" s="601">
        <f t="shared" si="296"/>
        <v>470</v>
      </c>
      <c r="BD101" s="6488"/>
      <c r="BE101" s="258">
        <f t="shared" si="297"/>
        <v>846</v>
      </c>
      <c r="BF101" s="26"/>
      <c r="BG101" s="26"/>
      <c r="BH101" s="5726"/>
      <c r="BI101" s="5726"/>
    </row>
    <row r="102" spans="1:61" x14ac:dyDescent="0.25">
      <c r="A102" s="183"/>
      <c r="B102" s="1230" t="s">
        <v>1503</v>
      </c>
      <c r="C102" s="130" t="s">
        <v>1325</v>
      </c>
      <c r="D102" s="1229"/>
      <c r="E102" s="217">
        <v>244.8</v>
      </c>
      <c r="F102" s="1229"/>
      <c r="G102" s="217">
        <v>253.14</v>
      </c>
      <c r="H102" s="6488"/>
      <c r="I102" s="257">
        <f t="shared" si="287"/>
        <v>497.94</v>
      </c>
      <c r="J102" s="1229"/>
      <c r="K102" s="217">
        <v>253.14</v>
      </c>
      <c r="L102" s="6502"/>
      <c r="M102" s="283">
        <f t="shared" si="288"/>
        <v>751.07999999999993</v>
      </c>
      <c r="N102" s="1229"/>
      <c r="O102" s="217">
        <v>253.17</v>
      </c>
      <c r="P102" s="6488"/>
      <c r="Q102" s="257">
        <f t="shared" si="289"/>
        <v>1004.2499999999999</v>
      </c>
      <c r="R102" s="1229"/>
      <c r="S102" s="217">
        <v>253.17</v>
      </c>
      <c r="T102" s="6488"/>
      <c r="U102" s="257">
        <f t="shared" si="290"/>
        <v>1257.4199999999998</v>
      </c>
      <c r="V102" s="1229"/>
      <c r="W102" s="217">
        <v>245</v>
      </c>
      <c r="X102" s="6502"/>
      <c r="Y102" s="287">
        <f t="shared" si="283"/>
        <v>751.33999999999992</v>
      </c>
      <c r="Z102" s="6525"/>
      <c r="AA102" s="601">
        <f t="shared" si="291"/>
        <v>1502.4199999999998</v>
      </c>
      <c r="AB102" s="1229"/>
      <c r="AC102" s="217">
        <v>253.17</v>
      </c>
      <c r="AD102" s="6488"/>
      <c r="AE102" s="257">
        <f t="shared" si="292"/>
        <v>1755.59</v>
      </c>
      <c r="AF102" s="1229"/>
      <c r="AG102" s="217">
        <v>245</v>
      </c>
      <c r="AH102" s="6488"/>
      <c r="AI102" s="257">
        <f t="shared" si="293"/>
        <v>2000.59</v>
      </c>
      <c r="AJ102" s="1229"/>
      <c r="AK102" s="217">
        <v>245</v>
      </c>
      <c r="AL102" s="6502"/>
      <c r="AM102" s="287">
        <f t="shared" si="284"/>
        <v>743.17</v>
      </c>
      <c r="AN102" s="6488"/>
      <c r="AO102" s="257">
        <f t="shared" si="285"/>
        <v>2245.59</v>
      </c>
      <c r="AP102" s="1229"/>
      <c r="AQ102" s="217">
        <v>16.239999999999998</v>
      </c>
      <c r="AR102" s="6488"/>
      <c r="AS102" s="257">
        <f t="shared" si="294"/>
        <v>2261.83</v>
      </c>
      <c r="AT102" s="1229"/>
      <c r="AU102" s="217">
        <v>0</v>
      </c>
      <c r="AV102" s="6488"/>
      <c r="AW102" s="257">
        <f t="shared" si="295"/>
        <v>2261.83</v>
      </c>
      <c r="AX102" s="1229"/>
      <c r="AY102" s="217"/>
      <c r="AZ102" s="6502"/>
      <c r="BA102" s="287">
        <f t="shared" si="286"/>
        <v>16.239999999999998</v>
      </c>
      <c r="BB102" s="6525"/>
      <c r="BC102" s="601">
        <f t="shared" si="296"/>
        <v>759.41</v>
      </c>
      <c r="BD102" s="6488"/>
      <c r="BE102" s="258">
        <f t="shared" si="297"/>
        <v>2261.83</v>
      </c>
      <c r="BF102" s="26"/>
      <c r="BG102" s="26"/>
      <c r="BH102" s="5726"/>
      <c r="BI102" s="5726"/>
    </row>
    <row r="103" spans="1:61" x14ac:dyDescent="0.25">
      <c r="A103" s="183"/>
      <c r="B103" s="1230" t="s">
        <v>1504</v>
      </c>
      <c r="C103" s="130" t="s">
        <v>1325</v>
      </c>
      <c r="D103" s="1229"/>
      <c r="E103" s="217">
        <v>175.11</v>
      </c>
      <c r="F103" s="1229"/>
      <c r="G103" s="217">
        <v>180.83</v>
      </c>
      <c r="H103" s="6488"/>
      <c r="I103" s="257">
        <f t="shared" si="287"/>
        <v>355.94000000000005</v>
      </c>
      <c r="J103" s="1229"/>
      <c r="K103" s="217">
        <v>180.83</v>
      </c>
      <c r="L103" s="6502"/>
      <c r="M103" s="283">
        <f t="shared" si="288"/>
        <v>536.7700000000001</v>
      </c>
      <c r="N103" s="1229"/>
      <c r="O103" s="217">
        <v>180.83</v>
      </c>
      <c r="P103" s="6488"/>
      <c r="Q103" s="257">
        <f t="shared" si="289"/>
        <v>717.60000000000014</v>
      </c>
      <c r="R103" s="1229"/>
      <c r="S103" s="217">
        <v>180.83</v>
      </c>
      <c r="T103" s="6488"/>
      <c r="U103" s="257">
        <f t="shared" si="290"/>
        <v>898.43000000000018</v>
      </c>
      <c r="V103" s="1229"/>
      <c r="W103" s="217">
        <v>175</v>
      </c>
      <c r="X103" s="6502"/>
      <c r="Y103" s="287">
        <f t="shared" si="283"/>
        <v>536.66000000000008</v>
      </c>
      <c r="Z103" s="6525"/>
      <c r="AA103" s="601">
        <f t="shared" si="291"/>
        <v>1073.4300000000003</v>
      </c>
      <c r="AB103" s="1229"/>
      <c r="AC103" s="217">
        <v>180.83</v>
      </c>
      <c r="AD103" s="6488"/>
      <c r="AE103" s="257">
        <f t="shared" si="292"/>
        <v>1254.2600000000002</v>
      </c>
      <c r="AF103" s="1229"/>
      <c r="AG103" s="217">
        <v>176</v>
      </c>
      <c r="AH103" s="6488"/>
      <c r="AI103" s="257">
        <f t="shared" si="293"/>
        <v>1430.2600000000002</v>
      </c>
      <c r="AJ103" s="1229"/>
      <c r="AK103" s="217">
        <v>174.94</v>
      </c>
      <c r="AL103" s="6502"/>
      <c r="AM103" s="287">
        <f t="shared" si="284"/>
        <v>531.77</v>
      </c>
      <c r="AN103" s="6488"/>
      <c r="AO103" s="257">
        <f t="shared" si="285"/>
        <v>1605.2000000000003</v>
      </c>
      <c r="AP103" s="1229"/>
      <c r="AQ103" s="217">
        <v>11.76</v>
      </c>
      <c r="AR103" s="6488"/>
      <c r="AS103" s="257">
        <f t="shared" si="294"/>
        <v>1616.9600000000003</v>
      </c>
      <c r="AT103" s="1229"/>
      <c r="AU103" s="217">
        <v>0</v>
      </c>
      <c r="AV103" s="6488"/>
      <c r="AW103" s="257">
        <f t="shared" si="295"/>
        <v>1616.9600000000003</v>
      </c>
      <c r="AX103" s="1229"/>
      <c r="AY103" s="217"/>
      <c r="AZ103" s="6502"/>
      <c r="BA103" s="287">
        <f t="shared" si="286"/>
        <v>11.76</v>
      </c>
      <c r="BB103" s="6525"/>
      <c r="BC103" s="601">
        <f t="shared" si="296"/>
        <v>543.53</v>
      </c>
      <c r="BD103" s="6488"/>
      <c r="BE103" s="258">
        <f t="shared" si="297"/>
        <v>1616.9600000000003</v>
      </c>
      <c r="BF103" s="26"/>
      <c r="BG103" s="26"/>
      <c r="BH103" s="5726"/>
      <c r="BI103" s="5726"/>
    </row>
    <row r="104" spans="1:61" x14ac:dyDescent="0.25">
      <c r="A104" s="183"/>
      <c r="B104" s="1230" t="s">
        <v>1505</v>
      </c>
      <c r="C104" s="130" t="s">
        <v>1325</v>
      </c>
      <c r="D104" s="1229"/>
      <c r="E104" s="217">
        <v>70</v>
      </c>
      <c r="F104" s="1229"/>
      <c r="G104" s="217">
        <v>70</v>
      </c>
      <c r="H104" s="6488"/>
      <c r="I104" s="257">
        <f t="shared" si="287"/>
        <v>140</v>
      </c>
      <c r="J104" s="1229"/>
      <c r="K104" s="217">
        <v>70</v>
      </c>
      <c r="L104" s="6502"/>
      <c r="M104" s="283">
        <f t="shared" si="288"/>
        <v>210</v>
      </c>
      <c r="N104" s="1229"/>
      <c r="O104" s="217">
        <v>87.5</v>
      </c>
      <c r="P104" s="6488"/>
      <c r="Q104" s="257">
        <f t="shared" si="289"/>
        <v>297.5</v>
      </c>
      <c r="R104" s="1229"/>
      <c r="S104" s="217">
        <v>70</v>
      </c>
      <c r="T104" s="6488"/>
      <c r="U104" s="257">
        <f t="shared" si="290"/>
        <v>367.5</v>
      </c>
      <c r="V104" s="1229"/>
      <c r="W104" s="217">
        <v>70</v>
      </c>
      <c r="X104" s="6502"/>
      <c r="Y104" s="287">
        <f t="shared" si="283"/>
        <v>227.5</v>
      </c>
      <c r="Z104" s="6525"/>
      <c r="AA104" s="601">
        <f t="shared" si="291"/>
        <v>437.5</v>
      </c>
      <c r="AB104" s="1229"/>
      <c r="AC104" s="217">
        <v>66</v>
      </c>
      <c r="AD104" s="6488"/>
      <c r="AE104" s="257">
        <f t="shared" si="292"/>
        <v>503.5</v>
      </c>
      <c r="AF104" s="1229"/>
      <c r="AG104" s="217">
        <v>70</v>
      </c>
      <c r="AH104" s="6488"/>
      <c r="AI104" s="257">
        <f t="shared" si="293"/>
        <v>573.5</v>
      </c>
      <c r="AJ104" s="1229"/>
      <c r="AK104" s="217">
        <v>70</v>
      </c>
      <c r="AL104" s="6502"/>
      <c r="AM104" s="287">
        <f t="shared" si="284"/>
        <v>206</v>
      </c>
      <c r="AN104" s="6488"/>
      <c r="AO104" s="257">
        <f t="shared" si="285"/>
        <v>643.5</v>
      </c>
      <c r="AP104" s="1229"/>
      <c r="AQ104" s="217">
        <v>0</v>
      </c>
      <c r="AR104" s="6488"/>
      <c r="AS104" s="257">
        <f t="shared" si="294"/>
        <v>643.5</v>
      </c>
      <c r="AT104" s="1229"/>
      <c r="AU104" s="217">
        <v>0</v>
      </c>
      <c r="AV104" s="6488"/>
      <c r="AW104" s="257">
        <f t="shared" si="295"/>
        <v>643.5</v>
      </c>
      <c r="AX104" s="1229"/>
      <c r="AY104" s="217"/>
      <c r="AZ104" s="6502"/>
      <c r="BA104" s="287">
        <f t="shared" si="286"/>
        <v>0</v>
      </c>
      <c r="BB104" s="6525"/>
      <c r="BC104" s="601">
        <f t="shared" si="296"/>
        <v>206</v>
      </c>
      <c r="BD104" s="6488"/>
      <c r="BE104" s="258">
        <f t="shared" si="297"/>
        <v>643.5</v>
      </c>
      <c r="BF104" s="26"/>
      <c r="BG104" s="26"/>
      <c r="BH104" s="5726"/>
      <c r="BI104" s="5726"/>
    </row>
    <row r="105" spans="1:61" x14ac:dyDescent="0.25">
      <c r="B105" s="45" t="s">
        <v>1191</v>
      </c>
      <c r="C105" s="130" t="s">
        <v>1325</v>
      </c>
      <c r="D105" s="1229"/>
      <c r="E105" s="217">
        <v>2250</v>
      </c>
      <c r="F105" s="1229"/>
      <c r="G105" s="217">
        <v>2325</v>
      </c>
      <c r="H105" s="6488"/>
      <c r="I105" s="257">
        <f t="shared" si="287"/>
        <v>4575</v>
      </c>
      <c r="J105" s="1229"/>
      <c r="K105" s="217">
        <v>2325</v>
      </c>
      <c r="L105" s="6502"/>
      <c r="M105" s="283">
        <f t="shared" si="288"/>
        <v>6900</v>
      </c>
      <c r="N105" s="1229"/>
      <c r="O105" s="217">
        <v>2325</v>
      </c>
      <c r="P105" s="6488"/>
      <c r="Q105" s="257">
        <f t="shared" si="289"/>
        <v>9225</v>
      </c>
      <c r="R105" s="1229"/>
      <c r="S105" s="217">
        <v>2325</v>
      </c>
      <c r="T105" s="6488"/>
      <c r="U105" s="257">
        <f t="shared" si="290"/>
        <v>11550</v>
      </c>
      <c r="V105" s="1229"/>
      <c r="W105" s="217">
        <v>2250</v>
      </c>
      <c r="X105" s="6502"/>
      <c r="Y105" s="287">
        <f t="shared" si="283"/>
        <v>6900</v>
      </c>
      <c r="Z105" s="6525"/>
      <c r="AA105" s="601">
        <f t="shared" si="291"/>
        <v>13800</v>
      </c>
      <c r="AB105" s="1229"/>
      <c r="AC105" s="217">
        <v>2325</v>
      </c>
      <c r="AD105" s="6488"/>
      <c r="AE105" s="257">
        <f t="shared" si="292"/>
        <v>16125</v>
      </c>
      <c r="AF105" s="1229"/>
      <c r="AG105" s="217">
        <v>2250</v>
      </c>
      <c r="AH105" s="6488"/>
      <c r="AI105" s="257">
        <f t="shared" si="293"/>
        <v>18375</v>
      </c>
      <c r="AJ105" s="1229"/>
      <c r="AK105" s="217">
        <v>2250</v>
      </c>
      <c r="AL105" s="6502"/>
      <c r="AM105" s="287">
        <f t="shared" si="284"/>
        <v>6825</v>
      </c>
      <c r="AN105" s="6488"/>
      <c r="AO105" s="257">
        <f t="shared" si="285"/>
        <v>20625</v>
      </c>
      <c r="AP105" s="1229"/>
      <c r="AQ105" s="217">
        <v>150</v>
      </c>
      <c r="AR105" s="6488"/>
      <c r="AS105" s="257">
        <f t="shared" si="294"/>
        <v>20775</v>
      </c>
      <c r="AT105" s="1229"/>
      <c r="AU105" s="217">
        <v>0</v>
      </c>
      <c r="AV105" s="6488"/>
      <c r="AW105" s="257">
        <f t="shared" si="295"/>
        <v>20775</v>
      </c>
      <c r="AX105" s="1229"/>
      <c r="AY105" s="217"/>
      <c r="AZ105" s="6502"/>
      <c r="BA105" s="287">
        <f t="shared" si="286"/>
        <v>150</v>
      </c>
      <c r="BB105" s="6525"/>
      <c r="BC105" s="601">
        <f t="shared" si="296"/>
        <v>6975</v>
      </c>
      <c r="BD105" s="6488"/>
      <c r="BE105" s="258">
        <f t="shared" si="297"/>
        <v>20775</v>
      </c>
      <c r="BF105" s="26"/>
      <c r="BG105" s="26"/>
      <c r="BH105" s="5726"/>
      <c r="BI105" s="5726"/>
    </row>
    <row r="106" spans="1:61" x14ac:dyDescent="0.25">
      <c r="B106" s="45" t="s">
        <v>1557</v>
      </c>
      <c r="C106" s="130" t="s">
        <v>1325</v>
      </c>
      <c r="D106" s="1229"/>
      <c r="E106" s="217">
        <v>35</v>
      </c>
      <c r="F106" s="1229"/>
      <c r="G106" s="217">
        <v>35</v>
      </c>
      <c r="H106" s="6488"/>
      <c r="I106" s="257">
        <f t="shared" si="287"/>
        <v>70</v>
      </c>
      <c r="J106" s="1229"/>
      <c r="K106" s="217">
        <v>35</v>
      </c>
      <c r="L106" s="6502"/>
      <c r="M106" s="283">
        <f t="shared" si="288"/>
        <v>105</v>
      </c>
      <c r="N106" s="1229"/>
      <c r="O106" s="217">
        <v>35</v>
      </c>
      <c r="P106" s="6488"/>
      <c r="Q106" s="257">
        <f t="shared" si="289"/>
        <v>140</v>
      </c>
      <c r="R106" s="1229"/>
      <c r="S106" s="217">
        <v>35</v>
      </c>
      <c r="T106" s="6488"/>
      <c r="U106" s="257">
        <f t="shared" si="290"/>
        <v>175</v>
      </c>
      <c r="V106" s="1229"/>
      <c r="W106" s="217">
        <v>35</v>
      </c>
      <c r="X106" s="6502"/>
      <c r="Y106" s="287">
        <f t="shared" si="283"/>
        <v>105</v>
      </c>
      <c r="Z106" s="6525"/>
      <c r="AA106" s="601">
        <f t="shared" si="291"/>
        <v>210</v>
      </c>
      <c r="AB106" s="1229"/>
      <c r="AC106" s="217">
        <v>35</v>
      </c>
      <c r="AD106" s="6488"/>
      <c r="AE106" s="257">
        <f t="shared" si="292"/>
        <v>245</v>
      </c>
      <c r="AF106" s="1229"/>
      <c r="AG106" s="217">
        <v>35</v>
      </c>
      <c r="AH106" s="6488"/>
      <c r="AI106" s="257">
        <f t="shared" si="293"/>
        <v>280</v>
      </c>
      <c r="AJ106" s="1229"/>
      <c r="AK106" s="217">
        <v>35</v>
      </c>
      <c r="AL106" s="6502"/>
      <c r="AM106" s="287">
        <f t="shared" si="284"/>
        <v>105</v>
      </c>
      <c r="AN106" s="6488"/>
      <c r="AO106" s="257">
        <f t="shared" si="285"/>
        <v>315</v>
      </c>
      <c r="AP106" s="1229"/>
      <c r="AQ106" s="217">
        <v>0</v>
      </c>
      <c r="AR106" s="6488"/>
      <c r="AS106" s="257">
        <f t="shared" si="294"/>
        <v>315</v>
      </c>
      <c r="AT106" s="1229"/>
      <c r="AU106" s="217">
        <v>0</v>
      </c>
      <c r="AV106" s="6488"/>
      <c r="AW106" s="257">
        <f t="shared" si="295"/>
        <v>315</v>
      </c>
      <c r="AX106" s="1229"/>
      <c r="AY106" s="217"/>
      <c r="AZ106" s="6502"/>
      <c r="BA106" s="287">
        <f t="shared" si="286"/>
        <v>0</v>
      </c>
      <c r="BB106" s="6525"/>
      <c r="BC106" s="601">
        <f t="shared" si="296"/>
        <v>105</v>
      </c>
      <c r="BD106" s="6488"/>
      <c r="BE106" s="258">
        <f t="shared" si="297"/>
        <v>315</v>
      </c>
      <c r="BF106" s="26"/>
      <c r="BG106" s="26"/>
      <c r="BH106" s="5726"/>
      <c r="BI106" s="5726"/>
    </row>
    <row r="107" spans="1:61" x14ac:dyDescent="0.25">
      <c r="B107" s="45" t="s">
        <v>1647</v>
      </c>
      <c r="C107" s="130" t="s">
        <v>419</v>
      </c>
      <c r="D107" s="1229"/>
      <c r="E107" s="18"/>
      <c r="F107" s="1229"/>
      <c r="G107" s="18">
        <v>35</v>
      </c>
      <c r="H107" s="6488"/>
      <c r="I107" s="257">
        <f t="shared" si="287"/>
        <v>35</v>
      </c>
      <c r="J107" s="1229"/>
      <c r="K107" s="18">
        <v>35</v>
      </c>
      <c r="L107" s="6502"/>
      <c r="M107" s="283">
        <f t="shared" si="288"/>
        <v>70</v>
      </c>
      <c r="N107" s="1229"/>
      <c r="O107" s="217">
        <v>70</v>
      </c>
      <c r="P107" s="6488"/>
      <c r="Q107" s="257">
        <f t="shared" si="289"/>
        <v>140</v>
      </c>
      <c r="R107" s="1229"/>
      <c r="S107" s="18">
        <v>35</v>
      </c>
      <c r="T107" s="6488"/>
      <c r="U107" s="257">
        <f t="shared" si="290"/>
        <v>175</v>
      </c>
      <c r="V107" s="1229"/>
      <c r="W107" s="18">
        <v>35</v>
      </c>
      <c r="X107" s="6502"/>
      <c r="Y107" s="287">
        <f t="shared" si="283"/>
        <v>140</v>
      </c>
      <c r="Z107" s="6525"/>
      <c r="AA107" s="601">
        <f t="shared" si="291"/>
        <v>210</v>
      </c>
      <c r="AB107" s="1229"/>
      <c r="AC107" s="18">
        <v>35</v>
      </c>
      <c r="AD107" s="6488"/>
      <c r="AE107" s="257">
        <f t="shared" si="292"/>
        <v>245</v>
      </c>
      <c r="AF107" s="1229"/>
      <c r="AG107" s="18">
        <v>35</v>
      </c>
      <c r="AH107" s="6488"/>
      <c r="AI107" s="257">
        <f t="shared" si="293"/>
        <v>280</v>
      </c>
      <c r="AJ107" s="1229"/>
      <c r="AK107" s="18">
        <v>35</v>
      </c>
      <c r="AL107" s="6502"/>
      <c r="AM107" s="287">
        <f t="shared" si="284"/>
        <v>105</v>
      </c>
      <c r="AN107" s="6488"/>
      <c r="AO107" s="257">
        <f t="shared" si="285"/>
        <v>315</v>
      </c>
      <c r="AP107" s="1229"/>
      <c r="AQ107" s="18">
        <v>0</v>
      </c>
      <c r="AR107" s="6488"/>
      <c r="AS107" s="257">
        <f t="shared" si="294"/>
        <v>315</v>
      </c>
      <c r="AT107" s="1229"/>
      <c r="AU107" s="18">
        <v>0</v>
      </c>
      <c r="AV107" s="6488"/>
      <c r="AW107" s="257">
        <f t="shared" si="295"/>
        <v>315</v>
      </c>
      <c r="AX107" s="1229"/>
      <c r="AY107" s="18"/>
      <c r="AZ107" s="6502"/>
      <c r="BA107" s="287">
        <f t="shared" si="286"/>
        <v>0</v>
      </c>
      <c r="BB107" s="6525"/>
      <c r="BC107" s="601">
        <f t="shared" si="296"/>
        <v>105</v>
      </c>
      <c r="BD107" s="6488"/>
      <c r="BE107" s="258">
        <f t="shared" si="297"/>
        <v>315</v>
      </c>
      <c r="BF107" s="26"/>
      <c r="BG107" s="26"/>
      <c r="BH107" s="5726"/>
      <c r="BI107" s="5726"/>
    </row>
    <row r="108" spans="1:61" ht="15.75" thickBot="1" x14ac:dyDescent="0.3">
      <c r="B108" s="45" t="s">
        <v>1192</v>
      </c>
      <c r="C108" s="130" t="s">
        <v>419</v>
      </c>
      <c r="D108" s="1229"/>
      <c r="E108" s="18">
        <v>1500</v>
      </c>
      <c r="F108" s="1229"/>
      <c r="G108" s="18">
        <v>1550</v>
      </c>
      <c r="H108" s="6488"/>
      <c r="I108" s="257">
        <f t="shared" si="287"/>
        <v>3050</v>
      </c>
      <c r="J108" s="1229"/>
      <c r="K108" s="18">
        <v>1550</v>
      </c>
      <c r="L108" s="6502"/>
      <c r="M108" s="283">
        <f t="shared" si="288"/>
        <v>4600</v>
      </c>
      <c r="N108" s="1229"/>
      <c r="O108" s="217">
        <v>1555</v>
      </c>
      <c r="P108" s="6488"/>
      <c r="Q108" s="257">
        <f t="shared" si="289"/>
        <v>6155</v>
      </c>
      <c r="R108" s="1229"/>
      <c r="S108" s="18">
        <v>1550</v>
      </c>
      <c r="T108" s="6488"/>
      <c r="U108" s="257">
        <f t="shared" si="290"/>
        <v>7705</v>
      </c>
      <c r="V108" s="1229"/>
      <c r="W108" s="18">
        <v>1500</v>
      </c>
      <c r="X108" s="6502"/>
      <c r="Y108" s="287">
        <f t="shared" si="283"/>
        <v>4605</v>
      </c>
      <c r="Z108" s="6525"/>
      <c r="AA108" s="601">
        <f t="shared" si="291"/>
        <v>9205</v>
      </c>
      <c r="AB108" s="1229"/>
      <c r="AC108" s="18">
        <v>1550</v>
      </c>
      <c r="AD108" s="6488"/>
      <c r="AE108" s="257">
        <f t="shared" si="292"/>
        <v>10755</v>
      </c>
      <c r="AF108" s="1229"/>
      <c r="AG108" s="18">
        <v>1500</v>
      </c>
      <c r="AH108" s="6488"/>
      <c r="AI108" s="257">
        <f t="shared" si="293"/>
        <v>12255</v>
      </c>
      <c r="AJ108" s="1229"/>
      <c r="AK108" s="18">
        <v>1500</v>
      </c>
      <c r="AL108" s="6502"/>
      <c r="AM108" s="287">
        <f t="shared" si="284"/>
        <v>4550</v>
      </c>
      <c r="AN108" s="6488"/>
      <c r="AO108" s="257">
        <f t="shared" si="285"/>
        <v>13755</v>
      </c>
      <c r="AP108" s="1229"/>
      <c r="AQ108" s="18">
        <v>100</v>
      </c>
      <c r="AR108" s="6488"/>
      <c r="AS108" s="257">
        <f t="shared" si="294"/>
        <v>13855</v>
      </c>
      <c r="AT108" s="1229"/>
      <c r="AU108" s="18">
        <v>0</v>
      </c>
      <c r="AV108" s="6488"/>
      <c r="AW108" s="257">
        <f t="shared" si="295"/>
        <v>13855</v>
      </c>
      <c r="AX108" s="1229"/>
      <c r="AY108" s="18">
        <v>0</v>
      </c>
      <c r="AZ108" s="6502"/>
      <c r="BA108" s="287">
        <f t="shared" si="286"/>
        <v>100</v>
      </c>
      <c r="BB108" s="6525"/>
      <c r="BC108" s="601">
        <f t="shared" si="296"/>
        <v>4650</v>
      </c>
      <c r="BD108" s="6488"/>
      <c r="BE108" s="258">
        <f t="shared" si="297"/>
        <v>13855</v>
      </c>
      <c r="BF108" s="26"/>
      <c r="BG108" s="26"/>
      <c r="BH108" s="5726"/>
      <c r="BI108" s="5726"/>
    </row>
    <row r="109" spans="1:61" ht="24" thickTop="1" thickBot="1" x14ac:dyDescent="0.35">
      <c r="B109" s="1231" t="s">
        <v>421</v>
      </c>
      <c r="C109" s="168"/>
      <c r="D109" s="1232"/>
      <c r="E109" s="830"/>
      <c r="F109" s="1232"/>
      <c r="G109" s="830"/>
      <c r="H109" s="168"/>
      <c r="I109" s="168"/>
      <c r="J109" s="1232"/>
      <c r="K109" s="830"/>
      <c r="L109" s="168"/>
      <c r="M109" s="168"/>
      <c r="N109" s="2095"/>
      <c r="O109" s="2164"/>
      <c r="P109" s="168"/>
      <c r="Q109" s="168"/>
      <c r="R109" s="2095"/>
      <c r="S109" s="2146"/>
      <c r="T109" s="168"/>
      <c r="U109" s="168"/>
      <c r="V109" s="2095"/>
      <c r="W109" s="2146"/>
      <c r="X109" s="168"/>
      <c r="Y109" s="168"/>
      <c r="Z109" s="168"/>
      <c r="AA109" s="168"/>
      <c r="AB109" s="2095"/>
      <c r="AC109" s="2146"/>
      <c r="AD109" s="168"/>
      <c r="AE109" s="168"/>
      <c r="AF109" s="2095"/>
      <c r="AG109" s="2146"/>
      <c r="AH109" s="168"/>
      <c r="AI109" s="168"/>
      <c r="AJ109" s="2095"/>
      <c r="AK109" s="2146"/>
      <c r="AL109" s="168"/>
      <c r="AM109" s="168"/>
      <c r="AN109" s="168"/>
      <c r="AO109" s="168"/>
      <c r="AP109" s="2095"/>
      <c r="AQ109" s="2146"/>
      <c r="AR109" s="168"/>
      <c r="AS109" s="168"/>
      <c r="AT109" s="2095"/>
      <c r="AU109" s="2146"/>
      <c r="AV109" s="168"/>
      <c r="AW109" s="168"/>
      <c r="AX109" s="2095"/>
      <c r="AY109" s="2146"/>
      <c r="AZ109" s="168"/>
      <c r="BA109" s="168"/>
      <c r="BB109" s="168"/>
      <c r="BC109" s="168"/>
      <c r="BD109" s="168"/>
      <c r="BE109" s="168"/>
      <c r="BF109" s="26"/>
      <c r="BG109" s="26"/>
      <c r="BH109" s="5726"/>
      <c r="BI109" s="5726"/>
    </row>
    <row r="110" spans="1:61" x14ac:dyDescent="0.25">
      <c r="B110" s="6511" t="s">
        <v>382</v>
      </c>
      <c r="C110" s="1067" t="s">
        <v>401</v>
      </c>
      <c r="D110" s="444">
        <f t="shared" ref="D110:AE110" si="298">+D7+D49</f>
        <v>35403.703703703701</v>
      </c>
      <c r="E110" s="110">
        <f t="shared" si="298"/>
        <v>37491.799999999996</v>
      </c>
      <c r="F110" s="444">
        <f t="shared" ref="F110:G110" si="299">+F7+F49</f>
        <v>35466.592592592591</v>
      </c>
      <c r="G110" s="110">
        <f t="shared" si="299"/>
        <v>32811.800000000003</v>
      </c>
      <c r="H110" s="858">
        <f t="shared" si="298"/>
        <v>70870.296296296292</v>
      </c>
      <c r="I110" s="266">
        <f t="shared" si="298"/>
        <v>70303.599999999991</v>
      </c>
      <c r="J110" s="444">
        <f t="shared" si="298"/>
        <v>34778.888888888891</v>
      </c>
      <c r="K110" s="110">
        <f t="shared" si="298"/>
        <v>30832</v>
      </c>
      <c r="L110" s="859">
        <f t="shared" si="298"/>
        <v>105649.18518518518</v>
      </c>
      <c r="M110" s="2051">
        <f t="shared" si="298"/>
        <v>101135.59999999999</v>
      </c>
      <c r="N110" s="444">
        <f t="shared" ref="N110:U110" si="300">+N7+N49</f>
        <v>36388.259259259255</v>
      </c>
      <c r="O110" s="877">
        <f t="shared" si="300"/>
        <v>36977.300000000003</v>
      </c>
      <c r="P110" s="858">
        <f t="shared" si="300"/>
        <v>142037.44444444444</v>
      </c>
      <c r="Q110" s="266">
        <f t="shared" si="300"/>
        <v>138112.9</v>
      </c>
      <c r="R110" s="444">
        <f t="shared" si="300"/>
        <v>36388.259259259255</v>
      </c>
      <c r="S110" s="110">
        <f t="shared" si="300"/>
        <v>35718.9</v>
      </c>
      <c r="T110" s="858">
        <f t="shared" si="300"/>
        <v>178425.70370370371</v>
      </c>
      <c r="U110" s="266">
        <f t="shared" si="300"/>
        <v>173831.8</v>
      </c>
      <c r="V110" s="444">
        <f t="shared" ref="V110:Y110" si="301">+V7+V49</f>
        <v>35242.962962962964</v>
      </c>
      <c r="W110" s="110">
        <f t="shared" si="301"/>
        <v>34912.300000000003</v>
      </c>
      <c r="X110" s="859">
        <f t="shared" si="301"/>
        <v>108019.48148148149</v>
      </c>
      <c r="Y110" s="2051">
        <f t="shared" si="301"/>
        <v>107608.5</v>
      </c>
      <c r="Z110" s="860">
        <f t="shared" ref="Z110" si="302">+Z7+Z49</f>
        <v>213668.66666666666</v>
      </c>
      <c r="AA110" s="631">
        <f t="shared" si="298"/>
        <v>208744.1</v>
      </c>
      <c r="AB110" s="444">
        <f t="shared" si="298"/>
        <v>36669.555555555555</v>
      </c>
      <c r="AC110" s="110">
        <f t="shared" si="298"/>
        <v>37720.199999999997</v>
      </c>
      <c r="AD110" s="858">
        <f t="shared" si="298"/>
        <v>250338.22222222222</v>
      </c>
      <c r="AE110" s="266">
        <f t="shared" si="298"/>
        <v>246464.3</v>
      </c>
      <c r="AF110" s="444">
        <f t="shared" ref="AF110:AI110" si="303">+AF7+AF49</f>
        <v>35484.074074074073</v>
      </c>
      <c r="AG110" s="110">
        <f t="shared" si="303"/>
        <v>34698.500000000073</v>
      </c>
      <c r="AH110" s="858">
        <f t="shared" si="303"/>
        <v>285822.29629629629</v>
      </c>
      <c r="AI110" s="266">
        <f t="shared" si="303"/>
        <v>281162.8000000001</v>
      </c>
      <c r="AJ110" s="444">
        <f t="shared" ref="AJ110:AS110" si="304">+AJ7+AJ49</f>
        <v>36709.740740740745</v>
      </c>
      <c r="AK110" s="110">
        <f t="shared" si="304"/>
        <v>37977.099999999977</v>
      </c>
      <c r="AL110" s="859">
        <f t="shared" si="304"/>
        <v>108863.37037037036</v>
      </c>
      <c r="AM110" s="2051">
        <f t="shared" si="304"/>
        <v>110395.80000000005</v>
      </c>
      <c r="AN110" s="858">
        <f t="shared" si="304"/>
        <v>322532.03703703702</v>
      </c>
      <c r="AO110" s="266">
        <f t="shared" si="304"/>
        <v>319139.90000000008</v>
      </c>
      <c r="AP110" s="444">
        <f t="shared" si="304"/>
        <v>36709.740740740745</v>
      </c>
      <c r="AQ110" s="110">
        <f t="shared" si="304"/>
        <v>38878.5</v>
      </c>
      <c r="AR110" s="858">
        <f t="shared" si="304"/>
        <v>359241.77777777775</v>
      </c>
      <c r="AS110" s="266">
        <f t="shared" si="304"/>
        <v>358018.4</v>
      </c>
      <c r="AT110" s="444">
        <f t="shared" ref="AT110:AW110" si="305">+AT7+AT49</f>
        <v>34298.592592592591</v>
      </c>
      <c r="AU110" s="110">
        <f t="shared" si="305"/>
        <v>36854</v>
      </c>
      <c r="AV110" s="858">
        <f t="shared" si="305"/>
        <v>393540.37037037039</v>
      </c>
      <c r="AW110" s="266">
        <f t="shared" si="305"/>
        <v>394872.4</v>
      </c>
      <c r="AX110" s="444">
        <f t="shared" ref="AX110:BE110" si="306">+AX7+AX49</f>
        <v>36749.925925925927</v>
      </c>
      <c r="AY110" s="110">
        <f t="shared" si="306"/>
        <v>36330.9</v>
      </c>
      <c r="AZ110" s="859">
        <f t="shared" si="306"/>
        <v>107758.25925925927</v>
      </c>
      <c r="BA110" s="2051">
        <f t="shared" si="306"/>
        <v>112063.4</v>
      </c>
      <c r="BB110" s="860">
        <f t="shared" si="306"/>
        <v>216621.62962962964</v>
      </c>
      <c r="BC110" s="631">
        <f t="shared" si="306"/>
        <v>222459.20000000004</v>
      </c>
      <c r="BD110" s="858">
        <f t="shared" si="306"/>
        <v>430290.29629629629</v>
      </c>
      <c r="BE110" s="266">
        <f t="shared" si="306"/>
        <v>431203.3</v>
      </c>
      <c r="BF110" s="26"/>
      <c r="BG110" s="26"/>
      <c r="BH110" s="5726"/>
      <c r="BI110" s="5726"/>
    </row>
    <row r="111" spans="1:61" ht="15.75" thickBot="1" x14ac:dyDescent="0.3">
      <c r="B111" s="6512"/>
      <c r="C111" s="878" t="s">
        <v>389</v>
      </c>
      <c r="D111" s="1233">
        <f t="shared" ref="D111:M111" si="307">+D11+D50</f>
        <v>49.171810699588477</v>
      </c>
      <c r="E111" s="831">
        <f t="shared" si="307"/>
        <v>52.071944444444433</v>
      </c>
      <c r="F111" s="1233">
        <f t="shared" ref="F111:G111" si="308">+F11+F50</f>
        <v>47.670151334129827</v>
      </c>
      <c r="G111" s="831">
        <f t="shared" si="308"/>
        <v>44.101881720430107</v>
      </c>
      <c r="H111" s="918">
        <f t="shared" si="307"/>
        <v>48.408672333535719</v>
      </c>
      <c r="I111" s="267">
        <f t="shared" si="307"/>
        <v>48.021584699453548</v>
      </c>
      <c r="J111" s="1233">
        <f t="shared" si="307"/>
        <v>48.304012345679013</v>
      </c>
      <c r="K111" s="831">
        <f t="shared" si="307"/>
        <v>42.822222222222223</v>
      </c>
      <c r="L111" s="919">
        <f t="shared" si="307"/>
        <v>48.374169040835703</v>
      </c>
      <c r="M111" s="2052">
        <f t="shared" si="307"/>
        <v>46.307509157509152</v>
      </c>
      <c r="N111" s="1233">
        <f t="shared" ref="N111:U111" si="309">+N11+N50</f>
        <v>48.908950617283949</v>
      </c>
      <c r="O111" s="2165">
        <f t="shared" si="309"/>
        <v>49.700672043010762</v>
      </c>
      <c r="P111" s="918">
        <f t="shared" si="309"/>
        <v>48.510056162720097</v>
      </c>
      <c r="Q111" s="267">
        <f t="shared" si="309"/>
        <v>47.169706284153001</v>
      </c>
      <c r="R111" s="1233">
        <f t="shared" si="309"/>
        <v>48.908950617283949</v>
      </c>
      <c r="S111" s="831">
        <f t="shared" si="309"/>
        <v>48.009274193548386</v>
      </c>
      <c r="T111" s="918">
        <f t="shared" si="309"/>
        <v>48.590877914951989</v>
      </c>
      <c r="U111" s="267">
        <f t="shared" si="309"/>
        <v>47.339814814814815</v>
      </c>
      <c r="V111" s="1233">
        <f t="shared" ref="V111:X111" si="310">+V11+V50</f>
        <v>48.94855967078189</v>
      </c>
      <c r="W111" s="831">
        <f t="shared" si="310"/>
        <v>48.489305555555553</v>
      </c>
      <c r="X111" s="919">
        <f t="shared" si="310"/>
        <v>48.921866612989803</v>
      </c>
      <c r="Y111" s="2052">
        <f>+Y11+Y50</f>
        <v>48.735733695652179</v>
      </c>
      <c r="Z111" s="920">
        <f t="shared" ref="Z111" si="311">+Z11+Z50</f>
        <v>48.649514268366723</v>
      </c>
      <c r="AA111" s="801">
        <f>+AA11+AA50</f>
        <v>47.528255919854281</v>
      </c>
      <c r="AB111" s="1233">
        <f t="shared" ref="AB111:AE111" si="312">+AB11+AB50</f>
        <v>49.287037037037038</v>
      </c>
      <c r="AC111" s="831">
        <f t="shared" si="312"/>
        <v>50.699193548387093</v>
      </c>
      <c r="AD111" s="918">
        <f t="shared" si="312"/>
        <v>48.741865697473173</v>
      </c>
      <c r="AE111" s="267">
        <f t="shared" si="312"/>
        <v>47.98759735202492</v>
      </c>
      <c r="AF111" s="1233">
        <f t="shared" ref="AF111:AI111" si="313">+AF11+AF50</f>
        <v>49.28343621399177</v>
      </c>
      <c r="AG111" s="831">
        <f t="shared" si="313"/>
        <v>48.192361111111211</v>
      </c>
      <c r="AH111" s="918">
        <f t="shared" si="313"/>
        <v>48.808452236389392</v>
      </c>
      <c r="AI111" s="267">
        <f t="shared" si="313"/>
        <v>48.012773224043734</v>
      </c>
      <c r="AJ111" s="1233">
        <f t="shared" ref="AJ111:AS111" si="314">+AJ11+AJ50</f>
        <v>49.341049382716051</v>
      </c>
      <c r="AK111" s="831">
        <f t="shared" si="314"/>
        <v>51.044489247311795</v>
      </c>
      <c r="AL111" s="919">
        <f t="shared" si="314"/>
        <v>49.304062667740205</v>
      </c>
      <c r="AM111" s="2052">
        <f>+AM11+AM50</f>
        <v>49.998097826086983</v>
      </c>
      <c r="AN111" s="918">
        <f t="shared" si="314"/>
        <v>48.868490460157126</v>
      </c>
      <c r="AO111" s="267">
        <f t="shared" si="314"/>
        <v>48.354530303030316</v>
      </c>
      <c r="AP111" s="1233">
        <f t="shared" si="314"/>
        <v>49.341049382716051</v>
      </c>
      <c r="AQ111" s="831">
        <f t="shared" si="314"/>
        <v>52.256048387096776</v>
      </c>
      <c r="AR111" s="918">
        <f t="shared" si="314"/>
        <v>48.916364076494794</v>
      </c>
      <c r="AS111" s="267">
        <f t="shared" si="314"/>
        <v>48.749782135076259</v>
      </c>
      <c r="AT111" s="1233">
        <f t="shared" ref="AT111:AW111" si="315">+AT11+AT50</f>
        <v>49.27958705832269</v>
      </c>
      <c r="AU111" s="831">
        <f t="shared" si="315"/>
        <v>52.951149425287355</v>
      </c>
      <c r="AV111" s="918">
        <f t="shared" si="315"/>
        <v>48.947807259996317</v>
      </c>
      <c r="AW111" s="267">
        <f t="shared" si="315"/>
        <v>49.113482587064681</v>
      </c>
      <c r="AX111" s="1233">
        <f t="shared" ref="AX111:BE111" si="316">+AX11+AX50</f>
        <v>49.395061728395063</v>
      </c>
      <c r="AY111" s="831">
        <f t="shared" si="316"/>
        <v>48.831854838709681</v>
      </c>
      <c r="AZ111" s="919">
        <f t="shared" si="316"/>
        <v>49.339862298195634</v>
      </c>
      <c r="BA111" s="2052">
        <f>+BA11+BA50</f>
        <v>51.311080586080585</v>
      </c>
      <c r="BB111" s="920">
        <f t="shared" ref="BB111" si="317">+BB11+BB50</f>
        <v>49.321864669769951</v>
      </c>
      <c r="BC111" s="801">
        <f>+BC11+BC50</f>
        <v>50.65100182149363</v>
      </c>
      <c r="BD111" s="918">
        <f t="shared" si="316"/>
        <v>48.98568946906834</v>
      </c>
      <c r="BE111" s="267">
        <f t="shared" si="316"/>
        <v>49.089628870673948</v>
      </c>
      <c r="BF111" s="26"/>
      <c r="BG111" s="26"/>
      <c r="BH111" s="5726"/>
      <c r="BI111" s="5726"/>
    </row>
    <row r="112" spans="1:61" ht="15.75" customHeight="1" x14ac:dyDescent="0.25">
      <c r="B112" s="6513" t="s">
        <v>407</v>
      </c>
      <c r="C112" s="1067" t="s">
        <v>401</v>
      </c>
      <c r="D112" s="444">
        <f t="shared" ref="D112:AE112" si="318">+D8+D51</f>
        <v>79473.295695564229</v>
      </c>
      <c r="E112" s="110">
        <f t="shared" si="318"/>
        <v>74036.5</v>
      </c>
      <c r="F112" s="444">
        <f t="shared" ref="F112:G112" si="319">+F8+F51</f>
        <v>75506.082383382833</v>
      </c>
      <c r="G112" s="110">
        <f t="shared" si="319"/>
        <v>70382.207999999999</v>
      </c>
      <c r="H112" s="858">
        <f t="shared" si="318"/>
        <v>154979.37807894708</v>
      </c>
      <c r="I112" s="266">
        <f t="shared" si="318"/>
        <v>144418.70799999998</v>
      </c>
      <c r="J112" s="444">
        <f t="shared" si="318"/>
        <v>70938.384266563167</v>
      </c>
      <c r="K112" s="110">
        <f t="shared" si="318"/>
        <v>72185.3</v>
      </c>
      <c r="L112" s="859">
        <f t="shared" si="318"/>
        <v>225917.76234551024</v>
      </c>
      <c r="M112" s="2051">
        <f t="shared" si="318"/>
        <v>216604.008</v>
      </c>
      <c r="N112" s="444">
        <f t="shared" ref="N112:U112" si="320">+N8+N51</f>
        <v>81469.802701363282</v>
      </c>
      <c r="O112" s="877">
        <f t="shared" si="320"/>
        <v>79209.899999999994</v>
      </c>
      <c r="P112" s="858">
        <f t="shared" si="320"/>
        <v>307387.56504687353</v>
      </c>
      <c r="Q112" s="266">
        <f t="shared" si="320"/>
        <v>295813.908</v>
      </c>
      <c r="R112" s="444">
        <f t="shared" si="320"/>
        <v>81368.56400107521</v>
      </c>
      <c r="S112" s="110">
        <f t="shared" si="320"/>
        <v>81246.2</v>
      </c>
      <c r="T112" s="858">
        <f t="shared" si="320"/>
        <v>388756.12904794875</v>
      </c>
      <c r="U112" s="266">
        <f t="shared" si="320"/>
        <v>377060.10800000001</v>
      </c>
      <c r="V112" s="444">
        <f t="shared" ref="V112:Y112" si="321">+V8+V51</f>
        <v>78963.502105558655</v>
      </c>
      <c r="W112" s="110">
        <f t="shared" si="321"/>
        <v>75748.591</v>
      </c>
      <c r="X112" s="859">
        <f t="shared" si="321"/>
        <v>241801.86880799715</v>
      </c>
      <c r="Y112" s="2051">
        <f t="shared" si="321"/>
        <v>236204.69099999999</v>
      </c>
      <c r="Z112" s="860">
        <f t="shared" ref="Z112" si="322">+Z8+Z51</f>
        <v>467719.63115350739</v>
      </c>
      <c r="AA112" s="631">
        <f t="shared" si="318"/>
        <v>452808.69900000002</v>
      </c>
      <c r="AB112" s="444">
        <f t="shared" si="318"/>
        <v>82402.047898467266</v>
      </c>
      <c r="AC112" s="110">
        <f t="shared" si="318"/>
        <v>76757</v>
      </c>
      <c r="AD112" s="858">
        <f t="shared" si="318"/>
        <v>550121.67905197467</v>
      </c>
      <c r="AE112" s="266">
        <f t="shared" si="318"/>
        <v>529565.69900000002</v>
      </c>
      <c r="AF112" s="444">
        <f t="shared" ref="AF112:AI112" si="323">+AF8+AF51</f>
        <v>79926.544853641812</v>
      </c>
      <c r="AG112" s="110">
        <f t="shared" si="323"/>
        <v>72938.2</v>
      </c>
      <c r="AH112" s="858">
        <f t="shared" si="323"/>
        <v>630048.22390561644</v>
      </c>
      <c r="AI112" s="266">
        <f t="shared" si="323"/>
        <v>602503.89899999998</v>
      </c>
      <c r="AJ112" s="444">
        <f t="shared" ref="AJ112:AS112" si="324">+AJ8+AJ51</f>
        <v>82665.660310641018</v>
      </c>
      <c r="AK112" s="110">
        <f t="shared" si="324"/>
        <v>75342.989000000001</v>
      </c>
      <c r="AL112" s="859">
        <f t="shared" si="324"/>
        <v>244994.2530627501</v>
      </c>
      <c r="AM112" s="2051">
        <f t="shared" si="324"/>
        <v>225038.18900000001</v>
      </c>
      <c r="AN112" s="858">
        <f t="shared" si="324"/>
        <v>712713.88421625749</v>
      </c>
      <c r="AO112" s="266">
        <f t="shared" si="324"/>
        <v>677846.88800000004</v>
      </c>
      <c r="AP112" s="444">
        <f t="shared" si="324"/>
        <v>82785.094420761379</v>
      </c>
      <c r="AQ112" s="110">
        <f t="shared" si="324"/>
        <v>73995.302495999989</v>
      </c>
      <c r="AR112" s="858">
        <f t="shared" si="324"/>
        <v>795498.97863701882</v>
      </c>
      <c r="AS112" s="266">
        <f t="shared" si="324"/>
        <v>751842.19049600011</v>
      </c>
      <c r="AT112" s="444">
        <f t="shared" ref="AT112:AW112" si="325">+AT8+AT51</f>
        <v>77097.100726249002</v>
      </c>
      <c r="AU112" s="110">
        <f t="shared" si="325"/>
        <v>68121.513000000006</v>
      </c>
      <c r="AV112" s="858">
        <f t="shared" si="325"/>
        <v>872596.07936326787</v>
      </c>
      <c r="AW112" s="266">
        <f t="shared" si="325"/>
        <v>819963.70349600015</v>
      </c>
      <c r="AX112" s="444">
        <f t="shared" ref="AX112:BE112" si="326">+AX8+AX51</f>
        <v>82929.272722814814</v>
      </c>
      <c r="AY112" s="110">
        <f t="shared" si="326"/>
        <v>74772.783039999995</v>
      </c>
      <c r="AZ112" s="859">
        <f t="shared" si="326"/>
        <v>242811.4678698252</v>
      </c>
      <c r="BA112" s="2051">
        <f t="shared" si="326"/>
        <v>216889.59853599998</v>
      </c>
      <c r="BB112" s="860">
        <f t="shared" si="326"/>
        <v>487805.72093257529</v>
      </c>
      <c r="BC112" s="631">
        <f t="shared" si="326"/>
        <v>441927.78753599996</v>
      </c>
      <c r="BD112" s="858">
        <f t="shared" si="326"/>
        <v>955525.35208608268</v>
      </c>
      <c r="BE112" s="266">
        <f t="shared" si="326"/>
        <v>894736.48653600004</v>
      </c>
      <c r="BF112" s="26"/>
      <c r="BG112" s="26"/>
      <c r="BH112" s="5726"/>
      <c r="BI112" s="5726"/>
    </row>
    <row r="113" spans="2:61" ht="15.75" thickBot="1" x14ac:dyDescent="0.3">
      <c r="B113" s="6514"/>
      <c r="C113" s="878" t="s">
        <v>389</v>
      </c>
      <c r="D113" s="1233">
        <f t="shared" ref="D113:AE113" si="327">+D12+D52</f>
        <v>110.37957735495031</v>
      </c>
      <c r="E113" s="831">
        <f t="shared" si="327"/>
        <v>102.82847222222223</v>
      </c>
      <c r="F113" s="1233">
        <f t="shared" ref="F113:G113" si="328">+F12+F52</f>
        <v>101.4866698701382</v>
      </c>
      <c r="G113" s="831">
        <f t="shared" si="328"/>
        <v>94.599741935483863</v>
      </c>
      <c r="H113" s="918">
        <f t="shared" si="327"/>
        <v>105.86023092824253</v>
      </c>
      <c r="I113" s="267">
        <f t="shared" si="327"/>
        <v>98.646658469945365</v>
      </c>
      <c r="J113" s="1233">
        <f t="shared" si="327"/>
        <v>98.525533703559972</v>
      </c>
      <c r="K113" s="831">
        <f t="shared" si="327"/>
        <v>100.25736111111111</v>
      </c>
      <c r="L113" s="919">
        <f t="shared" si="327"/>
        <v>103.44219887614939</v>
      </c>
      <c r="M113" s="2052">
        <f t="shared" si="327"/>
        <v>99.177659340659346</v>
      </c>
      <c r="N113" s="1233">
        <f t="shared" ref="N113:U113" si="329">+N12+N52</f>
        <v>109.50242298570333</v>
      </c>
      <c r="O113" s="2165">
        <f t="shared" si="329"/>
        <v>106.46491935483873</v>
      </c>
      <c r="P113" s="918">
        <f t="shared" si="329"/>
        <v>104.98209188759341</v>
      </c>
      <c r="Q113" s="267">
        <f t="shared" si="329"/>
        <v>101.02934016393444</v>
      </c>
      <c r="R113" s="1233">
        <f t="shared" si="329"/>
        <v>109.36634946381076</v>
      </c>
      <c r="S113" s="831">
        <f t="shared" si="329"/>
        <v>109.20188172043011</v>
      </c>
      <c r="T113" s="918">
        <f t="shared" si="329"/>
        <v>105.87040551414727</v>
      </c>
      <c r="U113" s="267">
        <f t="shared" si="329"/>
        <v>102.68521459694989</v>
      </c>
      <c r="V113" s="1233">
        <f t="shared" ref="V113:Y113" si="330">+V12+V52</f>
        <v>109.6715307021648</v>
      </c>
      <c r="W113" s="831">
        <f t="shared" si="330"/>
        <v>105.20637638888888</v>
      </c>
      <c r="X113" s="919">
        <f t="shared" si="330"/>
        <v>109.51171594565089</v>
      </c>
      <c r="Y113" s="2052">
        <f t="shared" si="330"/>
        <v>106.97676222826085</v>
      </c>
      <c r="Z113" s="920">
        <f t="shared" ref="Z113" si="331">+Z12+Z52</f>
        <v>106.49354079087145</v>
      </c>
      <c r="AA113" s="801">
        <f t="shared" si="327"/>
        <v>103.09851980874318</v>
      </c>
      <c r="AB113" s="1233">
        <f t="shared" si="327"/>
        <v>110.75544072374632</v>
      </c>
      <c r="AC113" s="831">
        <f t="shared" si="327"/>
        <v>103.16801075268819</v>
      </c>
      <c r="AD113" s="918">
        <f t="shared" si="327"/>
        <v>107.11091881853089</v>
      </c>
      <c r="AE113" s="267">
        <f t="shared" si="327"/>
        <v>103.10858625389407</v>
      </c>
      <c r="AF113" s="1233">
        <f t="shared" ref="AF113:AI113" si="332">+AF12+AF52</f>
        <v>111.00909007450252</v>
      </c>
      <c r="AG113" s="831">
        <f t="shared" si="332"/>
        <v>101.30305555555556</v>
      </c>
      <c r="AH113" s="918">
        <f t="shared" si="332"/>
        <v>107.59020216967492</v>
      </c>
      <c r="AI113" s="267">
        <f t="shared" si="332"/>
        <v>102.88659477459017</v>
      </c>
      <c r="AJ113" s="1233">
        <f t="shared" ref="AJ113:AS113" si="333">+AJ12+AJ52</f>
        <v>111.10975848204438</v>
      </c>
      <c r="AK113" s="831">
        <f t="shared" si="333"/>
        <v>101.26745833333334</v>
      </c>
      <c r="AL113" s="919">
        <f t="shared" si="333"/>
        <v>110.95754214798465</v>
      </c>
      <c r="AM113" s="2052">
        <f t="shared" si="333"/>
        <v>101.91946965579712</v>
      </c>
      <c r="AN113" s="918">
        <f t="shared" si="333"/>
        <v>107.98695215397841</v>
      </c>
      <c r="AO113" s="267">
        <f t="shared" si="333"/>
        <v>102.70407393939395</v>
      </c>
      <c r="AP113" s="1233">
        <f t="shared" si="333"/>
        <v>111.27028819994808</v>
      </c>
      <c r="AQ113" s="831">
        <f t="shared" si="333"/>
        <v>99.456051741935468</v>
      </c>
      <c r="AR113" s="918">
        <f t="shared" si="333"/>
        <v>108.31957770111912</v>
      </c>
      <c r="AS113" s="267">
        <f t="shared" si="333"/>
        <v>102.37502593899784</v>
      </c>
      <c r="AT113" s="1233">
        <f t="shared" ref="AT113:AW113" si="334">+AT12+AT52</f>
        <v>110.77169644576007</v>
      </c>
      <c r="AU113" s="831">
        <f t="shared" si="334"/>
        <v>97.875737068965506</v>
      </c>
      <c r="AV113" s="918">
        <f t="shared" si="334"/>
        <v>108.53185066707312</v>
      </c>
      <c r="AW113" s="267">
        <f t="shared" si="334"/>
        <v>101.98553526069652</v>
      </c>
      <c r="AX113" s="1233">
        <f t="shared" ref="AX113:BE113" si="335">+AX12+AX52</f>
        <v>111.46407624034248</v>
      </c>
      <c r="AY113" s="831">
        <f t="shared" si="335"/>
        <v>100.50105247311826</v>
      </c>
      <c r="AZ113" s="919">
        <f t="shared" si="335"/>
        <v>111.17741202830824</v>
      </c>
      <c r="BA113" s="2052">
        <f t="shared" si="335"/>
        <v>99.308424238095213</v>
      </c>
      <c r="BB113" s="920">
        <f t="shared" si="335"/>
        <v>111.06687635076851</v>
      </c>
      <c r="BC113" s="801">
        <f t="shared" si="335"/>
        <v>100.62108095081966</v>
      </c>
      <c r="BD113" s="918">
        <f t="shared" si="335"/>
        <v>108.78020857081998</v>
      </c>
      <c r="BE113" s="267">
        <f t="shared" si="335"/>
        <v>101.85980037978143</v>
      </c>
      <c r="BF113" s="26"/>
      <c r="BG113" s="26"/>
      <c r="BH113" s="5726"/>
      <c r="BI113" s="5726"/>
    </row>
    <row r="114" spans="2:61" ht="18.75" customHeight="1" x14ac:dyDescent="0.25">
      <c r="B114" s="6180" t="s">
        <v>469</v>
      </c>
      <c r="C114" s="1041" t="s">
        <v>401</v>
      </c>
      <c r="D114" s="1234">
        <f t="shared" ref="D114:E115" si="336">+D110+D112</f>
        <v>114876.99939926792</v>
      </c>
      <c r="E114" s="252">
        <f t="shared" si="336"/>
        <v>111528.29999999999</v>
      </c>
      <c r="F114" s="1234">
        <f t="shared" ref="F114:G114" si="337">+F110+F112</f>
        <v>110972.67497597542</v>
      </c>
      <c r="G114" s="252">
        <f t="shared" si="337"/>
        <v>103194.008</v>
      </c>
      <c r="H114" s="966">
        <f t="shared" ref="H114:K115" si="338">+H110+H112</f>
        <v>225849.67437524337</v>
      </c>
      <c r="I114" s="268">
        <f t="shared" si="338"/>
        <v>214722.30799999996</v>
      </c>
      <c r="J114" s="1234">
        <f t="shared" si="338"/>
        <v>105717.27315545206</v>
      </c>
      <c r="K114" s="252">
        <f t="shared" si="338"/>
        <v>103017.3</v>
      </c>
      <c r="L114" s="2007">
        <f t="shared" ref="L114:Q114" si="339">+L110+L112</f>
        <v>331566.94753069541</v>
      </c>
      <c r="M114" s="2053">
        <f t="shared" si="339"/>
        <v>317739.60800000001</v>
      </c>
      <c r="N114" s="1234">
        <f t="shared" si="339"/>
        <v>117858.06196062254</v>
      </c>
      <c r="O114" s="1678">
        <f t="shared" si="339"/>
        <v>116187.2</v>
      </c>
      <c r="P114" s="966">
        <f t="shared" si="339"/>
        <v>449425.00949131796</v>
      </c>
      <c r="Q114" s="268">
        <f t="shared" si="339"/>
        <v>433926.80799999996</v>
      </c>
      <c r="R114" s="1234">
        <f t="shared" ref="R114:U115" si="340">+R110+R112</f>
        <v>117756.82326033447</v>
      </c>
      <c r="S114" s="252">
        <f t="shared" si="340"/>
        <v>116965.1</v>
      </c>
      <c r="T114" s="966">
        <f t="shared" si="340"/>
        <v>567181.83275165246</v>
      </c>
      <c r="U114" s="268">
        <f t="shared" si="340"/>
        <v>550891.90800000005</v>
      </c>
      <c r="V114" s="1234">
        <f t="shared" ref="V114:Y114" si="341">+V110+V112</f>
        <v>114206.46506852162</v>
      </c>
      <c r="W114" s="252">
        <f t="shared" si="341"/>
        <v>110660.891</v>
      </c>
      <c r="X114" s="2007">
        <f t="shared" si="341"/>
        <v>349821.35028947867</v>
      </c>
      <c r="Y114" s="2053">
        <f t="shared" si="341"/>
        <v>343813.19099999999</v>
      </c>
      <c r="Z114" s="965">
        <f t="shared" ref="Z114" si="342">+Z110+Z112</f>
        <v>681388.29782017402</v>
      </c>
      <c r="AA114" s="802">
        <f t="shared" ref="AA114:AE114" si="343">+AA110+AA112</f>
        <v>661552.799</v>
      </c>
      <c r="AB114" s="1234">
        <f t="shared" si="343"/>
        <v>119071.60345402281</v>
      </c>
      <c r="AC114" s="252">
        <f t="shared" si="343"/>
        <v>114477.2</v>
      </c>
      <c r="AD114" s="966">
        <f t="shared" si="343"/>
        <v>800459.90127419692</v>
      </c>
      <c r="AE114" s="268">
        <f t="shared" si="343"/>
        <v>776029.99900000007</v>
      </c>
      <c r="AF114" s="1234">
        <f t="shared" ref="AF114:AI114" si="344">+AF110+AF112</f>
        <v>115410.61892771588</v>
      </c>
      <c r="AG114" s="252">
        <f t="shared" si="344"/>
        <v>107636.70000000007</v>
      </c>
      <c r="AH114" s="966">
        <f t="shared" si="344"/>
        <v>915870.52020191273</v>
      </c>
      <c r="AI114" s="268">
        <f t="shared" si="344"/>
        <v>883666.69900000002</v>
      </c>
      <c r="AJ114" s="1234">
        <f t="shared" ref="AJ114:AS114" si="345">+AJ110+AJ112</f>
        <v>119375.40105138176</v>
      </c>
      <c r="AK114" s="252">
        <f t="shared" si="345"/>
        <v>113320.08899999998</v>
      </c>
      <c r="AL114" s="2007">
        <f t="shared" si="345"/>
        <v>353857.62343312043</v>
      </c>
      <c r="AM114" s="2053">
        <f t="shared" si="345"/>
        <v>335433.98900000006</v>
      </c>
      <c r="AN114" s="966">
        <f t="shared" si="345"/>
        <v>1035245.9212532945</v>
      </c>
      <c r="AO114" s="268">
        <f t="shared" si="345"/>
        <v>996986.78800000018</v>
      </c>
      <c r="AP114" s="1234">
        <f t="shared" si="345"/>
        <v>119494.83516150212</v>
      </c>
      <c r="AQ114" s="252">
        <f t="shared" si="345"/>
        <v>112873.80249599999</v>
      </c>
      <c r="AR114" s="966">
        <f t="shared" si="345"/>
        <v>1154740.7564147967</v>
      </c>
      <c r="AS114" s="268">
        <f t="shared" si="345"/>
        <v>1109860.5904960001</v>
      </c>
      <c r="AT114" s="1234">
        <f t="shared" ref="AT114:AW114" si="346">+AT110+AT112</f>
        <v>111395.6933188416</v>
      </c>
      <c r="AU114" s="252">
        <f t="shared" si="346"/>
        <v>104975.51300000001</v>
      </c>
      <c r="AV114" s="966">
        <f t="shared" si="346"/>
        <v>1266136.4497336382</v>
      </c>
      <c r="AW114" s="268">
        <f t="shared" si="346"/>
        <v>1214836.1034960002</v>
      </c>
      <c r="AX114" s="1234">
        <f t="shared" ref="AX114:BE115" si="347">+AX110+AX112</f>
        <v>119679.19864874074</v>
      </c>
      <c r="AY114" s="252">
        <f t="shared" si="347"/>
        <v>111103.68304</v>
      </c>
      <c r="AZ114" s="2007">
        <f t="shared" si="347"/>
        <v>350569.72712908447</v>
      </c>
      <c r="BA114" s="2053">
        <f t="shared" si="347"/>
        <v>328952.99853599997</v>
      </c>
      <c r="BB114" s="965">
        <f t="shared" si="347"/>
        <v>704427.35056220496</v>
      </c>
      <c r="BC114" s="802">
        <f t="shared" si="347"/>
        <v>664386.98753599997</v>
      </c>
      <c r="BD114" s="966">
        <f t="shared" si="347"/>
        <v>1385815.648382379</v>
      </c>
      <c r="BE114" s="268">
        <f t="shared" si="347"/>
        <v>1325939.786536</v>
      </c>
      <c r="BF114" s="26"/>
      <c r="BG114" s="26"/>
      <c r="BH114" s="5726"/>
      <c r="BI114" s="5726"/>
    </row>
    <row r="115" spans="2:61" ht="19.5" thickBot="1" x14ac:dyDescent="0.3">
      <c r="B115" s="6510"/>
      <c r="C115" s="1235" t="s">
        <v>389</v>
      </c>
      <c r="D115" s="1237">
        <f t="shared" si="336"/>
        <v>159.55138805453879</v>
      </c>
      <c r="E115" s="832">
        <f t="shared" si="336"/>
        <v>154.90041666666667</v>
      </c>
      <c r="F115" s="1237">
        <f t="shared" ref="F115:G115" si="348">+F111+F113</f>
        <v>149.15682120426803</v>
      </c>
      <c r="G115" s="832">
        <f t="shared" si="348"/>
        <v>138.70162365591398</v>
      </c>
      <c r="H115" s="1236">
        <f t="shared" si="338"/>
        <v>154.26890326177823</v>
      </c>
      <c r="I115" s="803">
        <f t="shared" si="338"/>
        <v>146.66824316939892</v>
      </c>
      <c r="J115" s="1237">
        <f t="shared" si="338"/>
        <v>146.82954604923899</v>
      </c>
      <c r="K115" s="832">
        <f t="shared" si="338"/>
        <v>143.07958333333335</v>
      </c>
      <c r="L115" s="2054">
        <f t="shared" ref="L115:Q115" si="349">+L111+L113</f>
        <v>151.81636791698509</v>
      </c>
      <c r="M115" s="2055">
        <f t="shared" si="349"/>
        <v>145.48516849816849</v>
      </c>
      <c r="N115" s="1237">
        <f t="shared" si="349"/>
        <v>158.41137360298728</v>
      </c>
      <c r="O115" s="2166">
        <f>+O111+O113</f>
        <v>156.16559139784948</v>
      </c>
      <c r="P115" s="1236">
        <f t="shared" si="349"/>
        <v>153.49214805031352</v>
      </c>
      <c r="Q115" s="803">
        <f t="shared" si="349"/>
        <v>148.19904644808744</v>
      </c>
      <c r="R115" s="1237">
        <f t="shared" si="340"/>
        <v>158.27530008109471</v>
      </c>
      <c r="S115" s="832">
        <f t="shared" si="340"/>
        <v>157.2111559139785</v>
      </c>
      <c r="T115" s="1236">
        <f t="shared" si="340"/>
        <v>154.46128342909924</v>
      </c>
      <c r="U115" s="803">
        <f t="shared" si="340"/>
        <v>150.02502941176471</v>
      </c>
      <c r="V115" s="1237">
        <f t="shared" ref="V115:Y115" si="350">+V111+V113</f>
        <v>158.62009037294669</v>
      </c>
      <c r="W115" s="832">
        <f t="shared" si="350"/>
        <v>153.69568194444443</v>
      </c>
      <c r="X115" s="2054">
        <f t="shared" si="350"/>
        <v>158.43358255864069</v>
      </c>
      <c r="Y115" s="2055">
        <f t="shared" si="350"/>
        <v>155.71249592391302</v>
      </c>
      <c r="Z115" s="1238">
        <f t="shared" ref="Z115" si="351">+Z111+Z113</f>
        <v>155.14305505923818</v>
      </c>
      <c r="AA115" s="804">
        <f t="shared" ref="AA115:AE115" si="352">+AA111+AA113</f>
        <v>150.62677572859747</v>
      </c>
      <c r="AB115" s="1237">
        <f t="shared" si="352"/>
        <v>160.04247776078336</v>
      </c>
      <c r="AC115" s="832">
        <f t="shared" si="352"/>
        <v>153.86720430107528</v>
      </c>
      <c r="AD115" s="1236">
        <f t="shared" si="352"/>
        <v>155.85278451600408</v>
      </c>
      <c r="AE115" s="803">
        <f t="shared" si="352"/>
        <v>151.09618360591901</v>
      </c>
      <c r="AF115" s="1237">
        <f t="shared" ref="AF115:AI115" si="353">+AF111+AF113</f>
        <v>160.29252628849429</v>
      </c>
      <c r="AG115" s="832">
        <f t="shared" si="353"/>
        <v>149.49541666666676</v>
      </c>
      <c r="AH115" s="1236">
        <f t="shared" si="353"/>
        <v>156.39865440606431</v>
      </c>
      <c r="AI115" s="803">
        <f t="shared" si="353"/>
        <v>150.89936799863389</v>
      </c>
      <c r="AJ115" s="1237">
        <f t="shared" ref="AJ115:AM115" si="354">+AJ111+AJ113</f>
        <v>160.45080786476043</v>
      </c>
      <c r="AK115" s="832">
        <f t="shared" si="354"/>
        <v>152.31194758064512</v>
      </c>
      <c r="AL115" s="2054">
        <f t="shared" si="354"/>
        <v>160.26160481572487</v>
      </c>
      <c r="AM115" s="2055">
        <f t="shared" si="354"/>
        <v>151.91756748188411</v>
      </c>
      <c r="AN115" s="1236">
        <f>+AN111+AN113</f>
        <v>156.85544261413554</v>
      </c>
      <c r="AO115" s="803">
        <f>+AO111+AO113</f>
        <v>151.05860424242428</v>
      </c>
      <c r="AP115" s="1237">
        <f t="shared" ref="AP115:AS115" si="355">+AP111+AP113</f>
        <v>160.61133758266413</v>
      </c>
      <c r="AQ115" s="832">
        <f t="shared" si="355"/>
        <v>151.71210012903225</v>
      </c>
      <c r="AR115" s="1236">
        <f t="shared" si="355"/>
        <v>157.2359417776139</v>
      </c>
      <c r="AS115" s="803">
        <f t="shared" si="355"/>
        <v>151.12480807407411</v>
      </c>
      <c r="AT115" s="1237">
        <f t="shared" ref="AT115:AW115" si="356">+AT111+AT113</f>
        <v>160.05128350408276</v>
      </c>
      <c r="AU115" s="832">
        <f t="shared" si="356"/>
        <v>150.82688649425285</v>
      </c>
      <c r="AV115" s="4939">
        <f t="shared" si="356"/>
        <v>157.47965792706944</v>
      </c>
      <c r="AW115" s="5733">
        <f t="shared" si="356"/>
        <v>151.09901784776122</v>
      </c>
      <c r="AX115" s="1237">
        <f t="shared" ref="AX115:BE115" si="357">+AX111+AX113</f>
        <v>160.85913796873754</v>
      </c>
      <c r="AY115" s="832">
        <f t="shared" si="357"/>
        <v>149.33290731182794</v>
      </c>
      <c r="AZ115" s="2054">
        <f t="shared" si="357"/>
        <v>160.51727432650387</v>
      </c>
      <c r="BA115" s="2055">
        <f t="shared" si="357"/>
        <v>150.61950482417581</v>
      </c>
      <c r="BB115" s="5731">
        <f t="shared" si="347"/>
        <v>160.38874102053848</v>
      </c>
      <c r="BC115" s="5732">
        <f t="shared" si="347"/>
        <v>151.2720827723133</v>
      </c>
      <c r="BD115" s="4939">
        <f t="shared" si="357"/>
        <v>157.76589803988833</v>
      </c>
      <c r="BE115" s="5733">
        <f t="shared" si="357"/>
        <v>150.94942925045538</v>
      </c>
      <c r="BF115" s="26"/>
      <c r="BG115" s="26"/>
      <c r="BH115" s="5726"/>
      <c r="BI115" s="5726"/>
    </row>
    <row r="116" spans="2:61" x14ac:dyDescent="0.25">
      <c r="AX116" s="5211"/>
      <c r="AY116" s="5211"/>
      <c r="BD116" s="5211"/>
      <c r="BE116" s="5211"/>
    </row>
    <row r="117" spans="2:61" x14ac:dyDescent="0.25">
      <c r="AX117" s="5211"/>
      <c r="AY117" s="5211"/>
      <c r="BD117" s="5211"/>
      <c r="BE117" s="5211"/>
    </row>
    <row r="118" spans="2:61" x14ac:dyDescent="0.25">
      <c r="AX118" s="5211"/>
      <c r="AY118" s="5211"/>
      <c r="BD118" s="5211"/>
      <c r="BE118" s="5211"/>
    </row>
    <row r="119" spans="2:61" x14ac:dyDescent="0.25">
      <c r="AX119" s="5211"/>
      <c r="AY119" s="5211"/>
      <c r="BD119" s="5211"/>
      <c r="BE119" s="5211"/>
    </row>
    <row r="120" spans="2:61" x14ac:dyDescent="0.25">
      <c r="AX120" s="5211"/>
      <c r="AY120" s="5211"/>
      <c r="BD120" s="5211"/>
      <c r="BE120" s="5211"/>
    </row>
    <row r="121" spans="2:61" x14ac:dyDescent="0.25">
      <c r="AX121" s="5211"/>
      <c r="AY121" s="5211"/>
      <c r="BD121" s="5211"/>
      <c r="BE121" s="5211"/>
    </row>
    <row r="122" spans="2:61" x14ac:dyDescent="0.25">
      <c r="AX122" s="5211"/>
      <c r="AY122" s="5211"/>
      <c r="BD122" s="5211"/>
      <c r="BE122" s="5211"/>
    </row>
    <row r="123" spans="2:61" x14ac:dyDescent="0.25">
      <c r="AX123" s="5211"/>
      <c r="AY123" s="5211"/>
      <c r="BD123" s="5211"/>
      <c r="BE123" s="5211"/>
    </row>
    <row r="124" spans="2:61" x14ac:dyDescent="0.25">
      <c r="AX124" s="5211"/>
      <c r="AY124" s="5211"/>
      <c r="BD124" s="5211"/>
      <c r="BE124" s="5211"/>
    </row>
    <row r="125" spans="2:61" x14ac:dyDescent="0.25">
      <c r="AX125" s="5211"/>
      <c r="AY125" s="5211"/>
      <c r="BD125" s="5211"/>
      <c r="BE125" s="5211"/>
    </row>
    <row r="126" spans="2:61" x14ac:dyDescent="0.25">
      <c r="AX126" s="5211"/>
      <c r="AY126" s="5211"/>
      <c r="BD126" s="5211"/>
      <c r="BE126" s="5211"/>
    </row>
    <row r="127" spans="2:61" x14ac:dyDescent="0.25">
      <c r="AX127" s="5211"/>
      <c r="AY127" s="5211"/>
      <c r="BD127" s="5211"/>
      <c r="BE127" s="5211"/>
    </row>
    <row r="128" spans="2:61" x14ac:dyDescent="0.25">
      <c r="AX128" s="5211"/>
      <c r="AY128" s="5211"/>
      <c r="BD128" s="5211"/>
      <c r="BE128" s="5211"/>
    </row>
    <row r="129" spans="50:57" x14ac:dyDescent="0.25">
      <c r="AX129" s="5211"/>
      <c r="AY129" s="5211"/>
      <c r="BD129" s="5211"/>
      <c r="BE129" s="5211"/>
    </row>
    <row r="130" spans="50:57" x14ac:dyDescent="0.25">
      <c r="AX130" s="5211"/>
      <c r="AY130" s="5211"/>
      <c r="BD130" s="5211"/>
      <c r="BE130" s="5211"/>
    </row>
    <row r="131" spans="50:57" x14ac:dyDescent="0.25">
      <c r="AX131" s="5211"/>
      <c r="AY131" s="5211"/>
      <c r="BD131" s="5211"/>
      <c r="BE131" s="5211"/>
    </row>
    <row r="132" spans="50:57" x14ac:dyDescent="0.25">
      <c r="AX132" s="5211"/>
      <c r="AY132" s="5211"/>
      <c r="BD132" s="5211"/>
      <c r="BE132" s="5211"/>
    </row>
    <row r="133" spans="50:57" x14ac:dyDescent="0.25">
      <c r="AX133" s="5211"/>
      <c r="AY133" s="5211"/>
      <c r="BD133" s="5211"/>
      <c r="BE133" s="5211"/>
    </row>
    <row r="134" spans="50:57" x14ac:dyDescent="0.25">
      <c r="AX134" s="5211"/>
      <c r="AY134" s="5211"/>
      <c r="BD134" s="5211"/>
      <c r="BE134" s="5211"/>
    </row>
    <row r="135" spans="50:57" x14ac:dyDescent="0.25">
      <c r="AX135" s="5211"/>
      <c r="AY135" s="5211"/>
      <c r="BD135" s="5211"/>
      <c r="BE135" s="5211"/>
    </row>
    <row r="136" spans="50:57" x14ac:dyDescent="0.25">
      <c r="AX136" s="5211"/>
      <c r="AY136" s="5211"/>
      <c r="BD136" s="5211"/>
      <c r="BE136" s="5211"/>
    </row>
    <row r="137" spans="50:57" x14ac:dyDescent="0.25">
      <c r="AX137" s="5211"/>
      <c r="AY137" s="5211"/>
      <c r="BD137" s="5211"/>
      <c r="BE137" s="5211"/>
    </row>
    <row r="138" spans="50:57" x14ac:dyDescent="0.25">
      <c r="AX138" s="5211"/>
      <c r="AY138" s="5211"/>
      <c r="BD138" s="5211"/>
      <c r="BE138" s="5211"/>
    </row>
    <row r="139" spans="50:57" x14ac:dyDescent="0.25">
      <c r="AX139" s="5211"/>
      <c r="AY139" s="5211"/>
      <c r="BD139" s="5211"/>
      <c r="BE139" s="5211"/>
    </row>
    <row r="140" spans="50:57" x14ac:dyDescent="0.25">
      <c r="AX140" s="5211"/>
      <c r="AY140" s="5211"/>
      <c r="BD140" s="5211"/>
      <c r="BE140" s="5211"/>
    </row>
    <row r="141" spans="50:57" x14ac:dyDescent="0.25">
      <c r="AX141" s="5211"/>
      <c r="AY141" s="5211"/>
      <c r="BD141" s="5211"/>
      <c r="BE141" s="5211"/>
    </row>
    <row r="142" spans="50:57" x14ac:dyDescent="0.25">
      <c r="AX142" s="5211"/>
      <c r="AY142" s="5211"/>
      <c r="BD142" s="5211"/>
      <c r="BE142" s="5211"/>
    </row>
    <row r="143" spans="50:57" x14ac:dyDescent="0.25">
      <c r="AX143" s="5211"/>
      <c r="AY143" s="5211"/>
      <c r="BD143" s="5211"/>
      <c r="BE143" s="5211"/>
    </row>
    <row r="144" spans="50:57" x14ac:dyDescent="0.25">
      <c r="AX144" s="5211"/>
      <c r="AY144" s="5211"/>
      <c r="BD144" s="5211"/>
      <c r="BE144" s="5211"/>
    </row>
    <row r="145" spans="50:57" x14ac:dyDescent="0.25">
      <c r="AX145" s="5211"/>
      <c r="AY145" s="5211"/>
      <c r="BD145" s="5211"/>
      <c r="BE145" s="5211"/>
    </row>
    <row r="146" spans="50:57" x14ac:dyDescent="0.25">
      <c r="AX146" s="5211"/>
      <c r="AY146" s="5211"/>
      <c r="BD146" s="5211"/>
      <c r="BE146" s="5211"/>
    </row>
    <row r="147" spans="50:57" x14ac:dyDescent="0.25">
      <c r="AX147" s="5211"/>
      <c r="AY147" s="5211"/>
      <c r="BD147" s="5211"/>
      <c r="BE147" s="5211"/>
    </row>
    <row r="148" spans="50:57" x14ac:dyDescent="0.25">
      <c r="AX148" s="5211"/>
      <c r="AY148" s="5211"/>
      <c r="BD148" s="5211"/>
      <c r="BE148" s="5211"/>
    </row>
    <row r="149" spans="50:57" x14ac:dyDescent="0.25">
      <c r="AX149" s="5211"/>
      <c r="AY149" s="5211"/>
      <c r="BD149" s="5211"/>
      <c r="BE149" s="5211"/>
    </row>
    <row r="150" spans="50:57" x14ac:dyDescent="0.25">
      <c r="AX150" s="5211"/>
      <c r="AY150" s="5211"/>
      <c r="BD150" s="5211"/>
      <c r="BE150" s="5211"/>
    </row>
    <row r="151" spans="50:57" x14ac:dyDescent="0.25">
      <c r="AX151" s="5211"/>
      <c r="AY151" s="5211"/>
      <c r="BD151" s="5211"/>
      <c r="BE151" s="5211"/>
    </row>
    <row r="152" spans="50:57" x14ac:dyDescent="0.25">
      <c r="AX152" s="5211"/>
      <c r="AY152" s="5211"/>
      <c r="BD152" s="5211"/>
      <c r="BE152" s="5211"/>
    </row>
    <row r="153" spans="50:57" x14ac:dyDescent="0.25">
      <c r="AX153" s="5211"/>
      <c r="AY153" s="5211"/>
      <c r="BD153" s="5211"/>
      <c r="BE153" s="5211"/>
    </row>
    <row r="154" spans="50:57" x14ac:dyDescent="0.25">
      <c r="AX154" s="5211"/>
      <c r="AY154" s="5211"/>
      <c r="BD154" s="5211"/>
      <c r="BE154" s="5211"/>
    </row>
    <row r="155" spans="50:57" x14ac:dyDescent="0.25">
      <c r="AX155" s="5211"/>
      <c r="AY155" s="5211"/>
      <c r="BD155" s="5211"/>
      <c r="BE155" s="5211"/>
    </row>
    <row r="156" spans="50:57" x14ac:dyDescent="0.25">
      <c r="AX156" s="5211"/>
      <c r="AY156" s="5211"/>
      <c r="BD156" s="5211"/>
      <c r="BE156" s="5211"/>
    </row>
    <row r="157" spans="50:57" x14ac:dyDescent="0.25">
      <c r="AX157" s="5211"/>
      <c r="AY157" s="5211"/>
      <c r="BD157" s="5211"/>
      <c r="BE157" s="5211"/>
    </row>
    <row r="158" spans="50:57" x14ac:dyDescent="0.25">
      <c r="AX158" s="5211"/>
      <c r="AY158" s="5211"/>
      <c r="BD158" s="5211"/>
      <c r="BE158" s="5211"/>
    </row>
    <row r="159" spans="50:57" x14ac:dyDescent="0.25">
      <c r="AX159" s="5211"/>
      <c r="AY159" s="5211"/>
      <c r="BD159" s="5211"/>
      <c r="BE159" s="5211"/>
    </row>
    <row r="160" spans="50:57" x14ac:dyDescent="0.25">
      <c r="AX160" s="5211"/>
      <c r="AY160" s="5211"/>
      <c r="BD160" s="5211"/>
      <c r="BE160" s="5211"/>
    </row>
    <row r="161" spans="50:57" x14ac:dyDescent="0.25">
      <c r="AX161" s="5211"/>
      <c r="AY161" s="5211"/>
      <c r="BD161" s="5211"/>
      <c r="BE161" s="5211"/>
    </row>
    <row r="162" spans="50:57" x14ac:dyDescent="0.25">
      <c r="AX162" s="5211"/>
      <c r="AY162" s="5211"/>
      <c r="BD162" s="5211"/>
      <c r="BE162" s="5211"/>
    </row>
    <row r="163" spans="50:57" x14ac:dyDescent="0.25">
      <c r="AX163" s="5211"/>
      <c r="AY163" s="5211"/>
      <c r="BD163" s="5211"/>
      <c r="BE163" s="5211"/>
    </row>
    <row r="164" spans="50:57" x14ac:dyDescent="0.25">
      <c r="AX164" s="5211"/>
      <c r="AY164" s="5211"/>
      <c r="BD164" s="5211"/>
      <c r="BE164" s="5211"/>
    </row>
    <row r="165" spans="50:57" x14ac:dyDescent="0.25">
      <c r="AX165" s="5211"/>
      <c r="AY165" s="5211"/>
      <c r="BD165" s="5211"/>
      <c r="BE165" s="5211"/>
    </row>
    <row r="166" spans="50:57" x14ac:dyDescent="0.25">
      <c r="AX166" s="5211"/>
      <c r="AY166" s="5211"/>
      <c r="BD166" s="5211"/>
      <c r="BE166" s="5211"/>
    </row>
    <row r="167" spans="50:57" x14ac:dyDescent="0.25">
      <c r="AX167" s="5211"/>
      <c r="AY167" s="5211"/>
      <c r="BD167" s="5211"/>
      <c r="BE167" s="5211"/>
    </row>
    <row r="168" spans="50:57" x14ac:dyDescent="0.25">
      <c r="AX168" s="5211"/>
      <c r="AY168" s="5211"/>
      <c r="BD168" s="5211"/>
      <c r="BE168" s="5211"/>
    </row>
    <row r="169" spans="50:57" x14ac:dyDescent="0.25">
      <c r="AX169" s="5211"/>
      <c r="AY169" s="5211"/>
      <c r="BD169" s="5211"/>
      <c r="BE169" s="5211"/>
    </row>
    <row r="170" spans="50:57" x14ac:dyDescent="0.25">
      <c r="AX170" s="5211"/>
      <c r="AY170" s="5211"/>
      <c r="BD170" s="5211"/>
      <c r="BE170" s="5211"/>
    </row>
    <row r="171" spans="50:57" x14ac:dyDescent="0.25">
      <c r="AX171" s="5211"/>
      <c r="AY171" s="5211"/>
      <c r="BD171" s="5211"/>
      <c r="BE171" s="5211"/>
    </row>
    <row r="172" spans="50:57" x14ac:dyDescent="0.25">
      <c r="AX172" s="5211"/>
      <c r="AY172" s="5211"/>
      <c r="BD172" s="5211"/>
      <c r="BE172" s="5211"/>
    </row>
    <row r="173" spans="50:57" x14ac:dyDescent="0.25">
      <c r="AX173" s="5211"/>
      <c r="AY173" s="5211"/>
      <c r="BD173" s="5211"/>
      <c r="BE173" s="5211"/>
    </row>
    <row r="174" spans="50:57" x14ac:dyDescent="0.25">
      <c r="AX174" s="5211"/>
      <c r="AY174" s="5211"/>
      <c r="BD174" s="5211"/>
      <c r="BE174" s="5211"/>
    </row>
    <row r="175" spans="50:57" x14ac:dyDescent="0.25">
      <c r="AX175" s="5211"/>
      <c r="AY175" s="5211"/>
      <c r="BD175" s="5211"/>
      <c r="BE175" s="5211"/>
    </row>
    <row r="176" spans="50:57" x14ac:dyDescent="0.25">
      <c r="AX176" s="5211"/>
      <c r="AY176" s="5211"/>
      <c r="BD176" s="5211"/>
      <c r="BE176" s="5211"/>
    </row>
    <row r="177" spans="50:57" x14ac:dyDescent="0.25">
      <c r="AX177" s="5211"/>
      <c r="AY177" s="5211"/>
      <c r="BD177" s="5211"/>
      <c r="BE177" s="5211"/>
    </row>
    <row r="178" spans="50:57" x14ac:dyDescent="0.25">
      <c r="AX178" s="5211"/>
      <c r="AY178" s="5211"/>
      <c r="BD178" s="5211"/>
      <c r="BE178" s="5211"/>
    </row>
    <row r="179" spans="50:57" x14ac:dyDescent="0.25">
      <c r="AX179" s="5211"/>
      <c r="AY179" s="5211"/>
      <c r="BD179" s="5211"/>
      <c r="BE179" s="5211"/>
    </row>
    <row r="180" spans="50:57" x14ac:dyDescent="0.25">
      <c r="AX180" s="5211"/>
      <c r="AY180" s="5211"/>
      <c r="BD180" s="5211"/>
      <c r="BE180" s="5211"/>
    </row>
    <row r="181" spans="50:57" x14ac:dyDescent="0.25">
      <c r="AX181" s="5211"/>
      <c r="AY181" s="5211"/>
      <c r="BD181" s="5211"/>
      <c r="BE181" s="5211"/>
    </row>
    <row r="182" spans="50:57" x14ac:dyDescent="0.25">
      <c r="AX182" s="5211"/>
      <c r="AY182" s="5211"/>
      <c r="BD182" s="5211"/>
      <c r="BE182" s="5211"/>
    </row>
    <row r="183" spans="50:57" x14ac:dyDescent="0.25">
      <c r="AX183" s="5211"/>
      <c r="AY183" s="5211"/>
      <c r="BD183" s="5211"/>
      <c r="BE183" s="5211"/>
    </row>
    <row r="184" spans="50:57" x14ac:dyDescent="0.25">
      <c r="AX184" s="5211"/>
      <c r="AY184" s="5211"/>
      <c r="BD184" s="5211"/>
      <c r="BE184" s="5211"/>
    </row>
    <row r="185" spans="50:57" x14ac:dyDescent="0.25">
      <c r="AX185" s="5211"/>
      <c r="AY185" s="5211"/>
      <c r="BD185" s="5211"/>
      <c r="BE185" s="5211"/>
    </row>
    <row r="186" spans="50:57" x14ac:dyDescent="0.25">
      <c r="AX186" s="5211"/>
      <c r="AY186" s="5211"/>
      <c r="BD186" s="5211"/>
      <c r="BE186" s="5211"/>
    </row>
    <row r="187" spans="50:57" x14ac:dyDescent="0.25">
      <c r="AX187" s="5211"/>
      <c r="AY187" s="5211"/>
      <c r="BD187" s="5211"/>
      <c r="BE187" s="5211"/>
    </row>
    <row r="188" spans="50:57" x14ac:dyDescent="0.25">
      <c r="AX188" s="5211"/>
      <c r="AY188" s="5211"/>
      <c r="BD188" s="5211"/>
      <c r="BE188" s="5211"/>
    </row>
    <row r="189" spans="50:57" x14ac:dyDescent="0.25">
      <c r="AX189" s="5211"/>
      <c r="AY189" s="5211"/>
      <c r="BD189" s="5211"/>
      <c r="BE189" s="5211"/>
    </row>
    <row r="190" spans="50:57" x14ac:dyDescent="0.25">
      <c r="AX190" s="5211"/>
      <c r="AY190" s="5211"/>
      <c r="BD190" s="5211"/>
      <c r="BE190" s="5211"/>
    </row>
    <row r="191" spans="50:57" x14ac:dyDescent="0.25">
      <c r="AX191" s="5211"/>
      <c r="AY191" s="5211"/>
      <c r="BD191" s="5211"/>
      <c r="BE191" s="5211"/>
    </row>
    <row r="192" spans="50:57" x14ac:dyDescent="0.25">
      <c r="AX192" s="5211"/>
      <c r="AY192" s="5211"/>
      <c r="BD192" s="5211"/>
      <c r="BE192" s="5211"/>
    </row>
    <row r="193" spans="50:57" x14ac:dyDescent="0.25">
      <c r="AX193" s="5211"/>
      <c r="AY193" s="5211"/>
      <c r="BD193" s="5211"/>
      <c r="BE193" s="5211"/>
    </row>
    <row r="194" spans="50:57" x14ac:dyDescent="0.25">
      <c r="AX194" s="5211"/>
      <c r="AY194" s="5211"/>
      <c r="BD194" s="5211"/>
      <c r="BE194" s="5211"/>
    </row>
    <row r="195" spans="50:57" x14ac:dyDescent="0.25">
      <c r="AX195" s="5211"/>
      <c r="AY195" s="5211"/>
      <c r="BD195" s="5211"/>
      <c r="BE195" s="5211"/>
    </row>
    <row r="196" spans="50:57" x14ac:dyDescent="0.25">
      <c r="AX196" s="5211"/>
      <c r="AY196" s="5211"/>
      <c r="BD196" s="5211"/>
      <c r="BE196" s="5211"/>
    </row>
    <row r="197" spans="50:57" x14ac:dyDescent="0.25">
      <c r="AX197" s="5211"/>
      <c r="AY197" s="5211"/>
      <c r="BD197" s="5211"/>
      <c r="BE197" s="5211"/>
    </row>
    <row r="198" spans="50:57" x14ac:dyDescent="0.25">
      <c r="AX198" s="5211"/>
      <c r="AY198" s="5211"/>
      <c r="BD198" s="5211"/>
      <c r="BE198" s="5211"/>
    </row>
    <row r="199" spans="50:57" x14ac:dyDescent="0.25">
      <c r="AX199" s="5211"/>
      <c r="AY199" s="5211"/>
      <c r="BD199" s="5211"/>
      <c r="BE199" s="5211"/>
    </row>
    <row r="200" spans="50:57" x14ac:dyDescent="0.25">
      <c r="AX200" s="5211"/>
      <c r="AY200" s="5211"/>
      <c r="BD200" s="5211"/>
      <c r="BE200" s="5211"/>
    </row>
    <row r="201" spans="50:57" x14ac:dyDescent="0.25">
      <c r="AX201" s="5211"/>
      <c r="AY201" s="5211"/>
      <c r="BD201" s="5211"/>
      <c r="BE201" s="5211"/>
    </row>
    <row r="202" spans="50:57" x14ac:dyDescent="0.25">
      <c r="AX202" s="5211"/>
      <c r="AY202" s="5211"/>
      <c r="BD202" s="5211"/>
      <c r="BE202" s="5211"/>
    </row>
    <row r="203" spans="50:57" x14ac:dyDescent="0.25">
      <c r="AX203" s="5211"/>
      <c r="AY203" s="5211"/>
      <c r="BD203" s="5211"/>
      <c r="BE203" s="5211"/>
    </row>
    <row r="204" spans="50:57" x14ac:dyDescent="0.25">
      <c r="AX204" s="5211"/>
      <c r="AY204" s="5211"/>
      <c r="BD204" s="5211"/>
      <c r="BE204" s="5211"/>
    </row>
    <row r="205" spans="50:57" x14ac:dyDescent="0.25">
      <c r="AX205" s="5211"/>
      <c r="AY205" s="5211"/>
      <c r="BD205" s="5211"/>
      <c r="BE205" s="5211"/>
    </row>
    <row r="206" spans="50:57" x14ac:dyDescent="0.25">
      <c r="AX206" s="5211"/>
      <c r="AY206" s="5211"/>
      <c r="BD206" s="5211"/>
      <c r="BE206" s="5211"/>
    </row>
    <row r="207" spans="50:57" x14ac:dyDescent="0.25">
      <c r="AX207" s="5211"/>
      <c r="AY207" s="5211"/>
      <c r="BD207" s="5211"/>
      <c r="BE207" s="5211"/>
    </row>
    <row r="208" spans="50:57" x14ac:dyDescent="0.25">
      <c r="AX208" s="5211"/>
      <c r="AY208" s="5211"/>
      <c r="BD208" s="5211"/>
      <c r="BE208" s="5211"/>
    </row>
    <row r="209" spans="50:57" x14ac:dyDescent="0.25">
      <c r="AX209" s="5211"/>
      <c r="AY209" s="5211"/>
      <c r="BD209" s="5211"/>
      <c r="BE209" s="5211"/>
    </row>
    <row r="210" spans="50:57" x14ac:dyDescent="0.25">
      <c r="AX210" s="5211"/>
      <c r="AY210" s="5211"/>
      <c r="BD210" s="5211"/>
      <c r="BE210" s="5211"/>
    </row>
    <row r="211" spans="50:57" x14ac:dyDescent="0.25">
      <c r="AX211" s="5211"/>
      <c r="AY211" s="5211"/>
      <c r="BD211" s="5211"/>
      <c r="BE211" s="5211"/>
    </row>
    <row r="212" spans="50:57" x14ac:dyDescent="0.25">
      <c r="AX212" s="5211"/>
      <c r="AY212" s="5211"/>
      <c r="BD212" s="5211"/>
      <c r="BE212" s="5211"/>
    </row>
    <row r="213" spans="50:57" x14ac:dyDescent="0.25">
      <c r="AX213" s="5211"/>
      <c r="AY213" s="5211"/>
      <c r="BD213" s="5211"/>
      <c r="BE213" s="5211"/>
    </row>
    <row r="214" spans="50:57" x14ac:dyDescent="0.25">
      <c r="AX214" s="5211"/>
      <c r="AY214" s="5211"/>
      <c r="BD214" s="5211"/>
      <c r="BE214" s="5211"/>
    </row>
    <row r="215" spans="50:57" x14ac:dyDescent="0.25">
      <c r="AX215" s="5211"/>
      <c r="AY215" s="5211"/>
      <c r="BD215" s="5211"/>
      <c r="BE215" s="5211"/>
    </row>
    <row r="216" spans="50:57" x14ac:dyDescent="0.25">
      <c r="AX216" s="5211"/>
      <c r="AY216" s="5211"/>
      <c r="BD216" s="5211"/>
      <c r="BE216" s="5211"/>
    </row>
    <row r="217" spans="50:57" x14ac:dyDescent="0.25">
      <c r="AX217" s="5211"/>
      <c r="AY217" s="5211"/>
      <c r="BD217" s="5211"/>
      <c r="BE217" s="5211"/>
    </row>
    <row r="218" spans="50:57" x14ac:dyDescent="0.25">
      <c r="AX218" s="5211"/>
      <c r="AY218" s="5211"/>
      <c r="BD218" s="5211"/>
      <c r="BE218" s="5211"/>
    </row>
    <row r="219" spans="50:57" x14ac:dyDescent="0.25">
      <c r="AX219" s="5211"/>
      <c r="AY219" s="5211"/>
      <c r="BD219" s="5211"/>
      <c r="BE219" s="5211"/>
    </row>
    <row r="220" spans="50:57" x14ac:dyDescent="0.25">
      <c r="AX220" s="5211"/>
      <c r="AY220" s="5211"/>
      <c r="BD220" s="5211"/>
      <c r="BE220" s="5211"/>
    </row>
    <row r="221" spans="50:57" x14ac:dyDescent="0.25">
      <c r="AX221" s="5211"/>
      <c r="AY221" s="5211"/>
      <c r="BD221" s="5211"/>
      <c r="BE221" s="5211"/>
    </row>
    <row r="222" spans="50:57" x14ac:dyDescent="0.25">
      <c r="AX222" s="5211"/>
      <c r="AY222" s="5211"/>
      <c r="BD222" s="5211"/>
      <c r="BE222" s="5211"/>
    </row>
    <row r="223" spans="50:57" x14ac:dyDescent="0.25">
      <c r="AX223" s="5211"/>
      <c r="AY223" s="5211"/>
      <c r="BD223" s="5211"/>
      <c r="BE223" s="5211"/>
    </row>
    <row r="224" spans="50:57" x14ac:dyDescent="0.25">
      <c r="AX224" s="5211"/>
      <c r="AY224" s="5211"/>
      <c r="BD224" s="5211"/>
      <c r="BE224" s="5211"/>
    </row>
    <row r="225" spans="50:57" x14ac:dyDescent="0.25">
      <c r="AX225" s="5211"/>
      <c r="AY225" s="5211"/>
      <c r="BD225" s="5211"/>
      <c r="BE225" s="5211"/>
    </row>
    <row r="226" spans="50:57" x14ac:dyDescent="0.25">
      <c r="AX226" s="5211"/>
      <c r="AY226" s="5211"/>
      <c r="BD226" s="5211"/>
      <c r="BE226" s="5211"/>
    </row>
    <row r="227" spans="50:57" x14ac:dyDescent="0.25">
      <c r="AX227" s="5211"/>
      <c r="AY227" s="5211"/>
      <c r="BD227" s="5211"/>
      <c r="BE227" s="5211"/>
    </row>
    <row r="228" spans="50:57" x14ac:dyDescent="0.25">
      <c r="AX228" s="5211"/>
      <c r="AY228" s="5211"/>
      <c r="BD228" s="5211"/>
      <c r="BE228" s="5211"/>
    </row>
    <row r="229" spans="50:57" x14ac:dyDescent="0.25">
      <c r="AX229" s="5211"/>
      <c r="AY229" s="5211"/>
      <c r="BD229" s="5211"/>
      <c r="BE229" s="5211"/>
    </row>
    <row r="230" spans="50:57" x14ac:dyDescent="0.25">
      <c r="AX230" s="5211"/>
      <c r="AY230" s="5211"/>
      <c r="BD230" s="5211"/>
      <c r="BE230" s="5211"/>
    </row>
    <row r="231" spans="50:57" x14ac:dyDescent="0.25">
      <c r="AX231" s="5211"/>
      <c r="AY231" s="5211"/>
      <c r="BD231" s="5211"/>
      <c r="BE231" s="5211"/>
    </row>
    <row r="232" spans="50:57" x14ac:dyDescent="0.25">
      <c r="AX232" s="5211"/>
      <c r="AY232" s="5211"/>
      <c r="BD232" s="5211"/>
      <c r="BE232" s="5211"/>
    </row>
    <row r="233" spans="50:57" x14ac:dyDescent="0.25">
      <c r="AX233" s="5211"/>
      <c r="AY233" s="5211"/>
      <c r="BD233" s="5211"/>
      <c r="BE233" s="5211"/>
    </row>
    <row r="234" spans="50:57" x14ac:dyDescent="0.25">
      <c r="AX234" s="5211"/>
      <c r="AY234" s="5211"/>
      <c r="BD234" s="5211"/>
      <c r="BE234" s="5211"/>
    </row>
    <row r="235" spans="50:57" x14ac:dyDescent="0.25">
      <c r="AX235" s="5211"/>
      <c r="AY235" s="5211"/>
      <c r="BD235" s="5211"/>
      <c r="BE235" s="5211"/>
    </row>
    <row r="236" spans="50:57" x14ac:dyDescent="0.25">
      <c r="AX236" s="5211"/>
      <c r="AY236" s="5211"/>
      <c r="BD236" s="5211"/>
      <c r="BE236" s="5211"/>
    </row>
    <row r="237" spans="50:57" x14ac:dyDescent="0.25">
      <c r="AX237" s="5211"/>
      <c r="AY237" s="5211"/>
      <c r="BD237" s="5211"/>
      <c r="BE237" s="5211"/>
    </row>
    <row r="238" spans="50:57" x14ac:dyDescent="0.25">
      <c r="AX238" s="5211"/>
      <c r="AY238" s="5211"/>
      <c r="BD238" s="5211"/>
      <c r="BE238" s="5211"/>
    </row>
    <row r="239" spans="50:57" x14ac:dyDescent="0.25">
      <c r="AX239" s="5211"/>
      <c r="AY239" s="5211"/>
      <c r="BD239" s="5211"/>
      <c r="BE239" s="5211"/>
    </row>
    <row r="240" spans="50:57" x14ac:dyDescent="0.25">
      <c r="AX240" s="5211"/>
      <c r="AY240" s="5211"/>
      <c r="BD240" s="5211"/>
      <c r="BE240" s="5211"/>
    </row>
    <row r="241" spans="50:57" x14ac:dyDescent="0.25">
      <c r="AX241" s="5211"/>
      <c r="AY241" s="5211"/>
      <c r="BD241" s="5211"/>
      <c r="BE241" s="5211"/>
    </row>
    <row r="242" spans="50:57" x14ac:dyDescent="0.25">
      <c r="AX242" s="5211"/>
      <c r="AY242" s="5211"/>
      <c r="BD242" s="5211"/>
      <c r="BE242" s="5211"/>
    </row>
    <row r="243" spans="50:57" x14ac:dyDescent="0.25">
      <c r="AX243" s="5211"/>
      <c r="AY243" s="5211"/>
      <c r="BD243" s="5211"/>
      <c r="BE243" s="5211"/>
    </row>
    <row r="244" spans="50:57" x14ac:dyDescent="0.25">
      <c r="AX244" s="5211"/>
      <c r="AY244" s="5211"/>
      <c r="BD244" s="5211"/>
      <c r="BE244" s="5211"/>
    </row>
    <row r="245" spans="50:57" x14ac:dyDescent="0.25">
      <c r="AX245" s="5211"/>
      <c r="AY245" s="5211"/>
      <c r="BD245" s="5211"/>
      <c r="BE245" s="5211"/>
    </row>
    <row r="246" spans="50:57" x14ac:dyDescent="0.25">
      <c r="AX246" s="5211"/>
      <c r="AY246" s="5211"/>
      <c r="BD246" s="5211"/>
      <c r="BE246" s="5211"/>
    </row>
    <row r="247" spans="50:57" x14ac:dyDescent="0.25">
      <c r="AX247" s="5211"/>
      <c r="AY247" s="5211"/>
      <c r="BD247" s="5211"/>
      <c r="BE247" s="5211"/>
    </row>
    <row r="248" spans="50:57" x14ac:dyDescent="0.25">
      <c r="AX248" s="5211"/>
      <c r="AY248" s="5211"/>
      <c r="BD248" s="5211"/>
      <c r="BE248" s="5211"/>
    </row>
    <row r="249" spans="50:57" x14ac:dyDescent="0.25">
      <c r="AX249" s="5211"/>
      <c r="AY249" s="5211"/>
      <c r="BD249" s="5211"/>
      <c r="BE249" s="5211"/>
    </row>
    <row r="250" spans="50:57" x14ac:dyDescent="0.25">
      <c r="AX250" s="5211"/>
      <c r="AY250" s="5211"/>
      <c r="BD250" s="5211"/>
      <c r="BE250" s="5211"/>
    </row>
    <row r="251" spans="50:57" x14ac:dyDescent="0.25">
      <c r="AX251" s="5211"/>
      <c r="AY251" s="5211"/>
      <c r="BD251" s="5211"/>
      <c r="BE251" s="5211"/>
    </row>
    <row r="252" spans="50:57" x14ac:dyDescent="0.25">
      <c r="AX252" s="5211"/>
      <c r="AY252" s="5211"/>
      <c r="BD252" s="5211"/>
      <c r="BE252" s="5211"/>
    </row>
    <row r="253" spans="50:57" x14ac:dyDescent="0.25">
      <c r="AX253" s="5211"/>
      <c r="AY253" s="5211"/>
      <c r="BD253" s="5211"/>
      <c r="BE253" s="5211"/>
    </row>
    <row r="254" spans="50:57" x14ac:dyDescent="0.25">
      <c r="AX254" s="5211"/>
      <c r="AY254" s="5211"/>
      <c r="BD254" s="5211"/>
      <c r="BE254" s="5211"/>
    </row>
    <row r="255" spans="50:57" x14ac:dyDescent="0.25">
      <c r="AX255" s="5211"/>
      <c r="AY255" s="5211"/>
      <c r="BD255" s="5211"/>
      <c r="BE255" s="5211"/>
    </row>
    <row r="256" spans="50:57" x14ac:dyDescent="0.25">
      <c r="AX256" s="5211"/>
      <c r="AY256" s="5211"/>
      <c r="BD256" s="5211"/>
      <c r="BE256" s="5211"/>
    </row>
    <row r="257" spans="50:57" x14ac:dyDescent="0.25">
      <c r="AX257" s="5211"/>
      <c r="AY257" s="5211"/>
      <c r="BD257" s="5211"/>
      <c r="BE257" s="5211"/>
    </row>
    <row r="258" spans="50:57" x14ac:dyDescent="0.25">
      <c r="AX258" s="5211"/>
      <c r="AY258" s="5211"/>
      <c r="BD258" s="5211"/>
      <c r="BE258" s="5211"/>
    </row>
    <row r="259" spans="50:57" x14ac:dyDescent="0.25">
      <c r="AX259" s="5211"/>
      <c r="AY259" s="5211"/>
      <c r="BD259" s="5211"/>
      <c r="BE259" s="5211"/>
    </row>
    <row r="260" spans="50:57" x14ac:dyDescent="0.25">
      <c r="AX260" s="5211"/>
      <c r="AY260" s="5211"/>
      <c r="BD260" s="5211"/>
      <c r="BE260" s="5211"/>
    </row>
    <row r="261" spans="50:57" x14ac:dyDescent="0.25">
      <c r="AX261" s="5211"/>
      <c r="AY261" s="5211"/>
      <c r="BD261" s="5211"/>
      <c r="BE261" s="5211"/>
    </row>
    <row r="262" spans="50:57" x14ac:dyDescent="0.25">
      <c r="AX262" s="5211"/>
      <c r="AY262" s="5211"/>
      <c r="BD262" s="5211"/>
      <c r="BE262" s="5211"/>
    </row>
    <row r="263" spans="50:57" x14ac:dyDescent="0.25">
      <c r="AX263" s="5211"/>
      <c r="AY263" s="5211"/>
      <c r="BD263" s="5211"/>
      <c r="BE263" s="5211"/>
    </row>
    <row r="264" spans="50:57" x14ac:dyDescent="0.25">
      <c r="AX264" s="5211"/>
      <c r="AY264" s="5211"/>
      <c r="BD264" s="5211"/>
      <c r="BE264" s="5211"/>
    </row>
    <row r="265" spans="50:57" x14ac:dyDescent="0.25">
      <c r="AX265" s="5211"/>
      <c r="AY265" s="5211"/>
      <c r="BD265" s="5211"/>
      <c r="BE265" s="5211"/>
    </row>
    <row r="266" spans="50:57" x14ac:dyDescent="0.25">
      <c r="AX266" s="5211"/>
      <c r="AY266" s="5211"/>
      <c r="BD266" s="5211"/>
      <c r="BE266" s="5211"/>
    </row>
    <row r="267" spans="50:57" x14ac:dyDescent="0.25">
      <c r="AX267" s="5211"/>
      <c r="AY267" s="5211"/>
      <c r="BD267" s="5211"/>
      <c r="BE267" s="5211"/>
    </row>
    <row r="268" spans="50:57" x14ac:dyDescent="0.25">
      <c r="AX268" s="5211"/>
      <c r="AY268" s="5211"/>
      <c r="BD268" s="5211"/>
      <c r="BE268" s="5211"/>
    </row>
    <row r="269" spans="50:57" x14ac:dyDescent="0.25">
      <c r="AX269" s="5211"/>
      <c r="AY269" s="5211"/>
      <c r="BD269" s="5211"/>
      <c r="BE269" s="5211"/>
    </row>
    <row r="270" spans="50:57" x14ac:dyDescent="0.25">
      <c r="AX270" s="5211"/>
      <c r="AY270" s="5211"/>
      <c r="BD270" s="5211"/>
      <c r="BE270" s="5211"/>
    </row>
    <row r="271" spans="50:57" x14ac:dyDescent="0.25">
      <c r="AX271" s="5211"/>
      <c r="AY271" s="5211"/>
      <c r="BD271" s="5211"/>
      <c r="BE271" s="5211"/>
    </row>
    <row r="272" spans="50:57" x14ac:dyDescent="0.25">
      <c r="AX272" s="5211"/>
      <c r="AY272" s="5211"/>
      <c r="BD272" s="5211"/>
      <c r="BE272" s="5211"/>
    </row>
    <row r="273" spans="50:57" x14ac:dyDescent="0.25">
      <c r="AX273" s="5211"/>
      <c r="AY273" s="5211"/>
      <c r="BD273" s="5211"/>
      <c r="BE273" s="5211"/>
    </row>
    <row r="274" spans="50:57" x14ac:dyDescent="0.25">
      <c r="AX274" s="5211"/>
      <c r="AY274" s="5211"/>
      <c r="BD274" s="5211"/>
      <c r="BE274" s="5211"/>
    </row>
    <row r="275" spans="50:57" x14ac:dyDescent="0.25">
      <c r="AX275" s="5211"/>
      <c r="AY275" s="5211"/>
      <c r="BD275" s="5211"/>
      <c r="BE275" s="5211"/>
    </row>
    <row r="276" spans="50:57" x14ac:dyDescent="0.25">
      <c r="AX276" s="5211"/>
      <c r="AY276" s="5211"/>
      <c r="BD276" s="5211"/>
      <c r="BE276" s="5211"/>
    </row>
    <row r="277" spans="50:57" x14ac:dyDescent="0.25">
      <c r="AX277" s="5211"/>
      <c r="AY277" s="5211"/>
      <c r="BD277" s="5211"/>
      <c r="BE277" s="5211"/>
    </row>
    <row r="278" spans="50:57" x14ac:dyDescent="0.25">
      <c r="AX278" s="5211"/>
      <c r="AY278" s="5211"/>
      <c r="BD278" s="5211"/>
      <c r="BE278" s="5211"/>
    </row>
    <row r="279" spans="50:57" x14ac:dyDescent="0.25">
      <c r="AX279" s="5211"/>
      <c r="AY279" s="5211"/>
      <c r="BD279" s="5211"/>
      <c r="BE279" s="5211"/>
    </row>
    <row r="280" spans="50:57" x14ac:dyDescent="0.25">
      <c r="AX280" s="5211"/>
      <c r="AY280" s="5211"/>
      <c r="BD280" s="5211"/>
      <c r="BE280" s="5211"/>
    </row>
    <row r="281" spans="50:57" x14ac:dyDescent="0.25">
      <c r="AX281" s="5211"/>
      <c r="AY281" s="5211"/>
      <c r="BD281" s="5211"/>
      <c r="BE281" s="5211"/>
    </row>
    <row r="282" spans="50:57" x14ac:dyDescent="0.25">
      <c r="AX282" s="5211"/>
      <c r="AY282" s="5211"/>
      <c r="BD282" s="5211"/>
      <c r="BE282" s="5211"/>
    </row>
    <row r="283" spans="50:57" x14ac:dyDescent="0.25">
      <c r="AX283" s="5211"/>
      <c r="AY283" s="5211"/>
      <c r="BD283" s="5211"/>
      <c r="BE283" s="5211"/>
    </row>
    <row r="284" spans="50:57" x14ac:dyDescent="0.25">
      <c r="AX284" s="5211"/>
      <c r="AY284" s="5211"/>
      <c r="BD284" s="5211"/>
      <c r="BE284" s="5211"/>
    </row>
    <row r="285" spans="50:57" x14ac:dyDescent="0.25">
      <c r="AX285" s="5211"/>
      <c r="AY285" s="5211"/>
      <c r="BD285" s="5211"/>
      <c r="BE285" s="5211"/>
    </row>
    <row r="286" spans="50:57" x14ac:dyDescent="0.25">
      <c r="AX286" s="5211"/>
      <c r="AY286" s="5211"/>
      <c r="BD286" s="5211"/>
      <c r="BE286" s="5211"/>
    </row>
    <row r="287" spans="50:57" x14ac:dyDescent="0.25">
      <c r="AX287" s="5211"/>
      <c r="AY287" s="5211"/>
      <c r="BD287" s="5211"/>
      <c r="BE287" s="5211"/>
    </row>
    <row r="288" spans="50:57" x14ac:dyDescent="0.25">
      <c r="AX288" s="5211"/>
      <c r="AY288" s="5211"/>
      <c r="BD288" s="5211"/>
      <c r="BE288" s="5211"/>
    </row>
    <row r="289" spans="50:57" x14ac:dyDescent="0.25">
      <c r="AX289" s="5211"/>
      <c r="AY289" s="5211"/>
      <c r="BD289" s="5211"/>
      <c r="BE289" s="5211"/>
    </row>
    <row r="290" spans="50:57" x14ac:dyDescent="0.25">
      <c r="AX290" s="5211"/>
      <c r="AY290" s="5211"/>
      <c r="BD290" s="5211"/>
      <c r="BE290" s="5211"/>
    </row>
    <row r="291" spans="50:57" x14ac:dyDescent="0.25">
      <c r="AX291" s="5211"/>
      <c r="AY291" s="5211"/>
      <c r="BD291" s="5211"/>
      <c r="BE291" s="5211"/>
    </row>
    <row r="292" spans="50:57" x14ac:dyDescent="0.25">
      <c r="AX292" s="5211"/>
      <c r="AY292" s="5211"/>
      <c r="BD292" s="5211"/>
      <c r="BE292" s="5211"/>
    </row>
    <row r="293" spans="50:57" x14ac:dyDescent="0.25">
      <c r="AX293" s="5211"/>
      <c r="AY293" s="5211"/>
      <c r="BD293" s="5211"/>
      <c r="BE293" s="5211"/>
    </row>
    <row r="294" spans="50:57" x14ac:dyDescent="0.25">
      <c r="AX294" s="5211"/>
      <c r="AY294" s="5211"/>
      <c r="BD294" s="5211"/>
      <c r="BE294" s="5211"/>
    </row>
    <row r="295" spans="50:57" x14ac:dyDescent="0.25">
      <c r="AX295" s="5211"/>
      <c r="AY295" s="5211"/>
      <c r="BD295" s="5211"/>
      <c r="BE295" s="5211"/>
    </row>
    <row r="296" spans="50:57" x14ac:dyDescent="0.25">
      <c r="AX296" s="5211"/>
      <c r="AY296" s="5211"/>
      <c r="BD296" s="5211"/>
      <c r="BE296" s="5211"/>
    </row>
    <row r="297" spans="50:57" x14ac:dyDescent="0.25">
      <c r="AX297" s="5211"/>
      <c r="AY297" s="5211"/>
      <c r="BD297" s="5211"/>
      <c r="BE297" s="5211"/>
    </row>
    <row r="298" spans="50:57" x14ac:dyDescent="0.25">
      <c r="AX298" s="5211"/>
      <c r="AY298" s="5211"/>
      <c r="BD298" s="5211"/>
      <c r="BE298" s="5211"/>
    </row>
    <row r="299" spans="50:57" x14ac:dyDescent="0.25">
      <c r="AX299" s="5211"/>
      <c r="AY299" s="5211"/>
      <c r="BD299" s="5211"/>
      <c r="BE299" s="5211"/>
    </row>
    <row r="300" spans="50:57" x14ac:dyDescent="0.25">
      <c r="AX300" s="5211"/>
      <c r="AY300" s="5211"/>
      <c r="BD300" s="5211"/>
      <c r="BE300" s="5211"/>
    </row>
  </sheetData>
  <mergeCells count="109">
    <mergeCell ref="BB3:BC3"/>
    <mergeCell ref="BB18:BB19"/>
    <mergeCell ref="BB37:BB42"/>
    <mergeCell ref="BB91:BB108"/>
    <mergeCell ref="H37:H42"/>
    <mergeCell ref="L18:L19"/>
    <mergeCell ref="AX3:AY3"/>
    <mergeCell ref="P18:P19"/>
    <mergeCell ref="J3:K3"/>
    <mergeCell ref="N3:O3"/>
    <mergeCell ref="AD91:AD108"/>
    <mergeCell ref="AB3:AC3"/>
    <mergeCell ref="AD3:AE3"/>
    <mergeCell ref="AB18:AB19"/>
    <mergeCell ref="AD18:AD19"/>
    <mergeCell ref="AB37:AB42"/>
    <mergeCell ref="AD37:AD42"/>
    <mergeCell ref="Z91:Z108"/>
    <mergeCell ref="X3:Y3"/>
    <mergeCell ref="X18:X19"/>
    <mergeCell ref="X37:X42"/>
    <mergeCell ref="X91:X108"/>
    <mergeCell ref="V3:W3"/>
    <mergeCell ref="Z3:AA3"/>
    <mergeCell ref="BD3:BE3"/>
    <mergeCell ref="AX18:AX19"/>
    <mergeCell ref="BD18:BD19"/>
    <mergeCell ref="AX37:AX42"/>
    <mergeCell ref="BD37:BD42"/>
    <mergeCell ref="AR91:AR108"/>
    <mergeCell ref="AP3:AQ3"/>
    <mergeCell ref="AR3:AS3"/>
    <mergeCell ref="AP18:AP19"/>
    <mergeCell ref="AR18:AR19"/>
    <mergeCell ref="AP37:AP42"/>
    <mergeCell ref="AR37:AR42"/>
    <mergeCell ref="AV91:AV108"/>
    <mergeCell ref="AT3:AU3"/>
    <mergeCell ref="AV3:AW3"/>
    <mergeCell ref="AT18:AT19"/>
    <mergeCell ref="AV18:AV19"/>
    <mergeCell ref="AT37:AT42"/>
    <mergeCell ref="AV37:AV42"/>
    <mergeCell ref="BD91:BD108"/>
    <mergeCell ref="AZ3:BA3"/>
    <mergeCell ref="AZ18:AZ19"/>
    <mergeCell ref="AZ37:AZ42"/>
    <mergeCell ref="AZ91:AZ108"/>
    <mergeCell ref="B114:B115"/>
    <mergeCell ref="B110:B111"/>
    <mergeCell ref="B112:B113"/>
    <mergeCell ref="D18:D19"/>
    <mergeCell ref="F18:F19"/>
    <mergeCell ref="B49:B50"/>
    <mergeCell ref="B47:B48"/>
    <mergeCell ref="B58:B59"/>
    <mergeCell ref="B37:B38"/>
    <mergeCell ref="B39:B40"/>
    <mergeCell ref="B41:B42"/>
    <mergeCell ref="B45:B46"/>
    <mergeCell ref="B43:B44"/>
    <mergeCell ref="F37:F42"/>
    <mergeCell ref="D37:D42"/>
    <mergeCell ref="B3:B4"/>
    <mergeCell ref="L3:M3"/>
    <mergeCell ref="J18:J19"/>
    <mergeCell ref="T91:T108"/>
    <mergeCell ref="H91:H108"/>
    <mergeCell ref="C3:C4"/>
    <mergeCell ref="D3:E3"/>
    <mergeCell ref="F3:G3"/>
    <mergeCell ref="L91:L108"/>
    <mergeCell ref="P91:P108"/>
    <mergeCell ref="T3:U3"/>
    <mergeCell ref="T18:T19"/>
    <mergeCell ref="P37:P42"/>
    <mergeCell ref="R37:R42"/>
    <mergeCell ref="T37:T42"/>
    <mergeCell ref="N37:N42"/>
    <mergeCell ref="J37:J42"/>
    <mergeCell ref="L37:L42"/>
    <mergeCell ref="H3:I3"/>
    <mergeCell ref="R3:S3"/>
    <mergeCell ref="R18:R19"/>
    <mergeCell ref="N18:N19"/>
    <mergeCell ref="H18:H19"/>
    <mergeCell ref="P3:Q3"/>
    <mergeCell ref="V18:V19"/>
    <mergeCell ref="Z18:Z19"/>
    <mergeCell ref="V37:V42"/>
    <mergeCell ref="Z37:Z42"/>
    <mergeCell ref="AH91:AH108"/>
    <mergeCell ref="AF3:AG3"/>
    <mergeCell ref="AH3:AI3"/>
    <mergeCell ref="AF18:AF19"/>
    <mergeCell ref="AH18:AH19"/>
    <mergeCell ref="AF37:AF42"/>
    <mergeCell ref="AH37:AH42"/>
    <mergeCell ref="AN91:AN108"/>
    <mergeCell ref="AJ3:AK3"/>
    <mergeCell ref="AN3:AO3"/>
    <mergeCell ref="AJ18:AJ19"/>
    <mergeCell ref="AN18:AN19"/>
    <mergeCell ref="AJ37:AJ42"/>
    <mergeCell ref="AN37:AN42"/>
    <mergeCell ref="AL3:AM3"/>
    <mergeCell ref="AL18:AL19"/>
    <mergeCell ref="AL37:AL42"/>
    <mergeCell ref="AL91:AL108"/>
  </mergeCells>
  <conditionalFormatting sqref="S9">
    <cfRule type="expression" dxfId="175" priority="147">
      <formula>ISBLANK($S$9)</formula>
    </cfRule>
  </conditionalFormatting>
  <conditionalFormatting sqref="S17">
    <cfRule type="expression" dxfId="174" priority="146">
      <formula>ISBLANK($S$17)</formula>
    </cfRule>
  </conditionalFormatting>
  <conditionalFormatting sqref="S18">
    <cfRule type="expression" dxfId="173" priority="145">
      <formula>ISBLANK($S$18)</formula>
    </cfRule>
  </conditionalFormatting>
  <conditionalFormatting sqref="S20">
    <cfRule type="expression" dxfId="172" priority="143">
      <formula>ISBLANK($S$20)</formula>
    </cfRule>
  </conditionalFormatting>
  <conditionalFormatting sqref="S23">
    <cfRule type="expression" dxfId="171" priority="142">
      <formula>ISBLANK($S$23)</formula>
    </cfRule>
  </conditionalFormatting>
  <conditionalFormatting sqref="S34">
    <cfRule type="expression" dxfId="170" priority="141">
      <formula>ISBLANK($S$34)</formula>
    </cfRule>
  </conditionalFormatting>
  <conditionalFormatting sqref="S47">
    <cfRule type="expression" dxfId="169" priority="139">
      <formula>ISBLANK($S$47)</formula>
    </cfRule>
  </conditionalFormatting>
  <conditionalFormatting sqref="S41">
    <cfRule type="expression" dxfId="168" priority="138">
      <formula>ISBLANK($S$41)</formula>
    </cfRule>
  </conditionalFormatting>
  <conditionalFormatting sqref="S39">
    <cfRule type="expression" dxfId="167" priority="137">
      <formula>ISBLANK($S$39)</formula>
    </cfRule>
  </conditionalFormatting>
  <conditionalFormatting sqref="S37">
    <cfRule type="expression" dxfId="166" priority="135">
      <formula>ISBLANK($S$37)</formula>
    </cfRule>
  </conditionalFormatting>
  <conditionalFormatting sqref="S56">
    <cfRule type="expression" dxfId="165" priority="134">
      <formula>ISBLANK($S$56)</formula>
    </cfRule>
  </conditionalFormatting>
  <conditionalFormatting sqref="S57">
    <cfRule type="expression" dxfId="164" priority="133">
      <formula>ISBLANK($S$57)</formula>
    </cfRule>
  </conditionalFormatting>
  <conditionalFormatting sqref="S60">
    <cfRule type="expression" dxfId="163" priority="132">
      <formula>ISBLANK($S$60)</formula>
    </cfRule>
  </conditionalFormatting>
  <conditionalFormatting sqref="S64">
    <cfRule type="expression" dxfId="162" priority="131">
      <formula>ISBLANK($S$64)</formula>
    </cfRule>
  </conditionalFormatting>
  <conditionalFormatting sqref="S65">
    <cfRule type="expression" dxfId="161" priority="130">
      <formula>ISBLANK($S$65)</formula>
    </cfRule>
  </conditionalFormatting>
  <conditionalFormatting sqref="S67">
    <cfRule type="expression" dxfId="160" priority="129">
      <formula>ISBLANK($S$67)</formula>
    </cfRule>
  </conditionalFormatting>
  <conditionalFormatting sqref="S80">
    <cfRule type="expression" dxfId="159" priority="128">
      <formula>ISBLANK($S$80)</formula>
    </cfRule>
  </conditionalFormatting>
  <conditionalFormatting sqref="S86">
    <cfRule type="expression" dxfId="158" priority="127">
      <formula>ISBLANK($S$86)</formula>
    </cfRule>
  </conditionalFormatting>
  <conditionalFormatting sqref="W9">
    <cfRule type="expression" dxfId="157" priority="126">
      <formula>ISBLANK($S$9)</formula>
    </cfRule>
  </conditionalFormatting>
  <conditionalFormatting sqref="W17">
    <cfRule type="expression" dxfId="156" priority="125">
      <formula>ISBLANK($S$17)</formula>
    </cfRule>
  </conditionalFormatting>
  <conditionalFormatting sqref="W18">
    <cfRule type="expression" dxfId="155" priority="124">
      <formula>ISBLANK($S$18)</formula>
    </cfRule>
  </conditionalFormatting>
  <conditionalFormatting sqref="W20">
    <cfRule type="expression" dxfId="154" priority="123">
      <formula>ISBLANK($S$20)</formula>
    </cfRule>
  </conditionalFormatting>
  <conditionalFormatting sqref="W23">
    <cfRule type="expression" dxfId="153" priority="122">
      <formula>ISBLANK($S$23)</formula>
    </cfRule>
  </conditionalFormatting>
  <conditionalFormatting sqref="W34">
    <cfRule type="expression" dxfId="152" priority="121">
      <formula>ISBLANK($S$34)</formula>
    </cfRule>
  </conditionalFormatting>
  <conditionalFormatting sqref="W47">
    <cfRule type="expression" dxfId="151" priority="120">
      <formula>ISBLANK($S$47)</formula>
    </cfRule>
  </conditionalFormatting>
  <conditionalFormatting sqref="W41">
    <cfRule type="expression" dxfId="150" priority="119">
      <formula>ISBLANK($S$41)</formula>
    </cfRule>
  </conditionalFormatting>
  <conditionalFormatting sqref="W39">
    <cfRule type="expression" dxfId="149" priority="118">
      <formula>ISBLANK($S$39)</formula>
    </cfRule>
  </conditionalFormatting>
  <conditionalFormatting sqref="W37">
    <cfRule type="expression" dxfId="148" priority="117">
      <formula>ISBLANK($S$37)</formula>
    </cfRule>
  </conditionalFormatting>
  <conditionalFormatting sqref="W56">
    <cfRule type="expression" dxfId="147" priority="116">
      <formula>ISBLANK($S$56)</formula>
    </cfRule>
  </conditionalFormatting>
  <conditionalFormatting sqref="W57">
    <cfRule type="expression" dxfId="146" priority="115">
      <formula>ISBLANK($S$57)</formula>
    </cfRule>
  </conditionalFormatting>
  <conditionalFormatting sqref="W60">
    <cfRule type="expression" dxfId="145" priority="114">
      <formula>ISBLANK($S$60)</formula>
    </cfRule>
  </conditionalFormatting>
  <conditionalFormatting sqref="W64">
    <cfRule type="expression" dxfId="144" priority="113">
      <formula>ISBLANK($S$64)</formula>
    </cfRule>
  </conditionalFormatting>
  <conditionalFormatting sqref="W65">
    <cfRule type="expression" dxfId="143" priority="112">
      <formula>ISBLANK($S$65)</formula>
    </cfRule>
  </conditionalFormatting>
  <conditionalFormatting sqref="W67">
    <cfRule type="expression" dxfId="142" priority="111">
      <formula>ISBLANK($S$67)</formula>
    </cfRule>
  </conditionalFormatting>
  <conditionalFormatting sqref="W86">
    <cfRule type="expression" dxfId="141" priority="109">
      <formula>ISBLANK($S$86)</formula>
    </cfRule>
  </conditionalFormatting>
  <conditionalFormatting sqref="AC9">
    <cfRule type="expression" dxfId="140" priority="108">
      <formula>ISBLANK($S$9)</formula>
    </cfRule>
  </conditionalFormatting>
  <conditionalFormatting sqref="AC17">
    <cfRule type="expression" dxfId="139" priority="107">
      <formula>ISBLANK($S$17)</formula>
    </cfRule>
  </conditionalFormatting>
  <conditionalFormatting sqref="AC18">
    <cfRule type="expression" dxfId="138" priority="106">
      <formula>ISBLANK($S$18)</formula>
    </cfRule>
  </conditionalFormatting>
  <conditionalFormatting sqref="AC20">
    <cfRule type="expression" dxfId="137" priority="105">
      <formula>ISBLANK($S$20)</formula>
    </cfRule>
  </conditionalFormatting>
  <conditionalFormatting sqref="AC23">
    <cfRule type="expression" dxfId="136" priority="104">
      <formula>ISBLANK($S$23)</formula>
    </cfRule>
  </conditionalFormatting>
  <conditionalFormatting sqref="AC34">
    <cfRule type="expression" dxfId="135" priority="103">
      <formula>ISBLANK($S$34)</formula>
    </cfRule>
  </conditionalFormatting>
  <conditionalFormatting sqref="AC47">
    <cfRule type="expression" dxfId="134" priority="102">
      <formula>ISBLANK($S$47)</formula>
    </cfRule>
  </conditionalFormatting>
  <conditionalFormatting sqref="AC41">
    <cfRule type="expression" dxfId="133" priority="101">
      <formula>ISBLANK($S$41)</formula>
    </cfRule>
  </conditionalFormatting>
  <conditionalFormatting sqref="AC39">
    <cfRule type="expression" dxfId="132" priority="100">
      <formula>ISBLANK($S$39)</formula>
    </cfRule>
  </conditionalFormatting>
  <conditionalFormatting sqref="AC37">
    <cfRule type="expression" dxfId="131" priority="99">
      <formula>ISBLANK($S$37)</formula>
    </cfRule>
  </conditionalFormatting>
  <conditionalFormatting sqref="AC56">
    <cfRule type="expression" dxfId="130" priority="98">
      <formula>ISBLANK($S$56)</formula>
    </cfRule>
  </conditionalFormatting>
  <conditionalFormatting sqref="AC57">
    <cfRule type="expression" dxfId="129" priority="97">
      <formula>ISBLANK($S$57)</formula>
    </cfRule>
  </conditionalFormatting>
  <conditionalFormatting sqref="AC60">
    <cfRule type="expression" dxfId="128" priority="96">
      <formula>ISBLANK($S$60)</formula>
    </cfRule>
  </conditionalFormatting>
  <conditionalFormatting sqref="AC64">
    <cfRule type="expression" dxfId="127" priority="95">
      <formula>ISBLANK($S$64)</formula>
    </cfRule>
  </conditionalFormatting>
  <conditionalFormatting sqref="AC65">
    <cfRule type="expression" dxfId="126" priority="94">
      <formula>ISBLANK($S$65)</formula>
    </cfRule>
  </conditionalFormatting>
  <conditionalFormatting sqref="AC67">
    <cfRule type="expression" dxfId="125" priority="93">
      <formula>ISBLANK($S$67)</formula>
    </cfRule>
  </conditionalFormatting>
  <conditionalFormatting sqref="AC80">
    <cfRule type="expression" dxfId="124" priority="92">
      <formula>ISBLANK($S$80)</formula>
    </cfRule>
  </conditionalFormatting>
  <conditionalFormatting sqref="AC86">
    <cfRule type="expression" dxfId="123" priority="91">
      <formula>ISBLANK($S$86)</formula>
    </cfRule>
  </conditionalFormatting>
  <conditionalFormatting sqref="AG9">
    <cfRule type="expression" dxfId="122" priority="90">
      <formula>ISBLANK($S$9)</formula>
    </cfRule>
  </conditionalFormatting>
  <conditionalFormatting sqref="AG17">
    <cfRule type="expression" dxfId="121" priority="89">
      <formula>ISBLANK($S$17)</formula>
    </cfRule>
  </conditionalFormatting>
  <conditionalFormatting sqref="AG18">
    <cfRule type="expression" dxfId="120" priority="88">
      <formula>ISBLANK($S$18)</formula>
    </cfRule>
  </conditionalFormatting>
  <conditionalFormatting sqref="AG20">
    <cfRule type="expression" dxfId="119" priority="87">
      <formula>ISBLANK($S$20)</formula>
    </cfRule>
  </conditionalFormatting>
  <conditionalFormatting sqref="AG23">
    <cfRule type="expression" dxfId="118" priority="86">
      <formula>ISBLANK($S$23)</formula>
    </cfRule>
  </conditionalFormatting>
  <conditionalFormatting sqref="AG34">
    <cfRule type="expression" dxfId="117" priority="85">
      <formula>ISBLANK($S$34)</formula>
    </cfRule>
  </conditionalFormatting>
  <conditionalFormatting sqref="AG47">
    <cfRule type="expression" dxfId="116" priority="84">
      <formula>ISBLANK($S$47)</formula>
    </cfRule>
  </conditionalFormatting>
  <conditionalFormatting sqref="AG41">
    <cfRule type="expression" dxfId="115" priority="83">
      <formula>ISBLANK($S$41)</formula>
    </cfRule>
  </conditionalFormatting>
  <conditionalFormatting sqref="AG39">
    <cfRule type="expression" dxfId="114" priority="82">
      <formula>ISBLANK($S$39)</formula>
    </cfRule>
  </conditionalFormatting>
  <conditionalFormatting sqref="AG37">
    <cfRule type="expression" dxfId="113" priority="81">
      <formula>ISBLANK($S$37)</formula>
    </cfRule>
  </conditionalFormatting>
  <conditionalFormatting sqref="AG56">
    <cfRule type="expression" dxfId="112" priority="80">
      <formula>ISBLANK($S$56)</formula>
    </cfRule>
  </conditionalFormatting>
  <conditionalFormatting sqref="AG57">
    <cfRule type="expression" dxfId="111" priority="79">
      <formula>ISBLANK($S$57)</formula>
    </cfRule>
  </conditionalFormatting>
  <conditionalFormatting sqref="AG60">
    <cfRule type="expression" dxfId="110" priority="78">
      <formula>ISBLANK($S$60)</formula>
    </cfRule>
  </conditionalFormatting>
  <conditionalFormatting sqref="AG64">
    <cfRule type="expression" dxfId="109" priority="77">
      <formula>ISBLANK($S$64)</formula>
    </cfRule>
  </conditionalFormatting>
  <conditionalFormatting sqref="AG65">
    <cfRule type="expression" dxfId="108" priority="76">
      <formula>ISBLANK($S$65)</formula>
    </cfRule>
  </conditionalFormatting>
  <conditionalFormatting sqref="AG67">
    <cfRule type="expression" dxfId="107" priority="75">
      <formula>ISBLANK($S$67)</formula>
    </cfRule>
  </conditionalFormatting>
  <conditionalFormatting sqref="AG80">
    <cfRule type="expression" dxfId="106" priority="74">
      <formula>ISBLANK($S$80)</formula>
    </cfRule>
  </conditionalFormatting>
  <conditionalFormatting sqref="AG86">
    <cfRule type="expression" dxfId="105" priority="73">
      <formula>ISBLANK($S$86)</formula>
    </cfRule>
  </conditionalFormatting>
  <conditionalFormatting sqref="AK9">
    <cfRule type="expression" dxfId="104" priority="72">
      <formula>ISBLANK($S$9)</formula>
    </cfRule>
  </conditionalFormatting>
  <conditionalFormatting sqref="AK17">
    <cfRule type="expression" dxfId="103" priority="71">
      <formula>ISBLANK($S$17)</formula>
    </cfRule>
  </conditionalFormatting>
  <conditionalFormatting sqref="AK18">
    <cfRule type="expression" dxfId="102" priority="70">
      <formula>ISBLANK($S$18)</formula>
    </cfRule>
  </conditionalFormatting>
  <conditionalFormatting sqref="AK20">
    <cfRule type="expression" dxfId="101" priority="69">
      <formula>ISBLANK($S$20)</formula>
    </cfRule>
  </conditionalFormatting>
  <conditionalFormatting sqref="AK23">
    <cfRule type="expression" dxfId="100" priority="68">
      <formula>ISBLANK($S$23)</formula>
    </cfRule>
  </conditionalFormatting>
  <conditionalFormatting sqref="AK34">
    <cfRule type="expression" dxfId="99" priority="67">
      <formula>ISBLANK($S$34)</formula>
    </cfRule>
  </conditionalFormatting>
  <conditionalFormatting sqref="AK47">
    <cfRule type="expression" dxfId="98" priority="66">
      <formula>ISBLANK($S$47)</formula>
    </cfRule>
  </conditionalFormatting>
  <conditionalFormatting sqref="AK41">
    <cfRule type="expression" dxfId="97" priority="65">
      <formula>ISBLANK($S$41)</formula>
    </cfRule>
  </conditionalFormatting>
  <conditionalFormatting sqref="AK39">
    <cfRule type="expression" dxfId="96" priority="64">
      <formula>ISBLANK($S$39)</formula>
    </cfRule>
  </conditionalFormatting>
  <conditionalFormatting sqref="AK37">
    <cfRule type="expression" dxfId="95" priority="63">
      <formula>ISBLANK($S$37)</formula>
    </cfRule>
  </conditionalFormatting>
  <conditionalFormatting sqref="AK56">
    <cfRule type="expression" dxfId="94" priority="62">
      <formula>ISBLANK($S$56)</formula>
    </cfRule>
  </conditionalFormatting>
  <conditionalFormatting sqref="AK57">
    <cfRule type="expression" dxfId="93" priority="61">
      <formula>ISBLANK($S$57)</formula>
    </cfRule>
  </conditionalFormatting>
  <conditionalFormatting sqref="AK60">
    <cfRule type="expression" dxfId="92" priority="60">
      <formula>ISBLANK($S$60)</formula>
    </cfRule>
  </conditionalFormatting>
  <conditionalFormatting sqref="AK64">
    <cfRule type="expression" dxfId="91" priority="59">
      <formula>ISBLANK($S$64)</formula>
    </cfRule>
  </conditionalFormatting>
  <conditionalFormatting sqref="AK65">
    <cfRule type="expression" dxfId="90" priority="58">
      <formula>ISBLANK($S$65)</formula>
    </cfRule>
  </conditionalFormatting>
  <conditionalFormatting sqref="AK67">
    <cfRule type="expression" dxfId="89" priority="57">
      <formula>ISBLANK($S$67)</formula>
    </cfRule>
  </conditionalFormatting>
  <conditionalFormatting sqref="AK80">
    <cfRule type="expression" dxfId="88" priority="56">
      <formula>ISBLANK($S$80)</formula>
    </cfRule>
  </conditionalFormatting>
  <conditionalFormatting sqref="AK86">
    <cfRule type="expression" dxfId="87" priority="55">
      <formula>ISBLANK($S$86)</formula>
    </cfRule>
  </conditionalFormatting>
  <conditionalFormatting sqref="AQ9">
    <cfRule type="expression" dxfId="86" priority="54">
      <formula>ISBLANK($S$9)</formula>
    </cfRule>
  </conditionalFormatting>
  <conditionalFormatting sqref="AQ17">
    <cfRule type="expression" dxfId="85" priority="53">
      <formula>ISBLANK($S$17)</formula>
    </cfRule>
  </conditionalFormatting>
  <conditionalFormatting sqref="AQ18">
    <cfRule type="expression" dxfId="84" priority="52">
      <formula>ISBLANK($S$18)</formula>
    </cfRule>
  </conditionalFormatting>
  <conditionalFormatting sqref="AQ20">
    <cfRule type="expression" dxfId="83" priority="51">
      <formula>ISBLANK($S$20)</formula>
    </cfRule>
  </conditionalFormatting>
  <conditionalFormatting sqref="AQ23">
    <cfRule type="expression" dxfId="82" priority="50">
      <formula>ISBLANK($S$23)</formula>
    </cfRule>
  </conditionalFormatting>
  <conditionalFormatting sqref="AQ34">
    <cfRule type="expression" dxfId="81" priority="49">
      <formula>ISBLANK($S$34)</formula>
    </cfRule>
  </conditionalFormatting>
  <conditionalFormatting sqref="AQ47">
    <cfRule type="expression" dxfId="80" priority="48">
      <formula>ISBLANK($S$47)</formula>
    </cfRule>
  </conditionalFormatting>
  <conditionalFormatting sqref="AQ41">
    <cfRule type="expression" dxfId="79" priority="47">
      <formula>ISBLANK($S$41)</formula>
    </cfRule>
  </conditionalFormatting>
  <conditionalFormatting sqref="AQ39">
    <cfRule type="expression" dxfId="78" priority="46">
      <formula>ISBLANK($S$39)</formula>
    </cfRule>
  </conditionalFormatting>
  <conditionalFormatting sqref="AQ37">
    <cfRule type="expression" dxfId="77" priority="45">
      <formula>ISBLANK($S$37)</formula>
    </cfRule>
  </conditionalFormatting>
  <conditionalFormatting sqref="AQ56">
    <cfRule type="expression" dxfId="76" priority="44">
      <formula>ISBLANK($S$56)</formula>
    </cfRule>
  </conditionalFormatting>
  <conditionalFormatting sqref="AQ57">
    <cfRule type="expression" dxfId="75" priority="43">
      <formula>ISBLANK($S$57)</formula>
    </cfRule>
  </conditionalFormatting>
  <conditionalFormatting sqref="AQ60">
    <cfRule type="expression" dxfId="74" priority="42">
      <formula>ISBLANK($S$60)</formula>
    </cfRule>
  </conditionalFormatting>
  <conditionalFormatting sqref="AQ64">
    <cfRule type="expression" dxfId="73" priority="41">
      <formula>ISBLANK($S$64)</formula>
    </cfRule>
  </conditionalFormatting>
  <conditionalFormatting sqref="AQ65">
    <cfRule type="expression" dxfId="72" priority="40">
      <formula>ISBLANK($S$65)</formula>
    </cfRule>
  </conditionalFormatting>
  <conditionalFormatting sqref="AQ67">
    <cfRule type="expression" dxfId="71" priority="39">
      <formula>ISBLANK($S$67)</formula>
    </cfRule>
  </conditionalFormatting>
  <conditionalFormatting sqref="AQ80">
    <cfRule type="expression" dxfId="70" priority="38">
      <formula>ISBLANK($S$80)</formula>
    </cfRule>
  </conditionalFormatting>
  <conditionalFormatting sqref="AQ86">
    <cfRule type="expression" dxfId="69" priority="37">
      <formula>ISBLANK($S$86)</formula>
    </cfRule>
  </conditionalFormatting>
  <conditionalFormatting sqref="AU9">
    <cfRule type="expression" dxfId="68" priority="36">
      <formula>ISBLANK($S$9)</formula>
    </cfRule>
  </conditionalFormatting>
  <conditionalFormatting sqref="AU17">
    <cfRule type="expression" dxfId="67" priority="35">
      <formula>ISBLANK($S$17)</formula>
    </cfRule>
  </conditionalFormatting>
  <conditionalFormatting sqref="AU18">
    <cfRule type="expression" dxfId="66" priority="34">
      <formula>ISBLANK($S$18)</formula>
    </cfRule>
  </conditionalFormatting>
  <conditionalFormatting sqref="AU20">
    <cfRule type="expression" dxfId="65" priority="33">
      <formula>ISBLANK($S$20)</formula>
    </cfRule>
  </conditionalFormatting>
  <conditionalFormatting sqref="AU23">
    <cfRule type="expression" dxfId="64" priority="32">
      <formula>ISBLANK($S$23)</formula>
    </cfRule>
  </conditionalFormatting>
  <conditionalFormatting sqref="AU34">
    <cfRule type="expression" dxfId="63" priority="31">
      <formula>ISBLANK($S$34)</formula>
    </cfRule>
  </conditionalFormatting>
  <conditionalFormatting sqref="AU47">
    <cfRule type="expression" dxfId="62" priority="30">
      <formula>ISBLANK($S$47)</formula>
    </cfRule>
  </conditionalFormatting>
  <conditionalFormatting sqref="AU41">
    <cfRule type="expression" dxfId="61" priority="29">
      <formula>ISBLANK($S$41)</formula>
    </cfRule>
  </conditionalFormatting>
  <conditionalFormatting sqref="AU39">
    <cfRule type="expression" dxfId="60" priority="28">
      <formula>ISBLANK($S$39)</formula>
    </cfRule>
  </conditionalFormatting>
  <conditionalFormatting sqref="AU37">
    <cfRule type="expression" dxfId="59" priority="27">
      <formula>ISBLANK($S$37)</formula>
    </cfRule>
  </conditionalFormatting>
  <conditionalFormatting sqref="AU56">
    <cfRule type="expression" dxfId="58" priority="26">
      <formula>ISBLANK($S$56)</formula>
    </cfRule>
  </conditionalFormatting>
  <conditionalFormatting sqref="AU57">
    <cfRule type="expression" dxfId="57" priority="25">
      <formula>ISBLANK($S$57)</formula>
    </cfRule>
  </conditionalFormatting>
  <conditionalFormatting sqref="AU60">
    <cfRule type="expression" dxfId="56" priority="24">
      <formula>ISBLANK($S$60)</formula>
    </cfRule>
  </conditionalFormatting>
  <conditionalFormatting sqref="AU64">
    <cfRule type="expression" dxfId="55" priority="23">
      <formula>ISBLANK($S$64)</formula>
    </cfRule>
  </conditionalFormatting>
  <conditionalFormatting sqref="AU65">
    <cfRule type="expression" dxfId="54" priority="22">
      <formula>ISBLANK($S$65)</formula>
    </cfRule>
  </conditionalFormatting>
  <conditionalFormatting sqref="AU67">
    <cfRule type="expression" dxfId="53" priority="21">
      <formula>ISBLANK($S$67)</formula>
    </cfRule>
  </conditionalFormatting>
  <conditionalFormatting sqref="AU80">
    <cfRule type="expression" dxfId="52" priority="20">
      <formula>ISBLANK($S$80)</formula>
    </cfRule>
  </conditionalFormatting>
  <conditionalFormatting sqref="AU86">
    <cfRule type="expression" dxfId="51" priority="19">
      <formula>ISBLANK($S$86)</formula>
    </cfRule>
  </conditionalFormatting>
  <conditionalFormatting sqref="AY9">
    <cfRule type="expression" dxfId="50" priority="18">
      <formula>ISBLANK($S$9)</formula>
    </cfRule>
  </conditionalFormatting>
  <conditionalFormatting sqref="AY17">
    <cfRule type="expression" dxfId="49" priority="17">
      <formula>ISBLANK($S$17)</formula>
    </cfRule>
  </conditionalFormatting>
  <conditionalFormatting sqref="AY18">
    <cfRule type="expression" dxfId="48" priority="16">
      <formula>ISBLANK($S$18)</formula>
    </cfRule>
  </conditionalFormatting>
  <conditionalFormatting sqref="AY20">
    <cfRule type="expression" dxfId="47" priority="15">
      <formula>ISBLANK($S$20)</formula>
    </cfRule>
  </conditionalFormatting>
  <conditionalFormatting sqref="AY23">
    <cfRule type="expression" dxfId="46" priority="14">
      <formula>ISBLANK($S$23)</formula>
    </cfRule>
  </conditionalFormatting>
  <conditionalFormatting sqref="AY34">
    <cfRule type="expression" dxfId="45" priority="13">
      <formula>ISBLANK($S$34)</formula>
    </cfRule>
  </conditionalFormatting>
  <conditionalFormatting sqref="AY47">
    <cfRule type="expression" dxfId="44" priority="12">
      <formula>ISBLANK($S$47)</formula>
    </cfRule>
  </conditionalFormatting>
  <conditionalFormatting sqref="AY41">
    <cfRule type="expression" dxfId="43" priority="11">
      <formula>ISBLANK($S$41)</formula>
    </cfRule>
  </conditionalFormatting>
  <conditionalFormatting sqref="AY39">
    <cfRule type="expression" dxfId="42" priority="10">
      <formula>ISBLANK($S$39)</formula>
    </cfRule>
  </conditionalFormatting>
  <conditionalFormatting sqref="AY37">
    <cfRule type="expression" dxfId="41" priority="9">
      <formula>ISBLANK($S$37)</formula>
    </cfRule>
  </conditionalFormatting>
  <conditionalFormatting sqref="AY56">
    <cfRule type="expression" dxfId="40" priority="8">
      <formula>ISBLANK($S$56)</formula>
    </cfRule>
  </conditionalFormatting>
  <conditionalFormatting sqref="AY57">
    <cfRule type="expression" dxfId="39" priority="7">
      <formula>ISBLANK($S$57)</formula>
    </cfRule>
  </conditionalFormatting>
  <conditionalFormatting sqref="AY60">
    <cfRule type="expression" dxfId="38" priority="6">
      <formula>ISBLANK($S$60)</formula>
    </cfRule>
  </conditionalFormatting>
  <conditionalFormatting sqref="AY64">
    <cfRule type="expression" dxfId="37" priority="5">
      <formula>ISBLANK($S$64)</formula>
    </cfRule>
  </conditionalFormatting>
  <conditionalFormatting sqref="AY65">
    <cfRule type="expression" dxfId="36" priority="4">
      <formula>ISBLANK($S$65)</formula>
    </cfRule>
  </conditionalFormatting>
  <conditionalFormatting sqref="AY67">
    <cfRule type="expression" dxfId="35" priority="3">
      <formula>ISBLANK($S$67)</formula>
    </cfRule>
  </conditionalFormatting>
  <conditionalFormatting sqref="AY80">
    <cfRule type="expression" dxfId="34" priority="2">
      <formula>ISBLANK($S$80)</formula>
    </cfRule>
  </conditionalFormatting>
  <conditionalFormatting sqref="AY86">
    <cfRule type="expression" dxfId="33" priority="1">
      <formula>ISBLANK($S$86)</formula>
    </cfRule>
  </conditionalFormatting>
  <pageMargins left="1.2" right="0.7" top="0.25" bottom="0.25" header="0.3" footer="0.3"/>
  <pageSetup scale="27" orientation="landscape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>
    <tabColor rgb="FF00FF00"/>
    <pageSetUpPr fitToPage="1"/>
  </sheetPr>
  <dimension ref="A1:CT41"/>
  <sheetViews>
    <sheetView zoomScale="115" zoomScaleNormal="115" workbookViewId="0">
      <pane xSplit="3" topLeftCell="E1" activePane="topRight" state="frozen"/>
      <selection activeCell="S123" sqref="S123"/>
      <selection pane="topRight" activeCell="BA24" sqref="BA24"/>
    </sheetView>
  </sheetViews>
  <sheetFormatPr defaultColWidth="8.85546875" defaultRowHeight="15" x14ac:dyDescent="0.25"/>
  <cols>
    <col min="2" max="2" width="51.85546875" bestFit="1" customWidth="1"/>
    <col min="3" max="3" width="10.28515625" customWidth="1"/>
    <col min="4" max="4" width="11.140625" style="116" hidden="1" customWidth="1"/>
    <col min="5" max="5" width="11.28515625" style="122" bestFit="1" customWidth="1"/>
    <col min="6" max="6" width="8.7109375" style="116" hidden="1" customWidth="1"/>
    <col min="7" max="7" width="10.42578125" style="122" customWidth="1"/>
    <col min="8" max="8" width="7.7109375" style="116" hidden="1" customWidth="1"/>
    <col min="9" max="9" width="10.140625" style="122" hidden="1" customWidth="1"/>
    <col min="10" max="10" width="10.7109375" style="116" hidden="1" customWidth="1"/>
    <col min="11" max="11" width="10.7109375" style="122" customWidth="1"/>
    <col min="12" max="12" width="10.7109375" style="116" hidden="1" customWidth="1"/>
    <col min="13" max="13" width="10.7109375" style="122" customWidth="1"/>
    <col min="14" max="14" width="10.7109375" style="116" hidden="1" customWidth="1"/>
    <col min="15" max="15" width="10.7109375" style="122" customWidth="1"/>
    <col min="16" max="16" width="7.85546875" style="116" hidden="1" customWidth="1"/>
    <col min="17" max="17" width="10.140625" style="122" hidden="1" customWidth="1"/>
    <col min="18" max="18" width="9.140625" hidden="1" customWidth="1"/>
    <col min="19" max="19" width="11.42578125" customWidth="1"/>
    <col min="20" max="21" width="10.7109375" hidden="1" customWidth="1"/>
    <col min="22" max="22" width="8.85546875" hidden="1" customWidth="1"/>
    <col min="23" max="23" width="10.42578125" customWidth="1"/>
    <col min="24" max="24" width="8.85546875" hidden="1" customWidth="1"/>
    <col min="25" max="25" width="10.7109375" customWidth="1"/>
    <col min="26" max="26" width="15.85546875" hidden="1" customWidth="1"/>
    <col min="27" max="27" width="16" bestFit="1" customWidth="1"/>
    <col min="28" max="28" width="7.85546875" hidden="1" customWidth="1"/>
    <col min="29" max="29" width="11.28515625" bestFit="1" customWidth="1"/>
    <col min="30" max="30" width="9" hidden="1" customWidth="1"/>
    <col min="31" max="31" width="10.140625" hidden="1" customWidth="1"/>
    <col min="32" max="32" width="0" hidden="1" customWidth="1"/>
    <col min="33" max="33" width="11.28515625" bestFit="1" customWidth="1"/>
    <col min="34" max="34" width="8.85546875" hidden="1" customWidth="1"/>
    <col min="35" max="35" width="10.140625" hidden="1" customWidth="1"/>
    <col min="36" max="36" width="0" hidden="1" customWidth="1"/>
    <col min="37" max="37" width="11.28515625" bestFit="1" customWidth="1"/>
    <col min="38" max="38" width="0" style="4332" hidden="1" customWidth="1"/>
    <col min="39" max="39" width="13.140625" style="4332" bestFit="1" customWidth="1"/>
    <col min="40" max="40" width="8.85546875" hidden="1" customWidth="1"/>
    <col min="41" max="41" width="10.140625" hidden="1" customWidth="1"/>
    <col min="42" max="42" width="0" hidden="1" customWidth="1"/>
    <col min="43" max="43" width="11.28515625" bestFit="1" customWidth="1"/>
    <col min="44" max="44" width="8.85546875" hidden="1" customWidth="1"/>
    <col min="45" max="45" width="10.140625" hidden="1" customWidth="1"/>
    <col min="46" max="46" width="0" hidden="1" customWidth="1"/>
    <col min="47" max="47" width="11.28515625" bestFit="1" customWidth="1"/>
    <col min="48" max="48" width="8.85546875" hidden="1" customWidth="1"/>
    <col min="49" max="49" width="10.140625" hidden="1" customWidth="1"/>
    <col min="50" max="50" width="0" hidden="1" customWidth="1"/>
    <col min="51" max="51" width="13.140625" bestFit="1" customWidth="1"/>
    <col min="52" max="52" width="0" style="5241" hidden="1" customWidth="1"/>
    <col min="53" max="53" width="13.140625" style="5241" bestFit="1" customWidth="1"/>
    <col min="54" max="54" width="0" style="5241" hidden="1" customWidth="1"/>
    <col min="55" max="55" width="13.140625" style="5241" bestFit="1" customWidth="1"/>
    <col min="56" max="56" width="0" hidden="1" customWidth="1"/>
    <col min="57" max="57" width="14.28515625" bestFit="1" customWidth="1"/>
  </cols>
  <sheetData>
    <row r="1" spans="1:98" ht="15.75" x14ac:dyDescent="0.25">
      <c r="B1" s="977" t="s">
        <v>379</v>
      </c>
      <c r="C1" s="971"/>
      <c r="D1" s="971"/>
      <c r="E1" s="971"/>
      <c r="F1" s="971"/>
      <c r="G1" s="971"/>
      <c r="H1" s="971"/>
      <c r="I1" s="971"/>
      <c r="J1" s="972"/>
      <c r="K1" s="972"/>
      <c r="L1" s="972"/>
      <c r="M1" s="972"/>
      <c r="N1" s="972"/>
      <c r="O1" s="972"/>
      <c r="P1" s="972"/>
      <c r="Q1" s="972"/>
      <c r="R1" s="972"/>
      <c r="S1" s="972"/>
      <c r="T1" s="972"/>
      <c r="U1" s="972"/>
      <c r="V1" s="972"/>
      <c r="W1" s="972"/>
      <c r="X1" s="972"/>
      <c r="Y1" s="972"/>
      <c r="Z1" s="972"/>
      <c r="AA1" s="972"/>
    </row>
    <row r="2" spans="1:98" s="122" customFormat="1" ht="16.5" thickBot="1" x14ac:dyDescent="0.3">
      <c r="B2" s="1437"/>
      <c r="C2" s="1437"/>
      <c r="D2" s="1437"/>
      <c r="E2" s="1437"/>
      <c r="F2" s="1437"/>
      <c r="G2" s="1437"/>
      <c r="H2" s="1437"/>
      <c r="I2" s="1437"/>
      <c r="J2" s="1438"/>
      <c r="K2" s="1438"/>
      <c r="L2" s="1438"/>
      <c r="M2" s="1438"/>
      <c r="N2" s="1438"/>
      <c r="O2" s="1438"/>
      <c r="P2" s="1438"/>
      <c r="Q2" s="1438"/>
      <c r="R2" s="1438"/>
      <c r="S2" s="1438"/>
      <c r="T2" s="1438"/>
      <c r="U2" s="1438"/>
      <c r="V2" s="1438"/>
      <c r="W2" s="1438"/>
      <c r="X2" s="1438"/>
      <c r="Y2" s="1438"/>
      <c r="Z2" s="1438"/>
      <c r="AA2" s="1438"/>
    </row>
    <row r="3" spans="1:98" s="122" customFormat="1" ht="15.75" x14ac:dyDescent="0.25">
      <c r="B3" s="6537" t="s">
        <v>175</v>
      </c>
      <c r="C3" s="6539" t="s">
        <v>176</v>
      </c>
      <c r="D3" s="6526" t="s">
        <v>1470</v>
      </c>
      <c r="E3" s="6526"/>
      <c r="F3" s="6526" t="s">
        <v>1526</v>
      </c>
      <c r="G3" s="6526"/>
      <c r="H3" s="6541" t="s">
        <v>15</v>
      </c>
      <c r="I3" s="6541"/>
      <c r="J3" s="6526" t="s">
        <v>1620</v>
      </c>
      <c r="K3" s="6526"/>
      <c r="L3" s="6531" t="s">
        <v>658</v>
      </c>
      <c r="M3" s="6531"/>
      <c r="N3" s="6526" t="s">
        <v>1688</v>
      </c>
      <c r="O3" s="6526"/>
      <c r="P3" s="6527" t="s">
        <v>18</v>
      </c>
      <c r="Q3" s="6527"/>
      <c r="R3" s="6526" t="s">
        <v>1731</v>
      </c>
      <c r="S3" s="6526"/>
      <c r="T3" s="6527" t="s">
        <v>19</v>
      </c>
      <c r="U3" s="6527"/>
      <c r="V3" s="6526" t="s">
        <v>1766</v>
      </c>
      <c r="W3" s="6526"/>
      <c r="X3" s="6531" t="s">
        <v>682</v>
      </c>
      <c r="Y3" s="6531"/>
      <c r="Z3" s="6530" t="s">
        <v>679</v>
      </c>
      <c r="AA3" s="6530"/>
      <c r="AB3" s="6526" t="s">
        <v>1831</v>
      </c>
      <c r="AC3" s="6526"/>
      <c r="AD3" s="6527" t="s">
        <v>26</v>
      </c>
      <c r="AE3" s="6527"/>
      <c r="AF3" s="6526" t="s">
        <v>1863</v>
      </c>
      <c r="AG3" s="6526"/>
      <c r="AH3" s="6527" t="s">
        <v>29</v>
      </c>
      <c r="AI3" s="6527"/>
      <c r="AJ3" s="6526" t="s">
        <v>1888</v>
      </c>
      <c r="AK3" s="6526"/>
      <c r="AL3" s="6531" t="s">
        <v>684</v>
      </c>
      <c r="AM3" s="6531"/>
      <c r="AN3" s="6527" t="s">
        <v>1890</v>
      </c>
      <c r="AO3" s="6527"/>
      <c r="AP3" s="6526" t="s">
        <v>1918</v>
      </c>
      <c r="AQ3" s="6526"/>
      <c r="AR3" s="6527" t="s">
        <v>30</v>
      </c>
      <c r="AS3" s="6527"/>
      <c r="AT3" s="6526" t="s">
        <v>1940</v>
      </c>
      <c r="AU3" s="6526"/>
      <c r="AV3" s="6527" t="s">
        <v>32</v>
      </c>
      <c r="AW3" s="6527"/>
      <c r="AX3" s="6526" t="s">
        <v>1965</v>
      </c>
      <c r="AY3" s="6526"/>
      <c r="AZ3" s="6531" t="s">
        <v>685</v>
      </c>
      <c r="BA3" s="6531"/>
      <c r="BB3" s="6530" t="s">
        <v>693</v>
      </c>
      <c r="BC3" s="6530"/>
      <c r="BD3" s="6527" t="s">
        <v>1513</v>
      </c>
      <c r="BE3" s="6527"/>
    </row>
    <row r="4" spans="1:98" s="122" customFormat="1" ht="16.5" thickBot="1" x14ac:dyDescent="0.3">
      <c r="B4" s="6538"/>
      <c r="C4" s="6540"/>
      <c r="D4" s="5780" t="s">
        <v>177</v>
      </c>
      <c r="E4" s="5780" t="s">
        <v>178</v>
      </c>
      <c r="F4" s="5780" t="s">
        <v>177</v>
      </c>
      <c r="G4" s="5780" t="s">
        <v>178</v>
      </c>
      <c r="H4" s="5781" t="s">
        <v>177</v>
      </c>
      <c r="I4" s="5781" t="s">
        <v>178</v>
      </c>
      <c r="J4" s="5780" t="s">
        <v>177</v>
      </c>
      <c r="K4" s="5780" t="s">
        <v>178</v>
      </c>
      <c r="L4" s="5782" t="s">
        <v>177</v>
      </c>
      <c r="M4" s="5782" t="s">
        <v>178</v>
      </c>
      <c r="N4" s="5780" t="s">
        <v>177</v>
      </c>
      <c r="O4" s="5780" t="s">
        <v>178</v>
      </c>
      <c r="P4" s="5783" t="s">
        <v>177</v>
      </c>
      <c r="Q4" s="5783" t="s">
        <v>178</v>
      </c>
      <c r="R4" s="5780" t="s">
        <v>177</v>
      </c>
      <c r="S4" s="5780" t="s">
        <v>178</v>
      </c>
      <c r="T4" s="5783" t="s">
        <v>177</v>
      </c>
      <c r="U4" s="5783" t="s">
        <v>178</v>
      </c>
      <c r="V4" s="5780" t="s">
        <v>177</v>
      </c>
      <c r="W4" s="5780" t="s">
        <v>178</v>
      </c>
      <c r="X4" s="5782" t="s">
        <v>177</v>
      </c>
      <c r="Y4" s="5782" t="s">
        <v>178</v>
      </c>
      <c r="Z4" s="5784" t="s">
        <v>177</v>
      </c>
      <c r="AA4" s="5784" t="s">
        <v>178</v>
      </c>
      <c r="AB4" s="5780" t="s">
        <v>177</v>
      </c>
      <c r="AC4" s="5780" t="s">
        <v>178</v>
      </c>
      <c r="AD4" s="5783" t="s">
        <v>177</v>
      </c>
      <c r="AE4" s="5783" t="s">
        <v>178</v>
      </c>
      <c r="AF4" s="5780" t="s">
        <v>177</v>
      </c>
      <c r="AG4" s="5780" t="s">
        <v>178</v>
      </c>
      <c r="AH4" s="5783" t="s">
        <v>177</v>
      </c>
      <c r="AI4" s="5783" t="s">
        <v>178</v>
      </c>
      <c r="AJ4" s="5780" t="s">
        <v>177</v>
      </c>
      <c r="AK4" s="5780" t="s">
        <v>178</v>
      </c>
      <c r="AL4" s="5782" t="s">
        <v>177</v>
      </c>
      <c r="AM4" s="5782" t="s">
        <v>178</v>
      </c>
      <c r="AN4" s="5783" t="s">
        <v>177</v>
      </c>
      <c r="AO4" s="5783" t="s">
        <v>178</v>
      </c>
      <c r="AP4" s="5780" t="s">
        <v>177</v>
      </c>
      <c r="AQ4" s="5780" t="s">
        <v>178</v>
      </c>
      <c r="AR4" s="5783" t="s">
        <v>177</v>
      </c>
      <c r="AS4" s="5783" t="s">
        <v>178</v>
      </c>
      <c r="AT4" s="5780" t="s">
        <v>177</v>
      </c>
      <c r="AU4" s="5780" t="s">
        <v>178</v>
      </c>
      <c r="AV4" s="5783" t="s">
        <v>177</v>
      </c>
      <c r="AW4" s="5783" t="s">
        <v>178</v>
      </c>
      <c r="AX4" s="5780" t="s">
        <v>177</v>
      </c>
      <c r="AY4" s="5780" t="s">
        <v>178</v>
      </c>
      <c r="AZ4" s="5782" t="s">
        <v>177</v>
      </c>
      <c r="BA4" s="5782" t="s">
        <v>178</v>
      </c>
      <c r="BB4" s="5784" t="s">
        <v>177</v>
      </c>
      <c r="BC4" s="5784" t="s">
        <v>178</v>
      </c>
      <c r="BD4" s="5783" t="s">
        <v>177</v>
      </c>
      <c r="BE4" s="5783" t="s">
        <v>178</v>
      </c>
    </row>
    <row r="5" spans="1:98" ht="15.75" x14ac:dyDescent="0.25">
      <c r="B5" s="2393" t="s">
        <v>429</v>
      </c>
      <c r="C5" s="146" t="s">
        <v>1219</v>
      </c>
      <c r="D5" s="5748">
        <f>+'Maj Techno Summ'!E27</f>
        <v>2.85</v>
      </c>
      <c r="E5" s="5748">
        <f>+'Maj Techno Summ'!F27</f>
        <v>2.95</v>
      </c>
      <c r="F5" s="5748">
        <f>+'Maj Techno Summ'!G27</f>
        <v>2.85</v>
      </c>
      <c r="G5" s="5748">
        <f>+'Maj Techno Summ'!H27</f>
        <v>3.15</v>
      </c>
      <c r="H5" s="5749">
        <f>+'Maj Techno Summ'!I27</f>
        <v>2.85</v>
      </c>
      <c r="I5" s="5749">
        <f>+'Maj Techno Summ'!J27</f>
        <v>3.0398721112626905</v>
      </c>
      <c r="J5" s="5748">
        <f>+'Maj Techno Summ'!K27</f>
        <v>2.85</v>
      </c>
      <c r="K5" s="5748">
        <f>+'Maj Techno Summ'!L27</f>
        <v>3.07</v>
      </c>
      <c r="L5" s="5750">
        <f>+'Maj Techno Summ'!M27</f>
        <v>2.85</v>
      </c>
      <c r="M5" s="5750">
        <f>+'Maj Techno Summ'!N27</f>
        <v>3.0496142763056677</v>
      </c>
      <c r="N5" s="5748">
        <f>+'Maj Techno Summ'!O27</f>
        <v>2.85</v>
      </c>
      <c r="O5" s="5748">
        <f>+'Maj Techno Summ'!P27</f>
        <v>3.02</v>
      </c>
      <c r="P5" s="5749">
        <f>+'Maj Techno Summ'!Q27</f>
        <v>2.85</v>
      </c>
      <c r="Q5" s="5749">
        <f>+'Maj Techno Summ'!R27</f>
        <v>3.041185773732602</v>
      </c>
      <c r="R5" s="5748">
        <f>+'Maj Techno Summ'!S27</f>
        <v>2.85</v>
      </c>
      <c r="S5" s="5748">
        <f>+'Maj Techno Summ'!T27</f>
        <v>3.04</v>
      </c>
      <c r="T5" s="5749">
        <f>+'Maj Techno Summ'!U27</f>
        <v>2.85</v>
      </c>
      <c r="U5" s="5749">
        <f>+'Maj Techno Summ'!V27</f>
        <v>3.0409279803191178</v>
      </c>
      <c r="V5" s="5748">
        <f>+'Maj Techno Summ'!W27</f>
        <v>2.85</v>
      </c>
      <c r="W5" s="5748">
        <f>+'Maj Techno Summ'!X27</f>
        <v>3.1</v>
      </c>
      <c r="X5" s="5750">
        <f>+'Maj Techno Summ'!Y27</f>
        <v>2.85</v>
      </c>
      <c r="Y5" s="5750">
        <f>+'Maj Techno Summ'!Z27</f>
        <v>3.052084632998576</v>
      </c>
      <c r="Z5" s="5751">
        <f>+'Maj Techno Summ'!AA27</f>
        <v>2.85</v>
      </c>
      <c r="AA5" s="5751">
        <f>+'Maj Techno Summ'!AB27</f>
        <v>3.0509358926026464</v>
      </c>
      <c r="AB5" s="5748">
        <f>+'Maj Techno Summ'!AC27</f>
        <v>2.85</v>
      </c>
      <c r="AC5" s="5748">
        <f>+'Maj Techno Summ'!AD27</f>
        <v>3.08</v>
      </c>
      <c r="AD5" s="5749">
        <f>+'Maj Techno Summ'!AE27</f>
        <v>2.85</v>
      </c>
      <c r="AE5" s="5749">
        <f>+'Maj Techno Summ'!AF27</f>
        <v>3.0553611672159033</v>
      </c>
      <c r="AF5" s="5748">
        <f>+'Maj Techno Summ'!AG27</f>
        <v>2.85</v>
      </c>
      <c r="AG5" s="5748">
        <f>+'Maj Techno Summ'!AH27</f>
        <v>3.26</v>
      </c>
      <c r="AH5" s="5749">
        <f>+'Maj Techno Summ'!AI27</f>
        <v>2.85</v>
      </c>
      <c r="AI5" s="5749">
        <f>+'Maj Techno Summ'!AJ27</f>
        <v>3.0790738969024467</v>
      </c>
      <c r="AJ5" s="5748">
        <f>+'Maj Techno Summ'!AK27</f>
        <v>2.85</v>
      </c>
      <c r="AK5" s="5748">
        <f>+'Maj Techno Summ'!AL27</f>
        <v>3.09</v>
      </c>
      <c r="AL5" s="5750">
        <f>+'Maj Techno Summ'!AM27</f>
        <v>2.85</v>
      </c>
      <c r="AM5" s="5750">
        <f>+'Maj Techno Summ'!AN27</f>
        <v>3.1380966372888635</v>
      </c>
      <c r="AN5" s="5749">
        <f>+'Maj Techno Summ'!AO27</f>
        <v>2.85</v>
      </c>
      <c r="AO5" s="5749">
        <f>+'Maj Techno Summ'!AP27</f>
        <v>3.0803401918919193</v>
      </c>
      <c r="AP5" s="5748">
        <f>+'Maj Techno Summ'!AQ27</f>
        <v>2.85</v>
      </c>
      <c r="AQ5" s="5748">
        <f>+'Maj Techno Summ'!AR27</f>
        <v>3.06</v>
      </c>
      <c r="AR5" s="5749">
        <f>+'Maj Techno Summ'!AS27</f>
        <v>2.85</v>
      </c>
      <c r="AS5" s="5749">
        <f>+'Maj Techno Summ'!AT27</f>
        <v>3.0782268542162869</v>
      </c>
      <c r="AT5" s="5748">
        <f>+'Maj Techno Summ'!AU27</f>
        <v>2.85</v>
      </c>
      <c r="AU5" s="5748">
        <f>+'Maj Techno Summ'!AV27</f>
        <v>3.07</v>
      </c>
      <c r="AV5" s="5749">
        <f>+'Maj Techno Summ'!AW27</f>
        <v>2.85</v>
      </c>
      <c r="AW5" s="5749">
        <f>+'Maj Techno Summ'!AX27</f>
        <v>3.0774630937112741</v>
      </c>
      <c r="AX5" s="5748">
        <f>+'Maj Techno Summ'!AY27</f>
        <v>2.85</v>
      </c>
      <c r="AY5" s="5748">
        <f>+'Maj Techno Summ'!AZ27</f>
        <v>3.14</v>
      </c>
      <c r="AZ5" s="5750">
        <f>+'Maj Techno Summ'!BA27</f>
        <v>2.85</v>
      </c>
      <c r="BA5" s="5750">
        <f>+'Maj Techno Summ'!BB27</f>
        <v>3.0902345613448059</v>
      </c>
      <c r="BB5" s="5751">
        <f>+'Maj Techno Summ'!BC27</f>
        <v>2.85</v>
      </c>
      <c r="BC5" s="5751">
        <f>+'Maj Techno Summ'!BD27</f>
        <v>3.1138274396204442</v>
      </c>
      <c r="BD5" s="5749">
        <f>+'Maj Techno Summ'!BE27</f>
        <v>2.85</v>
      </c>
      <c r="BE5" s="5749">
        <f>+'Maj Techno Summ'!BF27</f>
        <v>3.0828892276362487</v>
      </c>
      <c r="BF5" s="5241"/>
    </row>
    <row r="6" spans="1:98" ht="15.75" x14ac:dyDescent="0.25">
      <c r="B6" s="2394" t="s">
        <v>376</v>
      </c>
      <c r="C6" s="973" t="s">
        <v>1220</v>
      </c>
      <c r="D6" s="5752">
        <f>+'Maj Techno Summ'!E28</f>
        <v>2.375</v>
      </c>
      <c r="E6" s="5752">
        <f>+'Maj Techno Summ'!F28</f>
        <v>2.4119364624527146</v>
      </c>
      <c r="F6" s="5752">
        <f>+'Maj Techno Summ'!G28</f>
        <v>2.375</v>
      </c>
      <c r="G6" s="5752">
        <f>+'Maj Techno Summ'!H28</f>
        <v>2.4220973692342853</v>
      </c>
      <c r="H6" s="5749">
        <f>+'Maj Techno Summ'!I28</f>
        <v>2.375</v>
      </c>
      <c r="I6" s="5749">
        <f>+'Maj Techno Summ'!J28</f>
        <v>2.4165023731767303</v>
      </c>
      <c r="J6" s="5752">
        <f>+'Maj Techno Summ'!K28</f>
        <v>2.375</v>
      </c>
      <c r="K6" s="5752">
        <f>+'Maj Techno Summ'!L28</f>
        <v>2.4593055127540779</v>
      </c>
      <c r="L6" s="5750">
        <f>+'Maj Techno Summ'!M28</f>
        <v>2.375</v>
      </c>
      <c r="M6" s="5750">
        <f>+'Maj Techno Summ'!N28</f>
        <v>2.4303432119343338</v>
      </c>
      <c r="N6" s="5752">
        <f>+'Maj Techno Summ'!O28</f>
        <v>2.375</v>
      </c>
      <c r="O6" s="5752">
        <f>+'Maj Techno Summ'!P28</f>
        <v>2.3670535152382737</v>
      </c>
      <c r="P6" s="5749">
        <f>+'Maj Techno Summ'!Q28</f>
        <v>2.375</v>
      </c>
      <c r="Q6" s="5749">
        <f>+'Maj Techno Summ'!R28</f>
        <v>2.4123303668475469</v>
      </c>
      <c r="R6" s="5752">
        <f>+'Maj Techno Summ'!S28</f>
        <v>2.375</v>
      </c>
      <c r="S6" s="5752">
        <f>+'Maj Techno Summ'!T28</f>
        <v>2.423815865094864</v>
      </c>
      <c r="T6" s="5749">
        <f>+'Maj Techno Summ'!U28</f>
        <v>2.375</v>
      </c>
      <c r="U6" s="5749">
        <f>+'Maj Techno Summ'!V28</f>
        <v>2.414827374259112</v>
      </c>
      <c r="V6" s="5752">
        <f>+'Maj Techno Summ'!W28</f>
        <v>2.375</v>
      </c>
      <c r="W6" s="5752">
        <f>+'Maj Techno Summ'!X28</f>
        <v>2.4517133805476963</v>
      </c>
      <c r="X6" s="5750">
        <f>+'Maj Techno Summ'!Y28</f>
        <v>2.375</v>
      </c>
      <c r="Y6" s="5750">
        <f>+'Maj Techno Summ'!Z28</f>
        <v>2.413022042256721</v>
      </c>
      <c r="Z6" s="5751">
        <f>+'Maj Techno Summ'!AA28</f>
        <v>2.375</v>
      </c>
      <c r="AA6" s="5751">
        <f>+'Maj Techno Summ'!AB28</f>
        <v>2.4210765581776585</v>
      </c>
      <c r="AB6" s="5752">
        <f>+'Maj Techno Summ'!AC28</f>
        <v>2.375</v>
      </c>
      <c r="AC6" s="5752">
        <f>+'Maj Techno Summ'!AD28</f>
        <v>2.4494083825126194</v>
      </c>
      <c r="AD6" s="5749">
        <f>+'Maj Techno Summ'!AE28</f>
        <v>2.375</v>
      </c>
      <c r="AE6" s="5749">
        <f>+'Maj Techno Summ'!AF28</f>
        <v>2.4253903360364673</v>
      </c>
      <c r="AF6" s="5752">
        <f>+'Maj Techno Summ'!AG28</f>
        <v>2.375</v>
      </c>
      <c r="AG6" s="5752">
        <f>+'Maj Techno Summ'!AH28</f>
        <v>2.5126795179660841</v>
      </c>
      <c r="AH6" s="5749">
        <f>+'Maj Techno Summ'!AI28</f>
        <v>2.375</v>
      </c>
      <c r="AI6" s="5749">
        <f>+'Maj Techno Summ'!AJ28</f>
        <v>2.4355050574092201</v>
      </c>
      <c r="AJ6" s="5752">
        <f>+'Maj Techno Summ'!AK28</f>
        <v>2.375</v>
      </c>
      <c r="AK6" s="5752">
        <f>+'Maj Techno Summ'!AL28</f>
        <v>2.4288937934317434</v>
      </c>
      <c r="AL6" s="5750">
        <f>+'Maj Techno Summ'!AM28</f>
        <v>2.375</v>
      </c>
      <c r="AM6" s="5753">
        <f>+'Maj Techno Summ'!AN28</f>
        <v>2.4615745250436118</v>
      </c>
      <c r="AN6" s="5749">
        <f>+'Maj Techno Summ'!AO28</f>
        <v>2.375</v>
      </c>
      <c r="AO6" s="5749">
        <f>+'Maj Techno Summ'!AP28</f>
        <v>2.4347388363353373</v>
      </c>
      <c r="AP6" s="5752">
        <f>+'Maj Techno Summ'!AQ28</f>
        <v>2.375</v>
      </c>
      <c r="AQ6" s="5752">
        <f>+'Maj Techno Summ'!AR28</f>
        <v>2.4203245468385148</v>
      </c>
      <c r="AR6" s="5749">
        <f>+'Maj Techno Summ'!AS28</f>
        <v>2.375</v>
      </c>
      <c r="AS6" s="5754">
        <f>+'Maj Techno Summ'!AT28</f>
        <v>2.433241197511526</v>
      </c>
      <c r="AT6" s="5752">
        <f>+'Maj Techno Summ'!AU28</f>
        <v>2.375</v>
      </c>
      <c r="AU6" s="5752">
        <f>+'Maj Techno Summ'!AV28</f>
        <v>2.4305683705785919</v>
      </c>
      <c r="AV6" s="5749">
        <f>+'Maj Techno Summ'!AW28</f>
        <v>2.375</v>
      </c>
      <c r="AW6" s="5754">
        <f>+'Maj Techno Summ'!AX28</f>
        <v>2.4329930589649518</v>
      </c>
      <c r="AX6" s="5752">
        <f>+'Maj Techno Summ'!AY28</f>
        <v>2.375</v>
      </c>
      <c r="AY6" s="5752">
        <f>+'Maj Techno Summ'!AZ28</f>
        <v>2.3704818643653831</v>
      </c>
      <c r="AZ6" s="5753">
        <f>+'Maj Techno Summ'!BA28</f>
        <v>2.375</v>
      </c>
      <c r="BA6" s="5753">
        <f>+'Maj Techno Summ'!BB28</f>
        <v>2.4069089141328948</v>
      </c>
      <c r="BB6" s="5755">
        <f>+'Maj Techno Summ'!BC28</f>
        <v>2.375</v>
      </c>
      <c r="BC6" s="5755">
        <f>+'Maj Techno Summ'!BD28</f>
        <v>2.4338554909087837</v>
      </c>
      <c r="BD6" s="5754">
        <f>+'Maj Techno Summ'!BE28</f>
        <v>2.375</v>
      </c>
      <c r="BE6" s="5754">
        <f>+'Maj Techno Summ'!BF28</f>
        <v>2.4275691559637163</v>
      </c>
      <c r="BF6" s="5241"/>
    </row>
    <row r="7" spans="1:98" ht="15.75" x14ac:dyDescent="0.25">
      <c r="B7" s="2394" t="s">
        <v>430</v>
      </c>
      <c r="C7" s="973" t="s">
        <v>540</v>
      </c>
      <c r="D7" s="5748">
        <f>+'Maj Techno Summ'!E29</f>
        <v>0.53</v>
      </c>
      <c r="E7" s="5748">
        <f>+'Maj Techno Summ'!F29</f>
        <v>0.54</v>
      </c>
      <c r="F7" s="5748">
        <f>+'Maj Techno Summ'!G29</f>
        <v>0.53</v>
      </c>
      <c r="G7" s="5748">
        <f>+'Maj Techno Summ'!H29</f>
        <v>0.61</v>
      </c>
      <c r="H7" s="5749">
        <f>+'Maj Techno Summ'!I29</f>
        <v>0.53</v>
      </c>
      <c r="I7" s="5749">
        <f>+'Maj Techno Summ'!J29</f>
        <v>0.57145523894194172</v>
      </c>
      <c r="J7" s="5748">
        <f>+'Maj Techno Summ'!K29</f>
        <v>0.53</v>
      </c>
      <c r="K7" s="5748">
        <f>+'Maj Techno Summ'!L29</f>
        <v>0.56000000000000005</v>
      </c>
      <c r="L7" s="5750">
        <f>+'Maj Techno Summ'!M29</f>
        <v>0.53</v>
      </c>
      <c r="M7" s="5750">
        <f>+'Maj Techno Summ'!N29</f>
        <v>0.56775106871772896</v>
      </c>
      <c r="N7" s="5748">
        <f>+'Maj Techno Summ'!O29</f>
        <v>0.53</v>
      </c>
      <c r="O7" s="5748">
        <f>+'Maj Techno Summ'!P29</f>
        <v>0.53</v>
      </c>
      <c r="P7" s="5749">
        <f>+'Maj Techno Summ'!Q29</f>
        <v>0.53</v>
      </c>
      <c r="Q7" s="5749">
        <f>+'Maj Techno Summ'!R29</f>
        <v>0.55700675821899603</v>
      </c>
      <c r="R7" s="5748">
        <f>+'Maj Techno Summ'!S29</f>
        <v>0.53</v>
      </c>
      <c r="S7" s="5748">
        <f>+'Maj Techno Summ'!T29</f>
        <v>0.52</v>
      </c>
      <c r="T7" s="5749">
        <f>+'Maj Techno Summ'!U29</f>
        <v>0.53</v>
      </c>
      <c r="U7" s="5749">
        <f>+'Maj Techno Summ'!V29</f>
        <v>0.54896129536130822</v>
      </c>
      <c r="V7" s="5748">
        <f>+'Maj Techno Summ'!W29</f>
        <v>0.53</v>
      </c>
      <c r="W7" s="5748">
        <f>+'Maj Techno Summ'!X29</f>
        <v>0.51</v>
      </c>
      <c r="X7" s="5750">
        <f>+'Maj Techno Summ'!Y29</f>
        <v>0.53</v>
      </c>
      <c r="Y7" s="5750">
        <f>+'Maj Techno Summ'!Z29</f>
        <v>0.52029121516446408</v>
      </c>
      <c r="Z7" s="5751">
        <f>+'Maj Techno Summ'!AA29</f>
        <v>0.53</v>
      </c>
      <c r="AA7" s="5751">
        <f>+'Maj Techno Summ'!AB29</f>
        <v>0.54236051840235111</v>
      </c>
      <c r="AB7" s="5748">
        <f>+'Maj Techno Summ'!AC29</f>
        <v>0.53</v>
      </c>
      <c r="AC7" s="5748">
        <f>+'Maj Techno Summ'!AD29</f>
        <v>0.49</v>
      </c>
      <c r="AD7" s="5749">
        <f>+'Maj Techno Summ'!AE29</f>
        <v>0.53</v>
      </c>
      <c r="AE7" s="5749">
        <f>+'Maj Techno Summ'!AF29</f>
        <v>0.53438815339368129</v>
      </c>
      <c r="AF7" s="5748">
        <f>+'Maj Techno Summ'!AG29</f>
        <v>0.53</v>
      </c>
      <c r="AG7" s="5748">
        <f>+'Maj Techno Summ'!AH29</f>
        <v>0.59</v>
      </c>
      <c r="AH7" s="5749">
        <f>+'Maj Techno Summ'!AI29</f>
        <v>0.53</v>
      </c>
      <c r="AI7" s="5749">
        <f>+'Maj Techno Summ'!AJ29</f>
        <v>0.54083223181225026</v>
      </c>
      <c r="AJ7" s="5748">
        <f>+'Maj Techno Summ'!AK29</f>
        <v>0.53</v>
      </c>
      <c r="AK7" s="5748">
        <f>+'Maj Techno Summ'!AL29</f>
        <v>0.55000000000000004</v>
      </c>
      <c r="AL7" s="5750">
        <f>+'Maj Techno Summ'!AM29</f>
        <v>0.53</v>
      </c>
      <c r="AM7" s="5750">
        <f>+'Maj Techno Summ'!AN29</f>
        <v>0.54097985657400705</v>
      </c>
      <c r="AN7" s="5749">
        <f>+'Maj Techno Summ'!AO29</f>
        <v>0.53</v>
      </c>
      <c r="AO7" s="5749">
        <f>+'Maj Techno Summ'!AP29</f>
        <v>0.54189474228072598</v>
      </c>
      <c r="AP7" s="5748">
        <f>+'Maj Techno Summ'!AQ29</f>
        <v>0.53</v>
      </c>
      <c r="AQ7" s="5748">
        <f>+'Maj Techno Summ'!AR29</f>
        <v>0.54</v>
      </c>
      <c r="AR7" s="5749">
        <f>+'Maj Techno Summ'!AS29</f>
        <v>0.53</v>
      </c>
      <c r="AS7" s="5749">
        <f>+'Maj Techno Summ'!AT29</f>
        <v>0.54169787932737978</v>
      </c>
      <c r="AT7" s="5748">
        <f>+'Maj Techno Summ'!AU29</f>
        <v>0.53</v>
      </c>
      <c r="AU7" s="5748">
        <f>+'Maj Techno Summ'!AV29</f>
        <v>0.52</v>
      </c>
      <c r="AV7" s="5749">
        <f>+'Maj Techno Summ'!AW29</f>
        <v>0.53</v>
      </c>
      <c r="AW7" s="5749">
        <f>+'Maj Techno Summ'!AX29</f>
        <v>0.53968350264862752</v>
      </c>
      <c r="AX7" s="5748">
        <f>+'Maj Techno Summ'!AY29</f>
        <v>0.53</v>
      </c>
      <c r="AY7" s="5748">
        <f>+'Maj Techno Summ'!AZ29</f>
        <v>0.48</v>
      </c>
      <c r="AZ7" s="5750">
        <f>+'Maj Techno Summ'!BA29</f>
        <v>0.53</v>
      </c>
      <c r="BA7" s="5750">
        <f>+'Maj Techno Summ'!BB29</f>
        <v>0.51321042986029464</v>
      </c>
      <c r="BB7" s="5751">
        <f>+'Maj Techno Summ'!BC29</f>
        <v>0.53</v>
      </c>
      <c r="BC7" s="5751">
        <f>+'Maj Techno Summ'!BD29</f>
        <v>0.52689894401932635</v>
      </c>
      <c r="BD7" s="5749">
        <f>+'Maj Techno Summ'!BE29</f>
        <v>0.53</v>
      </c>
      <c r="BE7" s="5749">
        <f>+'Maj Techno Summ'!BF29</f>
        <v>0.53450494973160534</v>
      </c>
      <c r="BF7" s="5241"/>
      <c r="BR7" s="5745"/>
      <c r="BS7" s="5745"/>
      <c r="BT7" s="5745"/>
      <c r="BU7" s="5745"/>
      <c r="BV7" s="5745"/>
      <c r="BW7" s="5745"/>
      <c r="BX7" s="5745"/>
      <c r="BY7" s="5745"/>
      <c r="BZ7" s="5745"/>
      <c r="CA7" s="5745"/>
      <c r="CB7" s="5745"/>
      <c r="CC7" s="5745"/>
      <c r="CD7" s="5745"/>
      <c r="CE7" s="5745"/>
      <c r="CF7" s="5745"/>
      <c r="CG7" s="5745"/>
      <c r="CH7" s="5745"/>
      <c r="CI7" s="5745"/>
      <c r="CJ7" s="5745"/>
      <c r="CK7" s="5745"/>
      <c r="CL7" s="5745"/>
      <c r="CM7" s="5745"/>
      <c r="CN7" s="5745"/>
      <c r="CO7" s="5745"/>
      <c r="CP7" s="5745"/>
      <c r="CQ7" s="5745"/>
      <c r="CR7" s="5745"/>
      <c r="CS7" s="5745"/>
      <c r="CT7" s="5745"/>
    </row>
    <row r="8" spans="1:98" ht="18.75" customHeight="1" x14ac:dyDescent="0.25">
      <c r="B8" s="2394" t="s">
        <v>617</v>
      </c>
      <c r="C8" s="973" t="s">
        <v>361</v>
      </c>
      <c r="D8" s="5720">
        <f>+'B-FCE'!E17</f>
        <v>91332</v>
      </c>
      <c r="E8" s="5756">
        <f>+'B-FCE'!F17</f>
        <v>105633.76699999999</v>
      </c>
      <c r="F8" s="5720">
        <f>+'B-FCE'!G17</f>
        <v>76239</v>
      </c>
      <c r="G8" s="5756">
        <f>+'B-FCE'!H17</f>
        <v>90854.173999999985</v>
      </c>
      <c r="H8" s="5351">
        <f>+'B-FCE'!I17</f>
        <v>167571</v>
      </c>
      <c r="I8" s="5351">
        <f>+'B-FCE'!J17</f>
        <v>196487.94099999999</v>
      </c>
      <c r="J8" s="5720">
        <f>+'B-FCE'!K17</f>
        <v>77787</v>
      </c>
      <c r="K8" s="5756">
        <f>+'B-FCE'!L17</f>
        <v>85363.87000000001</v>
      </c>
      <c r="L8" s="5285">
        <f>+'B-FCE'!M17</f>
        <v>245358</v>
      </c>
      <c r="M8" s="5285">
        <f>+'B-FCE'!N17</f>
        <v>281851.81099999999</v>
      </c>
      <c r="N8" s="5720">
        <f>+'B-FCE'!O17</f>
        <v>92493</v>
      </c>
      <c r="O8" s="5756">
        <f>+'B-FCE'!P17</f>
        <v>112810.21700000002</v>
      </c>
      <c r="P8" s="5351">
        <f>+'B-FCE'!Q17</f>
        <v>337851</v>
      </c>
      <c r="Q8" s="5351">
        <f>+'B-FCE'!R17</f>
        <v>394662.02799999999</v>
      </c>
      <c r="R8" s="5720">
        <f>+'B-FCE'!S17</f>
        <v>92493</v>
      </c>
      <c r="S8" s="5756">
        <f>+'B-FCE'!T17</f>
        <v>115040.96400000001</v>
      </c>
      <c r="T8" s="5351">
        <f>+'B-FCE'!U17</f>
        <v>430344</v>
      </c>
      <c r="U8" s="5351">
        <f>+'B-FCE'!V17</f>
        <v>509702.99199999997</v>
      </c>
      <c r="V8" s="5720">
        <f>+'B-FCE'!W17</f>
        <v>89784</v>
      </c>
      <c r="W8" s="5756">
        <f>+'B-FCE'!X17</f>
        <v>102753.16800000003</v>
      </c>
      <c r="X8" s="5285">
        <f>+'B-FCE'!Y17</f>
        <v>274770</v>
      </c>
      <c r="Y8" s="5285">
        <f>+'B-FCE'!Z17</f>
        <v>330604.34900000005</v>
      </c>
      <c r="Z8" s="5286">
        <f>+'B-FCE'!AA17</f>
        <v>520128</v>
      </c>
      <c r="AA8" s="5286">
        <f>+'B-FCE'!AB17</f>
        <v>612456.16</v>
      </c>
      <c r="AB8" s="5720">
        <f>+'B-FCE'!AC17</f>
        <v>95202</v>
      </c>
      <c r="AC8" s="5756">
        <f>+'B-FCE'!AD17</f>
        <v>104758.863</v>
      </c>
      <c r="AD8" s="5351">
        <f>+'B-FCE'!AE17</f>
        <v>615330</v>
      </c>
      <c r="AE8" s="5351">
        <f>+'B-FCE'!AF17</f>
        <v>717215.02300000004</v>
      </c>
      <c r="AF8" s="5720">
        <f>+'B-FCE'!AG17</f>
        <v>92106</v>
      </c>
      <c r="AG8" s="5756">
        <f>+'B-FCE'!AH17</f>
        <v>92919.338999999993</v>
      </c>
      <c r="AH8" s="5351">
        <f>+'B-FCE'!AI17</f>
        <v>707436</v>
      </c>
      <c r="AI8" s="5351">
        <f>+'B-FCE'!AJ17</f>
        <v>810134.36200000008</v>
      </c>
      <c r="AJ8" s="5720">
        <f>+'B-FCE'!AK17</f>
        <v>95589</v>
      </c>
      <c r="AK8" s="5756">
        <f>+'B-FCE'!AL17</f>
        <v>103683.2044</v>
      </c>
      <c r="AL8" s="5285">
        <f>+'B-FCE'!AM17</f>
        <v>282897</v>
      </c>
      <c r="AM8" s="5285">
        <f>+'B-FCE'!AN17</f>
        <v>301361.40639999998</v>
      </c>
      <c r="AN8" s="5351">
        <f>+'B-FCE'!AO17</f>
        <v>803025</v>
      </c>
      <c r="AO8" s="5351">
        <f>+'B-FCE'!AP17</f>
        <v>913817.56640000013</v>
      </c>
      <c r="AP8" s="5720">
        <f>+'B-FCE'!AQ17</f>
        <v>95589</v>
      </c>
      <c r="AQ8" s="5756">
        <f>+'B-FCE'!AR17</f>
        <v>93615.471000000005</v>
      </c>
      <c r="AR8" s="5351">
        <f>+'B-FCE'!AS17</f>
        <v>898614</v>
      </c>
      <c r="AS8" s="5351">
        <f>+'B-FCE'!AT17</f>
        <v>1007433.0374000001</v>
      </c>
      <c r="AT8" s="5720">
        <f>+'B-FCE'!AU17</f>
        <v>89010</v>
      </c>
      <c r="AU8" s="5756">
        <f>+'B-FCE'!AV17</f>
        <v>100012.23450000001</v>
      </c>
      <c r="AV8" s="5351">
        <f>+'B-FCE'!AW17</f>
        <v>987624</v>
      </c>
      <c r="AW8" s="5351">
        <f>+'B-FCE'!AX17</f>
        <v>1107445.2719000001</v>
      </c>
      <c r="AX8" s="5720">
        <f>+'B-FCE'!AY17</f>
        <v>95976</v>
      </c>
      <c r="AY8" s="5756">
        <f>+'B-FCE'!AZ17</f>
        <v>111389.30359999997</v>
      </c>
      <c r="AZ8" s="5285">
        <f>+'B-FCE'!BA17</f>
        <v>280575</v>
      </c>
      <c r="BA8" s="5285">
        <f>+'B-FCE'!BB17</f>
        <v>305017.00909999997</v>
      </c>
      <c r="BB8" s="5286">
        <f>+'B-FCE'!BC17</f>
        <v>563472</v>
      </c>
      <c r="BC8" s="5286">
        <f>+'B-FCE'!BD17</f>
        <v>606378.41549999989</v>
      </c>
      <c r="BD8" s="5351">
        <f>+'B-FCE'!BE17</f>
        <v>1083600</v>
      </c>
      <c r="BE8" s="5351">
        <f>+'B-FCE'!BF17</f>
        <v>1218834.5755</v>
      </c>
      <c r="BF8" s="5241"/>
      <c r="BR8" s="5745"/>
      <c r="BS8" s="5745"/>
      <c r="BT8" s="5745"/>
      <c r="BU8" s="5745"/>
      <c r="BV8" s="5745"/>
      <c r="BW8" s="5745"/>
      <c r="BX8" s="5745"/>
      <c r="BY8" s="5745"/>
      <c r="BZ8" s="5745"/>
      <c r="CA8" s="5745"/>
      <c r="CB8" s="5745"/>
      <c r="CC8" s="5745"/>
      <c r="CD8" s="5745"/>
      <c r="CE8" s="5745"/>
      <c r="CF8" s="5745"/>
      <c r="CG8" s="5745"/>
      <c r="CH8" s="5745"/>
      <c r="CI8" s="5745"/>
      <c r="CJ8" s="5745"/>
      <c r="CK8" s="5745"/>
      <c r="CL8" s="5745"/>
      <c r="CM8" s="5745"/>
      <c r="CN8" s="5745"/>
      <c r="CO8" s="5745"/>
      <c r="CP8" s="5745"/>
      <c r="CQ8" s="5745"/>
      <c r="CR8" s="5745"/>
      <c r="CS8" s="5745"/>
      <c r="CT8" s="5745"/>
    </row>
    <row r="9" spans="1:98" ht="15.75" x14ac:dyDescent="0.25">
      <c r="B9" s="2395" t="s">
        <v>620</v>
      </c>
      <c r="C9" s="973" t="s">
        <v>361</v>
      </c>
      <c r="D9" s="5720">
        <f>+'Maj Production Summ'!E26</f>
        <v>89599.675447839822</v>
      </c>
      <c r="E9" s="5720">
        <f>+'Maj Production Summ'!F26</f>
        <v>104981.62791999998</v>
      </c>
      <c r="F9" s="5720">
        <f>+'Maj Production Summ'!G26</f>
        <v>74792.949420442572</v>
      </c>
      <c r="G9" s="5720">
        <f>+'Maj Production Summ'!H26</f>
        <v>89191.764783000006</v>
      </c>
      <c r="H9" s="5351">
        <f>+'Maj Production Summ'!I26</f>
        <v>164392.62486828241</v>
      </c>
      <c r="I9" s="5351">
        <f>+'Maj Production Summ'!J26</f>
        <v>194173.39270299999</v>
      </c>
      <c r="J9" s="5720">
        <f>+'Maj Production Summ'!K26</f>
        <v>76311.587987355102</v>
      </c>
      <c r="K9" s="5720">
        <f>+'Maj Production Summ'!L26</f>
        <v>82961.954182000016</v>
      </c>
      <c r="L9" s="5285">
        <f>+'Maj Production Summ'!M26</f>
        <v>240704.21285563751</v>
      </c>
      <c r="M9" s="5285">
        <f>+'Maj Production Summ'!N26</f>
        <v>277135.34688500001</v>
      </c>
      <c r="N9" s="5720">
        <f>+'Maj Production Summ'!O26</f>
        <v>90738.654373024227</v>
      </c>
      <c r="O9" s="5720">
        <f>+'Maj Production Summ'!P26</f>
        <v>104404.720082</v>
      </c>
      <c r="P9" s="5351">
        <f>+'Maj Production Summ'!Q26</f>
        <v>331442.86722866172</v>
      </c>
      <c r="Q9" s="5351">
        <f>+'Maj Production Summ'!R26</f>
        <v>381540.06696700002</v>
      </c>
      <c r="R9" s="5720">
        <f>+'Maj Production Summ'!S26</f>
        <v>90738.654373024227</v>
      </c>
      <c r="S9" s="5720">
        <f>+'Maj Production Summ'!T26</f>
        <v>120487.19086800001</v>
      </c>
      <c r="T9" s="5351">
        <f>+'Maj Production Summ'!U26</f>
        <v>422181.52160168596</v>
      </c>
      <c r="U9" s="5351">
        <f>+'Maj Production Summ'!V26</f>
        <v>502027.25783500005</v>
      </c>
      <c r="V9" s="5720">
        <f>+'Maj Production Summ'!W26</f>
        <v>88081.036880927277</v>
      </c>
      <c r="W9" s="5720">
        <f>+'Maj Production Summ'!X26</f>
        <v>99564.147938000009</v>
      </c>
      <c r="X9" s="5285">
        <f>+'Maj Production Summ'!Y26</f>
        <v>269558.34562697576</v>
      </c>
      <c r="Y9" s="5285">
        <f>+'Maj Production Summ'!Z26</f>
        <v>324456.05888799997</v>
      </c>
      <c r="Z9" s="5286">
        <f>+'Maj Production Summ'!AA26</f>
        <v>510262.5584826133</v>
      </c>
      <c r="AA9" s="5286">
        <f>+'Maj Production Summ'!AB26</f>
        <v>601591.40577299998</v>
      </c>
      <c r="AB9" s="5720">
        <f>+'Maj Production Summ'!AC26</f>
        <v>93396.271865121176</v>
      </c>
      <c r="AC9" s="5720">
        <f>+'Maj Production Summ'!AD26</f>
        <v>103143.64400200003</v>
      </c>
      <c r="AD9" s="5351">
        <f>+'Maj Production Summ'!AE26</f>
        <v>603658.8303477345</v>
      </c>
      <c r="AE9" s="5351">
        <f>+'Maj Production Summ'!AF26</f>
        <v>704735.04977499996</v>
      </c>
      <c r="AF9" s="5720">
        <f>+'Maj Production Summ'!AG26</f>
        <v>90358.994731296087</v>
      </c>
      <c r="AG9" s="5720">
        <f>+'Maj Production Summ'!AH26</f>
        <v>82013.501080000016</v>
      </c>
      <c r="AH9" s="5351">
        <f>+'Maj Production Summ'!AI26</f>
        <v>694017.82507903059</v>
      </c>
      <c r="AI9" s="5351">
        <f>+'Maj Production Summ'!AJ26</f>
        <v>786748.55085500004</v>
      </c>
      <c r="AJ9" s="5720">
        <f>+'Maj Production Summ'!AK26</f>
        <v>93775.931506849302</v>
      </c>
      <c r="AK9" s="5720">
        <f>+'Maj Production Summ'!AL26</f>
        <v>71167.549168000012</v>
      </c>
      <c r="AL9" s="5285">
        <f>+'Maj Production Summ'!AM26</f>
        <v>277531.19810326654</v>
      </c>
      <c r="AM9" s="5285">
        <f>+'Maj Production Summ'!AN26</f>
        <v>256324.69425000006</v>
      </c>
      <c r="AN9" s="5351">
        <f>+'Maj Production Summ'!AO26</f>
        <v>787793.75658587995</v>
      </c>
      <c r="AO9" s="5351">
        <f>+'Maj Production Summ'!AP26</f>
        <v>857916.10002300004</v>
      </c>
      <c r="AP9" s="5720">
        <f>+'Maj Production Summ'!AQ26</f>
        <v>93775.931506849302</v>
      </c>
      <c r="AQ9" s="5720">
        <f>+'Maj Production Summ'!AR26</f>
        <v>58850.349111999982</v>
      </c>
      <c r="AR9" s="5351">
        <f>+'Maj Production Summ'!AS26</f>
        <v>881569.68809272931</v>
      </c>
      <c r="AS9" s="5351">
        <f>+'Maj Production Summ'!AT26</f>
        <v>916766.449135</v>
      </c>
      <c r="AT9" s="5720">
        <f>+'Maj Production Summ'!AU26</f>
        <v>87321.717597471012</v>
      </c>
      <c r="AU9" s="5720">
        <f>+'Maj Production Summ'!AV26</f>
        <v>76969.949648999987</v>
      </c>
      <c r="AV9" s="5351">
        <f>+'Maj Production Summ'!AW26</f>
        <v>968891.40569020028</v>
      </c>
      <c r="AW9" s="5351">
        <f>+'Maj Production Summ'!AX26</f>
        <v>993736.39878399996</v>
      </c>
      <c r="AX9" s="5720">
        <f>+'Maj Production Summ'!AY26</f>
        <v>94155.591148577441</v>
      </c>
      <c r="AY9" s="5720">
        <f>+'Maj Production Summ'!AZ26</f>
        <v>81508.240818999984</v>
      </c>
      <c r="AZ9" s="5285">
        <f>+'Maj Production Summ'!BA26</f>
        <v>275253.24025289778</v>
      </c>
      <c r="BA9" s="5285">
        <f>+'Maj Production Summ'!BB26</f>
        <v>217328.53957999998</v>
      </c>
      <c r="BB9" s="5286">
        <f>+'Maj Production Summ'!BC26</f>
        <v>552784.43835616438</v>
      </c>
      <c r="BC9" s="5286">
        <f>+'Maj Production Summ'!BD26</f>
        <v>473653.23383000004</v>
      </c>
      <c r="BD9" s="5351">
        <f>+'Maj Production Summ'!BE26</f>
        <v>1063046.9968387778</v>
      </c>
      <c r="BE9" s="5351">
        <f>+'Maj Production Summ'!BF26</f>
        <v>1075244.6396029999</v>
      </c>
      <c r="BF9" s="5241"/>
      <c r="BQ9" s="5745"/>
      <c r="BR9" s="5745"/>
      <c r="BS9" s="5745"/>
      <c r="BT9" s="5745"/>
      <c r="BU9" s="5745"/>
      <c r="BV9" s="5745"/>
      <c r="BW9" s="5745"/>
      <c r="BX9" s="5745"/>
      <c r="BY9" s="5745"/>
      <c r="BZ9" s="5745"/>
      <c r="CA9" s="5745"/>
      <c r="CB9" s="5745"/>
      <c r="CC9" s="5745"/>
      <c r="CD9" s="5745"/>
      <c r="CE9" s="5745"/>
      <c r="CF9" s="5745"/>
      <c r="CG9" s="5745"/>
      <c r="CH9" s="5745"/>
      <c r="CI9" s="5745"/>
      <c r="CJ9" s="5745"/>
      <c r="CK9" s="5745"/>
      <c r="CL9" s="5745"/>
      <c r="CM9" s="5745"/>
      <c r="CN9" s="5745"/>
      <c r="CO9" s="5745"/>
      <c r="CP9" s="5745"/>
      <c r="CQ9" s="5745"/>
      <c r="CR9" s="5745"/>
      <c r="CS9" s="5745"/>
      <c r="CT9" s="5745"/>
    </row>
    <row r="10" spans="1:98" ht="15.75" x14ac:dyDescent="0.25">
      <c r="B10" s="2395" t="s">
        <v>622</v>
      </c>
      <c r="C10" s="973" t="s">
        <v>361</v>
      </c>
      <c r="D10" s="5720">
        <v>0</v>
      </c>
      <c r="E10" s="5756">
        <f>+'Direct sales IPT details'!E109</f>
        <v>5812.35</v>
      </c>
      <c r="F10" s="5720">
        <v>0</v>
      </c>
      <c r="G10" s="5756">
        <f>+'Direct sales IPT details'!G109</f>
        <v>17504.599999999999</v>
      </c>
      <c r="H10" s="5351">
        <f t="shared" ref="H10" si="0">+D10+F10</f>
        <v>0</v>
      </c>
      <c r="I10" s="5351">
        <f t="shared" ref="I10" si="1">+E10+G10</f>
        <v>23316.949999999997</v>
      </c>
      <c r="J10" s="5720">
        <v>0</v>
      </c>
      <c r="K10" s="5756">
        <f>+'Direct sales IPT details'!K109</f>
        <v>13700.29</v>
      </c>
      <c r="L10" s="5285">
        <f t="shared" ref="L10:M12" si="2">+D10+F10+J10</f>
        <v>0</v>
      </c>
      <c r="M10" s="5285">
        <f t="shared" si="2"/>
        <v>37017.24</v>
      </c>
      <c r="N10" s="5720">
        <v>0</v>
      </c>
      <c r="O10" s="5756">
        <f>+'Direct sales IPT details'!O109</f>
        <v>16217.25</v>
      </c>
      <c r="P10" s="5351">
        <f t="shared" ref="P10:Q10" si="3">+L10+N10</f>
        <v>0</v>
      </c>
      <c r="Q10" s="5351">
        <f t="shared" si="3"/>
        <v>53234.49</v>
      </c>
      <c r="R10" s="5720">
        <v>0</v>
      </c>
      <c r="S10" s="5756">
        <f>+'Direct sales IPT details'!S109</f>
        <v>11118.460000000003</v>
      </c>
      <c r="T10" s="5351">
        <f t="shared" ref="T10:T12" si="4">+P10+R10</f>
        <v>0</v>
      </c>
      <c r="U10" s="5351">
        <f t="shared" ref="U10:U12" si="5">+Q10+S10</f>
        <v>64352.95</v>
      </c>
      <c r="V10" s="5720">
        <v>0</v>
      </c>
      <c r="W10" s="5756">
        <f>+'Direct sales IPT details'!W109</f>
        <v>14564.459999999985</v>
      </c>
      <c r="X10" s="5285">
        <f t="shared" ref="X10" si="6">+P10+R10+V10</f>
        <v>0</v>
      </c>
      <c r="Y10" s="5285">
        <f>+O10+S10+W10</f>
        <v>41900.169999999984</v>
      </c>
      <c r="Z10" s="5286">
        <f>+X10+L10</f>
        <v>0</v>
      </c>
      <c r="AA10" s="5286">
        <f>+Y10+M10</f>
        <v>78917.409999999974</v>
      </c>
      <c r="AB10" s="5720">
        <v>0</v>
      </c>
      <c r="AC10" s="5756">
        <f>+'Direct sales IPT details'!AC109</f>
        <v>12826.809999999998</v>
      </c>
      <c r="AD10" s="5351">
        <f t="shared" ref="AD10:AD12" si="7">+Z10+AB10</f>
        <v>0</v>
      </c>
      <c r="AE10" s="5351">
        <f t="shared" ref="AE10:AE12" si="8">+AA10+AC10</f>
        <v>91744.219999999972</v>
      </c>
      <c r="AF10" s="5720">
        <v>0</v>
      </c>
      <c r="AG10" s="5756">
        <f>+'Direct sales IPT details'!AG109</f>
        <v>22049.94</v>
      </c>
      <c r="AH10" s="5351">
        <f t="shared" ref="AH10:AH12" si="9">+AD10+AF10</f>
        <v>0</v>
      </c>
      <c r="AI10" s="5351">
        <f t="shared" ref="AI10:AI12" si="10">+AE10+AG10</f>
        <v>113794.15999999997</v>
      </c>
      <c r="AJ10" s="5720">
        <v>0</v>
      </c>
      <c r="AK10" s="5756">
        <f>+'Direct sales IPT details'!AK109</f>
        <v>18985.14</v>
      </c>
      <c r="AL10" s="5285">
        <f t="shared" ref="AL10" si="11">+AD10+AF10+AJ10</f>
        <v>0</v>
      </c>
      <c r="AM10" s="5285">
        <f>+AC10+AG10+AK10</f>
        <v>53861.89</v>
      </c>
      <c r="AN10" s="5351">
        <f t="shared" ref="AN10:AN12" si="12">+AH10+AJ10</f>
        <v>0</v>
      </c>
      <c r="AO10" s="5351">
        <f t="shared" ref="AO10:AO12" si="13">+AI10+AK10</f>
        <v>132779.29999999999</v>
      </c>
      <c r="AP10" s="5720">
        <v>0</v>
      </c>
      <c r="AQ10" s="5756">
        <f>+'Direct sales IPT details'!AQ109</f>
        <v>16847.499999999996</v>
      </c>
      <c r="AR10" s="5351">
        <f t="shared" ref="AR10:AR12" si="14">+AN10+AP10</f>
        <v>0</v>
      </c>
      <c r="AS10" s="5351">
        <f t="shared" ref="AS10:AS12" si="15">+AO10+AQ10</f>
        <v>149626.79999999999</v>
      </c>
      <c r="AT10" s="5720">
        <v>0</v>
      </c>
      <c r="AU10" s="5756">
        <f>+'Direct sales IPT details'!AU109</f>
        <v>15151.5</v>
      </c>
      <c r="AV10" s="5351">
        <f t="shared" ref="AV10:AV12" si="16">+AR10+AT10</f>
        <v>0</v>
      </c>
      <c r="AW10" s="5351">
        <f t="shared" ref="AW10:AW12" si="17">+AS10+AU10</f>
        <v>164778.29999999999</v>
      </c>
      <c r="AX10" s="5720">
        <v>0</v>
      </c>
      <c r="AY10" s="5756">
        <f>+'Direct sales IPT details'!AY109</f>
        <v>16295.34</v>
      </c>
      <c r="AZ10" s="5285">
        <f>+'Direct sales IPT details'!AZ109</f>
        <v>0</v>
      </c>
      <c r="BA10" s="5285">
        <f>+'Direct sales IPT details'!BA109</f>
        <v>48294.34</v>
      </c>
      <c r="BB10" s="5286">
        <f>+'Direct sales IPT details'!BB109</f>
        <v>0</v>
      </c>
      <c r="BC10" s="5286">
        <f>+'Direct sales IPT details'!BC109</f>
        <v>102156.23</v>
      </c>
      <c r="BD10" s="5351">
        <f>+'Direct sales IPT details'!BD109</f>
        <v>0</v>
      </c>
      <c r="BE10" s="5351">
        <f>+'Direct sales IPT details'!BE109</f>
        <v>181073.63999999998</v>
      </c>
      <c r="BQ10" s="5745"/>
      <c r="BR10" s="5745"/>
      <c r="BS10" s="5745"/>
      <c r="BT10" s="5745"/>
      <c r="BU10" s="5745"/>
      <c r="BV10" s="5745"/>
      <c r="BW10" s="5745"/>
      <c r="BX10" s="5745"/>
      <c r="BY10" s="5745"/>
      <c r="BZ10" s="5745"/>
      <c r="CA10" s="5745"/>
      <c r="CB10" s="5745"/>
      <c r="CC10" s="5745"/>
      <c r="CD10" s="5745"/>
      <c r="CE10" s="5745"/>
      <c r="CF10" s="5745"/>
      <c r="CG10" s="5745"/>
      <c r="CH10" s="5745"/>
      <c r="CI10" s="5745"/>
      <c r="CJ10" s="5745"/>
      <c r="CK10" s="5745"/>
      <c r="CL10" s="5745"/>
      <c r="CM10" s="5745"/>
      <c r="CN10" s="5745"/>
      <c r="CO10" s="5745"/>
      <c r="CP10" s="5745"/>
      <c r="CQ10" s="5745"/>
      <c r="CR10" s="5745"/>
      <c r="CS10" s="5745"/>
      <c r="CT10" s="5745"/>
    </row>
    <row r="11" spans="1:98" ht="15.75" x14ac:dyDescent="0.25">
      <c r="B11" s="2395" t="s">
        <v>1263</v>
      </c>
      <c r="C11" s="973" t="s">
        <v>361</v>
      </c>
      <c r="D11" s="5720">
        <f>+'Maj Production Summ'!E26</f>
        <v>89599.675447839822</v>
      </c>
      <c r="E11" s="5720">
        <f>+'Direct sales IPT details'!E110</f>
        <v>103666.65000000001</v>
      </c>
      <c r="F11" s="5720">
        <f>+'Maj Production Summ'!G26</f>
        <v>74792.949420442572</v>
      </c>
      <c r="G11" s="5720">
        <f>+'Direct sales IPT details'!G110</f>
        <v>92189.759999999995</v>
      </c>
      <c r="H11" s="5351">
        <f t="shared" ref="H11:I12" si="18">+D11+F11</f>
        <v>164392.62486828241</v>
      </c>
      <c r="I11" s="5351">
        <f t="shared" si="18"/>
        <v>195856.41</v>
      </c>
      <c r="J11" s="5720">
        <f>+'Maj Production Summ'!K26</f>
        <v>76311.587987355102</v>
      </c>
      <c r="K11" s="5720">
        <f>+'Direct sales IPT details'!K110</f>
        <v>73798.819999999992</v>
      </c>
      <c r="L11" s="5285">
        <f t="shared" si="2"/>
        <v>240704.21285563751</v>
      </c>
      <c r="M11" s="5285">
        <f t="shared" si="2"/>
        <v>269655.23</v>
      </c>
      <c r="N11" s="5720">
        <f>+'Maj Production Summ'!O26</f>
        <v>90738.654373024227</v>
      </c>
      <c r="O11" s="5720">
        <f>+'Direct sales IPT details'!O110</f>
        <v>98427.170000000013</v>
      </c>
      <c r="P11" s="5351">
        <f t="shared" ref="P11:P12" si="19">+L11+N11</f>
        <v>331442.86722866172</v>
      </c>
      <c r="Q11" s="5351">
        <f t="shared" ref="Q11:Q12" si="20">+M11+O11</f>
        <v>368082.4</v>
      </c>
      <c r="R11" s="5720">
        <f>+'Maj Production Summ'!S26</f>
        <v>90738.654373024227</v>
      </c>
      <c r="S11" s="5720">
        <f>+'Direct sales IPT details'!S110</f>
        <v>107552.44999999998</v>
      </c>
      <c r="T11" s="5351">
        <f t="shared" si="4"/>
        <v>422181.52160168596</v>
      </c>
      <c r="U11" s="5351">
        <f t="shared" si="5"/>
        <v>475634.85</v>
      </c>
      <c r="V11" s="5720">
        <f>+'Maj Production Summ'!W26</f>
        <v>88081.036880927277</v>
      </c>
      <c r="W11" s="5720">
        <f>+'Direct sales IPT details'!W110</f>
        <v>90628.339999999982</v>
      </c>
      <c r="X11" s="5285">
        <f>N11+R11+V11</f>
        <v>269558.34562697576</v>
      </c>
      <c r="Y11" s="5285">
        <f>+O11+S11+W11</f>
        <v>296607.95999999996</v>
      </c>
      <c r="Z11" s="5286">
        <f>+X11+L11</f>
        <v>510262.5584826133</v>
      </c>
      <c r="AA11" s="5286">
        <f>+Y11+M11</f>
        <v>566263.18999999994</v>
      </c>
      <c r="AB11" s="5720">
        <f>+'Maj Production Summ'!AC26</f>
        <v>93396.271865121176</v>
      </c>
      <c r="AC11" s="5720">
        <f>+'Direct sales IPT details'!AC110</f>
        <v>97762.160000000018</v>
      </c>
      <c r="AD11" s="5351">
        <f t="shared" si="7"/>
        <v>603658.8303477345</v>
      </c>
      <c r="AE11" s="5351">
        <f t="shared" si="8"/>
        <v>664025.35</v>
      </c>
      <c r="AF11" s="5720">
        <f>+'Maj Production Summ'!AG26</f>
        <v>90358.994731296087</v>
      </c>
      <c r="AG11" s="5720">
        <f>+'Direct sales IPT details'!AG110</f>
        <v>81674.649999999994</v>
      </c>
      <c r="AH11" s="5351">
        <f t="shared" si="9"/>
        <v>694017.82507903059</v>
      </c>
      <c r="AI11" s="5351">
        <f t="shared" si="10"/>
        <v>745700</v>
      </c>
      <c r="AJ11" s="5720">
        <f>+'Maj Production Summ'!AK26</f>
        <v>93775.931506849302</v>
      </c>
      <c r="AK11" s="5720">
        <f>+'Direct sales IPT details'!AK110</f>
        <v>95350.450000000012</v>
      </c>
      <c r="AL11" s="5285">
        <f>AB11+AF11+AJ11</f>
        <v>277531.19810326654</v>
      </c>
      <c r="AM11" s="5285">
        <f>+AC11+AG11+AK11</f>
        <v>274787.26</v>
      </c>
      <c r="AN11" s="5351">
        <f t="shared" si="12"/>
        <v>787793.75658587995</v>
      </c>
      <c r="AO11" s="5351">
        <f t="shared" si="13"/>
        <v>841050.45</v>
      </c>
      <c r="AP11" s="5720">
        <f>+'Maj Production Summ'!AQ26</f>
        <v>93775.931506849302</v>
      </c>
      <c r="AQ11" s="5720">
        <f>+'Direct sales IPT details'!AQ110</f>
        <v>84017.91</v>
      </c>
      <c r="AR11" s="5351">
        <f t="shared" si="14"/>
        <v>881569.68809272931</v>
      </c>
      <c r="AS11" s="5351">
        <f t="shared" si="15"/>
        <v>925068.36</v>
      </c>
      <c r="AT11" s="5720">
        <f>+'Maj Production Summ'!AU26</f>
        <v>87321.717597471012</v>
      </c>
      <c r="AU11" s="5720">
        <f>+'Direct sales IPT details'!AU110</f>
        <v>93875.06</v>
      </c>
      <c r="AV11" s="5351">
        <f t="shared" si="16"/>
        <v>968891.40569020028</v>
      </c>
      <c r="AW11" s="5351">
        <f t="shared" si="17"/>
        <v>1018943.4199999999</v>
      </c>
      <c r="AX11" s="5720">
        <f>+'Maj Production Summ'!AY26</f>
        <v>94155.591148577441</v>
      </c>
      <c r="AY11" s="5720">
        <f>+'Direct sales IPT details'!AY110</f>
        <v>90220.04</v>
      </c>
      <c r="AZ11" s="5285">
        <f>AP11+AT11+AX11</f>
        <v>275253.24025289778</v>
      </c>
      <c r="BA11" s="5285">
        <f>+AQ11+AU11+AY11</f>
        <v>268113.01</v>
      </c>
      <c r="BB11" s="5286">
        <f>+AZ11+AL11</f>
        <v>552784.43835616438</v>
      </c>
      <c r="BC11" s="5286">
        <f>+BA11+AM11</f>
        <v>542900.27</v>
      </c>
      <c r="BD11" s="5351">
        <f t="shared" ref="BD11:BD12" si="21">+AV11+AX11</f>
        <v>1063046.9968387778</v>
      </c>
      <c r="BE11" s="5351">
        <f t="shared" ref="BE11:BE12" si="22">+AW11+AY11</f>
        <v>1109163.46</v>
      </c>
      <c r="BQ11" s="5745"/>
      <c r="BR11" s="5745"/>
      <c r="BS11" s="5745"/>
      <c r="BT11" s="5745"/>
      <c r="BU11" s="5745"/>
      <c r="BV11" s="5745"/>
      <c r="BW11" s="5745"/>
      <c r="BX11" s="5745"/>
      <c r="BY11" s="5745"/>
      <c r="BZ11" s="5745"/>
      <c r="CA11" s="5745"/>
      <c r="CB11" s="5745"/>
      <c r="CC11" s="5745"/>
      <c r="CD11" s="5745"/>
      <c r="CE11" s="5745"/>
      <c r="CF11" s="5745"/>
      <c r="CG11" s="5745"/>
      <c r="CH11" s="5745"/>
      <c r="CI11" s="5745"/>
      <c r="CJ11" s="5745"/>
      <c r="CK11" s="5745"/>
      <c r="CL11" s="5745"/>
      <c r="CM11" s="5745"/>
      <c r="CN11" s="5745"/>
      <c r="CO11" s="5745"/>
      <c r="CP11" s="5745"/>
      <c r="CQ11" s="5745"/>
      <c r="CR11" s="5745"/>
      <c r="CS11" s="5745"/>
      <c r="CT11" s="5745"/>
    </row>
    <row r="12" spans="1:98" ht="15.75" x14ac:dyDescent="0.25">
      <c r="B12" s="2395" t="s">
        <v>621</v>
      </c>
      <c r="C12" s="973" t="s">
        <v>361</v>
      </c>
      <c r="D12" s="5756">
        <f>SUM(D10:D11)</f>
        <v>89599.675447839822</v>
      </c>
      <c r="E12" s="5756">
        <f>SUM(E10:E11)</f>
        <v>109479.00000000001</v>
      </c>
      <c r="F12" s="5756">
        <f>SUM(F10:F11)</f>
        <v>74792.949420442572</v>
      </c>
      <c r="G12" s="5756">
        <f>SUM(G10:G11)</f>
        <v>109694.35999999999</v>
      </c>
      <c r="H12" s="5351">
        <f t="shared" si="18"/>
        <v>164392.62486828241</v>
      </c>
      <c r="I12" s="5351">
        <f t="shared" si="18"/>
        <v>219173.36</v>
      </c>
      <c r="J12" s="5756">
        <f>SUM(J10:J11)</f>
        <v>76311.587987355102</v>
      </c>
      <c r="K12" s="5756">
        <f>SUM(K10:K11)</f>
        <v>87499.109999999986</v>
      </c>
      <c r="L12" s="5285">
        <f t="shared" si="2"/>
        <v>240704.21285563751</v>
      </c>
      <c r="M12" s="5285">
        <f t="shared" si="2"/>
        <v>306672.46999999997</v>
      </c>
      <c r="N12" s="5756">
        <f>SUM(N10:N11)</f>
        <v>90738.654373024227</v>
      </c>
      <c r="O12" s="5756">
        <f>SUM(O10:O11)</f>
        <v>114644.42000000001</v>
      </c>
      <c r="P12" s="5351">
        <f t="shared" si="19"/>
        <v>331442.86722866172</v>
      </c>
      <c r="Q12" s="5351">
        <f t="shared" si="20"/>
        <v>421316.89</v>
      </c>
      <c r="R12" s="5756">
        <f>SUM(R10:R11)</f>
        <v>90738.654373024227</v>
      </c>
      <c r="S12" s="5756">
        <f>SUM(S10:S11)</f>
        <v>118670.90999999999</v>
      </c>
      <c r="T12" s="5351">
        <f t="shared" si="4"/>
        <v>422181.52160168596</v>
      </c>
      <c r="U12" s="5351">
        <f t="shared" si="5"/>
        <v>539987.80000000005</v>
      </c>
      <c r="V12" s="5756">
        <f>SUM(V10:V11)</f>
        <v>88081.036880927277</v>
      </c>
      <c r="W12" s="5756">
        <f>SUM(W10:W11)</f>
        <v>105192.79999999996</v>
      </c>
      <c r="X12" s="5285">
        <f>SUM(X10:X11)</f>
        <v>269558.34562697576</v>
      </c>
      <c r="Y12" s="5285">
        <f>+O12+S12+W12</f>
        <v>338508.13</v>
      </c>
      <c r="Z12" s="5286">
        <f t="shared" ref="Z12:AA12" si="23">SUM(Z10:Z11)</f>
        <v>510262.5584826133</v>
      </c>
      <c r="AA12" s="5286">
        <f t="shared" si="23"/>
        <v>645180.59999999986</v>
      </c>
      <c r="AB12" s="5756">
        <f>SUM(AB10:AB11)</f>
        <v>93396.271865121176</v>
      </c>
      <c r="AC12" s="5756">
        <f>SUM(AC10:AC11)</f>
        <v>110588.97000000002</v>
      </c>
      <c r="AD12" s="5351">
        <f t="shared" si="7"/>
        <v>603658.8303477345</v>
      </c>
      <c r="AE12" s="5351">
        <f t="shared" si="8"/>
        <v>755769.56999999983</v>
      </c>
      <c r="AF12" s="5756">
        <f>SUM(AF10:AF11)</f>
        <v>90358.994731296087</v>
      </c>
      <c r="AG12" s="5756">
        <f>SUM(AG10:AG11)</f>
        <v>103724.59</v>
      </c>
      <c r="AH12" s="5351">
        <f t="shared" si="9"/>
        <v>694017.82507903059</v>
      </c>
      <c r="AI12" s="5351">
        <f t="shared" si="10"/>
        <v>859494.1599999998</v>
      </c>
      <c r="AJ12" s="5756">
        <f>SUM(AJ10:AJ11)</f>
        <v>93775.931506849302</v>
      </c>
      <c r="AK12" s="5756">
        <f>SUM(AK10:AK11)</f>
        <v>114335.59000000001</v>
      </c>
      <c r="AL12" s="5285">
        <f>SUM(AL10:AL11)</f>
        <v>277531.19810326654</v>
      </c>
      <c r="AM12" s="5285">
        <f>+AC12+AG12+AK12</f>
        <v>328649.15000000002</v>
      </c>
      <c r="AN12" s="5351">
        <f t="shared" si="12"/>
        <v>787793.75658587995</v>
      </c>
      <c r="AO12" s="5351">
        <f t="shared" si="13"/>
        <v>973829.74999999977</v>
      </c>
      <c r="AP12" s="5756">
        <f>SUM(AP10:AP11)</f>
        <v>93775.931506849302</v>
      </c>
      <c r="AQ12" s="5756">
        <f>SUM(AQ10:AQ11)</f>
        <v>100865.41</v>
      </c>
      <c r="AR12" s="5351">
        <f t="shared" si="14"/>
        <v>881569.68809272931</v>
      </c>
      <c r="AS12" s="5351">
        <f t="shared" si="15"/>
        <v>1074695.1599999997</v>
      </c>
      <c r="AT12" s="5756">
        <f>SUM(AT10:AT11)</f>
        <v>87321.717597471012</v>
      </c>
      <c r="AU12" s="5756">
        <f>SUM(AU10:AU11)</f>
        <v>109026.56</v>
      </c>
      <c r="AV12" s="5351">
        <f t="shared" si="16"/>
        <v>968891.40569020028</v>
      </c>
      <c r="AW12" s="5351">
        <f t="shared" si="17"/>
        <v>1183721.7199999997</v>
      </c>
      <c r="AX12" s="5756">
        <f>SUM(AX10:AX11)</f>
        <v>94155.591148577441</v>
      </c>
      <c r="AY12" s="5756">
        <f>SUM(AY10:AY11)</f>
        <v>106515.37999999999</v>
      </c>
      <c r="AZ12" s="5285">
        <f>SUM(AZ10:AZ11)</f>
        <v>275253.24025289778</v>
      </c>
      <c r="BA12" s="5285">
        <f>+AQ12+AU12+AY12</f>
        <v>316407.34999999998</v>
      </c>
      <c r="BB12" s="5286">
        <f t="shared" ref="BB12:BC12" si="24">SUM(BB10:BB11)</f>
        <v>552784.43835616438</v>
      </c>
      <c r="BC12" s="5286">
        <f t="shared" si="24"/>
        <v>645056.5</v>
      </c>
      <c r="BD12" s="5351">
        <f t="shared" si="21"/>
        <v>1063046.9968387778</v>
      </c>
      <c r="BE12" s="5351">
        <f t="shared" si="22"/>
        <v>1290237.0999999996</v>
      </c>
      <c r="BQ12" s="5745"/>
      <c r="BR12" s="5745"/>
      <c r="BS12" s="5745"/>
      <c r="BT12" s="5745"/>
      <c r="BU12" s="5745"/>
      <c r="BV12" s="5745"/>
      <c r="BW12" s="5745"/>
      <c r="BX12" s="5745"/>
      <c r="BY12" s="5745"/>
      <c r="BZ12" s="5745"/>
      <c r="CA12" s="5745"/>
      <c r="CB12" s="5745"/>
      <c r="CC12" s="5745"/>
      <c r="CD12" s="5745"/>
      <c r="CE12" s="5745"/>
      <c r="CF12" s="5745"/>
      <c r="CG12" s="5745"/>
      <c r="CH12" s="5745"/>
      <c r="CI12" s="5745"/>
      <c r="CJ12" s="5745"/>
      <c r="CK12" s="5745"/>
      <c r="CL12" s="5745"/>
      <c r="CM12" s="5745"/>
      <c r="CN12" s="5745"/>
      <c r="CO12" s="5745"/>
      <c r="CP12" s="5745"/>
      <c r="CQ12" s="5745"/>
      <c r="CR12" s="5745"/>
      <c r="CS12" s="5745"/>
      <c r="CT12" s="5745"/>
    </row>
    <row r="13" spans="1:98" s="183" customFormat="1" ht="15.75" x14ac:dyDescent="0.25">
      <c r="B13" s="5747" t="s">
        <v>618</v>
      </c>
      <c r="C13" s="980" t="s">
        <v>51</v>
      </c>
      <c r="D13" s="5757">
        <v>1</v>
      </c>
      <c r="E13" s="5757">
        <f>+E12/E8</f>
        <v>1.0364015514092195</v>
      </c>
      <c r="F13" s="5757">
        <v>1</v>
      </c>
      <c r="G13" s="5757">
        <f>+G12/G8</f>
        <v>1.2073673136910583</v>
      </c>
      <c r="H13" s="5758">
        <f>+H12/H8</f>
        <v>0.98103266596417282</v>
      </c>
      <c r="I13" s="5758">
        <f>+I12/I8</f>
        <v>1.1154545102592326</v>
      </c>
      <c r="J13" s="5757">
        <v>1</v>
      </c>
      <c r="K13" s="5757">
        <f>+K12/K8</f>
        <v>1.02501339266835</v>
      </c>
      <c r="L13" s="5759">
        <v>1</v>
      </c>
      <c r="M13" s="5759">
        <f t="shared" ref="M13:AA13" si="25">+M12/M8</f>
        <v>1.088062797652203</v>
      </c>
      <c r="N13" s="5757">
        <v>1</v>
      </c>
      <c r="O13" s="5757">
        <f>+O12/O8</f>
        <v>1.0162591921971038</v>
      </c>
      <c r="P13" s="5758">
        <v>1</v>
      </c>
      <c r="Q13" s="5758">
        <f t="shared" si="25"/>
        <v>1.0675384508995631</v>
      </c>
      <c r="R13" s="5757">
        <v>1</v>
      </c>
      <c r="S13" s="5757">
        <f>+S12/S8</f>
        <v>1.0315535081920904</v>
      </c>
      <c r="T13" s="5758">
        <v>1</v>
      </c>
      <c r="U13" s="5758">
        <f t="shared" ref="U13" si="26">+U12/U8</f>
        <v>1.0594165788220449</v>
      </c>
      <c r="V13" s="5757">
        <v>1</v>
      </c>
      <c r="W13" s="5757">
        <f>+W12/W8</f>
        <v>1.0237426450929468</v>
      </c>
      <c r="X13" s="5759">
        <v>1</v>
      </c>
      <c r="Y13" s="5759">
        <f t="shared" ref="Y13" si="27">+Y12/Y8</f>
        <v>1.0239070690506855</v>
      </c>
      <c r="Z13" s="5760">
        <v>1</v>
      </c>
      <c r="AA13" s="5760">
        <f t="shared" si="25"/>
        <v>1.0534314815284083</v>
      </c>
      <c r="AB13" s="5757">
        <v>1</v>
      </c>
      <c r="AC13" s="5757">
        <f>+AC12/AC8</f>
        <v>1.0556526372379587</v>
      </c>
      <c r="AD13" s="5758">
        <v>1</v>
      </c>
      <c r="AE13" s="5758">
        <f t="shared" ref="AE13" si="28">+AE12/AE8</f>
        <v>1.0537559110777297</v>
      </c>
      <c r="AF13" s="5757">
        <v>1</v>
      </c>
      <c r="AG13" s="5785">
        <f>+AG12/AG8</f>
        <v>1.1162863524029158</v>
      </c>
      <c r="AH13" s="5758">
        <v>1</v>
      </c>
      <c r="AI13" s="5758">
        <f t="shared" ref="AI13" si="29">+AI12/AI8</f>
        <v>1.0609279155597646</v>
      </c>
      <c r="AJ13" s="5757">
        <v>1</v>
      </c>
      <c r="AK13" s="5785">
        <f>+AK12/AK8</f>
        <v>1.1027397413268991</v>
      </c>
      <c r="AL13" s="5759">
        <v>1</v>
      </c>
      <c r="AM13" s="5759">
        <f t="shared" ref="AM13" si="30">+AM12/AM8</f>
        <v>1.0905482355088985</v>
      </c>
      <c r="AN13" s="5758">
        <v>1</v>
      </c>
      <c r="AO13" s="5758">
        <f t="shared" ref="AO13" si="31">+AO12/AO8</f>
        <v>1.0656719522655038</v>
      </c>
      <c r="AP13" s="5757">
        <v>1</v>
      </c>
      <c r="AQ13" s="5785">
        <f>+AQ12/AQ8</f>
        <v>1.0774438126792099</v>
      </c>
      <c r="AR13" s="5758">
        <v>1</v>
      </c>
      <c r="AS13" s="5758">
        <f t="shared" ref="AS13" si="32">+AS12/AS8</f>
        <v>1.0667658495433014</v>
      </c>
      <c r="AT13" s="5757">
        <v>1</v>
      </c>
      <c r="AU13" s="5785">
        <f>+AU12/AU8</f>
        <v>1.0901322277725931</v>
      </c>
      <c r="AV13" s="5758">
        <v>1</v>
      </c>
      <c r="AW13" s="5758">
        <f t="shared" ref="AW13" si="33">+AW12/AW8</f>
        <v>1.0688760429390205</v>
      </c>
      <c r="AX13" s="5757">
        <v>1</v>
      </c>
      <c r="AY13" s="5785">
        <f>+AY12/AY8</f>
        <v>0.95624424031321453</v>
      </c>
      <c r="AZ13" s="5759">
        <v>1</v>
      </c>
      <c r="BA13" s="5759">
        <f t="shared" ref="BA13" si="34">+BA12/BA8</f>
        <v>1.0373432974561287</v>
      </c>
      <c r="BB13" s="5760">
        <v>1</v>
      </c>
      <c r="BC13" s="5760">
        <f t="shared" ref="BC13" si="35">+BC12/BC8</f>
        <v>1.0637853912859141</v>
      </c>
      <c r="BD13" s="5758">
        <v>1</v>
      </c>
      <c r="BE13" s="5758">
        <f t="shared" ref="BE13" si="36">+BE12/BE8</f>
        <v>1.0585826214116942</v>
      </c>
      <c r="BF13" s="5745"/>
      <c r="BG13" s="5745"/>
      <c r="BH13" s="5745"/>
      <c r="BI13" s="5745"/>
      <c r="BJ13" s="5745"/>
      <c r="BK13" s="5745"/>
      <c r="BL13" s="5745"/>
      <c r="BM13" s="5745"/>
      <c r="BN13" s="5745"/>
      <c r="BO13" s="5745"/>
      <c r="BP13" s="5745"/>
      <c r="BQ13" s="5745"/>
      <c r="BR13" s="5745"/>
      <c r="BS13" s="5745"/>
      <c r="BT13" s="5745"/>
      <c r="BU13" s="5745"/>
      <c r="BV13" s="5745"/>
      <c r="BW13" s="5745"/>
      <c r="BX13" s="5745"/>
      <c r="BY13" s="5745"/>
      <c r="BZ13" s="5745"/>
      <c r="CA13" s="5745"/>
      <c r="CB13" s="5745"/>
      <c r="CC13" s="5745"/>
      <c r="CD13" s="5745"/>
      <c r="CE13" s="5745"/>
      <c r="CF13" s="5745"/>
      <c r="CG13" s="5745"/>
      <c r="CH13" s="5745"/>
      <c r="CI13" s="5745"/>
      <c r="CJ13" s="5745"/>
      <c r="CK13" s="5745"/>
      <c r="CL13" s="5745"/>
      <c r="CM13" s="5745"/>
      <c r="CN13" s="5745"/>
      <c r="CO13" s="5745"/>
      <c r="CP13" s="5745"/>
      <c r="CQ13" s="5745"/>
      <c r="CR13" s="5745"/>
      <c r="CS13" s="5745"/>
      <c r="CT13" s="5745"/>
    </row>
    <row r="14" spans="1:98" s="183" customFormat="1" ht="15.75" x14ac:dyDescent="0.25">
      <c r="B14" s="5747" t="s">
        <v>460</v>
      </c>
      <c r="C14" s="980" t="s">
        <v>361</v>
      </c>
      <c r="D14" s="5756">
        <f>+(D17*D18)/1000</f>
        <v>27024.150943396202</v>
      </c>
      <c r="E14" s="5756">
        <f>+SMS!F92</f>
        <v>24069.54</v>
      </c>
      <c r="F14" s="5756">
        <f>+(F17*F18)/1000</f>
        <v>22535.47169811315</v>
      </c>
      <c r="G14" s="5756">
        <f>+SMS!H92</f>
        <v>19985.12802</v>
      </c>
      <c r="H14" s="5351">
        <f>+D14+F14</f>
        <v>49559.622641509355</v>
      </c>
      <c r="I14" s="5351">
        <f>+E14+G14</f>
        <v>44054.668019999997</v>
      </c>
      <c r="J14" s="5756">
        <f>+(J17*J18)/1000</f>
        <v>22038.264150943363</v>
      </c>
      <c r="K14" s="5756">
        <f>+SMS!L92</f>
        <v>22152.800719999999</v>
      </c>
      <c r="L14" s="5285">
        <f>+D14+F14+J14</f>
        <v>71597.886792452715</v>
      </c>
      <c r="M14" s="5285">
        <f>+E14+G14+K14</f>
        <v>66207.468739999997</v>
      </c>
      <c r="N14" s="5756">
        <f>+(N17*N18)/1000</f>
        <v>27369.433962264102</v>
      </c>
      <c r="O14" s="5756">
        <f>+SMS!P92</f>
        <v>26683.411459999999</v>
      </c>
      <c r="P14" s="5351">
        <f t="shared" ref="P14:P15" si="37">+L14+N14</f>
        <v>98967.320754716813</v>
      </c>
      <c r="Q14" s="5351">
        <f t="shared" ref="Q14:Q15" si="38">+M14+O14</f>
        <v>92890.8802</v>
      </c>
      <c r="R14" s="5756">
        <f>+(R17*R18)/1000</f>
        <v>27369.433962264142</v>
      </c>
      <c r="S14" s="5756">
        <f>+SMS!T92</f>
        <v>28506.842421199999</v>
      </c>
      <c r="T14" s="5351">
        <f t="shared" ref="T14:T15" si="39">+P14+R14</f>
        <v>126336.75471698095</v>
      </c>
      <c r="U14" s="5351">
        <f t="shared" ref="U14:U15" si="40">+Q14+S14</f>
        <v>121397.7226212</v>
      </c>
      <c r="V14" s="5756">
        <f>+(V17*V18)/1000</f>
        <v>26563.773584905659</v>
      </c>
      <c r="W14" s="5756">
        <f>+SMS!X92</f>
        <v>27343.671593999999</v>
      </c>
      <c r="X14" s="5285">
        <f>N14+R14+V14</f>
        <v>81302.641509433903</v>
      </c>
      <c r="Y14" s="5285">
        <f>+O14+S14+W14</f>
        <v>82533.925475199998</v>
      </c>
      <c r="Z14" s="5286">
        <f>+X14+L14</f>
        <v>152900.52830188663</v>
      </c>
      <c r="AA14" s="5286">
        <f>+Y14+M14</f>
        <v>148741.39421519998</v>
      </c>
      <c r="AB14" s="5756">
        <f>+(AB17*AB18)/1000</f>
        <v>28175.094339622632</v>
      </c>
      <c r="AC14" s="5756">
        <f>+SMS!AD92</f>
        <v>32143.0724768</v>
      </c>
      <c r="AD14" s="5351">
        <f t="shared" ref="AD14:AD15" si="41">+Z14+AB14</f>
        <v>181075.62264150925</v>
      </c>
      <c r="AE14" s="5351">
        <f t="shared" ref="AE14:AE15" si="42">+AA14+AC14</f>
        <v>180884.46669199999</v>
      </c>
      <c r="AF14" s="5756">
        <f>+(AF17*AF18)/1000</f>
        <v>27254.339622641466</v>
      </c>
      <c r="AG14" s="5756">
        <f>+SMS!AH92</f>
        <v>27316.929588300001</v>
      </c>
      <c r="AH14" s="5351">
        <f t="shared" ref="AH14:AH15" si="43">+AD14+AF14</f>
        <v>208329.96226415073</v>
      </c>
      <c r="AI14" s="5351">
        <f t="shared" ref="AI14:AI15" si="44">+AE14+AG14</f>
        <v>208201.39628029999</v>
      </c>
      <c r="AJ14" s="5756">
        <f>+(AJ17*AJ18)/1000</f>
        <v>28290.188679245261</v>
      </c>
      <c r="AK14" s="5756">
        <f>+SMS!AL92</f>
        <v>32234.273913900004</v>
      </c>
      <c r="AL14" s="5285">
        <f>AB14+AF14+AJ14</f>
        <v>83719.622641509355</v>
      </c>
      <c r="AM14" s="5285">
        <f>+AC14+AG14+AK14</f>
        <v>91694.275978999998</v>
      </c>
      <c r="AN14" s="5351">
        <f t="shared" ref="AN14:AN15" si="45">+AH14+AJ14</f>
        <v>236620.150943396</v>
      </c>
      <c r="AO14" s="5351">
        <f t="shared" ref="AO14:AO15" si="46">+AI14+AK14</f>
        <v>240435.67019420001</v>
      </c>
      <c r="AP14" s="5756">
        <f>+(AP17*AP18)/1000</f>
        <v>28290.188679245261</v>
      </c>
      <c r="AQ14" s="5756">
        <f>+SMS!AR92</f>
        <v>29099.197399999997</v>
      </c>
      <c r="AR14" s="5351">
        <f t="shared" ref="AR14:AR15" si="47">+AN14+AP14</f>
        <v>264910.33962264127</v>
      </c>
      <c r="AS14" s="5351">
        <f t="shared" ref="AS14:AS15" si="48">+AO14+AQ14</f>
        <v>269534.86759420001</v>
      </c>
      <c r="AT14" s="5756">
        <f>+(AT17*AT18)/1000</f>
        <v>26333.584905660427</v>
      </c>
      <c r="AU14" s="5756">
        <f>+SMS!AV92</f>
        <v>27356.742301700004</v>
      </c>
      <c r="AV14" s="5351">
        <f t="shared" ref="AV14:AV15" si="49">+AR14+AT14</f>
        <v>291243.92452830169</v>
      </c>
      <c r="AW14" s="5351">
        <f t="shared" ref="AW14:AW15" si="50">+AS14+AU14</f>
        <v>296891.60989590001</v>
      </c>
      <c r="AX14" s="5756">
        <f>+(AX17*AX18)/1000</f>
        <v>28405.283018867893</v>
      </c>
      <c r="AY14" s="5756">
        <f>+SMS!AZ92</f>
        <v>31392.794137500001</v>
      </c>
      <c r="AZ14" s="5285">
        <f>AP14+AT14+AX14</f>
        <v>83029.056603773584</v>
      </c>
      <c r="BA14" s="5285">
        <f>+AQ14+AU14+AY14</f>
        <v>87848.733839199995</v>
      </c>
      <c r="BB14" s="5286">
        <f>+AZ14+AL14</f>
        <v>166748.67924528295</v>
      </c>
      <c r="BC14" s="5286">
        <f>+BA14+AM14</f>
        <v>179543.00981819999</v>
      </c>
      <c r="BD14" s="5351">
        <f t="shared" ref="BD14:BD15" si="51">+AV14+AX14</f>
        <v>319649.20754716959</v>
      </c>
      <c r="BE14" s="5351">
        <f t="shared" ref="BE14:BE15" si="52">+AW14+AY14</f>
        <v>328284.4040334</v>
      </c>
      <c r="BF14" s="5745"/>
      <c r="BG14" s="5745"/>
      <c r="BH14" s="5745"/>
      <c r="BI14" s="5745"/>
      <c r="BJ14" s="5745"/>
      <c r="BK14" s="5745"/>
      <c r="BL14" s="5745"/>
      <c r="BM14" s="5745"/>
      <c r="BN14" s="5745"/>
      <c r="BO14" s="5745"/>
      <c r="BP14" s="5745"/>
      <c r="BQ14" s="5745"/>
      <c r="BR14" s="5745"/>
      <c r="BS14" s="5745"/>
      <c r="BT14" s="5745"/>
      <c r="BU14" s="5745"/>
      <c r="BV14" s="5745"/>
      <c r="BW14" s="5745"/>
      <c r="BX14" s="5745"/>
      <c r="BY14" s="5745"/>
      <c r="BZ14" s="5745"/>
      <c r="CA14" s="5745"/>
      <c r="CB14" s="5745"/>
      <c r="CC14" s="5745"/>
      <c r="CD14" s="5745"/>
      <c r="CE14" s="5745"/>
      <c r="CF14" s="5745"/>
      <c r="CG14" s="5745"/>
      <c r="CH14" s="5745"/>
      <c r="CI14" s="5745"/>
      <c r="CJ14" s="5745"/>
      <c r="CK14" s="5745"/>
      <c r="CL14" s="5745"/>
      <c r="CM14" s="5745"/>
      <c r="CN14" s="5745"/>
      <c r="CO14" s="5745"/>
      <c r="CP14" s="5745"/>
      <c r="CQ14" s="5745"/>
      <c r="CR14" s="5745"/>
      <c r="CS14" s="5745"/>
      <c r="CT14" s="5745"/>
    </row>
    <row r="15" spans="1:98" s="183" customFormat="1" ht="15.75" x14ac:dyDescent="0.25">
      <c r="B15" s="5747" t="s">
        <v>431</v>
      </c>
      <c r="C15" s="980" t="s">
        <v>361</v>
      </c>
      <c r="D15" s="5756">
        <f>+(D14*D16)</f>
        <v>27024.150943396202</v>
      </c>
      <c r="E15" s="5756">
        <f>+E34</f>
        <v>91337.255999999965</v>
      </c>
      <c r="F15" s="5756">
        <f>+(F14*F16)</f>
        <v>22535.47169811315</v>
      </c>
      <c r="G15" s="5756">
        <f>+G34</f>
        <v>92178.75</v>
      </c>
      <c r="H15" s="5351">
        <f>+D15+F15</f>
        <v>49559.622641509355</v>
      </c>
      <c r="I15" s="5351">
        <f>+E15+G15</f>
        <v>183516.00599999996</v>
      </c>
      <c r="J15" s="5756">
        <f>+(J14*J16)</f>
        <v>22038.264150943363</v>
      </c>
      <c r="K15" s="5756">
        <f>+K34</f>
        <v>78724.997999999992</v>
      </c>
      <c r="L15" s="5285">
        <f>+D15+F15+J15</f>
        <v>71597.886792452715</v>
      </c>
      <c r="M15" s="5285">
        <f>+E15+G15+K15</f>
        <v>262241.00399999996</v>
      </c>
      <c r="N15" s="5756">
        <f>+(N14*N16)</f>
        <v>27369.433962264102</v>
      </c>
      <c r="O15" s="5756">
        <f>+O34</f>
        <v>100137.78</v>
      </c>
      <c r="P15" s="5351">
        <f t="shared" si="37"/>
        <v>98967.320754716813</v>
      </c>
      <c r="Q15" s="5351">
        <f t="shared" si="38"/>
        <v>362378.78399999999</v>
      </c>
      <c r="R15" s="5756">
        <f>+(R14*R16)</f>
        <v>27369.433962264142</v>
      </c>
      <c r="S15" s="5756">
        <f>+S34</f>
        <v>87707.010000000038</v>
      </c>
      <c r="T15" s="5351">
        <f t="shared" si="39"/>
        <v>126336.75471698095</v>
      </c>
      <c r="U15" s="5351">
        <f t="shared" si="40"/>
        <v>450085.79399999999</v>
      </c>
      <c r="V15" s="5756">
        <f>+(V14*V16)</f>
        <v>26563.773584905659</v>
      </c>
      <c r="W15" s="5756">
        <f>+W34</f>
        <v>75905.56000000007</v>
      </c>
      <c r="X15" s="5285">
        <f>N15+R15+V15</f>
        <v>81302.641509433903</v>
      </c>
      <c r="Y15" s="5285">
        <f>+O15+S15+W15</f>
        <v>263750.35000000009</v>
      </c>
      <c r="Z15" s="5286">
        <f>+X15+L15</f>
        <v>152900.52830188663</v>
      </c>
      <c r="AA15" s="5286">
        <f>+Y15+M15</f>
        <v>525991.35400000005</v>
      </c>
      <c r="AB15" s="5756">
        <f>+(AB14*AB16)</f>
        <v>28175.094339622632</v>
      </c>
      <c r="AC15" s="5756">
        <f>+AC34</f>
        <v>68339.09</v>
      </c>
      <c r="AD15" s="5351">
        <f t="shared" si="41"/>
        <v>181075.62264150925</v>
      </c>
      <c r="AE15" s="5351">
        <f t="shared" si="42"/>
        <v>594330.44400000002</v>
      </c>
      <c r="AF15" s="5756">
        <f>+(AF14*AF16)</f>
        <v>27254.339622641466</v>
      </c>
      <c r="AG15" s="5756">
        <f>+AG34</f>
        <v>65996.12</v>
      </c>
      <c r="AH15" s="5351">
        <f t="shared" si="43"/>
        <v>208329.96226415073</v>
      </c>
      <c r="AI15" s="5351">
        <f t="shared" si="44"/>
        <v>660326.56400000001</v>
      </c>
      <c r="AJ15" s="5756">
        <f>+(AJ14*AJ16)</f>
        <v>28290.188679245261</v>
      </c>
      <c r="AK15" s="5756">
        <f>+AK34</f>
        <v>78522.22</v>
      </c>
      <c r="AL15" s="5285">
        <f>AB15+AF15+AJ15</f>
        <v>83719.622641509355</v>
      </c>
      <c r="AM15" s="5285">
        <f>+AC15+AG15+AK15</f>
        <v>212857.43</v>
      </c>
      <c r="AN15" s="5351">
        <f t="shared" si="45"/>
        <v>236620.150943396</v>
      </c>
      <c r="AO15" s="5351">
        <f t="shared" si="46"/>
        <v>738848.78399999999</v>
      </c>
      <c r="AP15" s="5756">
        <f>+(AP14*AP16)</f>
        <v>28290.188679245261</v>
      </c>
      <c r="AQ15" s="5756">
        <f>+AQ34</f>
        <v>58781.95600000002</v>
      </c>
      <c r="AR15" s="5351">
        <f t="shared" si="47"/>
        <v>264910.33962264127</v>
      </c>
      <c r="AS15" s="5351">
        <f t="shared" si="48"/>
        <v>797630.74</v>
      </c>
      <c r="AT15" s="5756">
        <f>+(AT14*AT16)</f>
        <v>26333.584905660427</v>
      </c>
      <c r="AU15" s="5756">
        <f>+AU34</f>
        <v>73860.763999999996</v>
      </c>
      <c r="AV15" s="5351">
        <f t="shared" si="49"/>
        <v>291243.92452830169</v>
      </c>
      <c r="AW15" s="5351">
        <f t="shared" si="50"/>
        <v>871491.50399999996</v>
      </c>
      <c r="AX15" s="5756">
        <f>+(AX14*AX16)</f>
        <v>28405.283018867893</v>
      </c>
      <c r="AY15" s="5756">
        <f>+AY34</f>
        <v>160066.4</v>
      </c>
      <c r="AZ15" s="5285">
        <f>AP15+AT15+AX15</f>
        <v>83029.056603773584</v>
      </c>
      <c r="BA15" s="5285">
        <f>+AQ15+AU15+AY15</f>
        <v>292709.12</v>
      </c>
      <c r="BB15" s="5286">
        <f>+AZ15+AL15</f>
        <v>166748.67924528295</v>
      </c>
      <c r="BC15" s="5286">
        <f>+BA15+AM15</f>
        <v>505566.55</v>
      </c>
      <c r="BD15" s="5351">
        <f t="shared" si="51"/>
        <v>319649.20754716959</v>
      </c>
      <c r="BE15" s="5351">
        <f t="shared" si="52"/>
        <v>1031557.904</v>
      </c>
      <c r="BF15" s="5745"/>
      <c r="BG15" s="5745"/>
      <c r="BH15" s="5745"/>
      <c r="BI15" s="5745"/>
      <c r="BJ15" s="5745"/>
      <c r="BK15" s="5745"/>
      <c r="BL15" s="5745"/>
      <c r="BM15" s="5745"/>
      <c r="BN15" s="5745"/>
      <c r="BO15" s="5745"/>
      <c r="BP15" s="5745"/>
      <c r="BQ15" s="5745"/>
      <c r="BR15" s="5745"/>
      <c r="BS15" s="5745"/>
      <c r="BT15" s="5745"/>
      <c r="BU15" s="5745"/>
      <c r="BV15" s="5745"/>
      <c r="BW15" s="5745"/>
      <c r="BX15" s="5745"/>
      <c r="BY15" s="5745"/>
      <c r="BZ15" s="5745"/>
      <c r="CA15" s="5745"/>
      <c r="CB15" s="5745"/>
      <c r="CC15" s="5745"/>
      <c r="CD15" s="5745"/>
      <c r="CE15" s="5745"/>
      <c r="CF15" s="5745"/>
      <c r="CG15" s="5745"/>
      <c r="CH15" s="5745"/>
      <c r="CI15" s="5745"/>
      <c r="CJ15" s="5745"/>
      <c r="CK15" s="5745"/>
      <c r="CL15" s="5745"/>
      <c r="CM15" s="5745"/>
      <c r="CN15" s="5745"/>
      <c r="CO15" s="5745"/>
      <c r="CP15" s="5745"/>
      <c r="CQ15" s="5745"/>
      <c r="CR15" s="5745"/>
      <c r="CS15" s="5745"/>
      <c r="CT15" s="5745"/>
    </row>
    <row r="16" spans="1:98" s="125" customFormat="1" ht="15.75" x14ac:dyDescent="0.25">
      <c r="A16" s="183"/>
      <c r="B16" s="2398" t="s">
        <v>619</v>
      </c>
      <c r="C16" s="2399" t="s">
        <v>51</v>
      </c>
      <c r="D16" s="5786">
        <v>1</v>
      </c>
      <c r="E16" s="5786">
        <f>+E15/E14</f>
        <v>3.7947237878247759</v>
      </c>
      <c r="F16" s="5786">
        <v>1</v>
      </c>
      <c r="G16" s="5786">
        <f>+G15/G14</f>
        <v>4.6123672516759786</v>
      </c>
      <c r="H16" s="5787">
        <f>+H15/H14</f>
        <v>1</v>
      </c>
      <c r="I16" s="5787">
        <f>+I15/I14</f>
        <v>4.1656426945877136</v>
      </c>
      <c r="J16" s="5786">
        <v>1</v>
      </c>
      <c r="K16" s="5786">
        <f>+K15/K14</f>
        <v>3.5537266368728475</v>
      </c>
      <c r="L16" s="5786">
        <v>1</v>
      </c>
      <c r="M16" s="5786">
        <f>+M15/M14</f>
        <v>3.9608975994813114</v>
      </c>
      <c r="N16" s="5786">
        <v>1</v>
      </c>
      <c r="O16" s="5786">
        <f>+O15/O14</f>
        <v>3.7528102487986743</v>
      </c>
      <c r="P16" s="5786">
        <v>1</v>
      </c>
      <c r="Q16" s="5786">
        <f>+Q15/Q14</f>
        <v>3.9011233742190332</v>
      </c>
      <c r="R16" s="5786">
        <v>1</v>
      </c>
      <c r="S16" s="5786">
        <f>+S15/S14</f>
        <v>3.0767002779225381</v>
      </c>
      <c r="T16" s="5786">
        <v>1</v>
      </c>
      <c r="U16" s="5786">
        <f>+U15/U14</f>
        <v>3.7075307862604037</v>
      </c>
      <c r="V16" s="5786">
        <v>1</v>
      </c>
      <c r="W16" s="5786">
        <f>+W15/W14</f>
        <v>2.7759827256210894</v>
      </c>
      <c r="X16" s="5786">
        <v>1</v>
      </c>
      <c r="Y16" s="5786">
        <f>+Y15/Y14</f>
        <v>3.1956598269308354</v>
      </c>
      <c r="Z16" s="5786">
        <f>+Z15/Z14</f>
        <v>1</v>
      </c>
      <c r="AA16" s="5786">
        <f>+AA15/AA14</f>
        <v>3.5362809174626428</v>
      </c>
      <c r="AB16" s="5786">
        <v>1</v>
      </c>
      <c r="AC16" s="5786">
        <f>+AC15/AC14</f>
        <v>2.1260907789485683</v>
      </c>
      <c r="AD16" s="5786">
        <v>1</v>
      </c>
      <c r="AE16" s="5786">
        <f>+AE15/AE14</f>
        <v>3.2856908880517244</v>
      </c>
      <c r="AF16" s="5786">
        <v>1</v>
      </c>
      <c r="AG16" s="5786">
        <f>+AG15/AG14</f>
        <v>2.4159420913932625</v>
      </c>
      <c r="AH16" s="5786">
        <v>1</v>
      </c>
      <c r="AI16" s="5786">
        <f>+AI15/AI14</f>
        <v>3.1715760595140643</v>
      </c>
      <c r="AJ16" s="5786">
        <v>1</v>
      </c>
      <c r="AK16" s="5786">
        <f>+AK15/AK14</f>
        <v>2.435985380335798</v>
      </c>
      <c r="AL16" s="5786">
        <v>1</v>
      </c>
      <c r="AM16" s="5786">
        <f>+AM15/AM14</f>
        <v>2.3213818717402712</v>
      </c>
      <c r="AN16" s="5786">
        <v>1</v>
      </c>
      <c r="AO16" s="5786">
        <f>+AO15/AO14</f>
        <v>3.0729582819522223</v>
      </c>
      <c r="AP16" s="5786">
        <v>1</v>
      </c>
      <c r="AQ16" s="5786">
        <f>+AQ15/AQ14</f>
        <v>2.020054202594606</v>
      </c>
      <c r="AR16" s="5786">
        <v>1</v>
      </c>
      <c r="AS16" s="5786">
        <f>+AS15/AS14</f>
        <v>2.9592859251177779</v>
      </c>
      <c r="AT16" s="5786">
        <v>1</v>
      </c>
      <c r="AU16" s="5786">
        <f>+AU15/AU14</f>
        <v>2.6999108002494192</v>
      </c>
      <c r="AV16" s="5786">
        <v>1</v>
      </c>
      <c r="AW16" s="5786">
        <f>+AW15/AW14</f>
        <v>2.9353860969852721</v>
      </c>
      <c r="AX16" s="5786">
        <v>1</v>
      </c>
      <c r="AY16" s="5786">
        <f>+AY15/AY14</f>
        <v>5.0988261605166905</v>
      </c>
      <c r="AZ16" s="5786">
        <v>1</v>
      </c>
      <c r="BA16" s="5786">
        <f>+BA15/BA14</f>
        <v>3.3319674309225715</v>
      </c>
      <c r="BB16" s="5786">
        <f>+BB15/BB14</f>
        <v>1</v>
      </c>
      <c r="BC16" s="5786">
        <f>+BC15/BC14</f>
        <v>2.8158520374138871</v>
      </c>
      <c r="BD16" s="5786">
        <v>1</v>
      </c>
      <c r="BE16" s="5786">
        <f>+BE15/BE14</f>
        <v>3.1422689939758706</v>
      </c>
      <c r="BF16" s="5745"/>
      <c r="BG16" s="5745"/>
      <c r="BH16" s="5745"/>
      <c r="BI16" s="5745"/>
      <c r="BJ16" s="5745"/>
      <c r="BK16" s="5745"/>
      <c r="BL16" s="5745"/>
      <c r="BM16" s="5745"/>
      <c r="BN16" s="5745"/>
      <c r="BO16" s="5745"/>
      <c r="BP16" s="5745"/>
      <c r="BQ16" s="5745"/>
      <c r="BR16" s="5745"/>
      <c r="BS16" s="5745"/>
      <c r="BT16" s="5745"/>
      <c r="BU16" s="5745"/>
      <c r="BV16" s="5745"/>
      <c r="BW16" s="5745"/>
      <c r="BX16" s="5745"/>
      <c r="BY16" s="5745"/>
      <c r="BZ16" s="5745"/>
      <c r="CA16" s="5745"/>
      <c r="CB16" s="5745"/>
      <c r="CC16" s="5745"/>
      <c r="CD16" s="5745"/>
      <c r="CE16" s="5745"/>
      <c r="CF16" s="5745"/>
      <c r="CG16" s="5745"/>
      <c r="CH16" s="5745"/>
      <c r="CI16" s="5745"/>
      <c r="CJ16" s="5745"/>
      <c r="CK16" s="5745"/>
      <c r="CL16" s="5745"/>
      <c r="CM16" s="5745"/>
      <c r="CN16" s="5745"/>
      <c r="CO16" s="5745"/>
      <c r="CP16" s="5745"/>
      <c r="CQ16" s="5745"/>
      <c r="CR16" s="5745"/>
      <c r="CS16" s="5745"/>
      <c r="CT16" s="5745"/>
    </row>
    <row r="17" spans="1:98" s="183" customFormat="1" ht="15.75" x14ac:dyDescent="0.25">
      <c r="B17" s="5747" t="s">
        <v>837</v>
      </c>
      <c r="C17" s="980" t="s">
        <v>361</v>
      </c>
      <c r="D17" s="5756">
        <f>+'Maj Production Summ'!E18</f>
        <v>221509.43396226401</v>
      </c>
      <c r="E17" s="5756">
        <f>+'Maj Production Summ'!F18</f>
        <v>215539</v>
      </c>
      <c r="F17" s="5756">
        <f>+'Maj Production Summ'!G18</f>
        <v>184716.98113207502</v>
      </c>
      <c r="G17" s="5756">
        <f>+'Maj Production Summ'!H18</f>
        <v>175895</v>
      </c>
      <c r="H17" s="5351">
        <f>+'Maj Production Summ'!I18</f>
        <v>406226.41509433906</v>
      </c>
      <c r="I17" s="5351">
        <f>+'Maj Production Summ'!J18</f>
        <v>391434</v>
      </c>
      <c r="J17" s="5756">
        <f>+'Maj Production Summ'!K18</f>
        <v>180641.509433962</v>
      </c>
      <c r="K17" s="5756">
        <f>+'Maj Production Summ'!L18</f>
        <v>187063</v>
      </c>
      <c r="L17" s="5285">
        <f>+'Maj Production Summ'!M18</f>
        <v>586867.924528301</v>
      </c>
      <c r="M17" s="5285">
        <f>+'Maj Production Summ'!N18</f>
        <v>578497</v>
      </c>
      <c r="N17" s="5756">
        <f>+'Maj Production Summ'!O18</f>
        <v>224339.62264150902</v>
      </c>
      <c r="O17" s="5756">
        <f>+'Maj Production Summ'!P18</f>
        <v>230148</v>
      </c>
      <c r="P17" s="5351">
        <f>+'Maj Production Summ'!Q18</f>
        <v>811207.54716981004</v>
      </c>
      <c r="Q17" s="5351">
        <f>+'Maj Production Summ'!R18</f>
        <v>808645</v>
      </c>
      <c r="R17" s="5756">
        <f>+'Maj Production Summ'!S18</f>
        <v>224339.62264150943</v>
      </c>
      <c r="S17" s="5756">
        <f>+'Maj Production Summ'!T18</f>
        <v>224642</v>
      </c>
      <c r="T17" s="5351">
        <f>+'Maj Production Summ'!U18</f>
        <v>1035547.1698113194</v>
      </c>
      <c r="U17" s="5351">
        <f>+'Maj Production Summ'!V18</f>
        <v>1033287</v>
      </c>
      <c r="V17" s="5756">
        <f>+'Maj Production Summ'!W18</f>
        <v>217735.84905660377</v>
      </c>
      <c r="W17" s="5756">
        <f>+'Maj Production Summ'!X18</f>
        <v>210766</v>
      </c>
      <c r="X17" s="5285">
        <f>+'Maj Production Summ'!Y18</f>
        <v>666415.09433962218</v>
      </c>
      <c r="Y17" s="5285">
        <f>+'Maj Production Summ'!Z18</f>
        <v>665556</v>
      </c>
      <c r="Z17" s="5286">
        <f>+'Maj Production Summ'!AA18</f>
        <v>1253283.0188679232</v>
      </c>
      <c r="AA17" s="5286">
        <f>+'Maj Production Summ'!AB18</f>
        <v>1244053</v>
      </c>
      <c r="AB17" s="5756">
        <f>+'Maj Production Summ'!AC18</f>
        <v>230943.396226415</v>
      </c>
      <c r="AC17" s="5756">
        <f>+'Maj Production Summ'!AD18</f>
        <v>223439</v>
      </c>
      <c r="AD17" s="5351">
        <f>+'Maj Production Summ'!AE18</f>
        <v>1484226.4150943381</v>
      </c>
      <c r="AE17" s="5351">
        <f>+'Maj Production Summ'!AF18</f>
        <v>1467492</v>
      </c>
      <c r="AF17" s="5756">
        <f>+'Maj Production Summ'!AG18</f>
        <v>223396.22641509399</v>
      </c>
      <c r="AG17" s="5756">
        <f>+'Maj Production Summ'!AH18</f>
        <v>192334</v>
      </c>
      <c r="AH17" s="5351">
        <f>+'Maj Production Summ'!AI18</f>
        <v>1707622.6415094321</v>
      </c>
      <c r="AI17" s="5351">
        <f>+'Maj Production Summ'!AJ18</f>
        <v>1659826</v>
      </c>
      <c r="AJ17" s="5756">
        <f>+'Maj Production Summ'!AK18</f>
        <v>231886.79245283001</v>
      </c>
      <c r="AK17" s="5756">
        <f>+'Maj Production Summ'!AL18</f>
        <v>217585</v>
      </c>
      <c r="AL17" s="5285">
        <f>+'Maj Production Summ'!AM18</f>
        <v>686226.41509433906</v>
      </c>
      <c r="AM17" s="5285">
        <f>+'Maj Production Summ'!AN18</f>
        <v>633358</v>
      </c>
      <c r="AN17" s="5351">
        <f>+'Maj Production Summ'!AO18</f>
        <v>1939509.4339622622</v>
      </c>
      <c r="AO17" s="5351">
        <f>+'Maj Production Summ'!AP18</f>
        <v>1877411</v>
      </c>
      <c r="AP17" s="5756">
        <f>+'Maj Production Summ'!AQ18</f>
        <v>231886.79245283001</v>
      </c>
      <c r="AQ17" s="5756">
        <f>+'Maj Production Summ'!AR18</f>
        <v>217679</v>
      </c>
      <c r="AR17" s="5351">
        <f>+'Maj Production Summ'!AS18</f>
        <v>2171396.2264150921</v>
      </c>
      <c r="AS17" s="5351">
        <f>+'Maj Production Summ'!AT18</f>
        <v>2095090</v>
      </c>
      <c r="AT17" s="5756">
        <f>+'Maj Production Summ'!AU18</f>
        <v>215849.05660377399</v>
      </c>
      <c r="AU17" s="5756">
        <f>+'Maj Production Summ'!AV18</f>
        <v>214408</v>
      </c>
      <c r="AV17" s="5351">
        <f>+'Maj Production Summ'!AW18</f>
        <v>2387245.2830188661</v>
      </c>
      <c r="AW17" s="5351">
        <f>+'Maj Production Summ'!AX18</f>
        <v>2309498</v>
      </c>
      <c r="AX17" s="5756">
        <f>+'Maj Production Summ'!AY18</f>
        <v>232830.18867924501</v>
      </c>
      <c r="AY17" s="5756">
        <f>+'Maj Production Summ'!AZ18</f>
        <v>219427</v>
      </c>
      <c r="AZ17" s="5285">
        <f>+'Maj Production Summ'!BA18</f>
        <v>680566.03773584892</v>
      </c>
      <c r="BA17" s="5285">
        <f>+'Maj Production Summ'!BB18</f>
        <v>651514</v>
      </c>
      <c r="BB17" s="5286">
        <f>+'Maj Production Summ'!BC18</f>
        <v>1366792.452830188</v>
      </c>
      <c r="BC17" s="5286">
        <f>+'Maj Production Summ'!BD18</f>
        <v>1284872</v>
      </c>
      <c r="BD17" s="5351">
        <f>+'Maj Production Summ'!BA18</f>
        <v>680566.03773584892</v>
      </c>
      <c r="BE17" s="5351">
        <f>+'Maj Production Summ'!BB18</f>
        <v>651514</v>
      </c>
      <c r="BF17" s="5745"/>
      <c r="BG17" s="5745"/>
      <c r="BH17" s="5745"/>
      <c r="BI17" s="5745"/>
      <c r="BJ17" s="5745"/>
      <c r="BK17" s="5745"/>
      <c r="BL17" s="5745"/>
      <c r="BM17" s="5745"/>
      <c r="BN17" s="5745"/>
      <c r="BO17" s="5745"/>
      <c r="BP17" s="5745"/>
      <c r="BQ17" s="5745"/>
      <c r="BR17" s="5745"/>
      <c r="BS17" s="5745"/>
      <c r="BT17" s="5745"/>
      <c r="BU17" s="5745"/>
      <c r="BV17" s="5745"/>
      <c r="BW17" s="5745"/>
      <c r="BX17" s="5745"/>
      <c r="BY17" s="5745"/>
      <c r="BZ17" s="5745"/>
      <c r="CA17" s="5745"/>
      <c r="CB17" s="5745"/>
      <c r="CC17" s="5745"/>
      <c r="CD17" s="5745"/>
      <c r="CE17" s="5745"/>
      <c r="CF17" s="5745"/>
      <c r="CG17" s="5745"/>
      <c r="CH17" s="5745"/>
      <c r="CI17" s="5745"/>
      <c r="CJ17" s="5745"/>
      <c r="CK17" s="5745"/>
      <c r="CL17" s="5745"/>
      <c r="CM17" s="5745"/>
      <c r="CN17" s="5745"/>
      <c r="CO17" s="5745"/>
      <c r="CP17" s="5745"/>
      <c r="CQ17" s="5745"/>
      <c r="CR17" s="5745"/>
      <c r="CS17" s="5745"/>
      <c r="CT17" s="5745"/>
    </row>
    <row r="18" spans="1:98" ht="15.75" x14ac:dyDescent="0.25">
      <c r="A18" s="183"/>
      <c r="B18" s="2394" t="s">
        <v>1593</v>
      </c>
      <c r="C18" s="978" t="s">
        <v>1592</v>
      </c>
      <c r="D18" s="5761">
        <f>+SMS!E94</f>
        <v>121.99999999999997</v>
      </c>
      <c r="E18" s="5762">
        <f>+SMS!F94</f>
        <v>111.67139125633877</v>
      </c>
      <c r="F18" s="5761">
        <f>+SMS!G94</f>
        <v>122</v>
      </c>
      <c r="G18" s="5762">
        <f>+SMS!H94</f>
        <v>113.61964819920975</v>
      </c>
      <c r="H18" s="5763">
        <f>+SMS!I94</f>
        <v>121.99999999999997</v>
      </c>
      <c r="I18" s="5763">
        <f>+SMS!J94</f>
        <v>112.54686108002882</v>
      </c>
      <c r="J18" s="5761">
        <f>+SMS!K94</f>
        <v>122</v>
      </c>
      <c r="K18" s="5762">
        <f>+SMS!L94</f>
        <v>118.42427802398123</v>
      </c>
      <c r="L18" s="5764">
        <f>+SMS!M94</f>
        <v>121.99999999999999</v>
      </c>
      <c r="M18" s="5764">
        <f>+SMS!N94</f>
        <v>114.4473847573972</v>
      </c>
      <c r="N18" s="5761">
        <f>+SMS!O94</f>
        <v>122</v>
      </c>
      <c r="O18" s="5762">
        <f>+SMS!P94</f>
        <v>115.94022741887828</v>
      </c>
      <c r="P18" s="5763">
        <f>+SMS!Q94</f>
        <v>121.99999999999999</v>
      </c>
      <c r="Q18" s="5763">
        <f>+SMS!R94</f>
        <v>114.87226187016554</v>
      </c>
      <c r="R18" s="5761">
        <f>+SMS!S94</f>
        <v>121.99999999999997</v>
      </c>
      <c r="S18" s="5762">
        <f>+SMS!T94</f>
        <v>126.89898781706002</v>
      </c>
      <c r="T18" s="5763">
        <f>+SMS!U94</f>
        <v>121.99999999999999</v>
      </c>
      <c r="U18" s="5763">
        <f>+SMS!V94</f>
        <v>117.48693501534424</v>
      </c>
      <c r="V18" s="5761">
        <f>+SMS!W94</f>
        <v>122</v>
      </c>
      <c r="W18" s="5762">
        <f>+SMS!X94</f>
        <v>129.73473707334199</v>
      </c>
      <c r="X18" s="5764">
        <f>+SMS!Y94</f>
        <v>122</v>
      </c>
      <c r="Y18" s="5764">
        <f>+SMS!Z94</f>
        <v>124.00748468228068</v>
      </c>
      <c r="Z18" s="5765">
        <f>+SMS!AA94</f>
        <v>122</v>
      </c>
      <c r="AA18" s="5765">
        <f>+SMS!AB94</f>
        <v>119.56194327347791</v>
      </c>
      <c r="AB18" s="5761">
        <f>+SMS!AC94</f>
        <v>122</v>
      </c>
      <c r="AC18" s="5762">
        <f>+SMS!AD94</f>
        <v>143.85614184094987</v>
      </c>
      <c r="AD18" s="5763">
        <f>+SMS!AE94</f>
        <v>122</v>
      </c>
      <c r="AE18" s="5763">
        <f>+SMS!AF94</f>
        <v>123.26095589754493</v>
      </c>
      <c r="AF18" s="5761">
        <f>+SMS!AG94</f>
        <v>122</v>
      </c>
      <c r="AG18" s="5762">
        <f>+SMS!AH94</f>
        <v>142.02860434608547</v>
      </c>
      <c r="AH18" s="5763">
        <f>+SMS!AI94</f>
        <v>122.00000000000001</v>
      </c>
      <c r="AI18" s="5763">
        <f>+SMS!AJ94</f>
        <v>125.43567595657618</v>
      </c>
      <c r="AJ18" s="5761">
        <f>+SMS!AK94</f>
        <v>122</v>
      </c>
      <c r="AK18" s="5762">
        <f>+SMS!AL94</f>
        <v>148.14566221890297</v>
      </c>
      <c r="AL18" s="5764">
        <f>+SMS!AM94</f>
        <v>121.99999999999999</v>
      </c>
      <c r="AM18" s="5764">
        <f>+SMS!AN94</f>
        <v>144.77479715895274</v>
      </c>
      <c r="AN18" s="5763">
        <f>+SMS!AO94</f>
        <v>122.00000000000001</v>
      </c>
      <c r="AO18" s="5763">
        <f>+SMS!AP94</f>
        <v>128.06767947679012</v>
      </c>
      <c r="AP18" s="5761">
        <f>+SMS!AQ94</f>
        <v>122</v>
      </c>
      <c r="AQ18" s="5762">
        <f>+SMS!AR94</f>
        <v>133.67939672637229</v>
      </c>
      <c r="AR18" s="5763">
        <f>+SMS!AS94</f>
        <v>122.00000000000001</v>
      </c>
      <c r="AS18" s="5763">
        <f>+SMS!AT94</f>
        <v>128.65073461961063</v>
      </c>
      <c r="AT18" s="5761">
        <f>+SMS!AU94</f>
        <v>122</v>
      </c>
      <c r="AU18" s="5762">
        <f>+SMS!AV94</f>
        <v>127.5919849152084</v>
      </c>
      <c r="AV18" s="5763">
        <f>+SMS!AW94</f>
        <v>122.00000000000001</v>
      </c>
      <c r="AW18" s="5763">
        <f>+SMS!AX94</f>
        <v>128.55244295336044</v>
      </c>
      <c r="AX18" s="5761">
        <f>+SMS!AY94</f>
        <v>122</v>
      </c>
      <c r="AY18" s="5762">
        <f>+SMS!AZ94</f>
        <v>143.06714368559932</v>
      </c>
      <c r="AZ18" s="5764">
        <f>+SMS!BA94</f>
        <v>122.00000000000003</v>
      </c>
      <c r="BA18" s="5764">
        <f>+SMS!BB94</f>
        <v>134.83782979214567</v>
      </c>
      <c r="BB18" s="5765">
        <f>+SMS!BC94</f>
        <v>122.00000000000001</v>
      </c>
      <c r="BC18" s="5765">
        <f>+SMS!BD94</f>
        <v>139.73610586751053</v>
      </c>
      <c r="BD18" s="5763">
        <f>+SMS!BA94</f>
        <v>122.00000000000003</v>
      </c>
      <c r="BE18" s="5763">
        <f>+SMS!BB94</f>
        <v>134.83782979214567</v>
      </c>
      <c r="BF18" s="5745"/>
      <c r="BG18" s="5745"/>
      <c r="BH18" s="5745"/>
      <c r="BI18" s="5745"/>
      <c r="BJ18" s="5745"/>
      <c r="BK18" s="5745"/>
      <c r="BL18" s="5745"/>
      <c r="BM18" s="5745"/>
      <c r="BN18" s="5745"/>
      <c r="BO18" s="5745"/>
      <c r="BP18" s="5745"/>
      <c r="BQ18" s="5745"/>
      <c r="BR18" s="5745"/>
      <c r="BS18" s="5745"/>
      <c r="BT18" s="5745"/>
      <c r="BU18" s="5745"/>
      <c r="BV18" s="5745"/>
      <c r="BW18" s="5745"/>
      <c r="BX18" s="5745"/>
      <c r="BY18" s="5745"/>
      <c r="BZ18" s="5745"/>
      <c r="CA18" s="5745"/>
      <c r="CB18" s="5745"/>
      <c r="CC18" s="5745"/>
      <c r="CD18" s="5745"/>
      <c r="CE18" s="5745"/>
      <c r="CF18" s="5745"/>
      <c r="CG18" s="5745"/>
      <c r="CH18" s="5745"/>
      <c r="CI18" s="5745"/>
      <c r="CJ18" s="5745"/>
      <c r="CK18" s="5745"/>
      <c r="CL18" s="5745"/>
      <c r="CM18" s="5745"/>
      <c r="CN18" s="5745"/>
      <c r="CO18" s="5745"/>
      <c r="CP18" s="5745"/>
      <c r="CQ18" s="5745"/>
      <c r="CR18" s="5745"/>
      <c r="CS18" s="5745"/>
      <c r="CT18" s="5745"/>
    </row>
    <row r="19" spans="1:98" ht="15.75" x14ac:dyDescent="0.25">
      <c r="A19" s="183"/>
      <c r="B19" s="978"/>
      <c r="C19" s="978"/>
      <c r="D19" s="5761"/>
      <c r="E19" s="5762"/>
      <c r="F19" s="5761"/>
      <c r="G19" s="5762"/>
      <c r="H19" s="5763"/>
      <c r="I19" s="5763"/>
      <c r="J19" s="5761"/>
      <c r="K19" s="5762"/>
      <c r="L19" s="5764"/>
      <c r="M19" s="5764"/>
      <c r="N19" s="5761"/>
      <c r="O19" s="5762"/>
      <c r="P19" s="5763"/>
      <c r="Q19" s="5763"/>
      <c r="R19" s="5761"/>
      <c r="S19" s="5762"/>
      <c r="T19" s="5763"/>
      <c r="U19" s="5763"/>
      <c r="V19" s="5761"/>
      <c r="W19" s="5762"/>
      <c r="X19" s="5764"/>
      <c r="Y19" s="5764"/>
      <c r="Z19" s="5765"/>
      <c r="AA19" s="5765"/>
      <c r="AB19" s="5761"/>
      <c r="AC19" s="5762"/>
      <c r="AD19" s="5763"/>
      <c r="AE19" s="5763"/>
      <c r="AF19" s="5761"/>
      <c r="AG19" s="5762"/>
      <c r="AH19" s="5763"/>
      <c r="AI19" s="5763"/>
      <c r="AJ19" s="5761"/>
      <c r="AK19" s="5762"/>
      <c r="AL19" s="5764"/>
      <c r="AM19" s="5764"/>
      <c r="AN19" s="5763"/>
      <c r="AO19" s="5763"/>
      <c r="AP19" s="5761"/>
      <c r="AQ19" s="5762"/>
      <c r="AR19" s="5763"/>
      <c r="AS19" s="5763"/>
      <c r="AT19" s="5761"/>
      <c r="AU19" s="5762"/>
      <c r="AV19" s="5763"/>
      <c r="AW19" s="5763"/>
      <c r="AX19" s="5761"/>
      <c r="AY19" s="5762"/>
      <c r="AZ19" s="5764"/>
      <c r="BA19" s="5764"/>
      <c r="BB19" s="5765"/>
      <c r="BC19" s="5765"/>
      <c r="BD19" s="5763"/>
      <c r="BE19" s="5763"/>
      <c r="BF19" s="5745"/>
      <c r="BG19" s="5745"/>
      <c r="BH19" s="5745"/>
      <c r="BI19" s="5745"/>
      <c r="BJ19" s="5745"/>
      <c r="BK19" s="5745"/>
      <c r="BL19" s="5745"/>
      <c r="BM19" s="5745"/>
      <c r="BN19" s="5745"/>
      <c r="BO19" s="5745"/>
      <c r="BP19" s="5745"/>
      <c r="BQ19" s="5745"/>
      <c r="BR19" s="5745"/>
      <c r="BS19" s="5745"/>
      <c r="BT19" s="5745"/>
      <c r="BU19" s="5745"/>
      <c r="BV19" s="5745"/>
      <c r="BW19" s="5745"/>
      <c r="BX19" s="5745"/>
      <c r="BY19" s="5745"/>
      <c r="BZ19" s="5745"/>
      <c r="CA19" s="5745"/>
      <c r="CB19" s="5745"/>
      <c r="CC19" s="5745"/>
      <c r="CD19" s="5745"/>
      <c r="CE19" s="5745"/>
      <c r="CF19" s="5745"/>
      <c r="CG19" s="5745"/>
      <c r="CH19" s="5745"/>
      <c r="CI19" s="5745"/>
      <c r="CJ19" s="5745"/>
      <c r="CK19" s="5745"/>
      <c r="CL19" s="5745"/>
      <c r="CM19" s="5745"/>
      <c r="CN19" s="5745"/>
      <c r="CO19" s="5745"/>
      <c r="CP19" s="5745"/>
      <c r="CQ19" s="5745"/>
      <c r="CR19" s="5745"/>
      <c r="CS19" s="5745"/>
      <c r="CT19" s="5745"/>
    </row>
    <row r="20" spans="1:98" s="183" customFormat="1" ht="15" customHeight="1" x14ac:dyDescent="0.25">
      <c r="B20" s="5789" t="s">
        <v>1594</v>
      </c>
      <c r="C20" s="973" t="s">
        <v>361</v>
      </c>
      <c r="D20" s="5766"/>
      <c r="E20" s="5767">
        <f>+'Direct sales IPT details'!E103</f>
        <v>39541.559999999954</v>
      </c>
      <c r="F20" s="5766"/>
      <c r="G20" s="5767">
        <f>+'Direct sales IPT details'!G103</f>
        <v>69202.36</v>
      </c>
      <c r="H20" s="5351"/>
      <c r="I20" s="5351">
        <f>+G20+E20</f>
        <v>108743.91999999995</v>
      </c>
      <c r="J20" s="5766"/>
      <c r="K20" s="5767">
        <f>+'Direct sales IPT details'!K103</f>
        <v>42122.9</v>
      </c>
      <c r="L20" s="5768"/>
      <c r="M20" s="5285">
        <f>+E20+G20+K20</f>
        <v>150866.81999999995</v>
      </c>
      <c r="N20" s="5766"/>
      <c r="O20" s="5767">
        <f>+'Direct sales IPT details'!O103</f>
        <v>80044.06</v>
      </c>
      <c r="P20" s="5763"/>
      <c r="Q20" s="5351">
        <f>+O20+M20</f>
        <v>230910.87999999995</v>
      </c>
      <c r="R20" s="5766"/>
      <c r="S20" s="5767">
        <f>+'Direct sales IPT details'!S103</f>
        <v>60994.370000000039</v>
      </c>
      <c r="T20" s="5763"/>
      <c r="U20" s="5351">
        <f>+S20+Q20</f>
        <v>291905.25</v>
      </c>
      <c r="V20" s="5766"/>
      <c r="W20" s="5767">
        <f>+'Direct sales IPT details'!W103</f>
        <v>60281.960000000065</v>
      </c>
      <c r="X20" s="5768"/>
      <c r="Y20" s="5285">
        <f>+O20+S20+W20</f>
        <v>201320.39000000013</v>
      </c>
      <c r="Z20" s="5765"/>
      <c r="AA20" s="5286">
        <f>+Y20+M20</f>
        <v>352187.21000000008</v>
      </c>
      <c r="AB20" s="5766"/>
      <c r="AC20" s="5767">
        <f>+'Direct sales IPT details'!AC103</f>
        <v>27090.890000000003</v>
      </c>
      <c r="AD20" s="5763"/>
      <c r="AE20" s="5351">
        <f>+AC20+AA20</f>
        <v>379278.10000000009</v>
      </c>
      <c r="AF20" s="5766"/>
      <c r="AG20" s="5767">
        <f>+'Direct sales IPT details'!AG103</f>
        <v>40203.550000000003</v>
      </c>
      <c r="AH20" s="5763"/>
      <c r="AI20" s="5351">
        <f>+AG20+AE20</f>
        <v>419481.65000000008</v>
      </c>
      <c r="AJ20" s="5766"/>
      <c r="AK20" s="5767">
        <f>+'Direct sales IPT details'!AK103</f>
        <v>43938.85</v>
      </c>
      <c r="AL20" s="5768"/>
      <c r="AM20" s="5285">
        <f>+AC20+AG20+AK20</f>
        <v>111233.29000000001</v>
      </c>
      <c r="AN20" s="5763"/>
      <c r="AO20" s="5351">
        <f>+AK20+AI20</f>
        <v>463420.50000000006</v>
      </c>
      <c r="AP20" s="5766"/>
      <c r="AQ20" s="5767">
        <f>+'Direct sales IPT details'!AQ103</f>
        <v>30507.420000000027</v>
      </c>
      <c r="AR20" s="5763"/>
      <c r="AS20" s="5351">
        <f>+AQ20+AO20</f>
        <v>493927.9200000001</v>
      </c>
      <c r="AT20" s="5766"/>
      <c r="AU20" s="5767">
        <f>+'Direct sales IPT details'!AU103</f>
        <v>27759.25</v>
      </c>
      <c r="AV20" s="5763"/>
      <c r="AW20" s="5351">
        <f>+AU20+AS20</f>
        <v>521687.1700000001</v>
      </c>
      <c r="AX20" s="5766"/>
      <c r="AY20" s="5767">
        <f>+'Direct sales IPT details'!AY103</f>
        <v>41773.629999999997</v>
      </c>
      <c r="AZ20" s="5768"/>
      <c r="BA20" s="5285">
        <f>+AQ20+AU20+AY20</f>
        <v>100040.30000000002</v>
      </c>
      <c r="BB20" s="5765"/>
      <c r="BC20" s="5286">
        <f t="shared" ref="BC20:BC33" si="53">+BA20+AM20</f>
        <v>211273.59000000003</v>
      </c>
      <c r="BD20" s="5763"/>
      <c r="BE20" s="5351">
        <f>+AY20+AW20</f>
        <v>563460.80000000005</v>
      </c>
      <c r="BF20" s="5745"/>
      <c r="BG20" s="5745"/>
      <c r="BH20" s="5745"/>
      <c r="BI20" s="5745"/>
      <c r="BJ20" s="5745"/>
      <c r="BK20" s="5745"/>
      <c r="BL20" s="5745"/>
      <c r="BM20" s="5745"/>
      <c r="BN20" s="5745"/>
      <c r="BO20" s="5745"/>
      <c r="BP20" s="5745"/>
      <c r="BQ20" s="5745"/>
      <c r="BR20" s="5745"/>
      <c r="BS20" s="5745"/>
      <c r="BT20" s="5745"/>
      <c r="BU20" s="5745"/>
      <c r="BV20" s="5745"/>
      <c r="BW20" s="5745"/>
      <c r="BX20" s="5745"/>
      <c r="BY20" s="5745"/>
      <c r="BZ20" s="5745"/>
      <c r="CA20" s="5745"/>
      <c r="CB20" s="5745"/>
      <c r="CC20" s="5745"/>
      <c r="CD20" s="5745"/>
      <c r="CE20" s="5745"/>
      <c r="CF20" s="5745"/>
      <c r="CG20" s="5745"/>
      <c r="CH20" s="5745"/>
      <c r="CI20" s="5745"/>
      <c r="CJ20" s="5745"/>
      <c r="CK20" s="5745"/>
      <c r="CL20" s="5745"/>
      <c r="CM20" s="5745"/>
      <c r="CN20" s="5745"/>
      <c r="CO20" s="5745"/>
      <c r="CP20" s="5745"/>
      <c r="CQ20" s="5745"/>
      <c r="CR20" s="5745"/>
      <c r="CS20" s="5745"/>
      <c r="CT20" s="5745"/>
    </row>
    <row r="21" spans="1:98" ht="15.75" x14ac:dyDescent="0.25">
      <c r="A21" s="183"/>
      <c r="B21" s="5792" t="s">
        <v>999</v>
      </c>
      <c r="C21" s="973" t="s">
        <v>361</v>
      </c>
      <c r="D21" s="6528">
        <v>11000</v>
      </c>
      <c r="E21" s="5368">
        <f>+'Direct sales IPT details'!E105</f>
        <v>3599.5699999999997</v>
      </c>
      <c r="F21" s="6528">
        <v>11000</v>
      </c>
      <c r="G21" s="5368">
        <f>+'Direct sales IPT details'!G105</f>
        <v>0</v>
      </c>
      <c r="H21" s="6534">
        <f t="shared" ref="H21" si="54">+F21+D21</f>
        <v>22000</v>
      </c>
      <c r="I21" s="5351">
        <f t="shared" ref="I21:I33" si="55">+G21+E21</f>
        <v>3599.5699999999997</v>
      </c>
      <c r="J21" s="6528">
        <v>11000</v>
      </c>
      <c r="K21" s="5368">
        <f>+'Direct sales IPT details'!K105</f>
        <v>2822.76</v>
      </c>
      <c r="L21" s="6532">
        <f>+D21+F21+J21</f>
        <v>33000</v>
      </c>
      <c r="M21" s="5285">
        <f t="shared" ref="M21:M33" si="56">+E21+G21+K21</f>
        <v>6422.33</v>
      </c>
      <c r="N21" s="6528">
        <v>11000</v>
      </c>
      <c r="O21" s="5368">
        <f>+'Direct sales IPT details'!O105</f>
        <v>5175.57</v>
      </c>
      <c r="P21" s="6534">
        <f>+N21+L21</f>
        <v>44000</v>
      </c>
      <c r="Q21" s="5351">
        <f t="shared" ref="Q21:Q33" si="57">+O21+M21</f>
        <v>11597.9</v>
      </c>
      <c r="R21" s="6528">
        <v>11000</v>
      </c>
      <c r="S21" s="5368">
        <f>+'Direct sales IPT details'!S105</f>
        <v>4999.3300000000008</v>
      </c>
      <c r="T21" s="6534">
        <f>+R21+P21</f>
        <v>55000</v>
      </c>
      <c r="U21" s="5351">
        <f t="shared" ref="U21:U33" si="58">+S21+Q21</f>
        <v>16597.23</v>
      </c>
      <c r="V21" s="6528">
        <v>11000</v>
      </c>
      <c r="W21" s="5368">
        <f>+'Direct sales IPT details'!W105</f>
        <v>0</v>
      </c>
      <c r="X21" s="6532">
        <f>N21+R21+V21</f>
        <v>33000</v>
      </c>
      <c r="Y21" s="5285">
        <f t="shared" ref="Y21:Y33" si="59">+O21+S21+W21</f>
        <v>10174.900000000001</v>
      </c>
      <c r="Z21" s="6533">
        <f>+X21+L21</f>
        <v>66000</v>
      </c>
      <c r="AA21" s="5286">
        <f t="shared" ref="AA21:AA33" si="60">+Y21+M21</f>
        <v>16597.230000000003</v>
      </c>
      <c r="AB21" s="6528">
        <v>12000</v>
      </c>
      <c r="AC21" s="5368">
        <f>+'Direct sales IPT details'!AC105</f>
        <v>12178.010000000006</v>
      </c>
      <c r="AD21" s="6529">
        <f>+AB21+Z21</f>
        <v>78000</v>
      </c>
      <c r="AE21" s="5351">
        <f t="shared" ref="AE21:AE33" si="61">+AC21+AA21</f>
        <v>28775.240000000009</v>
      </c>
      <c r="AF21" s="6528">
        <v>12000</v>
      </c>
      <c r="AG21" s="5368">
        <f>+'Direct sales IPT details'!AG105</f>
        <v>0</v>
      </c>
      <c r="AH21" s="6529">
        <f>+AF21+AD21</f>
        <v>90000</v>
      </c>
      <c r="AI21" s="5351">
        <f t="shared" ref="AI21:AI33" si="62">+AG21+AE21</f>
        <v>28775.240000000009</v>
      </c>
      <c r="AJ21" s="6528">
        <v>12000</v>
      </c>
      <c r="AK21" s="5368">
        <f>+'Direct sales IPT details'!AK105</f>
        <v>2835.77</v>
      </c>
      <c r="AL21" s="6532">
        <f>AB21+AF21+AJ21</f>
        <v>36000</v>
      </c>
      <c r="AM21" s="5285">
        <f t="shared" ref="AM21:AM33" si="63">+AC21+AG21+AK21</f>
        <v>15013.780000000006</v>
      </c>
      <c r="AN21" s="6534">
        <f>+AJ21+AH21</f>
        <v>102000</v>
      </c>
      <c r="AO21" s="5351">
        <f t="shared" ref="AO21:AO33" si="64">+AK21+AI21</f>
        <v>31611.010000000009</v>
      </c>
      <c r="AP21" s="6528">
        <v>12000</v>
      </c>
      <c r="AQ21" s="5368">
        <f>+'Direct sales IPT details'!AQ105</f>
        <v>3358.4799999999991</v>
      </c>
      <c r="AR21" s="6534">
        <f>+AP21+AN21</f>
        <v>114000</v>
      </c>
      <c r="AS21" s="5351">
        <f t="shared" ref="AS21:AS33" si="65">+AQ21+AO21</f>
        <v>34969.490000000005</v>
      </c>
      <c r="AT21" s="6528">
        <v>12000</v>
      </c>
      <c r="AU21" s="5368">
        <f>+'Direct sales IPT details'!AU105</f>
        <v>3166.76</v>
      </c>
      <c r="AV21" s="6529">
        <f>+AT21+AR21</f>
        <v>126000</v>
      </c>
      <c r="AW21" s="5351">
        <f t="shared" ref="AW21:AW33" si="66">+AU21+AS21</f>
        <v>38136.250000000007</v>
      </c>
      <c r="AX21" s="6528">
        <v>12000</v>
      </c>
      <c r="AY21" s="5368">
        <f>+'Direct sales IPT details'!AY105</f>
        <v>5634.05</v>
      </c>
      <c r="AZ21" s="6532">
        <f>AP21+AT21+AX21</f>
        <v>36000</v>
      </c>
      <c r="BA21" s="5285">
        <f t="shared" ref="BA21:BA33" si="67">+AQ21+AU21+AY21</f>
        <v>12159.29</v>
      </c>
      <c r="BB21" s="6533">
        <f>+AZ21+AN21</f>
        <v>138000</v>
      </c>
      <c r="BC21" s="5286">
        <f t="shared" si="53"/>
        <v>27173.070000000007</v>
      </c>
      <c r="BD21" s="6534">
        <f>+AX21+AV21</f>
        <v>138000</v>
      </c>
      <c r="BE21" s="5351">
        <f t="shared" ref="BE21:BE33" si="68">+AY21+AW21</f>
        <v>43770.30000000001</v>
      </c>
      <c r="BF21" s="5745"/>
      <c r="BG21" s="5745"/>
      <c r="BH21" s="5745"/>
      <c r="BI21" s="5745"/>
      <c r="BJ21" s="5745"/>
      <c r="BK21" s="5745"/>
      <c r="BL21" s="5745"/>
      <c r="BM21" s="5745"/>
      <c r="BN21" s="5745"/>
      <c r="BO21" s="5745"/>
      <c r="BP21" s="5745"/>
      <c r="BQ21" s="5745"/>
      <c r="BR21" s="5745"/>
      <c r="BS21" s="5745"/>
      <c r="BT21" s="5745"/>
      <c r="BU21" s="5745"/>
      <c r="BV21" s="5745"/>
      <c r="BW21" s="5745"/>
      <c r="BX21" s="5745"/>
      <c r="BY21" s="5745"/>
      <c r="BZ21" s="5745"/>
      <c r="CA21" s="5745"/>
      <c r="CB21" s="5745"/>
      <c r="CC21" s="5745"/>
      <c r="CD21" s="5745"/>
      <c r="CE21" s="5745"/>
      <c r="CF21" s="5745"/>
      <c r="CG21" s="5745"/>
      <c r="CH21" s="5745"/>
      <c r="CI21" s="5745"/>
      <c r="CJ21" s="5745"/>
      <c r="CK21" s="5745"/>
      <c r="CL21" s="5745"/>
      <c r="CM21" s="5745"/>
      <c r="CN21" s="5745"/>
      <c r="CO21" s="5745"/>
      <c r="CP21" s="5745"/>
      <c r="CQ21" s="5745"/>
      <c r="CR21" s="5745"/>
      <c r="CS21" s="5745"/>
      <c r="CT21" s="5745"/>
    </row>
    <row r="22" spans="1:98" s="183" customFormat="1" ht="15.75" x14ac:dyDescent="0.25">
      <c r="B22" s="5792" t="s">
        <v>1344</v>
      </c>
      <c r="C22" s="973" t="s">
        <v>361</v>
      </c>
      <c r="D22" s="6528"/>
      <c r="E22" s="5368">
        <f>+'Direct sales IPT details'!E106</f>
        <v>6017.2599999999975</v>
      </c>
      <c r="F22" s="6528"/>
      <c r="G22" s="5368">
        <f>+'Direct sales IPT details'!G106</f>
        <v>0</v>
      </c>
      <c r="H22" s="6535"/>
      <c r="I22" s="5351">
        <f t="shared" si="55"/>
        <v>6017.2599999999975</v>
      </c>
      <c r="J22" s="6528"/>
      <c r="K22" s="5368">
        <f>+'Direct sales IPT details'!K106</f>
        <v>4999.01</v>
      </c>
      <c r="L22" s="6532"/>
      <c r="M22" s="5285">
        <f t="shared" si="56"/>
        <v>11016.269999999997</v>
      </c>
      <c r="N22" s="6528"/>
      <c r="O22" s="5368">
        <f>+'Direct sales IPT details'!O106</f>
        <v>2991.32</v>
      </c>
      <c r="P22" s="6535"/>
      <c r="Q22" s="5351">
        <f t="shared" si="57"/>
        <v>14007.589999999997</v>
      </c>
      <c r="R22" s="6528"/>
      <c r="S22" s="5368">
        <f>+'Direct sales IPT details'!S106</f>
        <v>8.66</v>
      </c>
      <c r="T22" s="6535"/>
      <c r="U22" s="5351">
        <f t="shared" si="58"/>
        <v>14016.249999999996</v>
      </c>
      <c r="V22" s="6528"/>
      <c r="W22" s="5368">
        <f>+'Direct sales IPT details'!W106</f>
        <v>3089.4999999999991</v>
      </c>
      <c r="X22" s="6532"/>
      <c r="Y22" s="5285">
        <f t="shared" si="59"/>
        <v>6089.48</v>
      </c>
      <c r="Z22" s="6533"/>
      <c r="AA22" s="5286">
        <f t="shared" si="60"/>
        <v>17105.749999999996</v>
      </c>
      <c r="AB22" s="6528"/>
      <c r="AC22" s="5368">
        <f>+'Direct sales IPT details'!AC106</f>
        <v>0</v>
      </c>
      <c r="AD22" s="6529"/>
      <c r="AE22" s="5351">
        <f t="shared" si="61"/>
        <v>17105.749999999996</v>
      </c>
      <c r="AF22" s="6528"/>
      <c r="AG22" s="5368">
        <f>+'Direct sales IPT details'!AG106</f>
        <v>727.03</v>
      </c>
      <c r="AH22" s="6529"/>
      <c r="AI22" s="5351">
        <f t="shared" si="62"/>
        <v>17832.779999999995</v>
      </c>
      <c r="AJ22" s="6528"/>
      <c r="AK22" s="5368">
        <f>+'Direct sales IPT details'!AK106</f>
        <v>0</v>
      </c>
      <c r="AL22" s="6532"/>
      <c r="AM22" s="5285">
        <f t="shared" si="63"/>
        <v>727.03</v>
      </c>
      <c r="AN22" s="6535"/>
      <c r="AO22" s="5351">
        <f t="shared" si="64"/>
        <v>17832.779999999995</v>
      </c>
      <c r="AP22" s="6528"/>
      <c r="AQ22" s="5368">
        <f>+'Direct sales IPT details'!AQ106</f>
        <v>6193.9399999999978</v>
      </c>
      <c r="AR22" s="6535"/>
      <c r="AS22" s="5351">
        <f t="shared" si="65"/>
        <v>24026.719999999994</v>
      </c>
      <c r="AT22" s="6528"/>
      <c r="AU22" s="5368">
        <f>+'Direct sales IPT details'!AU106</f>
        <v>3805.22</v>
      </c>
      <c r="AV22" s="6529"/>
      <c r="AW22" s="5351">
        <f t="shared" si="66"/>
        <v>27831.939999999995</v>
      </c>
      <c r="AX22" s="6528"/>
      <c r="AY22" s="5368">
        <f>+'Direct sales IPT details'!AY106</f>
        <v>0</v>
      </c>
      <c r="AZ22" s="6532"/>
      <c r="BA22" s="5285">
        <f t="shared" si="67"/>
        <v>9999.159999999998</v>
      </c>
      <c r="BB22" s="6533"/>
      <c r="BC22" s="5286">
        <f t="shared" si="53"/>
        <v>10726.189999999999</v>
      </c>
      <c r="BD22" s="6535"/>
      <c r="BE22" s="5351">
        <f t="shared" si="68"/>
        <v>27831.939999999995</v>
      </c>
      <c r="BF22" s="5745"/>
      <c r="BG22" s="5745"/>
      <c r="BH22" s="5745"/>
      <c r="BI22" s="5745"/>
      <c r="BJ22" s="5745"/>
      <c r="BK22" s="5745"/>
      <c r="BL22" s="5745"/>
      <c r="BM22" s="5745"/>
      <c r="BN22" s="5745"/>
      <c r="BO22" s="5745"/>
      <c r="BP22" s="5745"/>
      <c r="BQ22" s="5745"/>
      <c r="BR22" s="5745"/>
      <c r="BS22" s="5745"/>
      <c r="BT22" s="5745"/>
      <c r="BU22" s="5745"/>
      <c r="BV22" s="5745"/>
      <c r="BW22" s="5745"/>
      <c r="BX22" s="5745"/>
      <c r="BY22" s="5745"/>
      <c r="BZ22" s="5745"/>
      <c r="CA22" s="5745"/>
      <c r="CB22" s="5745"/>
      <c r="CC22" s="5745"/>
      <c r="CD22" s="5745"/>
      <c r="CE22" s="5745"/>
      <c r="CF22" s="5745"/>
      <c r="CG22" s="5745"/>
      <c r="CH22" s="5745"/>
      <c r="CI22" s="5745"/>
      <c r="CJ22" s="5745"/>
      <c r="CK22" s="5745"/>
      <c r="CL22" s="5745"/>
      <c r="CM22" s="5745"/>
      <c r="CN22" s="5745"/>
      <c r="CO22" s="5745"/>
      <c r="CP22" s="5745"/>
      <c r="CQ22" s="5745"/>
      <c r="CR22" s="5745"/>
      <c r="CS22" s="5745"/>
      <c r="CT22" s="5745"/>
    </row>
    <row r="23" spans="1:98" s="183" customFormat="1" ht="15.75" x14ac:dyDescent="0.25">
      <c r="B23" s="5792" t="s">
        <v>1465</v>
      </c>
      <c r="C23" s="973" t="s">
        <v>361</v>
      </c>
      <c r="D23" s="6528"/>
      <c r="E23" s="5368">
        <f>+'Direct sales IPT details'!E107</f>
        <v>9177.1600000000035</v>
      </c>
      <c r="F23" s="6528"/>
      <c r="G23" s="5368">
        <f>+'Direct sales IPT details'!G107</f>
        <v>4998.1099999999997</v>
      </c>
      <c r="H23" s="6535"/>
      <c r="I23" s="5351">
        <f t="shared" si="55"/>
        <v>14175.270000000004</v>
      </c>
      <c r="J23" s="6528"/>
      <c r="K23" s="5368">
        <f>+'Direct sales IPT details'!K107</f>
        <v>259.79000000000002</v>
      </c>
      <c r="L23" s="6532"/>
      <c r="M23" s="5285">
        <f t="shared" si="56"/>
        <v>14435.060000000005</v>
      </c>
      <c r="N23" s="6528"/>
      <c r="O23" s="5368">
        <f>+'Direct sales IPT details'!O107</f>
        <v>0</v>
      </c>
      <c r="P23" s="6535"/>
      <c r="Q23" s="5351">
        <f t="shared" si="57"/>
        <v>14435.060000000005</v>
      </c>
      <c r="R23" s="6528"/>
      <c r="S23" s="5368">
        <f>+'Direct sales IPT details'!S107</f>
        <v>4739.8799999999983</v>
      </c>
      <c r="T23" s="6535"/>
      <c r="U23" s="5351">
        <f t="shared" si="58"/>
        <v>19174.940000000002</v>
      </c>
      <c r="V23" s="6528"/>
      <c r="W23" s="5368">
        <f>+'Direct sales IPT details'!W107</f>
        <v>0</v>
      </c>
      <c r="X23" s="6532"/>
      <c r="Y23" s="5285">
        <f t="shared" si="59"/>
        <v>4739.8799999999983</v>
      </c>
      <c r="Z23" s="6533"/>
      <c r="AA23" s="5286">
        <f t="shared" si="60"/>
        <v>19174.940000000002</v>
      </c>
      <c r="AB23" s="6528"/>
      <c r="AC23" s="5368">
        <f>+'Direct sales IPT details'!AC107</f>
        <v>0</v>
      </c>
      <c r="AD23" s="5351"/>
      <c r="AE23" s="5351">
        <f t="shared" si="61"/>
        <v>19174.940000000002</v>
      </c>
      <c r="AF23" s="6528"/>
      <c r="AG23" s="5368">
        <f>+'Direct sales IPT details'!AG107</f>
        <v>0</v>
      </c>
      <c r="AH23" s="5351"/>
      <c r="AI23" s="5351">
        <f t="shared" si="62"/>
        <v>19174.940000000002</v>
      </c>
      <c r="AJ23" s="6528"/>
      <c r="AK23" s="5368">
        <f>+'Direct sales IPT details'!AK107</f>
        <v>4999.2299999999996</v>
      </c>
      <c r="AL23" s="6532"/>
      <c r="AM23" s="5285">
        <f t="shared" si="63"/>
        <v>4999.2299999999996</v>
      </c>
      <c r="AN23" s="6535"/>
      <c r="AO23" s="5351">
        <f t="shared" si="64"/>
        <v>24174.170000000002</v>
      </c>
      <c r="AP23" s="6528"/>
      <c r="AQ23" s="5368">
        <f>+'Direct sales IPT details'!AQ107</f>
        <v>0</v>
      </c>
      <c r="AR23" s="6535"/>
      <c r="AS23" s="5351">
        <f t="shared" si="65"/>
        <v>24174.170000000002</v>
      </c>
      <c r="AT23" s="6528"/>
      <c r="AU23" s="5368">
        <f>+'Direct sales IPT details'!AU107</f>
        <v>0</v>
      </c>
      <c r="AV23" s="5351"/>
      <c r="AW23" s="5351">
        <f t="shared" si="66"/>
        <v>24174.170000000002</v>
      </c>
      <c r="AX23" s="6528"/>
      <c r="AY23" s="5368">
        <f>+'Direct sales IPT details'!AY107</f>
        <v>0</v>
      </c>
      <c r="AZ23" s="6532"/>
      <c r="BA23" s="5285">
        <f t="shared" si="67"/>
        <v>0</v>
      </c>
      <c r="BB23" s="6533"/>
      <c r="BC23" s="5286">
        <f t="shared" si="53"/>
        <v>4999.2299999999996</v>
      </c>
      <c r="BD23" s="6535"/>
      <c r="BE23" s="5351">
        <f t="shared" si="68"/>
        <v>24174.170000000002</v>
      </c>
      <c r="BF23" s="5745"/>
      <c r="BG23" s="5745"/>
      <c r="BH23" s="5745"/>
      <c r="BI23" s="5745"/>
      <c r="BJ23" s="5745"/>
      <c r="BK23" s="5745"/>
      <c r="BL23" s="5745"/>
      <c r="BM23" s="5745"/>
      <c r="BN23" s="5745"/>
      <c r="BO23" s="5745"/>
      <c r="BP23" s="5745"/>
      <c r="BQ23" s="5745"/>
      <c r="BR23" s="5745"/>
      <c r="BS23" s="5745"/>
      <c r="BT23" s="5745"/>
      <c r="BU23" s="5745"/>
      <c r="BV23" s="5745"/>
      <c r="BW23" s="5745"/>
      <c r="BX23" s="5745"/>
      <c r="BY23" s="5745"/>
      <c r="BZ23" s="5745"/>
      <c r="CA23" s="5745"/>
      <c r="CB23" s="5745"/>
      <c r="CC23" s="5745"/>
      <c r="CD23" s="5745"/>
      <c r="CE23" s="5745"/>
      <c r="CF23" s="5745"/>
      <c r="CG23" s="5745"/>
      <c r="CH23" s="5745"/>
      <c r="CI23" s="5745"/>
      <c r="CJ23" s="5745"/>
      <c r="CK23" s="5745"/>
      <c r="CL23" s="5745"/>
      <c r="CM23" s="5745"/>
      <c r="CN23" s="5745"/>
      <c r="CO23" s="5745"/>
      <c r="CP23" s="5745"/>
      <c r="CQ23" s="5745"/>
      <c r="CR23" s="5745"/>
      <c r="CS23" s="5745"/>
      <c r="CT23" s="5745"/>
    </row>
    <row r="24" spans="1:98" s="183" customFormat="1" ht="15.75" x14ac:dyDescent="0.25">
      <c r="B24" s="5792" t="str">
        <f>+'Direct sales IPT details'!B108</f>
        <v>NON MAGNETIC UNSCREEN WORK THROUGH SLAG</v>
      </c>
      <c r="C24" s="973" t="s">
        <v>361</v>
      </c>
      <c r="D24" s="6528"/>
      <c r="E24" s="5368">
        <f>+'Direct sales IPT details'!E108</f>
        <v>19327.050000000014</v>
      </c>
      <c r="F24" s="6528"/>
      <c r="G24" s="5368">
        <f>+'Direct sales IPT details'!G108</f>
        <v>7358.28</v>
      </c>
      <c r="H24" s="6536"/>
      <c r="I24" s="5351">
        <f t="shared" si="55"/>
        <v>26685.330000000013</v>
      </c>
      <c r="J24" s="6528"/>
      <c r="K24" s="5368">
        <f>+'Direct sales IPT details'!K108</f>
        <v>24163.27</v>
      </c>
      <c r="L24" s="6532"/>
      <c r="M24" s="5285">
        <f t="shared" si="56"/>
        <v>50848.600000000013</v>
      </c>
      <c r="N24" s="6528"/>
      <c r="O24" s="5368">
        <f>+'Direct sales IPT details'!O108</f>
        <v>4851.1899999999996</v>
      </c>
      <c r="P24" s="6536"/>
      <c r="Q24" s="5351">
        <f t="shared" si="57"/>
        <v>55699.790000000015</v>
      </c>
      <c r="R24" s="6528"/>
      <c r="S24" s="5368">
        <f>+'Direct sales IPT details'!S108</f>
        <v>12117.770000000006</v>
      </c>
      <c r="T24" s="6536"/>
      <c r="U24" s="5351">
        <f t="shared" si="58"/>
        <v>67817.560000000027</v>
      </c>
      <c r="V24" s="6528"/>
      <c r="W24" s="5368">
        <f>+'Direct sales IPT details'!W108</f>
        <v>5718.6600000000026</v>
      </c>
      <c r="X24" s="6532"/>
      <c r="Y24" s="5285">
        <f t="shared" si="59"/>
        <v>22687.62000000001</v>
      </c>
      <c r="Z24" s="6533"/>
      <c r="AA24" s="5286">
        <f t="shared" si="60"/>
        <v>73536.22000000003</v>
      </c>
      <c r="AB24" s="6528"/>
      <c r="AC24" s="5368">
        <f>+'Direct sales IPT details'!AC108</f>
        <v>14162.189999999993</v>
      </c>
      <c r="AD24" s="5769"/>
      <c r="AE24" s="5351">
        <f t="shared" si="61"/>
        <v>87698.410000000018</v>
      </c>
      <c r="AF24" s="6528"/>
      <c r="AG24" s="5368">
        <f>+'Direct sales IPT details'!AG108</f>
        <v>17146.48</v>
      </c>
      <c r="AH24" s="5769"/>
      <c r="AI24" s="5351">
        <f t="shared" si="62"/>
        <v>104844.89000000001</v>
      </c>
      <c r="AJ24" s="6528"/>
      <c r="AK24" s="5368">
        <f>+'Direct sales IPT details'!AK108</f>
        <v>20090.57</v>
      </c>
      <c r="AL24" s="6532"/>
      <c r="AM24" s="5285">
        <f t="shared" si="63"/>
        <v>51399.239999999991</v>
      </c>
      <c r="AN24" s="6536"/>
      <c r="AO24" s="5351">
        <f t="shared" si="64"/>
        <v>124935.46000000002</v>
      </c>
      <c r="AP24" s="6528"/>
      <c r="AQ24" s="5368">
        <f>+'Direct sales IPT details'!AQ108</f>
        <v>525.74</v>
      </c>
      <c r="AR24" s="6536"/>
      <c r="AS24" s="5351">
        <f t="shared" si="65"/>
        <v>125461.20000000003</v>
      </c>
      <c r="AT24" s="6528"/>
      <c r="AU24" s="5368">
        <f>+'Direct sales IPT details'!AU108</f>
        <v>2532.35</v>
      </c>
      <c r="AV24" s="5769"/>
      <c r="AW24" s="5351">
        <f t="shared" si="66"/>
        <v>127993.55000000003</v>
      </c>
      <c r="AX24" s="6528"/>
      <c r="AY24" s="5368">
        <f>+'Direct sales IPT details'!AY108</f>
        <v>7466.72</v>
      </c>
      <c r="AZ24" s="6532"/>
      <c r="BA24" s="5285">
        <f t="shared" si="67"/>
        <v>10524.810000000001</v>
      </c>
      <c r="BB24" s="6533"/>
      <c r="BC24" s="5286">
        <f t="shared" si="53"/>
        <v>61924.049999999988</v>
      </c>
      <c r="BD24" s="6536"/>
      <c r="BE24" s="5351">
        <f t="shared" si="68"/>
        <v>135460.27000000002</v>
      </c>
      <c r="BF24" s="5745"/>
      <c r="BG24" s="5745"/>
      <c r="BH24" s="5745"/>
      <c r="BI24" s="5745"/>
      <c r="BJ24" s="5745"/>
      <c r="BK24" s="5745"/>
      <c r="BL24" s="5745"/>
      <c r="BM24" s="5745"/>
      <c r="BN24" s="5745"/>
      <c r="BO24" s="5745"/>
      <c r="BP24" s="5745"/>
      <c r="BQ24" s="5745"/>
      <c r="BR24" s="5745"/>
      <c r="BS24" s="5745"/>
      <c r="BT24" s="5745"/>
      <c r="BU24" s="5745"/>
      <c r="BV24" s="5745"/>
      <c r="BW24" s="5745"/>
      <c r="BX24" s="5745"/>
      <c r="BY24" s="5745"/>
      <c r="BZ24" s="5745"/>
      <c r="CA24" s="5745"/>
      <c r="CB24" s="5745"/>
      <c r="CC24" s="5745"/>
      <c r="CD24" s="5745"/>
      <c r="CE24" s="5745"/>
      <c r="CF24" s="5745"/>
      <c r="CG24" s="5745"/>
      <c r="CH24" s="5745"/>
      <c r="CI24" s="5745"/>
      <c r="CJ24" s="5745"/>
      <c r="CK24" s="5745"/>
      <c r="CL24" s="5745"/>
      <c r="CM24" s="5745"/>
      <c r="CN24" s="5745"/>
      <c r="CO24" s="5745"/>
      <c r="CP24" s="5745"/>
      <c r="CQ24" s="5745"/>
      <c r="CR24" s="5745"/>
      <c r="CS24" s="5745"/>
      <c r="CT24" s="5745"/>
    </row>
    <row r="25" spans="1:98" s="183" customFormat="1" ht="15.75" x14ac:dyDescent="0.25">
      <c r="B25" s="2397" t="s">
        <v>431</v>
      </c>
      <c r="C25" s="5745"/>
      <c r="D25" s="5745"/>
      <c r="E25" s="5745"/>
      <c r="F25" s="5745"/>
      <c r="G25" s="5745"/>
      <c r="H25" s="5745"/>
      <c r="I25" s="5745"/>
      <c r="J25" s="5745"/>
      <c r="K25" s="5745"/>
      <c r="L25" s="5745"/>
      <c r="M25" s="5745"/>
      <c r="N25" s="5745"/>
      <c r="O25" s="5745"/>
      <c r="P25" s="5745"/>
      <c r="Q25" s="5745"/>
      <c r="R25" s="5745"/>
      <c r="S25" s="5745"/>
      <c r="T25" s="5745"/>
      <c r="U25" s="5745"/>
      <c r="V25" s="5745"/>
      <c r="W25" s="5745"/>
      <c r="X25" s="5745"/>
      <c r="Y25" s="5745"/>
      <c r="Z25" s="5745"/>
      <c r="AA25" s="5745"/>
      <c r="AB25" s="5745"/>
      <c r="AC25" s="5745"/>
      <c r="AD25" s="5745"/>
      <c r="AE25" s="5745"/>
      <c r="AF25" s="5745"/>
      <c r="AG25" s="5745"/>
      <c r="AH25" s="5745"/>
      <c r="AI25" s="5745"/>
      <c r="AJ25" s="5745"/>
      <c r="AK25" s="5745"/>
      <c r="AL25" s="5745"/>
      <c r="AM25" s="5745"/>
      <c r="AN25" s="5745"/>
      <c r="AO25" s="5745"/>
      <c r="AP25" s="5745"/>
      <c r="AQ25" s="5745"/>
      <c r="AR25" s="5745"/>
      <c r="AS25" s="5745"/>
      <c r="AT25" s="5745"/>
      <c r="AU25" s="5745"/>
      <c r="AV25" s="5745"/>
      <c r="AW25" s="5745"/>
      <c r="AX25" s="5745"/>
      <c r="AY25" s="5745"/>
      <c r="AZ25" s="5745"/>
      <c r="BA25" s="5745"/>
      <c r="BB25" s="5745"/>
      <c r="BC25" s="5745"/>
      <c r="BD25" s="5745"/>
      <c r="BE25" s="5745"/>
      <c r="BF25" s="5745"/>
      <c r="BG25" s="5745"/>
      <c r="BH25" s="5745"/>
      <c r="BI25" s="5745"/>
      <c r="BJ25" s="5745"/>
      <c r="BK25" s="5745"/>
      <c r="BL25" s="5745"/>
      <c r="BM25" s="5745"/>
      <c r="BN25" s="5745"/>
      <c r="BO25" s="5745"/>
      <c r="BP25" s="5745"/>
      <c r="BQ25" s="5745"/>
      <c r="BR25" s="5745"/>
      <c r="BS25" s="5745"/>
      <c r="BT25" s="5745"/>
      <c r="BU25" s="5745"/>
      <c r="BV25" s="5745"/>
      <c r="BW25" s="5745"/>
      <c r="BX25" s="5745"/>
      <c r="BY25" s="5745"/>
      <c r="BZ25" s="5745"/>
      <c r="CA25" s="5745"/>
      <c r="CB25" s="5745"/>
      <c r="CC25" s="5745"/>
      <c r="CD25" s="5745"/>
      <c r="CE25" s="5745"/>
      <c r="CF25" s="5745"/>
      <c r="CG25" s="5745"/>
      <c r="CH25" s="5745"/>
      <c r="CI25" s="5745"/>
      <c r="CJ25" s="5745"/>
      <c r="CK25" s="5745"/>
      <c r="CL25" s="5745"/>
      <c r="CM25" s="5745"/>
      <c r="CN25" s="5745"/>
      <c r="CO25" s="5745"/>
      <c r="CP25" s="5745"/>
      <c r="CQ25" s="5745"/>
      <c r="CR25" s="5745"/>
      <c r="CS25" s="5745"/>
      <c r="CT25" s="5745"/>
    </row>
    <row r="26" spans="1:98" ht="15.75" x14ac:dyDescent="0.25">
      <c r="B26" s="5790" t="s">
        <v>1235</v>
      </c>
      <c r="C26" s="973" t="s">
        <v>361</v>
      </c>
      <c r="D26" s="5770"/>
      <c r="E26" s="5767">
        <v>3000</v>
      </c>
      <c r="F26" s="5771"/>
      <c r="G26" s="5767">
        <v>3240</v>
      </c>
      <c r="H26" s="5772"/>
      <c r="I26" s="5351">
        <f t="shared" si="55"/>
        <v>6240</v>
      </c>
      <c r="J26" s="5771"/>
      <c r="K26" s="5767">
        <v>920</v>
      </c>
      <c r="L26" s="5773"/>
      <c r="M26" s="5285">
        <f t="shared" si="56"/>
        <v>7160</v>
      </c>
      <c r="N26" s="5771"/>
      <c r="O26" s="5767">
        <v>5000</v>
      </c>
      <c r="P26" s="5772"/>
      <c r="Q26" s="5351">
        <f t="shared" si="57"/>
        <v>12160</v>
      </c>
      <c r="R26" s="5771"/>
      <c r="S26" s="5767">
        <v>2660</v>
      </c>
      <c r="T26" s="5772"/>
      <c r="U26" s="5351">
        <f t="shared" si="58"/>
        <v>14820</v>
      </c>
      <c r="V26" s="5771"/>
      <c r="W26" s="5767">
        <v>2900</v>
      </c>
      <c r="X26" s="5773"/>
      <c r="Y26" s="5285">
        <f t="shared" si="59"/>
        <v>10560</v>
      </c>
      <c r="Z26" s="5774"/>
      <c r="AA26" s="5286">
        <f t="shared" si="60"/>
        <v>17720</v>
      </c>
      <c r="AB26" s="5771"/>
      <c r="AC26" s="5767">
        <v>10000</v>
      </c>
      <c r="AD26" s="5772"/>
      <c r="AE26" s="5351">
        <f t="shared" si="61"/>
        <v>27720</v>
      </c>
      <c r="AF26" s="5771"/>
      <c r="AG26" s="5767">
        <v>4000</v>
      </c>
      <c r="AH26" s="5772"/>
      <c r="AI26" s="5351">
        <f t="shared" si="62"/>
        <v>31720</v>
      </c>
      <c r="AJ26" s="5771"/>
      <c r="AK26" s="5767">
        <v>3000.4</v>
      </c>
      <c r="AL26" s="5773"/>
      <c r="AM26" s="5285">
        <f t="shared" si="63"/>
        <v>17000.400000000001</v>
      </c>
      <c r="AN26" s="5772"/>
      <c r="AO26" s="5351">
        <f t="shared" si="64"/>
        <v>34720.400000000001</v>
      </c>
      <c r="AP26" s="5771"/>
      <c r="AQ26" s="5767">
        <v>8722</v>
      </c>
      <c r="AR26" s="5772"/>
      <c r="AS26" s="5351">
        <f t="shared" si="65"/>
        <v>43442.400000000001</v>
      </c>
      <c r="AT26" s="5771"/>
      <c r="AU26" s="5767">
        <v>1160</v>
      </c>
      <c r="AV26" s="5772"/>
      <c r="AW26" s="5351">
        <f t="shared" si="66"/>
        <v>44602.400000000001</v>
      </c>
      <c r="AX26" s="5771"/>
      <c r="AY26" s="5767">
        <v>2100</v>
      </c>
      <c r="AZ26" s="5773"/>
      <c r="BA26" s="5285">
        <f t="shared" si="67"/>
        <v>11982</v>
      </c>
      <c r="BB26" s="5774"/>
      <c r="BC26" s="5286">
        <f t="shared" si="53"/>
        <v>28982.400000000001</v>
      </c>
      <c r="BD26" s="5772"/>
      <c r="BE26" s="5351">
        <f t="shared" si="68"/>
        <v>46702.400000000001</v>
      </c>
      <c r="BF26" s="5745"/>
      <c r="BG26" s="5745"/>
      <c r="BH26" s="5745"/>
      <c r="BI26" s="5745"/>
      <c r="BJ26" s="5745"/>
      <c r="BK26" s="5745"/>
      <c r="BL26" s="5745"/>
      <c r="BM26" s="5745"/>
      <c r="BN26" s="5745"/>
      <c r="BO26" s="5745"/>
      <c r="BP26" s="5745"/>
      <c r="BQ26" s="5745"/>
      <c r="BR26" s="5745"/>
      <c r="BS26" s="5745"/>
      <c r="BT26" s="5745"/>
      <c r="BU26" s="5745"/>
      <c r="BV26" s="5745"/>
      <c r="BW26" s="5745"/>
      <c r="BX26" s="5745"/>
      <c r="BY26" s="5745"/>
      <c r="BZ26" s="5745"/>
      <c r="CA26" s="5745"/>
      <c r="CB26" s="5745"/>
      <c r="CC26" s="5745"/>
      <c r="CD26" s="5745"/>
      <c r="CE26" s="5745"/>
      <c r="CF26" s="5745"/>
      <c r="CG26" s="5745"/>
      <c r="CH26" s="5745"/>
      <c r="CI26" s="5745"/>
      <c r="CJ26" s="5745"/>
      <c r="CK26" s="5745"/>
      <c r="CL26" s="5745"/>
      <c r="CM26" s="5745"/>
      <c r="CN26" s="5745"/>
      <c r="CO26" s="5745"/>
      <c r="CP26" s="5745"/>
      <c r="CQ26" s="5745"/>
      <c r="CR26" s="5745"/>
      <c r="CS26" s="5745"/>
      <c r="CT26" s="5745"/>
    </row>
    <row r="27" spans="1:98" s="4786" customFormat="1" ht="15.75" x14ac:dyDescent="0.25">
      <c r="B27" s="5791" t="s">
        <v>1962</v>
      </c>
      <c r="C27" s="973" t="s">
        <v>361</v>
      </c>
      <c r="D27" s="5770"/>
      <c r="E27" s="5767"/>
      <c r="F27" s="5771"/>
      <c r="G27" s="5767"/>
      <c r="H27" s="5772"/>
      <c r="I27" s="5351">
        <f t="shared" si="55"/>
        <v>0</v>
      </c>
      <c r="J27" s="5771"/>
      <c r="K27" s="5767"/>
      <c r="L27" s="5773"/>
      <c r="M27" s="5285">
        <f t="shared" si="56"/>
        <v>0</v>
      </c>
      <c r="N27" s="5771"/>
      <c r="O27" s="5767"/>
      <c r="P27" s="5772"/>
      <c r="Q27" s="5351">
        <f t="shared" si="57"/>
        <v>0</v>
      </c>
      <c r="R27" s="5771"/>
      <c r="S27" s="5767"/>
      <c r="T27" s="5772"/>
      <c r="U27" s="5351">
        <f t="shared" si="58"/>
        <v>0</v>
      </c>
      <c r="V27" s="5771"/>
      <c r="W27" s="5767"/>
      <c r="X27" s="5773"/>
      <c r="Y27" s="5285">
        <f t="shared" si="59"/>
        <v>0</v>
      </c>
      <c r="Z27" s="5774"/>
      <c r="AA27" s="5286">
        <f t="shared" si="60"/>
        <v>0</v>
      </c>
      <c r="AB27" s="5771"/>
      <c r="AC27" s="5767"/>
      <c r="AD27" s="5772"/>
      <c r="AE27" s="5351">
        <f t="shared" si="61"/>
        <v>0</v>
      </c>
      <c r="AF27" s="5771"/>
      <c r="AG27" s="5767"/>
      <c r="AH27" s="5772"/>
      <c r="AI27" s="5351">
        <f t="shared" si="62"/>
        <v>0</v>
      </c>
      <c r="AJ27" s="5771"/>
      <c r="AK27" s="5767"/>
      <c r="AL27" s="5773"/>
      <c r="AM27" s="5285">
        <f t="shared" si="63"/>
        <v>0</v>
      </c>
      <c r="AN27" s="5772"/>
      <c r="AO27" s="5351">
        <f t="shared" si="64"/>
        <v>0</v>
      </c>
      <c r="AP27" s="5771"/>
      <c r="AQ27" s="5767">
        <v>0</v>
      </c>
      <c r="AR27" s="5772"/>
      <c r="AS27" s="5351">
        <f t="shared" si="65"/>
        <v>0</v>
      </c>
      <c r="AT27" s="5771"/>
      <c r="AU27" s="5767">
        <v>30940</v>
      </c>
      <c r="AV27" s="5772"/>
      <c r="AW27" s="5351">
        <f t="shared" si="66"/>
        <v>30940</v>
      </c>
      <c r="AX27" s="5771"/>
      <c r="AY27" s="5767">
        <v>98200</v>
      </c>
      <c r="AZ27" s="5773"/>
      <c r="BA27" s="5285">
        <f t="shared" si="67"/>
        <v>129140</v>
      </c>
      <c r="BB27" s="5774"/>
      <c r="BC27" s="5286">
        <f t="shared" si="53"/>
        <v>129140</v>
      </c>
      <c r="BD27" s="5772"/>
      <c r="BE27" s="5351">
        <f t="shared" si="68"/>
        <v>129140</v>
      </c>
      <c r="BF27" s="5745"/>
      <c r="BG27" s="5745"/>
      <c r="BH27" s="5745"/>
      <c r="BI27" s="5745"/>
      <c r="BJ27" s="5745"/>
      <c r="BK27" s="5745"/>
      <c r="BL27" s="5745"/>
      <c r="BM27" s="5745"/>
      <c r="BN27" s="5745"/>
      <c r="BO27" s="5745"/>
      <c r="BP27" s="5745"/>
      <c r="BQ27" s="5745"/>
      <c r="BR27" s="5745"/>
      <c r="BS27" s="5745"/>
      <c r="BT27" s="5745"/>
      <c r="BU27" s="5745"/>
      <c r="BV27" s="5745"/>
      <c r="BW27" s="5745"/>
      <c r="BX27" s="5745"/>
      <c r="BY27" s="5745"/>
      <c r="BZ27" s="5745"/>
      <c r="CA27" s="5745"/>
      <c r="CB27" s="5745"/>
      <c r="CC27" s="5745"/>
      <c r="CD27" s="5745"/>
      <c r="CE27" s="5745"/>
      <c r="CF27" s="5745"/>
      <c r="CG27" s="5745"/>
      <c r="CH27" s="5745"/>
      <c r="CI27" s="5745"/>
      <c r="CJ27" s="5745"/>
      <c r="CK27" s="5745"/>
      <c r="CL27" s="5745"/>
      <c r="CM27" s="5745"/>
      <c r="CN27" s="5745"/>
      <c r="CO27" s="5745"/>
      <c r="CP27" s="5745"/>
      <c r="CQ27" s="5745"/>
      <c r="CR27" s="5745"/>
      <c r="CS27" s="5745"/>
      <c r="CT27" s="5745"/>
    </row>
    <row r="28" spans="1:98" ht="15.75" x14ac:dyDescent="0.25">
      <c r="B28" s="5790" t="s">
        <v>1075</v>
      </c>
      <c r="C28" s="973" t="s">
        <v>361</v>
      </c>
      <c r="D28" s="5775"/>
      <c r="E28" s="5767">
        <f>+SINTER!F14</f>
        <v>8461</v>
      </c>
      <c r="F28" s="5776"/>
      <c r="G28" s="5767">
        <f>+SINTER!H14</f>
        <v>7158</v>
      </c>
      <c r="H28" s="5772"/>
      <c r="I28" s="5351">
        <f t="shared" si="55"/>
        <v>15619</v>
      </c>
      <c r="J28" s="5776"/>
      <c r="K28" s="5767">
        <f>+SINTER!L14</f>
        <v>323</v>
      </c>
      <c r="L28" s="5773"/>
      <c r="M28" s="5285">
        <f t="shared" si="56"/>
        <v>15942</v>
      </c>
      <c r="N28" s="5776"/>
      <c r="O28" s="5767">
        <f>+SINTER!P14</f>
        <v>1338</v>
      </c>
      <c r="P28" s="5772"/>
      <c r="Q28" s="5351">
        <f t="shared" si="57"/>
        <v>17280</v>
      </c>
      <c r="R28" s="5776"/>
      <c r="S28" s="5767">
        <f>+SINTER!T14</f>
        <v>2187</v>
      </c>
      <c r="T28" s="5772"/>
      <c r="U28" s="5351">
        <f t="shared" si="58"/>
        <v>19467</v>
      </c>
      <c r="V28" s="5776"/>
      <c r="W28" s="5767">
        <f>+SINTER!X14</f>
        <v>3900</v>
      </c>
      <c r="X28" s="5773"/>
      <c r="Y28" s="5285">
        <f t="shared" si="59"/>
        <v>7425</v>
      </c>
      <c r="Z28" s="5774"/>
      <c r="AA28" s="5286">
        <f t="shared" si="60"/>
        <v>23367</v>
      </c>
      <c r="AB28" s="5776"/>
      <c r="AC28" s="5767">
        <f>+SINTER!AD14</f>
        <v>3608</v>
      </c>
      <c r="AD28" s="5772"/>
      <c r="AE28" s="5351">
        <f t="shared" si="61"/>
        <v>26975</v>
      </c>
      <c r="AF28" s="5776"/>
      <c r="AG28" s="5767">
        <f>+SINTER!AH14</f>
        <v>3738</v>
      </c>
      <c r="AH28" s="5772"/>
      <c r="AI28" s="5351">
        <f t="shared" si="62"/>
        <v>30713</v>
      </c>
      <c r="AJ28" s="5776"/>
      <c r="AK28" s="5767">
        <f>+SINTER!AL14</f>
        <v>3431</v>
      </c>
      <c r="AL28" s="5773"/>
      <c r="AM28" s="5285">
        <f t="shared" si="63"/>
        <v>10777</v>
      </c>
      <c r="AN28" s="5772"/>
      <c r="AO28" s="5351">
        <f t="shared" si="64"/>
        <v>34144</v>
      </c>
      <c r="AP28" s="5776"/>
      <c r="AQ28" s="5767">
        <f>+SINTER!AR14</f>
        <v>1341</v>
      </c>
      <c r="AR28" s="5772"/>
      <c r="AS28" s="5351">
        <f t="shared" si="65"/>
        <v>35485</v>
      </c>
      <c r="AT28" s="5776"/>
      <c r="AU28" s="5767">
        <f>+SINTER!AV14</f>
        <v>4300</v>
      </c>
      <c r="AV28" s="5772"/>
      <c r="AW28" s="5351">
        <f t="shared" si="66"/>
        <v>39785</v>
      </c>
      <c r="AX28" s="5776"/>
      <c r="AY28" s="5767">
        <f>+SINTER!AZ14</f>
        <v>4892</v>
      </c>
      <c r="AZ28" s="5773"/>
      <c r="BA28" s="5285">
        <f t="shared" si="67"/>
        <v>10533</v>
      </c>
      <c r="BB28" s="5774"/>
      <c r="BC28" s="5286">
        <f t="shared" si="53"/>
        <v>21310</v>
      </c>
      <c r="BD28" s="5772"/>
      <c r="BE28" s="5351">
        <f t="shared" si="68"/>
        <v>44677</v>
      </c>
      <c r="BF28" s="5745"/>
      <c r="BG28" s="5745"/>
      <c r="BH28" s="5745"/>
      <c r="BI28" s="5745"/>
      <c r="BJ28" s="5745"/>
      <c r="BK28" s="5745"/>
      <c r="BL28" s="5745"/>
      <c r="BM28" s="5745"/>
      <c r="BN28" s="5745"/>
      <c r="BO28" s="5745"/>
      <c r="BP28" s="5745"/>
      <c r="BQ28" s="5745"/>
      <c r="BR28" s="5745"/>
      <c r="BS28" s="5745"/>
      <c r="BT28" s="5745"/>
      <c r="BU28" s="5745"/>
      <c r="BV28" s="5745"/>
      <c r="BW28" s="5745"/>
      <c r="BX28" s="5745"/>
      <c r="BY28" s="5745"/>
      <c r="BZ28" s="5745"/>
      <c r="CA28" s="5745"/>
      <c r="CB28" s="5745"/>
      <c r="CC28" s="5745"/>
      <c r="CD28" s="5745"/>
      <c r="CE28" s="5745"/>
      <c r="CF28" s="5745"/>
      <c r="CG28" s="5745"/>
      <c r="CH28" s="5745"/>
      <c r="CI28" s="5745"/>
      <c r="CJ28" s="5745"/>
      <c r="CK28" s="5745"/>
      <c r="CL28" s="5745"/>
      <c r="CM28" s="5745"/>
      <c r="CN28" s="5745"/>
      <c r="CO28" s="5745"/>
      <c r="CP28" s="5745"/>
      <c r="CQ28" s="5745"/>
      <c r="CR28" s="5745"/>
      <c r="CS28" s="5745"/>
      <c r="CT28" s="5745"/>
    </row>
    <row r="29" spans="1:98" ht="15.75" x14ac:dyDescent="0.25">
      <c r="B29" s="5790" t="s">
        <v>1076</v>
      </c>
      <c r="C29" s="973" t="s">
        <v>361</v>
      </c>
      <c r="D29" s="5775"/>
      <c r="E29" s="5767">
        <f>+'B-FCE'!F28</f>
        <v>2002.6559999999997</v>
      </c>
      <c r="F29" s="5776"/>
      <c r="G29" s="5767">
        <f>+'B-FCE'!H28</f>
        <v>0</v>
      </c>
      <c r="H29" s="5772"/>
      <c r="I29" s="5351">
        <f t="shared" si="55"/>
        <v>2002.6559999999997</v>
      </c>
      <c r="J29" s="5776"/>
      <c r="K29" s="5767">
        <f>+'B-FCE'!L28</f>
        <v>3108.768</v>
      </c>
      <c r="L29" s="5773"/>
      <c r="M29" s="5285">
        <f t="shared" si="56"/>
        <v>5111.424</v>
      </c>
      <c r="N29" s="5776"/>
      <c r="O29" s="5767">
        <f>+'B-FCE'!P28</f>
        <v>32.64</v>
      </c>
      <c r="P29" s="5772"/>
      <c r="Q29" s="5351">
        <f t="shared" si="57"/>
        <v>5144.0640000000003</v>
      </c>
      <c r="R29" s="5776"/>
      <c r="S29" s="5767">
        <f>+'B-FCE'!T28</f>
        <v>0</v>
      </c>
      <c r="T29" s="5772"/>
      <c r="U29" s="5351">
        <f t="shared" si="58"/>
        <v>5144.0640000000003</v>
      </c>
      <c r="V29" s="5776"/>
      <c r="W29" s="5767">
        <f>+'B-FCE'!X28</f>
        <v>1.44</v>
      </c>
      <c r="X29" s="5773"/>
      <c r="Y29" s="5285">
        <f t="shared" si="59"/>
        <v>34.08</v>
      </c>
      <c r="Z29" s="5774"/>
      <c r="AA29" s="5286">
        <f t="shared" si="60"/>
        <v>5145.5039999999999</v>
      </c>
      <c r="AB29" s="5776"/>
      <c r="AC29" s="5767">
        <f>+'B-FCE'!AD28</f>
        <v>0</v>
      </c>
      <c r="AD29" s="5772"/>
      <c r="AE29" s="5351">
        <f t="shared" si="61"/>
        <v>5145.5039999999999</v>
      </c>
      <c r="AF29" s="5776"/>
      <c r="AG29" s="5767">
        <f>+'B-FCE'!AH28</f>
        <v>82.56</v>
      </c>
      <c r="AH29" s="5772"/>
      <c r="AI29" s="5351">
        <f t="shared" si="62"/>
        <v>5228.0640000000003</v>
      </c>
      <c r="AJ29" s="5776"/>
      <c r="AK29" s="5767">
        <f>+'B-FCE'!AL28</f>
        <v>0</v>
      </c>
      <c r="AL29" s="5773"/>
      <c r="AM29" s="5285">
        <f t="shared" si="63"/>
        <v>82.56</v>
      </c>
      <c r="AN29" s="5772"/>
      <c r="AO29" s="5351">
        <f t="shared" si="64"/>
        <v>5228.0640000000003</v>
      </c>
      <c r="AP29" s="5776"/>
      <c r="AQ29" s="5767">
        <f>+'B-FCE'!AR28</f>
        <v>2033.3760000000002</v>
      </c>
      <c r="AR29" s="5772"/>
      <c r="AS29" s="5351">
        <f t="shared" si="65"/>
        <v>7261.4400000000005</v>
      </c>
      <c r="AT29" s="5776"/>
      <c r="AU29" s="5767">
        <f>+'B-FCE'!AV28</f>
        <v>197.18399999999997</v>
      </c>
      <c r="AV29" s="5772"/>
      <c r="AW29" s="5351">
        <f t="shared" si="66"/>
        <v>7458.6240000000007</v>
      </c>
      <c r="AX29" s="5776"/>
      <c r="AY29" s="5767">
        <f>+'B-FCE'!AZ28</f>
        <v>0</v>
      </c>
      <c r="AZ29" s="5773"/>
      <c r="BA29" s="5285">
        <f t="shared" si="67"/>
        <v>2230.5600000000004</v>
      </c>
      <c r="BB29" s="5774"/>
      <c r="BC29" s="5286">
        <f t="shared" si="53"/>
        <v>2313.1200000000003</v>
      </c>
      <c r="BD29" s="5772"/>
      <c r="BE29" s="5351">
        <f t="shared" si="68"/>
        <v>7458.6240000000007</v>
      </c>
      <c r="BF29" s="5745"/>
      <c r="BG29" s="5745"/>
      <c r="BH29" s="5745"/>
      <c r="BI29" s="5745"/>
      <c r="BJ29" s="5745"/>
      <c r="BK29" s="5745"/>
      <c r="BL29" s="5745"/>
      <c r="BM29" s="5745"/>
      <c r="BN29" s="5745"/>
      <c r="BO29" s="5745"/>
      <c r="BP29" s="5745"/>
      <c r="BQ29" s="5745"/>
      <c r="BR29" s="5745"/>
      <c r="BS29" s="5745"/>
      <c r="BT29" s="5745"/>
      <c r="BU29" s="5745"/>
      <c r="BV29" s="5745"/>
      <c r="BW29" s="5745"/>
      <c r="BX29" s="5745"/>
      <c r="BY29" s="5745"/>
      <c r="BZ29" s="5745"/>
      <c r="CA29" s="5745"/>
      <c r="CB29" s="5745"/>
      <c r="CC29" s="5745"/>
      <c r="CD29" s="5745"/>
    </row>
    <row r="30" spans="1:98" ht="15.75" x14ac:dyDescent="0.25">
      <c r="B30" s="5790" t="s">
        <v>1180</v>
      </c>
      <c r="C30" s="973" t="s">
        <v>361</v>
      </c>
      <c r="D30" s="5777"/>
      <c r="E30" s="5767">
        <f>+SMS!F122</f>
        <v>211</v>
      </c>
      <c r="F30" s="5778"/>
      <c r="G30" s="5767">
        <f>+SMS!H122</f>
        <v>60</v>
      </c>
      <c r="H30" s="5772"/>
      <c r="I30" s="5351">
        <f t="shared" si="55"/>
        <v>271</v>
      </c>
      <c r="J30" s="5778"/>
      <c r="K30" s="5767">
        <f>+SMS!L122</f>
        <v>5.5</v>
      </c>
      <c r="L30" s="5773"/>
      <c r="M30" s="5285">
        <f t="shared" si="56"/>
        <v>276.5</v>
      </c>
      <c r="N30" s="5778"/>
      <c r="O30" s="5767">
        <v>18</v>
      </c>
      <c r="P30" s="5769"/>
      <c r="Q30" s="5351">
        <f t="shared" si="57"/>
        <v>294.5</v>
      </c>
      <c r="R30" s="5778"/>
      <c r="S30" s="5767">
        <f>+SMS!T122</f>
        <v>0</v>
      </c>
      <c r="T30" s="5769"/>
      <c r="U30" s="5351">
        <f t="shared" si="58"/>
        <v>294.5</v>
      </c>
      <c r="V30" s="5778"/>
      <c r="W30" s="5767">
        <f>+SMS!X122</f>
        <v>14</v>
      </c>
      <c r="X30" s="5773"/>
      <c r="Y30" s="5285">
        <f t="shared" si="59"/>
        <v>32</v>
      </c>
      <c r="Z30" s="5774"/>
      <c r="AA30" s="5286">
        <f t="shared" si="60"/>
        <v>308.5</v>
      </c>
      <c r="AB30" s="5778"/>
      <c r="AC30" s="5767">
        <f>+SMS!AD122</f>
        <v>0</v>
      </c>
      <c r="AD30" s="5769"/>
      <c r="AE30" s="5351">
        <f t="shared" si="61"/>
        <v>308.5</v>
      </c>
      <c r="AF30" s="5778"/>
      <c r="AG30" s="5767">
        <f>+SMS!AH122</f>
        <v>98.5</v>
      </c>
      <c r="AH30" s="5769"/>
      <c r="AI30" s="5351">
        <f t="shared" si="62"/>
        <v>407</v>
      </c>
      <c r="AJ30" s="5778"/>
      <c r="AK30" s="5767">
        <f>+SMS!AL122</f>
        <v>0</v>
      </c>
      <c r="AL30" s="5773"/>
      <c r="AM30" s="5285">
        <f t="shared" si="63"/>
        <v>98.5</v>
      </c>
      <c r="AN30" s="5769"/>
      <c r="AO30" s="5351">
        <f t="shared" si="64"/>
        <v>407</v>
      </c>
      <c r="AP30" s="5778"/>
      <c r="AQ30" s="5767">
        <f>+SMS!AR122</f>
        <v>0</v>
      </c>
      <c r="AR30" s="5769"/>
      <c r="AS30" s="5351">
        <f t="shared" si="65"/>
        <v>407</v>
      </c>
      <c r="AT30" s="5778"/>
      <c r="AU30" s="5767">
        <f>+SMS!AV122</f>
        <v>0</v>
      </c>
      <c r="AV30" s="5769"/>
      <c r="AW30" s="5351">
        <f t="shared" si="66"/>
        <v>407</v>
      </c>
      <c r="AX30" s="5778"/>
      <c r="AY30" s="5767">
        <f>+SMS!AZ122</f>
        <v>0</v>
      </c>
      <c r="AZ30" s="5773"/>
      <c r="BA30" s="5285">
        <f t="shared" si="67"/>
        <v>0</v>
      </c>
      <c r="BB30" s="5774"/>
      <c r="BC30" s="5286">
        <f t="shared" si="53"/>
        <v>98.5</v>
      </c>
      <c r="BD30" s="5769"/>
      <c r="BE30" s="5351">
        <f t="shared" si="68"/>
        <v>407</v>
      </c>
    </row>
    <row r="31" spans="1:98" ht="15.75" x14ac:dyDescent="0.25">
      <c r="B31" s="5793" t="s">
        <v>1093</v>
      </c>
      <c r="C31" s="973" t="s">
        <v>361</v>
      </c>
      <c r="D31" s="5770"/>
      <c r="E31" s="5767">
        <f>+E21+E22+E24+E23</f>
        <v>38121.040000000015</v>
      </c>
      <c r="F31" s="5771"/>
      <c r="G31" s="5767">
        <f>+G21+G22+G24+G23</f>
        <v>12356.39</v>
      </c>
      <c r="H31" s="5772"/>
      <c r="I31" s="5351">
        <f t="shared" si="55"/>
        <v>50477.430000000015</v>
      </c>
      <c r="J31" s="5771"/>
      <c r="K31" s="5767">
        <f>+K21+K22+K24+K23</f>
        <v>32244.83</v>
      </c>
      <c r="L31" s="5773"/>
      <c r="M31" s="5285">
        <f t="shared" si="56"/>
        <v>82722.260000000009</v>
      </c>
      <c r="N31" s="5771"/>
      <c r="O31" s="5767">
        <f>+O21+O22+O24+O23</f>
        <v>13018.079999999998</v>
      </c>
      <c r="P31" s="5772"/>
      <c r="Q31" s="5351">
        <f t="shared" si="57"/>
        <v>95740.340000000011</v>
      </c>
      <c r="R31" s="5771"/>
      <c r="S31" s="5767">
        <f>+S21+S22+S24+S23</f>
        <v>21865.640000000003</v>
      </c>
      <c r="T31" s="5772"/>
      <c r="U31" s="5351">
        <f t="shared" si="58"/>
        <v>117605.98000000001</v>
      </c>
      <c r="V31" s="5771"/>
      <c r="W31" s="5767">
        <f>+W21+W22+W24+W23</f>
        <v>8808.1600000000017</v>
      </c>
      <c r="X31" s="5773"/>
      <c r="Y31" s="5285">
        <f t="shared" si="59"/>
        <v>43691.880000000005</v>
      </c>
      <c r="Z31" s="5774"/>
      <c r="AA31" s="5286">
        <f t="shared" si="60"/>
        <v>126414.14000000001</v>
      </c>
      <c r="AB31" s="5771"/>
      <c r="AC31" s="5767">
        <f>+AC21+AC22+AC24+AC23</f>
        <v>26340.199999999997</v>
      </c>
      <c r="AD31" s="5772"/>
      <c r="AE31" s="5351">
        <f t="shared" si="61"/>
        <v>152754.34000000003</v>
      </c>
      <c r="AF31" s="5771"/>
      <c r="AG31" s="5767">
        <f>+AG21+AG22+AG24+AG23</f>
        <v>17873.509999999998</v>
      </c>
      <c r="AH31" s="5772"/>
      <c r="AI31" s="5351">
        <f t="shared" si="62"/>
        <v>170627.85000000003</v>
      </c>
      <c r="AJ31" s="5771"/>
      <c r="AK31" s="5767">
        <f>+AK21+AK22+AK24+AK23</f>
        <v>27925.57</v>
      </c>
      <c r="AL31" s="5773"/>
      <c r="AM31" s="5285">
        <f t="shared" si="63"/>
        <v>72139.28</v>
      </c>
      <c r="AN31" s="5772"/>
      <c r="AO31" s="5351">
        <f t="shared" si="64"/>
        <v>198553.42000000004</v>
      </c>
      <c r="AP31" s="5771"/>
      <c r="AQ31" s="5767">
        <f>+AQ21+AQ22+AQ24+AQ23</f>
        <v>10078.159999999996</v>
      </c>
      <c r="AR31" s="5772"/>
      <c r="AS31" s="5351">
        <f t="shared" si="65"/>
        <v>208631.58000000005</v>
      </c>
      <c r="AT31" s="5771"/>
      <c r="AU31" s="5767">
        <f>+AU21+AU22+AU24+AU23</f>
        <v>9504.33</v>
      </c>
      <c r="AV31" s="5772"/>
      <c r="AW31" s="5351">
        <f t="shared" si="66"/>
        <v>218135.91000000003</v>
      </c>
      <c r="AX31" s="5771"/>
      <c r="AY31" s="5767">
        <f>+AY21+AY22+AY24+AY23</f>
        <v>13100.77</v>
      </c>
      <c r="AZ31" s="5773"/>
      <c r="BA31" s="5285">
        <f t="shared" si="67"/>
        <v>32683.26</v>
      </c>
      <c r="BB31" s="5774"/>
      <c r="BC31" s="5286">
        <f t="shared" si="53"/>
        <v>104822.54</v>
      </c>
      <c r="BD31" s="5772"/>
      <c r="BE31" s="5351">
        <f t="shared" si="68"/>
        <v>231236.68000000002</v>
      </c>
    </row>
    <row r="32" spans="1:98" ht="15.75" x14ac:dyDescent="0.25">
      <c r="B32" s="5790" t="s">
        <v>1445</v>
      </c>
      <c r="C32" s="973" t="s">
        <v>361</v>
      </c>
      <c r="D32" s="5770"/>
      <c r="E32" s="5767">
        <v>0</v>
      </c>
      <c r="F32" s="5771"/>
      <c r="G32" s="5767">
        <v>0</v>
      </c>
      <c r="H32" s="5772"/>
      <c r="I32" s="5351">
        <f t="shared" si="55"/>
        <v>0</v>
      </c>
      <c r="J32" s="5771"/>
      <c r="K32" s="5767">
        <v>0</v>
      </c>
      <c r="L32" s="5773"/>
      <c r="M32" s="5285">
        <f t="shared" si="56"/>
        <v>0</v>
      </c>
      <c r="N32" s="5771"/>
      <c r="O32" s="5767">
        <v>0</v>
      </c>
      <c r="P32" s="5772"/>
      <c r="Q32" s="5351">
        <f t="shared" si="57"/>
        <v>0</v>
      </c>
      <c r="R32" s="5771"/>
      <c r="S32" s="5767">
        <v>0</v>
      </c>
      <c r="T32" s="5772"/>
      <c r="U32" s="5351">
        <f t="shared" si="58"/>
        <v>0</v>
      </c>
      <c r="V32" s="5771"/>
      <c r="W32" s="5767">
        <v>0</v>
      </c>
      <c r="X32" s="5773"/>
      <c r="Y32" s="5285">
        <f t="shared" si="59"/>
        <v>0</v>
      </c>
      <c r="Z32" s="5774"/>
      <c r="AA32" s="5286">
        <f t="shared" si="60"/>
        <v>0</v>
      </c>
      <c r="AB32" s="5771"/>
      <c r="AC32" s="5767"/>
      <c r="AD32" s="5772"/>
      <c r="AE32" s="5351">
        <f t="shared" si="61"/>
        <v>0</v>
      </c>
      <c r="AF32" s="5771"/>
      <c r="AG32" s="5767">
        <v>0</v>
      </c>
      <c r="AH32" s="5772"/>
      <c r="AI32" s="5351">
        <f t="shared" si="62"/>
        <v>0</v>
      </c>
      <c r="AJ32" s="5771"/>
      <c r="AK32" s="5767">
        <v>0</v>
      </c>
      <c r="AL32" s="5773"/>
      <c r="AM32" s="5285">
        <f t="shared" si="63"/>
        <v>0</v>
      </c>
      <c r="AN32" s="5772"/>
      <c r="AO32" s="5351">
        <f t="shared" si="64"/>
        <v>0</v>
      </c>
      <c r="AP32" s="5771"/>
      <c r="AQ32" s="5767">
        <v>3500</v>
      </c>
      <c r="AR32" s="5772"/>
      <c r="AS32" s="5351">
        <f t="shared" si="65"/>
        <v>3500</v>
      </c>
      <c r="AT32" s="5771"/>
      <c r="AU32" s="5767">
        <v>0</v>
      </c>
      <c r="AV32" s="5772"/>
      <c r="AW32" s="5351">
        <f t="shared" si="66"/>
        <v>3500</v>
      </c>
      <c r="AX32" s="5771"/>
      <c r="AY32" s="5767">
        <v>0</v>
      </c>
      <c r="AZ32" s="5773"/>
      <c r="BA32" s="5285">
        <f t="shared" si="67"/>
        <v>3500</v>
      </c>
      <c r="BB32" s="5774"/>
      <c r="BC32" s="5286">
        <f t="shared" si="53"/>
        <v>3500</v>
      </c>
      <c r="BD32" s="5772"/>
      <c r="BE32" s="5351">
        <f t="shared" si="68"/>
        <v>3500</v>
      </c>
    </row>
    <row r="33" spans="2:57" ht="15.75" x14ac:dyDescent="0.25">
      <c r="B33" s="5790" t="s">
        <v>1181</v>
      </c>
      <c r="C33" s="973" t="s">
        <v>361</v>
      </c>
      <c r="D33" s="5770"/>
      <c r="E33" s="5767">
        <v>0</v>
      </c>
      <c r="F33" s="5771"/>
      <c r="G33" s="5767">
        <v>162</v>
      </c>
      <c r="H33" s="5772"/>
      <c r="I33" s="5351">
        <f t="shared" si="55"/>
        <v>162</v>
      </c>
      <c r="J33" s="5771"/>
      <c r="K33" s="5767">
        <v>0</v>
      </c>
      <c r="L33" s="5773"/>
      <c r="M33" s="5285">
        <f t="shared" si="56"/>
        <v>162</v>
      </c>
      <c r="N33" s="5771"/>
      <c r="O33" s="5767">
        <v>687</v>
      </c>
      <c r="P33" s="5772"/>
      <c r="Q33" s="5351">
        <f t="shared" si="57"/>
        <v>849</v>
      </c>
      <c r="R33" s="5771"/>
      <c r="S33" s="5767">
        <v>0</v>
      </c>
      <c r="T33" s="5772"/>
      <c r="U33" s="5351">
        <f t="shared" si="58"/>
        <v>849</v>
      </c>
      <c r="V33" s="5771"/>
      <c r="W33" s="5767">
        <v>0</v>
      </c>
      <c r="X33" s="5773"/>
      <c r="Y33" s="5285">
        <f t="shared" si="59"/>
        <v>687</v>
      </c>
      <c r="Z33" s="5774"/>
      <c r="AA33" s="5286">
        <f t="shared" si="60"/>
        <v>849</v>
      </c>
      <c r="AB33" s="5771"/>
      <c r="AC33" s="5767">
        <v>1300</v>
      </c>
      <c r="AD33" s="5772"/>
      <c r="AE33" s="5351">
        <f t="shared" si="61"/>
        <v>2149</v>
      </c>
      <c r="AF33" s="5771"/>
      <c r="AG33" s="5767">
        <v>0</v>
      </c>
      <c r="AH33" s="5772"/>
      <c r="AI33" s="5351">
        <f t="shared" si="62"/>
        <v>2149</v>
      </c>
      <c r="AJ33" s="5771"/>
      <c r="AK33" s="5767">
        <v>226.4</v>
      </c>
      <c r="AL33" s="5773"/>
      <c r="AM33" s="5285">
        <f t="shared" si="63"/>
        <v>1526.4</v>
      </c>
      <c r="AN33" s="5772"/>
      <c r="AO33" s="5351">
        <f t="shared" si="64"/>
        <v>2375.4</v>
      </c>
      <c r="AP33" s="5771"/>
      <c r="AQ33" s="5767">
        <v>2600</v>
      </c>
      <c r="AR33" s="5772"/>
      <c r="AS33" s="5351">
        <f t="shared" si="65"/>
        <v>4975.3999999999996</v>
      </c>
      <c r="AT33" s="5771"/>
      <c r="AU33" s="5767">
        <v>0</v>
      </c>
      <c r="AV33" s="5772"/>
      <c r="AW33" s="5351">
        <f t="shared" si="66"/>
        <v>4975.3999999999996</v>
      </c>
      <c r="AX33" s="5771"/>
      <c r="AY33" s="5767">
        <v>0</v>
      </c>
      <c r="AZ33" s="5773"/>
      <c r="BA33" s="5285">
        <f t="shared" si="67"/>
        <v>2600</v>
      </c>
      <c r="BB33" s="5774"/>
      <c r="BC33" s="5286">
        <f t="shared" si="53"/>
        <v>4126.3999999999996</v>
      </c>
      <c r="BD33" s="5772"/>
      <c r="BE33" s="5351">
        <f t="shared" si="68"/>
        <v>4975.3999999999996</v>
      </c>
    </row>
    <row r="34" spans="2:57" ht="15.75" x14ac:dyDescent="0.25">
      <c r="B34" s="2396" t="s">
        <v>2</v>
      </c>
      <c r="C34" s="2400" t="s">
        <v>361</v>
      </c>
      <c r="D34" s="5779"/>
      <c r="E34" s="5788">
        <f>SUM(E26:E33)+E20</f>
        <v>91337.255999999965</v>
      </c>
      <c r="F34" s="5788"/>
      <c r="G34" s="5788">
        <f t="shared" ref="G34:BE34" si="69">SUM(G26:G33)+G20</f>
        <v>92178.75</v>
      </c>
      <c r="H34" s="5788"/>
      <c r="I34" s="5788">
        <f t="shared" si="69"/>
        <v>183516.00599999996</v>
      </c>
      <c r="J34" s="5788">
        <f t="shared" si="69"/>
        <v>0</v>
      </c>
      <c r="K34" s="5788">
        <f t="shared" si="69"/>
        <v>78724.997999999992</v>
      </c>
      <c r="L34" s="5788"/>
      <c r="M34" s="5788">
        <f t="shared" si="69"/>
        <v>262241.00399999996</v>
      </c>
      <c r="N34" s="5788">
        <f t="shared" si="69"/>
        <v>0</v>
      </c>
      <c r="O34" s="5788">
        <f t="shared" si="69"/>
        <v>100137.78</v>
      </c>
      <c r="P34" s="5788"/>
      <c r="Q34" s="5788">
        <f t="shared" si="69"/>
        <v>362378.78399999999</v>
      </c>
      <c r="R34" s="5788"/>
      <c r="S34" s="5788">
        <f t="shared" si="69"/>
        <v>87707.010000000038</v>
      </c>
      <c r="T34" s="5788"/>
      <c r="U34" s="5788">
        <f t="shared" si="69"/>
        <v>450085.79399999999</v>
      </c>
      <c r="V34" s="5788"/>
      <c r="W34" s="5788">
        <f t="shared" si="69"/>
        <v>75905.56000000007</v>
      </c>
      <c r="X34" s="5788"/>
      <c r="Y34" s="5788">
        <f t="shared" si="69"/>
        <v>263750.35000000015</v>
      </c>
      <c r="Z34" s="5788"/>
      <c r="AA34" s="5788">
        <f t="shared" si="69"/>
        <v>525991.35400000005</v>
      </c>
      <c r="AB34" s="5788"/>
      <c r="AC34" s="5788">
        <f t="shared" si="69"/>
        <v>68339.09</v>
      </c>
      <c r="AD34" s="5788"/>
      <c r="AE34" s="5788">
        <f t="shared" si="69"/>
        <v>594330.44400000013</v>
      </c>
      <c r="AF34" s="5788"/>
      <c r="AG34" s="5788">
        <f t="shared" si="69"/>
        <v>65996.12</v>
      </c>
      <c r="AH34" s="5788"/>
      <c r="AI34" s="5788">
        <f t="shared" si="69"/>
        <v>660326.56400000013</v>
      </c>
      <c r="AJ34" s="5788"/>
      <c r="AK34" s="5788">
        <f t="shared" si="69"/>
        <v>78522.22</v>
      </c>
      <c r="AL34" s="5788"/>
      <c r="AM34" s="5788">
        <f t="shared" si="69"/>
        <v>212857.43</v>
      </c>
      <c r="AN34" s="5788"/>
      <c r="AO34" s="5788">
        <f t="shared" si="69"/>
        <v>738848.7840000001</v>
      </c>
      <c r="AP34" s="5788"/>
      <c r="AQ34" s="5788">
        <f t="shared" si="69"/>
        <v>58781.95600000002</v>
      </c>
      <c r="AR34" s="5788"/>
      <c r="AS34" s="5788">
        <f t="shared" si="69"/>
        <v>797630.74000000022</v>
      </c>
      <c r="AT34" s="5788"/>
      <c r="AU34" s="5788">
        <f t="shared" si="69"/>
        <v>73860.763999999996</v>
      </c>
      <c r="AV34" s="5788">
        <f t="shared" si="69"/>
        <v>0</v>
      </c>
      <c r="AW34" s="5788">
        <f t="shared" si="69"/>
        <v>871491.50400000019</v>
      </c>
      <c r="AX34" s="5788"/>
      <c r="AY34" s="5788">
        <f t="shared" si="69"/>
        <v>160066.4</v>
      </c>
      <c r="AZ34" s="5788"/>
      <c r="BA34" s="5788">
        <f t="shared" si="69"/>
        <v>292709.12</v>
      </c>
      <c r="BB34" s="5788"/>
      <c r="BC34" s="5788">
        <f t="shared" si="69"/>
        <v>505566.55000000005</v>
      </c>
      <c r="BD34" s="5788"/>
      <c r="BE34" s="5788">
        <f t="shared" si="69"/>
        <v>1031557.9040000001</v>
      </c>
    </row>
    <row r="35" spans="2:57" x14ac:dyDescent="0.25">
      <c r="D35"/>
      <c r="E35"/>
      <c r="F35"/>
      <c r="G35"/>
    </row>
    <row r="36" spans="2:57" x14ac:dyDescent="0.25">
      <c r="D36"/>
      <c r="E36" s="26"/>
      <c r="F36" s="26"/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  <c r="AY36" s="4383"/>
      <c r="BE36" s="4383"/>
    </row>
    <row r="37" spans="2:57" x14ac:dyDescent="0.25">
      <c r="D37"/>
      <c r="E37"/>
      <c r="F37"/>
      <c r="G37"/>
    </row>
    <row r="38" spans="2:57" x14ac:dyDescent="0.25">
      <c r="D38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  <c r="AU38" s="26"/>
    </row>
    <row r="40" spans="2:57" x14ac:dyDescent="0.25">
      <c r="G40" s="147"/>
      <c r="K40" s="147"/>
    </row>
    <row r="41" spans="2:57" x14ac:dyDescent="0.25">
      <c r="AU41" s="26"/>
    </row>
  </sheetData>
  <mergeCells count="56">
    <mergeCell ref="AX3:AY3"/>
    <mergeCell ref="BD3:BE3"/>
    <mergeCell ref="AX21:AX24"/>
    <mergeCell ref="AZ3:BA3"/>
    <mergeCell ref="BB3:BC3"/>
    <mergeCell ref="AZ21:AZ24"/>
    <mergeCell ref="BB21:BB24"/>
    <mergeCell ref="BD21:BD24"/>
    <mergeCell ref="AT3:AU3"/>
    <mergeCell ref="AV3:AW3"/>
    <mergeCell ref="AT21:AT24"/>
    <mergeCell ref="AV21:AV22"/>
    <mergeCell ref="AP3:AQ3"/>
    <mergeCell ref="AP21:AP24"/>
    <mergeCell ref="AR3:AS3"/>
    <mergeCell ref="AR21:AR24"/>
    <mergeCell ref="AJ3:AK3"/>
    <mergeCell ref="AN3:AO3"/>
    <mergeCell ref="AJ21:AJ24"/>
    <mergeCell ref="AL3:AM3"/>
    <mergeCell ref="AL21:AL24"/>
    <mergeCell ref="AN21:AN24"/>
    <mergeCell ref="P21:P24"/>
    <mergeCell ref="T21:T24"/>
    <mergeCell ref="B3:B4"/>
    <mergeCell ref="C3:C4"/>
    <mergeCell ref="D3:E3"/>
    <mergeCell ref="F3:G3"/>
    <mergeCell ref="H3:I3"/>
    <mergeCell ref="D21:D24"/>
    <mergeCell ref="F21:F24"/>
    <mergeCell ref="J21:J24"/>
    <mergeCell ref="L21:L24"/>
    <mergeCell ref="N21:N24"/>
    <mergeCell ref="H21:H24"/>
    <mergeCell ref="R21:R24"/>
    <mergeCell ref="J3:K3"/>
    <mergeCell ref="L3:M3"/>
    <mergeCell ref="Z3:AA3"/>
    <mergeCell ref="X3:Y3"/>
    <mergeCell ref="X21:X24"/>
    <mergeCell ref="Z21:Z24"/>
    <mergeCell ref="V21:V24"/>
    <mergeCell ref="N3:O3"/>
    <mergeCell ref="P3:Q3"/>
    <mergeCell ref="V3:W3"/>
    <mergeCell ref="R3:S3"/>
    <mergeCell ref="T3:U3"/>
    <mergeCell ref="AF3:AG3"/>
    <mergeCell ref="AH3:AI3"/>
    <mergeCell ref="AF21:AF24"/>
    <mergeCell ref="AH21:AH22"/>
    <mergeCell ref="AB3:AC3"/>
    <mergeCell ref="AB21:AB24"/>
    <mergeCell ref="AD3:AE3"/>
    <mergeCell ref="AD21:AD22"/>
  </mergeCells>
  <conditionalFormatting sqref="S26:S27">
    <cfRule type="expression" dxfId="32" priority="18">
      <formula>ISBLANK($S$26)</formula>
    </cfRule>
  </conditionalFormatting>
  <conditionalFormatting sqref="S33">
    <cfRule type="expression" dxfId="31" priority="17">
      <formula>ISBLANK($S$33)</formula>
    </cfRule>
  </conditionalFormatting>
  <conditionalFormatting sqref="W26:W27">
    <cfRule type="expression" dxfId="30" priority="16">
      <formula>ISBLANK($S$26)</formula>
    </cfRule>
  </conditionalFormatting>
  <conditionalFormatting sqref="W33">
    <cfRule type="expression" dxfId="29" priority="15">
      <formula>ISBLANK($S$33)</formula>
    </cfRule>
  </conditionalFormatting>
  <conditionalFormatting sqref="AC26:AC27">
    <cfRule type="expression" dxfId="28" priority="14">
      <formula>ISBLANK($S$26)</formula>
    </cfRule>
  </conditionalFormatting>
  <conditionalFormatting sqref="AC33">
    <cfRule type="expression" dxfId="27" priority="13">
      <formula>ISBLANK($S$33)</formula>
    </cfRule>
  </conditionalFormatting>
  <conditionalFormatting sqref="AG26:AG27">
    <cfRule type="expression" dxfId="26" priority="12">
      <formula>ISBLANK($S$26)</formula>
    </cfRule>
  </conditionalFormatting>
  <conditionalFormatting sqref="AG33">
    <cfRule type="expression" dxfId="25" priority="11">
      <formula>ISBLANK($S$33)</formula>
    </cfRule>
  </conditionalFormatting>
  <conditionalFormatting sqref="AK26:AK27">
    <cfRule type="expression" dxfId="24" priority="10">
      <formula>ISBLANK($S$26)</formula>
    </cfRule>
  </conditionalFormatting>
  <conditionalFormatting sqref="AK33">
    <cfRule type="expression" dxfId="23" priority="9">
      <formula>ISBLANK($S$33)</formula>
    </cfRule>
  </conditionalFormatting>
  <conditionalFormatting sqref="AQ26:AQ27">
    <cfRule type="expression" dxfId="22" priority="8">
      <formula>ISBLANK($S$26)</formula>
    </cfRule>
  </conditionalFormatting>
  <conditionalFormatting sqref="AQ33">
    <cfRule type="expression" dxfId="21" priority="7">
      <formula>ISBLANK($S$33)</formula>
    </cfRule>
  </conditionalFormatting>
  <conditionalFormatting sqref="AU26:AU27">
    <cfRule type="expression" dxfId="20" priority="4">
      <formula>ISBLANK($S$26)</formula>
    </cfRule>
  </conditionalFormatting>
  <conditionalFormatting sqref="AU33">
    <cfRule type="expression" dxfId="19" priority="3">
      <formula>ISBLANK($S$33)</formula>
    </cfRule>
  </conditionalFormatting>
  <conditionalFormatting sqref="AY26:AY27">
    <cfRule type="expression" dxfId="18" priority="2">
      <formula>ISBLANK($S$26)</formula>
    </cfRule>
  </conditionalFormatting>
  <conditionalFormatting sqref="AY33">
    <cfRule type="expression" dxfId="17" priority="1">
      <formula>ISBLANK($S$33)</formula>
    </cfRule>
  </conditionalFormatting>
  <printOptions horizontalCentered="1" verticalCentered="1"/>
  <pageMargins left="0" right="0" top="0" bottom="0" header="0" footer="0"/>
  <pageSetup orientation="landscape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>
    <tabColor rgb="FF000000"/>
    <pageSetUpPr fitToPage="1"/>
  </sheetPr>
  <dimension ref="A1:BJ169"/>
  <sheetViews>
    <sheetView topLeftCell="A66" zoomScaleNormal="100" workbookViewId="0">
      <pane xSplit="3" topLeftCell="D1" activePane="topRight" state="frozen"/>
      <selection activeCell="N21" sqref="N21:N24"/>
      <selection pane="topRight" activeCell="D103" sqref="D103"/>
    </sheetView>
  </sheetViews>
  <sheetFormatPr defaultRowHeight="15" x14ac:dyDescent="0.25"/>
  <cols>
    <col min="1" max="1" width="4.140625" customWidth="1"/>
    <col min="2" max="2" width="44.7109375" customWidth="1"/>
    <col min="3" max="3" width="15" customWidth="1"/>
    <col min="4" max="5" width="9.85546875" customWidth="1"/>
    <col min="6" max="6" width="9.85546875" bestFit="1" customWidth="1"/>
    <col min="7" max="7" width="9.85546875" customWidth="1"/>
    <col min="8" max="9" width="9.85546875" hidden="1" customWidth="1"/>
    <col min="10" max="10" width="11" bestFit="1" customWidth="1"/>
    <col min="11" max="11" width="9.85546875" customWidth="1"/>
    <col min="12" max="12" width="12" bestFit="1" customWidth="1"/>
    <col min="13" max="13" width="9.85546875" customWidth="1"/>
    <col min="14" max="14" width="11" bestFit="1" customWidth="1"/>
    <col min="15" max="15" width="9.85546875" customWidth="1"/>
    <col min="16" max="17" width="11.28515625" hidden="1" customWidth="1"/>
    <col min="18" max="18" width="11" bestFit="1" customWidth="1"/>
    <col min="19" max="19" width="9.85546875" bestFit="1" customWidth="1"/>
    <col min="20" max="21" width="11.28515625" hidden="1" customWidth="1"/>
    <col min="22" max="22" width="11" bestFit="1" customWidth="1"/>
    <col min="23" max="23" width="9.85546875" customWidth="1"/>
    <col min="24" max="24" width="12" bestFit="1" customWidth="1"/>
    <col min="25" max="26" width="11.28515625" customWidth="1"/>
    <col min="27" max="27" width="11.28515625" bestFit="1" customWidth="1"/>
    <col min="28" max="29" width="9.85546875" bestFit="1" customWidth="1"/>
    <col min="30" max="31" width="11.28515625" hidden="1" customWidth="1"/>
    <col min="32" max="33" width="9.85546875" bestFit="1" customWidth="1"/>
    <col min="34" max="35" width="11.28515625" hidden="1" customWidth="1"/>
    <col min="36" max="37" width="9.85546875" bestFit="1" customWidth="1"/>
    <col min="38" max="39" width="11.28515625" style="4332" bestFit="1" customWidth="1"/>
    <col min="40" max="41" width="11.28515625" hidden="1" customWidth="1"/>
    <col min="42" max="43" width="9.85546875" bestFit="1" customWidth="1"/>
    <col min="44" max="45" width="11.28515625" hidden="1" customWidth="1"/>
    <col min="46" max="47" width="9.85546875" bestFit="1" customWidth="1"/>
    <col min="48" max="49" width="11.28515625" hidden="1" customWidth="1"/>
    <col min="50" max="51" width="9.85546875" bestFit="1" customWidth="1"/>
    <col min="52" max="55" width="11.28515625" style="5170" bestFit="1" customWidth="1"/>
    <col min="56" max="57" width="11.28515625" bestFit="1" customWidth="1"/>
    <col min="58" max="58" width="15.5703125" bestFit="1" customWidth="1"/>
    <col min="59" max="59" width="20.5703125" bestFit="1" customWidth="1"/>
  </cols>
  <sheetData>
    <row r="1" spans="1:62" ht="22.5" x14ac:dyDescent="0.3">
      <c r="B1" s="1240" t="s">
        <v>329</v>
      </c>
      <c r="C1" s="1241"/>
      <c r="D1" s="1242"/>
      <c r="E1" s="1241"/>
      <c r="F1" s="1242"/>
      <c r="G1" s="1241"/>
      <c r="H1" s="1241"/>
      <c r="I1" s="1241"/>
      <c r="J1" s="774"/>
      <c r="K1" s="336"/>
      <c r="L1" s="336"/>
      <c r="M1" s="336"/>
      <c r="N1" s="774"/>
      <c r="O1" s="336"/>
      <c r="P1" s="336"/>
      <c r="Q1" s="336"/>
      <c r="R1" s="336"/>
      <c r="S1" s="336"/>
      <c r="T1" s="336"/>
      <c r="U1" s="336"/>
      <c r="V1" s="336"/>
      <c r="W1" s="336"/>
      <c r="X1" s="336"/>
      <c r="Y1" s="336"/>
      <c r="Z1" s="336"/>
      <c r="AA1" s="336"/>
    </row>
    <row r="2" spans="1:62" x14ac:dyDescent="0.25">
      <c r="A2" s="122"/>
      <c r="B2" s="1241"/>
      <c r="C2" s="1243" t="s">
        <v>508</v>
      </c>
      <c r="D2" s="1244">
        <v>30</v>
      </c>
      <c r="E2" s="1245">
        <v>30</v>
      </c>
      <c r="F2" s="1244">
        <v>31</v>
      </c>
      <c r="G2" s="1245">
        <v>31</v>
      </c>
      <c r="H2" s="1245">
        <f>+D2+F2</f>
        <v>61</v>
      </c>
      <c r="I2" s="1245">
        <f>+E2+G2</f>
        <v>61</v>
      </c>
      <c r="J2" s="1244">
        <v>30</v>
      </c>
      <c r="K2" s="1245">
        <v>30</v>
      </c>
      <c r="L2" s="1245">
        <f>+H2+J2</f>
        <v>91</v>
      </c>
      <c r="M2" s="1245">
        <f>+I2+K2</f>
        <v>91</v>
      </c>
      <c r="N2" s="1244">
        <v>31</v>
      </c>
      <c r="O2" s="1245">
        <v>31</v>
      </c>
      <c r="P2" s="1245">
        <f>+L2+N2</f>
        <v>122</v>
      </c>
      <c r="Q2" s="1245">
        <f>+M2+O2</f>
        <v>122</v>
      </c>
      <c r="R2" s="1244">
        <v>31</v>
      </c>
      <c r="S2" s="1245">
        <v>31</v>
      </c>
      <c r="T2" s="1245">
        <f>+P2+R2</f>
        <v>153</v>
      </c>
      <c r="U2" s="1245">
        <f>+Q2+S2</f>
        <v>153</v>
      </c>
      <c r="V2" s="1244">
        <v>30</v>
      </c>
      <c r="W2" s="1245">
        <v>30</v>
      </c>
      <c r="X2" s="1245">
        <f>+N2+R2+V2</f>
        <v>92</v>
      </c>
      <c r="Y2" s="1245">
        <f>+O2+S2+W2</f>
        <v>92</v>
      </c>
      <c r="Z2" s="1245">
        <f>+T2+V2</f>
        <v>183</v>
      </c>
      <c r="AA2" s="1245">
        <f>+U2+W2</f>
        <v>183</v>
      </c>
      <c r="AB2" s="1244">
        <v>31</v>
      </c>
      <c r="AC2" s="1245">
        <v>31</v>
      </c>
      <c r="AD2" s="1245">
        <f>+Z2+AB2</f>
        <v>214</v>
      </c>
      <c r="AE2" s="1245">
        <f>+AA2+AC2</f>
        <v>214</v>
      </c>
      <c r="AF2" s="1244">
        <v>30</v>
      </c>
      <c r="AG2" s="1245">
        <v>30</v>
      </c>
      <c r="AH2" s="1245">
        <f>+AD2+AF2</f>
        <v>244</v>
      </c>
      <c r="AI2" s="1245">
        <f>+AE2+AG2</f>
        <v>244</v>
      </c>
      <c r="AJ2" s="1244">
        <v>31</v>
      </c>
      <c r="AK2" s="1245">
        <v>31</v>
      </c>
      <c r="AL2" s="1245">
        <f>+AB2+AF2+AJ2</f>
        <v>92</v>
      </c>
      <c r="AM2" s="1245">
        <f>+AC2+AG2+AK2</f>
        <v>92</v>
      </c>
      <c r="AN2" s="1245">
        <f>+AH2+AJ2</f>
        <v>275</v>
      </c>
      <c r="AO2" s="1245">
        <f>+AI2+AK2</f>
        <v>275</v>
      </c>
      <c r="AP2" s="1244">
        <v>31</v>
      </c>
      <c r="AQ2" s="1245">
        <v>31</v>
      </c>
      <c r="AR2" s="1245">
        <f>+AN2+AP2</f>
        <v>306</v>
      </c>
      <c r="AS2" s="1245">
        <f>+AO2+AQ2</f>
        <v>306</v>
      </c>
      <c r="AT2" s="1244">
        <v>29</v>
      </c>
      <c r="AU2" s="1245">
        <v>29</v>
      </c>
      <c r="AV2" s="1245">
        <f>+AR2+AT2</f>
        <v>335</v>
      </c>
      <c r="AW2" s="1245">
        <f>+AS2+AU2</f>
        <v>335</v>
      </c>
      <c r="AX2" s="1244">
        <v>31</v>
      </c>
      <c r="AY2" s="1245">
        <v>31</v>
      </c>
      <c r="AZ2" s="1245">
        <f>+AP2+AT2+AX2</f>
        <v>91</v>
      </c>
      <c r="BA2" s="1245">
        <f>+AQ2+AU2+AY2</f>
        <v>91</v>
      </c>
      <c r="BB2" s="1245">
        <f>+AL2+AZ2</f>
        <v>183</v>
      </c>
      <c r="BC2" s="1245">
        <f>+AM2+BA2</f>
        <v>183</v>
      </c>
      <c r="BD2" s="1245">
        <f>+AV2+AX2</f>
        <v>366</v>
      </c>
      <c r="BE2" s="1245">
        <f>+AW2+AY2</f>
        <v>366</v>
      </c>
    </row>
    <row r="3" spans="1:62" x14ac:dyDescent="0.25">
      <c r="A3" s="122"/>
      <c r="B3" s="6544" t="s">
        <v>175</v>
      </c>
      <c r="C3" s="6356" t="s">
        <v>176</v>
      </c>
      <c r="D3" s="6356" t="s">
        <v>1470</v>
      </c>
      <c r="E3" s="6356"/>
      <c r="F3" s="6356" t="s">
        <v>1526</v>
      </c>
      <c r="G3" s="6356"/>
      <c r="H3" s="6543" t="s">
        <v>15</v>
      </c>
      <c r="I3" s="6543"/>
      <c r="J3" s="6356" t="s">
        <v>1620</v>
      </c>
      <c r="K3" s="6356"/>
      <c r="L3" s="6542" t="s">
        <v>658</v>
      </c>
      <c r="M3" s="6542"/>
      <c r="N3" s="6356" t="s">
        <v>1688</v>
      </c>
      <c r="O3" s="6356"/>
      <c r="P3" s="6543" t="s">
        <v>18</v>
      </c>
      <c r="Q3" s="6543"/>
      <c r="R3" s="6356" t="s">
        <v>1731</v>
      </c>
      <c r="S3" s="6356"/>
      <c r="T3" s="6543" t="s">
        <v>19</v>
      </c>
      <c r="U3" s="6543"/>
      <c r="V3" s="6356" t="s">
        <v>1766</v>
      </c>
      <c r="W3" s="6356"/>
      <c r="X3" s="6542" t="s">
        <v>682</v>
      </c>
      <c r="Y3" s="6542"/>
      <c r="Z3" s="6545" t="s">
        <v>679</v>
      </c>
      <c r="AA3" s="6545"/>
      <c r="AB3" s="6356" t="s">
        <v>1831</v>
      </c>
      <c r="AC3" s="6356"/>
      <c r="AD3" s="6543" t="s">
        <v>26</v>
      </c>
      <c r="AE3" s="6543"/>
      <c r="AF3" s="6356" t="s">
        <v>1863</v>
      </c>
      <c r="AG3" s="6356"/>
      <c r="AH3" s="6543" t="s">
        <v>29</v>
      </c>
      <c r="AI3" s="6543"/>
      <c r="AJ3" s="6356" t="s">
        <v>1888</v>
      </c>
      <c r="AK3" s="6356"/>
      <c r="AL3" s="6542" t="s">
        <v>684</v>
      </c>
      <c r="AM3" s="6542"/>
      <c r="AN3" s="6543" t="s">
        <v>1890</v>
      </c>
      <c r="AO3" s="6543"/>
      <c r="AP3" s="6356" t="s">
        <v>1918</v>
      </c>
      <c r="AQ3" s="6356"/>
      <c r="AR3" s="6543" t="s">
        <v>30</v>
      </c>
      <c r="AS3" s="6543"/>
      <c r="AT3" s="6356" t="s">
        <v>1940</v>
      </c>
      <c r="AU3" s="6356"/>
      <c r="AV3" s="6543" t="s">
        <v>32</v>
      </c>
      <c r="AW3" s="6543"/>
      <c r="AX3" s="6356" t="s">
        <v>1965</v>
      </c>
      <c r="AY3" s="6356"/>
      <c r="AZ3" s="6542" t="s">
        <v>685</v>
      </c>
      <c r="BA3" s="6542"/>
      <c r="BB3" s="6545" t="s">
        <v>693</v>
      </c>
      <c r="BC3" s="6545"/>
      <c r="BD3" s="6543" t="s">
        <v>1513</v>
      </c>
      <c r="BE3" s="6543"/>
    </row>
    <row r="4" spans="1:62" x14ac:dyDescent="0.25">
      <c r="A4" s="122"/>
      <c r="B4" s="6544"/>
      <c r="C4" s="6356"/>
      <c r="D4" s="981" t="s">
        <v>177</v>
      </c>
      <c r="E4" s="852" t="s">
        <v>178</v>
      </c>
      <c r="F4" s="981" t="s">
        <v>177</v>
      </c>
      <c r="G4" s="852" t="s">
        <v>178</v>
      </c>
      <c r="H4" s="853" t="s">
        <v>177</v>
      </c>
      <c r="I4" s="853" t="s">
        <v>178</v>
      </c>
      <c r="J4" s="981" t="s">
        <v>177</v>
      </c>
      <c r="K4" s="852" t="s">
        <v>178</v>
      </c>
      <c r="L4" s="854" t="s">
        <v>177</v>
      </c>
      <c r="M4" s="854" t="s">
        <v>178</v>
      </c>
      <c r="N4" s="981" t="s">
        <v>177</v>
      </c>
      <c r="O4" s="852" t="s">
        <v>178</v>
      </c>
      <c r="P4" s="853" t="s">
        <v>177</v>
      </c>
      <c r="Q4" s="853" t="s">
        <v>178</v>
      </c>
      <c r="R4" s="981" t="s">
        <v>177</v>
      </c>
      <c r="S4" s="852" t="s">
        <v>178</v>
      </c>
      <c r="T4" s="853" t="s">
        <v>177</v>
      </c>
      <c r="U4" s="853" t="s">
        <v>178</v>
      </c>
      <c r="V4" s="981" t="s">
        <v>177</v>
      </c>
      <c r="W4" s="852" t="s">
        <v>178</v>
      </c>
      <c r="X4" s="854" t="s">
        <v>177</v>
      </c>
      <c r="Y4" s="854" t="s">
        <v>178</v>
      </c>
      <c r="Z4" s="968" t="s">
        <v>177</v>
      </c>
      <c r="AA4" s="968" t="s">
        <v>178</v>
      </c>
      <c r="AB4" s="981" t="s">
        <v>177</v>
      </c>
      <c r="AC4" s="4114" t="s">
        <v>178</v>
      </c>
      <c r="AD4" s="4115" t="s">
        <v>177</v>
      </c>
      <c r="AE4" s="4115" t="s">
        <v>178</v>
      </c>
      <c r="AF4" s="981" t="s">
        <v>177</v>
      </c>
      <c r="AG4" s="4201" t="s">
        <v>178</v>
      </c>
      <c r="AH4" s="4208" t="s">
        <v>177</v>
      </c>
      <c r="AI4" s="4208" t="s">
        <v>178</v>
      </c>
      <c r="AJ4" s="981" t="s">
        <v>177</v>
      </c>
      <c r="AK4" s="4333" t="s">
        <v>178</v>
      </c>
      <c r="AL4" s="4336" t="s">
        <v>177</v>
      </c>
      <c r="AM4" s="4336" t="s">
        <v>178</v>
      </c>
      <c r="AN4" s="4337" t="s">
        <v>177</v>
      </c>
      <c r="AO4" s="4337" t="s">
        <v>178</v>
      </c>
      <c r="AP4" s="981" t="s">
        <v>177</v>
      </c>
      <c r="AQ4" s="4462" t="s">
        <v>178</v>
      </c>
      <c r="AR4" s="4467" t="s">
        <v>177</v>
      </c>
      <c r="AS4" s="4467" t="s">
        <v>178</v>
      </c>
      <c r="AT4" s="981" t="s">
        <v>177</v>
      </c>
      <c r="AU4" s="4687" t="s">
        <v>178</v>
      </c>
      <c r="AV4" s="4688" t="s">
        <v>177</v>
      </c>
      <c r="AW4" s="4688" t="s">
        <v>178</v>
      </c>
      <c r="AX4" s="981" t="s">
        <v>177</v>
      </c>
      <c r="AY4" s="5171" t="s">
        <v>178</v>
      </c>
      <c r="AZ4" s="5173" t="s">
        <v>177</v>
      </c>
      <c r="BA4" s="5173" t="s">
        <v>178</v>
      </c>
      <c r="BB4" s="5174" t="s">
        <v>177</v>
      </c>
      <c r="BC4" s="5174" t="s">
        <v>178</v>
      </c>
      <c r="BD4" s="5172" t="s">
        <v>177</v>
      </c>
      <c r="BE4" s="5172" t="s">
        <v>178</v>
      </c>
    </row>
    <row r="5" spans="1:62" ht="20.25" x14ac:dyDescent="0.25">
      <c r="A5" s="188"/>
      <c r="B5" s="1246" t="s">
        <v>330</v>
      </c>
      <c r="C5" s="1247" t="s">
        <v>509</v>
      </c>
      <c r="D5" s="1248"/>
      <c r="E5" s="1248">
        <f>+'B-FCE'!F49</f>
        <v>29.395833333333336</v>
      </c>
      <c r="F5" s="1248"/>
      <c r="G5" s="1248">
        <f>+'B-FCE'!H49</f>
        <v>25.427083333333336</v>
      </c>
      <c r="H5" s="1248"/>
      <c r="I5" s="1248">
        <f>+'B-FCE'!J49</f>
        <v>54.822916666666671</v>
      </c>
      <c r="J5" s="1248"/>
      <c r="K5" s="1248">
        <f>+'B-FCE'!L49</f>
        <v>28.729166666666668</v>
      </c>
      <c r="L5" s="1248"/>
      <c r="M5" s="1248">
        <f>+'B-FCE'!N49</f>
        <v>83.552083333333343</v>
      </c>
      <c r="N5" s="1248"/>
      <c r="O5" s="1248">
        <f>+'B-FCE'!P49</f>
        <v>30.503472222222225</v>
      </c>
      <c r="P5" s="1248"/>
      <c r="Q5" s="1248">
        <f>+M5+O5</f>
        <v>114.05555555555557</v>
      </c>
      <c r="R5" s="1248"/>
      <c r="S5" s="1248">
        <f>+'B-FCE'!T49</f>
        <v>30.999999999999996</v>
      </c>
      <c r="T5" s="1248"/>
      <c r="U5" s="1248">
        <f>+Q5+S5</f>
        <v>145.05555555555557</v>
      </c>
      <c r="V5" s="1248"/>
      <c r="W5" s="1248">
        <f>+'B-FCE'!X49</f>
        <v>28.472222222222229</v>
      </c>
      <c r="X5" s="1248"/>
      <c r="Y5" s="1248">
        <f>+'B-FCE'!Z49</f>
        <v>89.975694444444457</v>
      </c>
      <c r="Z5" s="1248"/>
      <c r="AA5" s="1248">
        <f>+U5+W5</f>
        <v>173.5277777777778</v>
      </c>
      <c r="AB5" s="1248"/>
      <c r="AC5" s="1248">
        <f>+'B-FCE'!AD49</f>
        <v>30.5</v>
      </c>
      <c r="AD5" s="1248"/>
      <c r="AE5" s="1248">
        <f>+AA5+AC5</f>
        <v>204.0277777777778</v>
      </c>
      <c r="AF5" s="1248"/>
      <c r="AG5" s="1248">
        <f>+'B-FCE'!AH49</f>
        <v>29.013888888888889</v>
      </c>
      <c r="AH5" s="1248"/>
      <c r="AI5" s="1248">
        <f>+AE5+AG5</f>
        <v>233.04166666666669</v>
      </c>
      <c r="AJ5" s="1248"/>
      <c r="AK5" s="1248">
        <f>+'B-FCE'!AL49</f>
        <v>30.158218760724761</v>
      </c>
      <c r="AL5" s="1248"/>
      <c r="AM5" s="1248">
        <f>+'B-FCE'!AN49</f>
        <v>89.67210764961365</v>
      </c>
      <c r="AN5" s="1248"/>
      <c r="AO5" s="1248">
        <f>+AI5+AK5</f>
        <v>263.19988542739145</v>
      </c>
      <c r="AP5" s="1248"/>
      <c r="AQ5" s="1248">
        <f>+'B-FCE'!AR49</f>
        <v>29.390310060078658</v>
      </c>
      <c r="AR5" s="1248"/>
      <c r="AS5" s="1248">
        <f>+AO5+AQ5</f>
        <v>292.59019548747011</v>
      </c>
      <c r="AT5" s="1248"/>
      <c r="AU5" s="1248">
        <f>+'B-FCE'!AV49</f>
        <v>29</v>
      </c>
      <c r="AV5" s="1248"/>
      <c r="AW5" s="1248">
        <f>+AS5+AU5</f>
        <v>321.59019548747011</v>
      </c>
      <c r="AX5" s="1248"/>
      <c r="AY5" s="1248">
        <f>+'B-FCE'!AZ49</f>
        <v>29.777777777777775</v>
      </c>
      <c r="AZ5" s="1248"/>
      <c r="BA5" s="1248">
        <f>+'B-FCE'!BB49</f>
        <v>88.168087837856433</v>
      </c>
      <c r="BB5" s="1248"/>
      <c r="BC5" s="5184">
        <f>+AM5+BA5</f>
        <v>177.84019548747008</v>
      </c>
      <c r="BD5" s="1248"/>
      <c r="BE5" s="1248">
        <f>+AW5+AY5</f>
        <v>351.36797326524788</v>
      </c>
    </row>
    <row r="6" spans="1:62" x14ac:dyDescent="0.25">
      <c r="A6" s="188"/>
      <c r="B6" s="1249" t="s">
        <v>337</v>
      </c>
      <c r="C6" s="193" t="s">
        <v>336</v>
      </c>
      <c r="D6" s="242">
        <v>4225</v>
      </c>
      <c r="E6" s="1603">
        <v>4269.4608334040786</v>
      </c>
      <c r="F6" s="242">
        <v>4225</v>
      </c>
      <c r="G6" s="1603">
        <v>4263.1496197809611</v>
      </c>
      <c r="H6" s="947">
        <v>4225</v>
      </c>
      <c r="I6" s="947">
        <f>+((E6*E$2*E12)+(G$2*G6*G12))/(I$2*I12)</f>
        <v>4266.3170479003265</v>
      </c>
      <c r="J6" s="242">
        <v>4225</v>
      </c>
      <c r="K6" s="1603">
        <v>4266.29</v>
      </c>
      <c r="L6" s="946">
        <v>4225</v>
      </c>
      <c r="M6" s="946">
        <f>+((I6*I$2*I12)+(K$2*K6*K12))/(M$2*M12)</f>
        <v>4266.3081907517735</v>
      </c>
      <c r="N6" s="242">
        <v>4225</v>
      </c>
      <c r="O6" s="1494">
        <v>4269.9200068212904</v>
      </c>
      <c r="P6" s="947">
        <v>4225</v>
      </c>
      <c r="Q6" s="947">
        <f>+((M6*M$2*M12)+(O$2*O6*O12))/(Q$2*Q12)</f>
        <v>4267.2330375965275</v>
      </c>
      <c r="R6" s="242">
        <v>4225</v>
      </c>
      <c r="S6" s="2618">
        <v>4266.4638754738498</v>
      </c>
      <c r="T6" s="2565">
        <v>4225</v>
      </c>
      <c r="U6" s="2565">
        <f>+((Q6*Q$2*Q12)+(S$2*S6*S12))/(U$2*U12)</f>
        <v>4267.0770937340103</v>
      </c>
      <c r="V6" s="242">
        <v>4225</v>
      </c>
      <c r="W6" s="2941">
        <v>4269.9799999999996</v>
      </c>
      <c r="X6" s="946">
        <v>4225</v>
      </c>
      <c r="Y6" s="946">
        <f>+((O6*O$2*O12)+(S6*S$2*S12)+(W$2*W6*W12))/(Y$2*Y12)</f>
        <v>4268.7789932614151</v>
      </c>
      <c r="Z6" s="558">
        <v>4225</v>
      </c>
      <c r="AA6" s="558">
        <f>+((M6*M$2*M12)+(Y$2*Y6*Y12))/(AA$2*AA12)</f>
        <v>4267.5545902121403</v>
      </c>
      <c r="AB6" s="242">
        <v>4225</v>
      </c>
      <c r="AC6" s="2941">
        <v>4244.0813342168149</v>
      </c>
      <c r="AD6" s="3615">
        <v>4225</v>
      </c>
      <c r="AE6" s="3615">
        <f>+((AA6*AA$2*AA12)+(AC$2*AC6*AC12))/(AE$2*AE12)</f>
        <v>4264.1257466932184</v>
      </c>
      <c r="AF6" s="242">
        <v>4225</v>
      </c>
      <c r="AG6" s="2941">
        <v>4248.1751836843159</v>
      </c>
      <c r="AH6" s="3615">
        <v>4225</v>
      </c>
      <c r="AI6" s="3615">
        <f>+((AE6*AE$2*AE12)+(AG$2*AG6*AG12))/(AI$2*AI12)</f>
        <v>4262.1540427378395</v>
      </c>
      <c r="AJ6" s="242">
        <v>4225</v>
      </c>
      <c r="AK6" s="2941">
        <v>4240.7065365830604</v>
      </c>
      <c r="AL6" s="4328">
        <v>4225</v>
      </c>
      <c r="AM6" s="4328">
        <f>+((AC6*AC$2*AC12)+(AG6*AG$2*AG12)+(AK$2*AK6*AK12))/(AM$2*AM12)</f>
        <v>4244.2729813949882</v>
      </c>
      <c r="AN6" s="3615">
        <v>4225</v>
      </c>
      <c r="AO6" s="3615">
        <f>+((AI6*AI$2*AI12)+(AK$2*AK6*AK12))/(AO$2*AO12)</f>
        <v>4259.7140206019694</v>
      </c>
      <c r="AP6" s="242">
        <v>4225</v>
      </c>
      <c r="AQ6" s="2941">
        <v>4245.78</v>
      </c>
      <c r="AR6" s="3615">
        <v>4225</v>
      </c>
      <c r="AS6" s="3615">
        <f>+((AO6*AO$2*AO12)+(AQ$2*AQ6*AQ12))/(AS$2*AS12)</f>
        <v>4258.2989578897977</v>
      </c>
      <c r="AT6" s="242">
        <v>4225</v>
      </c>
      <c r="AU6" s="2941">
        <v>4247.4818886394514</v>
      </c>
      <c r="AV6" s="3615">
        <v>4225</v>
      </c>
      <c r="AW6" s="3615">
        <f>+((AS6*AS$2*AS12)+(AU$2*AU6*AU12))/(AW$2*AW12)</f>
        <v>4257.3592886399338</v>
      </c>
      <c r="AX6" s="242">
        <v>4225</v>
      </c>
      <c r="AY6" s="2941">
        <v>4241.3999999999996</v>
      </c>
      <c r="AZ6" s="5166">
        <v>4225</v>
      </c>
      <c r="BA6" s="5166">
        <f>+((AQ6*AQ$2*AQ12)+(AU6*AU$2*AU12)+(AY$2*AY6*AY12))/(BA$2*BA12)</f>
        <v>4244.8282419844218</v>
      </c>
      <c r="BB6" s="5164">
        <v>4225</v>
      </c>
      <c r="BC6" s="5164">
        <f>+((AM6*AM$2*AM12)+(BA$2*BA6*BA12))/(BC$2*BC12)</f>
        <v>4244.5487409080979</v>
      </c>
      <c r="BD6" s="3615">
        <v>4225</v>
      </c>
      <c r="BE6" s="3615">
        <f>+((AW6*AW$2*AW12)+(AY$2*AY6*AY12))/(BE$2*BE12)</f>
        <v>4256.0015474724451</v>
      </c>
      <c r="BF6" s="26"/>
      <c r="BG6" s="26"/>
      <c r="BH6" s="26"/>
      <c r="BI6" s="26"/>
      <c r="BJ6" s="26"/>
    </row>
    <row r="7" spans="1:62" ht="15" hidden="1" customHeight="1" x14ac:dyDescent="0.25">
      <c r="A7" s="188"/>
      <c r="B7" s="1249" t="s">
        <v>338</v>
      </c>
      <c r="C7" s="193" t="s">
        <v>1042</v>
      </c>
      <c r="D7" s="1411">
        <v>21.994500000000002</v>
      </c>
      <c r="E7" s="1603"/>
      <c r="F7" s="1411">
        <v>21.994499999999999</v>
      </c>
      <c r="G7" s="1603"/>
      <c r="H7" s="947"/>
      <c r="I7" s="947"/>
      <c r="J7" s="1411">
        <v>21.994500000000002</v>
      </c>
      <c r="K7" s="1603"/>
      <c r="L7" s="946"/>
      <c r="M7" s="946"/>
      <c r="N7" s="1411">
        <v>21.994499999999999</v>
      </c>
      <c r="O7" s="1494"/>
      <c r="P7" s="947"/>
      <c r="Q7" s="947"/>
      <c r="R7" s="2567">
        <v>21.994499999999999</v>
      </c>
      <c r="S7" s="2568"/>
      <c r="T7" s="2565"/>
      <c r="U7" s="2565"/>
      <c r="V7" s="3288">
        <v>21.994499999999999</v>
      </c>
      <c r="W7" s="2941"/>
      <c r="X7" s="946"/>
      <c r="Y7" s="946"/>
      <c r="Z7" s="558"/>
      <c r="AA7" s="558"/>
      <c r="AB7" s="3616">
        <v>21.994499999999999</v>
      </c>
      <c r="AC7" s="2941"/>
      <c r="AD7" s="3615"/>
      <c r="AE7" s="3615"/>
      <c r="AF7" s="3616">
        <v>21.994500000000002</v>
      </c>
      <c r="AG7" s="2941"/>
      <c r="AH7" s="3615"/>
      <c r="AI7" s="3615"/>
      <c r="AJ7" s="3616">
        <v>21.994499999999999</v>
      </c>
      <c r="AK7" s="2941"/>
      <c r="AL7" s="4328"/>
      <c r="AM7" s="4328"/>
      <c r="AN7" s="3615"/>
      <c r="AO7" s="3615"/>
      <c r="AP7" s="3616">
        <v>21.994499999999999</v>
      </c>
      <c r="AQ7" s="2941"/>
      <c r="AR7" s="3615"/>
      <c r="AS7" s="3615"/>
      <c r="AT7" s="3616">
        <v>21.994500000000002</v>
      </c>
      <c r="AU7" s="2941"/>
      <c r="AV7" s="3615"/>
      <c r="AW7" s="3615"/>
      <c r="AX7" s="3616">
        <v>21.994499999999999</v>
      </c>
      <c r="AY7" s="2941"/>
      <c r="AZ7" s="5166"/>
      <c r="BA7" s="5166"/>
      <c r="BB7" s="5164"/>
      <c r="BC7" s="5164"/>
      <c r="BD7" s="3615"/>
      <c r="BE7" s="3615"/>
      <c r="BF7" s="26"/>
      <c r="BG7" s="26"/>
      <c r="BH7" s="26"/>
      <c r="BI7" s="26"/>
    </row>
    <row r="8" spans="1:62" x14ac:dyDescent="0.25">
      <c r="A8" s="188"/>
      <c r="B8" s="1249" t="s">
        <v>338</v>
      </c>
      <c r="C8" s="193" t="s">
        <v>333</v>
      </c>
      <c r="D8" s="1411">
        <f>+D7*24*D2</f>
        <v>15836.04</v>
      </c>
      <c r="E8" s="1603">
        <f>15.9992712666667*1000</f>
        <v>15999.271266666699</v>
      </c>
      <c r="F8" s="1411">
        <f>+F7*24*F2</f>
        <v>16363.907999999998</v>
      </c>
      <c r="G8" s="1603">
        <v>16520.860579999997</v>
      </c>
      <c r="H8" s="947">
        <f>+D8+F8</f>
        <v>32199.947999999997</v>
      </c>
      <c r="I8" s="947">
        <f>+E8+G8</f>
        <v>32520.131846666696</v>
      </c>
      <c r="J8" s="1411">
        <f>+J7*24*J2</f>
        <v>15836.04</v>
      </c>
      <c r="K8" s="1603">
        <v>16009.388119999994</v>
      </c>
      <c r="L8" s="946">
        <f>+H8+J8</f>
        <v>48035.987999999998</v>
      </c>
      <c r="M8" s="946">
        <f>+I8+K8</f>
        <v>48529.519966666689</v>
      </c>
      <c r="N8" s="1411">
        <f>+N7*24*N2</f>
        <v>16363.907999999998</v>
      </c>
      <c r="O8" s="1494">
        <v>16494.400000000001</v>
      </c>
      <c r="P8" s="947">
        <f>+L8+N8</f>
        <v>64399.895999999993</v>
      </c>
      <c r="Q8" s="947">
        <f>+M8+O8</f>
        <v>65023.91996666669</v>
      </c>
      <c r="R8" s="2567">
        <f>+R7*24*R2</f>
        <v>16363.907999999998</v>
      </c>
      <c r="S8" s="2568">
        <f>16.57745392*1000</f>
        <v>16577.45392</v>
      </c>
      <c r="T8" s="2565">
        <f>+P8+R8</f>
        <v>80763.803999999989</v>
      </c>
      <c r="U8" s="2565">
        <f>+Q8+S8</f>
        <v>81601.373886666697</v>
      </c>
      <c r="V8" s="3288">
        <f>+V7*24*V2</f>
        <v>15836.039999999997</v>
      </c>
      <c r="W8" s="2941">
        <v>16005.18</v>
      </c>
      <c r="X8" s="946">
        <f>+V8+R8+N8</f>
        <v>48563.855999999992</v>
      </c>
      <c r="Y8" s="946">
        <f>+W8+S8+O8</f>
        <v>49077.033920000002</v>
      </c>
      <c r="Z8" s="558">
        <f>+L8+X8</f>
        <v>96599.843999999983</v>
      </c>
      <c r="AA8" s="558">
        <f>+Y8+M8</f>
        <v>97606.55388666669</v>
      </c>
      <c r="AB8" s="3616">
        <f>+AB7*24*AB2</f>
        <v>16363.907999999998</v>
      </c>
      <c r="AC8" s="2941">
        <v>16273.210160000001</v>
      </c>
      <c r="AD8" s="3615">
        <f>+Z8+AB8</f>
        <v>112963.75199999998</v>
      </c>
      <c r="AE8" s="3615">
        <f>+AA8+AC8</f>
        <v>113879.76404666669</v>
      </c>
      <c r="AF8" s="3616">
        <f>+AF7*24*AF2</f>
        <v>15836.04</v>
      </c>
      <c r="AG8" s="2941">
        <v>15834.901549999997</v>
      </c>
      <c r="AH8" s="3615">
        <f>+AD8+AF8</f>
        <v>128799.79199999999</v>
      </c>
      <c r="AI8" s="3615">
        <f>+AE8+AG8</f>
        <v>129714.66559666669</v>
      </c>
      <c r="AJ8" s="3616">
        <f>+AJ7*24*AJ2</f>
        <v>16363.907999999998</v>
      </c>
      <c r="AK8" s="2941">
        <v>16108.665783333337</v>
      </c>
      <c r="AL8" s="4328">
        <f>+AJ8+AF8+AB8</f>
        <v>48563.855999999992</v>
      </c>
      <c r="AM8" s="4328">
        <f>+AK8+AG8+AC8</f>
        <v>48216.777493333335</v>
      </c>
      <c r="AN8" s="3615">
        <f>+AH8+AJ8</f>
        <v>145163.69999999998</v>
      </c>
      <c r="AO8" s="3615">
        <f>+AI8+AK8</f>
        <v>145823.33138000002</v>
      </c>
      <c r="AP8" s="3616">
        <f>+AP7*24*AP2</f>
        <v>16363.907999999998</v>
      </c>
      <c r="AQ8" s="2941">
        <v>16024.626779999999</v>
      </c>
      <c r="AR8" s="3615">
        <f>+AN8+AP8</f>
        <v>161527.60799999998</v>
      </c>
      <c r="AS8" s="3615">
        <f>+AO8+AQ8</f>
        <v>161847.95816000001</v>
      </c>
      <c r="AT8" s="3616">
        <f>+AT7*24*AT2</f>
        <v>15308.172000000002</v>
      </c>
      <c r="AU8" s="2941">
        <v>15000.550000000003</v>
      </c>
      <c r="AV8" s="3615">
        <f>+AR8+AT8</f>
        <v>176835.77999999997</v>
      </c>
      <c r="AW8" s="3615">
        <f>+AS8+AU8</f>
        <v>176848.50816000003</v>
      </c>
      <c r="AX8" s="3616">
        <f>+AX7*24*AX2</f>
        <v>16363.907999999998</v>
      </c>
      <c r="AY8" s="2941">
        <v>16246.947980000003</v>
      </c>
      <c r="AZ8" s="5166">
        <f>+AX8+AT8+AP8</f>
        <v>48035.987999999998</v>
      </c>
      <c r="BA8" s="5166">
        <f>+AY8+AU8+AQ8</f>
        <v>47272.124760000006</v>
      </c>
      <c r="BB8" s="5164">
        <f>+AL8+AZ8</f>
        <v>96599.843999999983</v>
      </c>
      <c r="BC8" s="5175">
        <f t="shared" ref="BC8:BC10" si="0">+AM8+BA8</f>
        <v>95488.902253333334</v>
      </c>
      <c r="BD8" s="3615">
        <f>+AV8+AX8</f>
        <v>193199.68799999997</v>
      </c>
      <c r="BE8" s="3615">
        <f>+AW8+AY8</f>
        <v>193095.45614000002</v>
      </c>
      <c r="BF8" s="26"/>
      <c r="BG8" s="26"/>
      <c r="BH8" s="26"/>
      <c r="BI8" s="26"/>
    </row>
    <row r="9" spans="1:62" ht="15" hidden="1" customHeight="1" x14ac:dyDescent="0.25">
      <c r="A9" s="188"/>
      <c r="B9" s="1249" t="s">
        <v>339</v>
      </c>
      <c r="C9" s="193" t="s">
        <v>1042</v>
      </c>
      <c r="D9" s="1411">
        <v>43.950902777777785</v>
      </c>
      <c r="E9" s="1603"/>
      <c r="F9" s="1411">
        <v>43.950902777777785</v>
      </c>
      <c r="G9" s="1603"/>
      <c r="H9" s="947"/>
      <c r="I9" s="947"/>
      <c r="J9" s="1411">
        <v>43.950902777777785</v>
      </c>
      <c r="K9" s="1603"/>
      <c r="L9" s="946"/>
      <c r="M9" s="946"/>
      <c r="N9" s="1411">
        <v>43.950902777777785</v>
      </c>
      <c r="O9" s="1494"/>
      <c r="P9" s="947"/>
      <c r="Q9" s="947"/>
      <c r="R9" s="2567">
        <v>43.056986111111101</v>
      </c>
      <c r="S9" s="2568"/>
      <c r="T9" s="2565"/>
      <c r="U9" s="2565"/>
      <c r="V9" s="3288">
        <v>43.056986111111101</v>
      </c>
      <c r="W9" s="2941"/>
      <c r="X9" s="946"/>
      <c r="Y9" s="946"/>
      <c r="Z9" s="558"/>
      <c r="AA9" s="558"/>
      <c r="AB9" s="3616">
        <v>43.950902777777785</v>
      </c>
      <c r="AC9" s="2941"/>
      <c r="AD9" s="3615"/>
      <c r="AE9" s="3615"/>
      <c r="AF9" s="3616">
        <v>43.950902777777785</v>
      </c>
      <c r="AG9" s="2941"/>
      <c r="AH9" s="3615"/>
      <c r="AI9" s="3615"/>
      <c r="AJ9" s="3616">
        <v>43.950902777777785</v>
      </c>
      <c r="AK9" s="2941"/>
      <c r="AL9" s="4328"/>
      <c r="AM9" s="4328"/>
      <c r="AN9" s="3615"/>
      <c r="AO9" s="3615"/>
      <c r="AP9" s="3616">
        <v>43.950902777777785</v>
      </c>
      <c r="AQ9" s="2941"/>
      <c r="AR9" s="3615"/>
      <c r="AS9" s="3615"/>
      <c r="AT9" s="3616">
        <v>43.950902777777785</v>
      </c>
      <c r="AU9" s="2941"/>
      <c r="AV9" s="3615"/>
      <c r="AW9" s="3615"/>
      <c r="AX9" s="3616">
        <v>43.950902777777785</v>
      </c>
      <c r="AY9" s="2941"/>
      <c r="AZ9" s="5166"/>
      <c r="BA9" s="5166"/>
      <c r="BB9" s="5175">
        <f t="shared" ref="BB9:BB10" si="1">+AL9+AZ9</f>
        <v>0</v>
      </c>
      <c r="BC9" s="5175">
        <f t="shared" si="0"/>
        <v>0</v>
      </c>
      <c r="BD9" s="3615"/>
      <c r="BE9" s="3615"/>
      <c r="BF9" s="26"/>
      <c r="BG9" s="26"/>
      <c r="BH9" s="26"/>
      <c r="BI9" s="26"/>
    </row>
    <row r="10" spans="1:62" x14ac:dyDescent="0.25">
      <c r="A10" s="188"/>
      <c r="B10" s="1249" t="s">
        <v>339</v>
      </c>
      <c r="C10" s="193" t="s">
        <v>333</v>
      </c>
      <c r="D10" s="1411">
        <f>+D9*D2*24</f>
        <v>31644.650000000009</v>
      </c>
      <c r="E10" s="1603">
        <v>31628.9</v>
      </c>
      <c r="F10" s="1411">
        <f>+F9*F2*24</f>
        <v>32699.471666666672</v>
      </c>
      <c r="G10" s="1603">
        <v>30751.800000000003</v>
      </c>
      <c r="H10" s="947">
        <f>+D10+F10</f>
        <v>64344.121666666681</v>
      </c>
      <c r="I10" s="947">
        <f>+E10+G10</f>
        <v>62380.700000000004</v>
      </c>
      <c r="J10" s="1411">
        <f>+J9*J2*24</f>
        <v>31644.650000000009</v>
      </c>
      <c r="K10" s="1603">
        <v>30198.2</v>
      </c>
      <c r="L10" s="946">
        <f>+H10+J10</f>
        <v>95988.771666666697</v>
      </c>
      <c r="M10" s="946">
        <f>+I10+K10</f>
        <v>92578.900000000009</v>
      </c>
      <c r="N10" s="1411">
        <f>+N9*N2*24</f>
        <v>32699.471666666672</v>
      </c>
      <c r="O10" s="1494">
        <v>32074.699999999997</v>
      </c>
      <c r="P10" s="947">
        <f>+L10+N10</f>
        <v>128688.24333333338</v>
      </c>
      <c r="Q10" s="947">
        <f>+M10+O10</f>
        <v>124653.6</v>
      </c>
      <c r="R10" s="2567">
        <f>+R9*R2*24</f>
        <v>32034.397666666657</v>
      </c>
      <c r="S10" s="2568">
        <v>31658.3</v>
      </c>
      <c r="T10" s="2565">
        <f>+P10+R10</f>
        <v>160722.64100000003</v>
      </c>
      <c r="U10" s="2565">
        <f>+Q10+S10</f>
        <v>156311.9</v>
      </c>
      <c r="V10" s="3288">
        <f>+V9*V2*24</f>
        <v>31001.029999999992</v>
      </c>
      <c r="W10" s="2941">
        <v>30833.4</v>
      </c>
      <c r="X10" s="946">
        <f>+V10+R10+N10</f>
        <v>95734.89933333332</v>
      </c>
      <c r="Y10" s="946">
        <f>+W10+S10+O10</f>
        <v>94566.399999999994</v>
      </c>
      <c r="Z10" s="558">
        <f>+L10+X10</f>
        <v>191723.67100000003</v>
      </c>
      <c r="AA10" s="558">
        <f>+Y10+M10</f>
        <v>187145.3</v>
      </c>
      <c r="AB10" s="3616">
        <f>+AB9*AB2*24</f>
        <v>32699.471666666672</v>
      </c>
      <c r="AC10" s="2941">
        <v>32437.100000000009</v>
      </c>
      <c r="AD10" s="3615">
        <f>+Z10+AB10</f>
        <v>224423.14266666671</v>
      </c>
      <c r="AE10" s="3615">
        <f>+AA10+AC10</f>
        <v>219582.4</v>
      </c>
      <c r="AF10" s="3616">
        <f>+AF9*AF2*24</f>
        <v>31644.650000000009</v>
      </c>
      <c r="AG10" s="2941">
        <v>31199.599999999999</v>
      </c>
      <c r="AH10" s="3615">
        <f>+AD10+AF10</f>
        <v>256067.79266666673</v>
      </c>
      <c r="AI10" s="3615">
        <f>+AE10+AG10</f>
        <v>250782</v>
      </c>
      <c r="AJ10" s="3616">
        <f>+AJ9*AJ2*24</f>
        <v>32699.471666666672</v>
      </c>
      <c r="AK10" s="2941">
        <v>32736.320000000007</v>
      </c>
      <c r="AL10" s="4328">
        <f>+AJ10+AF10+AB10</f>
        <v>97043.593333333352</v>
      </c>
      <c r="AM10" s="4328">
        <f>+AK10+AG10+AC10</f>
        <v>96373.020000000019</v>
      </c>
      <c r="AN10" s="3615">
        <f>+AH10+AJ10</f>
        <v>288767.26433333341</v>
      </c>
      <c r="AO10" s="3615">
        <f>+AI10+AK10</f>
        <v>283518.32</v>
      </c>
      <c r="AP10" s="3616">
        <f>+AP9*AP2*24</f>
        <v>32699.471666666672</v>
      </c>
      <c r="AQ10" s="2941">
        <v>32505.399999999991</v>
      </c>
      <c r="AR10" s="3615">
        <f>+AN10+AP10</f>
        <v>321466.73600000009</v>
      </c>
      <c r="AS10" s="3615">
        <f>+AO10+AQ10</f>
        <v>316023.71999999997</v>
      </c>
      <c r="AT10" s="3616">
        <f>+AT9*AT2*24</f>
        <v>30589.828333333338</v>
      </c>
      <c r="AU10" s="2941">
        <v>30460.940000000002</v>
      </c>
      <c r="AV10" s="3615">
        <f>+AR10+AT10</f>
        <v>352056.5643333334</v>
      </c>
      <c r="AW10" s="3615">
        <f>+AS10+AU10</f>
        <v>346484.66</v>
      </c>
      <c r="AX10" s="3616">
        <f>+AX9*AX2*24</f>
        <v>32699.471666666672</v>
      </c>
      <c r="AY10" s="2941">
        <v>32415.769999999993</v>
      </c>
      <c r="AZ10" s="5166">
        <f>+AX10+AT10+AP10</f>
        <v>95988.771666666682</v>
      </c>
      <c r="BA10" s="5166">
        <f>+AY10+AU10+AQ10</f>
        <v>95382.109999999986</v>
      </c>
      <c r="BB10" s="5175">
        <f t="shared" si="1"/>
        <v>193032.36500000005</v>
      </c>
      <c r="BC10" s="5175">
        <f t="shared" si="0"/>
        <v>191755.13</v>
      </c>
      <c r="BD10" s="3615">
        <f>+AV10+AX10</f>
        <v>384756.03600000008</v>
      </c>
      <c r="BE10" s="3615">
        <f>+AW10+AY10</f>
        <v>378900.43</v>
      </c>
      <c r="BF10" s="26"/>
      <c r="BG10" s="26"/>
      <c r="BH10" s="26"/>
      <c r="BI10" s="26"/>
    </row>
    <row r="11" spans="1:62" ht="18.75" x14ac:dyDescent="0.25">
      <c r="B11" s="334" t="s">
        <v>340</v>
      </c>
      <c r="C11" s="335" t="s">
        <v>333</v>
      </c>
      <c r="D11" s="748">
        <f t="shared" ref="D11:E11" si="2">+D8+D10</f>
        <v>47480.69000000001</v>
      </c>
      <c r="E11" s="2256">
        <f t="shared" si="2"/>
        <v>47628.171266666701</v>
      </c>
      <c r="F11" s="748">
        <f t="shared" ref="F11:G11" si="3">+F8+F10</f>
        <v>49063.379666666668</v>
      </c>
      <c r="G11" s="2256">
        <f t="shared" si="3"/>
        <v>47272.660579999996</v>
      </c>
      <c r="H11" s="782">
        <f t="shared" ref="H11:K11" si="4">+H8+H10</f>
        <v>96544.069666666677</v>
      </c>
      <c r="I11" s="782">
        <f t="shared" si="4"/>
        <v>94900.831846666697</v>
      </c>
      <c r="J11" s="748">
        <f t="shared" si="4"/>
        <v>47480.69000000001</v>
      </c>
      <c r="K11" s="2256">
        <f t="shared" si="4"/>
        <v>46207.588119999993</v>
      </c>
      <c r="L11" s="783">
        <f t="shared" ref="L11:Q11" si="5">+L8+L10</f>
        <v>144024.75966666668</v>
      </c>
      <c r="M11" s="783">
        <f t="shared" si="5"/>
        <v>141108.4199666667</v>
      </c>
      <c r="N11" s="748">
        <f t="shared" si="5"/>
        <v>49063.379666666668</v>
      </c>
      <c r="O11" s="748">
        <f t="shared" si="5"/>
        <v>48569.1</v>
      </c>
      <c r="P11" s="782">
        <f t="shared" si="5"/>
        <v>193088.13933333335</v>
      </c>
      <c r="Q11" s="782">
        <f t="shared" si="5"/>
        <v>189677.5199666667</v>
      </c>
      <c r="R11" s="748">
        <f t="shared" ref="R11:U11" si="6">+R8+R10</f>
        <v>48398.305666666653</v>
      </c>
      <c r="S11" s="748">
        <f t="shared" si="6"/>
        <v>48235.753920000003</v>
      </c>
      <c r="T11" s="2572">
        <f t="shared" si="6"/>
        <v>241486.44500000001</v>
      </c>
      <c r="U11" s="2572">
        <f t="shared" si="6"/>
        <v>237913.27388666669</v>
      </c>
      <c r="V11" s="748">
        <f t="shared" ref="V11:W11" si="7">+V8+V10</f>
        <v>46837.069999999992</v>
      </c>
      <c r="W11" s="748">
        <f t="shared" si="7"/>
        <v>46838.58</v>
      </c>
      <c r="X11" s="748">
        <f t="shared" ref="X11:AE11" si="8">+X8+X10</f>
        <v>144298.75533333331</v>
      </c>
      <c r="Y11" s="748">
        <f t="shared" si="8"/>
        <v>143643.43391999998</v>
      </c>
      <c r="Z11" s="748">
        <f t="shared" si="8"/>
        <v>288323.51500000001</v>
      </c>
      <c r="AA11" s="748">
        <f t="shared" si="8"/>
        <v>284751.85388666671</v>
      </c>
      <c r="AB11" s="748">
        <f t="shared" si="8"/>
        <v>49063.379666666668</v>
      </c>
      <c r="AC11" s="748">
        <f t="shared" si="8"/>
        <v>48710.310160000008</v>
      </c>
      <c r="AD11" s="4113">
        <f t="shared" si="8"/>
        <v>337386.89466666669</v>
      </c>
      <c r="AE11" s="4113">
        <f t="shared" si="8"/>
        <v>333462.1640466667</v>
      </c>
      <c r="AF11" s="748">
        <f t="shared" ref="AF11:AI11" si="9">+AF8+AF10</f>
        <v>47480.69000000001</v>
      </c>
      <c r="AG11" s="748">
        <f t="shared" si="9"/>
        <v>47034.501549999994</v>
      </c>
      <c r="AH11" s="4197">
        <f t="shared" si="9"/>
        <v>384867.58466666669</v>
      </c>
      <c r="AI11" s="4197">
        <f t="shared" si="9"/>
        <v>380496.66559666669</v>
      </c>
      <c r="AJ11" s="748">
        <f t="shared" ref="AJ11:AO11" si="10">+AJ8+AJ10</f>
        <v>49063.379666666668</v>
      </c>
      <c r="AK11" s="748">
        <f t="shared" si="10"/>
        <v>48844.985783333344</v>
      </c>
      <c r="AL11" s="748">
        <f t="shared" si="10"/>
        <v>145607.44933333335</v>
      </c>
      <c r="AM11" s="748">
        <f t="shared" si="10"/>
        <v>144589.79749333335</v>
      </c>
      <c r="AN11" s="4330">
        <f t="shared" si="10"/>
        <v>433930.96433333342</v>
      </c>
      <c r="AO11" s="4330">
        <f t="shared" si="10"/>
        <v>429341.65138000005</v>
      </c>
      <c r="AP11" s="748">
        <f t="shared" ref="AP11:AS11" si="11">+AP8+AP10</f>
        <v>49063.379666666668</v>
      </c>
      <c r="AQ11" s="748">
        <f t="shared" si="11"/>
        <v>48530.026779999986</v>
      </c>
      <c r="AR11" s="4453">
        <f t="shared" si="11"/>
        <v>482994.34400000004</v>
      </c>
      <c r="AS11" s="4453">
        <f t="shared" si="11"/>
        <v>477871.67816000001</v>
      </c>
      <c r="AT11" s="748">
        <f t="shared" ref="AT11:AW11" si="12">+AT8+AT10</f>
        <v>45898.000333333344</v>
      </c>
      <c r="AU11" s="748">
        <f t="shared" si="12"/>
        <v>45461.490000000005</v>
      </c>
      <c r="AV11" s="4686">
        <f t="shared" si="12"/>
        <v>528892.34433333343</v>
      </c>
      <c r="AW11" s="4686">
        <f t="shared" si="12"/>
        <v>523333.16816</v>
      </c>
      <c r="AX11" s="748">
        <f t="shared" ref="AX11:BE11" si="13">+AX8+AX10</f>
        <v>49063.379666666668</v>
      </c>
      <c r="AY11" s="748">
        <f t="shared" si="13"/>
        <v>48662.717979999994</v>
      </c>
      <c r="AZ11" s="748">
        <f t="shared" si="13"/>
        <v>144024.75966666668</v>
      </c>
      <c r="BA11" s="748">
        <f t="shared" si="13"/>
        <v>142654.23475999999</v>
      </c>
      <c r="BB11" s="748">
        <f t="shared" si="13"/>
        <v>289632.20900000003</v>
      </c>
      <c r="BC11" s="748">
        <f t="shared" si="13"/>
        <v>287244.03225333337</v>
      </c>
      <c r="BD11" s="5168">
        <f t="shared" si="13"/>
        <v>577955.72400000005</v>
      </c>
      <c r="BE11" s="5168">
        <f t="shared" si="13"/>
        <v>571995.88614000008</v>
      </c>
      <c r="BF11" s="26"/>
      <c r="BG11" s="26"/>
      <c r="BH11" s="26"/>
      <c r="BI11" s="26"/>
    </row>
    <row r="12" spans="1:62" ht="15.75" x14ac:dyDescent="0.25">
      <c r="B12" s="1157" t="s">
        <v>341</v>
      </c>
      <c r="C12" s="980" t="s">
        <v>335</v>
      </c>
      <c r="D12" s="1416">
        <f t="shared" ref="D12:E12" si="14">+D11/(D2*24)</f>
        <v>65.945402777777787</v>
      </c>
      <c r="E12" s="1416">
        <f t="shared" si="14"/>
        <v>66.150237870370418</v>
      </c>
      <c r="F12" s="1416">
        <f t="shared" ref="F12:G12" si="15">+F11/(F2*24)</f>
        <v>65.945402777777772</v>
      </c>
      <c r="G12" s="1416">
        <f t="shared" si="15"/>
        <v>63.538522284946232</v>
      </c>
      <c r="H12" s="983">
        <f t="shared" ref="H12:K12" si="16">+H11/(H2*24)</f>
        <v>65.945402777777787</v>
      </c>
      <c r="I12" s="983">
        <f t="shared" si="16"/>
        <v>64.822972572859769</v>
      </c>
      <c r="J12" s="1416">
        <f t="shared" si="16"/>
        <v>65.945402777777787</v>
      </c>
      <c r="K12" s="1416">
        <f t="shared" si="16"/>
        <v>64.177205722222212</v>
      </c>
      <c r="L12" s="984">
        <f t="shared" ref="L12:Q12" si="17">+L11/(L2*24)</f>
        <v>65.945402777777787</v>
      </c>
      <c r="M12" s="984">
        <f t="shared" si="17"/>
        <v>64.610082402319918</v>
      </c>
      <c r="N12" s="1416">
        <f t="shared" si="17"/>
        <v>65.945402777777772</v>
      </c>
      <c r="O12" s="1416">
        <f t="shared" si="17"/>
        <v>65.281048387096774</v>
      </c>
      <c r="P12" s="983">
        <f t="shared" si="17"/>
        <v>65.945402777777787</v>
      </c>
      <c r="Q12" s="983">
        <f t="shared" si="17"/>
        <v>64.780573759107483</v>
      </c>
      <c r="R12" s="1416">
        <f t="shared" ref="R12:U12" si="18">+R11/(R2*24)</f>
        <v>65.051486111111089</v>
      </c>
      <c r="S12" s="1416">
        <f t="shared" si="18"/>
        <v>64.833002580645172</v>
      </c>
      <c r="T12" s="983">
        <f t="shared" si="18"/>
        <v>65.764282407407407</v>
      </c>
      <c r="U12" s="983">
        <f t="shared" si="18"/>
        <v>64.791196592229497</v>
      </c>
      <c r="V12" s="1416">
        <f t="shared" ref="V12:W12" si="19">+V11/(V2*24)</f>
        <v>65.051486111111103</v>
      </c>
      <c r="W12" s="1416">
        <f t="shared" si="19"/>
        <v>65.053583333333336</v>
      </c>
      <c r="X12" s="984">
        <f t="shared" ref="X12:AE12" si="20">+X11/(X2*24)</f>
        <v>65.352697161835735</v>
      </c>
      <c r="Y12" s="984">
        <f t="shared" si="20"/>
        <v>65.055903043478253</v>
      </c>
      <c r="Z12" s="982">
        <f t="shared" si="20"/>
        <v>65.647430555555559</v>
      </c>
      <c r="AA12" s="982">
        <f t="shared" si="20"/>
        <v>64.834210812082588</v>
      </c>
      <c r="AB12" s="1416">
        <f t="shared" si="20"/>
        <v>65.945402777777772</v>
      </c>
      <c r="AC12" s="1416">
        <f t="shared" si="20"/>
        <v>65.47084698924732</v>
      </c>
      <c r="AD12" s="983">
        <f t="shared" si="20"/>
        <v>65.690594755970935</v>
      </c>
      <c r="AE12" s="983">
        <f t="shared" si="20"/>
        <v>64.926433809709252</v>
      </c>
      <c r="AF12" s="1416">
        <f t="shared" ref="AF12:AI12" si="21">+AF11/(AF2*24)</f>
        <v>65.945402777777787</v>
      </c>
      <c r="AG12" s="1416">
        <f t="shared" si="21"/>
        <v>65.325696597222219</v>
      </c>
      <c r="AH12" s="983">
        <f t="shared" si="21"/>
        <v>65.721923611111109</v>
      </c>
      <c r="AI12" s="983">
        <f t="shared" si="21"/>
        <v>64.975523496698543</v>
      </c>
      <c r="AJ12" s="1416">
        <f t="shared" ref="AJ12:AO12" si="22">+AJ11/(AJ2*24)</f>
        <v>65.945402777777772</v>
      </c>
      <c r="AK12" s="1416">
        <f t="shared" si="22"/>
        <v>65.651862612007179</v>
      </c>
      <c r="AL12" s="984">
        <f t="shared" si="22"/>
        <v>65.945402777777787</v>
      </c>
      <c r="AM12" s="984">
        <f t="shared" si="22"/>
        <v>65.484509734299522</v>
      </c>
      <c r="AN12" s="983">
        <f t="shared" si="22"/>
        <v>65.747115808080821</v>
      </c>
      <c r="AO12" s="983">
        <f t="shared" si="22"/>
        <v>65.051765360606069</v>
      </c>
      <c r="AP12" s="1416">
        <f t="shared" ref="AP12:AS12" si="23">+AP11/(AP2*24)</f>
        <v>65.945402777777772</v>
      </c>
      <c r="AQ12" s="1416">
        <f t="shared" si="23"/>
        <v>65.228530618279549</v>
      </c>
      <c r="AR12" s="983">
        <f t="shared" si="23"/>
        <v>65.767203703703714</v>
      </c>
      <c r="AS12" s="983">
        <f t="shared" si="23"/>
        <v>65.069672952069723</v>
      </c>
      <c r="AT12" s="1416">
        <f t="shared" ref="AT12:AW12" si="24">+AT11/(AT2*24)</f>
        <v>65.945402777777787</v>
      </c>
      <c r="AU12" s="1416">
        <f t="shared" si="24"/>
        <v>65.318232758620695</v>
      </c>
      <c r="AV12" s="983">
        <f t="shared" si="24"/>
        <v>65.782629892205648</v>
      </c>
      <c r="AW12" s="983">
        <f t="shared" si="24"/>
        <v>65.091190069651745</v>
      </c>
      <c r="AX12" s="1416">
        <f t="shared" ref="AX12:BE12" si="25">+AX11/(AX2*24)</f>
        <v>65.945402777777772</v>
      </c>
      <c r="AY12" s="1416">
        <f t="shared" si="25"/>
        <v>65.406879005376339</v>
      </c>
      <c r="AZ12" s="984">
        <f t="shared" si="25"/>
        <v>65.945402777777787</v>
      </c>
      <c r="BA12" s="984">
        <f t="shared" si="25"/>
        <v>65.317873058608058</v>
      </c>
      <c r="BB12" s="982">
        <f t="shared" si="25"/>
        <v>65.945402777777787</v>
      </c>
      <c r="BC12" s="982">
        <f t="shared" si="25"/>
        <v>65.401646687917435</v>
      </c>
      <c r="BD12" s="983">
        <f t="shared" si="25"/>
        <v>65.796416666666673</v>
      </c>
      <c r="BE12" s="983">
        <f t="shared" si="25"/>
        <v>65.117928750000004</v>
      </c>
      <c r="BF12" s="26"/>
      <c r="BG12" s="26"/>
      <c r="BH12" s="26"/>
      <c r="BI12" s="26"/>
    </row>
    <row r="13" spans="1:62" ht="15.75" hidden="1" customHeight="1" x14ac:dyDescent="0.25">
      <c r="B13" s="1250" t="s">
        <v>56</v>
      </c>
      <c r="C13" s="980" t="s">
        <v>1043</v>
      </c>
      <c r="D13" s="982">
        <v>0.88321379999999994</v>
      </c>
      <c r="E13" s="2253"/>
      <c r="F13" s="982">
        <v>0.88321379999999994</v>
      </c>
      <c r="G13" s="2253"/>
      <c r="H13" s="983"/>
      <c r="I13" s="983"/>
      <c r="J13" s="982">
        <v>0.88321379999999994</v>
      </c>
      <c r="K13" s="2253"/>
      <c r="L13" s="984"/>
      <c r="M13" s="984"/>
      <c r="N13" s="982">
        <f>0.14+0.7432138</f>
        <v>0.88321380000000005</v>
      </c>
      <c r="O13" s="982"/>
      <c r="P13" s="983"/>
      <c r="Q13" s="983"/>
      <c r="R13" s="982">
        <f>0.14+0.7432138</f>
        <v>0.88321380000000005</v>
      </c>
      <c r="S13" s="982"/>
      <c r="T13" s="983"/>
      <c r="U13" s="983"/>
      <c r="V13" s="982">
        <f>0.14+0.7432138</f>
        <v>0.88321380000000005</v>
      </c>
      <c r="W13" s="982"/>
      <c r="X13" s="984"/>
      <c r="Y13" s="984"/>
      <c r="Z13" s="982"/>
      <c r="AA13" s="982"/>
      <c r="AB13" s="982">
        <v>0.88321379999999994</v>
      </c>
      <c r="AC13" s="982"/>
      <c r="AD13" s="983"/>
      <c r="AE13" s="983"/>
      <c r="AF13" s="982">
        <v>0.88321379999999994</v>
      </c>
      <c r="AG13" s="982"/>
      <c r="AH13" s="983"/>
      <c r="AI13" s="983"/>
      <c r="AJ13" s="982">
        <v>0.88321379999999994</v>
      </c>
      <c r="AK13" s="982"/>
      <c r="AL13" s="984"/>
      <c r="AM13" s="984"/>
      <c r="AN13" s="983"/>
      <c r="AO13" s="983"/>
      <c r="AP13" s="982">
        <v>0.88321379999999994</v>
      </c>
      <c r="AQ13" s="982"/>
      <c r="AR13" s="983"/>
      <c r="AS13" s="983"/>
      <c r="AT13" s="982">
        <v>0.88321379999999994</v>
      </c>
      <c r="AU13" s="982"/>
      <c r="AV13" s="983"/>
      <c r="AW13" s="983"/>
      <c r="AX13" s="982">
        <v>0.88321379999999983</v>
      </c>
      <c r="AY13" s="982"/>
      <c r="AZ13" s="984"/>
      <c r="BA13" s="984"/>
      <c r="BB13" s="982"/>
      <c r="BC13" s="982"/>
      <c r="BD13" s="983"/>
      <c r="BE13" s="983"/>
      <c r="BF13" s="26"/>
      <c r="BG13" s="26"/>
      <c r="BH13" s="26"/>
      <c r="BI13" s="26"/>
    </row>
    <row r="14" spans="1:62" x14ac:dyDescent="0.25">
      <c r="B14" s="1250" t="s">
        <v>56</v>
      </c>
      <c r="C14" s="193" t="s">
        <v>333</v>
      </c>
      <c r="D14" s="1411">
        <f>+D13*D2*24</f>
        <v>635.91393599999992</v>
      </c>
      <c r="E14" s="185">
        <v>176.61</v>
      </c>
      <c r="F14" s="1411">
        <f>+F13*F2*24</f>
        <v>657.11106719999998</v>
      </c>
      <c r="G14" s="185">
        <v>487.6</v>
      </c>
      <c r="H14" s="947">
        <f>+D14+F14</f>
        <v>1293.0250031999999</v>
      </c>
      <c r="I14" s="947">
        <f>+E14+G14</f>
        <v>664.21</v>
      </c>
      <c r="J14" s="1411">
        <f>+J13*J2*24</f>
        <v>635.91393599999992</v>
      </c>
      <c r="K14" s="185">
        <v>336.38</v>
      </c>
      <c r="L14" s="946">
        <f>+H14+J14</f>
        <v>1928.9389391999998</v>
      </c>
      <c r="M14" s="946">
        <f>+I14+K14</f>
        <v>1000.59</v>
      </c>
      <c r="N14" s="1411">
        <f>+N13*N2*24</f>
        <v>657.11106719999998</v>
      </c>
      <c r="O14" s="1411">
        <v>327.71821192443213</v>
      </c>
      <c r="P14" s="947">
        <f>+L14+N14</f>
        <v>2586.0500063999998</v>
      </c>
      <c r="Q14" s="947">
        <f>+M14+O14</f>
        <v>1328.3082119244323</v>
      </c>
      <c r="R14" s="2567">
        <f>+R13*R2*24</f>
        <v>657.11106719999998</v>
      </c>
      <c r="S14" s="2567">
        <f>56.0371254993047+52.41</f>
        <v>108.44712549930469</v>
      </c>
      <c r="T14" s="2565">
        <f>+P14+R14</f>
        <v>3243.1610735999998</v>
      </c>
      <c r="U14" s="2565">
        <f>+Q14+S14</f>
        <v>1436.755337423737</v>
      </c>
      <c r="V14" s="3288">
        <f>+V13*V2*24</f>
        <v>635.91393600000004</v>
      </c>
      <c r="W14" s="3288">
        <f>53.37+246.58</f>
        <v>299.95</v>
      </c>
      <c r="X14" s="946">
        <f>+V14+R14+N14</f>
        <v>1950.1360703999999</v>
      </c>
      <c r="Y14" s="946">
        <f>+W14+S14+O14</f>
        <v>736.11533742373683</v>
      </c>
      <c r="Z14" s="558">
        <f>+L14+X14</f>
        <v>3879.0750095999997</v>
      </c>
      <c r="AA14" s="558">
        <f>+Y14+M14</f>
        <v>1736.7053374237369</v>
      </c>
      <c r="AB14" s="3616">
        <f>+AB13*AB2*24</f>
        <v>657.11106719999998</v>
      </c>
      <c r="AC14" s="3616">
        <v>271.99424385740429</v>
      </c>
      <c r="AD14" s="3615">
        <f>+Z14+AB14</f>
        <v>4536.1860767999997</v>
      </c>
      <c r="AE14" s="3615">
        <f>+AA14+AC14</f>
        <v>2008.699581281141</v>
      </c>
      <c r="AF14" s="3616">
        <f>+AF13*AF2*24</f>
        <v>635.91393599999992</v>
      </c>
      <c r="AG14" s="3616">
        <v>184.9</v>
      </c>
      <c r="AH14" s="3615">
        <f>+AD14+AF14</f>
        <v>5172.1000127999996</v>
      </c>
      <c r="AI14" s="3615">
        <f>+AE14+AG14</f>
        <v>2193.5995812811411</v>
      </c>
      <c r="AJ14" s="3616">
        <f>+AJ13*AJ2*24</f>
        <v>657.11106719999998</v>
      </c>
      <c r="AK14" s="3616">
        <v>201.42553126143665</v>
      </c>
      <c r="AL14" s="4328">
        <f>+AJ14+AF14+AB14</f>
        <v>1950.1360703999999</v>
      </c>
      <c r="AM14" s="4328">
        <f>+AK14+AG14+AC14</f>
        <v>658.31977511884088</v>
      </c>
      <c r="AN14" s="3615">
        <f>+AH14+AJ14</f>
        <v>5829.2110799999991</v>
      </c>
      <c r="AO14" s="3615">
        <f>+AI14+AK14</f>
        <v>2395.025112542578</v>
      </c>
      <c r="AP14" s="3616">
        <f>+AP13*AP2*24</f>
        <v>657.11106719999998</v>
      </c>
      <c r="AQ14" s="3616">
        <v>245.17365532957433</v>
      </c>
      <c r="AR14" s="3615">
        <f>+AN14+AP14</f>
        <v>6486.3221471999987</v>
      </c>
      <c r="AS14" s="3615">
        <f>+AO14+AQ14</f>
        <v>2640.1987678721525</v>
      </c>
      <c r="AT14" s="3616">
        <f>+AT13*AT2*24</f>
        <v>614.71680479999998</v>
      </c>
      <c r="AU14" s="3616">
        <v>135.46797379575742</v>
      </c>
      <c r="AV14" s="3615">
        <f>+AR14+AT14</f>
        <v>7101.038951999999</v>
      </c>
      <c r="AW14" s="3615">
        <f>+AS14+AU14</f>
        <v>2775.6667416679102</v>
      </c>
      <c r="AX14" s="3616">
        <f>+AX13*AX2*24</f>
        <v>657.11106719999987</v>
      </c>
      <c r="AY14" s="3616">
        <v>226.44176002107406</v>
      </c>
      <c r="AZ14" s="5166">
        <f>+AX14+AT14+AP14</f>
        <v>1928.9389391999998</v>
      </c>
      <c r="BA14" s="5166">
        <f>+AY14+AU14+AQ14</f>
        <v>607.08338914640581</v>
      </c>
      <c r="BB14" s="5175">
        <f t="shared" ref="BB14:BB16" si="26">+AL14+AZ14</f>
        <v>3879.0750095999997</v>
      </c>
      <c r="BC14" s="5175">
        <f t="shared" ref="BC14:BC16" si="27">+AM14+BA14</f>
        <v>1265.4031642652467</v>
      </c>
      <c r="BD14" s="3615">
        <f>+AV14+AX14</f>
        <v>7758.1500191999985</v>
      </c>
      <c r="BE14" s="3615">
        <f>+AW14+AY14</f>
        <v>3002.1085016889842</v>
      </c>
      <c r="BF14" s="26"/>
      <c r="BG14" s="26"/>
      <c r="BH14" s="26"/>
      <c r="BI14" s="26"/>
    </row>
    <row r="15" spans="1:62" ht="15" hidden="1" customHeight="1" x14ac:dyDescent="0.25">
      <c r="B15" s="1250" t="s">
        <v>386</v>
      </c>
      <c r="C15" s="193" t="s">
        <v>1042</v>
      </c>
      <c r="D15" s="227">
        <v>0.37852019999999997</v>
      </c>
      <c r="E15" s="1603"/>
      <c r="F15" s="227">
        <v>0.37852019999999997</v>
      </c>
      <c r="G15" s="1603"/>
      <c r="H15" s="947"/>
      <c r="I15" s="947"/>
      <c r="J15" s="227">
        <v>0.37852019999999997</v>
      </c>
      <c r="K15" s="1603"/>
      <c r="L15" s="946"/>
      <c r="M15" s="946"/>
      <c r="N15" s="227">
        <f>0.3185202+0.06</f>
        <v>0.37852019999999997</v>
      </c>
      <c r="O15" s="1494"/>
      <c r="P15" s="947"/>
      <c r="Q15" s="947"/>
      <c r="R15" s="227">
        <f>0.3185202+0.06</f>
        <v>0.37852019999999997</v>
      </c>
      <c r="S15" s="2568"/>
      <c r="T15" s="2565"/>
      <c r="U15" s="2565"/>
      <c r="V15" s="227">
        <f>0.3185202+0.06</f>
        <v>0.37852019999999997</v>
      </c>
      <c r="W15" s="2941"/>
      <c r="X15" s="946"/>
      <c r="Y15" s="946"/>
      <c r="Z15" s="558"/>
      <c r="AA15" s="558"/>
      <c r="AB15" s="227">
        <v>0.37852019999999997</v>
      </c>
      <c r="AC15" s="2941"/>
      <c r="AD15" s="3615"/>
      <c r="AE15" s="3615"/>
      <c r="AF15" s="227">
        <v>0.37852019999999997</v>
      </c>
      <c r="AG15" s="2941"/>
      <c r="AH15" s="3615"/>
      <c r="AI15" s="3615"/>
      <c r="AJ15" s="227">
        <v>0.37852019999999997</v>
      </c>
      <c r="AK15" s="2941"/>
      <c r="AL15" s="4328"/>
      <c r="AM15" s="4328"/>
      <c r="AN15" s="3615"/>
      <c r="AO15" s="3615"/>
      <c r="AP15" s="227">
        <v>0.37852019999999997</v>
      </c>
      <c r="AQ15" s="2941"/>
      <c r="AR15" s="3615"/>
      <c r="AS15" s="3615"/>
      <c r="AT15" s="227">
        <v>0.37852019999999997</v>
      </c>
      <c r="AU15" s="2941"/>
      <c r="AV15" s="3615"/>
      <c r="AW15" s="3615"/>
      <c r="AX15" s="227">
        <v>0.37852019999999997</v>
      </c>
      <c r="AY15" s="2941"/>
      <c r="AZ15" s="5166"/>
      <c r="BA15" s="5166"/>
      <c r="BB15" s="5175">
        <f t="shared" si="26"/>
        <v>0</v>
      </c>
      <c r="BC15" s="5175">
        <f t="shared" si="27"/>
        <v>0</v>
      </c>
      <c r="BD15" s="3615"/>
      <c r="BE15" s="3615"/>
      <c r="BF15" s="26"/>
      <c r="BG15" s="26"/>
      <c r="BH15" s="26"/>
      <c r="BI15" s="26"/>
    </row>
    <row r="16" spans="1:62" x14ac:dyDescent="0.25">
      <c r="B16" s="1250" t="s">
        <v>386</v>
      </c>
      <c r="C16" s="193" t="s">
        <v>333</v>
      </c>
      <c r="D16" s="1411">
        <f>+D15*D2*24</f>
        <v>272.53454399999998</v>
      </c>
      <c r="E16" s="1603">
        <v>415.39</v>
      </c>
      <c r="F16" s="1411">
        <f>+F15*F2*24</f>
        <v>281.61902879999997</v>
      </c>
      <c r="G16" s="1603">
        <v>1137.75</v>
      </c>
      <c r="H16" s="947">
        <f>+D16+F16</f>
        <v>554.15357279999989</v>
      </c>
      <c r="I16" s="947">
        <f>+E16+G16</f>
        <v>1553.1399999999999</v>
      </c>
      <c r="J16" s="1411">
        <f>+J15*J2*24</f>
        <v>272.53454399999998</v>
      </c>
      <c r="K16" s="1603">
        <v>784.89</v>
      </c>
      <c r="L16" s="946">
        <f>+H16+J16</f>
        <v>826.68811679999988</v>
      </c>
      <c r="M16" s="946">
        <f>+I16+K16</f>
        <v>2338.0299999999997</v>
      </c>
      <c r="N16" s="1411">
        <f>+N15*N2*24</f>
        <v>281.61902879999997</v>
      </c>
      <c r="O16" s="1494">
        <v>871.68564115700838</v>
      </c>
      <c r="P16" s="947">
        <f>+L16+N16</f>
        <v>1108.3071455999998</v>
      </c>
      <c r="Q16" s="947">
        <f>+M16+O16</f>
        <v>3209.7156411570081</v>
      </c>
      <c r="R16" s="2567">
        <f>+R15*R2*24</f>
        <v>281.61902879999997</v>
      </c>
      <c r="S16" s="2568">
        <f>130.753292831711+122.29</f>
        <v>253.04329283171103</v>
      </c>
      <c r="T16" s="2565">
        <f>+P16+R16</f>
        <v>1389.9261743999998</v>
      </c>
      <c r="U16" s="2565">
        <f>+Q16+S16</f>
        <v>3462.758933988719</v>
      </c>
      <c r="V16" s="3288">
        <f>+V15*V2*24</f>
        <v>272.53454399999998</v>
      </c>
      <c r="W16" s="2941">
        <v>723.89</v>
      </c>
      <c r="X16" s="946">
        <f>+V16+R16+N16</f>
        <v>835.77260159999992</v>
      </c>
      <c r="Y16" s="946">
        <f>+W16+S16+O16</f>
        <v>1848.6189339887194</v>
      </c>
      <c r="Z16" s="558">
        <f>+L16+X16</f>
        <v>1662.4607183999997</v>
      </c>
      <c r="AA16" s="558">
        <f>+Y16+M16</f>
        <v>4186.6489339887194</v>
      </c>
      <c r="AB16" s="3616">
        <f>+AB15*AB2*24</f>
        <v>281.61902879999997</v>
      </c>
      <c r="AC16" s="2941">
        <v>674.37972566727649</v>
      </c>
      <c r="AD16" s="3615">
        <f>+Z16+AB16</f>
        <v>1944.0797471999997</v>
      </c>
      <c r="AE16" s="3615">
        <f>+AA16+AC16</f>
        <v>4861.0286596559963</v>
      </c>
      <c r="AF16" s="3616">
        <f>+AF15*AF2*24</f>
        <v>272.53454399999998</v>
      </c>
      <c r="AG16" s="2941">
        <v>431.42</v>
      </c>
      <c r="AH16" s="3615">
        <f>+AD16+AF16</f>
        <v>2216.6142911999996</v>
      </c>
      <c r="AI16" s="3615">
        <f>+AE16+AG16</f>
        <v>5292.4486596559964</v>
      </c>
      <c r="AJ16" s="3616">
        <f>+AJ15*AJ2*24</f>
        <v>281.61902879999997</v>
      </c>
      <c r="AK16" s="2941">
        <v>471.73748961001888</v>
      </c>
      <c r="AL16" s="4328">
        <f>+AJ16+AF16+AB16</f>
        <v>835.77260159999992</v>
      </c>
      <c r="AM16" s="4328">
        <f>+AK16+AG16+AC16</f>
        <v>1577.5372152772954</v>
      </c>
      <c r="AN16" s="3615">
        <f>+AH16+AJ16</f>
        <v>2498.2333199999994</v>
      </c>
      <c r="AO16" s="3615">
        <f>+AI16+AK16</f>
        <v>5764.1861492660155</v>
      </c>
      <c r="AP16" s="3616">
        <f>+AP15*AP2*24</f>
        <v>281.61902879999997</v>
      </c>
      <c r="AQ16" s="2941">
        <v>572.07186243567344</v>
      </c>
      <c r="AR16" s="3615">
        <f>+AN16+AP16</f>
        <v>2779.8523487999992</v>
      </c>
      <c r="AS16" s="3615">
        <f>+AO16+AQ16</f>
        <v>6336.2580117016887</v>
      </c>
      <c r="AT16" s="3616">
        <f>+AT15*AT2*24</f>
        <v>263.4500592</v>
      </c>
      <c r="AU16" s="2941">
        <v>340.09193885676723</v>
      </c>
      <c r="AV16" s="3615">
        <f>+AR16+AT16</f>
        <v>3043.3024079999991</v>
      </c>
      <c r="AW16" s="3615">
        <f>+AS16+AU16</f>
        <v>6676.3499505584559</v>
      </c>
      <c r="AX16" s="3616">
        <f>+AX15*AX2*24</f>
        <v>281.61902879999997</v>
      </c>
      <c r="AY16" s="2941">
        <v>528.36410671583928</v>
      </c>
      <c r="AZ16" s="5166">
        <f>+AX16+AT16+AP16</f>
        <v>826.68811679999999</v>
      </c>
      <c r="BA16" s="5166">
        <f>+AY16+AU16+AQ16</f>
        <v>1440.5279080082801</v>
      </c>
      <c r="BB16" s="5175">
        <f t="shared" si="26"/>
        <v>1662.4607183999999</v>
      </c>
      <c r="BC16" s="5175">
        <f t="shared" si="27"/>
        <v>3018.0651232855753</v>
      </c>
      <c r="BD16" s="3615">
        <f>+AV16+AX16</f>
        <v>3324.9214367999989</v>
      </c>
      <c r="BE16" s="3615">
        <f>+AW16+AY16</f>
        <v>7204.7140572742956</v>
      </c>
      <c r="BF16" s="26"/>
      <c r="BG16" s="26"/>
      <c r="BH16" s="26"/>
      <c r="BI16" s="26"/>
    </row>
    <row r="17" spans="2:61" x14ac:dyDescent="0.25">
      <c r="B17" s="1251" t="s">
        <v>75</v>
      </c>
      <c r="C17" s="193" t="s">
        <v>51</v>
      </c>
      <c r="D17" s="1239">
        <f>+(+D16)*100/D11</f>
        <v>0.57399027688940474</v>
      </c>
      <c r="E17" s="1615">
        <f>+E16/E11*100</f>
        <v>0.8721518986615322</v>
      </c>
      <c r="F17" s="1239">
        <f>+(+F16)*100/F11</f>
        <v>0.57399027688940485</v>
      </c>
      <c r="G17" s="1615">
        <f>+G16/G11*100</f>
        <v>2.4067822416607467</v>
      </c>
      <c r="H17" s="451">
        <f>+H16/H11*100</f>
        <v>0.57399027688940474</v>
      </c>
      <c r="I17" s="451">
        <f>+I16/I11*100</f>
        <v>1.6365926091242715</v>
      </c>
      <c r="J17" s="1239">
        <f>+(+J16)*100/J11</f>
        <v>0.57399027688940474</v>
      </c>
      <c r="K17" s="1615">
        <f>+K16/K11*100</f>
        <v>1.698617114491368</v>
      </c>
      <c r="L17" s="453">
        <f>+L16/L11*100</f>
        <v>0.57399027688940485</v>
      </c>
      <c r="M17" s="453">
        <f>+M16/M11*100</f>
        <v>1.6569032525148395</v>
      </c>
      <c r="N17" s="1239">
        <f>+(+N16)*100/N11</f>
        <v>0.57399027688940485</v>
      </c>
      <c r="O17" s="1706">
        <f>+O16/O11*100</f>
        <v>1.7947329498734965</v>
      </c>
      <c r="P17" s="451">
        <f>+P16/P11*100</f>
        <v>0.57399027688940474</v>
      </c>
      <c r="Q17" s="451">
        <f>+Q16/Q11*100</f>
        <v>1.6921961240958194</v>
      </c>
      <c r="R17" s="1239">
        <f>+(+R16)*100/R11</f>
        <v>0.58187786725343849</v>
      </c>
      <c r="S17" s="1706">
        <f>+S16/S11*100</f>
        <v>0.52459694783953947</v>
      </c>
      <c r="T17" s="2581">
        <f>+T16/T11*100</f>
        <v>0.57557109443554888</v>
      </c>
      <c r="U17" s="2581">
        <f>+U16/U11*100</f>
        <v>1.4554710955884926</v>
      </c>
      <c r="V17" s="1239">
        <f>+(+V16)*100/V11</f>
        <v>0.58187786725343837</v>
      </c>
      <c r="W17" s="1706">
        <f>+W16/W11*100</f>
        <v>1.5454994579254964</v>
      </c>
      <c r="X17" s="453">
        <f>+X16/X11*100</f>
        <v>0.57919598798295024</v>
      </c>
      <c r="Y17" s="453">
        <f>+Y16/Y11*100</f>
        <v>1.2869498337238856</v>
      </c>
      <c r="Z17" s="588">
        <f>+Z16/Z11*100</f>
        <v>0.57659560594632719</v>
      </c>
      <c r="AA17" s="588">
        <f>+AA16/AA11*100</f>
        <v>1.4702797810949586</v>
      </c>
      <c r="AB17" s="1239">
        <f>+(+AB16)*100/AB11</f>
        <v>0.57399027688940485</v>
      </c>
      <c r="AC17" s="1706">
        <f>+AC16/AC11*100</f>
        <v>1.3844701941993882</v>
      </c>
      <c r="AD17" s="3313">
        <f>+AD16/AD11*100</f>
        <v>0.57621673453579814</v>
      </c>
      <c r="AE17" s="3313">
        <f>+AE16/AE11*100</f>
        <v>1.4577451908384169</v>
      </c>
      <c r="AF17" s="1239">
        <f>+(+AF16)*100/AF11</f>
        <v>0.57399027688940474</v>
      </c>
      <c r="AG17" s="1706">
        <f>+AG16/AG11*100</f>
        <v>0.91724156902434539</v>
      </c>
      <c r="AH17" s="3313">
        <f>+AH16/AH11*100</f>
        <v>0.57594205890834027</v>
      </c>
      <c r="AI17" s="3313">
        <f>+AI16/AI11*100</f>
        <v>1.3909316790875867</v>
      </c>
      <c r="AJ17" s="1239">
        <f>+(+AJ16)*100/AJ11</f>
        <v>0.57399027688940485</v>
      </c>
      <c r="AK17" s="1706">
        <f>+AK16/AK11*100</f>
        <v>0.96578488466053136</v>
      </c>
      <c r="AL17" s="3402">
        <f>+AL16/AL11*100</f>
        <v>0.57399027688940485</v>
      </c>
      <c r="AM17" s="3402">
        <f>+AM16/AM11*100</f>
        <v>1.0910432427640904</v>
      </c>
      <c r="AN17" s="3313">
        <f>+AN16/AN11*100</f>
        <v>0.57572137628807873</v>
      </c>
      <c r="AO17" s="3313">
        <f>+AO16/AO11*100</f>
        <v>1.3425639303195096</v>
      </c>
      <c r="AP17" s="1239">
        <f>+(+AP16)*100/AP11</f>
        <v>0.57399027688940485</v>
      </c>
      <c r="AQ17" s="1706">
        <f>+AQ16/AQ11*100</f>
        <v>1.1787998078571709</v>
      </c>
      <c r="AR17" s="3313">
        <f>+AR16/AR11*100</f>
        <v>0.575545528292977</v>
      </c>
      <c r="AS17" s="3313">
        <f>+AS16/AS11*100</f>
        <v>1.3259329441951562</v>
      </c>
      <c r="AT17" s="1239">
        <f>+(+AT16)*100/AT11</f>
        <v>0.57399027688940474</v>
      </c>
      <c r="AU17" s="1706">
        <f>+AU16/AU11*100</f>
        <v>0.74808797260443338</v>
      </c>
      <c r="AV17" s="3313">
        <f>+AV16/AV11*100</f>
        <v>0.57541056145103953</v>
      </c>
      <c r="AW17" s="3313">
        <f>+AW16/AW11*100</f>
        <v>1.2757360619874334</v>
      </c>
      <c r="AX17" s="1239">
        <f>+(+AX16)*100/AX11</f>
        <v>0.57399027688940485</v>
      </c>
      <c r="AY17" s="1706">
        <f t="shared" ref="AY17:BE17" si="28">+AY16/AY11*100</f>
        <v>1.0857677677046171</v>
      </c>
      <c r="AZ17" s="3402">
        <f t="shared" si="28"/>
        <v>0.57399027688940485</v>
      </c>
      <c r="BA17" s="3402">
        <f t="shared" si="28"/>
        <v>1.0098038172030499</v>
      </c>
      <c r="BB17" s="3401">
        <f t="shared" si="28"/>
        <v>0.57399027688940485</v>
      </c>
      <c r="BC17" s="3401">
        <f t="shared" si="28"/>
        <v>1.0506972415092015</v>
      </c>
      <c r="BD17" s="3313">
        <f t="shared" si="28"/>
        <v>0.57528999172953921</v>
      </c>
      <c r="BE17" s="3313">
        <f t="shared" si="28"/>
        <v>1.2595744535671172</v>
      </c>
      <c r="BF17" s="26"/>
      <c r="BG17" s="26"/>
      <c r="BH17" s="26"/>
      <c r="BI17" s="26"/>
    </row>
    <row r="18" spans="2:61" ht="18.75" x14ac:dyDescent="0.25">
      <c r="B18" s="706" t="s">
        <v>57</v>
      </c>
      <c r="C18" s="1252" t="s">
        <v>333</v>
      </c>
      <c r="D18" s="748">
        <f t="shared" ref="D18:E18" si="29">+D11-D14-D16</f>
        <v>46572.24152000001</v>
      </c>
      <c r="E18" s="2256">
        <f t="shared" si="29"/>
        <v>47036.171266666701</v>
      </c>
      <c r="F18" s="748">
        <f t="shared" ref="F18:G18" si="30">+F11-F14-F16</f>
        <v>48124.649570666668</v>
      </c>
      <c r="G18" s="2256">
        <f t="shared" si="30"/>
        <v>45647.310579999998</v>
      </c>
      <c r="H18" s="782">
        <f t="shared" ref="H18:K18" si="31">+H11-H14-H16</f>
        <v>94696.891090666672</v>
      </c>
      <c r="I18" s="782">
        <f t="shared" si="31"/>
        <v>92683.481846666691</v>
      </c>
      <c r="J18" s="748">
        <f t="shared" si="31"/>
        <v>46572.24152000001</v>
      </c>
      <c r="K18" s="2256">
        <f t="shared" si="31"/>
        <v>45086.318119999996</v>
      </c>
      <c r="L18" s="783">
        <f t="shared" ref="L18:Q18" si="32">+L11-L14-L16</f>
        <v>141269.13261066668</v>
      </c>
      <c r="M18" s="783">
        <f t="shared" si="32"/>
        <v>137769.7999666667</v>
      </c>
      <c r="N18" s="748">
        <f t="shared" si="32"/>
        <v>48124.649570666668</v>
      </c>
      <c r="O18" s="748">
        <f t="shared" si="32"/>
        <v>47369.696146918555</v>
      </c>
      <c r="P18" s="782">
        <f t="shared" si="32"/>
        <v>189393.78218133334</v>
      </c>
      <c r="Q18" s="782">
        <f t="shared" si="32"/>
        <v>185139.49611358528</v>
      </c>
      <c r="R18" s="748">
        <f t="shared" ref="R18:U18" si="33">+R11-R14-R16</f>
        <v>47459.575570666653</v>
      </c>
      <c r="S18" s="748">
        <f t="shared" si="33"/>
        <v>47874.263501668989</v>
      </c>
      <c r="T18" s="2572">
        <f t="shared" si="33"/>
        <v>236853.35775200001</v>
      </c>
      <c r="U18" s="2572">
        <f t="shared" si="33"/>
        <v>233013.75961525424</v>
      </c>
      <c r="V18" s="748">
        <f t="shared" ref="V18:W18" si="34">+V11-V14-V16</f>
        <v>45928.621519999993</v>
      </c>
      <c r="W18" s="748">
        <f t="shared" si="34"/>
        <v>45814.740000000005</v>
      </c>
      <c r="X18" s="748">
        <f t="shared" ref="X18:AE18" si="35">+X11-X14-X16</f>
        <v>141512.84666133329</v>
      </c>
      <c r="Y18" s="748">
        <f t="shared" si="35"/>
        <v>141058.69964858753</v>
      </c>
      <c r="Z18" s="748">
        <f t="shared" si="35"/>
        <v>282781.97927199997</v>
      </c>
      <c r="AA18" s="748">
        <f t="shared" si="35"/>
        <v>278828.49961525429</v>
      </c>
      <c r="AB18" s="748">
        <f t="shared" si="35"/>
        <v>48124.649570666668</v>
      </c>
      <c r="AC18" s="748">
        <f t="shared" si="35"/>
        <v>47763.936190475324</v>
      </c>
      <c r="AD18" s="4113">
        <f t="shared" si="35"/>
        <v>330906.62884266669</v>
      </c>
      <c r="AE18" s="4113">
        <f t="shared" si="35"/>
        <v>326592.43580572953</v>
      </c>
      <c r="AF18" s="748">
        <f t="shared" ref="AF18:AI18" si="36">+AF11-AF14-AF16</f>
        <v>46572.24152000001</v>
      </c>
      <c r="AG18" s="748">
        <f t="shared" si="36"/>
        <v>46418.181549999994</v>
      </c>
      <c r="AH18" s="4197">
        <f t="shared" si="36"/>
        <v>377478.87036266667</v>
      </c>
      <c r="AI18" s="4197">
        <f t="shared" si="36"/>
        <v>373010.61735572957</v>
      </c>
      <c r="AJ18" s="748">
        <f t="shared" ref="AJ18:AO18" si="37">+AJ11-AJ14-AJ16</f>
        <v>48124.649570666668</v>
      </c>
      <c r="AK18" s="748">
        <f>+AK11-AK14-AK16</f>
        <v>48171.822762461896</v>
      </c>
      <c r="AL18" s="748">
        <f t="shared" si="37"/>
        <v>142821.54066133333</v>
      </c>
      <c r="AM18" s="748">
        <f t="shared" si="37"/>
        <v>142353.94050293721</v>
      </c>
      <c r="AN18" s="4330">
        <f t="shared" si="37"/>
        <v>425603.51993333345</v>
      </c>
      <c r="AO18" s="4330">
        <f t="shared" si="37"/>
        <v>421182.44011819147</v>
      </c>
      <c r="AP18" s="748">
        <f t="shared" ref="AP18" si="38">+AP11-AP14-AP16</f>
        <v>48124.649570666668</v>
      </c>
      <c r="AQ18" s="748">
        <f>+AQ11-AQ14-AQ16</f>
        <v>47712.781262234734</v>
      </c>
      <c r="AR18" s="4453">
        <f t="shared" ref="AR18:AT18" si="39">+AR11-AR14-AR16</f>
        <v>473728.16950400005</v>
      </c>
      <c r="AS18" s="4453">
        <f t="shared" si="39"/>
        <v>468895.22138042614</v>
      </c>
      <c r="AT18" s="748">
        <f t="shared" si="39"/>
        <v>45019.833469333345</v>
      </c>
      <c r="AU18" s="748">
        <f>+AU11-AU14-AU16</f>
        <v>44985.930087347486</v>
      </c>
      <c r="AV18" s="4686">
        <f t="shared" ref="AV18:AX18" si="40">+AV11-AV14-AV16</f>
        <v>518748.00297333347</v>
      </c>
      <c r="AW18" s="4686">
        <f t="shared" si="40"/>
        <v>513881.15146777366</v>
      </c>
      <c r="AX18" s="748">
        <f t="shared" si="40"/>
        <v>48124.649570666668</v>
      </c>
      <c r="AY18" s="748">
        <f>+AY11-AY14-AY16</f>
        <v>47907.912113263083</v>
      </c>
      <c r="AZ18" s="748">
        <f t="shared" ref="AZ18:BC18" si="41">+AZ11-AZ14-AZ16</f>
        <v>141269.13261066668</v>
      </c>
      <c r="BA18" s="748">
        <f t="shared" si="41"/>
        <v>140606.62346284531</v>
      </c>
      <c r="BB18" s="748">
        <f t="shared" si="41"/>
        <v>284090.67327199999</v>
      </c>
      <c r="BC18" s="748">
        <f t="shared" si="41"/>
        <v>282960.56396578252</v>
      </c>
      <c r="BD18" s="5168">
        <f t="shared" ref="BD18:BE18" si="42">+BD11-BD14-BD16</f>
        <v>566872.65254399995</v>
      </c>
      <c r="BE18" s="5168">
        <f t="shared" si="42"/>
        <v>561789.06358103687</v>
      </c>
      <c r="BF18" s="26"/>
      <c r="BG18" s="26"/>
      <c r="BH18" s="26"/>
      <c r="BI18" s="26"/>
    </row>
    <row r="19" spans="2:61" ht="15.75" x14ac:dyDescent="0.25">
      <c r="B19" s="979" t="s">
        <v>342</v>
      </c>
      <c r="C19" s="979"/>
      <c r="D19" s="1050"/>
      <c r="E19" s="2257"/>
      <c r="F19" s="1050"/>
      <c r="G19" s="2257"/>
      <c r="H19" s="979"/>
      <c r="I19" s="979"/>
      <c r="J19" s="1050"/>
      <c r="K19" s="2257"/>
      <c r="L19" s="979"/>
      <c r="M19" s="979"/>
      <c r="N19" s="1050"/>
      <c r="O19" s="979"/>
      <c r="P19" s="979"/>
      <c r="Q19" s="979"/>
      <c r="R19" s="1050"/>
      <c r="S19" s="979"/>
      <c r="T19" s="979"/>
      <c r="U19" s="979"/>
      <c r="V19" s="1050"/>
      <c r="W19" s="979"/>
      <c r="X19" s="979"/>
      <c r="Y19" s="979"/>
      <c r="Z19" s="979"/>
      <c r="AA19" s="979"/>
      <c r="AB19" s="1050"/>
      <c r="AC19" s="979"/>
      <c r="AD19" s="979"/>
      <c r="AE19" s="979"/>
      <c r="AF19" s="1050"/>
      <c r="AG19" s="979"/>
      <c r="AH19" s="979"/>
      <c r="AI19" s="979"/>
      <c r="AJ19" s="1050"/>
      <c r="AK19" s="979"/>
      <c r="AL19" s="979"/>
      <c r="AM19" s="979"/>
      <c r="AN19" s="979"/>
      <c r="AO19" s="979"/>
      <c r="AP19" s="1050"/>
      <c r="AQ19" s="979"/>
      <c r="AR19" s="979"/>
      <c r="AS19" s="979"/>
      <c r="AT19" s="1050"/>
      <c r="AU19" s="979"/>
      <c r="AV19" s="979"/>
      <c r="AW19" s="979"/>
      <c r="AX19" s="1050"/>
      <c r="AY19" s="979"/>
      <c r="AZ19" s="979"/>
      <c r="BA19" s="979"/>
      <c r="BB19" s="979"/>
      <c r="BC19" s="979"/>
      <c r="BD19" s="979"/>
      <c r="BE19" s="979"/>
      <c r="BF19" s="26"/>
      <c r="BG19" s="26"/>
      <c r="BH19" s="26"/>
      <c r="BI19" s="26"/>
    </row>
    <row r="20" spans="2:61" x14ac:dyDescent="0.25">
      <c r="B20" s="1253" t="s">
        <v>109</v>
      </c>
      <c r="C20" s="193" t="s">
        <v>333</v>
      </c>
      <c r="D20" s="1411">
        <f>D21*D$2*24</f>
        <v>9311.5915199999999</v>
      </c>
      <c r="E20" s="1603">
        <v>9493.2499999999964</v>
      </c>
      <c r="F20" s="1411">
        <f>F21*F$2*24</f>
        <v>9621.9779039999994</v>
      </c>
      <c r="G20" s="1603">
        <v>9856.82</v>
      </c>
      <c r="H20" s="947">
        <f t="shared" ref="H20:I42" si="43">+D20+F20</f>
        <v>18933.569424000001</v>
      </c>
      <c r="I20" s="947">
        <f t="shared" si="43"/>
        <v>19350.069999999996</v>
      </c>
      <c r="J20" s="1411">
        <f>J21*J$2*24</f>
        <v>9311.5915199999999</v>
      </c>
      <c r="K20" s="1603">
        <v>9511.8999999999978</v>
      </c>
      <c r="L20" s="946">
        <f t="shared" ref="L20:L42" si="44">+H20+J20</f>
        <v>28245.160944000003</v>
      </c>
      <c r="M20" s="946">
        <f t="shared" ref="M20:M42" si="45">+I20+K20</f>
        <v>28861.969999999994</v>
      </c>
      <c r="N20" s="1411">
        <f>N21*N$2*24</f>
        <v>9621.9779039999994</v>
      </c>
      <c r="O20" s="1494">
        <v>9851.01</v>
      </c>
      <c r="P20" s="947">
        <f t="shared" ref="P20:P42" si="46">+L20+N20</f>
        <v>37867.138848000002</v>
      </c>
      <c r="Q20" s="947">
        <f t="shared" ref="Q20:Q42" si="47">+M20+O20</f>
        <v>38712.979999999996</v>
      </c>
      <c r="R20" s="2567">
        <f>R21*R$2*24</f>
        <v>9621.9779039999994</v>
      </c>
      <c r="S20" s="2568">
        <v>9828.8000000000011</v>
      </c>
      <c r="T20" s="2565">
        <f t="shared" ref="T20" si="48">+P20+R20</f>
        <v>47489.116752000002</v>
      </c>
      <c r="U20" s="2565">
        <f t="shared" ref="U20" si="49">+Q20+S20</f>
        <v>48541.78</v>
      </c>
      <c r="V20" s="3288">
        <f>V21*V$2*24</f>
        <v>9311.5915199999999</v>
      </c>
      <c r="W20" s="2941">
        <v>9475.68</v>
      </c>
      <c r="X20" s="946">
        <f>+V20+R20+N20</f>
        <v>28555.547328000001</v>
      </c>
      <c r="Y20" s="946">
        <f>+W20+S20+O20</f>
        <v>29155.490000000005</v>
      </c>
      <c r="Z20" s="558">
        <f t="shared" ref="Z20:Z42" si="50">+L20+X20</f>
        <v>56800.708272000003</v>
      </c>
      <c r="AA20" s="558">
        <f t="shared" ref="AA20:AA42" si="51">+Y20+M20</f>
        <v>58017.46</v>
      </c>
      <c r="AB20" s="3616">
        <f>AB21*AB$2*24</f>
        <v>9621.9779039999994</v>
      </c>
      <c r="AC20" s="2941">
        <v>9815.1200000000008</v>
      </c>
      <c r="AD20" s="3615">
        <f t="shared" ref="AD20" si="52">+Z20+AB20</f>
        <v>66422.686176000003</v>
      </c>
      <c r="AE20" s="3615">
        <f t="shared" ref="AE20" si="53">+AA20+AC20</f>
        <v>67832.58</v>
      </c>
      <c r="AF20" s="3616">
        <f>AF21*AF$2*24</f>
        <v>9311.5915199999999</v>
      </c>
      <c r="AG20" s="2941">
        <v>9516.9</v>
      </c>
      <c r="AH20" s="3615">
        <f t="shared" ref="AH20" si="54">+AD20+AF20</f>
        <v>75734.277696000005</v>
      </c>
      <c r="AI20" s="3615">
        <f t="shared" ref="AI20" si="55">+AE20+AG20</f>
        <v>77349.48</v>
      </c>
      <c r="AJ20" s="3616">
        <f>AJ21*AJ$2*24</f>
        <v>9621.9779039999994</v>
      </c>
      <c r="AK20" s="2941">
        <v>9830.15</v>
      </c>
      <c r="AL20" s="4328">
        <f>+AJ20+AF20+AB20</f>
        <v>28555.547328000001</v>
      </c>
      <c r="AM20" s="4328">
        <f>+AK20+AG20+AC20</f>
        <v>29162.17</v>
      </c>
      <c r="AN20" s="3615">
        <f t="shared" ref="AN20" si="56">+AH20+AJ20</f>
        <v>85356.255600000004</v>
      </c>
      <c r="AO20" s="3615">
        <f t="shared" ref="AO20" si="57">+AI20+AK20</f>
        <v>87179.62999999999</v>
      </c>
      <c r="AP20" s="3616">
        <f>AP21*AP$2*24</f>
        <v>9621.9779039999994</v>
      </c>
      <c r="AQ20" s="2941">
        <v>9804.9000000000015</v>
      </c>
      <c r="AR20" s="3615">
        <f t="shared" ref="AR20" si="58">+AN20+AP20</f>
        <v>94978.233504000003</v>
      </c>
      <c r="AS20" s="3615">
        <f t="shared" ref="AS20" si="59">+AO20+AQ20</f>
        <v>96984.53</v>
      </c>
      <c r="AT20" s="3616">
        <f>AT21*AT$2*24</f>
        <v>9001.2051360000005</v>
      </c>
      <c r="AU20" s="2941">
        <v>9213</v>
      </c>
      <c r="AV20" s="3615">
        <f t="shared" ref="AV20" si="60">+AR20+AT20</f>
        <v>103979.43864000001</v>
      </c>
      <c r="AW20" s="3615">
        <f t="shared" ref="AW20" si="61">+AS20+AU20</f>
        <v>106197.53</v>
      </c>
      <c r="AX20" s="3616">
        <f>AX21*AX$2*24</f>
        <v>9621.9779039999994</v>
      </c>
      <c r="AY20" s="2941">
        <v>9870.7000000000007</v>
      </c>
      <c r="AZ20" s="5166">
        <f>+AX20+AT20+AP20</f>
        <v>28245.160943999999</v>
      </c>
      <c r="BA20" s="5166">
        <f>+AY20+AU20+AQ20</f>
        <v>28888.600000000002</v>
      </c>
      <c r="BB20" s="5175">
        <f t="shared" ref="BB20:BB42" si="62">+AL20+AZ20</f>
        <v>56800.708272000003</v>
      </c>
      <c r="BC20" s="5175">
        <f t="shared" ref="BC20:BC42" si="63">+AM20+BA20</f>
        <v>58050.770000000004</v>
      </c>
      <c r="BD20" s="3615">
        <f t="shared" ref="BD20" si="64">+AV20+AX20</f>
        <v>113601.41654400001</v>
      </c>
      <c r="BE20" s="3615">
        <f t="shared" ref="BE20" si="65">+AW20+AY20</f>
        <v>116068.23</v>
      </c>
      <c r="BF20" s="26"/>
      <c r="BG20" s="26"/>
      <c r="BH20" s="26"/>
      <c r="BI20" s="26"/>
    </row>
    <row r="21" spans="2:61" ht="15" hidden="1" customHeight="1" x14ac:dyDescent="0.25">
      <c r="B21" s="1253"/>
      <c r="C21" s="193"/>
      <c r="D21" s="1415">
        <v>12.932765999999999</v>
      </c>
      <c r="E21" s="1615"/>
      <c r="F21" s="1415">
        <v>12.932765999999999</v>
      </c>
      <c r="G21" s="1603"/>
      <c r="H21" s="947"/>
      <c r="I21" s="947"/>
      <c r="J21" s="1415">
        <v>12.932765999999999</v>
      </c>
      <c r="K21" s="1603"/>
      <c r="L21" s="946"/>
      <c r="M21" s="946"/>
      <c r="N21" s="1415">
        <v>12.932765999999999</v>
      </c>
      <c r="O21" s="1494"/>
      <c r="P21" s="947"/>
      <c r="Q21" s="947"/>
      <c r="R21" s="1415">
        <v>12.932765999999999</v>
      </c>
      <c r="S21" s="2568"/>
      <c r="T21" s="2565"/>
      <c r="U21" s="2565"/>
      <c r="V21" s="1415">
        <v>12.932765999999999</v>
      </c>
      <c r="W21" s="2941"/>
      <c r="X21" s="946"/>
      <c r="Y21" s="946"/>
      <c r="Z21" s="558"/>
      <c r="AA21" s="558"/>
      <c r="AB21" s="1415">
        <v>12.932765999999999</v>
      </c>
      <c r="AC21" s="2941"/>
      <c r="AD21" s="3615"/>
      <c r="AE21" s="3615"/>
      <c r="AF21" s="1415">
        <v>12.932765999999999</v>
      </c>
      <c r="AG21" s="2941"/>
      <c r="AH21" s="3615"/>
      <c r="AI21" s="3615"/>
      <c r="AJ21" s="1415">
        <v>12.932765999999999</v>
      </c>
      <c r="AK21" s="2941"/>
      <c r="AL21" s="4328"/>
      <c r="AM21" s="4328"/>
      <c r="AN21" s="3615"/>
      <c r="AO21" s="3615"/>
      <c r="AP21" s="1415">
        <v>12.932765999999999</v>
      </c>
      <c r="AQ21" s="2941"/>
      <c r="AR21" s="3615"/>
      <c r="AS21" s="3615"/>
      <c r="AT21" s="1415">
        <v>12.932765999999999</v>
      </c>
      <c r="AU21" s="2941"/>
      <c r="AV21" s="3615"/>
      <c r="AW21" s="3615"/>
      <c r="AX21" s="1415">
        <v>12.932765999999999</v>
      </c>
      <c r="AY21" s="2941"/>
      <c r="AZ21" s="5166"/>
      <c r="BA21" s="5166"/>
      <c r="BB21" s="5175">
        <f t="shared" si="62"/>
        <v>0</v>
      </c>
      <c r="BC21" s="5175">
        <f t="shared" si="63"/>
        <v>0</v>
      </c>
      <c r="BD21" s="3615"/>
      <c r="BE21" s="3615"/>
      <c r="BF21" s="26"/>
      <c r="BG21" s="26"/>
      <c r="BH21" s="26"/>
      <c r="BI21" s="26"/>
    </row>
    <row r="22" spans="2:61" x14ac:dyDescent="0.25">
      <c r="B22" s="1253" t="s">
        <v>110</v>
      </c>
      <c r="C22" s="193" t="s">
        <v>333</v>
      </c>
      <c r="D22" s="1411">
        <f>D23*D$2*24</f>
        <v>7461.2430750594067</v>
      </c>
      <c r="E22" s="1603">
        <v>6548.8</v>
      </c>
      <c r="F22" s="1411">
        <f>F23*F$2*24</f>
        <v>7858.5950304617254</v>
      </c>
      <c r="G22" s="1603">
        <v>8232.9</v>
      </c>
      <c r="H22" s="947">
        <f t="shared" si="43"/>
        <v>15319.838105521132</v>
      </c>
      <c r="I22" s="947">
        <f t="shared" si="43"/>
        <v>14781.7</v>
      </c>
      <c r="J22" s="1411">
        <f>J23*J$2*24</f>
        <v>7461.2430750594067</v>
      </c>
      <c r="K22" s="1603">
        <v>5501.1200000000017</v>
      </c>
      <c r="L22" s="946">
        <f t="shared" si="44"/>
        <v>22781.081180580539</v>
      </c>
      <c r="M22" s="946">
        <f t="shared" si="45"/>
        <v>20282.820000000003</v>
      </c>
      <c r="N22" s="1411">
        <f>N23*N$2*24</f>
        <v>7858.5950304617254</v>
      </c>
      <c r="O22" s="1494">
        <v>2439.5099999999998</v>
      </c>
      <c r="P22" s="947">
        <f t="shared" si="46"/>
        <v>30639.676211042264</v>
      </c>
      <c r="Q22" s="947">
        <f t="shared" si="47"/>
        <v>22722.33</v>
      </c>
      <c r="R22" s="2567">
        <f>R23*R$2*24</f>
        <v>7699.9205264389857</v>
      </c>
      <c r="S22" s="2568">
        <v>912.09999999999957</v>
      </c>
      <c r="T22" s="2565">
        <f t="shared" ref="T22" si="66">+P22+R22</f>
        <v>38339.596737481246</v>
      </c>
      <c r="U22" s="2565">
        <f t="shared" ref="U22" si="67">+Q22+S22</f>
        <v>23634.43</v>
      </c>
      <c r="V22" s="3288">
        <f>V23*V$2*24</f>
        <v>7311.3969353771599</v>
      </c>
      <c r="W22" s="2941">
        <v>1150.9000000000001</v>
      </c>
      <c r="X22" s="946">
        <f t="shared" ref="X22:X42" si="68">+V22+R22+N22</f>
        <v>22869.912492277872</v>
      </c>
      <c r="Y22" s="946">
        <f t="shared" ref="Y22:Y42" si="69">+W22+S22+O22</f>
        <v>4502.5099999999993</v>
      </c>
      <c r="Z22" s="558">
        <f t="shared" si="50"/>
        <v>45650.993672858414</v>
      </c>
      <c r="AA22" s="558">
        <f t="shared" si="51"/>
        <v>24785.33</v>
      </c>
      <c r="AB22" s="3616">
        <f>AB23*AB$2*24</f>
        <v>7858.5950304617254</v>
      </c>
      <c r="AC22" s="2941">
        <v>2982.8</v>
      </c>
      <c r="AD22" s="3615">
        <f t="shared" ref="AD22" si="70">+Z22+AB22</f>
        <v>53509.588703320143</v>
      </c>
      <c r="AE22" s="3615">
        <f t="shared" ref="AE22" si="71">+AA22+AC22</f>
        <v>27768.13</v>
      </c>
      <c r="AF22" s="3616">
        <f>AF23*AF$2*24</f>
        <v>7461.2430750594067</v>
      </c>
      <c r="AG22" s="2941">
        <v>2624.82</v>
      </c>
      <c r="AH22" s="3615">
        <f t="shared" ref="AH22" si="72">+AD22+AF22</f>
        <v>60970.83177837955</v>
      </c>
      <c r="AI22" s="3615">
        <f t="shared" ref="AI22" si="73">+AE22+AG22</f>
        <v>30392.95</v>
      </c>
      <c r="AJ22" s="3616">
        <f>AJ23*AJ$2*24</f>
        <v>7858.5950304617254</v>
      </c>
      <c r="AK22" s="2941">
        <v>2545.4200000000005</v>
      </c>
      <c r="AL22" s="4328">
        <f t="shared" ref="AL22" si="74">+AJ22+AF22+AB22</f>
        <v>23178.433135982857</v>
      </c>
      <c r="AM22" s="4328">
        <f t="shared" ref="AM22" si="75">+AK22+AG22+AC22</f>
        <v>8153.0400000000009</v>
      </c>
      <c r="AN22" s="3615">
        <f t="shared" ref="AN22" si="76">+AH22+AJ22</f>
        <v>68829.426808841279</v>
      </c>
      <c r="AO22" s="3615">
        <f t="shared" ref="AO22" si="77">+AI22+AK22</f>
        <v>32938.370000000003</v>
      </c>
      <c r="AP22" s="3616">
        <f>AP23*AP$2*24</f>
        <v>7858.5950304617254</v>
      </c>
      <c r="AQ22" s="2941">
        <v>2716.4200000000005</v>
      </c>
      <c r="AR22" s="3615">
        <f t="shared" ref="AR22" si="78">+AN22+AP22</f>
        <v>76688.021839303008</v>
      </c>
      <c r="AS22" s="3615">
        <f t="shared" ref="AS22" si="79">+AO22+AQ22</f>
        <v>35654.79</v>
      </c>
      <c r="AT22" s="3616">
        <f>AT23*AT$2*24</f>
        <v>7073.4810456506548</v>
      </c>
      <c r="AU22" s="2941">
        <v>2311.7999999999993</v>
      </c>
      <c r="AV22" s="3615">
        <f t="shared" ref="AV22" si="80">+AR22+AT22</f>
        <v>83761.502884953661</v>
      </c>
      <c r="AW22" s="3615">
        <f t="shared" ref="AW22" si="81">+AS22+AU22</f>
        <v>37966.589999999997</v>
      </c>
      <c r="AX22" s="3616">
        <f>AX23*AX$2*24</f>
        <v>7858.5950304617254</v>
      </c>
      <c r="AY22" s="2941">
        <v>1527.7000000000007</v>
      </c>
      <c r="AZ22" s="5166">
        <f t="shared" ref="AZ22" si="82">+AX22+AT22+AP22</f>
        <v>22790.671106574104</v>
      </c>
      <c r="BA22" s="5166">
        <f t="shared" ref="BA22" si="83">+AY22+AU22+AQ22</f>
        <v>6555.92</v>
      </c>
      <c r="BB22" s="5175">
        <f t="shared" si="62"/>
        <v>45969.104242556961</v>
      </c>
      <c r="BC22" s="5175">
        <f t="shared" si="63"/>
        <v>14708.960000000001</v>
      </c>
      <c r="BD22" s="3615">
        <f t="shared" ref="BD22" si="84">+AV22+AX22</f>
        <v>91620.09791541539</v>
      </c>
      <c r="BE22" s="3615">
        <f t="shared" ref="BE22" si="85">+AW22+AY22</f>
        <v>39494.289999999994</v>
      </c>
      <c r="BF22" s="26"/>
      <c r="BG22" s="26"/>
      <c r="BH22" s="26"/>
      <c r="BI22" s="26"/>
    </row>
    <row r="23" spans="2:61" ht="15" hidden="1" customHeight="1" x14ac:dyDescent="0.25">
      <c r="B23" s="1253"/>
      <c r="C23" s="193"/>
      <c r="D23" s="1415">
        <v>10.362837604249176</v>
      </c>
      <c r="E23" s="1615"/>
      <c r="F23" s="1415">
        <v>10.562627729115222</v>
      </c>
      <c r="G23" s="1603"/>
      <c r="H23" s="947"/>
      <c r="I23" s="947"/>
      <c r="J23" s="1415">
        <v>10.362837604249176</v>
      </c>
      <c r="K23" s="1603"/>
      <c r="L23" s="946"/>
      <c r="M23" s="946"/>
      <c r="N23" s="1415">
        <v>10.562627729115222</v>
      </c>
      <c r="O23" s="1494"/>
      <c r="P23" s="947"/>
      <c r="Q23" s="947"/>
      <c r="R23" s="1415">
        <v>10.34935554628896</v>
      </c>
      <c r="S23" s="2568"/>
      <c r="T23" s="2565"/>
      <c r="U23" s="2565"/>
      <c r="V23" s="1415">
        <v>10.154717965801611</v>
      </c>
      <c r="W23" s="2941"/>
      <c r="X23" s="946"/>
      <c r="Y23" s="946"/>
      <c r="Z23" s="558"/>
      <c r="AA23" s="558"/>
      <c r="AB23" s="1415">
        <v>10.562627729115222</v>
      </c>
      <c r="AC23" s="2941"/>
      <c r="AD23" s="3615"/>
      <c r="AE23" s="3615"/>
      <c r="AF23" s="1415">
        <v>10.362837604249176</v>
      </c>
      <c r="AG23" s="2941"/>
      <c r="AH23" s="3615"/>
      <c r="AI23" s="3615"/>
      <c r="AJ23" s="1415">
        <v>10.562627729115222</v>
      </c>
      <c r="AK23" s="2941"/>
      <c r="AL23" s="4328"/>
      <c r="AM23" s="4328"/>
      <c r="AN23" s="3615"/>
      <c r="AO23" s="3615"/>
      <c r="AP23" s="1415">
        <v>10.562627729115222</v>
      </c>
      <c r="AQ23" s="2941"/>
      <c r="AR23" s="3615"/>
      <c r="AS23" s="3615"/>
      <c r="AT23" s="1415">
        <v>10.163047479383124</v>
      </c>
      <c r="AU23" s="2941"/>
      <c r="AV23" s="3615"/>
      <c r="AW23" s="3615"/>
      <c r="AX23" s="1415">
        <v>10.562627729115222</v>
      </c>
      <c r="AY23" s="2941"/>
      <c r="AZ23" s="5166"/>
      <c r="BA23" s="5166"/>
      <c r="BB23" s="5175">
        <f t="shared" si="62"/>
        <v>0</v>
      </c>
      <c r="BC23" s="5175">
        <f t="shared" si="63"/>
        <v>0</v>
      </c>
      <c r="BD23" s="3615"/>
      <c r="BE23" s="3615"/>
      <c r="BF23" s="26"/>
      <c r="BG23" s="26"/>
      <c r="BH23" s="26"/>
      <c r="BI23" s="26"/>
    </row>
    <row r="24" spans="2:61" x14ac:dyDescent="0.25">
      <c r="B24" s="1253" t="s">
        <v>82</v>
      </c>
      <c r="C24" s="193" t="s">
        <v>333</v>
      </c>
      <c r="D24" s="1411">
        <f>D25*D$2*24</f>
        <v>3960</v>
      </c>
      <c r="E24" s="1603">
        <v>4101.8</v>
      </c>
      <c r="F24" s="1411">
        <f>F25*F$2*24</f>
        <v>4092</v>
      </c>
      <c r="G24" s="1603">
        <v>3639.7</v>
      </c>
      <c r="H24" s="947">
        <f t="shared" si="43"/>
        <v>8052</v>
      </c>
      <c r="I24" s="947">
        <f t="shared" si="43"/>
        <v>7741.5</v>
      </c>
      <c r="J24" s="1411">
        <f>J25*J$2*24</f>
        <v>3960</v>
      </c>
      <c r="K24" s="1603">
        <v>4466.8999999999996</v>
      </c>
      <c r="L24" s="946">
        <f t="shared" si="44"/>
        <v>12012</v>
      </c>
      <c r="M24" s="946">
        <f t="shared" si="45"/>
        <v>12208.4</v>
      </c>
      <c r="N24" s="1411">
        <f>N25*N$2*24</f>
        <v>4092</v>
      </c>
      <c r="O24" s="1494">
        <v>4982.0999999999995</v>
      </c>
      <c r="P24" s="947">
        <f t="shared" si="46"/>
        <v>16104</v>
      </c>
      <c r="Q24" s="947">
        <f t="shared" si="47"/>
        <v>17190.5</v>
      </c>
      <c r="R24" s="2567">
        <f>R25*R$2*24</f>
        <v>4092</v>
      </c>
      <c r="S24" s="2568">
        <v>5274.8700000000017</v>
      </c>
      <c r="T24" s="2565">
        <f t="shared" ref="T24" si="86">+P24+R24</f>
        <v>20196</v>
      </c>
      <c r="U24" s="2565">
        <f t="shared" ref="U24" si="87">+Q24+S24</f>
        <v>22465.370000000003</v>
      </c>
      <c r="V24" s="3288">
        <f>V25*V$2*24</f>
        <v>3960</v>
      </c>
      <c r="W24" s="2941">
        <v>5033.41</v>
      </c>
      <c r="X24" s="946">
        <f t="shared" si="68"/>
        <v>12144</v>
      </c>
      <c r="Y24" s="946">
        <f t="shared" si="69"/>
        <v>15290.380000000001</v>
      </c>
      <c r="Z24" s="558">
        <f t="shared" si="50"/>
        <v>24156</v>
      </c>
      <c r="AA24" s="558">
        <f t="shared" si="51"/>
        <v>27498.78</v>
      </c>
      <c r="AB24" s="3616">
        <f>AB25*AB$2*24</f>
        <v>4092</v>
      </c>
      <c r="AC24" s="2941">
        <v>4999.09</v>
      </c>
      <c r="AD24" s="3615">
        <f t="shared" ref="AD24" si="88">+Z24+AB24</f>
        <v>28248</v>
      </c>
      <c r="AE24" s="3615">
        <f t="shared" ref="AE24" si="89">+AA24+AC24</f>
        <v>32497.87</v>
      </c>
      <c r="AF24" s="3616">
        <f>AF25*AF$2*24</f>
        <v>3960</v>
      </c>
      <c r="AG24" s="2941">
        <v>4658.8500000000004</v>
      </c>
      <c r="AH24" s="3615">
        <f t="shared" ref="AH24" si="90">+AD24+AF24</f>
        <v>32208</v>
      </c>
      <c r="AI24" s="3615">
        <f t="shared" ref="AI24" si="91">+AE24+AG24</f>
        <v>37156.720000000001</v>
      </c>
      <c r="AJ24" s="3616">
        <f>AJ25*AJ$2*24</f>
        <v>4092</v>
      </c>
      <c r="AK24" s="2941">
        <v>4755.7000000000007</v>
      </c>
      <c r="AL24" s="4328">
        <f t="shared" ref="AL24" si="92">+AJ24+AF24+AB24</f>
        <v>12144</v>
      </c>
      <c r="AM24" s="4328">
        <f t="shared" ref="AM24" si="93">+AK24+AG24+AC24</f>
        <v>14413.640000000001</v>
      </c>
      <c r="AN24" s="3615">
        <f t="shared" ref="AN24" si="94">+AH24+AJ24</f>
        <v>36300</v>
      </c>
      <c r="AO24" s="3615">
        <f t="shared" ref="AO24" si="95">+AI24+AK24</f>
        <v>41912.42</v>
      </c>
      <c r="AP24" s="3616">
        <f>AP25*AP$2*24</f>
        <v>4092</v>
      </c>
      <c r="AQ24" s="2941">
        <v>4610.1400000000003</v>
      </c>
      <c r="AR24" s="3615">
        <f t="shared" ref="AR24" si="96">+AN24+AP24</f>
        <v>40392</v>
      </c>
      <c r="AS24" s="3615">
        <f t="shared" ref="AS24" si="97">+AO24+AQ24</f>
        <v>46522.559999999998</v>
      </c>
      <c r="AT24" s="3616">
        <f>AT25*AT$2*24</f>
        <v>3828</v>
      </c>
      <c r="AU24" s="2941">
        <v>4533.2000000000007</v>
      </c>
      <c r="AV24" s="3615">
        <f t="shared" ref="AV24" si="98">+AR24+AT24</f>
        <v>44220</v>
      </c>
      <c r="AW24" s="3615">
        <f t="shared" ref="AW24" si="99">+AS24+AU24</f>
        <v>51055.759999999995</v>
      </c>
      <c r="AX24" s="3616">
        <f>AX25*AX$2*24</f>
        <v>4092</v>
      </c>
      <c r="AY24" s="2941">
        <v>4905.3999999999996</v>
      </c>
      <c r="AZ24" s="5166">
        <f t="shared" ref="AZ24" si="100">+AX24+AT24+AP24</f>
        <v>12012</v>
      </c>
      <c r="BA24" s="5166">
        <f t="shared" ref="BA24" si="101">+AY24+AU24+AQ24</f>
        <v>14048.740000000002</v>
      </c>
      <c r="BB24" s="5175">
        <f t="shared" si="62"/>
        <v>24156</v>
      </c>
      <c r="BC24" s="5175">
        <f t="shared" si="63"/>
        <v>28462.380000000005</v>
      </c>
      <c r="BD24" s="3615">
        <f t="shared" ref="BD24" si="102">+AV24+AX24</f>
        <v>48312</v>
      </c>
      <c r="BE24" s="3615">
        <f t="shared" ref="BE24" si="103">+AW24+AY24</f>
        <v>55961.159999999996</v>
      </c>
      <c r="BF24" s="26"/>
      <c r="BG24" s="26"/>
      <c r="BH24" s="26"/>
      <c r="BI24" s="26"/>
    </row>
    <row r="25" spans="2:61" ht="15" hidden="1" customHeight="1" x14ac:dyDescent="0.25">
      <c r="B25" s="1253"/>
      <c r="C25" s="193"/>
      <c r="D25" s="1415">
        <v>5.5</v>
      </c>
      <c r="E25" s="1615"/>
      <c r="F25" s="1415">
        <v>5.5</v>
      </c>
      <c r="G25" s="1603"/>
      <c r="H25" s="947"/>
      <c r="I25" s="947"/>
      <c r="J25" s="1415">
        <v>5.5</v>
      </c>
      <c r="K25" s="1603"/>
      <c r="L25" s="946"/>
      <c r="M25" s="946"/>
      <c r="N25" s="1415">
        <v>5.5</v>
      </c>
      <c r="O25" s="1494"/>
      <c r="P25" s="947"/>
      <c r="Q25" s="947"/>
      <c r="R25" s="1415">
        <v>5.5</v>
      </c>
      <c r="S25" s="2568"/>
      <c r="T25" s="2565"/>
      <c r="U25" s="2565"/>
      <c r="V25" s="1415">
        <v>5.5</v>
      </c>
      <c r="W25" s="2941"/>
      <c r="X25" s="946"/>
      <c r="Y25" s="946"/>
      <c r="Z25" s="558"/>
      <c r="AA25" s="558"/>
      <c r="AB25" s="1415">
        <v>5.5</v>
      </c>
      <c r="AC25" s="2941"/>
      <c r="AD25" s="3615"/>
      <c r="AE25" s="3615"/>
      <c r="AF25" s="1415">
        <v>5.5</v>
      </c>
      <c r="AG25" s="2941"/>
      <c r="AH25" s="3615"/>
      <c r="AI25" s="3615"/>
      <c r="AJ25" s="1415">
        <v>5.5</v>
      </c>
      <c r="AK25" s="2941"/>
      <c r="AL25" s="4328"/>
      <c r="AM25" s="4328"/>
      <c r="AN25" s="3615"/>
      <c r="AO25" s="3615"/>
      <c r="AP25" s="1415">
        <v>5.5</v>
      </c>
      <c r="AQ25" s="2941"/>
      <c r="AR25" s="3615"/>
      <c r="AS25" s="3615"/>
      <c r="AT25" s="1415">
        <v>5.5</v>
      </c>
      <c r="AU25" s="2941"/>
      <c r="AV25" s="3615"/>
      <c r="AW25" s="3615"/>
      <c r="AX25" s="1415">
        <v>5.5</v>
      </c>
      <c r="AY25" s="2941"/>
      <c r="AZ25" s="5166"/>
      <c r="BA25" s="5166"/>
      <c r="BB25" s="5175">
        <f t="shared" si="62"/>
        <v>0</v>
      </c>
      <c r="BC25" s="5175">
        <f t="shared" si="63"/>
        <v>0</v>
      </c>
      <c r="BD25" s="3615"/>
      <c r="BE25" s="3615"/>
      <c r="BF25" s="26"/>
      <c r="BG25" s="26"/>
      <c r="BH25" s="26"/>
      <c r="BI25" s="26"/>
    </row>
    <row r="26" spans="2:61" x14ac:dyDescent="0.25">
      <c r="B26" s="1253" t="s">
        <v>111</v>
      </c>
      <c r="C26" s="193" t="s">
        <v>333</v>
      </c>
      <c r="D26" s="1411">
        <f>D27*D$2*24</f>
        <v>2520</v>
      </c>
      <c r="E26" s="1603">
        <v>3053.2921000000001</v>
      </c>
      <c r="F26" s="1411">
        <f>F27*F$2*24</f>
        <v>2604</v>
      </c>
      <c r="G26" s="1603">
        <v>3113.67058</v>
      </c>
      <c r="H26" s="947">
        <f t="shared" si="43"/>
        <v>5124</v>
      </c>
      <c r="I26" s="947">
        <f t="shared" si="43"/>
        <v>6166.9626800000005</v>
      </c>
      <c r="J26" s="1411">
        <f>J27*J$2*24</f>
        <v>2520</v>
      </c>
      <c r="K26" s="1603">
        <v>3091.0781200000006</v>
      </c>
      <c r="L26" s="946">
        <f t="shared" si="44"/>
        <v>7644</v>
      </c>
      <c r="M26" s="946">
        <f t="shared" si="45"/>
        <v>9258.0408000000007</v>
      </c>
      <c r="N26" s="1411">
        <f>N27*N$2*24</f>
        <v>2604</v>
      </c>
      <c r="O26" s="1494">
        <v>2356.1153800000002</v>
      </c>
      <c r="P26" s="947">
        <f t="shared" si="46"/>
        <v>10248</v>
      </c>
      <c r="Q26" s="947">
        <f t="shared" si="47"/>
        <v>11614.156180000002</v>
      </c>
      <c r="R26" s="2567">
        <f>R27*R$2*24</f>
        <v>2604</v>
      </c>
      <c r="S26" s="2568">
        <v>3152.9739199999999</v>
      </c>
      <c r="T26" s="2565">
        <f t="shared" ref="T26" si="104">+P26+R26</f>
        <v>12852</v>
      </c>
      <c r="U26" s="2565">
        <f t="shared" ref="U26" si="105">+Q26+S26</f>
        <v>14767.130100000002</v>
      </c>
      <c r="V26" s="3288">
        <f>V27*V$2*24</f>
        <v>2520</v>
      </c>
      <c r="W26" s="2941">
        <v>3016.66</v>
      </c>
      <c r="X26" s="946">
        <f>+V26+R26+N26</f>
        <v>7728</v>
      </c>
      <c r="Y26" s="946">
        <f t="shared" si="69"/>
        <v>8525.7492999999995</v>
      </c>
      <c r="Z26" s="558">
        <f t="shared" si="50"/>
        <v>15372</v>
      </c>
      <c r="AA26" s="558">
        <f t="shared" si="51"/>
        <v>17783.790099999998</v>
      </c>
      <c r="AB26" s="3616">
        <f>AB27*AB$2*24</f>
        <v>2604</v>
      </c>
      <c r="AC26" s="2941">
        <v>3028.9236700000001</v>
      </c>
      <c r="AD26" s="3615">
        <f t="shared" ref="AD26" si="106">+Z26+AB26</f>
        <v>17976</v>
      </c>
      <c r="AE26" s="3615">
        <f t="shared" ref="AE26" si="107">+AA26+AC26</f>
        <v>20812.713769999998</v>
      </c>
      <c r="AF26" s="3616">
        <f>AF27*AF$2*24</f>
        <v>2520</v>
      </c>
      <c r="AG26" s="2941">
        <v>2868.7315499999991</v>
      </c>
      <c r="AH26" s="3615">
        <f t="shared" ref="AH26" si="108">+AD26+AF26</f>
        <v>20496</v>
      </c>
      <c r="AI26" s="3615">
        <f t="shared" ref="AI26" si="109">+AE26+AG26</f>
        <v>23681.445319999999</v>
      </c>
      <c r="AJ26" s="3616">
        <f>AJ27*AJ$2*24</f>
        <v>2604</v>
      </c>
      <c r="AK26" s="2941">
        <v>2669.6612000000005</v>
      </c>
      <c r="AL26" s="4328">
        <f>+AJ26+AF26+AB26</f>
        <v>7728</v>
      </c>
      <c r="AM26" s="4328">
        <f t="shared" ref="AM26" si="110">+AK26+AG26+AC26</f>
        <v>8567.3164199999992</v>
      </c>
      <c r="AN26" s="3615">
        <f t="shared" ref="AN26" si="111">+AH26+AJ26</f>
        <v>23100</v>
      </c>
      <c r="AO26" s="3615">
        <f t="shared" ref="AO26" si="112">+AI26+AK26</f>
        <v>26351.106520000001</v>
      </c>
      <c r="AP26" s="3616">
        <f>AP27*AP$2*24</f>
        <v>2604</v>
      </c>
      <c r="AQ26" s="2941">
        <v>2624.97678</v>
      </c>
      <c r="AR26" s="3615">
        <f t="shared" ref="AR26" si="113">+AN26+AP26</f>
        <v>25704</v>
      </c>
      <c r="AS26" s="3615">
        <f t="shared" ref="AS26" si="114">+AO26+AQ26</f>
        <v>28976.083300000002</v>
      </c>
      <c r="AT26" s="3616">
        <f>AT27*AT$2*24</f>
        <v>2436</v>
      </c>
      <c r="AU26" s="2941">
        <v>2482.3000000000002</v>
      </c>
      <c r="AV26" s="3615">
        <f t="shared" ref="AV26" si="115">+AR26+AT26</f>
        <v>28140</v>
      </c>
      <c r="AW26" s="3615">
        <f t="shared" ref="AW26" si="116">+AS26+AU26</f>
        <v>31458.383300000001</v>
      </c>
      <c r="AX26" s="3616">
        <f>AX27*AX$2*24</f>
        <v>2604</v>
      </c>
      <c r="AY26" s="2941">
        <v>2665.9079800000009</v>
      </c>
      <c r="AZ26" s="5166">
        <f>+AX26+AT26+AP26</f>
        <v>7644</v>
      </c>
      <c r="BA26" s="5166">
        <f t="shared" ref="BA26" si="117">+AY26+AU26+AQ26</f>
        <v>7773.184760000001</v>
      </c>
      <c r="BB26" s="5175">
        <f t="shared" si="62"/>
        <v>15372</v>
      </c>
      <c r="BC26" s="5175">
        <f t="shared" si="63"/>
        <v>16340.501179999999</v>
      </c>
      <c r="BD26" s="3615">
        <f t="shared" ref="BD26" si="118">+AV26+AX26</f>
        <v>30744</v>
      </c>
      <c r="BE26" s="3615">
        <f t="shared" ref="BE26" si="119">+AW26+AY26</f>
        <v>34124.291280000005</v>
      </c>
      <c r="BF26" s="26"/>
      <c r="BG26" s="26"/>
      <c r="BH26" s="26"/>
      <c r="BI26" s="26"/>
    </row>
    <row r="27" spans="2:61" ht="15" hidden="1" customHeight="1" x14ac:dyDescent="0.25">
      <c r="B27" s="1253"/>
      <c r="C27" s="193"/>
      <c r="D27" s="1415">
        <v>3.5</v>
      </c>
      <c r="E27" s="1615"/>
      <c r="F27" s="1415">
        <v>3.5</v>
      </c>
      <c r="G27" s="1603"/>
      <c r="H27" s="947"/>
      <c r="I27" s="947"/>
      <c r="J27" s="1415">
        <v>3.5</v>
      </c>
      <c r="K27" s="1603"/>
      <c r="L27" s="946"/>
      <c r="M27" s="946"/>
      <c r="N27" s="1415">
        <v>3.5</v>
      </c>
      <c r="O27" s="1494"/>
      <c r="P27" s="947"/>
      <c r="Q27" s="947"/>
      <c r="R27" s="1415">
        <v>3.5</v>
      </c>
      <c r="S27" s="2568"/>
      <c r="T27" s="2565"/>
      <c r="U27" s="2565"/>
      <c r="V27" s="1415">
        <v>3.5</v>
      </c>
      <c r="W27" s="2941"/>
      <c r="X27" s="946"/>
      <c r="Y27" s="946"/>
      <c r="Z27" s="558"/>
      <c r="AA27" s="558"/>
      <c r="AB27" s="1415">
        <v>3.5</v>
      </c>
      <c r="AC27" s="2941"/>
      <c r="AD27" s="3615"/>
      <c r="AE27" s="3615"/>
      <c r="AF27" s="1415">
        <v>3.5</v>
      </c>
      <c r="AG27" s="2941"/>
      <c r="AH27" s="3615"/>
      <c r="AI27" s="3615"/>
      <c r="AJ27" s="1415">
        <v>3.5</v>
      </c>
      <c r="AK27" s="2941"/>
      <c r="AL27" s="4328"/>
      <c r="AM27" s="4328"/>
      <c r="AN27" s="3615"/>
      <c r="AO27" s="3615"/>
      <c r="AP27" s="1415">
        <v>3.5</v>
      </c>
      <c r="AQ27" s="2941"/>
      <c r="AR27" s="3615"/>
      <c r="AS27" s="3615"/>
      <c r="AT27" s="1415">
        <v>3.5</v>
      </c>
      <c r="AU27" s="2941"/>
      <c r="AV27" s="3615"/>
      <c r="AW27" s="3615"/>
      <c r="AX27" s="1415">
        <v>3.5</v>
      </c>
      <c r="AY27" s="2941"/>
      <c r="AZ27" s="5166"/>
      <c r="BA27" s="5166"/>
      <c r="BB27" s="5175">
        <f t="shared" si="62"/>
        <v>0</v>
      </c>
      <c r="BC27" s="5175">
        <f t="shared" si="63"/>
        <v>0</v>
      </c>
      <c r="BD27" s="3615"/>
      <c r="BE27" s="3615"/>
      <c r="BF27" s="26"/>
      <c r="BG27" s="26"/>
      <c r="BH27" s="26"/>
      <c r="BI27" s="26"/>
    </row>
    <row r="28" spans="2:61" x14ac:dyDescent="0.25">
      <c r="B28" s="1253" t="s">
        <v>83</v>
      </c>
      <c r="C28" s="193" t="s">
        <v>333</v>
      </c>
      <c r="D28" s="1411">
        <f>D29*D$2*24</f>
        <v>10031.041375281417</v>
      </c>
      <c r="E28" s="1603">
        <v>9787.8000000000102</v>
      </c>
      <c r="F28" s="1411">
        <f>F29*F$2*24</f>
        <v>12413.28103237562</v>
      </c>
      <c r="G28" s="1603">
        <v>9119.6900000000096</v>
      </c>
      <c r="H28" s="947">
        <f t="shared" si="43"/>
        <v>22444.322407657037</v>
      </c>
      <c r="I28" s="947">
        <f t="shared" si="43"/>
        <v>18907.49000000002</v>
      </c>
      <c r="J28" s="1411">
        <f>J29*J$2*24</f>
        <v>12017.371279270668</v>
      </c>
      <c r="K28" s="1603">
        <v>9496.5999999999967</v>
      </c>
      <c r="L28" s="946">
        <f t="shared" si="44"/>
        <v>34461.693686927705</v>
      </c>
      <c r="M28" s="946">
        <f t="shared" si="45"/>
        <v>28404.090000000018</v>
      </c>
      <c r="N28" s="1411">
        <f>N29*N$2*24</f>
        <v>10426.301391122352</v>
      </c>
      <c r="O28" s="1494">
        <v>9673.2199999999957</v>
      </c>
      <c r="P28" s="947">
        <f t="shared" si="46"/>
        <v>44887.995078050059</v>
      </c>
      <c r="Q28" s="947">
        <f t="shared" si="47"/>
        <v>38077.310000000012</v>
      </c>
      <c r="R28" s="2567">
        <f>R29*R$2*24</f>
        <v>9919.9018951450744</v>
      </c>
      <c r="S28" s="2568">
        <v>10132.399999999998</v>
      </c>
      <c r="T28" s="2565">
        <f t="shared" ref="T28" si="120">+P28+R28</f>
        <v>54807.896973195137</v>
      </c>
      <c r="U28" s="2565">
        <f t="shared" ref="U28" si="121">+Q28+S28</f>
        <v>48209.710000000006</v>
      </c>
      <c r="V28" s="3288">
        <f>V29*V$2*24</f>
        <v>9706.5948406169682</v>
      </c>
      <c r="W28" s="2941">
        <v>9859</v>
      </c>
      <c r="X28" s="946">
        <f t="shared" si="68"/>
        <v>30052.798126884394</v>
      </c>
      <c r="Y28" s="946">
        <f t="shared" si="69"/>
        <v>29664.619999999995</v>
      </c>
      <c r="Z28" s="558">
        <f t="shared" si="50"/>
        <v>64514.491813812099</v>
      </c>
      <c r="AA28" s="558">
        <f t="shared" si="51"/>
        <v>58068.710000000014</v>
      </c>
      <c r="AB28" s="3616">
        <f>AB29*AB$2*24</f>
        <v>10118.972654069286</v>
      </c>
      <c r="AC28" s="2941">
        <v>9885.7700000800014</v>
      </c>
      <c r="AD28" s="3615">
        <f t="shared" ref="AD28" si="122">+Z28+AB28</f>
        <v>74633.464467881393</v>
      </c>
      <c r="AE28" s="3615">
        <f t="shared" ref="AE28" si="123">+AA28+AC28</f>
        <v>67954.480000080017</v>
      </c>
      <c r="AF28" s="3616">
        <f>AF29*AF$2*24</f>
        <v>9924.3658781352333</v>
      </c>
      <c r="AG28" s="2941">
        <v>9468.7000000000044</v>
      </c>
      <c r="AH28" s="3615">
        <f t="shared" ref="AH28" si="124">+AD28+AF28</f>
        <v>84557.830346016621</v>
      </c>
      <c r="AI28" s="3615">
        <f t="shared" ref="AI28" si="125">+AE28+AG28</f>
        <v>77423.180000080029</v>
      </c>
      <c r="AJ28" s="3616">
        <f>AJ29*AJ$2*24</f>
        <v>10058.297627389689</v>
      </c>
      <c r="AK28" s="2941">
        <v>9799.0899999999965</v>
      </c>
      <c r="AL28" s="4328">
        <f t="shared" ref="AL28" si="126">+AJ28+AF28+AB28</f>
        <v>30101.636159594207</v>
      </c>
      <c r="AM28" s="4328">
        <f t="shared" ref="AM28" si="127">+AK28+AG28+AC28</f>
        <v>29153.560000080004</v>
      </c>
      <c r="AN28" s="3615">
        <f t="shared" ref="AN28" si="128">+AH28+AJ28</f>
        <v>94616.127973406314</v>
      </c>
      <c r="AO28" s="3615">
        <f t="shared" ref="AO28" si="129">+AI28+AK28</f>
        <v>87222.270000080025</v>
      </c>
      <c r="AP28" s="3616">
        <f>AP29*AP$2*24</f>
        <v>10043.623071176671</v>
      </c>
      <c r="AQ28" s="2941">
        <v>9333.7399999999961</v>
      </c>
      <c r="AR28" s="3615">
        <f t="shared" ref="AR28" si="130">+AN28+AP28</f>
        <v>104659.75104458298</v>
      </c>
      <c r="AS28" s="3615">
        <f t="shared" ref="AS28" si="131">+AO28+AQ28</f>
        <v>96556.010000080016</v>
      </c>
      <c r="AT28" s="3616">
        <f>AT29*AT$2*24</f>
        <v>9734.8437324206279</v>
      </c>
      <c r="AU28" s="2941">
        <v>8701.3300000000036</v>
      </c>
      <c r="AV28" s="3615">
        <f t="shared" ref="AV28" si="132">+AR28+AT28</f>
        <v>114394.59477700361</v>
      </c>
      <c r="AW28" s="3615">
        <f t="shared" ref="AW28" si="133">+AS28+AU28</f>
        <v>105257.34000008002</v>
      </c>
      <c r="AX28" s="3616">
        <f>AX29*AX$2*24</f>
        <v>9997.622600710085</v>
      </c>
      <c r="AY28" s="2941">
        <v>9322.6800000000021</v>
      </c>
      <c r="AZ28" s="5166">
        <f t="shared" ref="AZ28" si="134">+AX28+AT28+AP28</f>
        <v>29776.089404307386</v>
      </c>
      <c r="BA28" s="5166">
        <f t="shared" ref="BA28" si="135">+AY28+AU28+AQ28</f>
        <v>27357.75</v>
      </c>
      <c r="BB28" s="5175">
        <f t="shared" si="62"/>
        <v>59877.725563901593</v>
      </c>
      <c r="BC28" s="5175">
        <f t="shared" si="63"/>
        <v>56511.310000080004</v>
      </c>
      <c r="BD28" s="3615">
        <f t="shared" ref="BD28" si="136">+AV28+AX28</f>
        <v>124392.21737771371</v>
      </c>
      <c r="BE28" s="3615">
        <f t="shared" ref="BE28" si="137">+AW28+AY28</f>
        <v>114580.02000008003</v>
      </c>
      <c r="BF28" s="26"/>
      <c r="BG28" s="26"/>
      <c r="BH28" s="26"/>
      <c r="BI28" s="26"/>
    </row>
    <row r="29" spans="2:61" ht="15" hidden="1" customHeight="1" x14ac:dyDescent="0.25">
      <c r="B29" s="1253"/>
      <c r="C29" s="193"/>
      <c r="D29" s="1411">
        <v>13.93200191011308</v>
      </c>
      <c r="E29" s="1603"/>
      <c r="F29" s="1411">
        <v>16.6845175166339</v>
      </c>
      <c r="G29" s="1603"/>
      <c r="H29" s="947"/>
      <c r="I29" s="947"/>
      <c r="J29" s="1411">
        <v>16.690793443431485</v>
      </c>
      <c r="K29" s="1603"/>
      <c r="L29" s="946"/>
      <c r="M29" s="946"/>
      <c r="N29" s="1415">
        <v>14.013845955809611</v>
      </c>
      <c r="O29" s="1494"/>
      <c r="P29" s="947"/>
      <c r="Q29" s="947"/>
      <c r="R29" s="1415">
        <v>13.333201471969186</v>
      </c>
      <c r="S29" s="2568"/>
      <c r="T29" s="2565"/>
      <c r="U29" s="2565"/>
      <c r="V29" s="1415">
        <v>13.481381723079123</v>
      </c>
      <c r="W29" s="2941"/>
      <c r="X29" s="946"/>
      <c r="Y29" s="946"/>
      <c r="Z29" s="558"/>
      <c r="AA29" s="558"/>
      <c r="AB29" s="1415">
        <v>13.600769696329687</v>
      </c>
      <c r="AC29" s="2941"/>
      <c r="AD29" s="3615"/>
      <c r="AE29" s="3615"/>
      <c r="AF29" s="1415">
        <v>13.783841497410046</v>
      </c>
      <c r="AG29" s="2941"/>
      <c r="AH29" s="3615"/>
      <c r="AI29" s="3615"/>
      <c r="AJ29" s="1415">
        <v>13.519217241115173</v>
      </c>
      <c r="AK29" s="2941"/>
      <c r="AL29" s="4328"/>
      <c r="AM29" s="4328"/>
      <c r="AN29" s="3615"/>
      <c r="AO29" s="3615"/>
      <c r="AP29" s="1415">
        <v>13.499493375237462</v>
      </c>
      <c r="AQ29" s="2941"/>
      <c r="AR29" s="3615"/>
      <c r="AS29" s="3615"/>
      <c r="AT29" s="1415">
        <v>13.986844443133085</v>
      </c>
      <c r="AU29" s="2941"/>
      <c r="AV29" s="3615"/>
      <c r="AW29" s="3615"/>
      <c r="AX29" s="1415">
        <v>13.437664785900653</v>
      </c>
      <c r="AY29" s="2941"/>
      <c r="AZ29" s="5166"/>
      <c r="BA29" s="5166"/>
      <c r="BB29" s="5175">
        <f t="shared" si="62"/>
        <v>0</v>
      </c>
      <c r="BC29" s="5175">
        <f t="shared" si="63"/>
        <v>0</v>
      </c>
      <c r="BD29" s="3615"/>
      <c r="BE29" s="3615"/>
      <c r="BF29" s="26"/>
      <c r="BG29" s="26"/>
      <c r="BH29" s="26"/>
      <c r="BI29" s="26"/>
    </row>
    <row r="30" spans="2:61" x14ac:dyDescent="0.25">
      <c r="B30" s="1253" t="s">
        <v>59</v>
      </c>
      <c r="C30" s="193" t="s">
        <v>333</v>
      </c>
      <c r="D30" s="1411">
        <f>D31*D$2*24</f>
        <v>2107.9406879834814</v>
      </c>
      <c r="E30" s="1603">
        <v>2191.06</v>
      </c>
      <c r="F30" s="1411">
        <f>F31*F$2*24</f>
        <v>1757.8142534376727</v>
      </c>
      <c r="G30" s="1603">
        <v>1995.5</v>
      </c>
      <c r="H30" s="947">
        <f t="shared" si="43"/>
        <v>3865.7549414211544</v>
      </c>
      <c r="I30" s="947">
        <f t="shared" si="43"/>
        <v>4186.5599999999995</v>
      </c>
      <c r="J30" s="1411">
        <f>J31*J$2*24</f>
        <v>1719.0310176110606</v>
      </c>
      <c r="K30" s="1603">
        <v>2046.5</v>
      </c>
      <c r="L30" s="946">
        <f t="shared" si="44"/>
        <v>5584.785959032215</v>
      </c>
      <c r="M30" s="946">
        <f t="shared" si="45"/>
        <v>6233.0599999999995</v>
      </c>
      <c r="N30" s="1411">
        <f>N31*N$2*24</f>
        <v>2134.8734906408508</v>
      </c>
      <c r="O30" s="1494">
        <v>2232</v>
      </c>
      <c r="P30" s="947">
        <f t="shared" si="46"/>
        <v>7719.6594496730659</v>
      </c>
      <c r="Q30" s="947">
        <f t="shared" si="47"/>
        <v>8465.06</v>
      </c>
      <c r="R30" s="2567">
        <f>R31*R$2*24</f>
        <v>2134.8734906408508</v>
      </c>
      <c r="S30" s="2568">
        <v>2373.9</v>
      </c>
      <c r="T30" s="2565">
        <f t="shared" ref="T30" si="138">+P30+R30</f>
        <v>9854.5329403139167</v>
      </c>
      <c r="U30" s="2565">
        <f t="shared" ref="U30" si="139">+Q30+S30</f>
        <v>10838.96</v>
      </c>
      <c r="V30" s="3288">
        <f>V31*V$2*24</f>
        <v>2072.0302844403218</v>
      </c>
      <c r="W30" s="2941">
        <v>2353</v>
      </c>
      <c r="X30" s="946">
        <f t="shared" si="68"/>
        <v>6341.7772657220239</v>
      </c>
      <c r="Y30" s="946">
        <f t="shared" si="69"/>
        <v>6958.9</v>
      </c>
      <c r="Z30" s="558">
        <f t="shared" si="50"/>
        <v>11926.563224754238</v>
      </c>
      <c r="AA30" s="558">
        <f t="shared" si="51"/>
        <v>13191.96</v>
      </c>
      <c r="AB30" s="3616">
        <f>AB31*AB$2*24</f>
        <v>2197.7166968413812</v>
      </c>
      <c r="AC30" s="2941">
        <v>2462</v>
      </c>
      <c r="AD30" s="3615">
        <f t="shared" ref="AD30" si="140">+Z30+AB30</f>
        <v>14124.279921595618</v>
      </c>
      <c r="AE30" s="3615">
        <f t="shared" ref="AE30" si="141">+AA30+AC30</f>
        <v>15653.96</v>
      </c>
      <c r="AF30" s="3616">
        <f>AF31*AF$2*24</f>
        <v>2125.8958897550615</v>
      </c>
      <c r="AG30" s="2941">
        <v>2511.1000000000004</v>
      </c>
      <c r="AH30" s="3615">
        <f t="shared" ref="AH30" si="142">+AD30+AF30</f>
        <v>16250.17581135068</v>
      </c>
      <c r="AI30" s="3615">
        <f t="shared" ref="AI30" si="143">+AE30+AG30</f>
        <v>18165.059999999998</v>
      </c>
      <c r="AJ30" s="3616">
        <f>AJ31*AJ$2*24</f>
        <v>2206.6942977271706</v>
      </c>
      <c r="AK30" s="2941">
        <v>2604</v>
      </c>
      <c r="AL30" s="4328">
        <f t="shared" ref="AL30" si="144">+AJ30+AF30+AB30</f>
        <v>6530.3068843236133</v>
      </c>
      <c r="AM30" s="4328">
        <f t="shared" ref="AM30" si="145">+AK30+AG30+AC30</f>
        <v>7577.1</v>
      </c>
      <c r="AN30" s="3615">
        <f t="shared" ref="AN30" si="146">+AH30+AJ30</f>
        <v>18456.870109077852</v>
      </c>
      <c r="AO30" s="3615">
        <f t="shared" ref="AO30" si="147">+AI30+AK30</f>
        <v>20769.059999999998</v>
      </c>
      <c r="AP30" s="3616">
        <f>AP31*AP$2*24</f>
        <v>2206.6942977271706</v>
      </c>
      <c r="AQ30" s="2941">
        <v>2592.0299999999997</v>
      </c>
      <c r="AR30" s="3615">
        <f t="shared" ref="AR30" si="148">+AN30+AP30</f>
        <v>20663.564406805024</v>
      </c>
      <c r="AS30" s="3615">
        <f t="shared" ref="AS30" si="149">+AO30+AQ30</f>
        <v>23361.089999999997</v>
      </c>
      <c r="AT30" s="3616">
        <f>AT31*AT$2*24</f>
        <v>2054.0750826687417</v>
      </c>
      <c r="AU30" s="2941">
        <v>2402.2299999999996</v>
      </c>
      <c r="AV30" s="3615">
        <f t="shared" ref="AV30" si="150">+AR30+AT30</f>
        <v>22717.639489473768</v>
      </c>
      <c r="AW30" s="3615">
        <f t="shared" ref="AW30" si="151">+AS30+AU30</f>
        <v>25763.319999999996</v>
      </c>
      <c r="AX30" s="3616">
        <f>AX31*AX$2*24</f>
        <v>2215.6718986129608</v>
      </c>
      <c r="AY30" s="2941">
        <v>2588</v>
      </c>
      <c r="AZ30" s="5166">
        <f t="shared" ref="AZ30" si="152">+AX30+AT30+AP30</f>
        <v>6476.4412790088736</v>
      </c>
      <c r="BA30" s="5166">
        <f t="shared" ref="BA30" si="153">+AY30+AU30+AQ30</f>
        <v>7582.2599999999993</v>
      </c>
      <c r="BB30" s="5175">
        <f t="shared" si="62"/>
        <v>13006.748163332486</v>
      </c>
      <c r="BC30" s="5175">
        <f t="shared" si="63"/>
        <v>15159.36</v>
      </c>
      <c r="BD30" s="3615">
        <f t="shared" ref="BD30" si="154">+AV30+AX30</f>
        <v>24933.311388086728</v>
      </c>
      <c r="BE30" s="3615">
        <f t="shared" ref="BE30" si="155">+AW30+AY30</f>
        <v>28351.319999999996</v>
      </c>
      <c r="BF30" s="26"/>
      <c r="BG30" s="26"/>
      <c r="BH30" s="26"/>
      <c r="BI30" s="26"/>
    </row>
    <row r="31" spans="2:61" ht="15" hidden="1" customHeight="1" x14ac:dyDescent="0.25">
      <c r="B31" s="1253"/>
      <c r="C31" s="193"/>
      <c r="D31" s="1415">
        <v>2.9276953999770576</v>
      </c>
      <c r="E31" s="1615"/>
      <c r="F31" s="1415">
        <v>2.3626535664484849</v>
      </c>
      <c r="G31" s="1603"/>
      <c r="H31" s="947"/>
      <c r="I31" s="947"/>
      <c r="J31" s="1415">
        <v>2.3875430800153619</v>
      </c>
      <c r="K31" s="1603"/>
      <c r="L31" s="946"/>
      <c r="M31" s="946"/>
      <c r="N31" s="1415">
        <v>2.8694536164527569</v>
      </c>
      <c r="O31" s="1494"/>
      <c r="P31" s="947"/>
      <c r="Q31" s="947"/>
      <c r="R31" s="1415">
        <v>2.8694536164527569</v>
      </c>
      <c r="S31" s="2568"/>
      <c r="T31" s="2565"/>
      <c r="U31" s="2565"/>
      <c r="V31" s="1415">
        <v>2.8778198395004471</v>
      </c>
      <c r="W31" s="2941"/>
      <c r="X31" s="946"/>
      <c r="Y31" s="946"/>
      <c r="Z31" s="558"/>
      <c r="AA31" s="558"/>
      <c r="AB31" s="1415">
        <v>2.9539202914534695</v>
      </c>
      <c r="AC31" s="2941"/>
      <c r="AD31" s="3615"/>
      <c r="AE31" s="3615"/>
      <c r="AF31" s="1415">
        <v>2.9526331802153631</v>
      </c>
      <c r="AG31" s="2941"/>
      <c r="AH31" s="3615"/>
      <c r="AI31" s="3615"/>
      <c r="AJ31" s="1415">
        <v>2.9659869593107131</v>
      </c>
      <c r="AK31" s="2941"/>
      <c r="AL31" s="4328"/>
      <c r="AM31" s="4328"/>
      <c r="AN31" s="3615"/>
      <c r="AO31" s="3615"/>
      <c r="AP31" s="1415">
        <v>2.9659869593107131</v>
      </c>
      <c r="AQ31" s="2941"/>
      <c r="AR31" s="3615"/>
      <c r="AS31" s="3615"/>
      <c r="AT31" s="1415">
        <v>2.9512573026849735</v>
      </c>
      <c r="AU31" s="2941"/>
      <c r="AV31" s="3615"/>
      <c r="AW31" s="3615"/>
      <c r="AX31" s="1415">
        <v>2.9780536271679576</v>
      </c>
      <c r="AY31" s="2941"/>
      <c r="AZ31" s="5166"/>
      <c r="BA31" s="5166"/>
      <c r="BB31" s="5175">
        <f t="shared" si="62"/>
        <v>0</v>
      </c>
      <c r="BC31" s="5175">
        <f t="shared" si="63"/>
        <v>0</v>
      </c>
      <c r="BD31" s="3615"/>
      <c r="BE31" s="3615"/>
      <c r="BF31" s="26"/>
      <c r="BG31" s="26"/>
      <c r="BH31" s="26"/>
      <c r="BI31" s="26"/>
    </row>
    <row r="32" spans="2:61" x14ac:dyDescent="0.25">
      <c r="B32" s="1253" t="s">
        <v>60</v>
      </c>
      <c r="C32" s="193" t="s">
        <v>333</v>
      </c>
      <c r="D32" s="1411">
        <f>D33*D$2*24</f>
        <v>1560.1580524008382</v>
      </c>
      <c r="E32" s="1603">
        <v>1077.5</v>
      </c>
      <c r="F32" s="1411">
        <f>F33*F$2*24</f>
        <v>1137.8845293376764</v>
      </c>
      <c r="G32" s="1603">
        <v>989.49999999999966</v>
      </c>
      <c r="H32" s="947">
        <f t="shared" si="43"/>
        <v>2698.0425817385149</v>
      </c>
      <c r="I32" s="947">
        <f t="shared" si="43"/>
        <v>2066.9999999999995</v>
      </c>
      <c r="J32" s="1411">
        <f>J33*J$2*24</f>
        <v>1121.3961521994647</v>
      </c>
      <c r="K32" s="1603">
        <v>981.89999999999986</v>
      </c>
      <c r="L32" s="946">
        <f t="shared" si="44"/>
        <v>3819.4387339379796</v>
      </c>
      <c r="M32" s="946">
        <f t="shared" si="45"/>
        <v>3048.8999999999996</v>
      </c>
      <c r="N32" s="1411">
        <f>N33*N$2*24</f>
        <v>1563.2769533556284</v>
      </c>
      <c r="O32" s="1494">
        <v>1116.03</v>
      </c>
      <c r="P32" s="947">
        <f t="shared" si="46"/>
        <v>5382.7156872936084</v>
      </c>
      <c r="Q32" s="947">
        <f t="shared" si="47"/>
        <v>4164.9299999999994</v>
      </c>
      <c r="R32" s="2567">
        <f>R33*R$2*24</f>
        <v>1563.2769533556284</v>
      </c>
      <c r="S32" s="2568">
        <v>1116.0100000000002</v>
      </c>
      <c r="T32" s="2565">
        <f t="shared" ref="T32" si="156">+P32+R32</f>
        <v>6945.9926406492368</v>
      </c>
      <c r="U32" s="2565">
        <f t="shared" ref="U32" si="157">+Q32+S32</f>
        <v>5280.94</v>
      </c>
      <c r="V32" s="3288">
        <f>V33*V$2*24</f>
        <v>1519.6444882086516</v>
      </c>
      <c r="W32" s="2941">
        <v>1027</v>
      </c>
      <c r="X32" s="946">
        <f t="shared" si="68"/>
        <v>4646.1983949199084</v>
      </c>
      <c r="Y32" s="946">
        <f t="shared" si="69"/>
        <v>3259.04</v>
      </c>
      <c r="Z32" s="558">
        <f t="shared" si="50"/>
        <v>8465.6371288578885</v>
      </c>
      <c r="AA32" s="558">
        <f t="shared" si="51"/>
        <v>6307.94</v>
      </c>
      <c r="AB32" s="3616">
        <f>AB33*AB$2*24</f>
        <v>1634.1756906919536</v>
      </c>
      <c r="AC32" s="2941">
        <v>1072.4099999999999</v>
      </c>
      <c r="AD32" s="3615">
        <f t="shared" ref="AD32" si="158">+Z32+AB32</f>
        <v>10099.812819549843</v>
      </c>
      <c r="AE32" s="3615">
        <f t="shared" ref="AE32" si="159">+AA32+AC32</f>
        <v>7380.3499999999995</v>
      </c>
      <c r="AF32" s="3616">
        <f>AF33*AF$2*24</f>
        <v>1580.4148344969312</v>
      </c>
      <c r="AG32" s="2941">
        <v>1080.0100000000002</v>
      </c>
      <c r="AH32" s="3615">
        <f t="shared" ref="AH32" si="160">+AD32+AF32</f>
        <v>11680.227654046774</v>
      </c>
      <c r="AI32" s="3615">
        <f t="shared" ref="AI32" si="161">+AE32+AG32</f>
        <v>8460.36</v>
      </c>
      <c r="AJ32" s="3616">
        <f>AJ33*AJ$2*24</f>
        <v>1644.3040817400001</v>
      </c>
      <c r="AK32" s="2941">
        <v>1116.01</v>
      </c>
      <c r="AL32" s="4328">
        <f t="shared" ref="AL32" si="162">+AJ32+AF32+AB32</f>
        <v>4858.894606928885</v>
      </c>
      <c r="AM32" s="4328">
        <f t="shared" ref="AM32" si="163">+AK32+AG32+AC32</f>
        <v>3268.4300000000003</v>
      </c>
      <c r="AN32" s="3615">
        <f t="shared" ref="AN32" si="164">+AH32+AJ32</f>
        <v>13324.531735786773</v>
      </c>
      <c r="AO32" s="3615">
        <f t="shared" ref="AO32" si="165">+AI32+AK32</f>
        <v>9576.3700000000008</v>
      </c>
      <c r="AP32" s="3616">
        <f>AP33*AP$2*24</f>
        <v>1644.3040817400001</v>
      </c>
      <c r="AQ32" s="2941">
        <v>1120</v>
      </c>
      <c r="AR32" s="3615">
        <f t="shared" ref="AR32" si="166">+AN32+AP32</f>
        <v>14968.835817526773</v>
      </c>
      <c r="AS32" s="3615">
        <f t="shared" ref="AS32" si="167">+AO32+AQ32</f>
        <v>10696.37</v>
      </c>
      <c r="AT32" s="3616">
        <f>AT33*AT$2*24</f>
        <v>1526.6539783019086</v>
      </c>
      <c r="AU32" s="2941">
        <v>1044</v>
      </c>
      <c r="AV32" s="3615">
        <f t="shared" ref="AV32" si="168">+AR32+AT32</f>
        <v>16495.489795828682</v>
      </c>
      <c r="AW32" s="3615">
        <f t="shared" ref="AW32" si="169">+AS32+AU32</f>
        <v>11740.37</v>
      </c>
      <c r="AX32" s="3616">
        <f>AX33*AX$2*24</f>
        <v>1654.4324727880467</v>
      </c>
      <c r="AY32" s="2941">
        <v>1111.5</v>
      </c>
      <c r="AZ32" s="5166">
        <f t="shared" ref="AZ32" si="170">+AX32+AT32+AP32</f>
        <v>4825.3905328299552</v>
      </c>
      <c r="BA32" s="5166">
        <f t="shared" ref="BA32" si="171">+AY32+AU32+AQ32</f>
        <v>3275.5</v>
      </c>
      <c r="BB32" s="5175">
        <f t="shared" si="62"/>
        <v>9684.2851397588402</v>
      </c>
      <c r="BC32" s="5175">
        <f t="shared" si="63"/>
        <v>6543.93</v>
      </c>
      <c r="BD32" s="3615">
        <f t="shared" ref="BD32" si="172">+AV32+AX32</f>
        <v>18149.922268616727</v>
      </c>
      <c r="BE32" s="3615">
        <f t="shared" ref="BE32" si="173">+AW32+AY32</f>
        <v>12851.87</v>
      </c>
      <c r="BF32" s="26"/>
      <c r="BG32" s="26"/>
      <c r="BH32" s="26"/>
      <c r="BI32" s="26"/>
    </row>
    <row r="33" spans="2:61" ht="15" hidden="1" customHeight="1" x14ac:dyDescent="0.25">
      <c r="B33" s="1253"/>
      <c r="C33" s="193"/>
      <c r="D33" s="1415">
        <v>2.1668861838900533</v>
      </c>
      <c r="E33" s="1615"/>
      <c r="F33" s="1415">
        <v>1.5294146899699952</v>
      </c>
      <c r="G33" s="1603"/>
      <c r="H33" s="947"/>
      <c r="I33" s="947"/>
      <c r="J33" s="1415">
        <v>1.5574946558325902</v>
      </c>
      <c r="K33" s="1603"/>
      <c r="L33" s="946"/>
      <c r="M33" s="946"/>
      <c r="N33" s="1415">
        <v>2.1011787007468126</v>
      </c>
      <c r="O33" s="1494"/>
      <c r="P33" s="947"/>
      <c r="Q33" s="947"/>
      <c r="R33" s="1415">
        <v>2.1011787007468126</v>
      </c>
      <c r="S33" s="2568"/>
      <c r="T33" s="2565"/>
      <c r="U33" s="2565"/>
      <c r="V33" s="1415">
        <v>2.1106173447342385</v>
      </c>
      <c r="W33" s="2941"/>
      <c r="X33" s="946"/>
      <c r="Y33" s="946"/>
      <c r="Z33" s="558"/>
      <c r="AA33" s="558"/>
      <c r="AB33" s="1415">
        <v>2.1964727025429482</v>
      </c>
      <c r="AC33" s="2941"/>
      <c r="AD33" s="3615"/>
      <c r="AE33" s="3615"/>
      <c r="AF33" s="1415">
        <v>2.19502060346796</v>
      </c>
      <c r="AG33" s="2941"/>
      <c r="AH33" s="3615"/>
      <c r="AI33" s="3615"/>
      <c r="AJ33" s="1415">
        <v>2.2100861313709679</v>
      </c>
      <c r="AK33" s="2941"/>
      <c r="AL33" s="4328"/>
      <c r="AM33" s="4328"/>
      <c r="AN33" s="3615"/>
      <c r="AO33" s="3615"/>
      <c r="AP33" s="1415">
        <v>2.2100861313709679</v>
      </c>
      <c r="AQ33" s="2941"/>
      <c r="AR33" s="3615"/>
      <c r="AS33" s="3615"/>
      <c r="AT33" s="1415">
        <v>2.1934683596291791</v>
      </c>
      <c r="AU33" s="2941"/>
      <c r="AV33" s="3615"/>
      <c r="AW33" s="3615"/>
      <c r="AX33" s="1415">
        <v>2.2236995601989871</v>
      </c>
      <c r="AY33" s="2941"/>
      <c r="AZ33" s="5166"/>
      <c r="BA33" s="5166"/>
      <c r="BB33" s="5175">
        <f t="shared" si="62"/>
        <v>0</v>
      </c>
      <c r="BC33" s="5175">
        <f t="shared" si="63"/>
        <v>0</v>
      </c>
      <c r="BD33" s="3615"/>
      <c r="BE33" s="3615"/>
      <c r="BF33" s="26"/>
      <c r="BG33" s="26"/>
      <c r="BH33" s="26"/>
      <c r="BI33" s="26"/>
    </row>
    <row r="34" spans="2:61" x14ac:dyDescent="0.25">
      <c r="B34" s="1253" t="s">
        <v>61</v>
      </c>
      <c r="C34" s="193" t="s">
        <v>333</v>
      </c>
      <c r="D34" s="1411">
        <f>D35*D$2*24</f>
        <v>864.93434304196796</v>
      </c>
      <c r="E34" s="1603">
        <v>1746.67</v>
      </c>
      <c r="F34" s="1411">
        <f>F35*F$2*24</f>
        <v>896.94608046082396</v>
      </c>
      <c r="G34" s="1603">
        <v>1516.8</v>
      </c>
      <c r="H34" s="947">
        <f t="shared" si="43"/>
        <v>1761.8804235027919</v>
      </c>
      <c r="I34" s="947">
        <f t="shared" si="43"/>
        <v>3263.4700000000003</v>
      </c>
      <c r="J34" s="1411">
        <f>J35*J$2*24</f>
        <v>942.9894664513306</v>
      </c>
      <c r="K34" s="1603">
        <v>1301.07271347445</v>
      </c>
      <c r="L34" s="946">
        <f t="shared" si="44"/>
        <v>2704.8698899541223</v>
      </c>
      <c r="M34" s="946">
        <f t="shared" si="45"/>
        <v>4564.5427134744505</v>
      </c>
      <c r="N34" s="1411">
        <f>N35*N$2*24</f>
        <v>886.9952977146138</v>
      </c>
      <c r="O34" s="1494">
        <v>1868.7617584342715</v>
      </c>
      <c r="P34" s="947">
        <f t="shared" si="46"/>
        <v>3591.8651876687363</v>
      </c>
      <c r="Q34" s="947">
        <f t="shared" si="47"/>
        <v>6433.304471908722</v>
      </c>
      <c r="R34" s="2567">
        <f>R35*R$2*24</f>
        <v>886.9952977146138</v>
      </c>
      <c r="S34" s="2618">
        <f>1160.19114191453+973.912224468961</f>
        <v>2134.103366383491</v>
      </c>
      <c r="T34" s="2565">
        <f t="shared" ref="T34" si="174">+P34+R34</f>
        <v>4478.8604853833504</v>
      </c>
      <c r="U34" s="2565">
        <f t="shared" ref="U34" si="175">+Q34+S34</f>
        <v>8567.4078382922125</v>
      </c>
      <c r="V34" s="3288">
        <f>V35*V$2*24</f>
        <v>862.24038093041895</v>
      </c>
      <c r="W34" s="2941">
        <v>2082.67</v>
      </c>
      <c r="X34" s="946">
        <f t="shared" si="68"/>
        <v>2636.2309763596468</v>
      </c>
      <c r="Y34" s="946">
        <f t="shared" si="69"/>
        <v>6085.5351248177631</v>
      </c>
      <c r="Z34" s="558">
        <f t="shared" si="50"/>
        <v>5341.1008663137691</v>
      </c>
      <c r="AA34" s="558">
        <f t="shared" si="51"/>
        <v>10650.077838292214</v>
      </c>
      <c r="AB34" s="3616">
        <f>AB35*AB$2*24</f>
        <v>884.3163256929256</v>
      </c>
      <c r="AC34" s="2941">
        <v>1551.7857989771762</v>
      </c>
      <c r="AD34" s="3615">
        <f t="shared" ref="AD34" si="176">+Z34+AB34</f>
        <v>6225.4171920066947</v>
      </c>
      <c r="AE34" s="3615">
        <f t="shared" ref="AE34" si="177">+AA34+AC34</f>
        <v>12201.863637269391</v>
      </c>
      <c r="AF34" s="3616">
        <f>AF35*AF$2*24</f>
        <v>862.24038093041895</v>
      </c>
      <c r="AG34" s="2941">
        <v>1497.6731733151705</v>
      </c>
      <c r="AH34" s="3615">
        <f t="shared" ref="AH34" si="178">+AD34+AF34</f>
        <v>7087.6575729371134</v>
      </c>
      <c r="AI34" s="3615">
        <f t="shared" ref="AI34" si="179">+AE34+AG34</f>
        <v>13699.536810584561</v>
      </c>
      <c r="AJ34" s="3616">
        <f>AJ35*AJ$2*24</f>
        <v>884.3163256929256</v>
      </c>
      <c r="AK34" s="2941">
        <v>1545.814611429922</v>
      </c>
      <c r="AL34" s="4328">
        <f t="shared" ref="AL34" si="180">+AJ34+AF34+AB34</f>
        <v>2630.8730323162699</v>
      </c>
      <c r="AM34" s="4328">
        <f t="shared" ref="AM34" si="181">+AK34+AG34+AC34</f>
        <v>4595.273583722269</v>
      </c>
      <c r="AN34" s="3615">
        <f t="shared" ref="AN34" si="182">+AH34+AJ34</f>
        <v>7971.973898630039</v>
      </c>
      <c r="AO34" s="3615">
        <f t="shared" ref="AO34" si="183">+AI34+AK34</f>
        <v>15245.351422014483</v>
      </c>
      <c r="AP34" s="3616">
        <f>AP35*AP$2*24</f>
        <v>884.3163256929256</v>
      </c>
      <c r="AQ34" s="2941">
        <v>1890.9881257299764</v>
      </c>
      <c r="AR34" s="3615">
        <f t="shared" ref="AR34" si="184">+AN34+AP34</f>
        <v>8856.2902243229655</v>
      </c>
      <c r="AS34" s="3615">
        <f t="shared" ref="AS34" si="185">+AO34+AQ34</f>
        <v>17136.339547744457</v>
      </c>
      <c r="AT34" s="3616">
        <f>AT35*AT$2*24</f>
        <v>840.88035999944714</v>
      </c>
      <c r="AU34" s="2941">
        <v>1419.4740240033764</v>
      </c>
      <c r="AV34" s="3615">
        <f t="shared" ref="AV34" si="186">+AR34+AT34</f>
        <v>9697.1705843224117</v>
      </c>
      <c r="AW34" s="3615">
        <f t="shared" ref="AW34" si="187">+AS34+AU34</f>
        <v>18555.813571747833</v>
      </c>
      <c r="AX34" s="3616">
        <f>AX35*AX$2*24</f>
        <v>884.3163256929256</v>
      </c>
      <c r="AY34" s="2941">
        <v>1615.5926817483005</v>
      </c>
      <c r="AZ34" s="5166">
        <f t="shared" ref="AZ34" si="188">+AX34+AT34+AP34</f>
        <v>2609.5130113852983</v>
      </c>
      <c r="BA34" s="5166">
        <f t="shared" ref="BA34" si="189">+AY34+AU34+AQ34</f>
        <v>4926.0548314816533</v>
      </c>
      <c r="BB34" s="5175">
        <f t="shared" si="62"/>
        <v>5240.3860437015683</v>
      </c>
      <c r="BC34" s="5175">
        <f t="shared" si="63"/>
        <v>9521.3284152039232</v>
      </c>
      <c r="BD34" s="3615">
        <f t="shared" ref="BD34" si="190">+AV34+AX34</f>
        <v>10581.486910015337</v>
      </c>
      <c r="BE34" s="3615">
        <f t="shared" ref="BE34" si="191">+AW34+AY34</f>
        <v>20171.406253496134</v>
      </c>
      <c r="BF34" s="26"/>
      <c r="BG34" s="26"/>
      <c r="BH34" s="26"/>
      <c r="BI34" s="26"/>
    </row>
    <row r="35" spans="2:61" ht="15" hidden="1" customHeight="1" x14ac:dyDescent="0.25">
      <c r="B35" s="1253"/>
      <c r="C35" s="193"/>
      <c r="D35" s="1415">
        <v>1.2012976986693999</v>
      </c>
      <c r="E35" s="1615"/>
      <c r="F35" s="1415">
        <v>1.20557268879143</v>
      </c>
      <c r="G35" s="1603"/>
      <c r="H35" s="947"/>
      <c r="I35" s="947"/>
      <c r="J35" s="1415">
        <v>1.3097075922935146</v>
      </c>
      <c r="K35" s="1603"/>
      <c r="L35" s="946"/>
      <c r="M35" s="946"/>
      <c r="N35" s="1415">
        <v>1.1921979807992122</v>
      </c>
      <c r="O35" s="1494"/>
      <c r="P35" s="947"/>
      <c r="Q35" s="947"/>
      <c r="R35" s="1415">
        <v>1.1921979807992122</v>
      </c>
      <c r="S35" s="2568"/>
      <c r="T35" s="2565"/>
      <c r="U35" s="2565"/>
      <c r="V35" s="1415">
        <v>1.1975560846255819</v>
      </c>
      <c r="W35" s="2941"/>
      <c r="X35" s="946"/>
      <c r="Y35" s="946"/>
      <c r="Z35" s="558"/>
      <c r="AA35" s="558"/>
      <c r="AB35" s="1415">
        <v>1.1885972119528572</v>
      </c>
      <c r="AC35" s="2941"/>
      <c r="AD35" s="3615"/>
      <c r="AE35" s="3615"/>
      <c r="AF35" s="1415">
        <v>1.1975560846255819</v>
      </c>
      <c r="AG35" s="2941"/>
      <c r="AH35" s="3615"/>
      <c r="AI35" s="3615"/>
      <c r="AJ35" s="1415">
        <v>1.1885972119528572</v>
      </c>
      <c r="AK35" s="2941"/>
      <c r="AL35" s="4328"/>
      <c r="AM35" s="4328"/>
      <c r="AN35" s="3615"/>
      <c r="AO35" s="3615"/>
      <c r="AP35" s="1415">
        <v>1.1885972119528572</v>
      </c>
      <c r="AQ35" s="2941"/>
      <c r="AR35" s="3615"/>
      <c r="AS35" s="3615"/>
      <c r="AT35" s="1415">
        <v>1.2081614367808149</v>
      </c>
      <c r="AU35" s="2941"/>
      <c r="AV35" s="3615"/>
      <c r="AW35" s="3615"/>
      <c r="AX35" s="1415">
        <v>1.1885972119528572</v>
      </c>
      <c r="AY35" s="2941"/>
      <c r="AZ35" s="5166"/>
      <c r="BA35" s="5166"/>
      <c r="BB35" s="5175">
        <f t="shared" si="62"/>
        <v>0</v>
      </c>
      <c r="BC35" s="5175">
        <f t="shared" si="63"/>
        <v>0</v>
      </c>
      <c r="BD35" s="3615"/>
      <c r="BE35" s="3615"/>
      <c r="BF35" s="26"/>
      <c r="BG35" s="26"/>
      <c r="BH35" s="26"/>
      <c r="BI35" s="26"/>
    </row>
    <row r="36" spans="2:61" x14ac:dyDescent="0.25">
      <c r="B36" s="1253" t="s">
        <v>93</v>
      </c>
      <c r="C36" s="193" t="s">
        <v>333</v>
      </c>
      <c r="D36" s="1411">
        <f>D37*D$2*24</f>
        <v>1467.8312776768294</v>
      </c>
      <c r="E36" s="1603">
        <v>2173.4299999999998</v>
      </c>
      <c r="F36" s="1411">
        <f>F37*F$2*24</f>
        <v>1527.9087182241299</v>
      </c>
      <c r="G36" s="1603">
        <v>1745.6</v>
      </c>
      <c r="H36" s="947">
        <f t="shared" si="43"/>
        <v>2995.739995900959</v>
      </c>
      <c r="I36" s="947">
        <f t="shared" si="43"/>
        <v>3919.0299999999997</v>
      </c>
      <c r="J36" s="1411">
        <f>J37*J$2*24</f>
        <v>1296.7901470979587</v>
      </c>
      <c r="K36" s="1603">
        <v>1783.4833310099509</v>
      </c>
      <c r="L36" s="946">
        <f t="shared" si="44"/>
        <v>4292.5301429989177</v>
      </c>
      <c r="M36" s="946">
        <f t="shared" si="45"/>
        <v>5702.5133310099509</v>
      </c>
      <c r="N36" s="1411">
        <f>N37*N$2*24</f>
        <v>1521.3783916491502</v>
      </c>
      <c r="O36" s="1494">
        <v>2644.2814724730697</v>
      </c>
      <c r="P36" s="947">
        <f t="shared" si="46"/>
        <v>5813.9085346480679</v>
      </c>
      <c r="Q36" s="947">
        <f t="shared" si="47"/>
        <v>8346.7948034830206</v>
      </c>
      <c r="R36" s="2567">
        <f>R37*R$2*24</f>
        <v>1521.3783916491502</v>
      </c>
      <c r="S36" s="2568">
        <f>1356.07944626369+1137.30913310358</f>
        <v>2493.3885793672698</v>
      </c>
      <c r="T36" s="2565">
        <f t="shared" ref="T36" si="192">+P36+R36</f>
        <v>7335.2869262972181</v>
      </c>
      <c r="U36" s="2565">
        <f t="shared" ref="U36" si="193">+Q36+S36</f>
        <v>10840.183382850289</v>
      </c>
      <c r="V36" s="3288">
        <f>V37*V$2*24</f>
        <v>1473.3509514319721</v>
      </c>
      <c r="W36" s="2941">
        <v>2297.38</v>
      </c>
      <c r="X36" s="946">
        <f t="shared" si="68"/>
        <v>4516.1077347302726</v>
      </c>
      <c r="Y36" s="946">
        <f t="shared" si="69"/>
        <v>7435.0500518403396</v>
      </c>
      <c r="Z36" s="558">
        <f t="shared" si="50"/>
        <v>8808.6378777291902</v>
      </c>
      <c r="AA36" s="558">
        <f t="shared" si="51"/>
        <v>13137.563382850291</v>
      </c>
      <c r="AB36" s="3616">
        <f>AB37*AB$2*24</f>
        <v>1526.895295961486</v>
      </c>
      <c r="AC36" s="2941">
        <v>2298.6900589234147</v>
      </c>
      <c r="AD36" s="3615">
        <f t="shared" ref="AD36" si="194">+Z36+AB36</f>
        <v>10335.533173690676</v>
      </c>
      <c r="AE36" s="3615">
        <f t="shared" ref="AE36" si="195">+AA36+AC36</f>
        <v>15436.253441773704</v>
      </c>
      <c r="AF36" s="3616">
        <f>AF37*AF$2*24</f>
        <v>1473.3509514319721</v>
      </c>
      <c r="AG36" s="2941">
        <v>2339.5200767717743</v>
      </c>
      <c r="AH36" s="3615">
        <f t="shared" ref="AH36" si="196">+AD36+AF36</f>
        <v>11808.884125122648</v>
      </c>
      <c r="AI36" s="3615">
        <f t="shared" ref="AI36" si="197">+AE36+AG36</f>
        <v>17775.77351854548</v>
      </c>
      <c r="AJ36" s="3616">
        <f>AJ37*AJ$2*24</f>
        <v>1526.895295961486</v>
      </c>
      <c r="AK36" s="2941">
        <v>2509.6809938337237</v>
      </c>
      <c r="AL36" s="4328">
        <f t="shared" ref="AL36" si="198">+AJ36+AF36+AB36</f>
        <v>4527.1415433549446</v>
      </c>
      <c r="AM36" s="4328">
        <f t="shared" ref="AM36" si="199">+AK36+AG36+AC36</f>
        <v>7147.8911295289126</v>
      </c>
      <c r="AN36" s="3615">
        <f t="shared" ref="AN36" si="200">+AH36+AJ36</f>
        <v>13335.779421084133</v>
      </c>
      <c r="AO36" s="3615">
        <f t="shared" ref="AO36" si="201">+AI36+AK36</f>
        <v>20285.454512379205</v>
      </c>
      <c r="AP36" s="3616">
        <f>AP37*AP$2*24</f>
        <v>1526.895295961486</v>
      </c>
      <c r="AQ36" s="2941">
        <v>2127.0639549259522</v>
      </c>
      <c r="AR36" s="3615">
        <f t="shared" ref="AR36" si="202">+AN36+AP36</f>
        <v>14862.674717045618</v>
      </c>
      <c r="AS36" s="3615">
        <f t="shared" ref="AS36" si="203">+AO36+AQ36</f>
        <v>22412.518467305155</v>
      </c>
      <c r="AT36" s="3616">
        <f>AT37*AT$2*24</f>
        <v>1428.2107972188257</v>
      </c>
      <c r="AU36" s="2941">
        <v>2035.2202979687504</v>
      </c>
      <c r="AV36" s="3615">
        <f t="shared" ref="AV36" si="204">+AR36+AT36</f>
        <v>16290.885514264444</v>
      </c>
      <c r="AW36" s="3615">
        <f t="shared" ref="AW36" si="205">+AS36+AU36</f>
        <v>24447.738765273905</v>
      </c>
      <c r="AX36" s="3616">
        <f>AX37*AX$2*24</f>
        <v>1526.895295961486</v>
      </c>
      <c r="AY36" s="2941">
        <v>2627.1682378334326</v>
      </c>
      <c r="AZ36" s="5166">
        <f t="shared" ref="AZ36" si="206">+AX36+AT36+AP36</f>
        <v>4482.0013891417975</v>
      </c>
      <c r="BA36" s="5166">
        <f t="shared" ref="BA36" si="207">+AY36+AU36+AQ36</f>
        <v>6789.4524907281357</v>
      </c>
      <c r="BB36" s="5175">
        <f t="shared" si="62"/>
        <v>9009.142932496743</v>
      </c>
      <c r="BC36" s="5175">
        <f t="shared" si="63"/>
        <v>13937.343620257048</v>
      </c>
      <c r="BD36" s="3615">
        <f t="shared" ref="BD36" si="208">+AV36+AX36</f>
        <v>17817.78081022593</v>
      </c>
      <c r="BE36" s="3615">
        <f t="shared" ref="BE36" si="209">+AW36+AY36</f>
        <v>27074.907003107339</v>
      </c>
      <c r="BF36" s="26"/>
      <c r="BG36" s="26"/>
      <c r="BH36" s="26"/>
      <c r="BI36" s="26"/>
    </row>
    <row r="37" spans="2:61" ht="15" hidden="1" customHeight="1" x14ac:dyDescent="0.25">
      <c r="B37" s="1253"/>
      <c r="C37" s="193"/>
      <c r="D37" s="1415">
        <v>2.0386545523289294</v>
      </c>
      <c r="E37" s="1615"/>
      <c r="F37" s="1415">
        <v>2.0536407503012497</v>
      </c>
      <c r="G37" s="1603"/>
      <c r="H37" s="947"/>
      <c r="I37" s="947"/>
      <c r="J37" s="1415">
        <v>1.8010974265249426</v>
      </c>
      <c r="K37" s="1603"/>
      <c r="L37" s="946"/>
      <c r="M37" s="946"/>
      <c r="N37" s="1415">
        <v>2.0448634296359547</v>
      </c>
      <c r="O37" s="1494"/>
      <c r="P37" s="947"/>
      <c r="Q37" s="947"/>
      <c r="R37" s="1415">
        <v>2.0448634296359547</v>
      </c>
      <c r="S37" s="2568"/>
      <c r="T37" s="2565"/>
      <c r="U37" s="2565"/>
      <c r="V37" s="1415">
        <v>2.0463207658777391</v>
      </c>
      <c r="W37" s="2941"/>
      <c r="X37" s="946"/>
      <c r="Y37" s="946"/>
      <c r="Z37" s="558"/>
      <c r="AA37" s="558"/>
      <c r="AB37" s="1415">
        <v>2.0522786236041477</v>
      </c>
      <c r="AC37" s="2941"/>
      <c r="AD37" s="3615"/>
      <c r="AE37" s="3615"/>
      <c r="AF37" s="1415">
        <v>2.0463207658777391</v>
      </c>
      <c r="AG37" s="2941"/>
      <c r="AH37" s="3615"/>
      <c r="AI37" s="3615"/>
      <c r="AJ37" s="1415">
        <v>2.0522786236041477</v>
      </c>
      <c r="AK37" s="2941"/>
      <c r="AL37" s="4328"/>
      <c r="AM37" s="4328"/>
      <c r="AN37" s="3615"/>
      <c r="AO37" s="3615"/>
      <c r="AP37" s="1415">
        <v>2.0522786236041477</v>
      </c>
      <c r="AQ37" s="2941"/>
      <c r="AR37" s="3615"/>
      <c r="AS37" s="3615"/>
      <c r="AT37" s="1415">
        <v>2.0520270074983129</v>
      </c>
      <c r="AU37" s="2941"/>
      <c r="AV37" s="3615"/>
      <c r="AW37" s="3615"/>
      <c r="AX37" s="1415">
        <v>2.0522786236041477</v>
      </c>
      <c r="AY37" s="2941"/>
      <c r="AZ37" s="5166"/>
      <c r="BA37" s="5166"/>
      <c r="BB37" s="5175">
        <f t="shared" si="62"/>
        <v>0</v>
      </c>
      <c r="BC37" s="5175">
        <f t="shared" si="63"/>
        <v>0</v>
      </c>
      <c r="BD37" s="3615"/>
      <c r="BE37" s="3615"/>
      <c r="BF37" s="26"/>
      <c r="BG37" s="26"/>
      <c r="BH37" s="26"/>
      <c r="BI37" s="26"/>
    </row>
    <row r="38" spans="2:61" x14ac:dyDescent="0.25">
      <c r="B38" s="1253" t="s">
        <v>112</v>
      </c>
      <c r="C38" s="193" t="s">
        <v>333</v>
      </c>
      <c r="D38" s="1411">
        <f>D39*D$2*24</f>
        <v>907.23437928120256</v>
      </c>
      <c r="E38" s="1603">
        <v>2312.65</v>
      </c>
      <c r="F38" s="1411">
        <f>F39*F$2*24</f>
        <v>923.14520131504639</v>
      </c>
      <c r="G38" s="1603">
        <v>2059.6</v>
      </c>
      <c r="H38" s="947">
        <f t="shared" si="43"/>
        <v>1830.3795805962491</v>
      </c>
      <c r="I38" s="947">
        <f t="shared" si="43"/>
        <v>4372.25</v>
      </c>
      <c r="J38" s="1411">
        <f>J39*J$2*24</f>
        <v>1000.220386450711</v>
      </c>
      <c r="K38" s="1603">
        <v>2018.4139555155989</v>
      </c>
      <c r="L38" s="946">
        <f t="shared" si="44"/>
        <v>2830.59996704696</v>
      </c>
      <c r="M38" s="946">
        <f t="shared" si="45"/>
        <v>6390.6639555155989</v>
      </c>
      <c r="N38" s="1411">
        <f>N39*N$2*24</f>
        <v>939.62631063623576</v>
      </c>
      <c r="O38" s="1494">
        <v>2589.7267690926583</v>
      </c>
      <c r="P38" s="947">
        <f t="shared" si="46"/>
        <v>3770.2262776831958</v>
      </c>
      <c r="Q38" s="947">
        <f t="shared" si="47"/>
        <v>8980.3907246082563</v>
      </c>
      <c r="R38" s="2567">
        <f>R39*R$2*24</f>
        <v>939.62631063623576</v>
      </c>
      <c r="S38" s="2568">
        <f>1561.24941182178+1309.75864242746</f>
        <v>2871.0080542492401</v>
      </c>
      <c r="T38" s="2565">
        <f t="shared" ref="T38" si="210">+P38+R38</f>
        <v>4709.8525883194316</v>
      </c>
      <c r="U38" s="2565">
        <f t="shared" ref="U38" si="211">+Q38+S38</f>
        <v>11851.398778857496</v>
      </c>
      <c r="V38" s="3288">
        <f>V39*V$2*24</f>
        <v>904.40866763760846</v>
      </c>
      <c r="W38" s="2941">
        <v>2720.22</v>
      </c>
      <c r="X38" s="946">
        <f t="shared" si="68"/>
        <v>2783.6612889100797</v>
      </c>
      <c r="Y38" s="946">
        <f t="shared" si="69"/>
        <v>8180.9548233418982</v>
      </c>
      <c r="Z38" s="558">
        <f t="shared" si="50"/>
        <v>5614.2612559570398</v>
      </c>
      <c r="AA38" s="558">
        <f t="shared" si="51"/>
        <v>14571.618778857497</v>
      </c>
      <c r="AB38" s="3616">
        <f>AB39*AB$2*24</f>
        <v>936.78837834558874</v>
      </c>
      <c r="AC38" s="2941">
        <v>3063.3441420994086</v>
      </c>
      <c r="AD38" s="3615">
        <f t="shared" ref="AD38" si="212">+Z38+AB38</f>
        <v>6551.0496343026289</v>
      </c>
      <c r="AE38" s="3615">
        <f t="shared" ref="AE38" si="213">+AA38+AC38</f>
        <v>17634.962920956907</v>
      </c>
      <c r="AF38" s="3616">
        <f>AF39*AF$2*24</f>
        <v>904.40866763760846</v>
      </c>
      <c r="AG38" s="2941">
        <v>3204.066749913055</v>
      </c>
      <c r="AH38" s="3615">
        <f t="shared" ref="AH38" si="214">+AD38+AF38</f>
        <v>7455.4583019402371</v>
      </c>
      <c r="AI38" s="3615">
        <f t="shared" ref="AI38" si="215">+AE38+AG38</f>
        <v>20839.029670869961</v>
      </c>
      <c r="AJ38" s="3616">
        <f>AJ39*AJ$2*24</f>
        <v>936.78837834558874</v>
      </c>
      <c r="AK38" s="2941">
        <v>3247.4043947363543</v>
      </c>
      <c r="AL38" s="4328">
        <f t="shared" ref="AL38" si="216">+AJ38+AF38+AB38</f>
        <v>2777.9854243287859</v>
      </c>
      <c r="AM38" s="4328">
        <f t="shared" ref="AM38" si="217">+AK38+AG38+AC38</f>
        <v>9514.815286748817</v>
      </c>
      <c r="AN38" s="3615">
        <f t="shared" ref="AN38" si="218">+AH38+AJ38</f>
        <v>8392.2466802858253</v>
      </c>
      <c r="AO38" s="3615">
        <f t="shared" ref="AO38" si="219">+AI38+AK38</f>
        <v>24086.434065606314</v>
      </c>
      <c r="AP38" s="3616">
        <f>AP39*AP$2*24</f>
        <v>936.78837834558874</v>
      </c>
      <c r="AQ38" s="2941">
        <v>3268.7020484443879</v>
      </c>
      <c r="AR38" s="3615">
        <f t="shared" ref="AR38" si="220">+AN38+AP38</f>
        <v>9329.0350586314144</v>
      </c>
      <c r="AS38" s="3615">
        <f t="shared" ref="AS38" si="221">+AO38+AQ38</f>
        <v>27355.136114050703</v>
      </c>
      <c r="AT38" s="3616">
        <f>AT39*AT$2*24</f>
        <v>862.90884278172723</v>
      </c>
      <c r="AU38" s="2941">
        <v>2856.4556780278735</v>
      </c>
      <c r="AV38" s="3615">
        <f t="shared" ref="AV38" si="222">+AR38+AT38</f>
        <v>10191.943901413142</v>
      </c>
      <c r="AW38" s="3615">
        <f t="shared" ref="AW38" si="223">+AS38+AU38</f>
        <v>30211.591792078576</v>
      </c>
      <c r="AX38" s="3616">
        <f>AX39*AX$2*24</f>
        <v>936.78837834558874</v>
      </c>
      <c r="AY38" s="2941">
        <v>3036.2490804182657</v>
      </c>
      <c r="AZ38" s="5166">
        <f t="shared" ref="AZ38" si="224">+AX38+AT38+AP38</f>
        <v>2736.4855994729046</v>
      </c>
      <c r="BA38" s="5166">
        <f t="shared" ref="BA38" si="225">+AY38+AU38+AQ38</f>
        <v>9161.4068068905272</v>
      </c>
      <c r="BB38" s="5175">
        <f t="shared" si="62"/>
        <v>5514.4710238016905</v>
      </c>
      <c r="BC38" s="5175">
        <f t="shared" si="63"/>
        <v>18676.222093639342</v>
      </c>
      <c r="BD38" s="3615">
        <f t="shared" ref="BD38" si="226">+AV38+AX38</f>
        <v>11128.732279758731</v>
      </c>
      <c r="BE38" s="3615">
        <f t="shared" ref="BE38" si="227">+AW38+AY38</f>
        <v>33247.840872496839</v>
      </c>
      <c r="BF38" s="26"/>
      <c r="BG38" s="26"/>
      <c r="BH38" s="26"/>
      <c r="BI38" s="26"/>
    </row>
    <row r="39" spans="2:61" ht="15" hidden="1" customHeight="1" x14ac:dyDescent="0.25">
      <c r="B39" s="1253"/>
      <c r="C39" s="193"/>
      <c r="D39" s="1415">
        <v>1.2600477490016704</v>
      </c>
      <c r="E39" s="1615"/>
      <c r="F39" s="1415">
        <v>1.2407865609073205</v>
      </c>
      <c r="G39" s="1603"/>
      <c r="H39" s="947"/>
      <c r="I39" s="947"/>
      <c r="J39" s="1415">
        <v>1.3891949811815429</v>
      </c>
      <c r="K39" s="1603"/>
      <c r="L39" s="946"/>
      <c r="M39" s="946"/>
      <c r="N39" s="1415">
        <v>1.2629385895648331</v>
      </c>
      <c r="O39" s="1494"/>
      <c r="P39" s="947"/>
      <c r="Q39" s="947"/>
      <c r="R39" s="1415">
        <v>1.2629385895648331</v>
      </c>
      <c r="S39" s="2568"/>
      <c r="T39" s="2565"/>
      <c r="U39" s="2565"/>
      <c r="V39" s="1415">
        <v>1.2561231494966782</v>
      </c>
      <c r="W39" s="2941"/>
      <c r="X39" s="946"/>
      <c r="Y39" s="946"/>
      <c r="Z39" s="558"/>
      <c r="AA39" s="558"/>
      <c r="AB39" s="1415">
        <v>1.2591241644429956</v>
      </c>
      <c r="AC39" s="2941"/>
      <c r="AD39" s="3615"/>
      <c r="AE39" s="3615"/>
      <c r="AF39" s="1415">
        <v>1.2561231494966782</v>
      </c>
      <c r="AG39" s="2941"/>
      <c r="AH39" s="3615"/>
      <c r="AI39" s="3615"/>
      <c r="AJ39" s="1415">
        <v>1.2591241644429956</v>
      </c>
      <c r="AK39" s="2941"/>
      <c r="AL39" s="4328"/>
      <c r="AM39" s="4328"/>
      <c r="AN39" s="3615"/>
      <c r="AO39" s="3615"/>
      <c r="AP39" s="1415">
        <v>1.2591241644429956</v>
      </c>
      <c r="AQ39" s="2941"/>
      <c r="AR39" s="3615"/>
      <c r="AS39" s="3615"/>
      <c r="AT39" s="1415">
        <v>1.2398115557208724</v>
      </c>
      <c r="AU39" s="2941"/>
      <c r="AV39" s="3615"/>
      <c r="AW39" s="3615"/>
      <c r="AX39" s="1415">
        <v>1.2591241644429956</v>
      </c>
      <c r="AY39" s="2941"/>
      <c r="AZ39" s="5166"/>
      <c r="BA39" s="5166"/>
      <c r="BB39" s="5175">
        <f t="shared" si="62"/>
        <v>0</v>
      </c>
      <c r="BC39" s="5175">
        <f t="shared" si="63"/>
        <v>0</v>
      </c>
      <c r="BD39" s="3615"/>
      <c r="BE39" s="3615"/>
      <c r="BF39" s="26"/>
      <c r="BG39" s="26"/>
      <c r="BH39" s="26"/>
      <c r="BI39" s="26"/>
    </row>
    <row r="40" spans="2:61" x14ac:dyDescent="0.25">
      <c r="B40" s="1253" t="s">
        <v>84</v>
      </c>
      <c r="C40" s="193" t="s">
        <v>333</v>
      </c>
      <c r="D40" s="1411">
        <f>D41*D$2*24</f>
        <v>4995.0470140740044</v>
      </c>
      <c r="E40" s="1603">
        <v>3495.4589823415035</v>
      </c>
      <c r="F40" s="1411">
        <f>F41*F$2*24</f>
        <v>4165.3756616511509</v>
      </c>
      <c r="G40" s="1603">
        <v>2535.0232895016829</v>
      </c>
      <c r="H40" s="947">
        <f t="shared" si="43"/>
        <v>9160.4226757251563</v>
      </c>
      <c r="I40" s="947">
        <f t="shared" si="43"/>
        <v>6030.482271843186</v>
      </c>
      <c r="J40" s="1411">
        <f>J41*J$2*24</f>
        <v>4073.4736041520041</v>
      </c>
      <c r="K40" s="1603">
        <v>3986.1204598488594</v>
      </c>
      <c r="L40" s="946">
        <f t="shared" si="44"/>
        <v>13233.896279877161</v>
      </c>
      <c r="M40" s="946">
        <f t="shared" si="45"/>
        <v>10016.602731692044</v>
      </c>
      <c r="N40" s="1411">
        <f>N41*N$2*24</f>
        <v>5058.8678873373001</v>
      </c>
      <c r="O40" s="1494">
        <v>6569.8904269185587</v>
      </c>
      <c r="P40" s="947">
        <f t="shared" si="46"/>
        <v>18292.76416721446</v>
      </c>
      <c r="Q40" s="947">
        <f t="shared" si="47"/>
        <v>16586.493158610603</v>
      </c>
      <c r="R40" s="2567">
        <f>R41*R$2*24</f>
        <v>5058.8678873373001</v>
      </c>
      <c r="S40" s="2568">
        <v>6478.1595816689851</v>
      </c>
      <c r="T40" s="2565">
        <f t="shared" ref="T40" si="228">+P40+R40</f>
        <v>23351.632054551759</v>
      </c>
      <c r="U40" s="2565">
        <f t="shared" ref="U40" si="229">+Q40+S40</f>
        <v>23064.652740279587</v>
      </c>
      <c r="V40" s="3288">
        <f>V41*V$2*24</f>
        <v>4909.9525163896087</v>
      </c>
      <c r="W40" s="2941">
        <v>5752.3</v>
      </c>
      <c r="X40" s="946">
        <f t="shared" si="68"/>
        <v>15027.688291064209</v>
      </c>
      <c r="Y40" s="946">
        <f t="shared" si="69"/>
        <v>18800.350008587542</v>
      </c>
      <c r="Z40" s="558">
        <f t="shared" si="50"/>
        <v>28261.58457094137</v>
      </c>
      <c r="AA40" s="558">
        <f t="shared" si="51"/>
        <v>28816.952740279587</v>
      </c>
      <c r="AB40" s="3616">
        <f>AB41*AB$2*24</f>
        <v>5207.7832582849924</v>
      </c>
      <c r="AC40" s="2941">
        <v>5509.0925204753212</v>
      </c>
      <c r="AD40" s="3615">
        <f t="shared" ref="AD40" si="230">+Z40+AB40</f>
        <v>33469.367829226365</v>
      </c>
      <c r="AE40" s="3615">
        <f t="shared" ref="AE40" si="231">+AA40+AC40</f>
        <v>34326.045260754909</v>
      </c>
      <c r="AF40" s="3616">
        <f>AF41*AF$2*24</f>
        <v>5037.5942629162037</v>
      </c>
      <c r="AG40" s="2941">
        <v>5627.5717101421233</v>
      </c>
      <c r="AH40" s="3615">
        <f t="shared" ref="AH40" si="232">+AD40+AF40</f>
        <v>38506.962092142567</v>
      </c>
      <c r="AI40" s="3615">
        <f t="shared" ref="AI40" si="233">+AE40+AG40</f>
        <v>39953.616970897034</v>
      </c>
      <c r="AJ40" s="3616">
        <f>AJ41*AJ$2*24</f>
        <v>5229.0568827060924</v>
      </c>
      <c r="AK40" s="2941">
        <v>6452.0215624618786</v>
      </c>
      <c r="AL40" s="4328">
        <f t="shared" ref="AL40" si="234">+AJ40+AF40+AB40</f>
        <v>15474.434403907289</v>
      </c>
      <c r="AM40" s="4328">
        <f t="shared" ref="AM40" si="235">+AK40+AG40+AC40</f>
        <v>17588.685793079323</v>
      </c>
      <c r="AN40" s="3615">
        <f t="shared" ref="AN40" si="236">+AH40+AJ40</f>
        <v>43736.018974848659</v>
      </c>
      <c r="AO40" s="3615">
        <f t="shared" ref="AO40" si="237">+AI40+AK40</f>
        <v>46405.638533358913</v>
      </c>
      <c r="AP40" s="3616">
        <f>AP41*AP$2*24</f>
        <v>5229.0568827060924</v>
      </c>
      <c r="AQ40" s="2941">
        <v>6560.8203531344334</v>
      </c>
      <c r="AR40" s="3615">
        <f t="shared" ref="AR40" si="238">+AN40+AP40</f>
        <v>48965.075857554752</v>
      </c>
      <c r="AS40" s="3615">
        <f t="shared" ref="AS40" si="239">+AO40+AQ40</f>
        <v>52966.458886493347</v>
      </c>
      <c r="AT40" s="3616">
        <f>AT41*AT$2*24</f>
        <v>4867.4052675474122</v>
      </c>
      <c r="AU40" s="2941">
        <v>6948.1700873474756</v>
      </c>
      <c r="AV40" s="3615">
        <f t="shared" ref="AV40" si="240">+AR40+AT40</f>
        <v>53832.48112510216</v>
      </c>
      <c r="AW40" s="3615">
        <f t="shared" ref="AW40" si="241">+AS40+AU40</f>
        <v>59914.628973840823</v>
      </c>
      <c r="AX40" s="3616">
        <f>AX41*AX$2*24</f>
        <v>5250.3305071271916</v>
      </c>
      <c r="AY40" s="2941">
        <v>7585.9241332630918</v>
      </c>
      <c r="AZ40" s="5166">
        <f t="shared" ref="AZ40" si="242">+AX40+AT40+AP40</f>
        <v>15346.792657380696</v>
      </c>
      <c r="BA40" s="5166">
        <f t="shared" ref="BA40" si="243">+AY40+AU40+AQ40</f>
        <v>21094.914573745002</v>
      </c>
      <c r="BB40" s="5175">
        <f t="shared" si="62"/>
        <v>30821.227061287987</v>
      </c>
      <c r="BC40" s="5175">
        <f t="shared" si="63"/>
        <v>38683.600366824321</v>
      </c>
      <c r="BD40" s="3615">
        <f t="shared" ref="BD40" si="244">+AV40+AX40</f>
        <v>59082.81163222935</v>
      </c>
      <c r="BE40" s="3615">
        <f t="shared" ref="BE40" si="245">+AW40+AY40</f>
        <v>67500.553107103915</v>
      </c>
      <c r="BF40" s="26"/>
      <c r="BG40" s="26"/>
      <c r="BH40" s="26"/>
      <c r="BI40" s="26"/>
    </row>
    <row r="41" spans="2:61" ht="15" hidden="1" customHeight="1" x14ac:dyDescent="0.25">
      <c r="B41" s="1253"/>
      <c r="C41" s="193"/>
      <c r="D41" s="1415">
        <v>6.9375652973250066</v>
      </c>
      <c r="E41" s="1615"/>
      <c r="F41" s="1415">
        <v>5.5986232011440205</v>
      </c>
      <c r="G41" s="1603"/>
      <c r="H41" s="947"/>
      <c r="I41" s="947"/>
      <c r="J41" s="1415">
        <v>5.6576022279888942</v>
      </c>
      <c r="K41" s="1603"/>
      <c r="L41" s="946"/>
      <c r="M41" s="946"/>
      <c r="N41" s="1415">
        <v>6.7995536120124997</v>
      </c>
      <c r="O41" s="1494"/>
      <c r="P41" s="947"/>
      <c r="Q41" s="947"/>
      <c r="R41" s="1415">
        <v>6.7995536120124997</v>
      </c>
      <c r="S41" s="2568"/>
      <c r="T41" s="2565"/>
      <c r="U41" s="2565"/>
      <c r="V41" s="1415">
        <v>6.8193784949855685</v>
      </c>
      <c r="W41" s="2941"/>
      <c r="X41" s="946"/>
      <c r="Y41" s="946"/>
      <c r="Z41" s="558"/>
      <c r="AA41" s="558"/>
      <c r="AB41" s="1415">
        <v>6.9997086804905813</v>
      </c>
      <c r="AC41" s="2941"/>
      <c r="AD41" s="3615"/>
      <c r="AE41" s="3615"/>
      <c r="AF41" s="1415">
        <v>6.996658698494727</v>
      </c>
      <c r="AG41" s="2941"/>
      <c r="AH41" s="3615"/>
      <c r="AI41" s="3615"/>
      <c r="AJ41" s="1415">
        <v>7.0283022617017368</v>
      </c>
      <c r="AK41" s="2941"/>
      <c r="AL41" s="4328"/>
      <c r="AM41" s="4328"/>
      <c r="AN41" s="3615"/>
      <c r="AO41" s="3615"/>
      <c r="AP41" s="1415">
        <v>7.0283022617017368</v>
      </c>
      <c r="AQ41" s="2941"/>
      <c r="AR41" s="3615"/>
      <c r="AS41" s="3615"/>
      <c r="AT41" s="1415">
        <v>6.9933983729129476</v>
      </c>
      <c r="AU41" s="2941"/>
      <c r="AV41" s="3615"/>
      <c r="AW41" s="3615"/>
      <c r="AX41" s="1415">
        <v>7.0568958429128914</v>
      </c>
      <c r="AY41" s="2941"/>
      <c r="AZ41" s="5166"/>
      <c r="BA41" s="5166"/>
      <c r="BB41" s="5175">
        <f t="shared" si="62"/>
        <v>0</v>
      </c>
      <c r="BC41" s="5175">
        <f t="shared" si="63"/>
        <v>0</v>
      </c>
      <c r="BD41" s="3615"/>
      <c r="BE41" s="3615"/>
      <c r="BF41" s="26"/>
      <c r="BG41" s="26"/>
      <c r="BH41" s="26"/>
      <c r="BI41" s="26"/>
    </row>
    <row r="42" spans="2:61" x14ac:dyDescent="0.25">
      <c r="B42" s="1253" t="s">
        <v>62</v>
      </c>
      <c r="C42" s="193" t="s">
        <v>333</v>
      </c>
      <c r="D42" s="1411">
        <f>D43*D$2*24</f>
        <v>1385.2197952008519</v>
      </c>
      <c r="E42" s="1603">
        <v>1054.4599999999996</v>
      </c>
      <c r="F42" s="1411">
        <f>F43*F$2*24</f>
        <v>1125.7211594028176</v>
      </c>
      <c r="G42" s="1603">
        <v>842.54000000000008</v>
      </c>
      <c r="H42" s="947">
        <f t="shared" si="43"/>
        <v>2510.9409546036695</v>
      </c>
      <c r="I42" s="947">
        <f t="shared" si="43"/>
        <v>1896.9999999999995</v>
      </c>
      <c r="J42" s="1411">
        <f>J43*J$2*24</f>
        <v>1148.1348717073952</v>
      </c>
      <c r="K42" s="1603">
        <v>901.23</v>
      </c>
      <c r="L42" s="946">
        <f t="shared" si="44"/>
        <v>3659.0758263110647</v>
      </c>
      <c r="M42" s="946">
        <f t="shared" si="45"/>
        <v>2798.2299999999996</v>
      </c>
      <c r="N42" s="1411">
        <f>N43*N$2*24</f>
        <v>1416.7569137488119</v>
      </c>
      <c r="O42" s="1494">
        <v>1047.1000000000001</v>
      </c>
      <c r="P42" s="947">
        <f t="shared" si="46"/>
        <v>5075.8327400598764</v>
      </c>
      <c r="Q42" s="947">
        <f t="shared" si="47"/>
        <v>3845.33</v>
      </c>
      <c r="R42" s="2567">
        <f>R43*R$2*24</f>
        <v>1416.7569137488119</v>
      </c>
      <c r="S42" s="2568">
        <v>1106.5500000000002</v>
      </c>
      <c r="T42" s="2565">
        <f t="shared" ref="T42" si="246">+P42+R42</f>
        <v>6492.5896538086881</v>
      </c>
      <c r="U42" s="2565">
        <f t="shared" ref="U42" si="247">+Q42+S42</f>
        <v>4951.88</v>
      </c>
      <c r="V42" s="3288">
        <f>V43*V$2*24</f>
        <v>1377.4109349672801</v>
      </c>
      <c r="W42" s="2941">
        <v>1046.52</v>
      </c>
      <c r="X42" s="946">
        <f t="shared" si="68"/>
        <v>4210.9247624649042</v>
      </c>
      <c r="Y42" s="946">
        <f t="shared" si="69"/>
        <v>3200.17</v>
      </c>
      <c r="Z42" s="558">
        <f t="shared" si="50"/>
        <v>7870.0005887759689</v>
      </c>
      <c r="AA42" s="558">
        <f t="shared" si="51"/>
        <v>5998.4</v>
      </c>
      <c r="AB42" s="3616">
        <f>AB43*AB$2*24</f>
        <v>1441.4283363173256</v>
      </c>
      <c r="AC42" s="2941">
        <v>1094.9099999999842</v>
      </c>
      <c r="AD42" s="3615">
        <f t="shared" ref="AD42" si="248">+Z42+AB42</f>
        <v>9311.4289250932943</v>
      </c>
      <c r="AE42" s="3615">
        <f t="shared" ref="AE42" si="249">+AA42+AC42</f>
        <v>7093.309999999984</v>
      </c>
      <c r="AF42" s="3616">
        <f>AF43*AF$2*24</f>
        <v>1411.1360596371644</v>
      </c>
      <c r="AG42" s="2941">
        <v>1020.2499999999994</v>
      </c>
      <c r="AH42" s="3615">
        <f t="shared" ref="AH42" si="250">+AD42+AF42</f>
        <v>10722.564984730459</v>
      </c>
      <c r="AI42" s="3615">
        <f t="shared" ref="AI42" si="251">+AE42+AG42</f>
        <v>8113.5599999999831</v>
      </c>
      <c r="AJ42" s="3616">
        <f>AJ43*AJ$2*24</f>
        <v>1461.7237466419911</v>
      </c>
      <c r="AK42" s="2941">
        <v>1096.8700000000006</v>
      </c>
      <c r="AL42" s="4328">
        <f t="shared" ref="AL42" si="252">+AJ42+AF42+AB42</f>
        <v>4314.2881425964806</v>
      </c>
      <c r="AM42" s="4328">
        <f t="shared" ref="AM42" si="253">+AK42+AG42+AC42</f>
        <v>3212.0299999999843</v>
      </c>
      <c r="AN42" s="3615">
        <f t="shared" ref="AN42" si="254">+AH42+AJ42</f>
        <v>12184.28873137245</v>
      </c>
      <c r="AO42" s="3615">
        <f t="shared" ref="AO42" si="255">+AI42+AK42</f>
        <v>9210.4299999999839</v>
      </c>
      <c r="AP42" s="3616">
        <f>AP43*AP$2*24</f>
        <v>1476.3983028550088</v>
      </c>
      <c r="AQ42" s="2941">
        <v>1063</v>
      </c>
      <c r="AR42" s="3615">
        <f t="shared" ref="AR42" si="256">+AN42+AP42</f>
        <v>13660.687034227458</v>
      </c>
      <c r="AS42" s="3615">
        <f t="shared" ref="AS42" si="257">+AO42+AQ42</f>
        <v>10273.429999999984</v>
      </c>
      <c r="AT42" s="3616">
        <f>AT43*AT$2*24</f>
        <v>1366.1692267439853</v>
      </c>
      <c r="AU42" s="2941">
        <v>1038.7499999999995</v>
      </c>
      <c r="AV42" s="3615">
        <f t="shared" ref="AV42" si="258">+AR42+AT42</f>
        <v>15026.856260971443</v>
      </c>
      <c r="AW42" s="3615">
        <f t="shared" ref="AW42" si="259">+AS42+AU42</f>
        <v>11312.179999999984</v>
      </c>
      <c r="AX42" s="3616">
        <f>AX43*AX$2*24</f>
        <v>1482.0191569666558</v>
      </c>
      <c r="AY42" s="2941">
        <v>1051.0899999999992</v>
      </c>
      <c r="AZ42" s="5166">
        <f t="shared" ref="AZ42" si="260">+AX42+AT42+AP42</f>
        <v>4324.5866865656499</v>
      </c>
      <c r="BA42" s="5166">
        <f t="shared" ref="BA42" si="261">+AY42+AU42+AQ42</f>
        <v>3152.8399999999988</v>
      </c>
      <c r="BB42" s="5175">
        <f t="shared" si="62"/>
        <v>8638.8748291621305</v>
      </c>
      <c r="BC42" s="5175">
        <f t="shared" si="63"/>
        <v>6364.8699999999826</v>
      </c>
      <c r="BD42" s="3615">
        <f t="shared" ref="BD42" si="262">+AV42+AX42</f>
        <v>16508.875417938099</v>
      </c>
      <c r="BE42" s="3615">
        <f t="shared" ref="BE42" si="263">+AW42+AY42</f>
        <v>12363.269999999982</v>
      </c>
      <c r="BF42" s="26"/>
      <c r="BG42" s="26"/>
      <c r="BH42" s="26"/>
      <c r="BI42" s="26"/>
    </row>
    <row r="43" spans="2:61" ht="15" hidden="1" customHeight="1" x14ac:dyDescent="0.25">
      <c r="B43" s="1253"/>
      <c r="C43" s="193"/>
      <c r="D43" s="1415">
        <v>1.9239163822234056</v>
      </c>
      <c r="E43" s="1615"/>
      <c r="F43" s="1415">
        <v>1.5130660744661526</v>
      </c>
      <c r="G43" s="1603"/>
      <c r="H43" s="947"/>
      <c r="I43" s="947"/>
      <c r="J43" s="1415">
        <v>1.5946317662602709</v>
      </c>
      <c r="K43" s="1603"/>
      <c r="L43" s="946"/>
      <c r="M43" s="946"/>
      <c r="N43" s="1415">
        <v>1.9042431636408763</v>
      </c>
      <c r="O43" s="1494"/>
      <c r="P43" s="947"/>
      <c r="Q43" s="947"/>
      <c r="R43" s="1415">
        <v>1.9042431636408763</v>
      </c>
      <c r="S43" s="2568"/>
      <c r="T43" s="2565"/>
      <c r="U43" s="2565"/>
      <c r="V43" s="1415">
        <v>1.9130707430101113</v>
      </c>
      <c r="W43" s="2941"/>
      <c r="X43" s="946"/>
      <c r="Y43" s="946"/>
      <c r="Z43" s="558"/>
      <c r="AA43" s="558"/>
      <c r="AB43" s="1415">
        <v>1.9374036778458676</v>
      </c>
      <c r="AC43" s="2941"/>
      <c r="AD43" s="3615"/>
      <c r="AE43" s="3615"/>
      <c r="AF43" s="1415">
        <v>1.9599111939405061</v>
      </c>
      <c r="AG43" s="2941"/>
      <c r="AH43" s="3615"/>
      <c r="AI43" s="3615"/>
      <c r="AJ43" s="1415">
        <v>1.9646824551639663</v>
      </c>
      <c r="AK43" s="2941"/>
      <c r="AL43" s="4328"/>
      <c r="AM43" s="4328"/>
      <c r="AN43" s="3615"/>
      <c r="AO43" s="3615"/>
      <c r="AP43" s="1415">
        <v>1.9844063210416785</v>
      </c>
      <c r="AQ43" s="2941"/>
      <c r="AR43" s="3615"/>
      <c r="AS43" s="3615"/>
      <c r="AT43" s="1415">
        <v>1.9628868200344618</v>
      </c>
      <c r="AU43" s="2941"/>
      <c r="AV43" s="3615"/>
      <c r="AW43" s="3615"/>
      <c r="AX43" s="1415">
        <v>1.9919612324820641</v>
      </c>
      <c r="AY43" s="2941"/>
      <c r="AZ43" s="5166"/>
      <c r="BA43" s="5166"/>
      <c r="BB43" s="5164"/>
      <c r="BC43" s="5164"/>
      <c r="BD43" s="3615"/>
      <c r="BE43" s="3615"/>
      <c r="BF43" s="26"/>
      <c r="BG43" s="26"/>
      <c r="BH43" s="26"/>
      <c r="BI43" s="26"/>
    </row>
    <row r="44" spans="2:61" ht="15.75" x14ac:dyDescent="0.25">
      <c r="B44" s="365" t="s">
        <v>63</v>
      </c>
      <c r="C44" s="973" t="s">
        <v>333</v>
      </c>
      <c r="D44" s="1416">
        <f>D20+D22+D24+D26+D28+D30+D32+D34+D36+D38+D40+D42</f>
        <v>46572.241520000003</v>
      </c>
      <c r="E44" s="1416">
        <f t="shared" ref="E44:I44" si="264">E20+E22+E24+E26+E28+E30+E32+E34+E36+E38+E40+E42</f>
        <v>47036.171082341498</v>
      </c>
      <c r="F44" s="1416">
        <f t="shared" si="264"/>
        <v>48124.649570666668</v>
      </c>
      <c r="G44" s="1416">
        <f t="shared" si="264"/>
        <v>45647.343869501696</v>
      </c>
      <c r="H44" s="452">
        <f t="shared" si="264"/>
        <v>94696.891090666672</v>
      </c>
      <c r="I44" s="452">
        <f t="shared" si="264"/>
        <v>92683.514951843201</v>
      </c>
      <c r="J44" s="1416">
        <f t="shared" ref="J44:K44" si="265">J20+J22+J24+J26+J28+J30+J32+J34+J36+J38+J40+J42</f>
        <v>46572.241519999989</v>
      </c>
      <c r="K44" s="1416">
        <f t="shared" si="265"/>
        <v>45086.318579848863</v>
      </c>
      <c r="L44" s="969">
        <f t="shared" ref="L44:Q44" si="266">SUM(L20:L42)</f>
        <v>141269.13261066668</v>
      </c>
      <c r="M44" s="969">
        <f t="shared" si="266"/>
        <v>137769.83353169207</v>
      </c>
      <c r="N44" s="1416">
        <f t="shared" ref="N44" si="267">N20+N22+N24+N26+N28+N30+N32+N34+N36+N38+N40+N42</f>
        <v>48124.649570666668</v>
      </c>
      <c r="O44" s="236">
        <f t="shared" si="266"/>
        <v>47369.745806918552</v>
      </c>
      <c r="P44" s="311">
        <f t="shared" si="266"/>
        <v>189393.78218133334</v>
      </c>
      <c r="Q44" s="311">
        <f t="shared" si="266"/>
        <v>185139.57933861061</v>
      </c>
      <c r="R44" s="1416">
        <f t="shared" ref="R44" si="268">R20+R22+R24+R26+R28+R30+R32+R34+R36+R38+R40+R42</f>
        <v>47459.575570666653</v>
      </c>
      <c r="S44" s="236">
        <f t="shared" ref="S44:U44" si="269">SUM(S20:S42)</f>
        <v>47874.263501668996</v>
      </c>
      <c r="T44" s="311">
        <f t="shared" si="269"/>
        <v>236853.35775199995</v>
      </c>
      <c r="U44" s="311">
        <f t="shared" si="269"/>
        <v>233013.84284027957</v>
      </c>
      <c r="V44" s="1416">
        <f t="shared" ref="V44" si="270">V20+V22+V24+V26+V28+V30+V32+V34+V36+V38+V40+V42</f>
        <v>45928.621519999986</v>
      </c>
      <c r="W44" s="236">
        <f t="shared" ref="W44" si="271">SUM(W20:W42)</f>
        <v>45814.74</v>
      </c>
      <c r="X44" s="969">
        <f t="shared" ref="X44:AA44" si="272">SUM(X20:X42)</f>
        <v>141512.84666133331</v>
      </c>
      <c r="Y44" s="969">
        <f t="shared" si="272"/>
        <v>141058.74930858755</v>
      </c>
      <c r="Z44" s="625">
        <f t="shared" si="272"/>
        <v>282781.97927200003</v>
      </c>
      <c r="AA44" s="625">
        <f t="shared" si="272"/>
        <v>278828.58284027962</v>
      </c>
      <c r="AB44" s="1416">
        <f t="shared" ref="AB44" si="273">AB20+AB22+AB24+AB26+AB28+AB30+AB32+AB34+AB36+AB38+AB40+AB42</f>
        <v>48124.649570666661</v>
      </c>
      <c r="AC44" s="236">
        <f t="shared" ref="AC44:AE44" si="274">SUM(AC20:AC42)</f>
        <v>47763.936190555294</v>
      </c>
      <c r="AD44" s="311">
        <f t="shared" si="274"/>
        <v>330906.62884266669</v>
      </c>
      <c r="AE44" s="311">
        <f t="shared" si="274"/>
        <v>326592.51903083484</v>
      </c>
      <c r="AF44" s="1416">
        <f t="shared" ref="AF44" si="275">AF20+AF22+AF24+AF26+AF28+AF30+AF32+AF34+AF36+AF38+AF40+AF42</f>
        <v>46572.241520000003</v>
      </c>
      <c r="AG44" s="236">
        <f t="shared" ref="AG44:AI44" si="276">SUM(AG20:AG42)</f>
        <v>46418.193260142136</v>
      </c>
      <c r="AH44" s="311">
        <f t="shared" si="276"/>
        <v>377478.87036266667</v>
      </c>
      <c r="AI44" s="311">
        <f t="shared" si="276"/>
        <v>373010.71229097701</v>
      </c>
      <c r="AJ44" s="1416">
        <f t="shared" ref="AJ44" si="277">AJ20+AJ22+AJ24+AJ26+AJ28+AJ30+AJ32+AJ34+AJ36+AJ38+AJ40+AJ42</f>
        <v>48124.649570666668</v>
      </c>
      <c r="AK44" s="236">
        <f t="shared" ref="AK44:AO44" si="278">SUM(AK20:AK42)</f>
        <v>48171.822762461881</v>
      </c>
      <c r="AL44" s="969">
        <f t="shared" ref="AL44:AM44" si="279">SUM(AL20:AL42)</f>
        <v>142821.5406613333</v>
      </c>
      <c r="AM44" s="969">
        <f t="shared" si="279"/>
        <v>142353.9522131593</v>
      </c>
      <c r="AN44" s="311">
        <f t="shared" si="278"/>
        <v>425603.51993333333</v>
      </c>
      <c r="AO44" s="311">
        <f t="shared" si="278"/>
        <v>421182.53505343891</v>
      </c>
      <c r="AP44" s="1416">
        <f t="shared" ref="AP44" si="280">AP20+AP22+AP24+AP26+AP28+AP30+AP32+AP34+AP36+AP38+AP40+AP42</f>
        <v>48124.649570666668</v>
      </c>
      <c r="AQ44" s="236">
        <f t="shared" ref="AQ44:AS44" si="281">SUM(AQ20:AQ42)</f>
        <v>47712.781262234748</v>
      </c>
      <c r="AR44" s="311">
        <f t="shared" si="281"/>
        <v>473728.16950400005</v>
      </c>
      <c r="AS44" s="311">
        <f t="shared" si="281"/>
        <v>468895.3163156737</v>
      </c>
      <c r="AT44" s="1416">
        <f t="shared" ref="AT44" si="282">AT20+AT22+AT24+AT26+AT28+AT30+AT32+AT34+AT36+AT38+AT40+AT42</f>
        <v>45019.833469333338</v>
      </c>
      <c r="AU44" s="236">
        <f t="shared" ref="AU44:AW44" si="283">SUM(AU20:AU42)</f>
        <v>44985.930087347479</v>
      </c>
      <c r="AV44" s="311">
        <f t="shared" si="283"/>
        <v>518748.00297333335</v>
      </c>
      <c r="AW44" s="311">
        <f t="shared" si="283"/>
        <v>513881.2464030211</v>
      </c>
      <c r="AX44" s="1416">
        <f t="shared" ref="AX44" si="284">AX20+AX22+AX24+AX26+AX28+AX30+AX32+AX34+AX36+AX38+AX40+AX42</f>
        <v>48124.649570666661</v>
      </c>
      <c r="AY44" s="236">
        <f t="shared" ref="AY44:BE44" si="285">SUM(AY20:AY42)</f>
        <v>47907.91211326309</v>
      </c>
      <c r="AZ44" s="969">
        <f t="shared" ref="AZ44:BC44" si="286">SUM(AZ20:AZ42)</f>
        <v>141269.13261066665</v>
      </c>
      <c r="BA44" s="969">
        <f t="shared" si="286"/>
        <v>140606.62346284531</v>
      </c>
      <c r="BB44" s="625">
        <f t="shared" si="286"/>
        <v>284090.67327200004</v>
      </c>
      <c r="BC44" s="625">
        <f t="shared" si="286"/>
        <v>282960.57567600464</v>
      </c>
      <c r="BD44" s="311">
        <f t="shared" si="285"/>
        <v>566872.65254399995</v>
      </c>
      <c r="BE44" s="311">
        <f t="shared" si="285"/>
        <v>561789.15851628431</v>
      </c>
      <c r="BF44" s="26"/>
      <c r="BG44" s="26"/>
      <c r="BH44" s="26"/>
      <c r="BI44" s="26"/>
    </row>
    <row r="45" spans="2:61" ht="20.25" x14ac:dyDescent="0.25">
      <c r="B45" s="1254" t="s">
        <v>131</v>
      </c>
      <c r="C45" s="1254"/>
      <c r="D45" s="1246"/>
      <c r="E45" s="1254"/>
      <c r="F45" s="1246"/>
      <c r="G45" s="1254"/>
      <c r="H45" s="1254"/>
      <c r="I45" s="1254"/>
      <c r="J45" s="1246"/>
      <c r="K45" s="1254"/>
      <c r="L45" s="1254"/>
      <c r="M45" s="1254"/>
      <c r="N45" s="1246"/>
      <c r="O45" s="1254"/>
      <c r="P45" s="1254"/>
      <c r="Q45" s="1254"/>
      <c r="R45" s="1246"/>
      <c r="S45" s="1254"/>
      <c r="T45" s="1254"/>
      <c r="U45" s="1254"/>
      <c r="V45" s="1246"/>
      <c r="W45" s="1254"/>
      <c r="X45" s="1254"/>
      <c r="Y45" s="1254"/>
      <c r="Z45" s="1254"/>
      <c r="AA45" s="1254"/>
      <c r="AB45" s="1246"/>
      <c r="AC45" s="1254"/>
      <c r="AD45" s="1254"/>
      <c r="AE45" s="1254"/>
      <c r="AF45" s="1246"/>
      <c r="AG45" s="1254"/>
      <c r="AH45" s="1254"/>
      <c r="AI45" s="1254"/>
      <c r="AJ45" s="1246"/>
      <c r="AK45" s="1254"/>
      <c r="AL45" s="1254"/>
      <c r="AM45" s="1254"/>
      <c r="AN45" s="1254"/>
      <c r="AO45" s="1254"/>
      <c r="AP45" s="1246"/>
      <c r="AQ45" s="1254"/>
      <c r="AR45" s="1254"/>
      <c r="AS45" s="1254"/>
      <c r="AT45" s="1246"/>
      <c r="AU45" s="1254"/>
      <c r="AV45" s="1254"/>
      <c r="AW45" s="1254"/>
      <c r="AX45" s="1246"/>
      <c r="AY45" s="1254"/>
      <c r="AZ45" s="1254"/>
      <c r="BA45" s="1254"/>
      <c r="BB45" s="1254"/>
      <c r="BC45" s="1254"/>
      <c r="BD45" s="1254"/>
      <c r="BE45" s="1254"/>
      <c r="BF45" s="26"/>
      <c r="BG45" s="26"/>
      <c r="BH45" s="26"/>
      <c r="BI45" s="26"/>
    </row>
    <row r="46" spans="2:61" x14ac:dyDescent="0.25">
      <c r="B46" s="1249" t="s">
        <v>337</v>
      </c>
      <c r="C46" s="193" t="s">
        <v>336</v>
      </c>
      <c r="D46" s="242">
        <v>880</v>
      </c>
      <c r="E46" s="1494">
        <v>939.71641611686698</v>
      </c>
      <c r="F46" s="242">
        <v>880</v>
      </c>
      <c r="G46" s="1494">
        <v>945.06819947494535</v>
      </c>
      <c r="H46" s="712">
        <v>880</v>
      </c>
      <c r="I46" s="947">
        <f>+((E46*E50*E2)+(G2*G50*G46))/(I50*I2)</f>
        <v>942.17998223086909</v>
      </c>
      <c r="J46" s="242">
        <v>880</v>
      </c>
      <c r="K46" s="1494">
        <v>932.60131024615202</v>
      </c>
      <c r="L46" s="1158">
        <v>880</v>
      </c>
      <c r="M46" s="946">
        <f>+((I46*I50*I2)+(K2*K50*K46))/(M50*M2)</f>
        <v>938.93905898874948</v>
      </c>
      <c r="N46" s="242">
        <v>880</v>
      </c>
      <c r="O46" s="1494">
        <v>930.15168554578531</v>
      </c>
      <c r="P46" s="712">
        <v>880</v>
      </c>
      <c r="Q46" s="947">
        <f>+((M46*M50*M2)+(O2*O50*O46))/(Q50*Q2)</f>
        <v>936.52815482099459</v>
      </c>
      <c r="R46" s="242">
        <v>880</v>
      </c>
      <c r="S46" s="2568">
        <v>924.77948840622059</v>
      </c>
      <c r="T46" s="712">
        <v>880</v>
      </c>
      <c r="U46" s="2565">
        <f>+((Q46*Q50*Q2)+(S2*S50*S46))/(U50*U2)</f>
        <v>933.95512826536617</v>
      </c>
      <c r="V46" s="242">
        <v>880</v>
      </c>
      <c r="W46" s="2941">
        <v>928.48</v>
      </c>
      <c r="X46" s="1158">
        <v>880</v>
      </c>
      <c r="Y46" s="946">
        <f>+((O46*O50*O2)+(S46*S50*S2)+(W2*W50*W46))/(Y50*Y2)</f>
        <v>927.76655709791783</v>
      </c>
      <c r="Z46" s="558">
        <v>880</v>
      </c>
      <c r="AA46" s="558">
        <f>+((M46*M50*M2)+(Y2*Y50*Y46))/(AA50*AA2)</f>
        <v>933.04033311049739</v>
      </c>
      <c r="AB46" s="242">
        <v>880</v>
      </c>
      <c r="AC46" s="2941">
        <v>908.83828623625368</v>
      </c>
      <c r="AD46" s="712">
        <v>880</v>
      </c>
      <c r="AE46" s="3615">
        <f>+((AA46*AA50*AA2)+(AC2*AC50*AC46))/(AE50*AE2)</f>
        <v>929.36626048357277</v>
      </c>
      <c r="AF46" s="242">
        <v>880</v>
      </c>
      <c r="AG46" s="2941">
        <v>899.4127313660656</v>
      </c>
      <c r="AH46" s="712">
        <v>880</v>
      </c>
      <c r="AI46" s="3615">
        <f>+((AE46*AE50*AE2)+(AG2*AG50*AG46))/(AI50*AI2)</f>
        <v>925.65677536311387</v>
      </c>
      <c r="AJ46" s="242">
        <v>880</v>
      </c>
      <c r="AK46" s="2941">
        <v>901.00295414245579</v>
      </c>
      <c r="AL46" s="1158">
        <v>880</v>
      </c>
      <c r="AM46" s="4328">
        <f>+((AC46*AC50*AC2)+(AG46*AG50*AG2)+(AK2*AK50*AK46))/(AM50*AM2)</f>
        <v>903.18483078538122</v>
      </c>
      <c r="AN46" s="712">
        <v>880</v>
      </c>
      <c r="AO46" s="3615">
        <f>+((AI46*AI50*AI2)+(AK2*AK50*AK46))/(AO50*AO2)</f>
        <v>922.81014567409954</v>
      </c>
      <c r="AP46" s="242">
        <v>880</v>
      </c>
      <c r="AQ46" s="2941">
        <v>907.7460416129735</v>
      </c>
      <c r="AR46" s="712">
        <v>880</v>
      </c>
      <c r="AS46" s="3615">
        <f>+((AO46*AO50*AO2)+(AQ2*AQ50*AQ46))/(AS50*AS2)</f>
        <v>921.28362966854422</v>
      </c>
      <c r="AT46" s="242">
        <v>880</v>
      </c>
      <c r="AU46" s="2941">
        <v>916.737560957087</v>
      </c>
      <c r="AV46" s="712">
        <v>880</v>
      </c>
      <c r="AW46" s="3615">
        <f>+((AS46*AS50*AS2)+(AU2*AU50*AU46))/(AW50*AW2)</f>
        <v>920.86848530398447</v>
      </c>
      <c r="AX46" s="242">
        <v>880</v>
      </c>
      <c r="AY46" s="2941">
        <v>911.28634495185054</v>
      </c>
      <c r="AZ46" s="1158">
        <v>880</v>
      </c>
      <c r="BA46" s="5166">
        <f>+((AQ46*AQ50*AQ2)+(AU46*AU50*AU2)+(AY2*AY50*AY46))/(BA50*BA2)</f>
        <v>911.90744442233802</v>
      </c>
      <c r="BB46" s="5164">
        <v>880</v>
      </c>
      <c r="BC46" s="5164">
        <f>+((AM46*AM50*AM2)+(BA2*BA50*BA46))/(BC50*BC2)</f>
        <v>907.52109839610921</v>
      </c>
      <c r="BD46" s="712">
        <v>880</v>
      </c>
      <c r="BE46" s="3615">
        <f>+((AW46*AW50*AW2)+(AY2*AY50*AY46))/(BE50*BE2)</f>
        <v>920.05141837787221</v>
      </c>
      <c r="BF46" s="26"/>
      <c r="BG46" s="26"/>
      <c r="BH46" s="26"/>
      <c r="BI46" s="26"/>
    </row>
    <row r="47" spans="2:61" x14ac:dyDescent="0.25">
      <c r="B47" s="1249" t="s">
        <v>343</v>
      </c>
      <c r="C47" s="193" t="s">
        <v>333</v>
      </c>
      <c r="D47" s="1411">
        <f>D48*D$2*24</f>
        <v>365800</v>
      </c>
      <c r="E47" s="1494">
        <v>343523.50199999992</v>
      </c>
      <c r="F47" s="1411">
        <f>F48*F$2*24</f>
        <v>334900</v>
      </c>
      <c r="G47" s="1494">
        <v>293015.65200000012</v>
      </c>
      <c r="H47" s="947">
        <f>+D47+F47</f>
        <v>700700</v>
      </c>
      <c r="I47" s="947">
        <f>+E47+G47</f>
        <v>636539.1540000001</v>
      </c>
      <c r="J47" s="1411">
        <f>J48*J$2*24</f>
        <v>341700</v>
      </c>
      <c r="K47" s="1494">
        <v>325505.88900000008</v>
      </c>
      <c r="L47" s="946">
        <f>+H47+J47</f>
        <v>1042400</v>
      </c>
      <c r="M47" s="946">
        <f>+I47+K47</f>
        <v>962045.04300000018</v>
      </c>
      <c r="N47" s="1411">
        <f>N48*N$2*24</f>
        <v>370450</v>
      </c>
      <c r="O47" s="1494">
        <v>363743.36700000009</v>
      </c>
      <c r="P47" s="947">
        <f>+L47+N47</f>
        <v>1412850</v>
      </c>
      <c r="Q47" s="947">
        <f>+M47+O47</f>
        <v>1325788.4100000001</v>
      </c>
      <c r="R47" s="2567">
        <f>R48*R$2*24</f>
        <v>370450</v>
      </c>
      <c r="S47" s="2568">
        <v>371776.66499999992</v>
      </c>
      <c r="T47" s="2565">
        <f>+P47+R47</f>
        <v>1783300</v>
      </c>
      <c r="U47" s="2565">
        <f>+Q47+S47</f>
        <v>1697565.0750000002</v>
      </c>
      <c r="V47" s="3288">
        <f>V48*V$2*24</f>
        <v>359600</v>
      </c>
      <c r="W47" s="2941">
        <v>340528.7</v>
      </c>
      <c r="X47" s="946">
        <f>+V47+R47+N47</f>
        <v>1100500</v>
      </c>
      <c r="Y47" s="946">
        <f>+W47+S47+O47</f>
        <v>1076048.7320000001</v>
      </c>
      <c r="Z47" s="558">
        <f>+L47+X47</f>
        <v>2142900</v>
      </c>
      <c r="AA47" s="558">
        <f>+Y47+M47</f>
        <v>2038093.7750000004</v>
      </c>
      <c r="AB47" s="3616">
        <f>AB48*AB$2*24</f>
        <v>381300</v>
      </c>
      <c r="AC47" s="2941">
        <v>364775.62079999998</v>
      </c>
      <c r="AD47" s="3615">
        <f>+Z47+AB47</f>
        <v>2524200</v>
      </c>
      <c r="AE47" s="3615">
        <f>+AA47+AC47</f>
        <v>2402869.3958000005</v>
      </c>
      <c r="AF47" s="3616">
        <f>AF48*AF$2*24</f>
        <v>368900</v>
      </c>
      <c r="AG47" s="2941">
        <v>339635.47199999995</v>
      </c>
      <c r="AH47" s="3615">
        <f>+AD47+AF47</f>
        <v>2893100</v>
      </c>
      <c r="AI47" s="3615">
        <f>+AE47+AG47</f>
        <v>2742504.8678000006</v>
      </c>
      <c r="AJ47" s="3616">
        <f>AJ48*AJ$2*24</f>
        <v>382850</v>
      </c>
      <c r="AK47" s="2941">
        <v>357996.38699999993</v>
      </c>
      <c r="AL47" s="4328">
        <f>+AJ47+AF47+AB47</f>
        <v>1133050</v>
      </c>
      <c r="AM47" s="4328">
        <f>+AK47+AG47+AC47</f>
        <v>1062407.4797999999</v>
      </c>
      <c r="AN47" s="3615">
        <f>+AH47+AJ47</f>
        <v>3275950</v>
      </c>
      <c r="AO47" s="3615">
        <f>+AI47+AK47</f>
        <v>3100501.2548000007</v>
      </c>
      <c r="AP47" s="3616">
        <f>AP48*AP$2*24</f>
        <v>382850</v>
      </c>
      <c r="AQ47" s="2941">
        <v>349616.54700000002</v>
      </c>
      <c r="AR47" s="3615">
        <f>+AN47+AP47</f>
        <v>3658800</v>
      </c>
      <c r="AS47" s="3615">
        <f>+AO47+AQ47</f>
        <v>3450117.8018000005</v>
      </c>
      <c r="AT47" s="3616">
        <f>AT48*AT$2*24</f>
        <v>356500</v>
      </c>
      <c r="AU47" s="2941">
        <v>346725.53699999995</v>
      </c>
      <c r="AV47" s="3615">
        <f>+AR47+AT47</f>
        <v>4015300</v>
      </c>
      <c r="AW47" s="3615">
        <f>+AS47+AU47</f>
        <v>3796843.3388000005</v>
      </c>
      <c r="AX47" s="3616">
        <f>AX48*AX$2*24</f>
        <v>384400</v>
      </c>
      <c r="AY47" s="2941">
        <v>353936.01000000007</v>
      </c>
      <c r="AZ47" s="5166">
        <f>+AX47+AT47+AP47</f>
        <v>1123750</v>
      </c>
      <c r="BA47" s="5166">
        <f>+AY47+AU47+AQ47</f>
        <v>1050278.094</v>
      </c>
      <c r="BB47" s="5175">
        <f t="shared" ref="BB47" si="287">+AL47+AZ47</f>
        <v>2256800</v>
      </c>
      <c r="BC47" s="5175">
        <f t="shared" ref="BC47" si="288">+AM47+BA47</f>
        <v>2112685.5737999999</v>
      </c>
      <c r="BD47" s="3615">
        <f>+AV47+AX47</f>
        <v>4399700</v>
      </c>
      <c r="BE47" s="3615">
        <f>+AW47+AY47</f>
        <v>4150779.3488000007</v>
      </c>
      <c r="BF47" s="26"/>
      <c r="BG47" s="26"/>
      <c r="BH47" s="26"/>
      <c r="BI47" s="26"/>
    </row>
    <row r="48" spans="2:61" ht="15" hidden="1" customHeight="1" x14ac:dyDescent="0.25">
      <c r="B48" s="1249"/>
      <c r="C48" s="193"/>
      <c r="D48" s="1411">
        <v>508.05555555555554</v>
      </c>
      <c r="E48" s="1494"/>
      <c r="F48" s="1411">
        <v>450.13440860215053</v>
      </c>
      <c r="G48" s="1494"/>
      <c r="H48" s="947"/>
      <c r="I48" s="947"/>
      <c r="J48" s="1411">
        <v>474.58333333333331</v>
      </c>
      <c r="K48" s="1494"/>
      <c r="L48" s="946"/>
      <c r="M48" s="946"/>
      <c r="N48" s="1411">
        <v>497.91666666666663</v>
      </c>
      <c r="O48" s="1494"/>
      <c r="P48" s="947"/>
      <c r="Q48" s="947"/>
      <c r="R48" s="2567">
        <v>497.91666666666663</v>
      </c>
      <c r="S48" s="2568"/>
      <c r="T48" s="2565"/>
      <c r="U48" s="2565"/>
      <c r="V48" s="3288">
        <v>499.44444444444446</v>
      </c>
      <c r="W48" s="2941"/>
      <c r="X48" s="946"/>
      <c r="Y48" s="946"/>
      <c r="Z48" s="558"/>
      <c r="AA48" s="558"/>
      <c r="AB48" s="3616">
        <v>512.5</v>
      </c>
      <c r="AC48" s="2941"/>
      <c r="AD48" s="3615"/>
      <c r="AE48" s="3615"/>
      <c r="AF48" s="3616">
        <v>512.36111111111109</v>
      </c>
      <c r="AG48" s="2941"/>
      <c r="AH48" s="3615"/>
      <c r="AI48" s="3615"/>
      <c r="AJ48" s="3616">
        <v>514.58333333333337</v>
      </c>
      <c r="AK48" s="2941"/>
      <c r="AL48" s="4328"/>
      <c r="AM48" s="4328"/>
      <c r="AN48" s="3615"/>
      <c r="AO48" s="3615"/>
      <c r="AP48" s="3616">
        <v>514.58333333333337</v>
      </c>
      <c r="AQ48" s="2941"/>
      <c r="AR48" s="3615"/>
      <c r="AS48" s="3615"/>
      <c r="AT48" s="3616">
        <v>512.21264367816093</v>
      </c>
      <c r="AU48" s="2941"/>
      <c r="AV48" s="3615"/>
      <c r="AW48" s="3615"/>
      <c r="AX48" s="3616">
        <v>516.66666666666663</v>
      </c>
      <c r="AY48" s="2941"/>
      <c r="AZ48" s="5166"/>
      <c r="BA48" s="5166"/>
      <c r="BB48" s="5164"/>
      <c r="BC48" s="5164"/>
      <c r="BD48" s="3615"/>
      <c r="BE48" s="3615"/>
      <c r="BF48" s="26"/>
      <c r="BG48" s="26"/>
      <c r="BH48" s="26"/>
      <c r="BI48" s="26"/>
    </row>
    <row r="49" spans="2:61" ht="18.75" x14ac:dyDescent="0.25">
      <c r="B49" s="1255" t="s">
        <v>340</v>
      </c>
      <c r="C49" s="1252" t="s">
        <v>333</v>
      </c>
      <c r="D49" s="748">
        <f t="shared" ref="D49:E49" si="289">SUM(D47)</f>
        <v>365800</v>
      </c>
      <c r="E49" s="781">
        <f t="shared" si="289"/>
        <v>343523.50199999992</v>
      </c>
      <c r="F49" s="748">
        <f t="shared" ref="F49:G49" si="290">SUM(F47)</f>
        <v>334900</v>
      </c>
      <c r="G49" s="781">
        <f t="shared" si="290"/>
        <v>293015.65200000012</v>
      </c>
      <c r="H49" s="782">
        <f t="shared" ref="H49:K49" si="291">SUM(H47)</f>
        <v>700700</v>
      </c>
      <c r="I49" s="782">
        <f t="shared" si="291"/>
        <v>636539.1540000001</v>
      </c>
      <c r="J49" s="748">
        <f t="shared" si="291"/>
        <v>341700</v>
      </c>
      <c r="K49" s="781">
        <f t="shared" si="291"/>
        <v>325505.88900000008</v>
      </c>
      <c r="L49" s="783">
        <f t="shared" ref="L49:Q49" si="292">SUM(L47)</f>
        <v>1042400</v>
      </c>
      <c r="M49" s="783">
        <f t="shared" si="292"/>
        <v>962045.04300000018</v>
      </c>
      <c r="N49" s="748">
        <f t="shared" si="292"/>
        <v>370450</v>
      </c>
      <c r="O49" s="781">
        <f t="shared" si="292"/>
        <v>363743.36700000009</v>
      </c>
      <c r="P49" s="782">
        <f t="shared" si="292"/>
        <v>1412850</v>
      </c>
      <c r="Q49" s="782">
        <f t="shared" si="292"/>
        <v>1325788.4100000001</v>
      </c>
      <c r="R49" s="748">
        <f t="shared" ref="R49:U49" si="293">SUM(R47)</f>
        <v>370450</v>
      </c>
      <c r="S49" s="2571">
        <f t="shared" si="293"/>
        <v>371776.66499999992</v>
      </c>
      <c r="T49" s="2572">
        <f t="shared" si="293"/>
        <v>1783300</v>
      </c>
      <c r="U49" s="2572">
        <f t="shared" si="293"/>
        <v>1697565.0750000002</v>
      </c>
      <c r="V49" s="748">
        <f t="shared" ref="V49:W49" si="294">SUM(V47)</f>
        <v>359600</v>
      </c>
      <c r="W49" s="3289">
        <f t="shared" si="294"/>
        <v>340528.7</v>
      </c>
      <c r="X49" s="783">
        <f t="shared" ref="X49:AE49" si="295">SUM(X47)</f>
        <v>1100500</v>
      </c>
      <c r="Y49" s="783">
        <f t="shared" si="295"/>
        <v>1076048.7320000001</v>
      </c>
      <c r="Z49" s="784">
        <f t="shared" si="295"/>
        <v>2142900</v>
      </c>
      <c r="AA49" s="784">
        <f t="shared" si="295"/>
        <v>2038093.7750000004</v>
      </c>
      <c r="AB49" s="748">
        <f t="shared" si="295"/>
        <v>381300</v>
      </c>
      <c r="AC49" s="4112">
        <f t="shared" si="295"/>
        <v>364775.62079999998</v>
      </c>
      <c r="AD49" s="4113">
        <f t="shared" si="295"/>
        <v>2524200</v>
      </c>
      <c r="AE49" s="4113">
        <f t="shared" si="295"/>
        <v>2402869.3958000005</v>
      </c>
      <c r="AF49" s="748">
        <f t="shared" ref="AF49:AI49" si="296">SUM(AF47)</f>
        <v>368900</v>
      </c>
      <c r="AG49" s="4196">
        <f t="shared" si="296"/>
        <v>339635.47199999995</v>
      </c>
      <c r="AH49" s="4197">
        <f t="shared" si="296"/>
        <v>2893100</v>
      </c>
      <c r="AI49" s="4197">
        <f t="shared" si="296"/>
        <v>2742504.8678000006</v>
      </c>
      <c r="AJ49" s="748">
        <f t="shared" ref="AJ49:AO49" si="297">SUM(AJ47)</f>
        <v>382850</v>
      </c>
      <c r="AK49" s="4329">
        <f t="shared" si="297"/>
        <v>357996.38699999993</v>
      </c>
      <c r="AL49" s="4331">
        <f t="shared" si="297"/>
        <v>1133050</v>
      </c>
      <c r="AM49" s="4331">
        <f t="shared" si="297"/>
        <v>1062407.4797999999</v>
      </c>
      <c r="AN49" s="4330">
        <f t="shared" si="297"/>
        <v>3275950</v>
      </c>
      <c r="AO49" s="4330">
        <f t="shared" si="297"/>
        <v>3100501.2548000007</v>
      </c>
      <c r="AP49" s="748">
        <f t="shared" ref="AP49:AS49" si="298">SUM(AP47)</f>
        <v>382850</v>
      </c>
      <c r="AQ49" s="4452">
        <f t="shared" si="298"/>
        <v>349616.54700000002</v>
      </c>
      <c r="AR49" s="4453">
        <f t="shared" si="298"/>
        <v>3658800</v>
      </c>
      <c r="AS49" s="4453">
        <f t="shared" si="298"/>
        <v>3450117.8018000005</v>
      </c>
      <c r="AT49" s="748">
        <f t="shared" ref="AT49:AW49" si="299">SUM(AT47)</f>
        <v>356500</v>
      </c>
      <c r="AU49" s="4685">
        <f t="shared" si="299"/>
        <v>346725.53699999995</v>
      </c>
      <c r="AV49" s="4686">
        <f t="shared" si="299"/>
        <v>4015300</v>
      </c>
      <c r="AW49" s="4686">
        <f t="shared" si="299"/>
        <v>3796843.3388000005</v>
      </c>
      <c r="AX49" s="748">
        <f t="shared" ref="AX49:BE49" si="300">SUM(AX47)</f>
        <v>384400</v>
      </c>
      <c r="AY49" s="5167">
        <f t="shared" si="300"/>
        <v>353936.01000000007</v>
      </c>
      <c r="AZ49" s="5169">
        <f t="shared" si="300"/>
        <v>1123750</v>
      </c>
      <c r="BA49" s="5169">
        <f t="shared" si="300"/>
        <v>1050278.094</v>
      </c>
      <c r="BB49" s="784">
        <f t="shared" si="300"/>
        <v>2256800</v>
      </c>
      <c r="BC49" s="784">
        <f t="shared" si="300"/>
        <v>2112685.5737999999</v>
      </c>
      <c r="BD49" s="5168">
        <f t="shared" si="300"/>
        <v>4399700</v>
      </c>
      <c r="BE49" s="5168">
        <f t="shared" si="300"/>
        <v>4150779.3488000007</v>
      </c>
      <c r="BF49" s="26"/>
      <c r="BG49" s="26"/>
      <c r="BH49" s="26"/>
      <c r="BI49" s="26"/>
    </row>
    <row r="50" spans="2:61" ht="15.75" hidden="1" x14ac:dyDescent="0.25">
      <c r="B50" s="1256" t="s">
        <v>341</v>
      </c>
      <c r="C50" s="973" t="s">
        <v>335</v>
      </c>
      <c r="D50" s="982">
        <f t="shared" ref="D50:E50" si="301">+D49/(D2*24)</f>
        <v>508.05555555555554</v>
      </c>
      <c r="E50" s="986">
        <f t="shared" si="301"/>
        <v>477.11597499999988</v>
      </c>
      <c r="F50" s="982">
        <v>450.13440860215053</v>
      </c>
      <c r="G50" s="986">
        <f t="shared" ref="G50" si="302">+G49/(G2*24)</f>
        <v>393.83824193548401</v>
      </c>
      <c r="H50" s="983">
        <f t="shared" ref="H50:AE50" si="303">+H49/(H2*24)</f>
        <v>478.62021857923497</v>
      </c>
      <c r="I50" s="983">
        <f t="shared" si="303"/>
        <v>434.79450409836073</v>
      </c>
      <c r="J50" s="982">
        <v>450.13440860215053</v>
      </c>
      <c r="K50" s="986">
        <f t="shared" ref="K50" si="304">+K49/(K2*24)</f>
        <v>452.09151250000014</v>
      </c>
      <c r="L50" s="984">
        <f t="shared" ref="L50:Q50" si="305">+L49/(L2*24)</f>
        <v>477.28937728937728</v>
      </c>
      <c r="M50" s="984">
        <f t="shared" si="305"/>
        <v>440.49681456043965</v>
      </c>
      <c r="N50" s="982">
        <f t="shared" si="305"/>
        <v>497.91666666666669</v>
      </c>
      <c r="O50" s="986">
        <f t="shared" si="305"/>
        <v>488.90237500000012</v>
      </c>
      <c r="P50" s="983">
        <f t="shared" si="305"/>
        <v>482.53073770491801</v>
      </c>
      <c r="Q50" s="983">
        <f t="shared" si="305"/>
        <v>452.79658811475417</v>
      </c>
      <c r="R50" s="982">
        <f t="shared" ref="R50:U50" si="306">+R49/(R2*24)</f>
        <v>497.91666666666669</v>
      </c>
      <c r="S50" s="986">
        <f t="shared" si="306"/>
        <v>499.69981854838699</v>
      </c>
      <c r="T50" s="983">
        <f t="shared" si="306"/>
        <v>485.64814814814815</v>
      </c>
      <c r="U50" s="983">
        <f t="shared" si="306"/>
        <v>462.29985702614385</v>
      </c>
      <c r="V50" s="982">
        <f t="shared" ref="V50:W50" si="307">+V49/(V2*24)</f>
        <v>499.44444444444446</v>
      </c>
      <c r="W50" s="986">
        <f t="shared" si="307"/>
        <v>472.95652777777781</v>
      </c>
      <c r="X50" s="984">
        <f t="shared" si="303"/>
        <v>498.41485507246375</v>
      </c>
      <c r="Y50" s="984">
        <f t="shared" si="303"/>
        <v>487.34091123188409</v>
      </c>
      <c r="Z50" s="985">
        <f t="shared" si="303"/>
        <v>487.90983606557376</v>
      </c>
      <c r="AA50" s="985">
        <f t="shared" si="303"/>
        <v>464.04685223132975</v>
      </c>
      <c r="AB50" s="982">
        <f t="shared" si="303"/>
        <v>512.5</v>
      </c>
      <c r="AC50" s="986">
        <f t="shared" si="303"/>
        <v>490.28981290322577</v>
      </c>
      <c r="AD50" s="983">
        <f t="shared" si="303"/>
        <v>491.47196261682245</v>
      </c>
      <c r="AE50" s="983">
        <f t="shared" si="303"/>
        <v>467.84840260903439</v>
      </c>
      <c r="AF50" s="982">
        <f t="shared" ref="AF50:AI50" si="308">+AF49/(AF2*24)</f>
        <v>512.36111111111109</v>
      </c>
      <c r="AG50" s="986">
        <f t="shared" si="308"/>
        <v>471.71593333333328</v>
      </c>
      <c r="AH50" s="983">
        <f t="shared" si="308"/>
        <v>494.04030054644807</v>
      </c>
      <c r="AI50" s="983">
        <f t="shared" si="308"/>
        <v>468.32391868169407</v>
      </c>
      <c r="AJ50" s="982">
        <f t="shared" ref="AJ50:AO50" si="309">+AJ49/(AJ2*24)</f>
        <v>514.58333333333337</v>
      </c>
      <c r="AK50" s="986">
        <f t="shared" si="309"/>
        <v>481.17793951612896</v>
      </c>
      <c r="AL50" s="984">
        <f t="shared" si="309"/>
        <v>513.15670289855075</v>
      </c>
      <c r="AM50" s="984">
        <f t="shared" si="309"/>
        <v>481.16280788043474</v>
      </c>
      <c r="AN50" s="983">
        <f t="shared" si="309"/>
        <v>496.35606060606062</v>
      </c>
      <c r="AO50" s="983">
        <f t="shared" si="309"/>
        <v>469.77291739393951</v>
      </c>
      <c r="AP50" s="982">
        <f t="shared" ref="AP50:AS50" si="310">+AP49/(AP2*24)</f>
        <v>514.58333333333337</v>
      </c>
      <c r="AQ50" s="986">
        <f t="shared" si="310"/>
        <v>469.91471370967747</v>
      </c>
      <c r="AR50" s="983">
        <f t="shared" si="310"/>
        <v>498.20261437908499</v>
      </c>
      <c r="AS50" s="983">
        <f t="shared" si="310"/>
        <v>469.78728238017436</v>
      </c>
      <c r="AT50" s="982">
        <f t="shared" ref="AT50:AW50" si="311">+AT49/(AT2*24)</f>
        <v>512.21264367816093</v>
      </c>
      <c r="AU50" s="986">
        <f t="shared" si="311"/>
        <v>498.16887499999996</v>
      </c>
      <c r="AV50" s="983">
        <f t="shared" si="311"/>
        <v>499.41542288557213</v>
      </c>
      <c r="AW50" s="983">
        <f t="shared" si="311"/>
        <v>472.24419636815924</v>
      </c>
      <c r="AX50" s="982">
        <f t="shared" ref="AX50:BE50" si="312">+AX49/(AX2*24)</f>
        <v>516.66666666666663</v>
      </c>
      <c r="AY50" s="986">
        <f t="shared" si="312"/>
        <v>475.72044354838721</v>
      </c>
      <c r="AZ50" s="984">
        <f t="shared" si="312"/>
        <v>514.53754578754581</v>
      </c>
      <c r="BA50" s="984">
        <f t="shared" si="312"/>
        <v>480.89656318681318</v>
      </c>
      <c r="BB50" s="985">
        <f t="shared" si="312"/>
        <v>513.84335154826954</v>
      </c>
      <c r="BC50" s="985">
        <f t="shared" si="312"/>
        <v>481.03041297814207</v>
      </c>
      <c r="BD50" s="983">
        <f t="shared" si="312"/>
        <v>500.87659380692168</v>
      </c>
      <c r="BE50" s="983">
        <f t="shared" si="312"/>
        <v>472.53863260473599</v>
      </c>
      <c r="BF50" s="26"/>
      <c r="BG50" s="26"/>
      <c r="BH50" s="26"/>
      <c r="BI50" s="26"/>
    </row>
    <row r="51" spans="2:61" ht="15.75" x14ac:dyDescent="0.25">
      <c r="B51" s="971" t="s">
        <v>56</v>
      </c>
      <c r="C51" s="324" t="s">
        <v>333</v>
      </c>
      <c r="D51" s="1411">
        <f>D52*D$2*24</f>
        <v>3600</v>
      </c>
      <c r="E51" s="720">
        <v>3091.7115179999996</v>
      </c>
      <c r="F51" s="1411">
        <f>F52*F$2*24</f>
        <v>3720</v>
      </c>
      <c r="G51" s="720">
        <v>2637.1408679999995</v>
      </c>
      <c r="H51" s="947">
        <f>+D51+F51</f>
        <v>7320</v>
      </c>
      <c r="I51" s="947">
        <f>+E51+G51</f>
        <v>5728.8523859999987</v>
      </c>
      <c r="J51" s="1411">
        <f>J52*J$2*24</f>
        <v>3600</v>
      </c>
      <c r="K51" s="720">
        <v>2929.5530009999998</v>
      </c>
      <c r="L51" s="946">
        <f t="shared" ref="L51:L53" si="313">+H51+J51</f>
        <v>10920</v>
      </c>
      <c r="M51" s="946">
        <f>+I51+K51</f>
        <v>8658.4053869999989</v>
      </c>
      <c r="N51" s="1411">
        <f>N52*N$2*24</f>
        <v>3720</v>
      </c>
      <c r="O51" s="720">
        <v>3273.6903029999994</v>
      </c>
      <c r="P51" s="3211">
        <f t="shared" ref="P51:P53" si="314">+L51+N51</f>
        <v>14640</v>
      </c>
      <c r="Q51" s="947">
        <f>+M51+O51</f>
        <v>11932.095689999998</v>
      </c>
      <c r="R51" s="2567">
        <f>R52*R$2*24</f>
        <v>3720</v>
      </c>
      <c r="S51" s="720">
        <v>3345.9899849999988</v>
      </c>
      <c r="T51" s="3211">
        <f>+P51+R51</f>
        <v>18360</v>
      </c>
      <c r="U51" s="2565">
        <f>+Q51+S51</f>
        <v>15278.085674999997</v>
      </c>
      <c r="V51" s="3288">
        <f>V52*V$2*24</f>
        <v>3600</v>
      </c>
      <c r="W51" s="720">
        <v>3064.76</v>
      </c>
      <c r="X51" s="4150">
        <f t="shared" ref="X51:X53" si="315">+V51+R51+N51</f>
        <v>11040</v>
      </c>
      <c r="Y51" s="946">
        <f>+W51+S51+O51</f>
        <v>9684.440287999998</v>
      </c>
      <c r="Z51" s="4151">
        <f t="shared" ref="Z51:Z53" si="316">+L51+X51</f>
        <v>21960</v>
      </c>
      <c r="AA51" s="558">
        <f>+Y51+M51</f>
        <v>18342.845674999997</v>
      </c>
      <c r="AB51" s="3616">
        <f>AB52*AB$2*24</f>
        <v>3720</v>
      </c>
      <c r="AC51" s="720">
        <v>3282.9805871999997</v>
      </c>
      <c r="AD51" s="3615">
        <f>+Z51+AB51</f>
        <v>25680</v>
      </c>
      <c r="AE51" s="3615">
        <f>+AA51+AC51</f>
        <v>21625.826262199997</v>
      </c>
      <c r="AF51" s="3616">
        <f>AF52*AF$2*24</f>
        <v>3600</v>
      </c>
      <c r="AG51" s="720">
        <v>1801.4694866297953</v>
      </c>
      <c r="AH51" s="3615">
        <f>+AD51+AF51</f>
        <v>29280</v>
      </c>
      <c r="AI51" s="3615">
        <f>+AE51+AG51</f>
        <v>23427.295748829791</v>
      </c>
      <c r="AJ51" s="3616">
        <f>AJ52*AJ$2*24</f>
        <v>3720</v>
      </c>
      <c r="AK51" s="720">
        <v>3144.0656689365883</v>
      </c>
      <c r="AL51" s="4328">
        <f t="shared" ref="AL51:AL53" si="317">+AJ51+AF51+AB51</f>
        <v>11040</v>
      </c>
      <c r="AM51" s="4328">
        <f>+AK51+AG51+AC51</f>
        <v>8228.5157427663835</v>
      </c>
      <c r="AN51" s="3615">
        <f>+AH51+AJ51</f>
        <v>33000</v>
      </c>
      <c r="AO51" s="3615">
        <f>+AI51+AK51</f>
        <v>26571.36141776638</v>
      </c>
      <c r="AP51" s="3616">
        <f>AP52*AP$2*24</f>
        <v>3720</v>
      </c>
      <c r="AQ51" s="720">
        <v>4065.8217772598468</v>
      </c>
      <c r="AR51" s="3615">
        <f>+AN51+AP51</f>
        <v>36720</v>
      </c>
      <c r="AS51" s="3615">
        <f>+AO51+AQ51</f>
        <v>30637.183195026228</v>
      </c>
      <c r="AT51" s="3616">
        <f>AT52*AT$2*24</f>
        <v>3480</v>
      </c>
      <c r="AU51" s="720">
        <v>4301.5737368273767</v>
      </c>
      <c r="AV51" s="3615">
        <f>+AR51+AT51</f>
        <v>40200</v>
      </c>
      <c r="AW51" s="3615">
        <f>+AS51+AU51</f>
        <v>34938.756931853604</v>
      </c>
      <c r="AX51" s="3616">
        <f>AX52*AX$2*24</f>
        <v>3720</v>
      </c>
      <c r="AY51" s="720">
        <v>3973.1354120527822</v>
      </c>
      <c r="AZ51" s="5166">
        <f t="shared" ref="AZ51:AZ53" si="318">+AX51+AT51+AP51</f>
        <v>10920</v>
      </c>
      <c r="BA51" s="5166">
        <f>+AY51+AU51+AQ51</f>
        <v>12340.530926140007</v>
      </c>
      <c r="BB51" s="5175">
        <f t="shared" ref="BB51:BB53" si="319">+AL51+AZ51</f>
        <v>21960</v>
      </c>
      <c r="BC51" s="5175">
        <f t="shared" ref="BC51:BC53" si="320">+AM51+BA51</f>
        <v>20569.046668906391</v>
      </c>
      <c r="BD51" s="3615">
        <f>+AV51+AX51</f>
        <v>43920</v>
      </c>
      <c r="BE51" s="3615">
        <f>+AW51+AY51</f>
        <v>38911.892343906387</v>
      </c>
      <c r="BF51" s="26"/>
      <c r="BG51" s="26"/>
      <c r="BH51" s="26"/>
      <c r="BI51" s="26"/>
    </row>
    <row r="52" spans="2:61" ht="15.75" hidden="1" customHeight="1" x14ac:dyDescent="0.25">
      <c r="B52" s="971"/>
      <c r="C52" s="324"/>
      <c r="D52" s="1411">
        <v>5</v>
      </c>
      <c r="E52" s="720"/>
      <c r="F52" s="1411">
        <v>5</v>
      </c>
      <c r="G52" s="720"/>
      <c r="H52" s="947">
        <f t="shared" ref="H52:H53" si="321">+D52+F52</f>
        <v>10</v>
      </c>
      <c r="I52" s="947"/>
      <c r="J52" s="1411">
        <v>5</v>
      </c>
      <c r="K52" s="720"/>
      <c r="L52" s="946">
        <f t="shared" si="313"/>
        <v>15</v>
      </c>
      <c r="M52" s="946"/>
      <c r="N52" s="1411">
        <v>5</v>
      </c>
      <c r="O52" s="720"/>
      <c r="P52" s="3211">
        <f t="shared" si="314"/>
        <v>20</v>
      </c>
      <c r="Q52" s="947"/>
      <c r="R52" s="2567">
        <v>5</v>
      </c>
      <c r="S52" s="720"/>
      <c r="T52" s="3211">
        <f t="shared" ref="T52:T53" si="322">+P52+R52</f>
        <v>25</v>
      </c>
      <c r="U52" s="2565"/>
      <c r="V52" s="3288">
        <v>5</v>
      </c>
      <c r="W52" s="720"/>
      <c r="X52" s="4150">
        <f t="shared" si="315"/>
        <v>15</v>
      </c>
      <c r="Y52" s="946"/>
      <c r="Z52" s="4151">
        <f t="shared" si="316"/>
        <v>30</v>
      </c>
      <c r="AA52" s="558"/>
      <c r="AB52" s="3616">
        <v>5</v>
      </c>
      <c r="AC52" s="720"/>
      <c r="AD52" s="3615">
        <f t="shared" ref="AD52:AD53" si="323">+Z52+AB52</f>
        <v>35</v>
      </c>
      <c r="AE52" s="3615"/>
      <c r="AF52" s="3616">
        <v>5</v>
      </c>
      <c r="AG52" s="720"/>
      <c r="AH52" s="3615">
        <f t="shared" ref="AH52:AH53" si="324">+AD52+AF52</f>
        <v>40</v>
      </c>
      <c r="AI52" s="3615"/>
      <c r="AJ52" s="3616">
        <v>5</v>
      </c>
      <c r="AK52" s="720"/>
      <c r="AL52" s="4328">
        <f t="shared" si="317"/>
        <v>15</v>
      </c>
      <c r="AM52" s="4328"/>
      <c r="AN52" s="3615">
        <f t="shared" ref="AN52:AN53" si="325">+AH52+AJ52</f>
        <v>45</v>
      </c>
      <c r="AO52" s="3615"/>
      <c r="AP52" s="3616">
        <v>5</v>
      </c>
      <c r="AQ52" s="720"/>
      <c r="AR52" s="3615">
        <f t="shared" ref="AR52:AR53" si="326">+AN52+AP52</f>
        <v>50</v>
      </c>
      <c r="AS52" s="3615"/>
      <c r="AT52" s="3616">
        <v>5</v>
      </c>
      <c r="AU52" s="720"/>
      <c r="AV52" s="3615">
        <f t="shared" ref="AV52:AV53" si="327">+AR52+AT52</f>
        <v>55</v>
      </c>
      <c r="AW52" s="3615"/>
      <c r="AX52" s="3616">
        <v>5</v>
      </c>
      <c r="AY52" s="720"/>
      <c r="AZ52" s="5166">
        <f t="shared" si="318"/>
        <v>15</v>
      </c>
      <c r="BA52" s="5166"/>
      <c r="BB52" s="5175">
        <f t="shared" si="319"/>
        <v>30</v>
      </c>
      <c r="BC52" s="5175">
        <f t="shared" si="320"/>
        <v>0</v>
      </c>
      <c r="BD52" s="3615">
        <f t="shared" ref="BD52:BD53" si="328">+AV52+AX52</f>
        <v>60</v>
      </c>
      <c r="BE52" s="3615"/>
      <c r="BF52" s="26"/>
      <c r="BG52" s="26"/>
      <c r="BH52" s="26"/>
      <c r="BI52" s="26"/>
    </row>
    <row r="53" spans="2:61" ht="15" customHeight="1" x14ac:dyDescent="0.25">
      <c r="B53" s="1250" t="s">
        <v>482</v>
      </c>
      <c r="C53" s="193" t="s">
        <v>333</v>
      </c>
      <c r="D53" s="1411">
        <f>D54*D$2*24</f>
        <v>10800</v>
      </c>
      <c r="E53" s="1494">
        <v>12889.471830144996</v>
      </c>
      <c r="F53" s="1411">
        <f>F54*F$2*24</f>
        <v>11160</v>
      </c>
      <c r="G53" s="1494">
        <v>14792.991356436116</v>
      </c>
      <c r="H53" s="947">
        <f t="shared" si="321"/>
        <v>21960</v>
      </c>
      <c r="I53" s="947">
        <f>+E53+G53</f>
        <v>27682.46318658111</v>
      </c>
      <c r="J53" s="1411">
        <f>J54*J$2*24</f>
        <v>10800</v>
      </c>
      <c r="K53" s="1494">
        <v>12451.994656704175</v>
      </c>
      <c r="L53" s="946">
        <f t="shared" si="313"/>
        <v>32760</v>
      </c>
      <c r="M53" s="946">
        <f>+I53+K53</f>
        <v>40134.457843285287</v>
      </c>
      <c r="N53" s="1411">
        <f>N54*N$2*24</f>
        <v>11160</v>
      </c>
      <c r="O53" s="1494">
        <v>11637.707235410964</v>
      </c>
      <c r="P53" s="3211">
        <f t="shared" si="314"/>
        <v>43920</v>
      </c>
      <c r="Q53" s="947">
        <f>+M53+O53</f>
        <v>51772.165078696249</v>
      </c>
      <c r="R53" s="2567">
        <f>R54*R$2*24</f>
        <v>11160</v>
      </c>
      <c r="S53" s="2568">
        <v>11718.477670547747</v>
      </c>
      <c r="T53" s="3211">
        <f t="shared" si="322"/>
        <v>55080</v>
      </c>
      <c r="U53" s="2565">
        <f>+Q53+S53</f>
        <v>63490.642749243998</v>
      </c>
      <c r="V53" s="3288">
        <f>V54*V$2*24</f>
        <v>10800</v>
      </c>
      <c r="W53" s="2941">
        <v>10962.63</v>
      </c>
      <c r="X53" s="4150">
        <f t="shared" si="315"/>
        <v>33120</v>
      </c>
      <c r="Y53" s="946">
        <f>+W53+S53+O53</f>
        <v>34318.814905958709</v>
      </c>
      <c r="Z53" s="4151">
        <f t="shared" si="316"/>
        <v>65880</v>
      </c>
      <c r="AA53" s="558">
        <f>+Y53+M53</f>
        <v>74453.272749244003</v>
      </c>
      <c r="AB53" s="3616">
        <f>AB54*AB$2*24</f>
        <v>11160</v>
      </c>
      <c r="AC53" s="2941">
        <v>10591.08105942598</v>
      </c>
      <c r="AD53" s="3615">
        <f t="shared" si="323"/>
        <v>77040</v>
      </c>
      <c r="AE53" s="3615">
        <f>+AA53+AC53</f>
        <v>85044.353808669985</v>
      </c>
      <c r="AF53" s="3616">
        <f>AF54*AF$2*24</f>
        <v>10800</v>
      </c>
      <c r="AG53" s="2941">
        <v>5404.408459889386</v>
      </c>
      <c r="AH53" s="3615">
        <f t="shared" si="324"/>
        <v>87840</v>
      </c>
      <c r="AI53" s="3615">
        <f>+AE53+AG53</f>
        <v>90448.762268559367</v>
      </c>
      <c r="AJ53" s="3616">
        <f>AJ54*AJ$2*24</f>
        <v>11160</v>
      </c>
      <c r="AK53" s="2941">
        <v>10958.390992792742</v>
      </c>
      <c r="AL53" s="4328">
        <f t="shared" si="317"/>
        <v>33120</v>
      </c>
      <c r="AM53" s="4328">
        <f>+AK53+AG53+AC53</f>
        <v>26953.88051210811</v>
      </c>
      <c r="AN53" s="3615">
        <f t="shared" si="325"/>
        <v>99000</v>
      </c>
      <c r="AO53" s="3615">
        <f>+AI53+AK53</f>
        <v>101407.15326135211</v>
      </c>
      <c r="AP53" s="3616">
        <f>AP54*AP$2*24</f>
        <v>11160</v>
      </c>
      <c r="AQ53" s="2941">
        <v>11864.590248002791</v>
      </c>
      <c r="AR53" s="3615">
        <f t="shared" si="326"/>
        <v>110160</v>
      </c>
      <c r="AS53" s="3615">
        <f>+AO53+AQ53</f>
        <v>113271.7435093549</v>
      </c>
      <c r="AT53" s="3616">
        <f>AT54*AT$2*24</f>
        <v>10440</v>
      </c>
      <c r="AU53" s="2941">
        <v>11208.453062141771</v>
      </c>
      <c r="AV53" s="3615">
        <f t="shared" si="327"/>
        <v>120600</v>
      </c>
      <c r="AW53" s="3615">
        <f>+AS53+AU53</f>
        <v>124480.19657149666</v>
      </c>
      <c r="AX53" s="3616">
        <f>AX54*AX$2*24</f>
        <v>11160</v>
      </c>
      <c r="AY53" s="2941">
        <v>11903.438114606983</v>
      </c>
      <c r="AZ53" s="5166">
        <f t="shared" si="318"/>
        <v>32760</v>
      </c>
      <c r="BA53" s="5166">
        <f>+AY53+AU53+AQ53</f>
        <v>34976.481424751546</v>
      </c>
      <c r="BB53" s="5175">
        <f t="shared" si="319"/>
        <v>65880</v>
      </c>
      <c r="BC53" s="5175">
        <f t="shared" si="320"/>
        <v>61930.361936859656</v>
      </c>
      <c r="BD53" s="3615">
        <f t="shared" si="328"/>
        <v>131760</v>
      </c>
      <c r="BE53" s="3615">
        <f>+AW53+AY53</f>
        <v>136383.63468610364</v>
      </c>
      <c r="BF53" s="26"/>
      <c r="BG53" s="26"/>
      <c r="BH53" s="26"/>
      <c r="BI53" s="26"/>
    </row>
    <row r="54" spans="2:61" ht="15.75" hidden="1" customHeight="1" x14ac:dyDescent="0.25">
      <c r="B54" s="1250"/>
      <c r="C54" s="193"/>
      <c r="D54" s="1411">
        <v>15</v>
      </c>
      <c r="E54" s="1494"/>
      <c r="F54" s="1411">
        <v>15</v>
      </c>
      <c r="G54" s="1494"/>
      <c r="H54" s="709"/>
      <c r="I54" s="947"/>
      <c r="J54" s="1411">
        <v>15</v>
      </c>
      <c r="K54" s="1494"/>
      <c r="L54" s="696"/>
      <c r="M54" s="946"/>
      <c r="N54" s="1411">
        <v>15</v>
      </c>
      <c r="O54" s="1494"/>
      <c r="P54" s="709"/>
      <c r="Q54" s="947"/>
      <c r="R54" s="2567">
        <v>15</v>
      </c>
      <c r="S54" s="2568"/>
      <c r="T54" s="2578"/>
      <c r="U54" s="2565"/>
      <c r="V54" s="3288">
        <v>15</v>
      </c>
      <c r="W54" s="2941"/>
      <c r="X54" s="696"/>
      <c r="Y54" s="946"/>
      <c r="Z54" s="2181"/>
      <c r="AA54" s="558"/>
      <c r="AB54" s="3616">
        <v>15</v>
      </c>
      <c r="AC54" s="2941"/>
      <c r="AD54" s="4022"/>
      <c r="AE54" s="3615"/>
      <c r="AF54" s="3616">
        <v>15</v>
      </c>
      <c r="AG54" s="2941"/>
      <c r="AH54" s="4022"/>
      <c r="AI54" s="3615"/>
      <c r="AJ54" s="3616">
        <v>15</v>
      </c>
      <c r="AK54" s="2941"/>
      <c r="AL54" s="4110"/>
      <c r="AM54" s="4328"/>
      <c r="AN54" s="4022"/>
      <c r="AO54" s="3615"/>
      <c r="AP54" s="3616">
        <v>15</v>
      </c>
      <c r="AQ54" s="2941"/>
      <c r="AR54" s="4022"/>
      <c r="AS54" s="3615"/>
      <c r="AT54" s="3616">
        <v>15</v>
      </c>
      <c r="AU54" s="2941"/>
      <c r="AV54" s="4022"/>
      <c r="AW54" s="3615"/>
      <c r="AX54" s="3616">
        <v>15</v>
      </c>
      <c r="AY54" s="2941"/>
      <c r="AZ54" s="4110"/>
      <c r="BA54" s="5166"/>
      <c r="BB54" s="5165"/>
      <c r="BC54" s="5164"/>
      <c r="BD54" s="4022"/>
      <c r="BE54" s="3615"/>
      <c r="BF54" s="26"/>
      <c r="BG54" s="26"/>
      <c r="BH54" s="26"/>
      <c r="BI54" s="26"/>
    </row>
    <row r="55" spans="2:61" x14ac:dyDescent="0.25">
      <c r="B55" s="1250" t="s">
        <v>75</v>
      </c>
      <c r="C55" s="193" t="s">
        <v>51</v>
      </c>
      <c r="D55" s="1239">
        <f>+D53*100/D49</f>
        <v>2.9524330235101148</v>
      </c>
      <c r="E55" s="1239">
        <f>+E53/E49*100</f>
        <v>3.7521368276412712</v>
      </c>
      <c r="F55" s="1239">
        <f>+F53*100/F49</f>
        <v>3.3323380113466707</v>
      </c>
      <c r="G55" s="1239">
        <f>+G53/G49*100</f>
        <v>5.0485328191396786</v>
      </c>
      <c r="H55" s="1257">
        <f>+H53*100/H49</f>
        <v>3.1340088482945627</v>
      </c>
      <c r="I55" s="947">
        <f>+I53/I49*100</f>
        <v>4.3489018723553823</v>
      </c>
      <c r="J55" s="1239">
        <f>+J53*100/J49</f>
        <v>3.1606672519754171</v>
      </c>
      <c r="K55" s="1239">
        <f>+K53/K49*100</f>
        <v>3.8254283801004201</v>
      </c>
      <c r="L55" s="1267">
        <f>+L53*100/L49</f>
        <v>3.1427475057559477</v>
      </c>
      <c r="M55" s="946">
        <f>+M53/M49*100</f>
        <v>4.1717857324155752</v>
      </c>
      <c r="N55" s="1239">
        <f>+N53*100/N49</f>
        <v>3.01255230125523</v>
      </c>
      <c r="O55" s="1239">
        <f>+O53/O49*100</f>
        <v>3.1994280284459351</v>
      </c>
      <c r="P55" s="1257">
        <f>+P53*100/P49</f>
        <v>3.1086102558658033</v>
      </c>
      <c r="Q55" s="947">
        <f>+Q53/Q49*100</f>
        <v>3.9050096296056958</v>
      </c>
      <c r="R55" s="1239">
        <f>+R53*100/R49</f>
        <v>3.01255230125523</v>
      </c>
      <c r="S55" s="1239">
        <f>+S53/S49*100</f>
        <v>3.1520207623971639</v>
      </c>
      <c r="T55" s="1257">
        <f>+T53*100/T49</f>
        <v>3.088655862726406</v>
      </c>
      <c r="U55" s="2565">
        <f>+U53/U49*100</f>
        <v>3.7401006703229913</v>
      </c>
      <c r="V55" s="1239">
        <f>+V53*100/V49</f>
        <v>3.0033370411568407</v>
      </c>
      <c r="W55" s="1239">
        <f>+W53/W49*100</f>
        <v>3.2192969344434106</v>
      </c>
      <c r="X55" s="946">
        <f>+X53/X49*100</f>
        <v>3.0095411176737845</v>
      </c>
      <c r="Y55" s="946">
        <f>+Y53/Y49*100</f>
        <v>3.1893364942842299</v>
      </c>
      <c r="Z55" s="588">
        <f>+Z53/Z49*100</f>
        <v>3.0743385132297356</v>
      </c>
      <c r="AA55" s="588">
        <f>+AA53/AA49*100</f>
        <v>3.653083762018948</v>
      </c>
      <c r="AB55" s="1239">
        <f>+AB53*100/AB49</f>
        <v>2.9268292682926829</v>
      </c>
      <c r="AC55" s="1239">
        <f>+AC53/AC49*100</f>
        <v>2.9034509039278378</v>
      </c>
      <c r="AD55" s="1257">
        <f>+AD53*100/AD49</f>
        <v>3.0520560969812216</v>
      </c>
      <c r="AE55" s="3313">
        <f>+AE53/AE49*100</f>
        <v>3.5392832401677703</v>
      </c>
      <c r="AF55" s="1239">
        <f>+AF53*100/AF49</f>
        <v>2.9276226619680128</v>
      </c>
      <c r="AG55" s="1239">
        <f>+AG53/AG49*100</f>
        <v>1.5912379316755778</v>
      </c>
      <c r="AH55" s="1257">
        <f>+AH53*100/AH49</f>
        <v>3.0361895544571569</v>
      </c>
      <c r="AI55" s="3313">
        <f>+AI53/AI49*100</f>
        <v>3.298034702892473</v>
      </c>
      <c r="AJ55" s="1239">
        <f>+AJ53*100/AJ49</f>
        <v>2.9149797570850202</v>
      </c>
      <c r="AK55" s="1239">
        <f>+AK53/AK49*100</f>
        <v>3.0610339631144781</v>
      </c>
      <c r="AL55" s="4328">
        <f>+AL53/AL49*100</f>
        <v>2.9230837121044968</v>
      </c>
      <c r="AM55" s="4328">
        <f>+AM53/AM49*100</f>
        <v>2.5370567343127353</v>
      </c>
      <c r="AN55" s="1257">
        <f>+AN53*100/AN49</f>
        <v>3.0220241456676691</v>
      </c>
      <c r="AO55" s="3313">
        <f>+AO53/AO49*100</f>
        <v>3.2706696410575531</v>
      </c>
      <c r="AP55" s="1239">
        <f>+AP53*100/AP49</f>
        <v>2.9149797570850202</v>
      </c>
      <c r="AQ55" s="1239">
        <f>+AQ53/AQ49*100</f>
        <v>3.3936008892630558</v>
      </c>
      <c r="AR55" s="1257">
        <f>+AR53*100/AR49</f>
        <v>3.0108232207281076</v>
      </c>
      <c r="AS55" s="3313">
        <f>+AS53/AS49*100</f>
        <v>3.2831268384592147</v>
      </c>
      <c r="AT55" s="1239">
        <f>+AT53*100/AT49</f>
        <v>2.9284712482468445</v>
      </c>
      <c r="AU55" s="1239">
        <f>+AU53/AU49*100</f>
        <v>3.2326586495824712</v>
      </c>
      <c r="AV55" s="1257">
        <f>+AV53*100/AV49</f>
        <v>3.0035115682514384</v>
      </c>
      <c r="AW55" s="3313">
        <f>+AW53/AW49*100</f>
        <v>3.2785181126498331</v>
      </c>
      <c r="AX55" s="1239">
        <f>+AX53*100/AX49</f>
        <v>2.903225806451613</v>
      </c>
      <c r="AY55" s="1239">
        <f>+AY53/AY49*100</f>
        <v>3.363161073835629</v>
      </c>
      <c r="AZ55" s="427">
        <f>+AZ53/AZ49*100</f>
        <v>2.9152391546162404</v>
      </c>
      <c r="BA55" s="427">
        <f>+BA53/BA49*100</f>
        <v>3.3302114577619237</v>
      </c>
      <c r="BB55" s="3401">
        <f>+BB53/BB49*100</f>
        <v>2.9191775965969518</v>
      </c>
      <c r="BC55" s="3401">
        <f>+BC53/BC49*100</f>
        <v>2.9313572594462358</v>
      </c>
      <c r="BD55" s="1257">
        <f>+BD53*100/BD49</f>
        <v>2.9947496420210471</v>
      </c>
      <c r="BE55" s="3313">
        <f>+BE53/BE49*100</f>
        <v>3.2857355986781722</v>
      </c>
      <c r="BF55" s="26"/>
      <c r="BG55" s="26"/>
      <c r="BH55" s="26"/>
      <c r="BI55" s="26"/>
    </row>
    <row r="56" spans="2:61" ht="18.75" x14ac:dyDescent="0.25">
      <c r="B56" s="706" t="s">
        <v>57</v>
      </c>
      <c r="C56" s="1252" t="s">
        <v>333</v>
      </c>
      <c r="D56" s="748">
        <f>+D49-D51-D53</f>
        <v>351400</v>
      </c>
      <c r="E56" s="748">
        <f>+E49-E51-E53</f>
        <v>327542.31865185493</v>
      </c>
      <c r="F56" s="748">
        <f>+F49-F51-F53</f>
        <v>320020</v>
      </c>
      <c r="G56" s="748">
        <f>+G49-G51-G53</f>
        <v>275585.51977556403</v>
      </c>
      <c r="H56" s="782">
        <f>+D56+F56</f>
        <v>671420</v>
      </c>
      <c r="I56" s="782">
        <f>+I49-I51-I53</f>
        <v>603127.83842741896</v>
      </c>
      <c r="J56" s="748">
        <f>+J49-J51-J53</f>
        <v>327300</v>
      </c>
      <c r="K56" s="748">
        <f>+K49-K51-K53</f>
        <v>310124.34134229587</v>
      </c>
      <c r="L56" s="783">
        <f>+H56+J56</f>
        <v>998720</v>
      </c>
      <c r="M56" s="783">
        <f>+M49-M51-M53</f>
        <v>913252.17976971494</v>
      </c>
      <c r="N56" s="748">
        <f>+N49-N51-N53</f>
        <v>355570</v>
      </c>
      <c r="O56" s="748">
        <f>+O49-O51-O53</f>
        <v>348831.96946158912</v>
      </c>
      <c r="P56" s="782">
        <f>+L56+N56</f>
        <v>1354290</v>
      </c>
      <c r="Q56" s="782">
        <f>+Q49-Q51-Q53</f>
        <v>1262084.1492313037</v>
      </c>
      <c r="R56" s="748">
        <f>+R49-R51-R53</f>
        <v>355570</v>
      </c>
      <c r="S56" s="748">
        <f>+S49-S51-S53</f>
        <v>356712.1973444522</v>
      </c>
      <c r="T56" s="2572">
        <f>+P56+R56</f>
        <v>1709860</v>
      </c>
      <c r="U56" s="2572">
        <f>+U49-U51-U53</f>
        <v>1618796.3465757561</v>
      </c>
      <c r="V56" s="748">
        <f>+V49-V51-V53</f>
        <v>345200</v>
      </c>
      <c r="W56" s="748">
        <f>+W49-W51-W53</f>
        <v>326501.31</v>
      </c>
      <c r="X56" s="783">
        <f>+V56+R56+N56</f>
        <v>1056340</v>
      </c>
      <c r="Y56" s="783">
        <f>+W56+S56+O56</f>
        <v>1032045.4768060413</v>
      </c>
      <c r="Z56" s="784">
        <f>+L56+X56</f>
        <v>2055060</v>
      </c>
      <c r="AA56" s="784">
        <f>+Y56+M56</f>
        <v>1945297.6565757561</v>
      </c>
      <c r="AB56" s="748">
        <f>+AB49-AB51-AB53</f>
        <v>366420</v>
      </c>
      <c r="AC56" s="748">
        <f>+AC49-AC51-AC53</f>
        <v>350901.55915337405</v>
      </c>
      <c r="AD56" s="4113">
        <f>+Z56+AB56</f>
        <v>2421480</v>
      </c>
      <c r="AE56" s="4113">
        <f>+AE49-AE51-AE53</f>
        <v>2296199.2157291309</v>
      </c>
      <c r="AF56" s="748">
        <f>+AF49-AF51-AF53</f>
        <v>354500</v>
      </c>
      <c r="AG56" s="748">
        <f>+AG49-AG51-AG53</f>
        <v>332429.59405348072</v>
      </c>
      <c r="AH56" s="4197">
        <f>+AD56+AF56</f>
        <v>2775980</v>
      </c>
      <c r="AI56" s="4197">
        <f>+AI49-AI51-AI53</f>
        <v>2628628.8097826112</v>
      </c>
      <c r="AJ56" s="748">
        <f>+AJ49-AJ51-AJ53</f>
        <v>367970</v>
      </c>
      <c r="AK56" s="748">
        <f>+AK49-AK51-AK53</f>
        <v>343893.93033827061</v>
      </c>
      <c r="AL56" s="4331">
        <f>+AJ56+AF56+AB56</f>
        <v>1088890</v>
      </c>
      <c r="AM56" s="4331">
        <f>+AK56+AG56+AC56</f>
        <v>1027225.0835451253</v>
      </c>
      <c r="AN56" s="4330">
        <f>+AH56+AJ56</f>
        <v>3143950</v>
      </c>
      <c r="AO56" s="4330">
        <f>+AO49-AO51-AO53</f>
        <v>2972522.7401208822</v>
      </c>
      <c r="AP56" s="748">
        <f>+AP49-AP51-AP53</f>
        <v>367970</v>
      </c>
      <c r="AQ56" s="748">
        <f>+AQ49-AQ51-AQ53</f>
        <v>333686.13497473736</v>
      </c>
      <c r="AR56" s="4453">
        <f>+AN56+AP56</f>
        <v>3511920</v>
      </c>
      <c r="AS56" s="4453">
        <f>+AS49-AS51-AS53</f>
        <v>3306208.8750956194</v>
      </c>
      <c r="AT56" s="748">
        <f>+AT49-AT51-AT53</f>
        <v>342580</v>
      </c>
      <c r="AU56" s="748">
        <f>+AU49-AU51-AU53</f>
        <v>331215.51020103082</v>
      </c>
      <c r="AV56" s="4686">
        <f>+AR56+AT56</f>
        <v>3854500</v>
      </c>
      <c r="AW56" s="4686">
        <f>+AW49-AW51-AW53</f>
        <v>3637424.3852966502</v>
      </c>
      <c r="AX56" s="748">
        <f>+AX49-AX51-AX53</f>
        <v>369520</v>
      </c>
      <c r="AY56" s="748">
        <f>+AY49-AY51-AY53</f>
        <v>338059.43647334026</v>
      </c>
      <c r="AZ56" s="5169">
        <f>+AX56+AT56+AP56</f>
        <v>1080070</v>
      </c>
      <c r="BA56" s="5169">
        <f>+AY56+AU56+AQ56</f>
        <v>1002961.0816491086</v>
      </c>
      <c r="BB56" s="784">
        <f>+AL56+AZ56</f>
        <v>2168960</v>
      </c>
      <c r="BC56" s="784">
        <f>+BA56+AM56</f>
        <v>2030186.1651942339</v>
      </c>
      <c r="BD56" s="5168">
        <f>+AV56+AX56</f>
        <v>4224020</v>
      </c>
      <c r="BE56" s="5168">
        <f>+BE49-BE51-BE53</f>
        <v>3975483.821769991</v>
      </c>
      <c r="BF56" s="26"/>
      <c r="BG56" s="26"/>
      <c r="BH56" s="26"/>
      <c r="BI56" s="26"/>
    </row>
    <row r="57" spans="2:61" ht="15.75" x14ac:dyDescent="0.25">
      <c r="B57" s="979" t="s">
        <v>344</v>
      </c>
      <c r="C57" s="979"/>
      <c r="D57" s="1416"/>
      <c r="E57" s="1416"/>
      <c r="F57" s="1416"/>
      <c r="G57" s="1416"/>
      <c r="H57" s="1416"/>
      <c r="I57" s="1416"/>
      <c r="J57" s="1416"/>
      <c r="K57" s="1416"/>
      <c r="L57" s="1416"/>
      <c r="M57" s="1416"/>
      <c r="N57" s="1416"/>
      <c r="O57" s="1416"/>
      <c r="P57" s="1416"/>
      <c r="Q57" s="1416"/>
      <c r="R57" s="1416"/>
      <c r="S57" s="1416"/>
      <c r="T57" s="1416"/>
      <c r="U57" s="1416"/>
      <c r="V57" s="1416"/>
      <c r="W57" s="1416"/>
      <c r="X57" s="1416"/>
      <c r="Y57" s="1416"/>
      <c r="Z57" s="1416"/>
      <c r="AA57" s="1416"/>
      <c r="AB57" s="1416"/>
      <c r="AC57" s="1416"/>
      <c r="AD57" s="1416"/>
      <c r="AE57" s="1416"/>
      <c r="AF57" s="1416"/>
      <c r="AG57" s="1416"/>
      <c r="AH57" s="1416"/>
      <c r="AI57" s="1416"/>
      <c r="AJ57" s="1416"/>
      <c r="AK57" s="1416"/>
      <c r="AL57" s="1416"/>
      <c r="AM57" s="1416"/>
      <c r="AN57" s="1416"/>
      <c r="AO57" s="1416"/>
      <c r="AP57" s="1416"/>
      <c r="AQ57" s="1416"/>
      <c r="AR57" s="1416"/>
      <c r="AS57" s="1416"/>
      <c r="AT57" s="1416"/>
      <c r="AU57" s="1416"/>
      <c r="AV57" s="1416"/>
      <c r="AW57" s="1416"/>
      <c r="AX57" s="1416"/>
      <c r="AY57" s="1416"/>
      <c r="AZ57" s="1416"/>
      <c r="BA57" s="1416"/>
      <c r="BB57" s="1416"/>
      <c r="BC57" s="1416"/>
      <c r="BD57" s="1416"/>
      <c r="BE57" s="1416"/>
      <c r="BF57" s="26"/>
      <c r="BG57" s="26"/>
      <c r="BH57" s="26"/>
      <c r="BI57" s="26"/>
    </row>
    <row r="58" spans="2:61" x14ac:dyDescent="0.25">
      <c r="B58" s="1253" t="s">
        <v>82</v>
      </c>
      <c r="C58" s="193" t="s">
        <v>333</v>
      </c>
      <c r="D58" s="1411">
        <f>D59*D$2*24</f>
        <v>169534.31818181818</v>
      </c>
      <c r="E58" s="1494">
        <v>147673.00000000009</v>
      </c>
      <c r="F58" s="1411">
        <f>F59*F$2*24</f>
        <v>137729.40909090909</v>
      </c>
      <c r="G58" s="1494">
        <v>126266.00000000006</v>
      </c>
      <c r="H58" s="947">
        <f t="shared" ref="H58:I72" si="329">+D58+F58</f>
        <v>307263.72727272729</v>
      </c>
      <c r="I58" s="947">
        <f t="shared" si="329"/>
        <v>273939.00000000012</v>
      </c>
      <c r="J58" s="1411">
        <f>J59*J$2*24</f>
        <v>141562.15909090909</v>
      </c>
      <c r="K58" s="1494">
        <v>136438</v>
      </c>
      <c r="L58" s="946">
        <f t="shared" ref="L58:L72" si="330">+H58+J58</f>
        <v>448825.88636363635</v>
      </c>
      <c r="M58" s="946">
        <f t="shared" ref="M58:M72" si="331">+I58+K58</f>
        <v>410377.00000000012</v>
      </c>
      <c r="N58" s="1411">
        <f>N59*N$2*24</f>
        <v>171296</v>
      </c>
      <c r="O58" s="1494">
        <v>150165.99999999997</v>
      </c>
      <c r="P58" s="947">
        <f t="shared" ref="P58:P72" si="332">+L58+N58</f>
        <v>620121.88636363635</v>
      </c>
      <c r="Q58" s="947">
        <f t="shared" ref="Q58:Q72" si="333">+M58+O58</f>
        <v>560543.00000000012</v>
      </c>
      <c r="R58" s="2567">
        <f>R59*R$2*24</f>
        <v>171296</v>
      </c>
      <c r="S58" s="2568">
        <v>152808</v>
      </c>
      <c r="T58" s="2565">
        <f t="shared" ref="T58" si="334">+P58+R58</f>
        <v>791417.88636363635</v>
      </c>
      <c r="U58" s="2565">
        <f t="shared" ref="U58" si="335">+Q58+S58</f>
        <v>713351.00000000012</v>
      </c>
      <c r="V58" s="3288">
        <f>V59*V$2*24</f>
        <v>166337.5</v>
      </c>
      <c r="W58" s="2941">
        <v>139707</v>
      </c>
      <c r="X58" s="946">
        <f t="shared" ref="X58:X72" si="336">+V58+R58+N58</f>
        <v>508929.5</v>
      </c>
      <c r="Y58" s="946">
        <f t="shared" ref="Y58:Y73" si="337">+W58+S58+O58</f>
        <v>442681</v>
      </c>
      <c r="Z58" s="558">
        <f t="shared" ref="Z58:Z72" si="338">+L58+X58</f>
        <v>957755.38636363635</v>
      </c>
      <c r="AA58" s="558">
        <f t="shared" ref="AA58:AA72" si="339">+Y58+M58</f>
        <v>853058.00000000012</v>
      </c>
      <c r="AB58" s="3616">
        <f>AB59*AB$2*24</f>
        <v>176890.43181818179</v>
      </c>
      <c r="AC58" s="2941">
        <v>150373.99999999997</v>
      </c>
      <c r="AD58" s="3615">
        <f t="shared" ref="AD58" si="340">+Z58+AB58</f>
        <v>1134645.8181818181</v>
      </c>
      <c r="AE58" s="3615">
        <f t="shared" ref="AE58" si="341">+AA58+AC58</f>
        <v>1003432.0000000001</v>
      </c>
      <c r="AF58" s="3616">
        <f>AF59*AF$2*24</f>
        <v>171132.72727272724</v>
      </c>
      <c r="AG58" s="2941">
        <v>140415.99999999988</v>
      </c>
      <c r="AH58" s="3615">
        <f t="shared" ref="AH58" si="342">+AD58+AF58</f>
        <v>1305778.5454545454</v>
      </c>
      <c r="AI58" s="3615">
        <f t="shared" ref="AI58" si="343">+AE58+AG58</f>
        <v>1143848</v>
      </c>
      <c r="AJ58" s="3616">
        <f>AJ59*AJ$2*24</f>
        <v>177689.63636363635</v>
      </c>
      <c r="AK58" s="2941">
        <v>146178.00000000003</v>
      </c>
      <c r="AL58" s="4328">
        <f t="shared" ref="AL58" si="344">+AJ58+AF58+AB58</f>
        <v>525712.79545454541</v>
      </c>
      <c r="AM58" s="4328">
        <f t="shared" ref="AM58:AM73" si="345">+AK58+AG58+AC58</f>
        <v>436967.99999999988</v>
      </c>
      <c r="AN58" s="3615">
        <f t="shared" ref="AN58" si="346">+AH58+AJ58</f>
        <v>1483468.1818181816</v>
      </c>
      <c r="AO58" s="3615">
        <f t="shared" ref="AO58" si="347">+AI58+AK58</f>
        <v>1290026</v>
      </c>
      <c r="AP58" s="3616">
        <f>AP59*AP$2*24</f>
        <v>177689.63636363635</v>
      </c>
      <c r="AQ58" s="2941">
        <v>142530</v>
      </c>
      <c r="AR58" s="3615">
        <f t="shared" ref="AR58" si="348">+AN58+AP58</f>
        <v>1661157.8181818179</v>
      </c>
      <c r="AS58" s="3615">
        <f t="shared" ref="AS58" si="349">+AO58+AQ58</f>
        <v>1432556</v>
      </c>
      <c r="AT58" s="3616">
        <f>AT59*AT$2*24</f>
        <v>165375.02272727271</v>
      </c>
      <c r="AU58" s="2941">
        <v>141584.99999999997</v>
      </c>
      <c r="AV58" s="3615">
        <f t="shared" ref="AV58" si="350">+AR58+AT58</f>
        <v>1826532.8409090906</v>
      </c>
      <c r="AW58" s="3615">
        <f t="shared" ref="AW58" si="351">+AS58+AU58</f>
        <v>1574141</v>
      </c>
      <c r="AX58" s="3616">
        <f>AX59*AX$2*24</f>
        <v>178488.84090909088</v>
      </c>
      <c r="AY58" s="2941">
        <v>143713</v>
      </c>
      <c r="AZ58" s="5166">
        <f t="shared" ref="AZ58" si="352">+AX58+AT58+AP58</f>
        <v>521553.49999999994</v>
      </c>
      <c r="BA58" s="5166">
        <f t="shared" ref="BA58:BA73" si="353">+AY58+AU58+AQ58</f>
        <v>427828</v>
      </c>
      <c r="BB58" s="5175">
        <f t="shared" ref="BB58:BB72" si="354">+AL58+AZ58</f>
        <v>1047266.2954545454</v>
      </c>
      <c r="BC58" s="5175">
        <f t="shared" ref="BC58:BC72" si="355">+AM58+BA58</f>
        <v>864795.99999999988</v>
      </c>
      <c r="BD58" s="3615">
        <f t="shared" ref="BD58" si="356">+AV58+AX58</f>
        <v>2005021.6818181814</v>
      </c>
      <c r="BE58" s="3615">
        <f t="shared" ref="BE58" si="357">+AW58+AY58</f>
        <v>1717854</v>
      </c>
      <c r="BF58" s="26"/>
      <c r="BG58" s="26"/>
      <c r="BH58" s="26"/>
      <c r="BI58" s="26"/>
    </row>
    <row r="59" spans="2:61" ht="15" hidden="1" customHeight="1" x14ac:dyDescent="0.25">
      <c r="B59" s="1253"/>
      <c r="C59" s="193"/>
      <c r="D59" s="1411">
        <v>235.4643308080808</v>
      </c>
      <c r="E59" s="1494"/>
      <c r="F59" s="1411">
        <v>185.12017350928642</v>
      </c>
      <c r="G59" s="1494"/>
      <c r="H59" s="947"/>
      <c r="I59" s="947"/>
      <c r="J59" s="1411">
        <v>196.61410984848484</v>
      </c>
      <c r="K59" s="1494"/>
      <c r="L59" s="946"/>
      <c r="M59" s="946"/>
      <c r="N59" s="1411">
        <v>230.23655913978496</v>
      </c>
      <c r="O59" s="1494"/>
      <c r="P59" s="947"/>
      <c r="Q59" s="947"/>
      <c r="R59" s="2567">
        <v>230.23655913978496</v>
      </c>
      <c r="S59" s="2568"/>
      <c r="T59" s="2565"/>
      <c r="U59" s="2565"/>
      <c r="V59" s="3288">
        <v>231.02430555555554</v>
      </c>
      <c r="W59" s="2941"/>
      <c r="X59" s="946"/>
      <c r="Y59" s="3419">
        <f t="shared" si="337"/>
        <v>0</v>
      </c>
      <c r="Z59" s="558"/>
      <c r="AA59" s="558"/>
      <c r="AB59" s="3616">
        <v>237.755956744868</v>
      </c>
      <c r="AC59" s="2941"/>
      <c r="AD59" s="3615"/>
      <c r="AE59" s="3615"/>
      <c r="AF59" s="3616">
        <v>237.68434343434339</v>
      </c>
      <c r="AG59" s="2941"/>
      <c r="AH59" s="3615"/>
      <c r="AI59" s="3615"/>
      <c r="AJ59" s="3616">
        <v>238.83015640273703</v>
      </c>
      <c r="AK59" s="2941"/>
      <c r="AL59" s="4328"/>
      <c r="AM59" s="4328">
        <f t="shared" si="345"/>
        <v>0</v>
      </c>
      <c r="AN59" s="3615"/>
      <c r="AO59" s="3615"/>
      <c r="AP59" s="3616">
        <v>238.83015640273703</v>
      </c>
      <c r="AQ59" s="2941"/>
      <c r="AR59" s="3615"/>
      <c r="AS59" s="3615"/>
      <c r="AT59" s="3616">
        <v>237.60779127481712</v>
      </c>
      <c r="AU59" s="2941"/>
      <c r="AV59" s="3615"/>
      <c r="AW59" s="3615"/>
      <c r="AX59" s="3616">
        <v>239.90435606060603</v>
      </c>
      <c r="AY59" s="2941"/>
      <c r="AZ59" s="5166"/>
      <c r="BA59" s="5166">
        <f t="shared" si="353"/>
        <v>0</v>
      </c>
      <c r="BB59" s="5175">
        <f t="shared" si="354"/>
        <v>0</v>
      </c>
      <c r="BC59" s="5175">
        <f t="shared" si="355"/>
        <v>0</v>
      </c>
      <c r="BD59" s="3615"/>
      <c r="BE59" s="3615"/>
      <c r="BF59" s="26"/>
      <c r="BG59" s="26"/>
      <c r="BH59" s="26"/>
      <c r="BI59" s="26"/>
    </row>
    <row r="60" spans="2:61" x14ac:dyDescent="0.25">
      <c r="B60" s="1253" t="s">
        <v>110</v>
      </c>
      <c r="C60" s="193" t="s">
        <v>333</v>
      </c>
      <c r="D60" s="1411">
        <f>D61*D$2*24</f>
        <v>37152</v>
      </c>
      <c r="E60" s="1494">
        <v>36857</v>
      </c>
      <c r="F60" s="1411">
        <f>F61*F$2*24</f>
        <v>37646.400000000001</v>
      </c>
      <c r="G60" s="1494">
        <v>28747</v>
      </c>
      <c r="H60" s="947">
        <f t="shared" si="329"/>
        <v>74798.399999999994</v>
      </c>
      <c r="I60" s="947">
        <f t="shared" si="329"/>
        <v>65604</v>
      </c>
      <c r="J60" s="1411">
        <f>J61*J$2*24</f>
        <v>37152</v>
      </c>
      <c r="K60" s="1494">
        <v>42421</v>
      </c>
      <c r="L60" s="946">
        <f t="shared" si="330"/>
        <v>111950.39999999999</v>
      </c>
      <c r="M60" s="946">
        <f t="shared" si="331"/>
        <v>108025</v>
      </c>
      <c r="N60" s="1411">
        <f>N61*N$2*24</f>
        <v>37646.400000000001</v>
      </c>
      <c r="O60" s="1494">
        <v>63427</v>
      </c>
      <c r="P60" s="947">
        <f t="shared" si="332"/>
        <v>149596.79999999999</v>
      </c>
      <c r="Q60" s="947">
        <f t="shared" si="333"/>
        <v>171452</v>
      </c>
      <c r="R60" s="2567">
        <f>R61*R$2*24</f>
        <v>36902.400000000001</v>
      </c>
      <c r="S60" s="2568">
        <v>66429</v>
      </c>
      <c r="T60" s="2565">
        <f t="shared" ref="T60" si="358">+P60+R60</f>
        <v>186499.19999999998</v>
      </c>
      <c r="U60" s="2565">
        <f t="shared" ref="U60" si="359">+Q60+S60</f>
        <v>237881</v>
      </c>
      <c r="V60" s="3288">
        <f>V61*V$2*24</f>
        <v>36432</v>
      </c>
      <c r="W60" s="2941">
        <v>61279</v>
      </c>
      <c r="X60" s="946">
        <f t="shared" si="336"/>
        <v>110980.79999999999</v>
      </c>
      <c r="Y60" s="3419">
        <f t="shared" si="337"/>
        <v>191135</v>
      </c>
      <c r="Z60" s="558">
        <f t="shared" si="338"/>
        <v>222931.19999999998</v>
      </c>
      <c r="AA60" s="558">
        <f t="shared" si="339"/>
        <v>299160</v>
      </c>
      <c r="AB60" s="3616">
        <f>AB61*AB$2*24</f>
        <v>37646.400000000001</v>
      </c>
      <c r="AC60" s="2941">
        <v>62568</v>
      </c>
      <c r="AD60" s="3615">
        <f t="shared" ref="AD60" si="360">+Z60+AB60</f>
        <v>260577.59999999998</v>
      </c>
      <c r="AE60" s="3615">
        <f t="shared" ref="AE60" si="361">+AA60+AC60</f>
        <v>361728</v>
      </c>
      <c r="AF60" s="3616">
        <f>AF61*AF$2*24</f>
        <v>37152</v>
      </c>
      <c r="AG60" s="2941">
        <v>62642.000000000007</v>
      </c>
      <c r="AH60" s="3615">
        <f t="shared" ref="AH60" si="362">+AD60+AF60</f>
        <v>297729.59999999998</v>
      </c>
      <c r="AI60" s="3615">
        <f t="shared" ref="AI60" si="363">+AE60+AG60</f>
        <v>424370</v>
      </c>
      <c r="AJ60" s="3616">
        <f>AJ61*AJ$2*24</f>
        <v>37646.400000000001</v>
      </c>
      <c r="AK60" s="2941">
        <v>65414.71428571429</v>
      </c>
      <c r="AL60" s="4328">
        <f t="shared" ref="AL60" si="364">+AJ60+AF60+AB60</f>
        <v>112444.79999999999</v>
      </c>
      <c r="AM60" s="4328">
        <f t="shared" si="345"/>
        <v>190624.71428571429</v>
      </c>
      <c r="AN60" s="3615">
        <f t="shared" ref="AN60" si="365">+AH60+AJ60</f>
        <v>335376</v>
      </c>
      <c r="AO60" s="3615">
        <f t="shared" ref="AO60" si="366">+AI60+AK60</f>
        <v>489784.71428571432</v>
      </c>
      <c r="AP60" s="3616">
        <f>AP61*AP$2*24</f>
        <v>37646.400000000001</v>
      </c>
      <c r="AQ60" s="2941">
        <v>62854</v>
      </c>
      <c r="AR60" s="3615">
        <f t="shared" ref="AR60" si="367">+AN60+AP60</f>
        <v>373022.4</v>
      </c>
      <c r="AS60" s="3615">
        <f t="shared" ref="AS60" si="368">+AO60+AQ60</f>
        <v>552638.71428571432</v>
      </c>
      <c r="AT60" s="3616">
        <f>AT61*AT$2*24</f>
        <v>36609.600000000006</v>
      </c>
      <c r="AU60" s="2941">
        <v>60533.420000000006</v>
      </c>
      <c r="AV60" s="3615">
        <f t="shared" ref="AV60" si="369">+AR60+AT60</f>
        <v>409632</v>
      </c>
      <c r="AW60" s="3615">
        <f t="shared" ref="AW60" si="370">+AS60+AU60</f>
        <v>613172.13428571436</v>
      </c>
      <c r="AX60" s="3616">
        <f>AX61*AX$2*24</f>
        <v>37646.400000000001</v>
      </c>
      <c r="AY60" s="2941">
        <v>62835</v>
      </c>
      <c r="AZ60" s="5166">
        <f t="shared" ref="AZ60" si="371">+AX60+AT60+AP60</f>
        <v>111902.39999999999</v>
      </c>
      <c r="BA60" s="5166">
        <f t="shared" si="353"/>
        <v>186222.42</v>
      </c>
      <c r="BB60" s="5175">
        <f t="shared" si="354"/>
        <v>224347.19999999998</v>
      </c>
      <c r="BC60" s="5175">
        <f t="shared" si="355"/>
        <v>376847.1342857143</v>
      </c>
      <c r="BD60" s="3615">
        <f t="shared" ref="BD60" si="372">+AV60+AX60</f>
        <v>447278.4</v>
      </c>
      <c r="BE60" s="3615">
        <f t="shared" ref="BE60" si="373">+AW60+AY60</f>
        <v>676007.13428571436</v>
      </c>
      <c r="BF60" s="26"/>
      <c r="BG60" s="26"/>
      <c r="BH60" s="26"/>
      <c r="BI60" s="26"/>
    </row>
    <row r="61" spans="2:61" ht="15" hidden="1" customHeight="1" x14ac:dyDescent="0.25">
      <c r="B61" s="1253"/>
      <c r="C61" s="193"/>
      <c r="D61" s="1411">
        <v>51.6</v>
      </c>
      <c r="E61" s="1494"/>
      <c r="F61" s="1411">
        <v>50.6</v>
      </c>
      <c r="G61" s="1494"/>
      <c r="H61" s="947"/>
      <c r="I61" s="947"/>
      <c r="J61" s="1411">
        <v>51.6</v>
      </c>
      <c r="K61" s="1494"/>
      <c r="L61" s="946"/>
      <c r="M61" s="946"/>
      <c r="N61" s="1411">
        <v>50.6</v>
      </c>
      <c r="O61" s="1494"/>
      <c r="P61" s="947"/>
      <c r="Q61" s="947"/>
      <c r="R61" s="2567">
        <v>49.6</v>
      </c>
      <c r="S61" s="2568"/>
      <c r="T61" s="2565"/>
      <c r="U61" s="2565"/>
      <c r="V61" s="3288">
        <v>50.6</v>
      </c>
      <c r="W61" s="2941"/>
      <c r="X61" s="946"/>
      <c r="Y61" s="3419">
        <f t="shared" si="337"/>
        <v>0</v>
      </c>
      <c r="Z61" s="558"/>
      <c r="AA61" s="558"/>
      <c r="AB61" s="3616">
        <v>50.6</v>
      </c>
      <c r="AC61" s="2941"/>
      <c r="AD61" s="3615"/>
      <c r="AE61" s="3615"/>
      <c r="AF61" s="3616">
        <v>51.6</v>
      </c>
      <c r="AG61" s="2941"/>
      <c r="AH61" s="3615"/>
      <c r="AI61" s="3615"/>
      <c r="AJ61" s="3616">
        <v>50.6</v>
      </c>
      <c r="AK61" s="2941"/>
      <c r="AL61" s="4328"/>
      <c r="AM61" s="4328">
        <f t="shared" si="345"/>
        <v>0</v>
      </c>
      <c r="AN61" s="3615"/>
      <c r="AO61" s="3615"/>
      <c r="AP61" s="3616">
        <v>50.6</v>
      </c>
      <c r="AQ61" s="2941"/>
      <c r="AR61" s="3615"/>
      <c r="AS61" s="3615"/>
      <c r="AT61" s="3616">
        <v>52.6</v>
      </c>
      <c r="AU61" s="2941"/>
      <c r="AV61" s="3615"/>
      <c r="AW61" s="3615"/>
      <c r="AX61" s="3616">
        <v>50.6</v>
      </c>
      <c r="AY61" s="2941"/>
      <c r="AZ61" s="5166"/>
      <c r="BA61" s="5166">
        <f t="shared" si="353"/>
        <v>0</v>
      </c>
      <c r="BB61" s="5175">
        <f t="shared" si="354"/>
        <v>0</v>
      </c>
      <c r="BC61" s="5175">
        <f t="shared" si="355"/>
        <v>0</v>
      </c>
      <c r="BD61" s="3615"/>
      <c r="BE61" s="3615"/>
      <c r="BF61" s="26"/>
      <c r="BG61" s="26"/>
      <c r="BH61" s="26"/>
      <c r="BI61" s="26"/>
    </row>
    <row r="62" spans="2:61" x14ac:dyDescent="0.25">
      <c r="B62" s="1253" t="s">
        <v>92</v>
      </c>
      <c r="C62" s="193" t="s">
        <v>333</v>
      </c>
      <c r="D62" s="1411">
        <f>D63*D$2*24</f>
        <v>127528.61875526371</v>
      </c>
      <c r="E62" s="1494">
        <v>128935.79999999999</v>
      </c>
      <c r="F62" s="1411">
        <f>F63*F$2*24</f>
        <v>130323.70436418793</v>
      </c>
      <c r="G62" s="1494">
        <v>111094.99999999999</v>
      </c>
      <c r="H62" s="947">
        <f t="shared" si="329"/>
        <v>257852.32311945164</v>
      </c>
      <c r="I62" s="947">
        <f t="shared" si="329"/>
        <v>240030.8</v>
      </c>
      <c r="J62" s="1411">
        <f>J63*J$2*24</f>
        <v>136130.13034654933</v>
      </c>
      <c r="K62" s="1494">
        <v>116590.99999999997</v>
      </c>
      <c r="L62" s="946">
        <f t="shared" si="330"/>
        <v>393982.45346600097</v>
      </c>
      <c r="M62" s="946">
        <f t="shared" si="331"/>
        <v>356621.79999999993</v>
      </c>
      <c r="N62" s="1411">
        <f>N63*N$2*24</f>
        <v>128976.17352840779</v>
      </c>
      <c r="O62" s="1494">
        <v>123842.83999999998</v>
      </c>
      <c r="P62" s="947">
        <f t="shared" si="332"/>
        <v>522958.62699440878</v>
      </c>
      <c r="Q62" s="947">
        <f t="shared" si="333"/>
        <v>480464.6399999999</v>
      </c>
      <c r="R62" s="2567">
        <f>R63*R$2*24</f>
        <v>129720.17352840779</v>
      </c>
      <c r="S62" s="2568">
        <v>127065.00000000009</v>
      </c>
      <c r="T62" s="2565">
        <f t="shared" ref="T62" si="374">+P62+R62</f>
        <v>652678.8005228166</v>
      </c>
      <c r="U62" s="2565">
        <f t="shared" ref="U62" si="375">+Q62+S62</f>
        <v>607529.64</v>
      </c>
      <c r="V62" s="3288">
        <f>V63*V$2*24</f>
        <v>125261.11613911104</v>
      </c>
      <c r="W62" s="2941">
        <v>116278</v>
      </c>
      <c r="X62" s="946">
        <f t="shared" si="336"/>
        <v>383957.46319592663</v>
      </c>
      <c r="Y62" s="3419">
        <f t="shared" si="337"/>
        <v>367185.84000000008</v>
      </c>
      <c r="Z62" s="558">
        <f t="shared" si="338"/>
        <v>777939.91666192759</v>
      </c>
      <c r="AA62" s="558">
        <f t="shared" si="339"/>
        <v>723807.64</v>
      </c>
      <c r="AB62" s="3616">
        <f>AB63*AB$2*24</f>
        <v>134073.74171287971</v>
      </c>
      <c r="AC62" s="2941">
        <v>128814.99999999999</v>
      </c>
      <c r="AD62" s="3615">
        <f t="shared" ref="AD62" si="376">+Z62+AB62</f>
        <v>912013.65837480733</v>
      </c>
      <c r="AE62" s="3615">
        <f t="shared" ref="AE62" si="377">+AA62+AC62</f>
        <v>852622.64</v>
      </c>
      <c r="AF62" s="3616">
        <f>AF63*AF$2*24</f>
        <v>128951.15475763357</v>
      </c>
      <c r="AG62" s="2941">
        <v>118706.00000000003</v>
      </c>
      <c r="AH62" s="3615">
        <f t="shared" ref="AH62" si="378">+AD62+AF62</f>
        <v>1040964.8131324409</v>
      </c>
      <c r="AI62" s="3615">
        <f t="shared" ref="AI62" si="379">+AE62+AG62</f>
        <v>971328.64</v>
      </c>
      <c r="AJ62" s="3616">
        <f>AJ63*AJ$2*24</f>
        <v>134808.74814930017</v>
      </c>
      <c r="AK62" s="2941">
        <v>122191.00000000006</v>
      </c>
      <c r="AL62" s="4328">
        <f t="shared" ref="AL62" si="380">+AJ62+AF62+AB62</f>
        <v>397833.64461981342</v>
      </c>
      <c r="AM62" s="4328">
        <f t="shared" si="345"/>
        <v>369712.00000000006</v>
      </c>
      <c r="AN62" s="3615">
        <f t="shared" ref="AN62" si="381">+AH62+AJ62</f>
        <v>1175773.5612817411</v>
      </c>
      <c r="AO62" s="3615">
        <f t="shared" ref="AO62" si="382">+AI62+AK62</f>
        <v>1093519.6400000001</v>
      </c>
      <c r="AP62" s="3616">
        <f>AP63*AP$2*24</f>
        <v>134808.74814930017</v>
      </c>
      <c r="AQ62" s="2941">
        <v>117242.99999999994</v>
      </c>
      <c r="AR62" s="3615">
        <f t="shared" ref="AR62" si="383">+AN62+AP62</f>
        <v>1310582.3094310414</v>
      </c>
      <c r="AS62" s="3615">
        <f t="shared" ref="AS62" si="384">+AO62+AQ62</f>
        <v>1210762.6400000001</v>
      </c>
      <c r="AT62" s="3616">
        <f>AT63*AT$2*24</f>
        <v>124067.38544951151</v>
      </c>
      <c r="AU62" s="2941">
        <v>119073</v>
      </c>
      <c r="AV62" s="3615">
        <f t="shared" ref="AV62" si="385">+AR62+AT62</f>
        <v>1434649.6948805528</v>
      </c>
      <c r="AW62" s="3615">
        <f t="shared" ref="AW62" si="386">+AS62+AU62</f>
        <v>1329835.6400000001</v>
      </c>
      <c r="AX62" s="3616">
        <f>AX63*AX$2*24</f>
        <v>135543.75458572054</v>
      </c>
      <c r="AY62" s="2941">
        <v>121354.99999999997</v>
      </c>
      <c r="AZ62" s="5166">
        <f t="shared" ref="AZ62" si="387">+AX62+AT62+AP62</f>
        <v>394419.88818453223</v>
      </c>
      <c r="BA62" s="5166">
        <f t="shared" si="353"/>
        <v>357670.99999999988</v>
      </c>
      <c r="BB62" s="5175">
        <f t="shared" si="354"/>
        <v>792253.53280434571</v>
      </c>
      <c r="BC62" s="5175">
        <f t="shared" si="355"/>
        <v>727383</v>
      </c>
      <c r="BD62" s="3615">
        <f t="shared" ref="BD62" si="388">+AV62+AX62</f>
        <v>1570193.4494662734</v>
      </c>
      <c r="BE62" s="3615">
        <f t="shared" ref="BE62" si="389">+AW62+AY62</f>
        <v>1451190.6400000001</v>
      </c>
      <c r="BF62" s="26"/>
      <c r="BG62" s="26"/>
      <c r="BH62" s="26"/>
      <c r="BI62" s="26"/>
    </row>
    <row r="63" spans="2:61" ht="15" hidden="1" customHeight="1" x14ac:dyDescent="0.25">
      <c r="B63" s="1253"/>
      <c r="C63" s="193"/>
      <c r="D63" s="1411">
        <v>177.12308160453296</v>
      </c>
      <c r="E63" s="1494"/>
      <c r="F63" s="1411">
        <v>175.16626930670421</v>
      </c>
      <c r="G63" s="1494"/>
      <c r="H63" s="947"/>
      <c r="I63" s="947"/>
      <c r="J63" s="1411">
        <v>189.0696254813185</v>
      </c>
      <c r="K63" s="1494"/>
      <c r="L63" s="946"/>
      <c r="M63" s="946"/>
      <c r="N63" s="1411">
        <v>173.35507194678468</v>
      </c>
      <c r="O63" s="1494"/>
      <c r="P63" s="947"/>
      <c r="Q63" s="947"/>
      <c r="R63" s="2567">
        <v>174.35507194678468</v>
      </c>
      <c r="S63" s="2568"/>
      <c r="T63" s="2565"/>
      <c r="U63" s="2565"/>
      <c r="V63" s="3288">
        <v>173.97377241543199</v>
      </c>
      <c r="W63" s="2941"/>
      <c r="X63" s="946"/>
      <c r="Y63" s="3419">
        <f t="shared" si="337"/>
        <v>0</v>
      </c>
      <c r="Z63" s="558"/>
      <c r="AA63" s="558"/>
      <c r="AB63" s="3616">
        <v>180.20664208720393</v>
      </c>
      <c r="AC63" s="2941"/>
      <c r="AD63" s="3615"/>
      <c r="AE63" s="3615"/>
      <c r="AF63" s="3616">
        <v>179.09882605226886</v>
      </c>
      <c r="AG63" s="2941"/>
      <c r="AH63" s="3615"/>
      <c r="AI63" s="3615"/>
      <c r="AJ63" s="3616">
        <v>181.19455396411314</v>
      </c>
      <c r="AK63" s="2941"/>
      <c r="AL63" s="4328"/>
      <c r="AM63" s="4328">
        <f t="shared" si="345"/>
        <v>0</v>
      </c>
      <c r="AN63" s="3615"/>
      <c r="AO63" s="3615"/>
      <c r="AP63" s="3616">
        <v>181.19455396411314</v>
      </c>
      <c r="AQ63" s="2941"/>
      <c r="AR63" s="3615"/>
      <c r="AS63" s="3615"/>
      <c r="AT63" s="3616">
        <v>178.25773771481539</v>
      </c>
      <c r="AU63" s="2941"/>
      <c r="AV63" s="3615"/>
      <c r="AW63" s="3615"/>
      <c r="AX63" s="3616">
        <v>182.18246584102224</v>
      </c>
      <c r="AY63" s="2941"/>
      <c r="AZ63" s="5166"/>
      <c r="BA63" s="5166">
        <f t="shared" si="353"/>
        <v>0</v>
      </c>
      <c r="BB63" s="5175">
        <f t="shared" si="354"/>
        <v>0</v>
      </c>
      <c r="BC63" s="5175">
        <f t="shared" si="355"/>
        <v>0</v>
      </c>
      <c r="BD63" s="3615"/>
      <c r="BE63" s="3615"/>
      <c r="BF63" s="26"/>
      <c r="BG63" s="26"/>
      <c r="BH63" s="26"/>
      <c r="BI63" s="26"/>
    </row>
    <row r="64" spans="2:61" x14ac:dyDescent="0.25">
      <c r="B64" s="1253" t="s">
        <v>61</v>
      </c>
      <c r="C64" s="193" t="s">
        <v>333</v>
      </c>
      <c r="D64" s="1411">
        <f>D65*D$2*24</f>
        <v>3597.967123067564</v>
      </c>
      <c r="E64" s="1494">
        <v>2818.2768526635809</v>
      </c>
      <c r="F64" s="1411">
        <f>F65*F$2*24</f>
        <v>3008.3048577354944</v>
      </c>
      <c r="G64" s="1494">
        <v>1893.4618292229238</v>
      </c>
      <c r="H64" s="947">
        <f t="shared" si="329"/>
        <v>6606.2719808030579</v>
      </c>
      <c r="I64" s="947">
        <f t="shared" si="329"/>
        <v>4711.7386818865052</v>
      </c>
      <c r="J64" s="1411">
        <f>J65*J$2*24</f>
        <v>2745.2720804951991</v>
      </c>
      <c r="K64" s="1494">
        <v>3172.6012696385037</v>
      </c>
      <c r="L64" s="946">
        <f t="shared" si="330"/>
        <v>9351.5440612982566</v>
      </c>
      <c r="M64" s="946">
        <f t="shared" si="331"/>
        <v>7884.3399515250094</v>
      </c>
      <c r="N64" s="1411">
        <f>N65*N$2*24</f>
        <v>3681.7187709391155</v>
      </c>
      <c r="O64" s="1494">
        <v>2880.7141121558393</v>
      </c>
      <c r="P64" s="947">
        <f t="shared" si="332"/>
        <v>13033.262832237371</v>
      </c>
      <c r="Q64" s="947">
        <f t="shared" si="333"/>
        <v>10765.054063680849</v>
      </c>
      <c r="R64" s="2567">
        <f>R65*R$2*24</f>
        <v>3681.7187709391155</v>
      </c>
      <c r="S64" s="2568">
        <v>2934.1534392917224</v>
      </c>
      <c r="T64" s="2565">
        <f t="shared" ref="T64" si="390">+P64+R64</f>
        <v>16714.981603176486</v>
      </c>
      <c r="U64" s="2565">
        <f t="shared" ref="U64" si="391">+Q64+S64</f>
        <v>13699.207502972571</v>
      </c>
      <c r="V64" s="3288">
        <f>V65*V$2*24</f>
        <v>3599.3954526983362</v>
      </c>
      <c r="W64" s="2941">
        <v>2495.5</v>
      </c>
      <c r="X64" s="946">
        <f t="shared" si="336"/>
        <v>10962.832994576567</v>
      </c>
      <c r="Y64" s="3419">
        <f t="shared" si="337"/>
        <v>8310.3675514475617</v>
      </c>
      <c r="Z64" s="558">
        <f t="shared" si="338"/>
        <v>20314.377055874822</v>
      </c>
      <c r="AA64" s="558">
        <f t="shared" si="339"/>
        <v>16194.707502972571</v>
      </c>
      <c r="AB64" s="3616">
        <f>AB65*AB$2*24</f>
        <v>3683.1391528747727</v>
      </c>
      <c r="AC64" s="2941">
        <v>1932.5655475866445</v>
      </c>
      <c r="AD64" s="3615">
        <f t="shared" ref="AD64" si="392">+Z64+AB64</f>
        <v>23997.516208749596</v>
      </c>
      <c r="AE64" s="3615">
        <f t="shared" ref="AE64" si="393">+AA64+AC64</f>
        <v>18127.273050559215</v>
      </c>
      <c r="AF64" s="3616">
        <f>AF65*AF$2*24</f>
        <v>3599.3954526983362</v>
      </c>
      <c r="AG64" s="2941">
        <v>2154.0076981579755</v>
      </c>
      <c r="AH64" s="3615">
        <f t="shared" ref="AH64" si="394">+AD64+AF64</f>
        <v>27596.911661447932</v>
      </c>
      <c r="AI64" s="3615">
        <f t="shared" ref="AI64" si="395">+AE64+AG64</f>
        <v>20281.280748717192</v>
      </c>
      <c r="AJ64" s="3616">
        <f>AJ65*AJ$2*24</f>
        <v>3683.1391528747727</v>
      </c>
      <c r="AK64" s="2941">
        <v>2038.3194617516685</v>
      </c>
      <c r="AL64" s="4328">
        <f t="shared" ref="AL64" si="396">+AJ64+AF64+AB64</f>
        <v>10965.673758447881</v>
      </c>
      <c r="AM64" s="4328">
        <f t="shared" si="345"/>
        <v>6124.8927074962885</v>
      </c>
      <c r="AN64" s="3615">
        <f t="shared" ref="AN64" si="397">+AH64+AJ64</f>
        <v>31280.050814322705</v>
      </c>
      <c r="AO64" s="3615">
        <f t="shared" ref="AO64" si="398">+AI64+AK64</f>
        <v>22319.60021046886</v>
      </c>
      <c r="AP64" s="3616">
        <f>AP65*AP$2*24</f>
        <v>3683.1391528747727</v>
      </c>
      <c r="AQ64" s="2941">
        <v>2682.880004622888</v>
      </c>
      <c r="AR64" s="3615">
        <f t="shared" ref="AR64" si="399">+AN64+AP64</f>
        <v>34963.189967197475</v>
      </c>
      <c r="AS64" s="3615">
        <f t="shared" ref="AS64" si="400">+AO64+AQ64</f>
        <v>25002.480215091746</v>
      </c>
      <c r="AT64" s="3616">
        <f>AT65*AT$2*24</f>
        <v>3467.5480262815345</v>
      </c>
      <c r="AU64" s="2941">
        <v>2217.7569455232351</v>
      </c>
      <c r="AV64" s="3615">
        <f t="shared" ref="AV64" si="401">+AR64+AT64</f>
        <v>38430.737993479008</v>
      </c>
      <c r="AW64" s="3615">
        <f t="shared" ref="AW64" si="402">+AS64+AU64</f>
        <v>27220.237160614983</v>
      </c>
      <c r="AX64" s="3616">
        <f>AX65*AX$2*24</f>
        <v>3683.1391528747727</v>
      </c>
      <c r="AY64" s="2941">
        <v>2186.1364372920598</v>
      </c>
      <c r="AZ64" s="5166">
        <f t="shared" ref="AZ64" si="403">+AX64+AT64+AP64</f>
        <v>10833.82633203108</v>
      </c>
      <c r="BA64" s="5166">
        <f t="shared" si="353"/>
        <v>7086.7733874381829</v>
      </c>
      <c r="BB64" s="5175">
        <f t="shared" si="354"/>
        <v>21799.500090478963</v>
      </c>
      <c r="BC64" s="5175">
        <f t="shared" si="355"/>
        <v>13211.666094934471</v>
      </c>
      <c r="BD64" s="3615">
        <f t="shared" ref="BD64" si="404">+AV64+AX64</f>
        <v>42113.877146353778</v>
      </c>
      <c r="BE64" s="3615">
        <f t="shared" ref="BE64" si="405">+AW64+AY64</f>
        <v>29406.373597907041</v>
      </c>
      <c r="BF64" s="26"/>
      <c r="BG64" s="26"/>
      <c r="BH64" s="26"/>
      <c r="BI64" s="26"/>
    </row>
    <row r="65" spans="1:61" ht="15" hidden="1" customHeight="1" x14ac:dyDescent="0.25">
      <c r="B65" s="1253"/>
      <c r="C65" s="193"/>
      <c r="D65" s="1411">
        <v>4.9971765598160607</v>
      </c>
      <c r="E65" s="1494"/>
      <c r="F65" s="1411">
        <v>4.0434205077089977</v>
      </c>
      <c r="G65" s="1494"/>
      <c r="H65" s="947"/>
      <c r="I65" s="947"/>
      <c r="J65" s="1411">
        <v>3.8128778895766655</v>
      </c>
      <c r="K65" s="1494"/>
      <c r="L65" s="946"/>
      <c r="M65" s="946"/>
      <c r="N65" s="1411">
        <v>4.9485467351332195</v>
      </c>
      <c r="O65" s="1494"/>
      <c r="P65" s="947"/>
      <c r="Q65" s="947"/>
      <c r="R65" s="2567">
        <v>4.9485467351332195</v>
      </c>
      <c r="S65" s="2568"/>
      <c r="T65" s="2565"/>
      <c r="U65" s="2565"/>
      <c r="V65" s="3288">
        <v>4.9991603509699116</v>
      </c>
      <c r="W65" s="2941"/>
      <c r="X65" s="946"/>
      <c r="Y65" s="3419">
        <f t="shared" si="337"/>
        <v>0</v>
      </c>
      <c r="Z65" s="558"/>
      <c r="AA65" s="558"/>
      <c r="AB65" s="3616">
        <v>4.9504558506381349</v>
      </c>
      <c r="AC65" s="2941"/>
      <c r="AD65" s="3615"/>
      <c r="AE65" s="3615"/>
      <c r="AF65" s="3616">
        <v>4.9991603509699116</v>
      </c>
      <c r="AG65" s="2941"/>
      <c r="AH65" s="3615"/>
      <c r="AI65" s="3615"/>
      <c r="AJ65" s="3616">
        <v>4.9504558506381349</v>
      </c>
      <c r="AK65" s="2941"/>
      <c r="AL65" s="4328"/>
      <c r="AM65" s="4328">
        <f t="shared" si="345"/>
        <v>0</v>
      </c>
      <c r="AN65" s="3615"/>
      <c r="AO65" s="3615"/>
      <c r="AP65" s="3616">
        <v>4.9504558506381349</v>
      </c>
      <c r="AQ65" s="2941"/>
      <c r="AR65" s="3615"/>
      <c r="AS65" s="3615"/>
      <c r="AT65" s="3616">
        <v>4.9821092331631247</v>
      </c>
      <c r="AU65" s="2941"/>
      <c r="AV65" s="3615"/>
      <c r="AW65" s="3615"/>
      <c r="AX65" s="3616">
        <v>4.9504558506381349</v>
      </c>
      <c r="AY65" s="2941"/>
      <c r="AZ65" s="5166"/>
      <c r="BA65" s="5166">
        <f t="shared" si="353"/>
        <v>0</v>
      </c>
      <c r="BB65" s="5175">
        <f t="shared" si="354"/>
        <v>0</v>
      </c>
      <c r="BC65" s="5175">
        <f t="shared" si="355"/>
        <v>0</v>
      </c>
      <c r="BD65" s="3615"/>
      <c r="BE65" s="3615"/>
      <c r="BF65" s="26"/>
      <c r="BG65" s="26"/>
      <c r="BH65" s="26"/>
      <c r="BI65" s="26"/>
    </row>
    <row r="66" spans="1:61" x14ac:dyDescent="0.25">
      <c r="B66" s="1253" t="s">
        <v>93</v>
      </c>
      <c r="C66" s="193" t="s">
        <v>333</v>
      </c>
      <c r="D66" s="1411">
        <f>D67*D$2*24</f>
        <v>6105.9070226273061</v>
      </c>
      <c r="E66" s="1494">
        <v>3670.3704333065839</v>
      </c>
      <c r="F66" s="1411">
        <f>F67*F$2*24</f>
        <v>5124.5167567358812</v>
      </c>
      <c r="G66" s="1494">
        <v>2352.0706892323019</v>
      </c>
      <c r="H66" s="947">
        <f t="shared" si="329"/>
        <v>11230.423779363187</v>
      </c>
      <c r="I66" s="947">
        <f t="shared" si="329"/>
        <v>6022.4411225388858</v>
      </c>
      <c r="J66" s="1411">
        <f>J67*J$2*24</f>
        <v>3775.2720594923303</v>
      </c>
      <c r="K66" s="1494">
        <v>4531.7417184639608</v>
      </c>
      <c r="L66" s="946">
        <f t="shared" si="330"/>
        <v>15005.695838855518</v>
      </c>
      <c r="M66" s="946">
        <f t="shared" si="331"/>
        <v>10554.182841002847</v>
      </c>
      <c r="N66" s="1411">
        <f>N67*N$2*24</f>
        <v>6314.900875650439</v>
      </c>
      <c r="O66" s="1494">
        <v>4295.2454264551079</v>
      </c>
      <c r="P66" s="947">
        <f t="shared" si="332"/>
        <v>21320.596714505955</v>
      </c>
      <c r="Q66" s="947">
        <f t="shared" si="333"/>
        <v>14849.428267457955</v>
      </c>
      <c r="R66" s="2567">
        <f>R67*R$2*24</f>
        <v>6314.900875650439</v>
      </c>
      <c r="S66" s="2568">
        <v>3484.7640471561808</v>
      </c>
      <c r="T66" s="2565">
        <f t="shared" ref="T66" si="406">+P66+R66</f>
        <v>27635.497590156396</v>
      </c>
      <c r="U66" s="2565">
        <f t="shared" ref="U66" si="407">+Q66+S66</f>
        <v>18334.192314614134</v>
      </c>
      <c r="V66" s="3288">
        <f>V67*V$2*24</f>
        <v>6150.4573806790468</v>
      </c>
      <c r="W66" s="2941">
        <v>3122.09</v>
      </c>
      <c r="X66" s="946">
        <f t="shared" si="336"/>
        <v>18780.259131979925</v>
      </c>
      <c r="Y66" s="3419">
        <f t="shared" si="337"/>
        <v>10902.099473611288</v>
      </c>
      <c r="Z66" s="558">
        <f t="shared" si="338"/>
        <v>33785.954970835446</v>
      </c>
      <c r="AA66" s="558">
        <f t="shared" si="339"/>
        <v>21456.282314614135</v>
      </c>
      <c r="AB66" s="3616">
        <f>AB67*AB$2*24</f>
        <v>6359.4527020514197</v>
      </c>
      <c r="AC66" s="2941">
        <v>2906.9085854410032</v>
      </c>
      <c r="AD66" s="3615">
        <f t="shared" ref="AD66" si="408">+Z66+AB66</f>
        <v>40145.407672886868</v>
      </c>
      <c r="AE66" s="3615">
        <f t="shared" ref="AE66" si="409">+AA66+AC66</f>
        <v>24363.190900055139</v>
      </c>
      <c r="AF66" s="3616">
        <f>AF67*AF$2*24</f>
        <v>6150.4573806790468</v>
      </c>
      <c r="AG66" s="2941">
        <v>3460.8345558623196</v>
      </c>
      <c r="AH66" s="3615">
        <f t="shared" ref="AH66" si="410">+AD66+AF66</f>
        <v>46295.865053565911</v>
      </c>
      <c r="AI66" s="3615">
        <f t="shared" ref="AI66" si="411">+AE66+AG66</f>
        <v>27824.025455917457</v>
      </c>
      <c r="AJ66" s="3616">
        <f>AJ67*AJ$2*24</f>
        <v>6359.4527020514197</v>
      </c>
      <c r="AK66" s="2941">
        <v>3459.9540042045337</v>
      </c>
      <c r="AL66" s="4328">
        <f t="shared" ref="AL66" si="412">+AJ66+AF66+AB66</f>
        <v>18869.362784781886</v>
      </c>
      <c r="AM66" s="4328">
        <f t="shared" si="345"/>
        <v>9827.6971455078565</v>
      </c>
      <c r="AN66" s="3615">
        <f t="shared" ref="AN66" si="413">+AH66+AJ66</f>
        <v>52655.317755617332</v>
      </c>
      <c r="AO66" s="3615">
        <f t="shared" ref="AO66" si="414">+AI66+AK66</f>
        <v>31283.979460121991</v>
      </c>
      <c r="AP66" s="3616">
        <f>AP67*AP$2*24</f>
        <v>6359.4527020514197</v>
      </c>
      <c r="AQ66" s="2941">
        <v>3270.5433149100218</v>
      </c>
      <c r="AR66" s="3615">
        <f t="shared" ref="AR66" si="415">+AN66+AP66</f>
        <v>59014.770457668754</v>
      </c>
      <c r="AS66" s="3615">
        <f t="shared" ref="AS66" si="416">+AO66+AQ66</f>
        <v>34554.522775032012</v>
      </c>
      <c r="AT66" s="3616">
        <f>AT67*AT$2*24</f>
        <v>5889.5293154585906</v>
      </c>
      <c r="AU66" s="2941">
        <v>3213.9426774167396</v>
      </c>
      <c r="AV66" s="3615">
        <f t="shared" ref="AV66" si="417">+AR66+AT66</f>
        <v>64904.299773127343</v>
      </c>
      <c r="AW66" s="3615">
        <f t="shared" ref="AW66" si="418">+AS66+AU66</f>
        <v>37768.465452448749</v>
      </c>
      <c r="AX66" s="3616">
        <f>AX67*AX$2*24</f>
        <v>6359.4527020514197</v>
      </c>
      <c r="AY66" s="2941">
        <v>3644.2408420569523</v>
      </c>
      <c r="AZ66" s="5166">
        <f t="shared" ref="AZ66" si="419">+AX66+AT66+AP66</f>
        <v>18608.434719561432</v>
      </c>
      <c r="BA66" s="5166">
        <f t="shared" si="353"/>
        <v>10128.726834383713</v>
      </c>
      <c r="BB66" s="5175">
        <f t="shared" si="354"/>
        <v>37477.797504343318</v>
      </c>
      <c r="BC66" s="5175">
        <f t="shared" si="355"/>
        <v>19956.42397989157</v>
      </c>
      <c r="BD66" s="3615">
        <f t="shared" ref="BD66" si="420">+AV66+AX66</f>
        <v>71263.752475178757</v>
      </c>
      <c r="BE66" s="3615">
        <f t="shared" ref="BE66" si="421">+AW66+AY66</f>
        <v>41412.706294505704</v>
      </c>
      <c r="BF66" s="26"/>
      <c r="BG66" s="26"/>
      <c r="BH66" s="26"/>
      <c r="BI66" s="26"/>
    </row>
    <row r="67" spans="1:61" ht="15" hidden="1" customHeight="1" x14ac:dyDescent="0.25">
      <c r="B67" s="1253"/>
      <c r="C67" s="193"/>
      <c r="D67" s="1411">
        <v>8.4804264203157036</v>
      </c>
      <c r="E67" s="1494"/>
      <c r="F67" s="1411">
        <v>6.8877913396987651</v>
      </c>
      <c r="G67" s="1494"/>
      <c r="H67" s="947"/>
      <c r="I67" s="947"/>
      <c r="J67" s="1411">
        <v>5.2434334159615705</v>
      </c>
      <c r="K67" s="1494"/>
      <c r="L67" s="946"/>
      <c r="M67" s="946"/>
      <c r="N67" s="1411">
        <v>8.4877699941538172</v>
      </c>
      <c r="O67" s="1494"/>
      <c r="P67" s="947"/>
      <c r="Q67" s="947"/>
      <c r="R67" s="2567">
        <v>8.4877699941538172</v>
      </c>
      <c r="S67" s="2568"/>
      <c r="T67" s="2565"/>
      <c r="U67" s="2565"/>
      <c r="V67" s="3288">
        <v>8.5423019176097874</v>
      </c>
      <c r="W67" s="2941"/>
      <c r="X67" s="946"/>
      <c r="Y67" s="3419">
        <f t="shared" si="337"/>
        <v>0</v>
      </c>
      <c r="Z67" s="558"/>
      <c r="AA67" s="558"/>
      <c r="AB67" s="3616">
        <v>8.5476514812519095</v>
      </c>
      <c r="AC67" s="2941"/>
      <c r="AD67" s="3615"/>
      <c r="AE67" s="3615"/>
      <c r="AF67" s="3616">
        <v>8.5423019176097874</v>
      </c>
      <c r="AG67" s="2941"/>
      <c r="AH67" s="3615"/>
      <c r="AI67" s="3615"/>
      <c r="AJ67" s="3616">
        <v>8.5476514812519095</v>
      </c>
      <c r="AK67" s="2941"/>
      <c r="AL67" s="4328"/>
      <c r="AM67" s="4328">
        <f t="shared" si="345"/>
        <v>0</v>
      </c>
      <c r="AN67" s="3615"/>
      <c r="AO67" s="3615"/>
      <c r="AP67" s="3616">
        <v>8.5476514812519095</v>
      </c>
      <c r="AQ67" s="2941"/>
      <c r="AR67" s="3615"/>
      <c r="AS67" s="3615"/>
      <c r="AT67" s="3616">
        <v>8.461967407268089</v>
      </c>
      <c r="AU67" s="2941"/>
      <c r="AV67" s="3615"/>
      <c r="AW67" s="3615"/>
      <c r="AX67" s="3616">
        <v>8.5476514812519095</v>
      </c>
      <c r="AY67" s="2941"/>
      <c r="AZ67" s="5166"/>
      <c r="BA67" s="5166">
        <f t="shared" si="353"/>
        <v>0</v>
      </c>
      <c r="BB67" s="5175">
        <f t="shared" si="354"/>
        <v>0</v>
      </c>
      <c r="BC67" s="5175">
        <f t="shared" si="355"/>
        <v>0</v>
      </c>
      <c r="BD67" s="3615"/>
      <c r="BE67" s="3615"/>
      <c r="BF67" s="26"/>
      <c r="BG67" s="26"/>
      <c r="BH67" s="26"/>
      <c r="BI67" s="26"/>
    </row>
    <row r="68" spans="1:61" x14ac:dyDescent="0.25">
      <c r="B68" s="1253" t="s">
        <v>112</v>
      </c>
      <c r="C68" s="193" t="s">
        <v>333</v>
      </c>
      <c r="D68" s="1411">
        <f>D69*D$2*24</f>
        <v>3773.9274614651204</v>
      </c>
      <c r="E68" s="1494">
        <v>3927.2710011887875</v>
      </c>
      <c r="F68" s="1411">
        <f>F69*F$2*24</f>
        <v>3096.1751815499028</v>
      </c>
      <c r="G68" s="1494">
        <v>2622.4305466103247</v>
      </c>
      <c r="H68" s="947">
        <f t="shared" si="329"/>
        <v>6870.1026430150232</v>
      </c>
      <c r="I68" s="947">
        <f t="shared" si="329"/>
        <v>6549.7015477991117</v>
      </c>
      <c r="J68" s="1411">
        <f>J69*J$2*24</f>
        <v>2911.8852319724983</v>
      </c>
      <c r="K68" s="1494">
        <v>5030.9710807595466</v>
      </c>
      <c r="L68" s="946">
        <f t="shared" si="330"/>
        <v>9781.9878749875206</v>
      </c>
      <c r="M68" s="946">
        <f t="shared" si="331"/>
        <v>11580.672628558659</v>
      </c>
      <c r="N68" s="1411">
        <f>N69*N$2*24</f>
        <v>3900.1783148694376</v>
      </c>
      <c r="O68" s="1494">
        <v>4220.1699229781225</v>
      </c>
      <c r="P68" s="947">
        <f t="shared" si="332"/>
        <v>13682.166189856958</v>
      </c>
      <c r="Q68" s="947">
        <f t="shared" si="333"/>
        <v>15800.842551536782</v>
      </c>
      <c r="R68" s="2567">
        <f>R69*R$2*24</f>
        <v>3900.1783148694376</v>
      </c>
      <c r="S68" s="2568">
        <v>3991.2798580043054</v>
      </c>
      <c r="T68" s="2565">
        <f t="shared" ref="T68" si="422">+P68+R68</f>
        <v>17582.344504726396</v>
      </c>
      <c r="U68" s="2565">
        <f t="shared" ref="U68" si="423">+Q68+S68</f>
        <v>19792.122409541087</v>
      </c>
      <c r="V68" s="3288">
        <f>V69*V$2*24</f>
        <v>3775.425644253683</v>
      </c>
      <c r="W68" s="2941">
        <v>3619.73</v>
      </c>
      <c r="X68" s="946">
        <f t="shared" si="336"/>
        <v>11575.782273992558</v>
      </c>
      <c r="Y68" s="3419">
        <f t="shared" si="337"/>
        <v>11831.179780982427</v>
      </c>
      <c r="Z68" s="558">
        <f t="shared" si="338"/>
        <v>21357.770148980078</v>
      </c>
      <c r="AA68" s="558">
        <f t="shared" si="339"/>
        <v>23411.852409541087</v>
      </c>
      <c r="AB68" s="3616">
        <f>AB69*AB$2*24</f>
        <v>3901.6829770038748</v>
      </c>
      <c r="AC68" s="2941">
        <v>3970.4176907561659</v>
      </c>
      <c r="AD68" s="3615">
        <f t="shared" ref="AD68" si="424">+Z68+AB68</f>
        <v>25259.453125983953</v>
      </c>
      <c r="AE68" s="3615">
        <f t="shared" ref="AE68" si="425">+AA68+AC68</f>
        <v>27382.270100297254</v>
      </c>
      <c r="AF68" s="3616">
        <f>AF69*AF$2*24</f>
        <v>3775.425644253683</v>
      </c>
      <c r="AG68" s="2941">
        <v>4681.5536693912709</v>
      </c>
      <c r="AH68" s="3615">
        <f t="shared" ref="AH68" si="426">+AD68+AF68</f>
        <v>29034.878770237636</v>
      </c>
      <c r="AI68" s="3615">
        <f t="shared" ref="AI68" si="427">+AE68+AG68</f>
        <v>32063.823769688526</v>
      </c>
      <c r="AJ68" s="3616">
        <f>AJ69*AJ$2*24</f>
        <v>3901.6829770038748</v>
      </c>
      <c r="AK68" s="2941">
        <v>4611.9425866000984</v>
      </c>
      <c r="AL68" s="4328">
        <f t="shared" ref="AL68" si="428">+AJ68+AF68+AB68</f>
        <v>11578.791598261432</v>
      </c>
      <c r="AM68" s="4328">
        <f t="shared" si="345"/>
        <v>13263.913946747536</v>
      </c>
      <c r="AN68" s="3615">
        <f t="shared" ref="AN68" si="429">+AH68+AJ68</f>
        <v>32936.561747241511</v>
      </c>
      <c r="AO68" s="3615">
        <f t="shared" ref="AO68" si="430">+AI68+AK68</f>
        <v>36675.766356288623</v>
      </c>
      <c r="AP68" s="3616">
        <f>AP69*AP$2*24</f>
        <v>3901.6829770038748</v>
      </c>
      <c r="AQ68" s="2941">
        <v>5105.7116552044745</v>
      </c>
      <c r="AR68" s="3615">
        <f t="shared" ref="AR68" si="431">+AN68+AP68</f>
        <v>36838.244724245385</v>
      </c>
      <c r="AS68" s="3615">
        <f t="shared" ref="AS68" si="432">+AO68+AQ68</f>
        <v>41781.478011493098</v>
      </c>
      <c r="AT68" s="3616">
        <f>AT69*AT$2*24</f>
        <v>3558.3871344677718</v>
      </c>
      <c r="AU68" s="2941">
        <v>4592.3905780909017</v>
      </c>
      <c r="AV68" s="3615">
        <f t="shared" ref="AV68" si="433">+AR68+AT68</f>
        <v>40396.631858713154</v>
      </c>
      <c r="AW68" s="3615">
        <f t="shared" ref="AW68" si="434">+AS68+AU68</f>
        <v>46373.868589584003</v>
      </c>
      <c r="AX68" s="3616">
        <f>AX69*AX$2*24</f>
        <v>3901.6829770038748</v>
      </c>
      <c r="AY68" s="2941">
        <v>4326.0591939912592</v>
      </c>
      <c r="AZ68" s="5166">
        <f t="shared" ref="AZ68" si="435">+AX68+AT68+AP68</f>
        <v>11361.753088475522</v>
      </c>
      <c r="BA68" s="5166">
        <f t="shared" si="353"/>
        <v>14024.161427286635</v>
      </c>
      <c r="BB68" s="5175">
        <f t="shared" si="354"/>
        <v>22940.544686736954</v>
      </c>
      <c r="BC68" s="5175">
        <f t="shared" si="355"/>
        <v>27288.075374034172</v>
      </c>
      <c r="BD68" s="3615">
        <f t="shared" ref="BD68" si="436">+AV68+AX68</f>
        <v>44298.314835717028</v>
      </c>
      <c r="BE68" s="3615">
        <f t="shared" ref="BE68" si="437">+AW68+AY68</f>
        <v>50699.927783575258</v>
      </c>
      <c r="BF68" s="26"/>
      <c r="BG68" s="26"/>
      <c r="BH68" s="26"/>
      <c r="BI68" s="26"/>
    </row>
    <row r="69" spans="1:61" ht="15" hidden="1" customHeight="1" x14ac:dyDescent="0.25">
      <c r="B69" s="1253"/>
      <c r="C69" s="193"/>
      <c r="D69" s="1411">
        <v>5.2415659187015562</v>
      </c>
      <c r="E69" s="1494"/>
      <c r="F69" s="1411">
        <v>4.1615257816530953</v>
      </c>
      <c r="G69" s="1494"/>
      <c r="H69" s="947"/>
      <c r="I69" s="947"/>
      <c r="J69" s="1411">
        <v>4.0442850444062479</v>
      </c>
      <c r="K69" s="1494"/>
      <c r="L69" s="946"/>
      <c r="M69" s="946"/>
      <c r="N69" s="1411">
        <v>5.2421751543944053</v>
      </c>
      <c r="O69" s="1494"/>
      <c r="P69" s="947"/>
      <c r="Q69" s="947"/>
      <c r="R69" s="2567">
        <v>5.2421751543944053</v>
      </c>
      <c r="S69" s="2568"/>
      <c r="T69" s="2565"/>
      <c r="U69" s="2565"/>
      <c r="V69" s="3288">
        <v>5.2436467281301153</v>
      </c>
      <c r="W69" s="2941"/>
      <c r="X69" s="946"/>
      <c r="Y69" s="3419">
        <f t="shared" si="337"/>
        <v>0</v>
      </c>
      <c r="Z69" s="558"/>
      <c r="AA69" s="558"/>
      <c r="AB69" s="3616">
        <v>5.2441975497363904</v>
      </c>
      <c r="AC69" s="2941"/>
      <c r="AD69" s="3615"/>
      <c r="AE69" s="3615"/>
      <c r="AF69" s="3616">
        <v>5.2436467281301153</v>
      </c>
      <c r="AG69" s="2941"/>
      <c r="AH69" s="3615"/>
      <c r="AI69" s="3615"/>
      <c r="AJ69" s="3616">
        <v>5.2441975497363904</v>
      </c>
      <c r="AK69" s="2941"/>
      <c r="AL69" s="4328"/>
      <c r="AM69" s="4328">
        <f t="shared" si="345"/>
        <v>0</v>
      </c>
      <c r="AN69" s="3615"/>
      <c r="AO69" s="3615"/>
      <c r="AP69" s="3616">
        <v>5.2441975497363904</v>
      </c>
      <c r="AQ69" s="2941"/>
      <c r="AR69" s="3615"/>
      <c r="AS69" s="3615"/>
      <c r="AT69" s="3616">
        <v>5.112625193200822</v>
      </c>
      <c r="AU69" s="2941"/>
      <c r="AV69" s="3615"/>
      <c r="AW69" s="3615"/>
      <c r="AX69" s="3616">
        <v>5.2441975497363904</v>
      </c>
      <c r="AY69" s="2941"/>
      <c r="AZ69" s="5166"/>
      <c r="BA69" s="5166">
        <f t="shared" si="353"/>
        <v>0</v>
      </c>
      <c r="BB69" s="5175">
        <f t="shared" si="354"/>
        <v>0</v>
      </c>
      <c r="BC69" s="5175">
        <f t="shared" si="355"/>
        <v>0</v>
      </c>
      <c r="BD69" s="3615"/>
      <c r="BE69" s="3615"/>
      <c r="BF69" s="26"/>
      <c r="BG69" s="26"/>
      <c r="BH69" s="26"/>
      <c r="BI69" s="26"/>
    </row>
    <row r="70" spans="1:61" x14ac:dyDescent="0.25">
      <c r="B70" s="1253" t="s">
        <v>84</v>
      </c>
      <c r="C70" s="193" t="s">
        <v>333</v>
      </c>
      <c r="D70" s="1411">
        <f>D71*D$2*24</f>
        <v>3707.2614557580491</v>
      </c>
      <c r="E70" s="1494">
        <v>3660.6003646959825</v>
      </c>
      <c r="F70" s="1411">
        <f>F71*F$2*24</f>
        <v>3091.4897488817132</v>
      </c>
      <c r="G70" s="1494">
        <v>2609.556710498317</v>
      </c>
      <c r="H70" s="947">
        <f t="shared" si="329"/>
        <v>6798.7512046397624</v>
      </c>
      <c r="I70" s="947">
        <f t="shared" si="329"/>
        <v>6270.1570751943</v>
      </c>
      <c r="J70" s="1411">
        <f>J71*J$2*24</f>
        <v>3023.2811905815647</v>
      </c>
      <c r="K70" s="1494">
        <v>1939.027273433833</v>
      </c>
      <c r="L70" s="946">
        <f t="shared" si="330"/>
        <v>9822.0323952213275</v>
      </c>
      <c r="M70" s="946">
        <f t="shared" si="331"/>
        <v>8209.1843486281323</v>
      </c>
      <c r="N70" s="1411">
        <f>N71*N$2*24</f>
        <v>3754.6285101331559</v>
      </c>
      <c r="O70" s="1494">
        <v>0</v>
      </c>
      <c r="P70" s="947">
        <f t="shared" si="332"/>
        <v>13576.660905354483</v>
      </c>
      <c r="Q70" s="947">
        <f t="shared" si="333"/>
        <v>8209.1843486281323</v>
      </c>
      <c r="R70" s="2567">
        <f>R71*R$2*24</f>
        <v>3754.6285101331537</v>
      </c>
      <c r="S70" s="2568">
        <v>0</v>
      </c>
      <c r="T70" s="2565">
        <f t="shared" ref="T70" si="438">+P70+R70</f>
        <v>17331.289415487638</v>
      </c>
      <c r="U70" s="2565">
        <f t="shared" ref="U70" si="439">+Q70+S70</f>
        <v>8209.1843486281323</v>
      </c>
      <c r="V70" s="3288">
        <f>V71*V$2*24</f>
        <v>3644.1053832579132</v>
      </c>
      <c r="W70" s="2941">
        <v>0</v>
      </c>
      <c r="X70" s="946">
        <f t="shared" si="336"/>
        <v>11153.362403524223</v>
      </c>
      <c r="Y70" s="3419">
        <f t="shared" si="337"/>
        <v>0</v>
      </c>
      <c r="Z70" s="558">
        <f t="shared" si="338"/>
        <v>20975.39479874555</v>
      </c>
      <c r="AA70" s="558">
        <f t="shared" si="339"/>
        <v>8209.1843486281323</v>
      </c>
      <c r="AB70" s="3616">
        <f>AB71*AB$2*24</f>
        <v>3865.1516370083928</v>
      </c>
      <c r="AC70" s="2941">
        <v>334.66732959025256</v>
      </c>
      <c r="AD70" s="3615">
        <f t="shared" ref="AD70" si="440">+Z70+AB70</f>
        <v>24840.546435753942</v>
      </c>
      <c r="AE70" s="3615">
        <f t="shared" ref="AE70" si="441">+AA70+AC70</f>
        <v>8543.8516782183851</v>
      </c>
      <c r="AF70" s="3616">
        <f>AF71*AF$2*24</f>
        <v>3738.8394920081182</v>
      </c>
      <c r="AG70" s="2941">
        <v>369.19813006927251</v>
      </c>
      <c r="AH70" s="3615">
        <f t="shared" ref="AH70" si="442">+AD70+AF70</f>
        <v>28579.385927762061</v>
      </c>
      <c r="AI70" s="3615">
        <f t="shared" ref="AI70" si="443">+AE70+AG70</f>
        <v>8913.0498082876584</v>
      </c>
      <c r="AJ70" s="3616">
        <f>AJ71*AJ$2*24</f>
        <v>3880.9406551334273</v>
      </c>
      <c r="AK70" s="2941">
        <v>0</v>
      </c>
      <c r="AL70" s="4328">
        <f t="shared" ref="AL70" si="444">+AJ70+AF70+AB70</f>
        <v>11484.93178414994</v>
      </c>
      <c r="AM70" s="4328">
        <f t="shared" si="345"/>
        <v>703.86545965952507</v>
      </c>
      <c r="AN70" s="3615">
        <f t="shared" ref="AN70" si="445">+AH70+AJ70</f>
        <v>32460.32658289549</v>
      </c>
      <c r="AO70" s="3615">
        <f t="shared" ref="AO70" si="446">+AI70+AK70</f>
        <v>8913.0498082876584</v>
      </c>
      <c r="AP70" s="3616">
        <f>AP71*AP$2*24</f>
        <v>3880.9406551334273</v>
      </c>
      <c r="AQ70" s="2941">
        <v>0</v>
      </c>
      <c r="AR70" s="3615">
        <f t="shared" ref="AR70" si="447">+AN70+AP70</f>
        <v>36341.267238028915</v>
      </c>
      <c r="AS70" s="3615">
        <f t="shared" ref="AS70" si="448">+AO70+AQ70</f>
        <v>8913.0498082876584</v>
      </c>
      <c r="AT70" s="3616">
        <f>AT71*AT$2*24</f>
        <v>3612.5273470078441</v>
      </c>
      <c r="AU70" s="2941">
        <v>0</v>
      </c>
      <c r="AV70" s="3615">
        <f t="shared" ref="AV70" si="449">+AR70+AT70</f>
        <v>39953.794585036761</v>
      </c>
      <c r="AW70" s="3615">
        <f t="shared" ref="AW70" si="450">+AS70+AU70</f>
        <v>8913.0498082876584</v>
      </c>
      <c r="AX70" s="3616">
        <f>AX71*AX$2*24</f>
        <v>3896.7296732584609</v>
      </c>
      <c r="AY70" s="2941">
        <v>0</v>
      </c>
      <c r="AZ70" s="5166">
        <f t="shared" ref="AZ70" si="451">+AX70+AT70+AP70</f>
        <v>11390.197675399731</v>
      </c>
      <c r="BA70" s="5166">
        <f t="shared" si="353"/>
        <v>0</v>
      </c>
      <c r="BB70" s="5175">
        <f t="shared" si="354"/>
        <v>22875.129459549673</v>
      </c>
      <c r="BC70" s="5175">
        <f t="shared" si="355"/>
        <v>703.86545965952507</v>
      </c>
      <c r="BD70" s="3615">
        <f t="shared" ref="BD70" si="452">+AV70+AX70</f>
        <v>43850.52425829522</v>
      </c>
      <c r="BE70" s="3615">
        <f t="shared" ref="BE70" si="453">+AW70+AY70</f>
        <v>8913.0498082876584</v>
      </c>
      <c r="BF70" s="26"/>
      <c r="BG70" s="26"/>
      <c r="BH70" s="26"/>
      <c r="BI70" s="26"/>
    </row>
    <row r="71" spans="1:61" ht="15" hidden="1" customHeight="1" x14ac:dyDescent="0.25">
      <c r="B71" s="1253"/>
      <c r="C71" s="193"/>
      <c r="D71" s="1411">
        <v>5.1489742441084019</v>
      </c>
      <c r="E71" s="1494"/>
      <c r="F71" s="1411">
        <v>4.155228157099077</v>
      </c>
      <c r="G71" s="1494"/>
      <c r="H71" s="947"/>
      <c r="I71" s="947"/>
      <c r="J71" s="1411">
        <v>4.1990016535855066</v>
      </c>
      <c r="K71" s="1494"/>
      <c r="L71" s="946"/>
      <c r="M71" s="946"/>
      <c r="N71" s="1411">
        <f>4.09574560868507+0.950798087730462</f>
        <v>5.0465436964155321</v>
      </c>
      <c r="O71" s="1494"/>
      <c r="P71" s="947"/>
      <c r="Q71" s="947"/>
      <c r="R71" s="2567">
        <v>5.0465436964155295</v>
      </c>
      <c r="S71" s="2568"/>
      <c r="T71" s="2565"/>
      <c r="U71" s="2565"/>
      <c r="V71" s="3288">
        <v>5.0612574767471017</v>
      </c>
      <c r="W71" s="2941"/>
      <c r="X71" s="946"/>
      <c r="Y71" s="3419">
        <f t="shared" si="337"/>
        <v>0</v>
      </c>
      <c r="Z71" s="558"/>
      <c r="AA71" s="558"/>
      <c r="AB71" s="3616">
        <v>5.1950962863016033</v>
      </c>
      <c r="AC71" s="2941"/>
      <c r="AD71" s="3615"/>
      <c r="AE71" s="3615"/>
      <c r="AF71" s="3616">
        <v>5.1928326277890537</v>
      </c>
      <c r="AG71" s="2941"/>
      <c r="AH71" s="3615"/>
      <c r="AI71" s="3615"/>
      <c r="AJ71" s="3616">
        <v>5.2163180848567574</v>
      </c>
      <c r="AK71" s="2941"/>
      <c r="AL71" s="4328"/>
      <c r="AM71" s="4328">
        <f t="shared" si="345"/>
        <v>0</v>
      </c>
      <c r="AN71" s="3615"/>
      <c r="AO71" s="3615"/>
      <c r="AP71" s="3616">
        <v>5.2163180848567574</v>
      </c>
      <c r="AQ71" s="2941"/>
      <c r="AR71" s="3615"/>
      <c r="AS71" s="3615"/>
      <c r="AT71" s="3616">
        <v>5.1904128548963282</v>
      </c>
      <c r="AU71" s="2941"/>
      <c r="AV71" s="3615"/>
      <c r="AW71" s="3615"/>
      <c r="AX71" s="3616">
        <v>5.2375398834119098</v>
      </c>
      <c r="AY71" s="2941"/>
      <c r="AZ71" s="5166"/>
      <c r="BA71" s="5166">
        <f t="shared" si="353"/>
        <v>0</v>
      </c>
      <c r="BB71" s="5175">
        <f t="shared" si="354"/>
        <v>0</v>
      </c>
      <c r="BC71" s="5175">
        <f t="shared" si="355"/>
        <v>0</v>
      </c>
      <c r="BD71" s="3615"/>
      <c r="BE71" s="3615"/>
      <c r="BF71" s="26"/>
      <c r="BG71" s="26"/>
      <c r="BH71" s="26"/>
      <c r="BI71" s="26"/>
    </row>
    <row r="72" spans="1:61" x14ac:dyDescent="0.25">
      <c r="B72" s="1253" t="s">
        <v>474</v>
      </c>
      <c r="C72" s="193" t="s">
        <v>333</v>
      </c>
      <c r="D72" s="1411">
        <f>D73*D$2*24</f>
        <v>0</v>
      </c>
      <c r="E72" s="1494">
        <v>0</v>
      </c>
      <c r="F72" s="1411">
        <f>F73*F$2*24</f>
        <v>0</v>
      </c>
      <c r="G72" s="1494">
        <v>0</v>
      </c>
      <c r="H72" s="947">
        <f t="shared" si="329"/>
        <v>0</v>
      </c>
      <c r="I72" s="947">
        <f t="shared" si="329"/>
        <v>0</v>
      </c>
      <c r="J72" s="1411">
        <f>J73*J$2*24</f>
        <v>0</v>
      </c>
      <c r="K72" s="1494">
        <v>0</v>
      </c>
      <c r="L72" s="946">
        <f t="shared" si="330"/>
        <v>0</v>
      </c>
      <c r="M72" s="946">
        <f t="shared" si="331"/>
        <v>0</v>
      </c>
      <c r="N72" s="1411">
        <f>N73*N$2*24</f>
        <v>0</v>
      </c>
      <c r="O72" s="1494">
        <v>0</v>
      </c>
      <c r="P72" s="947">
        <f t="shared" si="332"/>
        <v>0</v>
      </c>
      <c r="Q72" s="947">
        <f t="shared" si="333"/>
        <v>0</v>
      </c>
      <c r="R72" s="2567">
        <f>R73*R$2*24</f>
        <v>0</v>
      </c>
      <c r="S72" s="2568">
        <v>0</v>
      </c>
      <c r="T72" s="2565">
        <f t="shared" ref="T72" si="454">+P72+R72</f>
        <v>0</v>
      </c>
      <c r="U72" s="2565">
        <f t="shared" ref="U72" si="455">+Q72+S72</f>
        <v>0</v>
      </c>
      <c r="V72" s="3288">
        <f>V73*V$2*24</f>
        <v>0</v>
      </c>
      <c r="W72" s="2941">
        <v>0</v>
      </c>
      <c r="X72" s="946">
        <f t="shared" si="336"/>
        <v>0</v>
      </c>
      <c r="Y72" s="3419">
        <f t="shared" si="337"/>
        <v>0</v>
      </c>
      <c r="Z72" s="558">
        <f t="shared" si="338"/>
        <v>0</v>
      </c>
      <c r="AA72" s="558">
        <f t="shared" si="339"/>
        <v>0</v>
      </c>
      <c r="AB72" s="3616">
        <f>AB73*AB$2*24</f>
        <v>0</v>
      </c>
      <c r="AC72" s="2941">
        <v>0</v>
      </c>
      <c r="AD72" s="3615">
        <f t="shared" ref="AD72" si="456">+Z72+AB72</f>
        <v>0</v>
      </c>
      <c r="AE72" s="3615">
        <f t="shared" ref="AE72" si="457">+AA72+AC72</f>
        <v>0</v>
      </c>
      <c r="AF72" s="3616">
        <f>AF73*AF$2*24</f>
        <v>0</v>
      </c>
      <c r="AG72" s="2941">
        <v>0</v>
      </c>
      <c r="AH72" s="3615">
        <f t="shared" ref="AH72" si="458">+AD72+AF72</f>
        <v>0</v>
      </c>
      <c r="AI72" s="3615">
        <f t="shared" ref="AI72" si="459">+AE72+AG72</f>
        <v>0</v>
      </c>
      <c r="AJ72" s="3616">
        <f>AJ73*AJ$2*24</f>
        <v>0</v>
      </c>
      <c r="AK72" s="2941">
        <v>0</v>
      </c>
      <c r="AL72" s="4328">
        <f t="shared" ref="AL72" si="460">+AJ72+AF72+AB72</f>
        <v>0</v>
      </c>
      <c r="AM72" s="4328">
        <f t="shared" si="345"/>
        <v>0</v>
      </c>
      <c r="AN72" s="3615">
        <f t="shared" ref="AN72" si="461">+AH72+AJ72</f>
        <v>0</v>
      </c>
      <c r="AO72" s="3615">
        <f t="shared" ref="AO72" si="462">+AI72+AK72</f>
        <v>0</v>
      </c>
      <c r="AP72" s="3616">
        <f>AP73*AP$2*24</f>
        <v>0</v>
      </c>
      <c r="AQ72" s="2941">
        <v>0</v>
      </c>
      <c r="AR72" s="3615">
        <f t="shared" ref="AR72" si="463">+AN72+AP72</f>
        <v>0</v>
      </c>
      <c r="AS72" s="3615">
        <f t="shared" ref="AS72" si="464">+AO72+AQ72</f>
        <v>0</v>
      </c>
      <c r="AT72" s="3616">
        <f>AT73*AT$2*24</f>
        <v>0</v>
      </c>
      <c r="AU72" s="2941">
        <v>0</v>
      </c>
      <c r="AV72" s="3615">
        <f t="shared" ref="AV72" si="465">+AR72+AT72</f>
        <v>0</v>
      </c>
      <c r="AW72" s="3615">
        <f t="shared" ref="AW72" si="466">+AS72+AU72</f>
        <v>0</v>
      </c>
      <c r="AX72" s="3616">
        <f>AX73*AX$2*24</f>
        <v>0</v>
      </c>
      <c r="AY72" s="2941">
        <v>0</v>
      </c>
      <c r="AZ72" s="5166">
        <f t="shared" ref="AZ72" si="467">+AX72+AT72+AP72</f>
        <v>0</v>
      </c>
      <c r="BA72" s="5166">
        <f t="shared" si="353"/>
        <v>0</v>
      </c>
      <c r="BB72" s="5175">
        <f t="shared" si="354"/>
        <v>0</v>
      </c>
      <c r="BC72" s="5175">
        <f t="shared" si="355"/>
        <v>0</v>
      </c>
      <c r="BD72" s="3615">
        <f t="shared" ref="BD72" si="468">+AV72+AX72</f>
        <v>0</v>
      </c>
      <c r="BE72" s="3615">
        <f t="shared" ref="BE72" si="469">+AW72+AY72</f>
        <v>0</v>
      </c>
      <c r="BF72" s="26"/>
      <c r="BG72" s="26"/>
      <c r="BH72" s="26"/>
      <c r="BI72" s="26"/>
    </row>
    <row r="73" spans="1:61" ht="15" hidden="1" customHeight="1" x14ac:dyDescent="0.25">
      <c r="B73" s="1253"/>
      <c r="C73" s="193"/>
      <c r="D73" s="1411"/>
      <c r="E73" s="1494"/>
      <c r="F73" s="1411"/>
      <c r="G73" s="1494"/>
      <c r="H73" s="947"/>
      <c r="I73" s="947"/>
      <c r="J73" s="1411"/>
      <c r="K73" s="1494"/>
      <c r="L73" s="946"/>
      <c r="M73" s="946"/>
      <c r="N73" s="1411">
        <v>0</v>
      </c>
      <c r="O73" s="1494"/>
      <c r="P73" s="947"/>
      <c r="Q73" s="947"/>
      <c r="R73" s="2567">
        <v>0</v>
      </c>
      <c r="S73" s="2568"/>
      <c r="T73" s="2565"/>
      <c r="U73" s="2565"/>
      <c r="V73" s="3288">
        <v>0</v>
      </c>
      <c r="W73" s="2941"/>
      <c r="X73" s="946"/>
      <c r="Y73" s="3419">
        <f t="shared" si="337"/>
        <v>0</v>
      </c>
      <c r="Z73" s="558"/>
      <c r="AA73" s="558"/>
      <c r="AB73" s="3616"/>
      <c r="AC73" s="2941"/>
      <c r="AD73" s="3615"/>
      <c r="AE73" s="3615"/>
      <c r="AF73" s="3616"/>
      <c r="AG73" s="2941"/>
      <c r="AH73" s="3615"/>
      <c r="AI73" s="3615"/>
      <c r="AJ73" s="3616"/>
      <c r="AK73" s="2941"/>
      <c r="AL73" s="4328"/>
      <c r="AM73" s="4328">
        <f t="shared" si="345"/>
        <v>0</v>
      </c>
      <c r="AN73" s="3615"/>
      <c r="AO73" s="3615"/>
      <c r="AP73" s="3616"/>
      <c r="AQ73" s="2941"/>
      <c r="AR73" s="3615"/>
      <c r="AS73" s="3615"/>
      <c r="AT73" s="3616"/>
      <c r="AU73" s="2941"/>
      <c r="AV73" s="3615"/>
      <c r="AW73" s="3615"/>
      <c r="AX73" s="3616"/>
      <c r="AY73" s="2941"/>
      <c r="AZ73" s="5166"/>
      <c r="BA73" s="5166">
        <f t="shared" si="353"/>
        <v>0</v>
      </c>
      <c r="BB73" s="5164"/>
      <c r="BC73" s="5164"/>
      <c r="BD73" s="3615"/>
      <c r="BE73" s="3615"/>
      <c r="BF73" s="26"/>
      <c r="BG73" s="26"/>
      <c r="BH73" s="26"/>
      <c r="BI73" s="26"/>
    </row>
    <row r="74" spans="1:61" ht="15.75" x14ac:dyDescent="0.25">
      <c r="B74" s="365" t="s">
        <v>63</v>
      </c>
      <c r="C74" s="973" t="s">
        <v>333</v>
      </c>
      <c r="D74" s="1416">
        <f>D58+D60+D62+D64+D66+D68+D70+D72</f>
        <v>351399.99999999994</v>
      </c>
      <c r="E74" s="1416">
        <f t="shared" ref="E74:I74" si="470">E58+E60+E62+E64+E66+E68+E70+E72</f>
        <v>327542.31865185505</v>
      </c>
      <c r="F74" s="1416">
        <f t="shared" si="470"/>
        <v>320020</v>
      </c>
      <c r="G74" s="1416">
        <f t="shared" si="470"/>
        <v>275585.51977556391</v>
      </c>
      <c r="H74" s="452">
        <f t="shared" si="470"/>
        <v>671420</v>
      </c>
      <c r="I74" s="452">
        <f t="shared" si="470"/>
        <v>603127.83842741884</v>
      </c>
      <c r="J74" s="1416">
        <f t="shared" ref="J74:K74" si="471">J58+J60+J62+J64+J66+J68+J70+J72</f>
        <v>327300</v>
      </c>
      <c r="K74" s="1416">
        <f t="shared" si="471"/>
        <v>310124.34134229581</v>
      </c>
      <c r="L74" s="969">
        <f t="shared" ref="L74:Q74" si="472">SUM(L58:L72)</f>
        <v>998719.99999999988</v>
      </c>
      <c r="M74" s="969">
        <f t="shared" si="472"/>
        <v>913252.17976971471</v>
      </c>
      <c r="N74" s="1416">
        <f t="shared" ref="N74" si="473">N58+N60+N62+N64+N66+N68+N70+N72</f>
        <v>355569.99999999988</v>
      </c>
      <c r="O74" s="236">
        <f t="shared" si="472"/>
        <v>348831.969461589</v>
      </c>
      <c r="P74" s="311">
        <f t="shared" si="472"/>
        <v>1354290</v>
      </c>
      <c r="Q74" s="311">
        <f t="shared" si="472"/>
        <v>1262084.1492313039</v>
      </c>
      <c r="R74" s="1416">
        <f t="shared" ref="R74" si="474">R58+R60+R62+R64+R66+R68+R70+R72</f>
        <v>355569.99999999988</v>
      </c>
      <c r="S74" s="236">
        <f t="shared" ref="S74:U74" si="475">SUM(S58:S72)</f>
        <v>356712.19734445232</v>
      </c>
      <c r="T74" s="311">
        <f t="shared" si="475"/>
        <v>1709859.9999999998</v>
      </c>
      <c r="U74" s="311">
        <f t="shared" si="475"/>
        <v>1618796.3465757561</v>
      </c>
      <c r="V74" s="1416">
        <f t="shared" ref="V74" si="476">V58+V60+V62+V64+V66+V68+V70+V72</f>
        <v>345200</v>
      </c>
      <c r="W74" s="236">
        <f t="shared" ref="W74" si="477">SUM(W58:W72)</f>
        <v>326501.32</v>
      </c>
      <c r="X74" s="969">
        <f t="shared" ref="X74:AA74" si="478">SUM(X58:X72)</f>
        <v>1056339.9999999998</v>
      </c>
      <c r="Y74" s="969">
        <f t="shared" si="478"/>
        <v>1032045.4868060414</v>
      </c>
      <c r="Z74" s="625">
        <f t="shared" si="478"/>
        <v>2055059.9999999998</v>
      </c>
      <c r="AA74" s="625">
        <f t="shared" si="478"/>
        <v>1945297.6665757562</v>
      </c>
      <c r="AB74" s="1416">
        <f t="shared" ref="AB74" si="479">AB58+AB60+AB62+AB64+AB66+AB68+AB70+AB72</f>
        <v>366420</v>
      </c>
      <c r="AC74" s="236">
        <f t="shared" ref="AC74:AE74" si="480">SUM(AC58:AC72)</f>
        <v>350901.55915337399</v>
      </c>
      <c r="AD74" s="311">
        <f t="shared" si="480"/>
        <v>2421479.9999999995</v>
      </c>
      <c r="AE74" s="311">
        <f t="shared" si="480"/>
        <v>2296199.2257291302</v>
      </c>
      <c r="AF74" s="1416">
        <f t="shared" ref="AF74" si="481">AF58+AF60+AF62+AF64+AF66+AF68+AF70+AF72</f>
        <v>354499.99999999994</v>
      </c>
      <c r="AG74" s="236">
        <f t="shared" ref="AG74:AI74" si="482">SUM(AG58:AG72)</f>
        <v>332429.59405348072</v>
      </c>
      <c r="AH74" s="311">
        <f t="shared" si="482"/>
        <v>2775979.9999999995</v>
      </c>
      <c r="AI74" s="311">
        <f t="shared" si="482"/>
        <v>2628628.8197826105</v>
      </c>
      <c r="AJ74" s="1416">
        <f t="shared" ref="AJ74" si="483">AJ58+AJ60+AJ62+AJ64+AJ66+AJ68+AJ70+AJ72</f>
        <v>367970</v>
      </c>
      <c r="AK74" s="236">
        <f t="shared" ref="AK74:AO74" si="484">SUM(AK58:AK72)</f>
        <v>343893.93033827067</v>
      </c>
      <c r="AL74" s="969">
        <f t="shared" ref="AL74:AM74" si="485">SUM(AL58:AL72)</f>
        <v>1088890</v>
      </c>
      <c r="AM74" s="969">
        <f t="shared" si="485"/>
        <v>1027225.0835451256</v>
      </c>
      <c r="AN74" s="311">
        <f t="shared" si="484"/>
        <v>3143949.9999999995</v>
      </c>
      <c r="AO74" s="311">
        <f t="shared" si="484"/>
        <v>2972522.750120881</v>
      </c>
      <c r="AP74" s="1416">
        <f t="shared" ref="AP74" si="486">AP58+AP60+AP62+AP64+AP66+AP68+AP70+AP72</f>
        <v>367970</v>
      </c>
      <c r="AQ74" s="236">
        <f t="shared" ref="AQ74:AS74" si="487">SUM(AQ58:AQ72)</f>
        <v>333686.13497473736</v>
      </c>
      <c r="AR74" s="311">
        <f t="shared" si="487"/>
        <v>3511919.9999999995</v>
      </c>
      <c r="AS74" s="311">
        <f t="shared" si="487"/>
        <v>3306208.8850956187</v>
      </c>
      <c r="AT74" s="1416">
        <f t="shared" ref="AT74" si="488">AT58+AT60+AT62+AT64+AT66+AT68+AT70+AT72</f>
        <v>342579.99999999994</v>
      </c>
      <c r="AU74" s="236">
        <f t="shared" ref="AU74:AW74" si="489">SUM(AU58:AU72)</f>
        <v>331215.51020103088</v>
      </c>
      <c r="AV74" s="311">
        <f t="shared" si="489"/>
        <v>3854499.9999999991</v>
      </c>
      <c r="AW74" s="311">
        <f t="shared" si="489"/>
        <v>3637424.39529665</v>
      </c>
      <c r="AX74" s="1416">
        <f t="shared" ref="AX74" si="490">AX58+AX60+AX62+AX64+AX66+AX68+AX70+AX72</f>
        <v>369519.99999999994</v>
      </c>
      <c r="AY74" s="236">
        <f t="shared" ref="AY74:BE74" si="491">SUM(AY58:AY72)</f>
        <v>338059.4364733402</v>
      </c>
      <c r="AZ74" s="969">
        <f t="shared" ref="AZ74:BC74" si="492">SUM(AZ58:AZ72)</f>
        <v>1080069.9999999998</v>
      </c>
      <c r="BA74" s="969">
        <f t="shared" si="492"/>
        <v>1002961.0816491084</v>
      </c>
      <c r="BB74" s="625">
        <f t="shared" si="492"/>
        <v>2168960</v>
      </c>
      <c r="BC74" s="625">
        <f t="shared" si="492"/>
        <v>2030186.1651942341</v>
      </c>
      <c r="BD74" s="311">
        <f t="shared" si="491"/>
        <v>4224020</v>
      </c>
      <c r="BE74" s="311">
        <f t="shared" si="491"/>
        <v>3975483.8317699903</v>
      </c>
      <c r="BF74" s="26"/>
      <c r="BG74" s="26"/>
      <c r="BH74" s="26"/>
      <c r="BI74" s="26"/>
    </row>
    <row r="75" spans="1:61" ht="20.25" x14ac:dyDescent="0.25">
      <c r="A75" s="122"/>
      <c r="B75" s="1254" t="s">
        <v>473</v>
      </c>
      <c r="C75" s="1254"/>
      <c r="D75" s="1246"/>
      <c r="E75" s="1254"/>
      <c r="F75" s="1246"/>
      <c r="G75" s="1254"/>
      <c r="H75" s="1254"/>
      <c r="I75" s="1254"/>
      <c r="J75" s="1246"/>
      <c r="K75" s="1254"/>
      <c r="L75" s="1254"/>
      <c r="M75" s="1254"/>
      <c r="N75" s="1246"/>
      <c r="O75" s="1254"/>
      <c r="P75" s="1254"/>
      <c r="Q75" s="1254"/>
      <c r="R75" s="1246"/>
      <c r="S75" s="1254"/>
      <c r="T75" s="1254"/>
      <c r="U75" s="1254"/>
      <c r="V75" s="1246"/>
      <c r="W75" s="1254"/>
      <c r="X75" s="1254"/>
      <c r="Y75" s="1254"/>
      <c r="Z75" s="1254"/>
      <c r="AA75" s="1254"/>
      <c r="AB75" s="1246"/>
      <c r="AC75" s="1254"/>
      <c r="AD75" s="1254"/>
      <c r="AE75" s="1254"/>
      <c r="AF75" s="1246"/>
      <c r="AG75" s="1254"/>
      <c r="AH75" s="1254"/>
      <c r="AI75" s="1254"/>
      <c r="AJ75" s="1246"/>
      <c r="AK75" s="1254"/>
      <c r="AL75" s="1254"/>
      <c r="AM75" s="1254"/>
      <c r="AN75" s="1254"/>
      <c r="AO75" s="1254"/>
      <c r="AP75" s="1246"/>
      <c r="AQ75" s="1254"/>
      <c r="AR75" s="1254"/>
      <c r="AS75" s="1254"/>
      <c r="AT75" s="1246"/>
      <c r="AU75" s="1254"/>
      <c r="AV75" s="1254"/>
      <c r="AW75" s="1254"/>
      <c r="AX75" s="1246"/>
      <c r="AY75" s="1254"/>
      <c r="AZ75" s="1254"/>
      <c r="BA75" s="1254"/>
      <c r="BB75" s="1254"/>
      <c r="BC75" s="1254"/>
      <c r="BD75" s="1254"/>
      <c r="BE75" s="1254"/>
      <c r="BF75" s="26"/>
      <c r="BG75" s="26"/>
      <c r="BH75" s="26"/>
      <c r="BI75" s="26"/>
    </row>
    <row r="76" spans="1:61" ht="15.75" x14ac:dyDescent="0.25">
      <c r="B76" s="1249" t="s">
        <v>337</v>
      </c>
      <c r="C76" s="193" t="s">
        <v>336</v>
      </c>
      <c r="D76" s="1411">
        <v>1850</v>
      </c>
      <c r="E76" s="1258">
        <v>1930.9271502946001</v>
      </c>
      <c r="F76" s="1411">
        <v>1850</v>
      </c>
      <c r="G76" s="1258">
        <v>1932.4082586117247</v>
      </c>
      <c r="H76" s="947">
        <v>1850</v>
      </c>
      <c r="I76" s="1259">
        <f>+((E76*E77)+(G77*G76))/I77</f>
        <v>1931.5451231482295</v>
      </c>
      <c r="J76" s="1411">
        <v>1850</v>
      </c>
      <c r="K76" s="1258"/>
      <c r="L76" s="946">
        <v>1850</v>
      </c>
      <c r="M76" s="1266">
        <f>+((I76*I77)+(K77*K76))/M77</f>
        <v>1931.5451231482295</v>
      </c>
      <c r="N76" s="1411">
        <v>1850</v>
      </c>
      <c r="O76" s="1258">
        <v>1950.8100224817692</v>
      </c>
      <c r="P76" s="947">
        <v>1850</v>
      </c>
      <c r="Q76" s="1259">
        <f>+((M76*M77)+(O77*O76))/Q77</f>
        <v>1937.6453685561607</v>
      </c>
      <c r="R76" s="2567">
        <v>1850</v>
      </c>
      <c r="S76" s="1258">
        <v>1932.5443666293604</v>
      </c>
      <c r="T76" s="2565">
        <v>1850</v>
      </c>
      <c r="U76" s="1259">
        <f>+((Q76*Q77)+(S77*S76))/U77</f>
        <v>1936.2528816270026</v>
      </c>
      <c r="V76" s="3288">
        <v>1850</v>
      </c>
      <c r="W76" s="1258">
        <v>1936.9</v>
      </c>
      <c r="X76" s="946">
        <v>1850</v>
      </c>
      <c r="Y76" s="1260">
        <f>+((O76*O77)+(S76*S77)+(W77*W76))/Y77</f>
        <v>1939.4952986677301</v>
      </c>
      <c r="Z76" s="1261">
        <v>1850</v>
      </c>
      <c r="AA76" s="1261">
        <f>+((M76*M77)+(Y77*Y76))/AA77</f>
        <v>1936.3914687113959</v>
      </c>
      <c r="AB76" s="3616">
        <v>1850</v>
      </c>
      <c r="AC76" s="1258">
        <v>1914.6234723128359</v>
      </c>
      <c r="AD76" s="3615">
        <v>1850</v>
      </c>
      <c r="AE76" s="1259">
        <f>+((AA76*AA77)+(AC77*AC76))/AE77</f>
        <v>1931.7544902015313</v>
      </c>
      <c r="AF76" s="3616">
        <v>1850</v>
      </c>
      <c r="AG76" s="1258">
        <v>1904.3575333018616</v>
      </c>
      <c r="AH76" s="3615">
        <v>1850</v>
      </c>
      <c r="AI76" s="1259">
        <f>+((AE76*AE77)+(AG77*AG76))/AI77</f>
        <v>1927.5613897379135</v>
      </c>
      <c r="AJ76" s="3616">
        <v>1850</v>
      </c>
      <c r="AK76" s="1258">
        <v>1906.4001821845725</v>
      </c>
      <c r="AL76" s="4328">
        <v>1850</v>
      </c>
      <c r="AM76" s="1260">
        <f>+((AC76*AC77)+(AG76*AG77)+(AK77*AK76))/AM77</f>
        <v>1908.7185551821508</v>
      </c>
      <c r="AN76" s="3615">
        <v>1850</v>
      </c>
      <c r="AO76" s="1259">
        <f>+((AI76*AI77)+(AK77*AK76))/AO77</f>
        <v>1924.4616286935452</v>
      </c>
      <c r="AP76" s="3616">
        <v>1850</v>
      </c>
      <c r="AQ76" s="1258">
        <v>1911.4318133862657</v>
      </c>
      <c r="AR76" s="3615">
        <v>1850</v>
      </c>
      <c r="AS76" s="1259">
        <f>+((AO76*AO77)+(AQ77*AQ76))/AS77</f>
        <v>1922.7903658079292</v>
      </c>
      <c r="AT76" s="3616">
        <v>1850</v>
      </c>
      <c r="AU76" s="1258">
        <v>1906.3560936773222</v>
      </c>
      <c r="AV76" s="3615">
        <v>1850</v>
      </c>
      <c r="AW76" s="1259">
        <f>+((AS76*AS77)+(AU77*AU76))/AW77</f>
        <v>1920.880474914519</v>
      </c>
      <c r="AX76" s="3616">
        <v>1850</v>
      </c>
      <c r="AY76" s="1258">
        <v>1906.4917944943104</v>
      </c>
      <c r="AZ76" s="5166">
        <v>1850</v>
      </c>
      <c r="BA76" s="1260">
        <f>+((AQ76*AQ77)+(AU76*AU77)+(AY77*AY76))/BA77</f>
        <v>1908.0386484725425</v>
      </c>
      <c r="BB76" s="1261">
        <v>1850</v>
      </c>
      <c r="BC76" s="1261">
        <f>+((AM76*AM77)+(BA77*BA76))/BC77</f>
        <v>1908.368813874604</v>
      </c>
      <c r="BD76" s="3615">
        <v>1850</v>
      </c>
      <c r="BE76" s="1259">
        <f>+((AW76*AW77)+(AY77*AY76))/BE77</f>
        <v>1919.313039875886</v>
      </c>
      <c r="BF76" s="26"/>
      <c r="BG76" s="26"/>
      <c r="BH76" s="26"/>
      <c r="BI76" s="26"/>
    </row>
    <row r="77" spans="1:61" ht="15.75" x14ac:dyDescent="0.25">
      <c r="B77" s="1262" t="s">
        <v>475</v>
      </c>
      <c r="C77" s="973" t="s">
        <v>333</v>
      </c>
      <c r="D77" s="549">
        <f>D78*D$2*24</f>
        <v>12183.018867924526</v>
      </c>
      <c r="E77" s="1263">
        <v>11621.331999999999</v>
      </c>
      <c r="F77" s="549">
        <f>F78*F$2*24</f>
        <v>10159.433962264151</v>
      </c>
      <c r="G77" s="1263">
        <v>8320.4410000000007</v>
      </c>
      <c r="H77" s="311">
        <f>+D77+F77</f>
        <v>22342.452830188675</v>
      </c>
      <c r="I77" s="1264">
        <f>+E77+G77</f>
        <v>19941.773000000001</v>
      </c>
      <c r="J77" s="549">
        <f>J78*J$2*24</f>
        <v>9935.2830188679254</v>
      </c>
      <c r="K77" s="1263"/>
      <c r="L77" s="969">
        <f>+H77+J77</f>
        <v>32277.7358490566</v>
      </c>
      <c r="M77" s="1260">
        <f>+I77+K77</f>
        <v>19941.773000000001</v>
      </c>
      <c r="N77" s="549">
        <f>N78*N$2*24</f>
        <v>12338.67924528302</v>
      </c>
      <c r="O77" s="1263">
        <v>9240.6309999999976</v>
      </c>
      <c r="P77" s="311">
        <f>+L77+N77</f>
        <v>44616.415094339623</v>
      </c>
      <c r="Q77" s="1264">
        <f>+M77+O77</f>
        <v>29182.403999999999</v>
      </c>
      <c r="R77" s="2569">
        <f>R78*R$2*24</f>
        <v>12338.67924528302</v>
      </c>
      <c r="S77" s="1263">
        <v>10957.516999999998</v>
      </c>
      <c r="T77" s="311">
        <f>+P77+R77</f>
        <v>56955.094339622643</v>
      </c>
      <c r="U77" s="1264">
        <f>+Q77+S77</f>
        <v>40139.920999999995</v>
      </c>
      <c r="V77" s="2942">
        <f>V78*V$2*24</f>
        <v>11975.471698113208</v>
      </c>
      <c r="W77" s="1263">
        <v>10939.1</v>
      </c>
      <c r="X77" s="969">
        <f>+V77+R77+N77</f>
        <v>36652.830188679247</v>
      </c>
      <c r="Y77" s="969">
        <f>+W77+S77+O77</f>
        <v>31137.247999999996</v>
      </c>
      <c r="Z77" s="625">
        <f>+L77+X77</f>
        <v>68930.566037735844</v>
      </c>
      <c r="AA77" s="625">
        <f>+Y77+M77</f>
        <v>51079.020999999993</v>
      </c>
      <c r="AB77" s="2942">
        <f>AB78*AB$2*24</f>
        <v>12701.886792452831</v>
      </c>
      <c r="AC77" s="1263">
        <v>13825.933999999996</v>
      </c>
      <c r="AD77" s="311">
        <f>+Z77+AB77</f>
        <v>81632.452830188675</v>
      </c>
      <c r="AE77" s="1264">
        <f>+AA77+AC77</f>
        <v>64904.954999999987</v>
      </c>
      <c r="AF77" s="2942">
        <f>AF78*AF$2*24</f>
        <v>12286.792452830188</v>
      </c>
      <c r="AG77" s="1263">
        <v>11728.783000000003</v>
      </c>
      <c r="AH77" s="311">
        <f>+AD77+AF77</f>
        <v>93919.245283018856</v>
      </c>
      <c r="AI77" s="1264">
        <f>+AE77+AG77</f>
        <v>76633.737999999983</v>
      </c>
      <c r="AJ77" s="2942">
        <f>AJ78*AJ$2*24</f>
        <v>12753.773584905663</v>
      </c>
      <c r="AK77" s="1263">
        <v>13152.117999999997</v>
      </c>
      <c r="AL77" s="969">
        <f>+AJ77+AF77+AB77</f>
        <v>37742.452830188682</v>
      </c>
      <c r="AM77" s="969">
        <f>+AK77+AG77+AC77</f>
        <v>38706.834999999992</v>
      </c>
      <c r="AN77" s="311">
        <f>+AH77+AJ77</f>
        <v>106673.01886792452</v>
      </c>
      <c r="AO77" s="1264">
        <f>+AI77+AK77</f>
        <v>89785.855999999985</v>
      </c>
      <c r="AP77" s="2942">
        <f>AP78*AP$2*24</f>
        <v>12753.773584905663</v>
      </c>
      <c r="AQ77" s="1263">
        <v>13210.818000000008</v>
      </c>
      <c r="AR77" s="311">
        <f>+AN77+AP77</f>
        <v>119426.79245283018</v>
      </c>
      <c r="AS77" s="1264">
        <f>+AO77+AQ77</f>
        <v>102996.674</v>
      </c>
      <c r="AT77" s="2942">
        <f>AT78*AT$2*24</f>
        <v>11871.698113207549</v>
      </c>
      <c r="AU77" s="1263">
        <v>13543.6</v>
      </c>
      <c r="AV77" s="311">
        <f>+AR77+AT77</f>
        <v>131298.49056603774</v>
      </c>
      <c r="AW77" s="1264">
        <f>+AS77+AU77</f>
        <v>116540.274</v>
      </c>
      <c r="AX77" s="2942">
        <f>AX78*AX$2*24</f>
        <v>12805.66037735849</v>
      </c>
      <c r="AY77" s="1263">
        <v>14247.392000000002</v>
      </c>
      <c r="AZ77" s="969">
        <f>+AX77+AT77+AP77</f>
        <v>37431.132075471702</v>
      </c>
      <c r="BA77" s="969">
        <f>+AY77+AU77+AQ77</f>
        <v>41001.810000000012</v>
      </c>
      <c r="BB77" s="625">
        <f>+AL77+AZ77</f>
        <v>75173.584905660391</v>
      </c>
      <c r="BC77" s="625">
        <f>+BA77+AM77</f>
        <v>79708.645000000004</v>
      </c>
      <c r="BD77" s="311">
        <f>+AV77+AX77</f>
        <v>144104.15094339623</v>
      </c>
      <c r="BE77" s="1264">
        <f>+AW77+AY77</f>
        <v>130787.66600000001</v>
      </c>
      <c r="BF77" s="26"/>
      <c r="BG77" s="26"/>
      <c r="BH77" s="26"/>
      <c r="BI77" s="26"/>
    </row>
    <row r="78" spans="1:61" ht="15.75" hidden="1" customHeight="1" x14ac:dyDescent="0.25">
      <c r="B78" s="1262"/>
      <c r="C78" s="973"/>
      <c r="D78" s="1411">
        <v>16.920859538784065</v>
      </c>
      <c r="E78" s="1263"/>
      <c r="F78" s="1411">
        <v>13.655153175086225</v>
      </c>
      <c r="G78" s="1263"/>
      <c r="H78" s="311"/>
      <c r="I78" s="1264"/>
      <c r="J78" s="1411">
        <v>13.799004192872118</v>
      </c>
      <c r="K78" s="1263"/>
      <c r="L78" s="969"/>
      <c r="M78" s="1260"/>
      <c r="N78" s="1411">
        <v>16.584246297423412</v>
      </c>
      <c r="O78" s="1263"/>
      <c r="P78" s="311"/>
      <c r="Q78" s="1264"/>
      <c r="R78" s="2567">
        <v>16.584246297423412</v>
      </c>
      <c r="S78" s="1263"/>
      <c r="T78" s="311"/>
      <c r="U78" s="1264"/>
      <c r="V78" s="3288">
        <v>16.632599580712789</v>
      </c>
      <c r="W78" s="1263"/>
      <c r="X78" s="969"/>
      <c r="Y78" s="969"/>
      <c r="Z78" s="625"/>
      <c r="AA78" s="625"/>
      <c r="AB78" s="3616">
        <v>17.072428484479612</v>
      </c>
      <c r="AC78" s="1263"/>
      <c r="AD78" s="311"/>
      <c r="AE78" s="1264"/>
      <c r="AF78" s="3616">
        <v>17.064989517819704</v>
      </c>
      <c r="AG78" s="1263"/>
      <c r="AH78" s="311"/>
      <c r="AI78" s="1264"/>
      <c r="AJ78" s="3616">
        <v>17.142168796916213</v>
      </c>
      <c r="AK78" s="1263"/>
      <c r="AL78" s="969"/>
      <c r="AM78" s="969"/>
      <c r="AN78" s="311"/>
      <c r="AO78" s="1264"/>
      <c r="AP78" s="3616">
        <v>17.142168796916213</v>
      </c>
      <c r="AQ78" s="1263"/>
      <c r="AR78" s="311"/>
      <c r="AS78" s="1264"/>
      <c r="AT78" s="3616">
        <v>17.057037518976362</v>
      </c>
      <c r="AU78" s="1263"/>
      <c r="AV78" s="311"/>
      <c r="AW78" s="1264"/>
      <c r="AX78" s="3616">
        <v>17.21190910935281</v>
      </c>
      <c r="AY78" s="1263"/>
      <c r="AZ78" s="969"/>
      <c r="BA78" s="969"/>
      <c r="BB78" s="625"/>
      <c r="BC78" s="625"/>
      <c r="BD78" s="311"/>
      <c r="BE78" s="1264"/>
      <c r="BF78" s="26"/>
      <c r="BG78" s="26"/>
      <c r="BH78" s="26"/>
      <c r="BI78" s="26"/>
    </row>
    <row r="79" spans="1:61" x14ac:dyDescent="0.25">
      <c r="B79" s="941" t="s">
        <v>482</v>
      </c>
      <c r="C79" s="193" t="s">
        <v>333</v>
      </c>
      <c r="D79" s="1411">
        <f>D80*D$2*24</f>
        <v>0</v>
      </c>
      <c r="E79" s="1258">
        <v>0</v>
      </c>
      <c r="F79" s="1411">
        <f>F80*F$2*24</f>
        <v>0</v>
      </c>
      <c r="G79" s="1258">
        <v>0</v>
      </c>
      <c r="H79" s="947">
        <f>+D79+F79</f>
        <v>0</v>
      </c>
      <c r="I79" s="1259">
        <f>+E79+G79</f>
        <v>0</v>
      </c>
      <c r="J79" s="1411">
        <f>J80*J$2*24</f>
        <v>0</v>
      </c>
      <c r="K79" s="1258"/>
      <c r="L79" s="946">
        <f>+H79+J79</f>
        <v>0</v>
      </c>
      <c r="M79" s="1266">
        <f>+I79+K79</f>
        <v>0</v>
      </c>
      <c r="N79" s="1411">
        <f>N80*N$2*24</f>
        <v>0</v>
      </c>
      <c r="O79" s="1258">
        <v>0</v>
      </c>
      <c r="P79" s="947">
        <f>+L79+N79</f>
        <v>0</v>
      </c>
      <c r="Q79" s="1259">
        <f>+M79+O79</f>
        <v>0</v>
      </c>
      <c r="R79" s="2567">
        <f>R80*R$2*24</f>
        <v>0</v>
      </c>
      <c r="S79" s="1258">
        <v>0</v>
      </c>
      <c r="T79" s="2565">
        <f>+P79+R79</f>
        <v>0</v>
      </c>
      <c r="U79" s="1259">
        <f>+Q79+S79</f>
        <v>0</v>
      </c>
      <c r="V79" s="3288">
        <f>V80*V$2*24</f>
        <v>0</v>
      </c>
      <c r="W79" s="1258">
        <v>0</v>
      </c>
      <c r="X79" s="946">
        <f>+V79+R79+N79</f>
        <v>0</v>
      </c>
      <c r="Y79" s="946">
        <f>+W79+S79+O79</f>
        <v>0</v>
      </c>
      <c r="Z79" s="558">
        <f>+L79+X79</f>
        <v>0</v>
      </c>
      <c r="AA79" s="558">
        <f>+Y79+M79</f>
        <v>0</v>
      </c>
      <c r="AB79" s="3616">
        <f>AB80*AB$2*24</f>
        <v>0</v>
      </c>
      <c r="AC79" s="1258">
        <v>0</v>
      </c>
      <c r="AD79" s="3615">
        <f>+Z79+AB79</f>
        <v>0</v>
      </c>
      <c r="AE79" s="1259">
        <f>+AA79+AC79</f>
        <v>0</v>
      </c>
      <c r="AF79" s="3616">
        <f>AF80*AF$2*24</f>
        <v>0</v>
      </c>
      <c r="AG79" s="1258"/>
      <c r="AH79" s="3615">
        <f>+AD79+AF79</f>
        <v>0</v>
      </c>
      <c r="AI79" s="1259">
        <f>+AE79+AG79</f>
        <v>0</v>
      </c>
      <c r="AJ79" s="3616">
        <f>AJ80*AJ$2*24</f>
        <v>0</v>
      </c>
      <c r="AK79" s="1258">
        <v>0</v>
      </c>
      <c r="AL79" s="4328">
        <f>+AJ79+AF79+AB79</f>
        <v>0</v>
      </c>
      <c r="AM79" s="4328">
        <f>+AK79+AG79+AC79</f>
        <v>0</v>
      </c>
      <c r="AN79" s="3615">
        <f>+AH79+AJ79</f>
        <v>0</v>
      </c>
      <c r="AO79" s="1259">
        <f>+AI79+AK79</f>
        <v>0</v>
      </c>
      <c r="AP79" s="3616">
        <f>AP80*AP$2*24</f>
        <v>0</v>
      </c>
      <c r="AQ79" s="1258">
        <v>0</v>
      </c>
      <c r="AR79" s="3615">
        <f>+AN79+AP79</f>
        <v>0</v>
      </c>
      <c r="AS79" s="1259">
        <f>+AO79+AQ79</f>
        <v>0</v>
      </c>
      <c r="AT79" s="3616">
        <f>AT80*AT$2*24</f>
        <v>0</v>
      </c>
      <c r="AU79" s="1258">
        <v>0</v>
      </c>
      <c r="AV79" s="3615">
        <f>+AR79+AT79</f>
        <v>0</v>
      </c>
      <c r="AW79" s="1259">
        <f>+AS79+AU79</f>
        <v>0</v>
      </c>
      <c r="AX79" s="3616">
        <f>AX80*AX$2*24</f>
        <v>0</v>
      </c>
      <c r="AY79" s="1258">
        <v>0</v>
      </c>
      <c r="AZ79" s="5166">
        <f>+AX79+AT79+AP79</f>
        <v>0</v>
      </c>
      <c r="BA79" s="5166">
        <f>+AY79+AU79+AQ79</f>
        <v>0</v>
      </c>
      <c r="BB79" s="5175">
        <f t="shared" ref="BB79" si="493">+AL79+AZ79</f>
        <v>0</v>
      </c>
      <c r="BC79" s="5175">
        <f t="shared" ref="BC79" si="494">+AM79+BA79</f>
        <v>0</v>
      </c>
      <c r="BD79" s="3615">
        <f>+AV79+AX79</f>
        <v>0</v>
      </c>
      <c r="BE79" s="1259">
        <f>+AW79+AY79</f>
        <v>0</v>
      </c>
      <c r="BF79" s="26"/>
      <c r="BG79" s="26"/>
      <c r="BH79" s="26"/>
      <c r="BI79" s="26"/>
    </row>
    <row r="80" spans="1:61" ht="15" hidden="1" customHeight="1" x14ac:dyDescent="0.25">
      <c r="B80" s="941"/>
      <c r="C80" s="193"/>
      <c r="D80" s="1411"/>
      <c r="E80" s="1258"/>
      <c r="F80" s="1411"/>
      <c r="G80" s="1258"/>
      <c r="H80" s="947"/>
      <c r="I80" s="1259"/>
      <c r="J80" s="1411"/>
      <c r="K80" s="1258"/>
      <c r="L80" s="946"/>
      <c r="M80" s="1266"/>
      <c r="N80" s="1411"/>
      <c r="O80" s="1258"/>
      <c r="P80" s="947"/>
      <c r="Q80" s="1259"/>
      <c r="R80" s="2567"/>
      <c r="S80" s="1258"/>
      <c r="T80" s="2565"/>
      <c r="U80" s="1259"/>
      <c r="V80" s="3288"/>
      <c r="W80" s="1258"/>
      <c r="X80" s="946"/>
      <c r="Y80" s="946"/>
      <c r="Z80" s="558"/>
      <c r="AA80" s="558"/>
      <c r="AB80" s="3616"/>
      <c r="AC80" s="1258"/>
      <c r="AD80" s="3615"/>
      <c r="AE80" s="1259"/>
      <c r="AF80" s="3616"/>
      <c r="AG80" s="1258"/>
      <c r="AH80" s="3615"/>
      <c r="AI80" s="1259"/>
      <c r="AJ80" s="3616"/>
      <c r="AK80" s="1258"/>
      <c r="AL80" s="4328"/>
      <c r="AM80" s="4328"/>
      <c r="AN80" s="3615"/>
      <c r="AO80" s="1259"/>
      <c r="AP80" s="3616"/>
      <c r="AQ80" s="1258"/>
      <c r="AR80" s="3615"/>
      <c r="AS80" s="1259"/>
      <c r="AT80" s="3616"/>
      <c r="AU80" s="1258"/>
      <c r="AV80" s="3615"/>
      <c r="AW80" s="1259"/>
      <c r="AX80" s="3616"/>
      <c r="AY80" s="1258"/>
      <c r="AZ80" s="5166"/>
      <c r="BA80" s="5166"/>
      <c r="BB80" s="5164"/>
      <c r="BC80" s="5164"/>
      <c r="BD80" s="3615"/>
      <c r="BE80" s="1259"/>
      <c r="BF80" s="26"/>
      <c r="BG80" s="26"/>
      <c r="BH80" s="26"/>
      <c r="BI80" s="26"/>
    </row>
    <row r="81" spans="1:61" x14ac:dyDescent="0.25">
      <c r="B81" s="941" t="s">
        <v>75</v>
      </c>
      <c r="C81" s="193" t="s">
        <v>51</v>
      </c>
      <c r="D81" s="1411">
        <f t="shared" ref="D81:E81" si="495">+D79/D77*100</f>
        <v>0</v>
      </c>
      <c r="E81" s="1258">
        <f t="shared" si="495"/>
        <v>0</v>
      </c>
      <c r="F81" s="1411">
        <f t="shared" ref="F81:G81" si="496">+F79/F77*100</f>
        <v>0</v>
      </c>
      <c r="G81" s="1258">
        <f t="shared" si="496"/>
        <v>0</v>
      </c>
      <c r="H81" s="947">
        <f t="shared" ref="H81:K81" si="497">+H79/H77*100</f>
        <v>0</v>
      </c>
      <c r="I81" s="1257">
        <f t="shared" si="497"/>
        <v>0</v>
      </c>
      <c r="J81" s="1411">
        <f t="shared" si="497"/>
        <v>0</v>
      </c>
      <c r="K81" s="1258" t="e">
        <f t="shared" si="497"/>
        <v>#DIV/0!</v>
      </c>
      <c r="L81" s="946">
        <f t="shared" ref="L81:Q81" si="498">+L79/L77*100</f>
        <v>0</v>
      </c>
      <c r="M81" s="1267">
        <f t="shared" si="498"/>
        <v>0</v>
      </c>
      <c r="N81" s="1411">
        <f t="shared" si="498"/>
        <v>0</v>
      </c>
      <c r="O81" s="1258">
        <f t="shared" si="498"/>
        <v>0</v>
      </c>
      <c r="P81" s="947">
        <f t="shared" si="498"/>
        <v>0</v>
      </c>
      <c r="Q81" s="1257">
        <f t="shared" si="498"/>
        <v>0</v>
      </c>
      <c r="R81" s="2567">
        <f t="shared" ref="R81:U81" si="499">+R79/R77*100</f>
        <v>0</v>
      </c>
      <c r="S81" s="1258">
        <f t="shared" si="499"/>
        <v>0</v>
      </c>
      <c r="T81" s="2565">
        <f t="shared" si="499"/>
        <v>0</v>
      </c>
      <c r="U81" s="1257">
        <f t="shared" si="499"/>
        <v>0</v>
      </c>
      <c r="V81" s="3288">
        <f t="shared" ref="V81:W81" si="500">+V79/V77*100</f>
        <v>0</v>
      </c>
      <c r="W81" s="1258">
        <f t="shared" si="500"/>
        <v>0</v>
      </c>
      <c r="X81" s="946">
        <f t="shared" ref="X81:AE81" si="501">+X79/X77*100</f>
        <v>0</v>
      </c>
      <c r="Y81" s="1267">
        <f t="shared" si="501"/>
        <v>0</v>
      </c>
      <c r="Z81" s="558">
        <f t="shared" si="501"/>
        <v>0</v>
      </c>
      <c r="AA81" s="1268">
        <f t="shared" si="501"/>
        <v>0</v>
      </c>
      <c r="AB81" s="3616">
        <f t="shared" si="501"/>
        <v>0</v>
      </c>
      <c r="AC81" s="1258">
        <f t="shared" si="501"/>
        <v>0</v>
      </c>
      <c r="AD81" s="3615">
        <f t="shared" si="501"/>
        <v>0</v>
      </c>
      <c r="AE81" s="1259">
        <f t="shared" si="501"/>
        <v>0</v>
      </c>
      <c r="AF81" s="3616">
        <f t="shared" ref="AF81:AI81" si="502">+AF79/AF77*100</f>
        <v>0</v>
      </c>
      <c r="AG81" s="1258">
        <f t="shared" si="502"/>
        <v>0</v>
      </c>
      <c r="AH81" s="3615">
        <f t="shared" si="502"/>
        <v>0</v>
      </c>
      <c r="AI81" s="1259">
        <f t="shared" si="502"/>
        <v>0</v>
      </c>
      <c r="AJ81" s="3616">
        <f t="shared" ref="AJ81:AO81" si="503">+AJ79/AJ77*100</f>
        <v>0</v>
      </c>
      <c r="AK81" s="1258">
        <f t="shared" si="503"/>
        <v>0</v>
      </c>
      <c r="AL81" s="4328">
        <f t="shared" si="503"/>
        <v>0</v>
      </c>
      <c r="AM81" s="1267">
        <f t="shared" si="503"/>
        <v>0</v>
      </c>
      <c r="AN81" s="3615">
        <f t="shared" si="503"/>
        <v>0</v>
      </c>
      <c r="AO81" s="1259">
        <f t="shared" si="503"/>
        <v>0</v>
      </c>
      <c r="AP81" s="3616">
        <f t="shared" ref="AP81:AS81" si="504">+AP79/AP77*100</f>
        <v>0</v>
      </c>
      <c r="AQ81" s="1258">
        <f t="shared" si="504"/>
        <v>0</v>
      </c>
      <c r="AR81" s="3615">
        <f t="shared" si="504"/>
        <v>0</v>
      </c>
      <c r="AS81" s="1259">
        <f t="shared" si="504"/>
        <v>0</v>
      </c>
      <c r="AT81" s="3616">
        <f t="shared" ref="AT81:AW81" si="505">+AT79/AT77*100</f>
        <v>0</v>
      </c>
      <c r="AU81" s="1258">
        <f t="shared" si="505"/>
        <v>0</v>
      </c>
      <c r="AV81" s="3615">
        <f t="shared" si="505"/>
        <v>0</v>
      </c>
      <c r="AW81" s="1259">
        <f t="shared" si="505"/>
        <v>0</v>
      </c>
      <c r="AX81" s="3616">
        <f t="shared" ref="AX81:BE81" si="506">+AX79/AX77*100</f>
        <v>0</v>
      </c>
      <c r="AY81" s="1258">
        <f t="shared" si="506"/>
        <v>0</v>
      </c>
      <c r="AZ81" s="5166">
        <f t="shared" si="506"/>
        <v>0</v>
      </c>
      <c r="BA81" s="1267">
        <f t="shared" si="506"/>
        <v>0</v>
      </c>
      <c r="BB81" s="5164">
        <f t="shared" si="506"/>
        <v>0</v>
      </c>
      <c r="BC81" s="1268">
        <f t="shared" si="506"/>
        <v>0</v>
      </c>
      <c r="BD81" s="3615">
        <f t="shared" si="506"/>
        <v>0</v>
      </c>
      <c r="BE81" s="1259">
        <f t="shared" si="506"/>
        <v>0</v>
      </c>
      <c r="BF81" s="26"/>
      <c r="BG81" s="26"/>
      <c r="BH81" s="26"/>
      <c r="BI81" s="26"/>
    </row>
    <row r="82" spans="1:61" ht="18.75" x14ac:dyDescent="0.25">
      <c r="A82" s="122"/>
      <c r="B82" s="706" t="s">
        <v>57</v>
      </c>
      <c r="C82" s="1252" t="s">
        <v>333</v>
      </c>
      <c r="D82" s="1416">
        <f t="shared" ref="D82:E82" si="507">+D77-D79</f>
        <v>12183.018867924526</v>
      </c>
      <c r="E82" s="1416">
        <f t="shared" si="507"/>
        <v>11621.331999999999</v>
      </c>
      <c r="F82" s="1416">
        <f t="shared" ref="F82:G82" si="508">+F77-F79</f>
        <v>10159.433962264151</v>
      </c>
      <c r="G82" s="1416">
        <f t="shared" si="508"/>
        <v>8320.4410000000007</v>
      </c>
      <c r="H82" s="311">
        <f t="shared" ref="H82:K82" si="509">+H77-H79</f>
        <v>22342.452830188675</v>
      </c>
      <c r="I82" s="1264">
        <f t="shared" si="509"/>
        <v>19941.773000000001</v>
      </c>
      <c r="J82" s="1416">
        <f t="shared" si="509"/>
        <v>9935.2830188679254</v>
      </c>
      <c r="K82" s="1416">
        <f t="shared" si="509"/>
        <v>0</v>
      </c>
      <c r="L82" s="969">
        <f t="shared" ref="L82:Q82" si="510">+L77-L79</f>
        <v>32277.7358490566</v>
      </c>
      <c r="M82" s="1260">
        <f t="shared" si="510"/>
        <v>19941.773000000001</v>
      </c>
      <c r="N82" s="1416">
        <f t="shared" si="510"/>
        <v>12338.67924528302</v>
      </c>
      <c r="O82" s="1416">
        <f t="shared" si="510"/>
        <v>9240.6309999999976</v>
      </c>
      <c r="P82" s="311">
        <f t="shared" si="510"/>
        <v>44616.415094339623</v>
      </c>
      <c r="Q82" s="1264">
        <f t="shared" si="510"/>
        <v>29182.403999999999</v>
      </c>
      <c r="R82" s="1416">
        <f t="shared" ref="R82:U82" si="511">+R77-R79</f>
        <v>12338.67924528302</v>
      </c>
      <c r="S82" s="1416">
        <f t="shared" si="511"/>
        <v>10957.516999999998</v>
      </c>
      <c r="T82" s="311">
        <f t="shared" si="511"/>
        <v>56955.094339622643</v>
      </c>
      <c r="U82" s="1264">
        <f t="shared" si="511"/>
        <v>40139.920999999995</v>
      </c>
      <c r="V82" s="1416">
        <f t="shared" ref="V82:W82" si="512">+V77-V79</f>
        <v>11975.471698113208</v>
      </c>
      <c r="W82" s="1416">
        <f t="shared" si="512"/>
        <v>10939.1</v>
      </c>
      <c r="X82" s="969">
        <f t="shared" ref="X82:AE82" si="513">+X77-X79</f>
        <v>36652.830188679247</v>
      </c>
      <c r="Y82" s="1260">
        <f t="shared" si="513"/>
        <v>31137.247999999996</v>
      </c>
      <c r="Z82" s="1265">
        <f t="shared" si="513"/>
        <v>68930.566037735844</v>
      </c>
      <c r="AA82" s="1265">
        <f t="shared" si="513"/>
        <v>51079.020999999993</v>
      </c>
      <c r="AB82" s="1416">
        <f t="shared" si="513"/>
        <v>12701.886792452831</v>
      </c>
      <c r="AC82" s="1416">
        <f t="shared" si="513"/>
        <v>13825.933999999996</v>
      </c>
      <c r="AD82" s="311">
        <f t="shared" si="513"/>
        <v>81632.452830188675</v>
      </c>
      <c r="AE82" s="1264">
        <f t="shared" si="513"/>
        <v>64904.954999999987</v>
      </c>
      <c r="AF82" s="1416">
        <f t="shared" ref="AF82:AI82" si="514">+AF77-AF79</f>
        <v>12286.792452830188</v>
      </c>
      <c r="AG82" s="1416">
        <f t="shared" si="514"/>
        <v>11728.783000000003</v>
      </c>
      <c r="AH82" s="311">
        <f t="shared" si="514"/>
        <v>93919.245283018856</v>
      </c>
      <c r="AI82" s="1264">
        <f t="shared" si="514"/>
        <v>76633.737999999983</v>
      </c>
      <c r="AJ82" s="1416">
        <f t="shared" ref="AJ82:AO82" si="515">+AJ77-AJ79</f>
        <v>12753.773584905663</v>
      </c>
      <c r="AK82" s="1416">
        <f t="shared" si="515"/>
        <v>13152.117999999997</v>
      </c>
      <c r="AL82" s="969">
        <f t="shared" si="515"/>
        <v>37742.452830188682</v>
      </c>
      <c r="AM82" s="1260">
        <f t="shared" si="515"/>
        <v>38706.834999999992</v>
      </c>
      <c r="AN82" s="311">
        <f t="shared" si="515"/>
        <v>106673.01886792452</v>
      </c>
      <c r="AO82" s="1264">
        <f t="shared" si="515"/>
        <v>89785.855999999985</v>
      </c>
      <c r="AP82" s="1416">
        <f t="shared" ref="AP82:AS82" si="516">+AP77-AP79</f>
        <v>12753.773584905663</v>
      </c>
      <c r="AQ82" s="1416">
        <f t="shared" si="516"/>
        <v>13210.818000000008</v>
      </c>
      <c r="AR82" s="311">
        <f t="shared" si="516"/>
        <v>119426.79245283018</v>
      </c>
      <c r="AS82" s="1264">
        <f t="shared" si="516"/>
        <v>102996.674</v>
      </c>
      <c r="AT82" s="1416">
        <f t="shared" ref="AT82:AW82" si="517">+AT77-AT79</f>
        <v>11871.698113207549</v>
      </c>
      <c r="AU82" s="1416">
        <f t="shared" si="517"/>
        <v>13543.6</v>
      </c>
      <c r="AV82" s="311">
        <f t="shared" si="517"/>
        <v>131298.49056603774</v>
      </c>
      <c r="AW82" s="1264">
        <f t="shared" si="517"/>
        <v>116540.274</v>
      </c>
      <c r="AX82" s="1416">
        <f t="shared" ref="AX82:BE82" si="518">+AX77-AX79</f>
        <v>12805.66037735849</v>
      </c>
      <c r="AY82" s="1416">
        <f t="shared" si="518"/>
        <v>14247.392000000002</v>
      </c>
      <c r="AZ82" s="969">
        <f t="shared" si="518"/>
        <v>37431.132075471702</v>
      </c>
      <c r="BA82" s="1260">
        <f t="shared" si="518"/>
        <v>41001.810000000012</v>
      </c>
      <c r="BB82" s="1265">
        <f t="shared" si="518"/>
        <v>75173.584905660391</v>
      </c>
      <c r="BC82" s="1265">
        <f t="shared" si="518"/>
        <v>79708.645000000004</v>
      </c>
      <c r="BD82" s="311">
        <f t="shared" si="518"/>
        <v>144104.15094339623</v>
      </c>
      <c r="BE82" s="1264">
        <f t="shared" si="518"/>
        <v>130787.66600000001</v>
      </c>
      <c r="BF82" s="26"/>
      <c r="BG82" s="26"/>
      <c r="BH82" s="26"/>
      <c r="BI82" s="26"/>
    </row>
    <row r="83" spans="1:61" ht="15.75" x14ac:dyDescent="0.25">
      <c r="A83" s="122"/>
      <c r="B83" s="1262" t="s">
        <v>476</v>
      </c>
      <c r="C83" s="1262"/>
      <c r="D83" s="1050"/>
      <c r="E83" s="1262"/>
      <c r="F83" s="1050"/>
      <c r="G83" s="1262"/>
      <c r="H83" s="1262"/>
      <c r="I83" s="1262"/>
      <c r="J83" s="1050"/>
      <c r="K83" s="1262"/>
      <c r="L83" s="1262"/>
      <c r="M83" s="1262"/>
      <c r="N83" s="1050"/>
      <c r="O83" s="1262"/>
      <c r="P83" s="1262"/>
      <c r="Q83" s="1262"/>
      <c r="R83" s="1050"/>
      <c r="S83" s="1262"/>
      <c r="T83" s="1262"/>
      <c r="U83" s="1262"/>
      <c r="V83" s="1050"/>
      <c r="W83" s="1262"/>
      <c r="X83" s="1262"/>
      <c r="Y83" s="1262"/>
      <c r="Z83" s="1262"/>
      <c r="AA83" s="1262"/>
      <c r="AB83" s="1050"/>
      <c r="AC83" s="1262"/>
      <c r="AD83" s="1262"/>
      <c r="AE83" s="1262"/>
      <c r="AF83" s="1050"/>
      <c r="AG83" s="1262"/>
      <c r="AH83" s="1262"/>
      <c r="AI83" s="1262"/>
      <c r="AJ83" s="1050"/>
      <c r="AK83" s="1262"/>
      <c r="AL83" s="1262"/>
      <c r="AM83" s="1262"/>
      <c r="AN83" s="1262"/>
      <c r="AO83" s="1262"/>
      <c r="AP83" s="1050"/>
      <c r="AQ83" s="1262"/>
      <c r="AR83" s="1262"/>
      <c r="AS83" s="1262"/>
      <c r="AT83" s="1050"/>
      <c r="AU83" s="1262"/>
      <c r="AV83" s="1262"/>
      <c r="AW83" s="1262"/>
      <c r="AX83" s="1050"/>
      <c r="AY83" s="1262"/>
      <c r="AZ83" s="1262"/>
      <c r="BA83" s="1262"/>
      <c r="BB83" s="1262"/>
      <c r="BC83" s="1262"/>
      <c r="BD83" s="1262"/>
      <c r="BE83" s="1262"/>
      <c r="BF83" s="26"/>
      <c r="BG83" s="26"/>
      <c r="BH83" s="26"/>
      <c r="BI83" s="26"/>
    </row>
    <row r="84" spans="1:61" ht="15.75" x14ac:dyDescent="0.25">
      <c r="A84" s="122"/>
      <c r="B84" s="1253" t="s">
        <v>126</v>
      </c>
      <c r="C84" s="193" t="s">
        <v>333</v>
      </c>
      <c r="D84" s="1416">
        <f>+D77</f>
        <v>12183.018867924526</v>
      </c>
      <c r="E84" s="1494">
        <v>11072.276999999998</v>
      </c>
      <c r="F84" s="1416">
        <f>+F77</f>
        <v>10159.433962264151</v>
      </c>
      <c r="G84" s="1494">
        <v>6752.8510000000015</v>
      </c>
      <c r="H84" s="947">
        <f>+D84+F84</f>
        <v>22342.452830188675</v>
      </c>
      <c r="I84" s="947">
        <f>+E84+G84</f>
        <v>17825.128000000001</v>
      </c>
      <c r="J84" s="1416">
        <f>+J77</f>
        <v>9935.2830188679254</v>
      </c>
      <c r="K84" s="1494"/>
      <c r="L84" s="946">
        <f>+H84+J84</f>
        <v>32277.7358490566</v>
      </c>
      <c r="M84" s="946">
        <f>+I84+K84</f>
        <v>17825.128000000001</v>
      </c>
      <c r="N84" s="1416">
        <f>+N77</f>
        <v>12338.67924528302</v>
      </c>
      <c r="O84" s="1494">
        <v>7885.7530000000006</v>
      </c>
      <c r="P84" s="947">
        <f>+L84+N84</f>
        <v>44616.415094339623</v>
      </c>
      <c r="Q84" s="947">
        <f>+M84+O84</f>
        <v>25710.881000000001</v>
      </c>
      <c r="R84" s="1416">
        <f>+R77</f>
        <v>12338.67924528302</v>
      </c>
      <c r="S84" s="2568">
        <v>8783.2599999999984</v>
      </c>
      <c r="T84" s="2565">
        <f>+P84+R84</f>
        <v>56955.094339622643</v>
      </c>
      <c r="U84" s="2565">
        <f>+Q84+S84</f>
        <v>34494.141000000003</v>
      </c>
      <c r="V84" s="1416">
        <f>+V77</f>
        <v>11975.471698113208</v>
      </c>
      <c r="W84" s="2941">
        <v>8980.4</v>
      </c>
      <c r="X84" s="946">
        <f>+V84+R84+N84</f>
        <v>36652.830188679247</v>
      </c>
      <c r="Y84" s="946">
        <f>+W84+S84+O84</f>
        <v>25649.412999999997</v>
      </c>
      <c r="Z84" s="558">
        <f>+L84+X84</f>
        <v>68930.566037735844</v>
      </c>
      <c r="AA84" s="558">
        <f>+Y84+M84</f>
        <v>43474.540999999997</v>
      </c>
      <c r="AB84" s="1416">
        <f>+AB77</f>
        <v>12701.886792452831</v>
      </c>
      <c r="AC84" s="2941">
        <v>10517.775999999996</v>
      </c>
      <c r="AD84" s="3615">
        <f>+Z84+AB84</f>
        <v>81632.452830188675</v>
      </c>
      <c r="AE84" s="3615">
        <f>+AA84+AC84</f>
        <v>53992.316999999995</v>
      </c>
      <c r="AF84" s="1416">
        <f>+AF77</f>
        <v>12286.792452830188</v>
      </c>
      <c r="AG84" s="2941">
        <v>10771.041999999998</v>
      </c>
      <c r="AH84" s="3615">
        <f>+AD84+AF84</f>
        <v>93919.245283018856</v>
      </c>
      <c r="AI84" s="3615">
        <f>+AE84+AG84</f>
        <v>64763.358999999997</v>
      </c>
      <c r="AJ84" s="1416">
        <f>+AJ77</f>
        <v>12753.773584905663</v>
      </c>
      <c r="AK84" s="2941">
        <v>12840.099999999999</v>
      </c>
      <c r="AL84" s="4328">
        <f>+AJ84+AF84+AB84</f>
        <v>37742.452830188682</v>
      </c>
      <c r="AM84" s="4328">
        <f>+AK84+AG84+AC84</f>
        <v>34128.917999999991</v>
      </c>
      <c r="AN84" s="3615">
        <f>+AH84+AJ84</f>
        <v>106673.01886792452</v>
      </c>
      <c r="AO84" s="3615">
        <f>+AI84+AK84</f>
        <v>77603.459000000003</v>
      </c>
      <c r="AP84" s="1416">
        <f>+AP77</f>
        <v>12753.773584905663</v>
      </c>
      <c r="AQ84" s="2941">
        <v>13004.951000000001</v>
      </c>
      <c r="AR84" s="3615">
        <f>+AN84+AP84</f>
        <v>119426.79245283018</v>
      </c>
      <c r="AS84" s="3615">
        <f>+AO84+AQ84</f>
        <v>90608.41</v>
      </c>
      <c r="AT84" s="1416">
        <f>+AT77</f>
        <v>11871.698113207549</v>
      </c>
      <c r="AU84" s="2941">
        <v>12899.449999999997</v>
      </c>
      <c r="AV84" s="3615">
        <f>+AR84+AT84</f>
        <v>131298.49056603774</v>
      </c>
      <c r="AW84" s="3615">
        <f>+AS84+AU84</f>
        <v>103507.86</v>
      </c>
      <c r="AX84" s="1416">
        <f>+AX77</f>
        <v>12805.66037735849</v>
      </c>
      <c r="AY84" s="2941">
        <v>13217.335000000001</v>
      </c>
      <c r="AZ84" s="5166">
        <f>+AX84+AT84+AP84</f>
        <v>37431.132075471702</v>
      </c>
      <c r="BA84" s="5166">
        <f>+AY84+AU84+AQ84</f>
        <v>39121.735999999997</v>
      </c>
      <c r="BB84" s="5175">
        <f t="shared" ref="BB84:BB88" si="519">+AL84+AZ84</f>
        <v>75173.584905660391</v>
      </c>
      <c r="BC84" s="5175">
        <f t="shared" ref="BC84:BC88" si="520">+AM84+BA84</f>
        <v>73250.65399999998</v>
      </c>
      <c r="BD84" s="3615">
        <f>+AV84+AX84</f>
        <v>144104.15094339623</v>
      </c>
      <c r="BE84" s="3615">
        <f>+AW84+AY84</f>
        <v>116725.19500000001</v>
      </c>
      <c r="BF84" s="26"/>
      <c r="BG84" s="26"/>
      <c r="BH84" s="26"/>
      <c r="BI84" s="26"/>
    </row>
    <row r="85" spans="1:61" ht="15.75" x14ac:dyDescent="0.25">
      <c r="A85" s="122"/>
      <c r="B85" s="1253" t="s">
        <v>1443</v>
      </c>
      <c r="C85" s="193" t="s">
        <v>333</v>
      </c>
      <c r="D85" s="1416"/>
      <c r="E85" s="1494">
        <v>200.11555807197027</v>
      </c>
      <c r="F85" s="1416"/>
      <c r="G85" s="1494">
        <v>592.10660495058437</v>
      </c>
      <c r="H85" s="947">
        <f>+D85+F85</f>
        <v>0</v>
      </c>
      <c r="I85" s="947">
        <f>+E85+G85</f>
        <v>792.2221630225547</v>
      </c>
      <c r="J85" s="1416"/>
      <c r="K85" s="1494"/>
      <c r="L85" s="946">
        <f t="shared" ref="L85:L87" si="521">+H85+J85</f>
        <v>0</v>
      </c>
      <c r="M85" s="946">
        <f t="shared" ref="M85:M87" si="522">+I85+K85</f>
        <v>792.2221630225547</v>
      </c>
      <c r="N85" s="1416"/>
      <c r="O85" s="1494">
        <v>506.75416496140093</v>
      </c>
      <c r="P85" s="947"/>
      <c r="Q85" s="2443">
        <f t="shared" ref="Q85:Q87" si="523">+M85+O85</f>
        <v>1298.9763279839556</v>
      </c>
      <c r="R85" s="1416"/>
      <c r="S85" s="2568">
        <v>861.45645950065898</v>
      </c>
      <c r="T85" s="2565"/>
      <c r="U85" s="2565">
        <f t="shared" ref="U85:U87" si="524">+Q85+S85</f>
        <v>2160.4327874846144</v>
      </c>
      <c r="V85" s="1416"/>
      <c r="W85" s="2941">
        <v>743.2</v>
      </c>
      <c r="X85" s="946"/>
      <c r="Y85" s="3419">
        <f t="shared" ref="Y85:Y88" si="525">+W85+S85+O85</f>
        <v>2111.4106244620598</v>
      </c>
      <c r="Z85" s="558">
        <f t="shared" ref="Z85:Z87" si="526">+L85+X85</f>
        <v>0</v>
      </c>
      <c r="AA85" s="558">
        <f t="shared" ref="AA85:AA88" si="527">+Y85+M85</f>
        <v>2903.6327874846147</v>
      </c>
      <c r="AB85" s="1416"/>
      <c r="AC85" s="2941">
        <v>1425.405350593916</v>
      </c>
      <c r="AD85" s="3615"/>
      <c r="AE85" s="3615">
        <f t="shared" ref="AE85:AE87" si="528">+AA85+AC85</f>
        <v>4329.0381380785311</v>
      </c>
      <c r="AF85" s="1416"/>
      <c r="AG85" s="2941">
        <v>442.65510082729037</v>
      </c>
      <c r="AH85" s="3615"/>
      <c r="AI85" s="3615">
        <f t="shared" ref="AI85:AI87" si="529">+AE85+AG85</f>
        <v>4771.6932389058211</v>
      </c>
      <c r="AJ85" s="1416"/>
      <c r="AK85" s="2941">
        <v>137.22959270181977</v>
      </c>
      <c r="AL85" s="4328"/>
      <c r="AM85" s="4328">
        <f t="shared" ref="AM85:AM88" si="530">+AK85+AG85+AC85</f>
        <v>2005.2900441230261</v>
      </c>
      <c r="AN85" s="3615"/>
      <c r="AO85" s="3615">
        <f t="shared" ref="AO85:AO87" si="531">+AI85+AK85</f>
        <v>4908.9228316076405</v>
      </c>
      <c r="AP85" s="1416"/>
      <c r="AQ85" s="2941">
        <v>86.121547190036594</v>
      </c>
      <c r="AR85" s="3615"/>
      <c r="AS85" s="3615">
        <f t="shared" ref="AS85:AS87" si="532">+AO85+AQ85</f>
        <v>4995.0443787976774</v>
      </c>
      <c r="AT85" s="1416"/>
      <c r="AU85" s="2941">
        <v>296.60895931695291</v>
      </c>
      <c r="AV85" s="3615"/>
      <c r="AW85" s="3615">
        <f t="shared" ref="AW85:AW87" si="533">+AS85+AU85</f>
        <v>5291.6533381146301</v>
      </c>
      <c r="AX85" s="1416"/>
      <c r="AY85" s="2941">
        <v>448.3990974036588</v>
      </c>
      <c r="AZ85" s="5166"/>
      <c r="BA85" s="5166">
        <f t="shared" ref="BA85:BA88" si="534">+AY85+AU85+AQ85</f>
        <v>831.12960391064826</v>
      </c>
      <c r="BB85" s="5175">
        <f t="shared" si="519"/>
        <v>0</v>
      </c>
      <c r="BC85" s="5175">
        <f t="shared" si="520"/>
        <v>2836.4196480336741</v>
      </c>
      <c r="BD85" s="3615"/>
      <c r="BE85" s="3615">
        <f t="shared" ref="BE85:BE87" si="535">+AW85+AY85</f>
        <v>5740.0524355182888</v>
      </c>
      <c r="BF85" s="26"/>
      <c r="BG85" s="26"/>
      <c r="BH85" s="26"/>
      <c r="BI85" s="26"/>
    </row>
    <row r="86" spans="1:61" ht="15.75" x14ac:dyDescent="0.25">
      <c r="A86" s="122"/>
      <c r="B86" s="1253" t="s">
        <v>93</v>
      </c>
      <c r="C86" s="193" t="s">
        <v>333</v>
      </c>
      <c r="D86" s="1416"/>
      <c r="E86" s="1494">
        <v>209.12012865582813</v>
      </c>
      <c r="F86" s="1416"/>
      <c r="G86" s="1494">
        <v>552.54211048065088</v>
      </c>
      <c r="H86" s="947">
        <f t="shared" ref="H86:H88" si="536">+D86+F86</f>
        <v>0</v>
      </c>
      <c r="I86" s="947">
        <f t="shared" ref="I86:I88" si="537">+E86+G86</f>
        <v>761.662239136479</v>
      </c>
      <c r="J86" s="1416"/>
      <c r="K86" s="1494"/>
      <c r="L86" s="946">
        <f t="shared" si="521"/>
        <v>0</v>
      </c>
      <c r="M86" s="946">
        <f t="shared" si="522"/>
        <v>761.662239136479</v>
      </c>
      <c r="N86" s="1416"/>
      <c r="O86" s="1494">
        <v>513.2049128821053</v>
      </c>
      <c r="P86" s="947"/>
      <c r="Q86" s="2443">
        <f t="shared" si="523"/>
        <v>1274.8671520185844</v>
      </c>
      <c r="R86" s="1416"/>
      <c r="S86" s="2568">
        <v>725.88193868069879</v>
      </c>
      <c r="T86" s="2565"/>
      <c r="U86" s="2565">
        <f t="shared" si="524"/>
        <v>2000.7490906992832</v>
      </c>
      <c r="V86" s="1416"/>
      <c r="W86" s="2941">
        <v>708.7</v>
      </c>
      <c r="X86" s="946"/>
      <c r="Y86" s="3419">
        <f t="shared" si="525"/>
        <v>1947.7868515628043</v>
      </c>
      <c r="Z86" s="558">
        <f t="shared" si="526"/>
        <v>0</v>
      </c>
      <c r="AA86" s="3420">
        <f t="shared" si="527"/>
        <v>2709.4490906992833</v>
      </c>
      <c r="AB86" s="1416"/>
      <c r="AC86" s="2941">
        <v>1250.5185312738658</v>
      </c>
      <c r="AD86" s="3615"/>
      <c r="AE86" s="3615">
        <f t="shared" si="528"/>
        <v>3959.9676219731491</v>
      </c>
      <c r="AF86" s="1416"/>
      <c r="AG86" s="2941">
        <v>344.73697024295336</v>
      </c>
      <c r="AH86" s="3615"/>
      <c r="AI86" s="3615">
        <f t="shared" si="529"/>
        <v>4304.7045922161024</v>
      </c>
      <c r="AJ86" s="1416"/>
      <c r="AK86" s="2941">
        <v>117.34110278932798</v>
      </c>
      <c r="AL86" s="4328"/>
      <c r="AM86" s="4328">
        <f t="shared" si="530"/>
        <v>1712.5966043061471</v>
      </c>
      <c r="AN86" s="3615"/>
      <c r="AO86" s="3615">
        <f t="shared" si="531"/>
        <v>4422.0456950054304</v>
      </c>
      <c r="AP86" s="1416"/>
      <c r="AQ86" s="2941">
        <v>75.412735296816209</v>
      </c>
      <c r="AR86" s="3615"/>
      <c r="AS86" s="3615">
        <f t="shared" si="532"/>
        <v>4497.4584303022466</v>
      </c>
      <c r="AT86" s="1416"/>
      <c r="AU86" s="2941">
        <v>192.70608960241481</v>
      </c>
      <c r="AV86" s="3615"/>
      <c r="AW86" s="3615">
        <f t="shared" si="533"/>
        <v>4690.1645199046616</v>
      </c>
      <c r="AX86" s="1416"/>
      <c r="AY86" s="2941">
        <v>375.11020049693536</v>
      </c>
      <c r="AZ86" s="5166"/>
      <c r="BA86" s="5166">
        <f t="shared" si="534"/>
        <v>643.22902539616643</v>
      </c>
      <c r="BB86" s="5175">
        <f t="shared" si="519"/>
        <v>0</v>
      </c>
      <c r="BC86" s="5175">
        <f t="shared" si="520"/>
        <v>2355.8256297023136</v>
      </c>
      <c r="BD86" s="3615"/>
      <c r="BE86" s="3615">
        <f t="shared" si="535"/>
        <v>5065.2747204015968</v>
      </c>
      <c r="BF86" s="26"/>
      <c r="BG86" s="26"/>
      <c r="BH86" s="26"/>
      <c r="BI86" s="26"/>
    </row>
    <row r="87" spans="1:61" ht="15.75" x14ac:dyDescent="0.25">
      <c r="A87" s="122"/>
      <c r="B87" s="1253" t="s">
        <v>1444</v>
      </c>
      <c r="C87" s="193" t="s">
        <v>333</v>
      </c>
      <c r="D87" s="1416"/>
      <c r="E87" s="1494">
        <v>139.81931327220187</v>
      </c>
      <c r="F87" s="1416"/>
      <c r="G87" s="1494">
        <v>422.94128456876547</v>
      </c>
      <c r="H87" s="947">
        <f t="shared" si="536"/>
        <v>0</v>
      </c>
      <c r="I87" s="947">
        <f t="shared" si="537"/>
        <v>562.76059784096731</v>
      </c>
      <c r="J87" s="1416"/>
      <c r="K87" s="1494"/>
      <c r="L87" s="946">
        <f t="shared" si="521"/>
        <v>0</v>
      </c>
      <c r="M87" s="946">
        <f t="shared" si="522"/>
        <v>562.76059784096731</v>
      </c>
      <c r="N87" s="1416"/>
      <c r="O87" s="1494">
        <v>334.91892215649335</v>
      </c>
      <c r="P87" s="947"/>
      <c r="Q87" s="2443">
        <f t="shared" si="523"/>
        <v>897.6795199974606</v>
      </c>
      <c r="R87" s="1416"/>
      <c r="S87" s="2568">
        <v>586.91860181864092</v>
      </c>
      <c r="T87" s="2565"/>
      <c r="U87" s="2565">
        <f t="shared" si="524"/>
        <v>1484.5981218161014</v>
      </c>
      <c r="V87" s="1416"/>
      <c r="W87" s="2941">
        <v>506.8</v>
      </c>
      <c r="X87" s="946"/>
      <c r="Y87" s="3419">
        <f t="shared" si="525"/>
        <v>1428.6375239751344</v>
      </c>
      <c r="Z87" s="558">
        <f t="shared" si="526"/>
        <v>0</v>
      </c>
      <c r="AA87" s="3420">
        <f t="shared" si="527"/>
        <v>1991.3981218161016</v>
      </c>
      <c r="AB87" s="1416"/>
      <c r="AC87" s="2941">
        <v>632.23411813221719</v>
      </c>
      <c r="AD87" s="3615"/>
      <c r="AE87" s="3615">
        <f t="shared" si="528"/>
        <v>2623.6322399483188</v>
      </c>
      <c r="AF87" s="1416"/>
      <c r="AG87" s="2941">
        <v>170.34892892975628</v>
      </c>
      <c r="AH87" s="3615"/>
      <c r="AI87" s="3615">
        <f t="shared" si="529"/>
        <v>2793.9811688780751</v>
      </c>
      <c r="AJ87" s="1416"/>
      <c r="AK87" s="2941">
        <v>57.447304508852305</v>
      </c>
      <c r="AL87" s="4328"/>
      <c r="AM87" s="4328">
        <f t="shared" si="530"/>
        <v>860.03035157082581</v>
      </c>
      <c r="AN87" s="3615"/>
      <c r="AO87" s="3615">
        <f t="shared" si="531"/>
        <v>2851.4284733869272</v>
      </c>
      <c r="AP87" s="1416"/>
      <c r="AQ87" s="2941">
        <v>44.33271751314723</v>
      </c>
      <c r="AR87" s="3615"/>
      <c r="AS87" s="3615">
        <f t="shared" si="532"/>
        <v>2895.7611909000743</v>
      </c>
      <c r="AT87" s="1416"/>
      <c r="AU87" s="2941">
        <v>154.83495108063224</v>
      </c>
      <c r="AV87" s="3615"/>
      <c r="AW87" s="3615">
        <f t="shared" si="533"/>
        <v>3050.5961419807068</v>
      </c>
      <c r="AX87" s="1416"/>
      <c r="AY87" s="2941">
        <v>206.54770209940588</v>
      </c>
      <c r="AZ87" s="5166"/>
      <c r="BA87" s="5166">
        <f t="shared" si="534"/>
        <v>405.71537069318538</v>
      </c>
      <c r="BB87" s="5175">
        <f t="shared" si="519"/>
        <v>0</v>
      </c>
      <c r="BC87" s="5175">
        <f t="shared" si="520"/>
        <v>1265.7457222640112</v>
      </c>
      <c r="BD87" s="3615"/>
      <c r="BE87" s="3615">
        <f t="shared" si="535"/>
        <v>3257.1438440801126</v>
      </c>
      <c r="BF87" s="26"/>
      <c r="BG87" s="26"/>
      <c r="BH87" s="26"/>
      <c r="BI87" s="26"/>
    </row>
    <row r="88" spans="1:61" x14ac:dyDescent="0.25">
      <c r="A88" s="122"/>
      <c r="B88" s="1253" t="s">
        <v>56</v>
      </c>
      <c r="C88" s="193" t="s">
        <v>333</v>
      </c>
      <c r="D88" s="1411"/>
      <c r="E88" s="1494">
        <v>0</v>
      </c>
      <c r="F88" s="1411"/>
      <c r="G88" s="1494">
        <v>0</v>
      </c>
      <c r="H88" s="947">
        <f t="shared" si="536"/>
        <v>0</v>
      </c>
      <c r="I88" s="947">
        <f t="shared" si="537"/>
        <v>0</v>
      </c>
      <c r="J88" s="1411"/>
      <c r="K88" s="1494"/>
      <c r="L88" s="946">
        <f>+H88+J88</f>
        <v>0</v>
      </c>
      <c r="M88" s="1158">
        <f>+I88+K88</f>
        <v>0</v>
      </c>
      <c r="N88" s="1411"/>
      <c r="O88" s="1494">
        <v>0</v>
      </c>
      <c r="P88" s="947">
        <f>+L88+N88</f>
        <v>0</v>
      </c>
      <c r="Q88" s="712">
        <f>+M88+O88</f>
        <v>0</v>
      </c>
      <c r="R88" s="2567"/>
      <c r="S88" s="2568">
        <v>0</v>
      </c>
      <c r="T88" s="2565">
        <f>+P88+R88</f>
        <v>0</v>
      </c>
      <c r="U88" s="712">
        <f>+Q88+S88</f>
        <v>0</v>
      </c>
      <c r="V88" s="3288"/>
      <c r="W88" s="2941">
        <v>0</v>
      </c>
      <c r="X88" s="946">
        <f>+V88+R88+N88</f>
        <v>0</v>
      </c>
      <c r="Y88" s="3419">
        <f t="shared" si="525"/>
        <v>0</v>
      </c>
      <c r="Z88" s="558">
        <f>+L88+X88</f>
        <v>0</v>
      </c>
      <c r="AA88" s="3420">
        <f t="shared" si="527"/>
        <v>0</v>
      </c>
      <c r="AB88" s="3616"/>
      <c r="AC88" s="2941">
        <v>0</v>
      </c>
      <c r="AD88" s="3615">
        <f>+Z88+AB88</f>
        <v>0</v>
      </c>
      <c r="AE88" s="712">
        <f>+AA88+AC88</f>
        <v>0</v>
      </c>
      <c r="AF88" s="3616"/>
      <c r="AG88" s="2941"/>
      <c r="AH88" s="3615">
        <f>+AD88+AF88</f>
        <v>0</v>
      </c>
      <c r="AI88" s="712">
        <f>+AE88+AG88</f>
        <v>0</v>
      </c>
      <c r="AJ88" s="3616"/>
      <c r="AK88" s="2941"/>
      <c r="AL88" s="4328">
        <f>+AJ88+AF88+AB88</f>
        <v>0</v>
      </c>
      <c r="AM88" s="4328">
        <f t="shared" si="530"/>
        <v>0</v>
      </c>
      <c r="AN88" s="3615">
        <f>+AH88+AJ88</f>
        <v>0</v>
      </c>
      <c r="AO88" s="712">
        <f>+AI88+AK88</f>
        <v>0</v>
      </c>
      <c r="AP88" s="3616"/>
      <c r="AQ88" s="2941">
        <v>0</v>
      </c>
      <c r="AR88" s="3615">
        <f>+AN88+AP88</f>
        <v>0</v>
      </c>
      <c r="AS88" s="712">
        <f>+AO88+AQ88</f>
        <v>0</v>
      </c>
      <c r="AT88" s="3616"/>
      <c r="AU88" s="2941"/>
      <c r="AV88" s="3615">
        <f>+AR88+AT88</f>
        <v>0</v>
      </c>
      <c r="AW88" s="712">
        <f>+AS88+AU88</f>
        <v>0</v>
      </c>
      <c r="AX88" s="3616"/>
      <c r="AY88" s="2941">
        <v>0</v>
      </c>
      <c r="AZ88" s="5166">
        <f>+AX88+AT88+AP88</f>
        <v>0</v>
      </c>
      <c r="BA88" s="5166">
        <f t="shared" si="534"/>
        <v>0</v>
      </c>
      <c r="BB88" s="5175">
        <f t="shared" si="519"/>
        <v>0</v>
      </c>
      <c r="BC88" s="5175">
        <f t="shared" si="520"/>
        <v>0</v>
      </c>
      <c r="BD88" s="3615">
        <f>+AV88+AX88</f>
        <v>0</v>
      </c>
      <c r="BE88" s="712">
        <f>+AW88+AY88</f>
        <v>0</v>
      </c>
      <c r="BF88" s="26"/>
      <c r="BG88" s="26"/>
      <c r="BH88" s="26"/>
      <c r="BI88" s="26"/>
    </row>
    <row r="89" spans="1:61" ht="18.75" x14ac:dyDescent="0.25">
      <c r="A89" s="122"/>
      <c r="B89" s="1269" t="s">
        <v>63</v>
      </c>
      <c r="C89" s="1252" t="s">
        <v>333</v>
      </c>
      <c r="D89" s="748">
        <f t="shared" ref="D89:E89" si="538">SUM(D84:D88)</f>
        <v>12183.018867924526</v>
      </c>
      <c r="E89" s="781">
        <f t="shared" si="538"/>
        <v>11621.331999999999</v>
      </c>
      <c r="F89" s="748">
        <f t="shared" ref="F89:G89" si="539">SUM(F84:F88)</f>
        <v>10159.433962264151</v>
      </c>
      <c r="G89" s="781">
        <f t="shared" si="539"/>
        <v>8320.4410000000025</v>
      </c>
      <c r="H89" s="782">
        <f t="shared" ref="H89:AE89" si="540">SUM(H84:H88)</f>
        <v>22342.452830188675</v>
      </c>
      <c r="I89" s="782">
        <f t="shared" si="540"/>
        <v>19941.773000000001</v>
      </c>
      <c r="J89" s="748">
        <f t="shared" si="540"/>
        <v>9935.2830188679254</v>
      </c>
      <c r="K89" s="781">
        <f t="shared" si="540"/>
        <v>0</v>
      </c>
      <c r="L89" s="783">
        <f t="shared" si="540"/>
        <v>32277.7358490566</v>
      </c>
      <c r="M89" s="783">
        <f t="shared" si="540"/>
        <v>19941.773000000001</v>
      </c>
      <c r="N89" s="748">
        <f t="shared" si="540"/>
        <v>12338.67924528302</v>
      </c>
      <c r="O89" s="781">
        <f t="shared" si="540"/>
        <v>9240.6310000000012</v>
      </c>
      <c r="P89" s="782">
        <f t="shared" si="540"/>
        <v>44616.415094339623</v>
      </c>
      <c r="Q89" s="782">
        <f t="shared" si="540"/>
        <v>29182.404000000006</v>
      </c>
      <c r="R89" s="748">
        <f t="shared" ref="R89:U89" si="541">SUM(R84:R88)</f>
        <v>12338.67924528302</v>
      </c>
      <c r="S89" s="2571">
        <f t="shared" si="541"/>
        <v>10957.516999999998</v>
      </c>
      <c r="T89" s="2572">
        <f t="shared" si="541"/>
        <v>56955.094339622643</v>
      </c>
      <c r="U89" s="2572">
        <f t="shared" si="541"/>
        <v>40139.921000000002</v>
      </c>
      <c r="V89" s="748">
        <f t="shared" ref="V89:W89" si="542">SUM(V84:V88)</f>
        <v>11975.471698113208</v>
      </c>
      <c r="W89" s="3289">
        <f t="shared" si="542"/>
        <v>10939.1</v>
      </c>
      <c r="X89" s="783">
        <f t="shared" si="540"/>
        <v>36652.830188679247</v>
      </c>
      <c r="Y89" s="783">
        <f t="shared" si="540"/>
        <v>31137.247999999996</v>
      </c>
      <c r="Z89" s="784">
        <f t="shared" si="540"/>
        <v>68930.566037735844</v>
      </c>
      <c r="AA89" s="784">
        <f t="shared" si="540"/>
        <v>51079.021000000001</v>
      </c>
      <c r="AB89" s="748">
        <f t="shared" si="540"/>
        <v>12701.886792452831</v>
      </c>
      <c r="AC89" s="4112">
        <f t="shared" si="540"/>
        <v>13825.933999999996</v>
      </c>
      <c r="AD89" s="4113">
        <f t="shared" si="540"/>
        <v>81632.452830188675</v>
      </c>
      <c r="AE89" s="4113">
        <f t="shared" si="540"/>
        <v>64904.954999999994</v>
      </c>
      <c r="AF89" s="748">
        <f t="shared" ref="AF89:AI89" si="543">SUM(AF84:AF88)</f>
        <v>12286.792452830188</v>
      </c>
      <c r="AG89" s="4196">
        <f t="shared" si="543"/>
        <v>11728.782999999998</v>
      </c>
      <c r="AH89" s="4197">
        <f t="shared" si="543"/>
        <v>93919.245283018856</v>
      </c>
      <c r="AI89" s="4197">
        <f t="shared" si="543"/>
        <v>76633.737999999998</v>
      </c>
      <c r="AJ89" s="748">
        <f t="shared" ref="AJ89:AO89" si="544">SUM(AJ84:AJ88)</f>
        <v>12753.773584905663</v>
      </c>
      <c r="AK89" s="4329">
        <f t="shared" si="544"/>
        <v>13152.117999999999</v>
      </c>
      <c r="AL89" s="4331">
        <f t="shared" si="544"/>
        <v>37742.452830188682</v>
      </c>
      <c r="AM89" s="4331">
        <f t="shared" si="544"/>
        <v>38706.834999999992</v>
      </c>
      <c r="AN89" s="4330">
        <f t="shared" si="544"/>
        <v>106673.01886792452</v>
      </c>
      <c r="AO89" s="4330">
        <f t="shared" si="544"/>
        <v>89785.856</v>
      </c>
      <c r="AP89" s="748">
        <f t="shared" ref="AP89:AS89" si="545">SUM(AP84:AP88)</f>
        <v>12753.773584905663</v>
      </c>
      <c r="AQ89" s="4452">
        <f t="shared" si="545"/>
        <v>13210.818000000001</v>
      </c>
      <c r="AR89" s="4453">
        <f t="shared" si="545"/>
        <v>119426.79245283018</v>
      </c>
      <c r="AS89" s="4453">
        <f t="shared" si="545"/>
        <v>102996.674</v>
      </c>
      <c r="AT89" s="748">
        <f t="shared" ref="AT89:AW89" si="546">SUM(AT84:AT88)</f>
        <v>11871.698113207549</v>
      </c>
      <c r="AU89" s="4685">
        <f t="shared" si="546"/>
        <v>13543.599999999997</v>
      </c>
      <c r="AV89" s="4686">
        <f t="shared" si="546"/>
        <v>131298.49056603774</v>
      </c>
      <c r="AW89" s="4686">
        <f t="shared" si="546"/>
        <v>116540.274</v>
      </c>
      <c r="AX89" s="748">
        <f t="shared" ref="AX89:BE89" si="547">SUM(AX84:AX88)</f>
        <v>12805.66037735849</v>
      </c>
      <c r="AY89" s="5167">
        <f t="shared" si="547"/>
        <v>14247.392000000002</v>
      </c>
      <c r="AZ89" s="5169">
        <f t="shared" si="547"/>
        <v>37431.132075471702</v>
      </c>
      <c r="BA89" s="5169">
        <f t="shared" si="547"/>
        <v>41001.81</v>
      </c>
      <c r="BB89" s="784">
        <f t="shared" si="547"/>
        <v>75173.584905660391</v>
      </c>
      <c r="BC89" s="784">
        <f t="shared" si="547"/>
        <v>79708.644999999975</v>
      </c>
      <c r="BD89" s="5168">
        <f t="shared" si="547"/>
        <v>144104.15094339623</v>
      </c>
      <c r="BE89" s="5168">
        <f t="shared" si="547"/>
        <v>130787.666</v>
      </c>
      <c r="BF89" s="26"/>
      <c r="BG89" s="26"/>
      <c r="BH89" s="26"/>
      <c r="BI89" s="26"/>
    </row>
    <row r="90" spans="1:61" ht="20.25" x14ac:dyDescent="0.25">
      <c r="A90" s="122"/>
      <c r="B90" s="1254" t="s">
        <v>132</v>
      </c>
      <c r="C90" s="1254"/>
      <c r="D90" s="1246"/>
      <c r="E90" s="1254"/>
      <c r="F90" s="1246"/>
      <c r="G90" s="1254"/>
      <c r="H90" s="1254"/>
      <c r="I90" s="1254"/>
      <c r="J90" s="1246"/>
      <c r="K90" s="1254"/>
      <c r="L90" s="1254"/>
      <c r="M90" s="1254"/>
      <c r="N90" s="1246"/>
      <c r="O90" s="1254"/>
      <c r="P90" s="1254"/>
      <c r="Q90" s="1254"/>
      <c r="R90" s="1246"/>
      <c r="S90" s="1254"/>
      <c r="T90" s="1254"/>
      <c r="U90" s="1254"/>
      <c r="V90" s="1246"/>
      <c r="W90" s="1254"/>
      <c r="X90" s="1254"/>
      <c r="Y90" s="1254"/>
      <c r="Z90" s="1254"/>
      <c r="AA90" s="1254"/>
      <c r="AB90" s="1246"/>
      <c r="AC90" s="1254"/>
      <c r="AD90" s="1254"/>
      <c r="AE90" s="1254"/>
      <c r="AF90" s="1246"/>
      <c r="AG90" s="1254"/>
      <c r="AH90" s="1254"/>
      <c r="AI90" s="1254"/>
      <c r="AJ90" s="1246"/>
      <c r="AK90" s="1254"/>
      <c r="AL90" s="1254"/>
      <c r="AM90" s="1254"/>
      <c r="AN90" s="1254"/>
      <c r="AO90" s="1254"/>
      <c r="AP90" s="1246"/>
      <c r="AQ90" s="1254"/>
      <c r="AR90" s="1254"/>
      <c r="AS90" s="1254"/>
      <c r="AT90" s="1246"/>
      <c r="AU90" s="1254"/>
      <c r="AV90" s="1254"/>
      <c r="AW90" s="1254"/>
      <c r="AX90" s="1246"/>
      <c r="AY90" s="1254"/>
      <c r="AZ90" s="1254"/>
      <c r="BA90" s="1254"/>
      <c r="BB90" s="1254"/>
      <c r="BC90" s="1254"/>
      <c r="BD90" s="1254"/>
      <c r="BE90" s="1254"/>
      <c r="BF90" s="26"/>
      <c r="BG90" s="26"/>
      <c r="BH90" s="26"/>
      <c r="BI90" s="26"/>
    </row>
    <row r="91" spans="1:61" x14ac:dyDescent="0.25">
      <c r="B91" s="1249" t="s">
        <v>337</v>
      </c>
      <c r="C91" s="193" t="s">
        <v>336</v>
      </c>
      <c r="D91" s="242">
        <v>8000</v>
      </c>
      <c r="E91" s="1494">
        <v>8028.0000000000009</v>
      </c>
      <c r="F91" s="242">
        <v>8000</v>
      </c>
      <c r="G91" s="1494">
        <v>8028.0000000000009</v>
      </c>
      <c r="H91" s="712">
        <v>8000</v>
      </c>
      <c r="I91" s="947">
        <f>+((E91*E109)+(G91*G109))/I109</f>
        <v>8028.0000000000009</v>
      </c>
      <c r="J91" s="242">
        <v>8000</v>
      </c>
      <c r="K91" s="1494">
        <v>8028.0000000000009</v>
      </c>
      <c r="L91" s="1158">
        <v>8000</v>
      </c>
      <c r="M91" s="946">
        <f>+((I91*I109)+(K91*K109))/M109</f>
        <v>8028</v>
      </c>
      <c r="N91" s="242">
        <v>8000</v>
      </c>
      <c r="O91" s="1494">
        <v>8028.0000000000009</v>
      </c>
      <c r="P91" s="712">
        <v>8000</v>
      </c>
      <c r="Q91" s="947">
        <f>+((M91*M109)+(O91*O109))/Q109</f>
        <v>8028.0000000000009</v>
      </c>
      <c r="R91" s="242">
        <v>8000</v>
      </c>
      <c r="S91" s="2568">
        <v>8028.0000000000009</v>
      </c>
      <c r="T91" s="712">
        <v>8000</v>
      </c>
      <c r="U91" s="2565">
        <f>+((Q91*Q109)+(S91*S109))/U109</f>
        <v>8028.0000000000018</v>
      </c>
      <c r="V91" s="242">
        <v>8000</v>
      </c>
      <c r="W91" s="2941">
        <v>8027.98</v>
      </c>
      <c r="X91" s="1158">
        <v>8000</v>
      </c>
      <c r="Y91" s="946">
        <f>+((O91*O109)+(S91*S109)+(W91*W109))/Y109</f>
        <v>8027.9934605085091</v>
      </c>
      <c r="Z91" s="558">
        <v>8000</v>
      </c>
      <c r="AA91" s="558">
        <f>+((M91*M109)+(Y91*Y109))/AA109</f>
        <v>8027.9966972727498</v>
      </c>
      <c r="AB91" s="242">
        <v>8000</v>
      </c>
      <c r="AC91" s="2941">
        <v>8028.0000000000009</v>
      </c>
      <c r="AD91" s="712">
        <v>8000</v>
      </c>
      <c r="AE91" s="3615">
        <f>+((AA91*AA109)+(AC91*AC109))/AE109</f>
        <v>8027.9971778017671</v>
      </c>
      <c r="AF91" s="242">
        <v>8000</v>
      </c>
      <c r="AG91" s="2941">
        <v>8028.0000000000009</v>
      </c>
      <c r="AH91" s="712">
        <v>8000</v>
      </c>
      <c r="AI91" s="3615">
        <f>+((AE91*AE109)+(AG91*AG109))/AI109</f>
        <v>8027.9975261599648</v>
      </c>
      <c r="AJ91" s="242">
        <v>8000</v>
      </c>
      <c r="AK91" s="2941">
        <v>8028.0000000000009</v>
      </c>
      <c r="AL91" s="1158">
        <v>8000</v>
      </c>
      <c r="AM91" s="4328">
        <f>+((AC91*AC109)+(AG91*AG109)+(AK91*AK109))/AM109</f>
        <v>8028</v>
      </c>
      <c r="AN91" s="712">
        <v>8000</v>
      </c>
      <c r="AO91" s="3615">
        <f>+((AI91*AI109)+(AK91*AK109))/AO109</f>
        <v>8027.9978060061485</v>
      </c>
      <c r="AP91" s="242">
        <v>8000</v>
      </c>
      <c r="AQ91" s="2941">
        <v>8028.0000000000009</v>
      </c>
      <c r="AR91" s="712">
        <v>8000</v>
      </c>
      <c r="AS91" s="3615">
        <f>+((AO91*AO109)+(AQ91*AQ109))/AS109</f>
        <v>8027.9980287022199</v>
      </c>
      <c r="AT91" s="242">
        <v>8000</v>
      </c>
      <c r="AU91" s="2941">
        <v>8028.0000000000009</v>
      </c>
      <c r="AV91" s="712">
        <v>8000</v>
      </c>
      <c r="AW91" s="3615">
        <f>+((AS91*AS109)+(AU91*AU109))/AW109</f>
        <v>8027.9981991273662</v>
      </c>
      <c r="AX91" s="242">
        <v>8000</v>
      </c>
      <c r="AY91" s="2941">
        <v>8028.0000000000009</v>
      </c>
      <c r="AZ91" s="1158">
        <v>8000</v>
      </c>
      <c r="BA91" s="5166">
        <f>+((AQ91*AQ109)+(AU91*AU109)+(AY91*AY109))/BA109</f>
        <v>8028.0000000000009</v>
      </c>
      <c r="BB91" s="5164">
        <v>8000</v>
      </c>
      <c r="BC91" s="5164">
        <f>+((AM91*AM109)+(BA91*BA109))/BC109</f>
        <v>8027.9999999999991</v>
      </c>
      <c r="BD91" s="712">
        <v>8000</v>
      </c>
      <c r="BE91" s="3615">
        <f>+((AW91*AW109)+(AY91*AY109))/BE109</f>
        <v>8027.9983513563648</v>
      </c>
      <c r="BF91" s="26"/>
      <c r="BG91" s="26"/>
      <c r="BH91" s="26"/>
      <c r="BI91" s="26"/>
    </row>
    <row r="92" spans="1:61" ht="18.75" x14ac:dyDescent="0.25">
      <c r="B92" s="706" t="s">
        <v>345</v>
      </c>
      <c r="C92" s="706"/>
      <c r="D92" s="334"/>
      <c r="E92" s="706"/>
      <c r="F92" s="334"/>
      <c r="G92" s="706"/>
      <c r="H92" s="706"/>
      <c r="I92" s="706"/>
      <c r="J92" s="334"/>
      <c r="K92" s="706"/>
      <c r="L92" s="706"/>
      <c r="M92" s="706"/>
      <c r="N92" s="334"/>
      <c r="O92" s="706"/>
      <c r="P92" s="706"/>
      <c r="Q92" s="706"/>
      <c r="R92" s="334"/>
      <c r="S92" s="706"/>
      <c r="T92" s="706"/>
      <c r="U92" s="706"/>
      <c r="V92" s="334"/>
      <c r="W92" s="706"/>
      <c r="X92" s="706"/>
      <c r="Y92" s="706"/>
      <c r="Z92" s="706"/>
      <c r="AA92" s="706"/>
      <c r="AB92" s="334"/>
      <c r="AC92" s="706"/>
      <c r="AD92" s="706"/>
      <c r="AE92" s="706"/>
      <c r="AF92" s="334"/>
      <c r="AG92" s="706"/>
      <c r="AH92" s="706"/>
      <c r="AI92" s="706"/>
      <c r="AJ92" s="334"/>
      <c r="AK92" s="706"/>
      <c r="AL92" s="706"/>
      <c r="AM92" s="706"/>
      <c r="AN92" s="706"/>
      <c r="AO92" s="706"/>
      <c r="AP92" s="334"/>
      <c r="AQ92" s="706"/>
      <c r="AR92" s="706"/>
      <c r="AS92" s="706"/>
      <c r="AT92" s="334"/>
      <c r="AU92" s="706"/>
      <c r="AV92" s="706"/>
      <c r="AW92" s="706"/>
      <c r="AX92" s="334"/>
      <c r="AY92" s="706"/>
      <c r="AZ92" s="706"/>
      <c r="BA92" s="706"/>
      <c r="BB92" s="706"/>
      <c r="BC92" s="706"/>
      <c r="BD92" s="706"/>
      <c r="BE92" s="706"/>
      <c r="BF92" s="26"/>
      <c r="BG92" s="26"/>
      <c r="BH92" s="26"/>
      <c r="BI92" s="26"/>
    </row>
    <row r="93" spans="1:61" x14ac:dyDescent="0.25">
      <c r="B93" s="1253" t="s">
        <v>126</v>
      </c>
      <c r="C93" s="193" t="s">
        <v>334</v>
      </c>
      <c r="D93" s="1411">
        <f>D94*D$2*24</f>
        <v>103.57684265924547</v>
      </c>
      <c r="E93" s="1494">
        <v>166.70321987315012</v>
      </c>
      <c r="F93" s="1411">
        <f>F94*F$2*24</f>
        <v>870.26577121560376</v>
      </c>
      <c r="G93" s="1494">
        <v>474.27902114164868</v>
      </c>
      <c r="H93" s="947">
        <f>+D93+F93</f>
        <v>973.84261387484923</v>
      </c>
      <c r="I93" s="947">
        <f>+E93+G93</f>
        <v>640.98224101479877</v>
      </c>
      <c r="J93" s="1411">
        <f>J94*J$2*24</f>
        <v>1247.9434028869834</v>
      </c>
      <c r="K93" s="1494">
        <v>466.90285835095193</v>
      </c>
      <c r="L93" s="946">
        <f>+H93+J93</f>
        <v>2221.7860167618328</v>
      </c>
      <c r="M93" s="946">
        <f>+I93+K93</f>
        <v>1107.8850993657506</v>
      </c>
      <c r="N93" s="1411">
        <f>N94*N$2*24</f>
        <v>115.59048657826513</v>
      </c>
      <c r="O93" s="1494">
        <v>71.035940803382687</v>
      </c>
      <c r="P93" s="947">
        <f>+L93+N93</f>
        <v>2337.3765033400978</v>
      </c>
      <c r="Q93" s="947">
        <f>+M93+O93</f>
        <v>1178.9210401691334</v>
      </c>
      <c r="R93" s="2567">
        <f>R94*R$2*24</f>
        <v>115.59048657826513</v>
      </c>
      <c r="S93" s="2568">
        <v>0</v>
      </c>
      <c r="T93" s="2565">
        <f>+P93+R93</f>
        <v>2452.9669899183627</v>
      </c>
      <c r="U93" s="2565">
        <f>+Q93+S93</f>
        <v>1178.9210401691334</v>
      </c>
      <c r="V93" s="3288">
        <f>V94*V$2*24</f>
        <v>90.146448670130965</v>
      </c>
      <c r="W93" s="2941">
        <v>228.53100000000001</v>
      </c>
      <c r="X93" s="946">
        <f t="shared" ref="X93:X107" si="548">+V93+R93+N93</f>
        <v>321.32742182666124</v>
      </c>
      <c r="Y93" s="946">
        <f t="shared" ref="Y93:Y107" si="549">+W93+S93+O93</f>
        <v>299.56694080338269</v>
      </c>
      <c r="Z93" s="558">
        <f t="shared" ref="Z93:Z107" si="550">+L93+X93</f>
        <v>2543.1134385884939</v>
      </c>
      <c r="AA93" s="558">
        <f t="shared" ref="AA93:AA107" si="551">+Y93+M93</f>
        <v>1407.4520401691334</v>
      </c>
      <c r="AB93" s="3616">
        <f>AB94*AB$2*24</f>
        <v>102.1600925891493</v>
      </c>
      <c r="AC93" s="2941">
        <v>116.26469344608847</v>
      </c>
      <c r="AD93" s="3615">
        <f>+Z93+AB93</f>
        <v>2645.2735311776432</v>
      </c>
      <c r="AE93" s="3615">
        <f>+AA93+AC93</f>
        <v>1523.716733615222</v>
      </c>
      <c r="AF93" s="3616">
        <f>AF94*AF$2*24</f>
        <v>90.146448670130965</v>
      </c>
      <c r="AG93" s="2941">
        <v>258.66353911205044</v>
      </c>
      <c r="AH93" s="3615">
        <f>+AD93+AF93</f>
        <v>2735.4199798477744</v>
      </c>
      <c r="AI93" s="3615">
        <f>+AE93+AG93</f>
        <v>1782.3802727272723</v>
      </c>
      <c r="AJ93" s="3616">
        <f>AJ94*AJ$2*24</f>
        <v>102.1600925891493</v>
      </c>
      <c r="AK93" s="2941">
        <v>560.83811126140404</v>
      </c>
      <c r="AL93" s="4328">
        <f t="shared" ref="AL93" si="552">+AJ93+AF93+AB93</f>
        <v>294.46663384842958</v>
      </c>
      <c r="AM93" s="4328">
        <f t="shared" ref="AM93" si="553">+AK93+AG93+AC93</f>
        <v>935.76634381954295</v>
      </c>
      <c r="AN93" s="3615">
        <f>+AH93+AJ93</f>
        <v>2837.5800724369237</v>
      </c>
      <c r="AO93" s="3615">
        <f>+AI93+AK93</f>
        <v>2343.2183839886766</v>
      </c>
      <c r="AP93" s="3616">
        <f>AP94*AP$2*24</f>
        <v>102.1600925891493</v>
      </c>
      <c r="AQ93" s="2941">
        <v>795.57793624176827</v>
      </c>
      <c r="AR93" s="3615">
        <f>+AN93+AP93</f>
        <v>2939.7401650260731</v>
      </c>
      <c r="AS93" s="3615">
        <f>+AO93+AQ93</f>
        <v>3138.796320230445</v>
      </c>
      <c r="AT93" s="3616">
        <f>AT94*AT$2*24</f>
        <v>132.11185087452048</v>
      </c>
      <c r="AU93" s="2941">
        <v>630.49739053589849</v>
      </c>
      <c r="AV93" s="3615">
        <f>+AR93+AT93</f>
        <v>3071.8520159005934</v>
      </c>
      <c r="AW93" s="3615">
        <f>+AS93+AU93</f>
        <v>3769.2937107663433</v>
      </c>
      <c r="AX93" s="3616">
        <f>AX94*AX$2*24</f>
        <v>102.1600925891493</v>
      </c>
      <c r="AY93" s="2941">
        <v>843.8332700630267</v>
      </c>
      <c r="AZ93" s="5166">
        <f t="shared" ref="AZ93" si="554">+AX93+AT93+AP93</f>
        <v>336.43203605281911</v>
      </c>
      <c r="BA93" s="5166">
        <f t="shared" ref="BA93" si="555">+AY93+AU93+AQ93</f>
        <v>2269.9085968406935</v>
      </c>
      <c r="BB93" s="5175">
        <f t="shared" ref="BB93:BB107" si="556">+AL93+AZ93</f>
        <v>630.8986699012487</v>
      </c>
      <c r="BC93" s="5175">
        <f t="shared" ref="BC93:BC107" si="557">+AM93+BA93</f>
        <v>3205.6749406602366</v>
      </c>
      <c r="BD93" s="3615">
        <f>+AV93+AX93</f>
        <v>3174.0121084897428</v>
      </c>
      <c r="BE93" s="3615">
        <f>+AW93+AY93</f>
        <v>4613.12698082937</v>
      </c>
      <c r="BF93" s="26"/>
      <c r="BG93" s="26"/>
      <c r="BH93" s="26"/>
      <c r="BI93" s="26"/>
    </row>
    <row r="94" spans="1:61" ht="15.75" hidden="1" customHeight="1" x14ac:dyDescent="0.25">
      <c r="B94" s="1253"/>
      <c r="C94" s="193"/>
      <c r="D94" s="2337">
        <v>0.14385672591561871</v>
      </c>
      <c r="E94" s="1494"/>
      <c r="F94" s="1415">
        <v>1.1697120580854889</v>
      </c>
      <c r="G94" s="1494"/>
      <c r="H94" s="947"/>
      <c r="I94" s="947"/>
      <c r="J94" s="1415">
        <v>1.7332547262319213</v>
      </c>
      <c r="K94" s="1494"/>
      <c r="L94" s="946"/>
      <c r="M94" s="946"/>
      <c r="N94" s="1415">
        <v>0.15536355722885098</v>
      </c>
      <c r="O94" s="1494"/>
      <c r="P94" s="947"/>
      <c r="Q94" s="947"/>
      <c r="R94" s="1415">
        <v>0.15536355722885098</v>
      </c>
      <c r="S94" s="2568"/>
      <c r="T94" s="2565"/>
      <c r="U94" s="2565"/>
      <c r="V94" s="1415">
        <v>0.12520340093073745</v>
      </c>
      <c r="W94" s="2941"/>
      <c r="X94" s="946"/>
      <c r="Y94" s="946"/>
      <c r="Z94" s="558"/>
      <c r="AA94" s="558"/>
      <c r="AB94" s="1415">
        <v>0.13731195240477057</v>
      </c>
      <c r="AC94" s="2941"/>
      <c r="AD94" s="3615"/>
      <c r="AE94" s="3615"/>
      <c r="AF94" s="1415">
        <v>0.12520340093073745</v>
      </c>
      <c r="AG94" s="2941"/>
      <c r="AH94" s="3615"/>
      <c r="AI94" s="3615"/>
      <c r="AJ94" s="1415">
        <v>0.13731195240477057</v>
      </c>
      <c r="AK94" s="2941"/>
      <c r="AL94" s="4328"/>
      <c r="AM94" s="4328"/>
      <c r="AN94" s="3615"/>
      <c r="AO94" s="3615"/>
      <c r="AP94" s="1415">
        <v>0.13731195240477057</v>
      </c>
      <c r="AQ94" s="2941"/>
      <c r="AR94" s="3615"/>
      <c r="AS94" s="3615"/>
      <c r="AT94" s="1415">
        <v>0.18981587769327657</v>
      </c>
      <c r="AU94" s="2941"/>
      <c r="AV94" s="3615"/>
      <c r="AW94" s="3615"/>
      <c r="AX94" s="1415">
        <v>0.13731195240477057</v>
      </c>
      <c r="AY94" s="2941"/>
      <c r="AZ94" s="5166"/>
      <c r="BA94" s="5166"/>
      <c r="BB94" s="5175">
        <f t="shared" si="556"/>
        <v>0</v>
      </c>
      <c r="BC94" s="5175">
        <f t="shared" si="557"/>
        <v>0</v>
      </c>
      <c r="BD94" s="3615"/>
      <c r="BE94" s="3615"/>
      <c r="BF94" s="26"/>
      <c r="BG94" s="26"/>
      <c r="BH94" s="26"/>
      <c r="BI94" s="26"/>
    </row>
    <row r="95" spans="1:61" x14ac:dyDescent="0.25">
      <c r="B95" s="1253" t="s">
        <v>522</v>
      </c>
      <c r="C95" s="193" t="s">
        <v>1146</v>
      </c>
      <c r="D95" s="1411">
        <f>D96*D$2*24</f>
        <v>144</v>
      </c>
      <c r="E95" s="1494">
        <v>147.14587737843542</v>
      </c>
      <c r="F95" s="1411">
        <f>F96*F$2*24</f>
        <v>148.80000000000001</v>
      </c>
      <c r="G95" s="1494">
        <v>123.78435517970397</v>
      </c>
      <c r="H95" s="947">
        <f>+D95+F95</f>
        <v>292.8</v>
      </c>
      <c r="I95" s="947">
        <f>+E95+G95</f>
        <v>270.93023255813938</v>
      </c>
      <c r="J95" s="1411">
        <f>J96*J$2*24</f>
        <v>144</v>
      </c>
      <c r="K95" s="1494">
        <v>134.6723044397462</v>
      </c>
      <c r="L95" s="946">
        <f>+H95+J95</f>
        <v>436.8</v>
      </c>
      <c r="M95" s="946">
        <f>+I95+K95</f>
        <v>405.60253699788558</v>
      </c>
      <c r="N95" s="1411">
        <f>N96*N$2*24</f>
        <v>148.80000000000001</v>
      </c>
      <c r="O95" s="1494">
        <v>153.91120507399566</v>
      </c>
      <c r="P95" s="947">
        <f>+L95+N95</f>
        <v>585.6</v>
      </c>
      <c r="Q95" s="947">
        <f>+M95+O95</f>
        <v>559.51374207188121</v>
      </c>
      <c r="R95" s="2567">
        <f>R96*R$2*24</f>
        <v>148.80000000000001</v>
      </c>
      <c r="S95" s="2568">
        <v>157.29386892177578</v>
      </c>
      <c r="T95" s="2565">
        <f>+P95+R95</f>
        <v>734.40000000000009</v>
      </c>
      <c r="U95" s="2565">
        <f>+Q95+S95</f>
        <v>716.80761099365702</v>
      </c>
      <c r="V95" s="3288">
        <f>V96*V$2*24</f>
        <v>144</v>
      </c>
      <c r="W95" s="2941">
        <v>142.768</v>
      </c>
      <c r="X95" s="946">
        <f t="shared" si="548"/>
        <v>441.6</v>
      </c>
      <c r="Y95" s="946">
        <f t="shared" si="549"/>
        <v>453.97307399577141</v>
      </c>
      <c r="Z95" s="558">
        <f t="shared" si="550"/>
        <v>878.40000000000009</v>
      </c>
      <c r="AA95" s="558">
        <f t="shared" si="551"/>
        <v>859.57561099365694</v>
      </c>
      <c r="AB95" s="3616">
        <f>AB96*AB$2*24</f>
        <v>148.80000000000001</v>
      </c>
      <c r="AC95" s="2941">
        <v>153.91120507399569</v>
      </c>
      <c r="AD95" s="3615">
        <f>+Z95+AB95</f>
        <v>1027.2</v>
      </c>
      <c r="AE95" s="3615">
        <f>+AA95+AC95</f>
        <v>1013.4868160676526</v>
      </c>
      <c r="AF95" s="3616">
        <f>AF96*AF$2*24</f>
        <v>144</v>
      </c>
      <c r="AG95" s="2941">
        <v>147.7801268498942</v>
      </c>
      <c r="AH95" s="3615">
        <f>+AD95+AF95</f>
        <v>1171.2</v>
      </c>
      <c r="AI95" s="3615">
        <f>+AE95+AG95</f>
        <v>1161.2669429175469</v>
      </c>
      <c r="AJ95" s="3616">
        <f>AJ96*AJ$2*24</f>
        <v>148.80000000000001</v>
      </c>
      <c r="AK95" s="2941">
        <v>148.20295983086675</v>
      </c>
      <c r="AL95" s="4328">
        <f t="shared" ref="AL95" si="558">+AJ95+AF95+AB95</f>
        <v>441.6</v>
      </c>
      <c r="AM95" s="4328">
        <f t="shared" ref="AM95" si="559">+AK95+AG95+AC95</f>
        <v>449.89429175475664</v>
      </c>
      <c r="AN95" s="3615">
        <f>+AH95+AJ95</f>
        <v>1320</v>
      </c>
      <c r="AO95" s="3615">
        <f>+AI95+AK95</f>
        <v>1309.4699027484137</v>
      </c>
      <c r="AP95" s="3616">
        <f>AP96*AP$2*24</f>
        <v>148.80000000000001</v>
      </c>
      <c r="AQ95" s="2941">
        <v>146.30021141649041</v>
      </c>
      <c r="AR95" s="3615">
        <f>+AN95+AP95</f>
        <v>1468.8</v>
      </c>
      <c r="AS95" s="3615">
        <f>+AO95+AQ95</f>
        <v>1455.770114164904</v>
      </c>
      <c r="AT95" s="3616">
        <f>AT96*AT$2*24</f>
        <v>139.20000000000002</v>
      </c>
      <c r="AU95" s="2941">
        <v>147.14587737843542</v>
      </c>
      <c r="AV95" s="3615">
        <f>+AR95+AT95</f>
        <v>1608</v>
      </c>
      <c r="AW95" s="3615">
        <f>+AS95+AU95</f>
        <v>1602.9159915433395</v>
      </c>
      <c r="AX95" s="3616">
        <f>AX96*AX$2*24</f>
        <v>148.80000000000001</v>
      </c>
      <c r="AY95" s="2941">
        <v>149.68287526427054</v>
      </c>
      <c r="AZ95" s="5166">
        <f t="shared" ref="AZ95" si="560">+AX95+AT95+AP95</f>
        <v>436.8</v>
      </c>
      <c r="BA95" s="5166">
        <f t="shared" ref="BA95" si="561">+AY95+AU95+AQ95</f>
        <v>443.12896405919633</v>
      </c>
      <c r="BB95" s="5175">
        <f t="shared" si="556"/>
        <v>878.40000000000009</v>
      </c>
      <c r="BC95" s="5175">
        <f t="shared" si="557"/>
        <v>893.02325581395303</v>
      </c>
      <c r="BD95" s="3615">
        <f>+AV95+AX95</f>
        <v>1756.8</v>
      </c>
      <c r="BE95" s="3615">
        <f>+AW95+AY95</f>
        <v>1752.59886680761</v>
      </c>
      <c r="BF95" s="26"/>
      <c r="BG95" s="26"/>
      <c r="BH95" s="26"/>
      <c r="BI95" s="26"/>
    </row>
    <row r="96" spans="1:61" ht="15.75" hidden="1" customHeight="1" x14ac:dyDescent="0.25">
      <c r="B96" s="1253"/>
      <c r="C96" s="193"/>
      <c r="D96" s="2337">
        <v>0.2</v>
      </c>
      <c r="E96" s="1494"/>
      <c r="F96" s="2337">
        <v>0.2</v>
      </c>
      <c r="G96" s="1494"/>
      <c r="H96" s="947"/>
      <c r="I96" s="947"/>
      <c r="J96" s="2337">
        <v>0.2</v>
      </c>
      <c r="K96" s="1494"/>
      <c r="L96" s="946"/>
      <c r="M96" s="946"/>
      <c r="N96" s="2337">
        <v>0.2</v>
      </c>
      <c r="O96" s="1494"/>
      <c r="P96" s="947"/>
      <c r="Q96" s="947"/>
      <c r="R96" s="2337">
        <v>0.2</v>
      </c>
      <c r="S96" s="2568"/>
      <c r="T96" s="2565"/>
      <c r="U96" s="2565"/>
      <c r="V96" s="2337">
        <v>0.2</v>
      </c>
      <c r="W96" s="2941"/>
      <c r="X96" s="946"/>
      <c r="Y96" s="946"/>
      <c r="Z96" s="558"/>
      <c r="AA96" s="558"/>
      <c r="AB96" s="2337">
        <v>0.2</v>
      </c>
      <c r="AC96" s="2941"/>
      <c r="AD96" s="3615"/>
      <c r="AE96" s="3615"/>
      <c r="AF96" s="2337">
        <v>0.2</v>
      </c>
      <c r="AG96" s="2941"/>
      <c r="AH96" s="3615"/>
      <c r="AI96" s="3615"/>
      <c r="AJ96" s="2337">
        <v>0.2</v>
      </c>
      <c r="AK96" s="2941"/>
      <c r="AL96" s="4328"/>
      <c r="AM96" s="4328"/>
      <c r="AN96" s="3615"/>
      <c r="AO96" s="3615"/>
      <c r="AP96" s="2337">
        <v>0.2</v>
      </c>
      <c r="AQ96" s="2941"/>
      <c r="AR96" s="3615"/>
      <c r="AS96" s="3615"/>
      <c r="AT96" s="2337">
        <v>0.2</v>
      </c>
      <c r="AU96" s="2941"/>
      <c r="AV96" s="3615"/>
      <c r="AW96" s="3615"/>
      <c r="AX96" s="2337">
        <v>0.2</v>
      </c>
      <c r="AY96" s="2941"/>
      <c r="AZ96" s="5166"/>
      <c r="BA96" s="5166"/>
      <c r="BB96" s="5175">
        <f t="shared" si="556"/>
        <v>0</v>
      </c>
      <c r="BC96" s="5175">
        <f t="shared" si="557"/>
        <v>0</v>
      </c>
      <c r="BD96" s="3615"/>
      <c r="BE96" s="3615"/>
      <c r="BF96" s="26"/>
      <c r="BG96" s="26"/>
      <c r="BH96" s="26"/>
      <c r="BI96" s="26"/>
    </row>
    <row r="97" spans="1:61" x14ac:dyDescent="0.25">
      <c r="B97" s="1253" t="s">
        <v>127</v>
      </c>
      <c r="C97" s="193" t="s">
        <v>334</v>
      </c>
      <c r="D97" s="1411">
        <f>D98*D$2*24</f>
        <v>432</v>
      </c>
      <c r="E97" s="1494">
        <v>456.659619450317</v>
      </c>
      <c r="F97" s="1411">
        <f>F98*F$2*24</f>
        <v>446.4</v>
      </c>
      <c r="G97" s="1494">
        <v>429.97289429175453</v>
      </c>
      <c r="H97" s="947">
        <f t="shared" ref="H97:I107" si="562">+D97+F97</f>
        <v>878.4</v>
      </c>
      <c r="I97" s="947">
        <f t="shared" si="562"/>
        <v>886.63251374207152</v>
      </c>
      <c r="J97" s="1411">
        <f>J98*J$2*24</f>
        <v>432</v>
      </c>
      <c r="K97" s="1494">
        <v>363.09301052635783</v>
      </c>
      <c r="L97" s="946">
        <f t="shared" ref="L97:L107" si="563">+H97+J97</f>
        <v>1310.4000000000001</v>
      </c>
      <c r="M97" s="946">
        <f t="shared" ref="M97:M107" si="564">+I97+K97</f>
        <v>1249.7255242684294</v>
      </c>
      <c r="N97" s="1411">
        <f>N98*N$2*24</f>
        <v>446.4</v>
      </c>
      <c r="O97" s="1494">
        <v>471.8499280843921</v>
      </c>
      <c r="P97" s="947">
        <f t="shared" ref="P97:P107" si="565">+L97+N97</f>
        <v>1756.8000000000002</v>
      </c>
      <c r="Q97" s="947">
        <f t="shared" ref="Q97:Q107" si="566">+M97+O97</f>
        <v>1721.5754523528215</v>
      </c>
      <c r="R97" s="2567">
        <f>R98*R$2*24</f>
        <v>446.4</v>
      </c>
      <c r="S97" s="2568">
        <v>471.88160676532743</v>
      </c>
      <c r="T97" s="2565">
        <f t="shared" ref="T97" si="567">+P97+R97</f>
        <v>2203.2000000000003</v>
      </c>
      <c r="U97" s="2565">
        <f t="shared" ref="U97" si="568">+Q97+S97</f>
        <v>2193.4570591181491</v>
      </c>
      <c r="V97" s="3288">
        <f>V98*V$2*24</f>
        <v>432</v>
      </c>
      <c r="W97" s="2941">
        <v>456.66</v>
      </c>
      <c r="X97" s="946">
        <f t="shared" si="548"/>
        <v>1324.8</v>
      </c>
      <c r="Y97" s="946">
        <f t="shared" si="549"/>
        <v>1400.3915348497196</v>
      </c>
      <c r="Z97" s="558">
        <f t="shared" si="550"/>
        <v>2635.2</v>
      </c>
      <c r="AA97" s="558">
        <f t="shared" si="551"/>
        <v>2650.117059118149</v>
      </c>
      <c r="AB97" s="3616">
        <f>AB98*AB$2*24</f>
        <v>446.4</v>
      </c>
      <c r="AC97" s="2941">
        <v>471.88160676532743</v>
      </c>
      <c r="AD97" s="3615">
        <f t="shared" ref="AD97" si="569">+Z97+AB97</f>
        <v>3081.6</v>
      </c>
      <c r="AE97" s="3615">
        <f t="shared" ref="AE97" si="570">+AA97+AC97</f>
        <v>3121.9986658834764</v>
      </c>
      <c r="AF97" s="3616">
        <f>AF98*AF$2*24</f>
        <v>432</v>
      </c>
      <c r="AG97" s="2941">
        <v>456.65961945031688</v>
      </c>
      <c r="AH97" s="3615">
        <f t="shared" ref="AH97" si="571">+AD97+AF97</f>
        <v>3513.6</v>
      </c>
      <c r="AI97" s="3615">
        <f t="shared" ref="AI97" si="572">+AE97+AG97</f>
        <v>3578.6582853337932</v>
      </c>
      <c r="AJ97" s="3616">
        <f>AJ98*AJ$2*24</f>
        <v>446.4</v>
      </c>
      <c r="AK97" s="2941">
        <v>464.68160676532744</v>
      </c>
      <c r="AL97" s="4328">
        <f t="shared" ref="AL97" si="573">+AJ97+AF97+AB97</f>
        <v>1324.8</v>
      </c>
      <c r="AM97" s="4328">
        <f t="shared" ref="AM97" si="574">+AK97+AG97+AC97</f>
        <v>1393.2228329809718</v>
      </c>
      <c r="AN97" s="3615">
        <f t="shared" ref="AN97" si="575">+AH97+AJ97</f>
        <v>3960</v>
      </c>
      <c r="AO97" s="3615">
        <f t="shared" ref="AO97" si="576">+AI97+AK97</f>
        <v>4043.3398920991208</v>
      </c>
      <c r="AP97" s="3616">
        <f>AP98*AP$2*24</f>
        <v>446.4</v>
      </c>
      <c r="AQ97" s="2941">
        <v>471.88160676532743</v>
      </c>
      <c r="AR97" s="3615">
        <f t="shared" ref="AR97" si="577">+AN97+AP97</f>
        <v>4406.3999999999996</v>
      </c>
      <c r="AS97" s="3615">
        <f t="shared" ref="AS97" si="578">+AO97+AQ97</f>
        <v>4515.2214988644482</v>
      </c>
      <c r="AT97" s="3616">
        <f>AT98*AT$2*24</f>
        <v>417.59999999999997</v>
      </c>
      <c r="AU97" s="2941">
        <v>439.61019891215636</v>
      </c>
      <c r="AV97" s="3615">
        <f t="shared" ref="AV97" si="579">+AR97+AT97</f>
        <v>4824</v>
      </c>
      <c r="AW97" s="3615">
        <f t="shared" ref="AW97" si="580">+AS97+AU97</f>
        <v>4954.8316977766044</v>
      </c>
      <c r="AX97" s="3616">
        <f>AX98*AX$2*24</f>
        <v>446.4</v>
      </c>
      <c r="AY97" s="2941">
        <v>471.88160676532743</v>
      </c>
      <c r="AZ97" s="5166">
        <f t="shared" ref="AZ97" si="581">+AX97+AT97+AP97</f>
        <v>1310.4000000000001</v>
      </c>
      <c r="BA97" s="5166">
        <f t="shared" ref="BA97" si="582">+AY97+AU97+AQ97</f>
        <v>1383.3734124428113</v>
      </c>
      <c r="BB97" s="5175">
        <f t="shared" si="556"/>
        <v>2635.2</v>
      </c>
      <c r="BC97" s="5175">
        <f t="shared" si="557"/>
        <v>2776.5962454237833</v>
      </c>
      <c r="BD97" s="3615">
        <f t="shared" ref="BD97" si="583">+AV97+AX97</f>
        <v>5270.4</v>
      </c>
      <c r="BE97" s="3615">
        <f t="shared" ref="BE97" si="584">+AW97+AY97</f>
        <v>5426.7133045419323</v>
      </c>
      <c r="BF97" s="26"/>
      <c r="BG97" s="26"/>
      <c r="BH97" s="26"/>
      <c r="BI97" s="26"/>
    </row>
    <row r="98" spans="1:61" ht="15" hidden="1" customHeight="1" x14ac:dyDescent="0.25">
      <c r="B98" s="1253"/>
      <c r="C98" s="193"/>
      <c r="D98" s="227">
        <v>0.6</v>
      </c>
      <c r="E98" s="131"/>
      <c r="F98" s="227">
        <v>0.6</v>
      </c>
      <c r="G98" s="1494"/>
      <c r="H98" s="947"/>
      <c r="I98" s="947"/>
      <c r="J98" s="227">
        <v>0.6</v>
      </c>
      <c r="K98" s="1494"/>
      <c r="L98" s="946"/>
      <c r="M98" s="946"/>
      <c r="N98" s="227">
        <v>0.6</v>
      </c>
      <c r="O98" s="1494"/>
      <c r="P98" s="947"/>
      <c r="Q98" s="947"/>
      <c r="R98" s="227">
        <v>0.6</v>
      </c>
      <c r="S98" s="2568"/>
      <c r="T98" s="2565"/>
      <c r="U98" s="2565"/>
      <c r="V98" s="227">
        <v>0.6</v>
      </c>
      <c r="W98" s="2941"/>
      <c r="X98" s="946"/>
      <c r="Y98" s="946"/>
      <c r="Z98" s="558"/>
      <c r="AA98" s="558"/>
      <c r="AB98" s="227">
        <v>0.6</v>
      </c>
      <c r="AC98" s="2941"/>
      <c r="AD98" s="3615"/>
      <c r="AE98" s="3615"/>
      <c r="AF98" s="227">
        <v>0.6</v>
      </c>
      <c r="AG98" s="2941"/>
      <c r="AH98" s="3615"/>
      <c r="AI98" s="3615"/>
      <c r="AJ98" s="227">
        <v>0.6</v>
      </c>
      <c r="AK98" s="2941"/>
      <c r="AL98" s="4328"/>
      <c r="AM98" s="4328"/>
      <c r="AN98" s="3615"/>
      <c r="AO98" s="3615"/>
      <c r="AP98" s="227">
        <v>0.6</v>
      </c>
      <c r="AQ98" s="2941"/>
      <c r="AR98" s="3615"/>
      <c r="AS98" s="3615"/>
      <c r="AT98" s="227">
        <v>0.6</v>
      </c>
      <c r="AU98" s="2941"/>
      <c r="AV98" s="3615"/>
      <c r="AW98" s="3615"/>
      <c r="AX98" s="227">
        <v>0.6</v>
      </c>
      <c r="AY98" s="2941"/>
      <c r="AZ98" s="5166"/>
      <c r="BA98" s="5166"/>
      <c r="BB98" s="5175">
        <f t="shared" si="556"/>
        <v>0</v>
      </c>
      <c r="BC98" s="5175">
        <f t="shared" si="557"/>
        <v>0</v>
      </c>
      <c r="BD98" s="3615"/>
      <c r="BE98" s="3615"/>
      <c r="BF98" s="26"/>
      <c r="BG98" s="26"/>
      <c r="BH98" s="26"/>
      <c r="BI98" s="26"/>
    </row>
    <row r="99" spans="1:61" x14ac:dyDescent="0.25">
      <c r="B99" s="1253" t="s">
        <v>17</v>
      </c>
      <c r="C99" s="193" t="s">
        <v>334</v>
      </c>
      <c r="D99" s="1411">
        <f>D100*D$2*24</f>
        <v>741.18016654352868</v>
      </c>
      <c r="E99" s="1494">
        <v>716.99803046808279</v>
      </c>
      <c r="F99" s="1411">
        <f>F100*F$2*24</f>
        <v>564.13681690572264</v>
      </c>
      <c r="G99" s="1494">
        <v>655.88371120816964</v>
      </c>
      <c r="H99" s="947">
        <f t="shared" si="562"/>
        <v>1305.3169834492514</v>
      </c>
      <c r="I99" s="947">
        <f t="shared" si="562"/>
        <v>1372.8817416762524</v>
      </c>
      <c r="J99" s="1411">
        <f>J100*J$2*24</f>
        <v>475.00375917591873</v>
      </c>
      <c r="K99" s="1494">
        <v>574.94330247902826</v>
      </c>
      <c r="L99" s="946">
        <f t="shared" si="563"/>
        <v>1780.3207426251702</v>
      </c>
      <c r="M99" s="946">
        <f t="shared" si="564"/>
        <v>1947.8250441552807</v>
      </c>
      <c r="N99" s="1411">
        <f>N100*N$2*24</f>
        <v>757.81654359116669</v>
      </c>
      <c r="O99" s="1494">
        <v>531.71321430265402</v>
      </c>
      <c r="P99" s="947">
        <f t="shared" si="565"/>
        <v>2538.1372862163371</v>
      </c>
      <c r="Q99" s="947">
        <f t="shared" si="566"/>
        <v>2479.5382584579347</v>
      </c>
      <c r="R99" s="2567">
        <f>R100*R$2*24</f>
        <v>757.81654359116669</v>
      </c>
      <c r="S99" s="2568">
        <v>807.41787138506322</v>
      </c>
      <c r="T99" s="2565">
        <f t="shared" ref="T99" si="585">+P99+R99</f>
        <v>3295.953829807504</v>
      </c>
      <c r="U99" s="2565">
        <f t="shared" ref="U99" si="586">+Q99+S99</f>
        <v>3286.9561298429981</v>
      </c>
      <c r="V99" s="3288">
        <f>V100*V$2*24</f>
        <v>742.44579902430519</v>
      </c>
      <c r="W99" s="2941">
        <v>700.96799999999996</v>
      </c>
      <c r="X99" s="946">
        <f t="shared" si="548"/>
        <v>2258.0788862066383</v>
      </c>
      <c r="Y99" s="946">
        <f t="shared" si="549"/>
        <v>2040.0990856877172</v>
      </c>
      <c r="Z99" s="558">
        <f t="shared" si="550"/>
        <v>4038.3996288318085</v>
      </c>
      <c r="AA99" s="558">
        <f t="shared" si="551"/>
        <v>3987.9241298429979</v>
      </c>
      <c r="AB99" s="3616">
        <f>AB100*AB$2*24</f>
        <v>759.07513367719855</v>
      </c>
      <c r="AC99" s="2941">
        <v>615.44987553464068</v>
      </c>
      <c r="AD99" s="3615">
        <f t="shared" ref="AD99" si="587">+Z99+AB99</f>
        <v>4797.4747625090067</v>
      </c>
      <c r="AE99" s="3615">
        <f t="shared" ref="AE99" si="588">+AA99+AC99</f>
        <v>4603.3740053776382</v>
      </c>
      <c r="AF99" s="3616">
        <f>AF100*AF$2*24</f>
        <v>742.44579902430519</v>
      </c>
      <c r="AG99" s="2941">
        <v>529.73380598925382</v>
      </c>
      <c r="AH99" s="3615">
        <f t="shared" ref="AH99" si="589">+AD99+AF99</f>
        <v>5539.9205615333121</v>
      </c>
      <c r="AI99" s="3615">
        <f t="shared" ref="AI99" si="590">+AE99+AG99</f>
        <v>5133.1078113668918</v>
      </c>
      <c r="AJ99" s="3616">
        <f>AJ100*AJ$2*24</f>
        <v>759.07513367719855</v>
      </c>
      <c r="AK99" s="2941">
        <v>477.33517907445093</v>
      </c>
      <c r="AL99" s="4328">
        <f t="shared" ref="AL99" si="591">+AJ99+AF99+AB99</f>
        <v>2260.5960663787023</v>
      </c>
      <c r="AM99" s="4328">
        <f t="shared" ref="AM99" si="592">+AK99+AG99+AC99</f>
        <v>1622.5188605983453</v>
      </c>
      <c r="AN99" s="3615">
        <f t="shared" ref="AN99" si="593">+AH99+AJ99</f>
        <v>6298.9956952105103</v>
      </c>
      <c r="AO99" s="3615">
        <f t="shared" ref="AO99" si="594">+AI99+AK99</f>
        <v>5610.4429904413428</v>
      </c>
      <c r="AP99" s="3616">
        <f>AP100*AP$2*24</f>
        <v>759.07513367719855</v>
      </c>
      <c r="AQ99" s="2941">
        <v>518.42187665275424</v>
      </c>
      <c r="AR99" s="3615">
        <f t="shared" ref="AR99" si="595">+AN99+AP99</f>
        <v>7058.0708288877086</v>
      </c>
      <c r="AS99" s="3615">
        <f t="shared" ref="AS99" si="596">+AO99+AQ99</f>
        <v>6128.8648670940966</v>
      </c>
      <c r="AT99" s="3616">
        <f>AT100*AT$2*24</f>
        <v>711.97977698432408</v>
      </c>
      <c r="AU99" s="2941">
        <v>463.4131657075269</v>
      </c>
      <c r="AV99" s="3615">
        <f t="shared" ref="AV99" si="597">+AR99+AT99</f>
        <v>7770.050605872033</v>
      </c>
      <c r="AW99" s="3615">
        <f t="shared" ref="AW99" si="598">+AS99+AU99</f>
        <v>6592.2780328016233</v>
      </c>
      <c r="AX99" s="3616">
        <f>AX100*AX$2*24</f>
        <v>759.07513367719855</v>
      </c>
      <c r="AY99" s="2941">
        <v>435.8428721262502</v>
      </c>
      <c r="AZ99" s="5166">
        <f t="shared" ref="AZ99" si="599">+AX99+AT99+AP99</f>
        <v>2230.1300443387213</v>
      </c>
      <c r="BA99" s="5166">
        <f t="shared" ref="BA99" si="600">+AY99+AU99+AQ99</f>
        <v>1417.6779144865313</v>
      </c>
      <c r="BB99" s="5175">
        <f t="shared" si="556"/>
        <v>4490.7261107174236</v>
      </c>
      <c r="BC99" s="5175">
        <f t="shared" si="557"/>
        <v>3040.1967750848767</v>
      </c>
      <c r="BD99" s="3615">
        <f t="shared" ref="BD99" si="601">+AV99+AX99</f>
        <v>8529.1257395492321</v>
      </c>
      <c r="BE99" s="3615">
        <f t="shared" ref="BE99" si="602">+AW99+AY99</f>
        <v>7028.1209049278732</v>
      </c>
      <c r="BF99" s="26"/>
      <c r="BG99" s="26"/>
      <c r="BH99" s="26"/>
      <c r="BI99" s="26"/>
    </row>
    <row r="100" spans="1:61" ht="15" hidden="1" customHeight="1" x14ac:dyDescent="0.25">
      <c r="B100" s="1253"/>
      <c r="C100" s="193"/>
      <c r="D100" s="1415">
        <v>1.0294168979771232</v>
      </c>
      <c r="E100" s="1706"/>
      <c r="F100" s="1415">
        <v>0.75824840981951969</v>
      </c>
      <c r="G100" s="1494"/>
      <c r="H100" s="947"/>
      <c r="I100" s="947"/>
      <c r="J100" s="1415">
        <v>0.6597274432998872</v>
      </c>
      <c r="K100" s="1494"/>
      <c r="L100" s="946"/>
      <c r="M100" s="946"/>
      <c r="N100" s="1415">
        <v>1.0185706231064069</v>
      </c>
      <c r="O100" s="1494"/>
      <c r="P100" s="947"/>
      <c r="Q100" s="947"/>
      <c r="R100" s="1415">
        <v>1.0185706231064069</v>
      </c>
      <c r="S100" s="2568"/>
      <c r="T100" s="2565"/>
      <c r="U100" s="2565"/>
      <c r="V100" s="1415">
        <v>1.0311747208670905</v>
      </c>
      <c r="W100" s="2941"/>
      <c r="X100" s="946"/>
      <c r="Y100" s="946"/>
      <c r="Z100" s="558"/>
      <c r="AA100" s="558"/>
      <c r="AB100" s="1415">
        <v>1.0202622764478475</v>
      </c>
      <c r="AC100" s="2941"/>
      <c r="AD100" s="3615"/>
      <c r="AE100" s="3615"/>
      <c r="AF100" s="1415">
        <v>1.0311747208670905</v>
      </c>
      <c r="AG100" s="2941"/>
      <c r="AH100" s="3615"/>
      <c r="AI100" s="3615"/>
      <c r="AJ100" s="1415">
        <v>1.0202622764478475</v>
      </c>
      <c r="AK100" s="2941"/>
      <c r="AL100" s="4328"/>
      <c r="AM100" s="4328"/>
      <c r="AN100" s="3615"/>
      <c r="AO100" s="3615"/>
      <c r="AP100" s="1415">
        <v>1.0202622764478475</v>
      </c>
      <c r="AQ100" s="2941"/>
      <c r="AR100" s="3615"/>
      <c r="AS100" s="3615"/>
      <c r="AT100" s="1415">
        <v>1.0229594496901209</v>
      </c>
      <c r="AU100" s="2941"/>
      <c r="AV100" s="3615"/>
      <c r="AW100" s="3615"/>
      <c r="AX100" s="1415">
        <v>1.0202622764478475</v>
      </c>
      <c r="AY100" s="2941"/>
      <c r="AZ100" s="5166"/>
      <c r="BA100" s="5166"/>
      <c r="BB100" s="5175">
        <f t="shared" si="556"/>
        <v>0</v>
      </c>
      <c r="BC100" s="5175">
        <f t="shared" si="557"/>
        <v>0</v>
      </c>
      <c r="BD100" s="3615"/>
      <c r="BE100" s="3615"/>
      <c r="BF100" s="26"/>
      <c r="BG100" s="26"/>
      <c r="BH100" s="26"/>
      <c r="BI100" s="26"/>
    </row>
    <row r="101" spans="1:61" x14ac:dyDescent="0.25">
      <c r="B101" s="1253" t="s">
        <v>93</v>
      </c>
      <c r="C101" s="193" t="s">
        <v>334</v>
      </c>
      <c r="D101" s="1411">
        <f>D102*D$2*24</f>
        <v>1257.815046423153</v>
      </c>
      <c r="E101" s="1494">
        <v>936.70381164537821</v>
      </c>
      <c r="F101" s="1411">
        <f>F102*F$2*24</f>
        <v>960.98258256351357</v>
      </c>
      <c r="G101" s="1494">
        <v>801.400158676008</v>
      </c>
      <c r="H101" s="947">
        <f t="shared" si="562"/>
        <v>2218.7976289866665</v>
      </c>
      <c r="I101" s="947">
        <f t="shared" si="562"/>
        <v>1738.1039703213862</v>
      </c>
      <c r="J101" s="1411">
        <f>J102*J$2*24</f>
        <v>653.22065266740196</v>
      </c>
      <c r="K101" s="1494">
        <v>917.65697299775081</v>
      </c>
      <c r="L101" s="946">
        <f t="shared" si="563"/>
        <v>2872.0182816540682</v>
      </c>
      <c r="M101" s="946">
        <f t="shared" si="564"/>
        <v>2655.7609433191369</v>
      </c>
      <c r="N101" s="1411">
        <f>N102*N$2*24</f>
        <v>1299.8104017286405</v>
      </c>
      <c r="O101" s="1494">
        <v>795.88039162397581</v>
      </c>
      <c r="P101" s="947">
        <f t="shared" si="565"/>
        <v>4171.8286833827087</v>
      </c>
      <c r="Q101" s="947">
        <f t="shared" si="566"/>
        <v>3451.6413349431127</v>
      </c>
      <c r="R101" s="2567">
        <f>R102*R$2*24</f>
        <v>1299.8104017286405</v>
      </c>
      <c r="S101" s="2568">
        <v>979.21626170004743</v>
      </c>
      <c r="T101" s="2565">
        <f t="shared" ref="T101" si="603">+P101+R101</f>
        <v>5471.6390851113492</v>
      </c>
      <c r="U101" s="2565">
        <f t="shared" ref="U101" si="604">+Q101+S101</f>
        <v>4430.8575966431599</v>
      </c>
      <c r="V101" s="3288">
        <f>V102*V$2*24</f>
        <v>1268.6522790764593</v>
      </c>
      <c r="W101" s="2941">
        <v>893.73500000000001</v>
      </c>
      <c r="X101" s="946">
        <f t="shared" si="548"/>
        <v>3868.2730825337403</v>
      </c>
      <c r="Y101" s="946">
        <f t="shared" si="549"/>
        <v>2668.8316533240231</v>
      </c>
      <c r="Z101" s="558">
        <f t="shared" si="550"/>
        <v>6740.2913641878085</v>
      </c>
      <c r="AA101" s="558">
        <f t="shared" si="551"/>
        <v>5324.5925966431605</v>
      </c>
      <c r="AB101" s="3616">
        <f>AB102*AB$2*24</f>
        <v>1310.6489354755136</v>
      </c>
      <c r="AC101" s="2941">
        <v>919.80195907849998</v>
      </c>
      <c r="AD101" s="3615">
        <f t="shared" ref="AD101" si="605">+Z101+AB101</f>
        <v>8050.9402996633216</v>
      </c>
      <c r="AE101" s="3615">
        <f t="shared" ref="AE101" si="606">+AA101+AC101</f>
        <v>6244.3945557216603</v>
      </c>
      <c r="AF101" s="3616">
        <f>AF102*AF$2*24</f>
        <v>1268.6522790764593</v>
      </c>
      <c r="AG101" s="2941">
        <v>851.62422897241527</v>
      </c>
      <c r="AH101" s="3615">
        <f t="shared" ref="AH101" si="607">+AD101+AF101</f>
        <v>9319.5925787397809</v>
      </c>
      <c r="AI101" s="3615">
        <f t="shared" ref="AI101" si="608">+AE101+AG101</f>
        <v>7096.0187846940753</v>
      </c>
      <c r="AJ101" s="3616">
        <f>AJ102*AJ$2*24</f>
        <v>1310.6489354755136</v>
      </c>
      <c r="AK101" s="2941">
        <v>815.04971890212937</v>
      </c>
      <c r="AL101" s="4328">
        <f t="shared" ref="AL101" si="609">+AJ101+AF101+AB101</f>
        <v>3889.9501500274864</v>
      </c>
      <c r="AM101" s="4328">
        <f t="shared" ref="AM101" si="610">+AK101+AG101+AC101</f>
        <v>2586.4759069530446</v>
      </c>
      <c r="AN101" s="3615">
        <f t="shared" ref="AN101" si="611">+AH101+AJ101</f>
        <v>10630.241514215295</v>
      </c>
      <c r="AO101" s="3615">
        <f t="shared" ref="AO101" si="612">+AI101+AK101</f>
        <v>7911.0685035962051</v>
      </c>
      <c r="AP101" s="3616">
        <f>AP102*AP$2*24</f>
        <v>1310.6489354755136</v>
      </c>
      <c r="AQ101" s="2941">
        <v>631.67389239325632</v>
      </c>
      <c r="AR101" s="3615">
        <f t="shared" ref="AR101" si="613">+AN101+AP101</f>
        <v>11940.890449690809</v>
      </c>
      <c r="AS101" s="3615">
        <f t="shared" ref="AS101" si="614">+AO101+AQ101</f>
        <v>8542.7423959894622</v>
      </c>
      <c r="AT101" s="3616">
        <f>AT102*AT$2*24</f>
        <v>1209.276911748932</v>
      </c>
      <c r="AU101" s="2941">
        <v>669.2864407959346</v>
      </c>
      <c r="AV101" s="3615">
        <f t="shared" ref="AV101" si="615">+AR101+AT101</f>
        <v>13150.16736143974</v>
      </c>
      <c r="AW101" s="3615">
        <f t="shared" ref="AW101" si="616">+AS101+AU101</f>
        <v>9212.0288367853973</v>
      </c>
      <c r="AX101" s="3616">
        <f>AX102*AX$2*24</f>
        <v>1310.6489354755136</v>
      </c>
      <c r="AY101" s="2941">
        <v>725.34682766274864</v>
      </c>
      <c r="AZ101" s="5166">
        <f t="shared" ref="AZ101" si="617">+AX101+AT101+AP101</f>
        <v>3830.5747826999591</v>
      </c>
      <c r="BA101" s="5166">
        <f t="shared" ref="BA101" si="618">+AY101+AU101+AQ101</f>
        <v>2026.3071608519394</v>
      </c>
      <c r="BB101" s="5175">
        <f t="shared" si="556"/>
        <v>7720.524932727445</v>
      </c>
      <c r="BC101" s="5175">
        <f t="shared" si="557"/>
        <v>4612.7830678049841</v>
      </c>
      <c r="BD101" s="3615">
        <f t="shared" ref="BD101" si="619">+AV101+AX101</f>
        <v>14460.816296915254</v>
      </c>
      <c r="BE101" s="3615">
        <f t="shared" ref="BE101" si="620">+AW101+AY101</f>
        <v>9937.3756644481455</v>
      </c>
      <c r="BF101" s="26"/>
      <c r="BG101" s="26"/>
      <c r="BH101" s="26"/>
      <c r="BI101" s="26"/>
    </row>
    <row r="102" spans="1:61" ht="15" hidden="1" customHeight="1" x14ac:dyDescent="0.25">
      <c r="B102" s="1253"/>
      <c r="C102" s="193"/>
      <c r="D102" s="1415">
        <v>1.7469653422543789</v>
      </c>
      <c r="E102" s="1706"/>
      <c r="F102" s="1415">
        <v>1.2916432561337547</v>
      </c>
      <c r="G102" s="1494"/>
      <c r="H102" s="947"/>
      <c r="I102" s="947"/>
      <c r="J102" s="1415">
        <v>0.90725090648250273</v>
      </c>
      <c r="K102" s="1494"/>
      <c r="L102" s="946"/>
      <c r="M102" s="946"/>
      <c r="N102" s="1415">
        <v>1.7470569915707532</v>
      </c>
      <c r="O102" s="1494"/>
      <c r="P102" s="947"/>
      <c r="Q102" s="947"/>
      <c r="R102" s="1415">
        <v>1.7470569915707532</v>
      </c>
      <c r="S102" s="2568"/>
      <c r="T102" s="2565"/>
      <c r="U102" s="2565"/>
      <c r="V102" s="1415">
        <v>1.7620170542728602</v>
      </c>
      <c r="W102" s="2941"/>
      <c r="X102" s="946"/>
      <c r="Y102" s="946"/>
      <c r="Z102" s="558"/>
      <c r="AA102" s="558"/>
      <c r="AB102" s="1415">
        <v>1.7616249132735398</v>
      </c>
      <c r="AC102" s="2941"/>
      <c r="AD102" s="3615"/>
      <c r="AE102" s="3615"/>
      <c r="AF102" s="1415">
        <v>1.7620170542728602</v>
      </c>
      <c r="AG102" s="2941"/>
      <c r="AH102" s="3615"/>
      <c r="AI102" s="3615"/>
      <c r="AJ102" s="1415">
        <v>1.7616249132735398</v>
      </c>
      <c r="AK102" s="2941"/>
      <c r="AL102" s="4328"/>
      <c r="AM102" s="4328"/>
      <c r="AN102" s="3615"/>
      <c r="AO102" s="3615"/>
      <c r="AP102" s="1415">
        <v>1.7616249132735398</v>
      </c>
      <c r="AQ102" s="2941"/>
      <c r="AR102" s="3615"/>
      <c r="AS102" s="3615"/>
      <c r="AT102" s="1415">
        <v>1.737466827225477</v>
      </c>
      <c r="AU102" s="2941"/>
      <c r="AV102" s="3615"/>
      <c r="AW102" s="3615"/>
      <c r="AX102" s="1415">
        <v>1.7616249132735398</v>
      </c>
      <c r="AY102" s="2941"/>
      <c r="AZ102" s="5166"/>
      <c r="BA102" s="5166"/>
      <c r="BB102" s="5175">
        <f t="shared" si="556"/>
        <v>0</v>
      </c>
      <c r="BC102" s="5175">
        <f t="shared" si="557"/>
        <v>0</v>
      </c>
      <c r="BD102" s="3615"/>
      <c r="BE102" s="3615"/>
      <c r="BF102" s="26"/>
      <c r="BG102" s="26"/>
      <c r="BH102" s="26"/>
      <c r="BI102" s="26"/>
    </row>
    <row r="103" spans="1:61" x14ac:dyDescent="0.25">
      <c r="B103" s="1253" t="s">
        <v>112</v>
      </c>
      <c r="C103" s="193" t="s">
        <v>334</v>
      </c>
      <c r="D103" s="1411">
        <f>D104*D$2*24</f>
        <v>777.42794437407292</v>
      </c>
      <c r="E103" s="1494">
        <v>981.26056803453002</v>
      </c>
      <c r="F103" s="1411">
        <f>F104*F$2*24</f>
        <v>580.61482931516002</v>
      </c>
      <c r="G103" s="1494">
        <v>919.13432673315856</v>
      </c>
      <c r="H103" s="947">
        <f t="shared" si="562"/>
        <v>1358.0427736892329</v>
      </c>
      <c r="I103" s="947">
        <f t="shared" si="562"/>
        <v>1900.3948947676886</v>
      </c>
      <c r="J103" s="1411">
        <f>J104*J$2*24</f>
        <v>503.83218526969557</v>
      </c>
      <c r="K103" s="1494">
        <v>976.43094021250749</v>
      </c>
      <c r="L103" s="946">
        <f t="shared" si="563"/>
        <v>1861.8749589589286</v>
      </c>
      <c r="M103" s="946">
        <f t="shared" si="564"/>
        <v>2876.8258349801963</v>
      </c>
      <c r="N103" s="1411">
        <f>N104*N$2*24</f>
        <v>802.78256810192772</v>
      </c>
      <c r="O103" s="1494">
        <v>1495.1920114435229</v>
      </c>
      <c r="P103" s="947">
        <f t="shared" si="565"/>
        <v>2664.6575270608564</v>
      </c>
      <c r="Q103" s="947">
        <f t="shared" si="566"/>
        <v>4372.0178464237197</v>
      </c>
      <c r="R103" s="2567">
        <f>R104*R$2*24</f>
        <v>802.78256810192772</v>
      </c>
      <c r="S103" s="2568">
        <v>1102.2445223060097</v>
      </c>
      <c r="T103" s="2565">
        <f t="shared" ref="T103" si="621">+P103+R103</f>
        <v>3467.440095162784</v>
      </c>
      <c r="U103" s="2565">
        <f t="shared" ref="U103" si="622">+Q103+S103</f>
        <v>5474.2623687297291</v>
      </c>
      <c r="V103" s="3288">
        <f>V104*V$2*24</f>
        <v>778.75547322910461</v>
      </c>
      <c r="W103" s="2941">
        <v>1002.829</v>
      </c>
      <c r="X103" s="946">
        <f t="shared" si="548"/>
        <v>2384.3206094329598</v>
      </c>
      <c r="Y103" s="946">
        <f t="shared" si="549"/>
        <v>3600.2655337495326</v>
      </c>
      <c r="Z103" s="558">
        <f t="shared" si="550"/>
        <v>4246.1955683918886</v>
      </c>
      <c r="AA103" s="558">
        <f t="shared" si="551"/>
        <v>6477.0913687297289</v>
      </c>
      <c r="AB103" s="3616">
        <f>AB104*AB$2*24</f>
        <v>804.11583825813864</v>
      </c>
      <c r="AC103" s="2941">
        <v>1250.0494613699461</v>
      </c>
      <c r="AD103" s="3615">
        <f t="shared" ref="AD103" si="623">+Z103+AB103</f>
        <v>5050.3114066500275</v>
      </c>
      <c r="AE103" s="3615">
        <f t="shared" ref="AE103" si="624">+AA103+AC103</f>
        <v>7727.1408300996754</v>
      </c>
      <c r="AF103" s="3616">
        <f>AF104*AF$2*24</f>
        <v>778.75547322910461</v>
      </c>
      <c r="AG103" s="2941">
        <v>1173.5978064759631</v>
      </c>
      <c r="AH103" s="3615">
        <f t="shared" ref="AH103" si="625">+AD103+AF103</f>
        <v>5829.0668798791321</v>
      </c>
      <c r="AI103" s="3615">
        <f t="shared" ref="AI103" si="626">+AE103+AG103</f>
        <v>8900.7386365756392</v>
      </c>
      <c r="AJ103" s="3616">
        <f>AJ104*AJ$2*24</f>
        <v>804.11583825813864</v>
      </c>
      <c r="AK103" s="2941">
        <v>1065.9295552440449</v>
      </c>
      <c r="AL103" s="4328">
        <f t="shared" ref="AL103" si="627">+AJ103+AF103+AB103</f>
        <v>2386.9871497453819</v>
      </c>
      <c r="AM103" s="4328">
        <f t="shared" ref="AM103" si="628">+AK103+AG103+AC103</f>
        <v>3489.5768230899544</v>
      </c>
      <c r="AN103" s="3615">
        <f t="shared" ref="AN103" si="629">+AH103+AJ103</f>
        <v>6633.182718137271</v>
      </c>
      <c r="AO103" s="3615">
        <f t="shared" ref="AO103" si="630">+AI103+AK103</f>
        <v>9966.6681918196846</v>
      </c>
      <c r="AP103" s="3616">
        <f>AP104*AP$2*24</f>
        <v>804.11583825813864</v>
      </c>
      <c r="AQ103" s="2941">
        <v>963.19460760862671</v>
      </c>
      <c r="AR103" s="3615">
        <f t="shared" ref="AR103" si="631">+AN103+AP103</f>
        <v>7437.2985563954098</v>
      </c>
      <c r="AS103" s="3615">
        <f t="shared" ref="AS103" si="632">+AO103+AQ103</f>
        <v>10929.862799428311</v>
      </c>
      <c r="AT103" s="3616">
        <f>AT104*AT$2*24</f>
        <v>730.63146039222352</v>
      </c>
      <c r="AU103" s="2941">
        <v>930.97930510556591</v>
      </c>
      <c r="AV103" s="3615">
        <f t="shared" ref="AV103" si="633">+AR103+AT103</f>
        <v>8167.9300167876336</v>
      </c>
      <c r="AW103" s="3615">
        <f t="shared" ref="AW103" si="634">+AS103+AU103</f>
        <v>11860.842104533876</v>
      </c>
      <c r="AX103" s="3616">
        <f>AX104*AX$2*24</f>
        <v>804.11583825813864</v>
      </c>
      <c r="AY103" s="2941">
        <v>884.90867919660036</v>
      </c>
      <c r="AZ103" s="5166">
        <f t="shared" ref="AZ103" si="635">+AX103+AT103+AP103</f>
        <v>2338.8631369085006</v>
      </c>
      <c r="BA103" s="5166">
        <f t="shared" ref="BA103" si="636">+AY103+AU103+AQ103</f>
        <v>2779.0825919107929</v>
      </c>
      <c r="BB103" s="5175">
        <f t="shared" si="556"/>
        <v>4725.850286653882</v>
      </c>
      <c r="BC103" s="5175">
        <f t="shared" si="557"/>
        <v>6268.6594150007477</v>
      </c>
      <c r="BD103" s="3615">
        <f t="shared" ref="BD103" si="637">+AV103+AX103</f>
        <v>8972.0458550457715</v>
      </c>
      <c r="BE103" s="3615">
        <f t="shared" ref="BE103" si="638">+AW103+AY103</f>
        <v>12745.750783730477</v>
      </c>
      <c r="BF103" s="26"/>
      <c r="BG103" s="26"/>
      <c r="BH103" s="26"/>
      <c r="BI103" s="26"/>
    </row>
    <row r="104" spans="1:61" ht="15" hidden="1" customHeight="1" x14ac:dyDescent="0.25">
      <c r="B104" s="1253"/>
      <c r="C104" s="193"/>
      <c r="D104" s="1415">
        <v>1.0797610338528791</v>
      </c>
      <c r="E104" s="1706"/>
      <c r="F104" s="1415">
        <v>0.78039627596123662</v>
      </c>
      <c r="G104" s="1494"/>
      <c r="H104" s="947"/>
      <c r="I104" s="947"/>
      <c r="J104" s="1415">
        <v>0.69976692398568829</v>
      </c>
      <c r="K104" s="1494"/>
      <c r="L104" s="946"/>
      <c r="M104" s="946"/>
      <c r="N104" s="1415">
        <v>1.0790088280939889</v>
      </c>
      <c r="O104" s="1494"/>
      <c r="P104" s="947"/>
      <c r="Q104" s="947"/>
      <c r="R104" s="1415">
        <v>1.0790088280939889</v>
      </c>
      <c r="S104" s="2568"/>
      <c r="T104" s="2565"/>
      <c r="U104" s="2565"/>
      <c r="V104" s="1415">
        <v>1.0816048239293119</v>
      </c>
      <c r="W104" s="2941"/>
      <c r="X104" s="946"/>
      <c r="Y104" s="946"/>
      <c r="Z104" s="558"/>
      <c r="AA104" s="558"/>
      <c r="AB104" s="1415">
        <v>1.0808008578738422</v>
      </c>
      <c r="AC104" s="2941"/>
      <c r="AD104" s="3615"/>
      <c r="AE104" s="3615"/>
      <c r="AF104" s="1415">
        <v>1.0816048239293119</v>
      </c>
      <c r="AG104" s="2941"/>
      <c r="AH104" s="3615"/>
      <c r="AI104" s="3615"/>
      <c r="AJ104" s="1415">
        <v>1.0808008578738422</v>
      </c>
      <c r="AK104" s="2941"/>
      <c r="AL104" s="4328"/>
      <c r="AM104" s="4328"/>
      <c r="AN104" s="3615"/>
      <c r="AO104" s="3615"/>
      <c r="AP104" s="1415">
        <v>1.0808008578738422</v>
      </c>
      <c r="AQ104" s="2941"/>
      <c r="AR104" s="3615"/>
      <c r="AS104" s="3615"/>
      <c r="AT104" s="1415">
        <v>1.0497578453911256</v>
      </c>
      <c r="AU104" s="2941"/>
      <c r="AV104" s="3615"/>
      <c r="AW104" s="3615"/>
      <c r="AX104" s="1415">
        <v>1.0808008578738422</v>
      </c>
      <c r="AY104" s="2941"/>
      <c r="AZ104" s="5166"/>
      <c r="BA104" s="5166"/>
      <c r="BB104" s="5175">
        <f t="shared" si="556"/>
        <v>0</v>
      </c>
      <c r="BC104" s="5175">
        <f t="shared" si="557"/>
        <v>0</v>
      </c>
      <c r="BD104" s="3615"/>
      <c r="BE104" s="3615"/>
      <c r="BF104" s="26"/>
      <c r="BG104" s="26"/>
      <c r="BH104" s="26"/>
      <c r="BI104" s="26"/>
    </row>
    <row r="105" spans="1:61" x14ac:dyDescent="0.25">
      <c r="B105" s="1253" t="s">
        <v>84</v>
      </c>
      <c r="C105" s="193" t="s">
        <v>334</v>
      </c>
      <c r="D105" s="1411">
        <f>D106*D$2*24</f>
        <v>0</v>
      </c>
      <c r="E105" s="1494"/>
      <c r="F105" s="1411">
        <f>F106*F$2*24</f>
        <v>0</v>
      </c>
      <c r="G105" s="1494">
        <v>17.547568710359414</v>
      </c>
      <c r="H105" s="947">
        <f t="shared" si="562"/>
        <v>0</v>
      </c>
      <c r="I105" s="947">
        <f t="shared" si="562"/>
        <v>17.547568710359414</v>
      </c>
      <c r="J105" s="1411">
        <f>J106*J$2*24</f>
        <v>0</v>
      </c>
      <c r="K105" s="1494">
        <v>25.581395348837223</v>
      </c>
      <c r="L105" s="946">
        <f t="shared" si="563"/>
        <v>0</v>
      </c>
      <c r="M105" s="946">
        <f t="shared" si="564"/>
        <v>43.128964059196633</v>
      </c>
      <c r="N105" s="1411">
        <f>N106*N$2*24</f>
        <v>0</v>
      </c>
      <c r="O105" s="1494">
        <v>0</v>
      </c>
      <c r="P105" s="947">
        <f t="shared" si="565"/>
        <v>0</v>
      </c>
      <c r="Q105" s="947">
        <f t="shared" si="566"/>
        <v>43.128964059196633</v>
      </c>
      <c r="R105" s="2567">
        <f>R106*R$2*24</f>
        <v>0</v>
      </c>
      <c r="S105" s="2568">
        <v>0</v>
      </c>
      <c r="T105" s="2565">
        <f t="shared" ref="T105" si="639">+P105+R105</f>
        <v>0</v>
      </c>
      <c r="U105" s="2565">
        <f t="shared" ref="U105" si="640">+Q105+S105</f>
        <v>43.128964059196633</v>
      </c>
      <c r="V105" s="3288">
        <f>V106*V$2*24</f>
        <v>0</v>
      </c>
      <c r="W105" s="2941">
        <v>0</v>
      </c>
      <c r="X105" s="946">
        <f t="shared" si="548"/>
        <v>0</v>
      </c>
      <c r="Y105" s="946">
        <f t="shared" si="549"/>
        <v>0</v>
      </c>
      <c r="Z105" s="558">
        <f t="shared" si="550"/>
        <v>0</v>
      </c>
      <c r="AA105" s="558">
        <f t="shared" si="551"/>
        <v>43.128964059196633</v>
      </c>
      <c r="AB105" s="3616">
        <f>AB106*AB$2*24</f>
        <v>0</v>
      </c>
      <c r="AC105" s="2941">
        <v>4.2283298097251585</v>
      </c>
      <c r="AD105" s="3615">
        <f t="shared" ref="AD105" si="641">+Z105+AB105</f>
        <v>0</v>
      </c>
      <c r="AE105" s="3615">
        <f t="shared" ref="AE105" si="642">+AA105+AC105</f>
        <v>47.357293868921793</v>
      </c>
      <c r="AF105" s="3616">
        <f>AF106*AF$2*24</f>
        <v>0</v>
      </c>
      <c r="AG105" s="2941">
        <v>0</v>
      </c>
      <c r="AH105" s="3615">
        <f t="shared" ref="AH105" si="643">+AD105+AF105</f>
        <v>0</v>
      </c>
      <c r="AI105" s="3615">
        <f t="shared" ref="AI105" si="644">+AE105+AG105</f>
        <v>47.357293868921793</v>
      </c>
      <c r="AJ105" s="3616">
        <f>AJ106*AJ$2*24</f>
        <v>0</v>
      </c>
      <c r="AK105" s="2941"/>
      <c r="AL105" s="4328">
        <f t="shared" ref="AL105" si="645">+AJ105+AF105+AB105</f>
        <v>0</v>
      </c>
      <c r="AM105" s="4328">
        <f t="shared" ref="AM105" si="646">+AK105+AG105+AC105</f>
        <v>4.2283298097251585</v>
      </c>
      <c r="AN105" s="3615">
        <f t="shared" ref="AN105" si="647">+AH105+AJ105</f>
        <v>0</v>
      </c>
      <c r="AO105" s="3615">
        <f t="shared" ref="AO105" si="648">+AI105+AK105</f>
        <v>47.357293868921793</v>
      </c>
      <c r="AP105" s="3616">
        <f>AP106*AP$2*24</f>
        <v>0</v>
      </c>
      <c r="AQ105" s="2941">
        <v>0</v>
      </c>
      <c r="AR105" s="3615">
        <f t="shared" ref="AR105" si="649">+AN105+AP105</f>
        <v>0</v>
      </c>
      <c r="AS105" s="3615">
        <f t="shared" ref="AS105" si="650">+AO105+AQ105</f>
        <v>47.357293868921793</v>
      </c>
      <c r="AT105" s="3616">
        <f>AT106*AT$2*24</f>
        <v>0</v>
      </c>
      <c r="AU105" s="2941">
        <v>6.976744186046508</v>
      </c>
      <c r="AV105" s="3615">
        <f t="shared" ref="AV105" si="651">+AR105+AT105</f>
        <v>0</v>
      </c>
      <c r="AW105" s="3615">
        <f t="shared" ref="AW105" si="652">+AS105+AU105</f>
        <v>54.334038054968303</v>
      </c>
      <c r="AX105" s="3616">
        <f>AX106*AX$2*24</f>
        <v>0</v>
      </c>
      <c r="AY105" s="2941">
        <v>0</v>
      </c>
      <c r="AZ105" s="5166">
        <f t="shared" ref="AZ105" si="653">+AX105+AT105+AP105</f>
        <v>0</v>
      </c>
      <c r="BA105" s="5166">
        <f t="shared" ref="BA105" si="654">+AY105+AU105+AQ105</f>
        <v>6.976744186046508</v>
      </c>
      <c r="BB105" s="5175">
        <f t="shared" si="556"/>
        <v>0</v>
      </c>
      <c r="BC105" s="5175">
        <f t="shared" si="557"/>
        <v>11.205073995771667</v>
      </c>
      <c r="BD105" s="3615">
        <f t="shared" ref="BD105" si="655">+AV105+AX105</f>
        <v>0</v>
      </c>
      <c r="BE105" s="3615">
        <f t="shared" ref="BE105" si="656">+AW105+AY105</f>
        <v>54.334038054968303</v>
      </c>
      <c r="BF105" s="26"/>
      <c r="BG105" s="26"/>
      <c r="BH105" s="26"/>
      <c r="BI105" s="26"/>
    </row>
    <row r="106" spans="1:61" ht="15" hidden="1" customHeight="1" x14ac:dyDescent="0.25">
      <c r="B106" s="1253"/>
      <c r="C106" s="193"/>
      <c r="D106" s="1411">
        <v>0</v>
      </c>
      <c r="E106" s="1494"/>
      <c r="F106" s="1411">
        <v>0</v>
      </c>
      <c r="G106" s="1494"/>
      <c r="H106" s="947"/>
      <c r="I106" s="947"/>
      <c r="J106" s="1411">
        <v>0</v>
      </c>
      <c r="K106" s="1494"/>
      <c r="L106" s="946"/>
      <c r="M106" s="946"/>
      <c r="N106" s="1411"/>
      <c r="O106" s="1494"/>
      <c r="P106" s="947"/>
      <c r="Q106" s="947"/>
      <c r="R106" s="2567"/>
      <c r="S106" s="2568"/>
      <c r="T106" s="2565"/>
      <c r="U106" s="2565"/>
      <c r="V106" s="3288"/>
      <c r="W106" s="2941"/>
      <c r="X106" s="946"/>
      <c r="Y106" s="946"/>
      <c r="Z106" s="558"/>
      <c r="AA106" s="558"/>
      <c r="AB106" s="3616"/>
      <c r="AC106" s="2941"/>
      <c r="AD106" s="3615"/>
      <c r="AE106" s="3615"/>
      <c r="AF106" s="3616"/>
      <c r="AG106" s="2941"/>
      <c r="AH106" s="3615"/>
      <c r="AI106" s="3615"/>
      <c r="AJ106" s="3616"/>
      <c r="AK106" s="2941"/>
      <c r="AL106" s="4328"/>
      <c r="AM106" s="4328"/>
      <c r="AN106" s="3615"/>
      <c r="AO106" s="3615"/>
      <c r="AP106" s="3616"/>
      <c r="AQ106" s="2941"/>
      <c r="AR106" s="3615"/>
      <c r="AS106" s="3615"/>
      <c r="AT106" s="3616"/>
      <c r="AU106" s="2941"/>
      <c r="AV106" s="3615"/>
      <c r="AW106" s="3615"/>
      <c r="AX106" s="3616"/>
      <c r="AY106" s="2941"/>
      <c r="AZ106" s="5166"/>
      <c r="BA106" s="5166"/>
      <c r="BB106" s="5175">
        <f t="shared" si="556"/>
        <v>0</v>
      </c>
      <c r="BC106" s="5175">
        <f t="shared" si="557"/>
        <v>0</v>
      </c>
      <c r="BD106" s="3615"/>
      <c r="BE106" s="3615"/>
      <c r="BF106" s="26"/>
      <c r="BG106" s="26"/>
      <c r="BH106" s="26"/>
      <c r="BI106" s="26"/>
    </row>
    <row r="107" spans="1:61" x14ac:dyDescent="0.25">
      <c r="B107" s="1253" t="s">
        <v>571</v>
      </c>
      <c r="C107" s="193" t="s">
        <v>334</v>
      </c>
      <c r="D107" s="1411">
        <f>D108*D$2*24</f>
        <v>144</v>
      </c>
      <c r="E107" s="1494">
        <v>152.2198731501058</v>
      </c>
      <c r="F107" s="1411">
        <f>F108*$F$2*24</f>
        <v>148.80000000000001</v>
      </c>
      <c r="G107" s="1494">
        <v>143.12896405919653</v>
      </c>
      <c r="H107" s="947">
        <f t="shared" si="562"/>
        <v>292.8</v>
      </c>
      <c r="I107" s="947">
        <f t="shared" si="562"/>
        <v>295.34883720930236</v>
      </c>
      <c r="J107" s="1411">
        <f>J108*J$2*24</f>
        <v>144</v>
      </c>
      <c r="K107" s="1494">
        <v>141.22621564482023</v>
      </c>
      <c r="L107" s="946">
        <f t="shared" si="563"/>
        <v>436.8</v>
      </c>
      <c r="M107" s="946">
        <f t="shared" si="564"/>
        <v>436.57505285412259</v>
      </c>
      <c r="N107" s="1411">
        <f>N108*N$2*24</f>
        <v>148.80000000000001</v>
      </c>
      <c r="O107" s="1494">
        <v>169.22130866807598</v>
      </c>
      <c r="P107" s="947">
        <f t="shared" si="565"/>
        <v>585.6</v>
      </c>
      <c r="Q107" s="947">
        <f t="shared" si="566"/>
        <v>605.79636152219859</v>
      </c>
      <c r="R107" s="2567">
        <f>R108*R$2*24</f>
        <v>148.80000000000001</v>
      </c>
      <c r="S107" s="2568">
        <v>157.29386892177578</v>
      </c>
      <c r="T107" s="2565">
        <f t="shared" ref="T107" si="657">+P107+R107</f>
        <v>734.40000000000009</v>
      </c>
      <c r="U107" s="2565">
        <f t="shared" ref="U107" si="658">+Q107+S107</f>
        <v>763.09023044397441</v>
      </c>
      <c r="V107" s="3288">
        <f>V108*V$2*24</f>
        <v>144</v>
      </c>
      <c r="W107" s="2941">
        <v>152.22</v>
      </c>
      <c r="X107" s="946">
        <f t="shared" si="548"/>
        <v>441.6</v>
      </c>
      <c r="Y107" s="946">
        <f t="shared" si="549"/>
        <v>478.73517758985179</v>
      </c>
      <c r="Z107" s="558">
        <f t="shared" si="550"/>
        <v>878.40000000000009</v>
      </c>
      <c r="AA107" s="558">
        <f t="shared" si="551"/>
        <v>915.31023044397443</v>
      </c>
      <c r="AB107" s="3616">
        <f>AB108*AB$2*24</f>
        <v>148.80000000000001</v>
      </c>
      <c r="AC107" s="2941">
        <v>157.29386892177578</v>
      </c>
      <c r="AD107" s="3615">
        <f t="shared" ref="AD107" si="659">+Z107+AB107</f>
        <v>1027.2</v>
      </c>
      <c r="AE107" s="3615">
        <f t="shared" ref="AE107" si="660">+AA107+AC107</f>
        <v>1072.6040993657502</v>
      </c>
      <c r="AF107" s="3616">
        <f>AF108*AF$2*24</f>
        <v>144</v>
      </c>
      <c r="AG107" s="2941">
        <v>152.2198731501056</v>
      </c>
      <c r="AH107" s="3615">
        <f t="shared" ref="AH107" si="661">+AD107+AF107</f>
        <v>1171.2</v>
      </c>
      <c r="AI107" s="3615">
        <f t="shared" ref="AI107" si="662">+AE107+AG107</f>
        <v>1224.8239725158558</v>
      </c>
      <c r="AJ107" s="3616">
        <f>AJ108*AJ$2*24</f>
        <v>148.80000000000001</v>
      </c>
      <c r="AK107" s="2941">
        <v>157.29386892177598</v>
      </c>
      <c r="AL107" s="4328">
        <f t="shared" ref="AL107" si="663">+AJ107+AF107+AB107</f>
        <v>441.6</v>
      </c>
      <c r="AM107" s="4328">
        <f t="shared" ref="AM107" si="664">+AK107+AG107+AC107</f>
        <v>466.80761099365736</v>
      </c>
      <c r="AN107" s="3615">
        <f t="shared" ref="AN107" si="665">+AH107+AJ107</f>
        <v>1320</v>
      </c>
      <c r="AO107" s="3615">
        <f t="shared" ref="AO107" si="666">+AI107+AK107</f>
        <v>1382.1178414376318</v>
      </c>
      <c r="AP107" s="3616">
        <f>AP108*AP$2*24</f>
        <v>148.80000000000001</v>
      </c>
      <c r="AQ107" s="2941">
        <v>157.29386892177578</v>
      </c>
      <c r="AR107" s="3615">
        <f t="shared" ref="AR107" si="667">+AN107+AP107</f>
        <v>1468.8</v>
      </c>
      <c r="AS107" s="3615">
        <f t="shared" ref="AS107" si="668">+AO107+AQ107</f>
        <v>1539.4117103594076</v>
      </c>
      <c r="AT107" s="3616">
        <f>AT108*AT$2*24</f>
        <v>139.20000000000002</v>
      </c>
      <c r="AU107" s="2941">
        <v>147.14587737843542</v>
      </c>
      <c r="AV107" s="3615">
        <f t="shared" ref="AV107" si="669">+AR107+AT107</f>
        <v>1608</v>
      </c>
      <c r="AW107" s="3615">
        <f t="shared" ref="AW107" si="670">+AS107+AU107</f>
        <v>1686.5575877378431</v>
      </c>
      <c r="AX107" s="3616">
        <f>AX108*AX$2*24</f>
        <v>148.80000000000001</v>
      </c>
      <c r="AY107" s="2941">
        <v>157.29386892177578</v>
      </c>
      <c r="AZ107" s="5166">
        <f t="shared" ref="AZ107" si="671">+AX107+AT107+AP107</f>
        <v>436.8</v>
      </c>
      <c r="BA107" s="5166">
        <f t="shared" ref="BA107" si="672">+AY107+AU107+AQ107</f>
        <v>461.73361522198695</v>
      </c>
      <c r="BB107" s="5175">
        <f t="shared" si="556"/>
        <v>878.40000000000009</v>
      </c>
      <c r="BC107" s="5175">
        <f t="shared" si="557"/>
        <v>928.54122621564431</v>
      </c>
      <c r="BD107" s="3615">
        <f t="shared" ref="BD107" si="673">+AV107+AX107</f>
        <v>1756.8</v>
      </c>
      <c r="BE107" s="3615">
        <f t="shared" ref="BE107" si="674">+AW107+AY107</f>
        <v>1843.8514566596189</v>
      </c>
      <c r="BF107" s="26"/>
      <c r="BG107" s="26"/>
      <c r="BH107" s="26"/>
      <c r="BI107" s="26"/>
    </row>
    <row r="108" spans="1:61" ht="15" hidden="1" customHeight="1" x14ac:dyDescent="0.25">
      <c r="B108" s="1253"/>
      <c r="C108" s="193"/>
      <c r="D108" s="227">
        <v>0.2</v>
      </c>
      <c r="E108" s="131"/>
      <c r="F108" s="227">
        <v>0.2</v>
      </c>
      <c r="G108" s="1494"/>
      <c r="H108" s="947"/>
      <c r="I108" s="947"/>
      <c r="J108" s="227">
        <v>0.2</v>
      </c>
      <c r="K108" s="1494"/>
      <c r="L108" s="946"/>
      <c r="M108" s="946"/>
      <c r="N108" s="227">
        <v>0.2</v>
      </c>
      <c r="O108" s="1494"/>
      <c r="P108" s="947"/>
      <c r="Q108" s="947"/>
      <c r="R108" s="227">
        <v>0.2</v>
      </c>
      <c r="S108" s="2568"/>
      <c r="T108" s="2565"/>
      <c r="U108" s="2565"/>
      <c r="V108" s="227">
        <v>0.2</v>
      </c>
      <c r="W108" s="2941"/>
      <c r="X108" s="946"/>
      <c r="Y108" s="946"/>
      <c r="Z108" s="558"/>
      <c r="AA108" s="558"/>
      <c r="AB108" s="227">
        <v>0.2</v>
      </c>
      <c r="AC108" s="2941"/>
      <c r="AD108" s="3615"/>
      <c r="AE108" s="3615"/>
      <c r="AF108" s="227">
        <v>0.2</v>
      </c>
      <c r="AG108" s="2941"/>
      <c r="AH108" s="3615"/>
      <c r="AI108" s="3615"/>
      <c r="AJ108" s="227">
        <v>0.2</v>
      </c>
      <c r="AK108" s="2941"/>
      <c r="AL108" s="4328"/>
      <c r="AM108" s="4328"/>
      <c r="AN108" s="3615"/>
      <c r="AO108" s="3615"/>
      <c r="AP108" s="227">
        <v>0.2</v>
      </c>
      <c r="AQ108" s="2941"/>
      <c r="AR108" s="3615"/>
      <c r="AS108" s="3615"/>
      <c r="AT108" s="227">
        <v>0.2</v>
      </c>
      <c r="AU108" s="2941"/>
      <c r="AV108" s="3615"/>
      <c r="AW108" s="3615"/>
      <c r="AX108" s="227">
        <v>0.2</v>
      </c>
      <c r="AY108" s="2941"/>
      <c r="AZ108" s="5166"/>
      <c r="BA108" s="5166"/>
      <c r="BB108" s="5164"/>
      <c r="BC108" s="5164"/>
      <c r="BD108" s="3615"/>
      <c r="BE108" s="3615"/>
      <c r="BF108" s="26"/>
      <c r="BG108" s="26"/>
      <c r="BH108" s="26"/>
      <c r="BI108" s="26"/>
    </row>
    <row r="109" spans="1:61" ht="15.75" x14ac:dyDescent="0.25">
      <c r="B109" s="979" t="s">
        <v>63</v>
      </c>
      <c r="C109" s="973" t="s">
        <v>334</v>
      </c>
      <c r="D109" s="1416">
        <f t="shared" ref="D109:I109" si="675">D93+D95+D97+D99+D101+D103+D105+D107</f>
        <v>3600</v>
      </c>
      <c r="E109" s="1416">
        <f t="shared" si="675"/>
        <v>3557.6909999999993</v>
      </c>
      <c r="F109" s="1416">
        <f t="shared" si="675"/>
        <v>3720</v>
      </c>
      <c r="G109" s="1416">
        <f t="shared" si="675"/>
        <v>3565.1309999999999</v>
      </c>
      <c r="H109" s="452">
        <f t="shared" si="675"/>
        <v>7320.0000000000009</v>
      </c>
      <c r="I109" s="452">
        <f t="shared" si="675"/>
        <v>7122.8219999999992</v>
      </c>
      <c r="J109" s="1416">
        <f t="shared" ref="J109:K109" si="676">J93+J95+J97+J99+J101+J103+J105+J107</f>
        <v>3599.9999999999991</v>
      </c>
      <c r="K109" s="1416">
        <f t="shared" si="676"/>
        <v>3600.5069999999996</v>
      </c>
      <c r="L109" s="969">
        <f t="shared" ref="L109:AA109" si="677">SUM(L93:L107)</f>
        <v>10920</v>
      </c>
      <c r="M109" s="969">
        <f t="shared" si="677"/>
        <v>10723.329</v>
      </c>
      <c r="N109" s="1416">
        <f t="shared" ref="N109" si="678">N93+N95+N97+N99+N101+N103+N105+N107</f>
        <v>3720</v>
      </c>
      <c r="O109" s="236">
        <f t="shared" si="677"/>
        <v>3688.8039999999992</v>
      </c>
      <c r="P109" s="311">
        <f t="shared" si="677"/>
        <v>14639.999999999998</v>
      </c>
      <c r="Q109" s="311">
        <f t="shared" si="677"/>
        <v>14412.132999999998</v>
      </c>
      <c r="R109" s="1416">
        <f t="shared" ref="R109" si="679">R93+R95+R97+R99+R101+R103+R105+R107</f>
        <v>3720</v>
      </c>
      <c r="S109" s="236">
        <f t="shared" ref="S109:U109" si="680">SUM(S93:S107)</f>
        <v>3675.3479999999995</v>
      </c>
      <c r="T109" s="311">
        <f t="shared" si="680"/>
        <v>18360</v>
      </c>
      <c r="U109" s="311">
        <f t="shared" si="680"/>
        <v>18087.480999999996</v>
      </c>
      <c r="V109" s="1416">
        <f t="shared" ref="V109" si="681">V93+V95+V97+V99+V101+V103+V105+V107</f>
        <v>3600</v>
      </c>
      <c r="W109" s="236">
        <f t="shared" ref="W109" si="682">SUM(W93:W107)</f>
        <v>3577.7109999999998</v>
      </c>
      <c r="X109" s="969">
        <f t="shared" si="677"/>
        <v>11040</v>
      </c>
      <c r="Y109" s="969">
        <f t="shared" si="677"/>
        <v>10941.862999999998</v>
      </c>
      <c r="Z109" s="625">
        <f t="shared" si="677"/>
        <v>21960</v>
      </c>
      <c r="AA109" s="625">
        <f t="shared" si="677"/>
        <v>21665.191999999999</v>
      </c>
      <c r="AB109" s="1416">
        <f t="shared" ref="AB109" si="683">AB93+AB95+AB97+AB99+AB101+AB103+AB105+AB107</f>
        <v>3720</v>
      </c>
      <c r="AC109" s="236">
        <f t="shared" ref="AC109:AE109" si="684">SUM(AC93:AC107)</f>
        <v>3688.8809999999989</v>
      </c>
      <c r="AD109" s="311">
        <f t="shared" si="684"/>
        <v>25680</v>
      </c>
      <c r="AE109" s="311">
        <f t="shared" si="684"/>
        <v>25354.073</v>
      </c>
      <c r="AF109" s="1416">
        <f t="shared" ref="AF109" si="685">AF93+AF95+AF97+AF99+AF101+AF103+AF105+AF107</f>
        <v>3600</v>
      </c>
      <c r="AG109" s="236">
        <f t="shared" ref="AG109:AI109" si="686">SUM(AG93:AG107)</f>
        <v>3570.2789999999995</v>
      </c>
      <c r="AH109" s="311">
        <f t="shared" si="686"/>
        <v>29279.999999999996</v>
      </c>
      <c r="AI109" s="311">
        <f t="shared" si="686"/>
        <v>28924.351999999995</v>
      </c>
      <c r="AJ109" s="1416">
        <f t="shared" ref="AJ109" si="687">AJ93+AJ95+AJ97+AJ99+AJ101+AJ103+AJ105+AJ107</f>
        <v>3720</v>
      </c>
      <c r="AK109" s="236">
        <f t="shared" ref="AK109:AO109" si="688">SUM(AK93:AK107)</f>
        <v>3689.3309999999992</v>
      </c>
      <c r="AL109" s="969">
        <f t="shared" si="688"/>
        <v>11040.000000000002</v>
      </c>
      <c r="AM109" s="969">
        <f t="shared" si="688"/>
        <v>10948.490999999998</v>
      </c>
      <c r="AN109" s="311">
        <f t="shared" si="688"/>
        <v>33000</v>
      </c>
      <c r="AO109" s="311">
        <f t="shared" si="688"/>
        <v>32613.682999999997</v>
      </c>
      <c r="AP109" s="1416">
        <f t="shared" ref="AP109" si="689">AP93+AP95+AP97+AP99+AP101+AP103+AP105+AP107</f>
        <v>3720</v>
      </c>
      <c r="AQ109" s="236">
        <f t="shared" ref="AQ109:AS109" si="690">SUM(AQ93:AQ107)</f>
        <v>3684.3439999999996</v>
      </c>
      <c r="AR109" s="311">
        <f t="shared" si="690"/>
        <v>36720</v>
      </c>
      <c r="AS109" s="311">
        <f t="shared" si="690"/>
        <v>36298.027000000002</v>
      </c>
      <c r="AT109" s="1416">
        <f t="shared" ref="AT109" si="691">AT93+AT95+AT97+AT99+AT101+AT103+AT105+AT107</f>
        <v>3480</v>
      </c>
      <c r="AU109" s="236">
        <f t="shared" ref="AU109:AW109" si="692">SUM(AU93:AU107)</f>
        <v>3435.0549999999989</v>
      </c>
      <c r="AV109" s="311">
        <f t="shared" si="692"/>
        <v>40200</v>
      </c>
      <c r="AW109" s="311">
        <f t="shared" si="692"/>
        <v>39733.082000000002</v>
      </c>
      <c r="AX109" s="1416">
        <f t="shared" ref="AX109" si="693">AX93+AX95+AX97+AX99+AX101+AX103+AX105+AX107</f>
        <v>3720</v>
      </c>
      <c r="AY109" s="236">
        <f t="shared" ref="AY109:BE109" si="694">SUM(AY93:AY107)</f>
        <v>3668.7899999999995</v>
      </c>
      <c r="AZ109" s="969">
        <f t="shared" si="694"/>
        <v>10920</v>
      </c>
      <c r="BA109" s="969">
        <f t="shared" si="694"/>
        <v>10788.188999999998</v>
      </c>
      <c r="BB109" s="625">
        <f t="shared" si="694"/>
        <v>21960</v>
      </c>
      <c r="BC109" s="625">
        <f t="shared" si="694"/>
        <v>21736.679999999997</v>
      </c>
      <c r="BD109" s="311">
        <f t="shared" si="694"/>
        <v>43920</v>
      </c>
      <c r="BE109" s="311">
        <f t="shared" si="694"/>
        <v>43401.872000000003</v>
      </c>
      <c r="BF109" s="26"/>
      <c r="BG109" s="26"/>
      <c r="BH109" s="26"/>
      <c r="BI109" s="26"/>
    </row>
    <row r="110" spans="1:61" ht="20.25" x14ac:dyDescent="0.25">
      <c r="B110" s="1270" t="s">
        <v>332</v>
      </c>
      <c r="C110" s="1270"/>
      <c r="D110" s="1271"/>
      <c r="E110" s="1270"/>
      <c r="F110" s="1271"/>
      <c r="G110" s="1270"/>
      <c r="H110" s="1270"/>
      <c r="I110" s="1270"/>
      <c r="J110" s="1271"/>
      <c r="K110" s="1270"/>
      <c r="L110" s="1270"/>
      <c r="M110" s="1270"/>
      <c r="N110" s="1271"/>
      <c r="O110" s="1270"/>
      <c r="P110" s="1270"/>
      <c r="Q110" s="1270"/>
      <c r="R110" s="1271"/>
      <c r="S110" s="1270"/>
      <c r="T110" s="1270"/>
      <c r="U110" s="1270"/>
      <c r="V110" s="1271"/>
      <c r="W110" s="1270"/>
      <c r="X110" s="1270"/>
      <c r="Y110" s="1270"/>
      <c r="Z110" s="1270"/>
      <c r="AA110" s="1270"/>
      <c r="AB110" s="1271"/>
      <c r="AC110" s="1270"/>
      <c r="AD110" s="1270"/>
      <c r="AE110" s="1270"/>
      <c r="AF110" s="1271"/>
      <c r="AG110" s="1270"/>
      <c r="AH110" s="1270"/>
      <c r="AI110" s="1270"/>
      <c r="AJ110" s="1271"/>
      <c r="AK110" s="1270"/>
      <c r="AL110" s="1270"/>
      <c r="AM110" s="1270"/>
      <c r="AN110" s="1270"/>
      <c r="AO110" s="1270"/>
      <c r="AP110" s="1271"/>
      <c r="AQ110" s="1270"/>
      <c r="AR110" s="1270"/>
      <c r="AS110" s="1270"/>
      <c r="AT110" s="1271"/>
      <c r="AU110" s="1270"/>
      <c r="AV110" s="1270"/>
      <c r="AW110" s="1270"/>
      <c r="AX110" s="1271"/>
      <c r="AY110" s="1270"/>
      <c r="AZ110" s="1270"/>
      <c r="BA110" s="1270"/>
      <c r="BB110" s="1270"/>
      <c r="BC110" s="1270"/>
      <c r="BD110" s="1270"/>
      <c r="BE110" s="1270"/>
      <c r="BF110" s="26"/>
      <c r="BG110" s="26"/>
      <c r="BH110" s="26"/>
      <c r="BI110" s="26"/>
    </row>
    <row r="111" spans="1:61" x14ac:dyDescent="0.25">
      <c r="B111" s="1272" t="s">
        <v>113</v>
      </c>
      <c r="C111" s="193" t="s">
        <v>331</v>
      </c>
      <c r="D111" s="327">
        <v>0.27435466981601114</v>
      </c>
      <c r="E111" s="327">
        <v>0.28432052516884176</v>
      </c>
      <c r="F111" s="327">
        <v>0.27715359096844294</v>
      </c>
      <c r="G111" s="327">
        <v>0.31321170705218393</v>
      </c>
      <c r="H111" s="457">
        <v>0.27562737943432547</v>
      </c>
      <c r="I111" s="457">
        <v>0.29937577165201518</v>
      </c>
      <c r="J111" s="327">
        <v>0.28070514742163055</v>
      </c>
      <c r="K111" s="327">
        <v>0.38367183647358971</v>
      </c>
      <c r="L111" s="458">
        <v>0.27719034724266073</v>
      </c>
      <c r="M111" s="458">
        <v>0.32650452311741185</v>
      </c>
      <c r="N111" s="327">
        <v>0.28562288262560831</v>
      </c>
      <c r="O111" s="327">
        <v>0.30853732789962457</v>
      </c>
      <c r="P111" s="457">
        <v>0.27952236672685032</v>
      </c>
      <c r="Q111" s="457">
        <v>0.32159815123787927</v>
      </c>
      <c r="R111" s="327">
        <v>0.28099490151286122</v>
      </c>
      <c r="S111" s="327">
        <v>0.28572198766272783</v>
      </c>
      <c r="T111" s="457">
        <v>0.27984137479123466</v>
      </c>
      <c r="U111" s="457">
        <v>0.31474651893070282</v>
      </c>
      <c r="V111" s="327">
        <v>0.27779369005918952</v>
      </c>
      <c r="W111" s="327">
        <v>0.31123117335188033</v>
      </c>
      <c r="X111" s="458">
        <v>0.28150692629358581</v>
      </c>
      <c r="Y111" s="458">
        <v>0.30168964417047145</v>
      </c>
      <c r="Z111" s="796">
        <v>0.27948562563719698</v>
      </c>
      <c r="AA111" s="796">
        <v>0.3142379006223302</v>
      </c>
      <c r="AB111" s="327">
        <v>0.2709645055883862</v>
      </c>
      <c r="AC111" s="327">
        <v>0.33073092533162646</v>
      </c>
      <c r="AD111" s="457">
        <v>0.27815975218304456</v>
      </c>
      <c r="AE111" s="457">
        <v>0.31678942269322141</v>
      </c>
      <c r="AF111" s="327">
        <v>0.27102610661985255</v>
      </c>
      <c r="AG111" s="327">
        <v>0.34463142242368661</v>
      </c>
      <c r="AH111" s="457">
        <v>0.27722650764724288</v>
      </c>
      <c r="AI111" s="457">
        <v>0.32015685649659653</v>
      </c>
      <c r="AJ111" s="327">
        <v>0.27097246026864497</v>
      </c>
      <c r="AK111" s="327">
        <v>0.36258610639685196</v>
      </c>
      <c r="AL111" s="458">
        <v>0.27098724738747726</v>
      </c>
      <c r="AM111" s="458">
        <v>0.34589572736144464</v>
      </c>
      <c r="AN111" s="457">
        <v>0.27647877682362509</v>
      </c>
      <c r="AO111" s="457">
        <v>0.32527404339168009</v>
      </c>
      <c r="AP111" s="327">
        <v>0.27097246026864497</v>
      </c>
      <c r="AQ111" s="327">
        <v>0.35086051912009464</v>
      </c>
      <c r="AR111" s="457">
        <v>0.27589074868365165</v>
      </c>
      <c r="AS111" s="457">
        <v>0.32809475526248572</v>
      </c>
      <c r="AT111" s="327">
        <v>0.27108372054285712</v>
      </c>
      <c r="AU111" s="327">
        <v>0.33388518703806458</v>
      </c>
      <c r="AV111" s="457">
        <v>0.27545610860010478</v>
      </c>
      <c r="AW111" s="457">
        <v>0.32860273018080066</v>
      </c>
      <c r="AX111" s="327">
        <v>0.27098035048634095</v>
      </c>
      <c r="AY111" s="327">
        <v>0.29445197039880328</v>
      </c>
      <c r="AZ111" s="458">
        <v>0.27101044703946159</v>
      </c>
      <c r="BA111" s="458">
        <v>0.32627591061100408</v>
      </c>
      <c r="BB111" s="796">
        <v>0.27099879917443304</v>
      </c>
      <c r="BC111" s="796">
        <v>0.33594719551531466</v>
      </c>
      <c r="BD111" s="457">
        <v>0.27505837516938231</v>
      </c>
      <c r="BE111" s="457">
        <v>0.32561727013120983</v>
      </c>
      <c r="BF111" s="2062"/>
      <c r="BG111" s="2258"/>
      <c r="BH111" s="26"/>
      <c r="BI111" s="26"/>
    </row>
    <row r="112" spans="1:61" x14ac:dyDescent="0.25">
      <c r="A112" s="122"/>
      <c r="B112" s="1272" t="s">
        <v>1111</v>
      </c>
      <c r="C112" s="193" t="s">
        <v>331</v>
      </c>
      <c r="D112" s="327">
        <v>3.272735696597223</v>
      </c>
      <c r="E112" s="327">
        <v>3.3086543977163294</v>
      </c>
      <c r="F112" s="327">
        <v>3.2287773124523054</v>
      </c>
      <c r="G112" s="327">
        <v>3.2444092474926882</v>
      </c>
      <c r="H112" s="457">
        <v>3.2527471884328598</v>
      </c>
      <c r="I112" s="457">
        <v>3.2793279828678279</v>
      </c>
      <c r="J112" s="327">
        <v>3.156978067947783</v>
      </c>
      <c r="K112" s="327">
        <v>3.4112904354109217</v>
      </c>
      <c r="L112" s="458">
        <v>3.2232688718329325</v>
      </c>
      <c r="M112" s="458">
        <v>3.3238115263690431</v>
      </c>
      <c r="N112" s="327">
        <v>3.350217032392365</v>
      </c>
      <c r="O112" s="327">
        <v>3.2398566394936199</v>
      </c>
      <c r="P112" s="457">
        <v>3.2583764130957049</v>
      </c>
      <c r="Q112" s="457">
        <v>3.3003607302583373</v>
      </c>
      <c r="R112" s="327">
        <v>3.3198820350157776</v>
      </c>
      <c r="S112" s="327">
        <v>3.2508683808270451</v>
      </c>
      <c r="T112" s="457">
        <v>3.2717009128520944</v>
      </c>
      <c r="U112" s="457">
        <v>3.2902266835331049</v>
      </c>
      <c r="V112" s="327">
        <v>3.281519613084896</v>
      </c>
      <c r="W112" s="327">
        <v>3.3845812658451506</v>
      </c>
      <c r="X112" s="458">
        <v>3.3175598597531857</v>
      </c>
      <c r="Y112" s="458">
        <v>3.2894042866235425</v>
      </c>
      <c r="Z112" s="796">
        <v>3.2734067390698249</v>
      </c>
      <c r="AA112" s="796">
        <v>3.3061803389679278</v>
      </c>
      <c r="AB112" s="327">
        <v>3.2680587806345227</v>
      </c>
      <c r="AC112" s="327">
        <v>3.3845882271218173</v>
      </c>
      <c r="AD112" s="457">
        <v>3.272574604786695</v>
      </c>
      <c r="AE112" s="457">
        <v>3.3181416167552436</v>
      </c>
      <c r="AF112" s="327">
        <v>3.2673730104795418</v>
      </c>
      <c r="AG112" s="327">
        <v>3.3875245729397334</v>
      </c>
      <c r="AH112" s="457">
        <v>3.2718941168900639</v>
      </c>
      <c r="AI112" s="457">
        <v>3.3260665253089274</v>
      </c>
      <c r="AJ112" s="327">
        <v>3.2664976286076088</v>
      </c>
      <c r="AK112" s="327">
        <v>3.3386109923583258</v>
      </c>
      <c r="AL112" s="458">
        <v>3.267307994903268</v>
      </c>
      <c r="AM112" s="458">
        <v>3.3696847697114292</v>
      </c>
      <c r="AN112" s="457">
        <v>3.2712489154095166</v>
      </c>
      <c r="AO112" s="457">
        <v>3.3273436675011445</v>
      </c>
      <c r="AP112" s="327">
        <v>3.2664976286076088</v>
      </c>
      <c r="AQ112" s="327">
        <v>3.5020801388305611</v>
      </c>
      <c r="AR112" s="457">
        <v>3.2707415180754347</v>
      </c>
      <c r="AS112" s="457">
        <v>3.3452877006140627</v>
      </c>
      <c r="AT112" s="327">
        <v>3.2666391840092235</v>
      </c>
      <c r="AU112" s="327">
        <v>3.4095356870748326</v>
      </c>
      <c r="AV112" s="457">
        <v>3.2703705947587722</v>
      </c>
      <c r="AW112" s="457">
        <v>3.3511192674615655</v>
      </c>
      <c r="AX112" s="327">
        <v>3.2649489666406333</v>
      </c>
      <c r="AY112" s="327">
        <v>3.4224385539386382</v>
      </c>
      <c r="AZ112" s="458">
        <v>3.26601270776264</v>
      </c>
      <c r="BA112" s="458">
        <v>3.4448015243964032</v>
      </c>
      <c r="BB112" s="796">
        <v>3.2666630334570725</v>
      </c>
      <c r="BC112" s="796">
        <v>3.4077738831657949</v>
      </c>
      <c r="BD112" s="457">
        <v>3.2698888076074755</v>
      </c>
      <c r="BE112" s="457">
        <v>3.3574198734296719</v>
      </c>
      <c r="BF112" s="2062"/>
      <c r="BG112" s="2258"/>
      <c r="BH112" s="26"/>
      <c r="BI112" s="26"/>
    </row>
    <row r="113" spans="1:61" x14ac:dyDescent="0.25">
      <c r="A113" s="122"/>
      <c r="B113" s="1272" t="s">
        <v>114</v>
      </c>
      <c r="C113" s="193" t="s">
        <v>331</v>
      </c>
      <c r="D113" s="327">
        <v>0.84098862126408047</v>
      </c>
      <c r="E113" s="327">
        <v>0.8867781714310724</v>
      </c>
      <c r="F113" s="327">
        <v>0.84889902570425391</v>
      </c>
      <c r="G113" s="327">
        <v>0.90300057129438638</v>
      </c>
      <c r="H113" s="457">
        <v>0.84458559569368097</v>
      </c>
      <c r="I113" s="457">
        <v>0.89399018654734241</v>
      </c>
      <c r="J113" s="327">
        <v>0.80844679182030765</v>
      </c>
      <c r="K113" s="327">
        <v>0.73588423315199758</v>
      </c>
      <c r="L113" s="458">
        <v>0.83346185250040428</v>
      </c>
      <c r="M113" s="458">
        <v>0.84069706433285152</v>
      </c>
      <c r="N113" s="327">
        <v>0.84141795671832831</v>
      </c>
      <c r="O113" s="327">
        <v>0.76633921126688076</v>
      </c>
      <c r="P113" s="457">
        <v>0.83566211484285002</v>
      </c>
      <c r="Q113" s="457">
        <v>0.81978703727213476</v>
      </c>
      <c r="R113" s="327">
        <v>0.84141795671832831</v>
      </c>
      <c r="S113" s="327">
        <v>0.83722219091588279</v>
      </c>
      <c r="T113" s="457">
        <v>0.83690905311082331</v>
      </c>
      <c r="U113" s="457">
        <v>0.8236147038456787</v>
      </c>
      <c r="V113" s="327">
        <v>0.84107067381473455</v>
      </c>
      <c r="W113" s="327">
        <v>0.79194440361349216</v>
      </c>
      <c r="X113" s="458">
        <v>0.84130448999388119</v>
      </c>
      <c r="Y113" s="458">
        <v>0.79837259717367803</v>
      </c>
      <c r="Z113" s="4039">
        <v>0.83763206140486046</v>
      </c>
      <c r="AA113" s="4039">
        <v>0.81837420951352846</v>
      </c>
      <c r="AB113" s="327">
        <v>0.8410116062098314</v>
      </c>
      <c r="AC113" s="327">
        <v>0.84041456799909087</v>
      </c>
      <c r="AD113" s="457">
        <v>0.83815791348984015</v>
      </c>
      <c r="AE113" s="457">
        <v>0.82174721868973921</v>
      </c>
      <c r="AF113" s="327">
        <v>0.8404208136353406</v>
      </c>
      <c r="AG113" s="327">
        <v>0.88715262634407244</v>
      </c>
      <c r="AH113" s="457">
        <v>0.83845395275575907</v>
      </c>
      <c r="AI113" s="457">
        <v>0.82957438158498864</v>
      </c>
      <c r="AJ113" s="327">
        <v>0.84056975663944844</v>
      </c>
      <c r="AK113" s="327">
        <v>0.92477148574012391</v>
      </c>
      <c r="AL113" s="458">
        <v>0.84066996982539433</v>
      </c>
      <c r="AM113" s="458">
        <v>0.88358779575374258</v>
      </c>
      <c r="AN113" s="457">
        <v>0.8387069172257724</v>
      </c>
      <c r="AO113" s="457">
        <v>0.84056299119464906</v>
      </c>
      <c r="AP113" s="327">
        <v>0.84024041648963588</v>
      </c>
      <c r="AQ113" s="327">
        <v>0.84802584568929085</v>
      </c>
      <c r="AR113" s="457">
        <v>0.83887068200587112</v>
      </c>
      <c r="AS113" s="457">
        <v>0.84126657906514324</v>
      </c>
      <c r="AT113" s="327">
        <v>0.84015122829804134</v>
      </c>
      <c r="AU113" s="327">
        <v>0.930293741230659</v>
      </c>
      <c r="AV113" s="457">
        <v>0.83898646596450688</v>
      </c>
      <c r="AW113" s="457">
        <v>0.84919586255712298</v>
      </c>
      <c r="AX113" s="327">
        <v>0.84014045816965399</v>
      </c>
      <c r="AY113" s="327">
        <v>0.83580147398114313</v>
      </c>
      <c r="AZ113" s="458">
        <v>0.84017793247021755</v>
      </c>
      <c r="BA113" s="458">
        <v>0.87098246506785226</v>
      </c>
      <c r="BB113" s="796">
        <v>0.8404249699993146</v>
      </c>
      <c r="BC113" s="796">
        <v>0.8771960676680679</v>
      </c>
      <c r="BD113" s="457">
        <v>0.83908901424060101</v>
      </c>
      <c r="BE113" s="457">
        <v>0.84808608302120192</v>
      </c>
      <c r="BF113" s="2062"/>
      <c r="BG113" s="2258"/>
      <c r="BH113" s="26"/>
      <c r="BI113" s="26"/>
    </row>
    <row r="114" spans="1:61" x14ac:dyDescent="0.25">
      <c r="A114" s="122"/>
      <c r="B114" s="1272" t="s">
        <v>269</v>
      </c>
      <c r="C114" s="193" t="s">
        <v>331</v>
      </c>
      <c r="D114" s="327">
        <v>0.46926663381813755</v>
      </c>
      <c r="E114" s="327">
        <v>0.42298605044355431</v>
      </c>
      <c r="F114" s="327">
        <v>0.50229815191618632</v>
      </c>
      <c r="G114" s="327">
        <v>0.448771278220648</v>
      </c>
      <c r="H114" s="457">
        <v>0.48428653916787728</v>
      </c>
      <c r="I114" s="457">
        <v>0.43456702488768739</v>
      </c>
      <c r="J114" s="327">
        <v>0.49181143443973863</v>
      </c>
      <c r="K114" s="327">
        <v>0.55236068254054227</v>
      </c>
      <c r="L114" s="458">
        <v>0.48660274760836081</v>
      </c>
      <c r="M114" s="458">
        <v>0.47264294364334858</v>
      </c>
      <c r="N114" s="327">
        <v>0.47077879856563121</v>
      </c>
      <c r="O114" s="327">
        <v>0.47801213844115797</v>
      </c>
      <c r="P114" s="457">
        <v>0.4822266310777274</v>
      </c>
      <c r="Q114" s="457">
        <v>0.47413571676223853</v>
      </c>
      <c r="R114" s="327">
        <v>0.47077879856563121</v>
      </c>
      <c r="S114" s="327">
        <v>0.47108476783650538</v>
      </c>
      <c r="T114" s="457">
        <v>0.47974658719301017</v>
      </c>
      <c r="U114" s="457">
        <v>0.47345346880273137</v>
      </c>
      <c r="V114" s="327">
        <v>0.47061364416502371</v>
      </c>
      <c r="W114" s="327">
        <v>0.45692439180195576</v>
      </c>
      <c r="X114" s="458">
        <v>0.47072483815274868</v>
      </c>
      <c r="Y114" s="458">
        <v>0.46899597759244921</v>
      </c>
      <c r="Z114" s="796">
        <v>0.4781598992106097</v>
      </c>
      <c r="AA114" s="796">
        <v>0.47064432912297444</v>
      </c>
      <c r="AB114" s="327">
        <v>0.4680028783322171</v>
      </c>
      <c r="AC114" s="327">
        <v>0.41696170308202829</v>
      </c>
      <c r="AD114" s="457">
        <v>0.47657948204962719</v>
      </c>
      <c r="AE114" s="457">
        <v>0.46246539403139514</v>
      </c>
      <c r="AF114" s="327">
        <v>0.4680627557352377</v>
      </c>
      <c r="AG114" s="327">
        <v>0.48139067662817314</v>
      </c>
      <c r="AH114" s="457">
        <v>0.47546529881394284</v>
      </c>
      <c r="AI114" s="457">
        <v>0.46465462105137029</v>
      </c>
      <c r="AJ114" s="327">
        <v>0.4674317866937735</v>
      </c>
      <c r="AK114" s="327">
        <v>0.46652431751186935</v>
      </c>
      <c r="AL114" s="458">
        <v>0.4678293900785821</v>
      </c>
      <c r="AM114" s="458">
        <v>0.4535538329646312</v>
      </c>
      <c r="AN114" s="457">
        <v>0.47450481606245076</v>
      </c>
      <c r="AO114" s="457">
        <v>0.46487425053436493</v>
      </c>
      <c r="AP114" s="327">
        <v>0.4674317866937735</v>
      </c>
      <c r="AQ114" s="327">
        <v>0.45538252961298364</v>
      </c>
      <c r="AR114" s="457">
        <v>0.47374947621554725</v>
      </c>
      <c r="AS114" s="457">
        <v>0.463891116290848</v>
      </c>
      <c r="AT114" s="327">
        <v>0.46812950557902899</v>
      </c>
      <c r="AU114" s="327">
        <v>0.44002159042849781</v>
      </c>
      <c r="AV114" s="457">
        <v>0.47324133179961225</v>
      </c>
      <c r="AW114" s="457">
        <v>0.46168267921845008</v>
      </c>
      <c r="AX114" s="327">
        <v>0.46686017833278914</v>
      </c>
      <c r="AY114" s="327">
        <v>0.46242588042754518</v>
      </c>
      <c r="AZ114" s="458">
        <v>0.46745752156687509</v>
      </c>
      <c r="BA114" s="458">
        <v>0.4526995322739964</v>
      </c>
      <c r="BB114" s="796">
        <v>0.46764422584311455</v>
      </c>
      <c r="BC114" s="796">
        <v>0.45312064657277767</v>
      </c>
      <c r="BD114" s="457">
        <v>0.47267427746025431</v>
      </c>
      <c r="BE114" s="457">
        <v>0.46175748648519332</v>
      </c>
      <c r="BF114" s="2062"/>
      <c r="BG114" s="2258"/>
      <c r="BH114" s="26"/>
      <c r="BI114" s="26"/>
    </row>
    <row r="115" spans="1:61" x14ac:dyDescent="0.25">
      <c r="A115" s="122"/>
      <c r="B115" s="1272" t="s">
        <v>1507</v>
      </c>
      <c r="C115" s="193" t="s">
        <v>331</v>
      </c>
      <c r="D115" s="327">
        <v>0.11246036585829328</v>
      </c>
      <c r="E115" s="327">
        <v>0.13876550932957729</v>
      </c>
      <c r="F115" s="327">
        <v>0.11847986335314323</v>
      </c>
      <c r="G115" s="327">
        <v>0.15585434430401213</v>
      </c>
      <c r="H115" s="457">
        <v>0.11519751776143219</v>
      </c>
      <c r="I115" s="457">
        <v>0.14644702706811968</v>
      </c>
      <c r="J115" s="327">
        <v>0.11634504739274927</v>
      </c>
      <c r="K115" s="327">
        <v>0.15170269539905459</v>
      </c>
      <c r="L115" s="458">
        <v>0.11555073434740921</v>
      </c>
      <c r="M115" s="458">
        <v>0.14816491642246341</v>
      </c>
      <c r="N115" s="327">
        <v>0.11478458146891959</v>
      </c>
      <c r="O115" s="327">
        <v>0.15832414984705676</v>
      </c>
      <c r="P115" s="457">
        <v>0.11533885460313696</v>
      </c>
      <c r="Q115" s="457">
        <v>0.15105151593747576</v>
      </c>
      <c r="R115" s="327">
        <v>0.11478458146891959</v>
      </c>
      <c r="S115" s="327">
        <v>0.16010531610346218</v>
      </c>
      <c r="T115" s="457">
        <v>0.11521877757584587</v>
      </c>
      <c r="U115" s="457">
        <v>0.15301764027775569</v>
      </c>
      <c r="V115" s="327">
        <v>0.11440941899275246</v>
      </c>
      <c r="W115" s="327">
        <v>0.15669609664675327</v>
      </c>
      <c r="X115" s="458">
        <v>0.11466200573350144</v>
      </c>
      <c r="Y115" s="458">
        <v>0.15840977271715387</v>
      </c>
      <c r="Z115" s="796">
        <v>0.11507816577816886</v>
      </c>
      <c r="AA115" s="796">
        <v>0.15363872958669456</v>
      </c>
      <c r="AB115" s="327">
        <v>0.11150234261972668</v>
      </c>
      <c r="AC115" s="327">
        <v>0.17035270400765853</v>
      </c>
      <c r="AD115" s="457">
        <v>0.11452177307681459</v>
      </c>
      <c r="AE115" s="457">
        <v>0.15619576371184601</v>
      </c>
      <c r="AF115" s="327">
        <v>0.11151053168719285</v>
      </c>
      <c r="AG115" s="327">
        <v>0.19138777057295381</v>
      </c>
      <c r="AH115" s="457">
        <v>0.11412783360393912</v>
      </c>
      <c r="AI115" s="457">
        <v>0.16028776857733396</v>
      </c>
      <c r="AJ115" s="327">
        <v>0.11104871225919076</v>
      </c>
      <c r="AK115" s="327">
        <v>0.16324199447662902</v>
      </c>
      <c r="AL115" s="458">
        <v>0.11135171961801686</v>
      </c>
      <c r="AM115" s="458">
        <v>0.17429762635293017</v>
      </c>
      <c r="AN115" s="457">
        <v>0.11375969537284628</v>
      </c>
      <c r="AO115" s="457">
        <v>0.16063434409581034</v>
      </c>
      <c r="AP115" s="327">
        <v>0.11104871225919076</v>
      </c>
      <c r="AQ115" s="327">
        <v>0.16116797746860106</v>
      </c>
      <c r="AR115" s="457">
        <v>0.11347018525443861</v>
      </c>
      <c r="AS115" s="457">
        <v>0.16069587193533516</v>
      </c>
      <c r="AT115" s="327">
        <v>0.10892582147679589</v>
      </c>
      <c r="AU115" s="327">
        <v>0.150707966554363</v>
      </c>
      <c r="AV115" s="457">
        <v>0.11305929465964053</v>
      </c>
      <c r="AW115" s="457">
        <v>0.15976826322954918</v>
      </c>
      <c r="AX115" s="327">
        <v>0.11059875799557979</v>
      </c>
      <c r="AY115" s="327">
        <v>0.15587070187882024</v>
      </c>
      <c r="AZ115" s="458">
        <v>0.11022147893056428</v>
      </c>
      <c r="BA115" s="458">
        <v>0.15594156825004279</v>
      </c>
      <c r="BB115" s="796">
        <v>0.11078893964015361</v>
      </c>
      <c r="BC115" s="796">
        <v>0.16498990289512128</v>
      </c>
      <c r="BD115" s="457">
        <v>0.11284064171550451</v>
      </c>
      <c r="BE115" s="457">
        <v>0.15943083270131084</v>
      </c>
      <c r="BF115" s="2062"/>
      <c r="BG115" s="2258"/>
      <c r="BH115" s="26"/>
      <c r="BI115" s="26"/>
    </row>
    <row r="116" spans="1:61" x14ac:dyDescent="0.25">
      <c r="A116" s="122"/>
      <c r="B116" s="1272" t="s">
        <v>53</v>
      </c>
      <c r="C116" s="193" t="s">
        <v>331</v>
      </c>
      <c r="D116" s="327">
        <v>0.13496293121805797</v>
      </c>
      <c r="E116" s="327">
        <v>0.15082215541545763</v>
      </c>
      <c r="F116" s="327">
        <v>0.14866317288049033</v>
      </c>
      <c r="G116" s="327">
        <v>0.16234543091930967</v>
      </c>
      <c r="H116" s="457">
        <v>0.14119262772875063</v>
      </c>
      <c r="I116" s="457">
        <v>0.1560015602769777</v>
      </c>
      <c r="J116" s="327">
        <v>0.14196321809066217</v>
      </c>
      <c r="K116" s="327">
        <v>0.14405147635497625</v>
      </c>
      <c r="L116" s="458">
        <v>0.14142982011959879</v>
      </c>
      <c r="M116" s="458">
        <v>0.15214572859122402</v>
      </c>
      <c r="N116" s="327">
        <v>0.13639582317073171</v>
      </c>
      <c r="O116" s="327">
        <v>0.14082280924338034</v>
      </c>
      <c r="P116" s="457">
        <v>0.14003766717448948</v>
      </c>
      <c r="Q116" s="457">
        <v>0.14892014481575919</v>
      </c>
      <c r="R116" s="327">
        <v>0.13639582317073171</v>
      </c>
      <c r="S116" s="327">
        <v>0.16576941587860694</v>
      </c>
      <c r="T116" s="457">
        <v>0.13924870271846077</v>
      </c>
      <c r="U116" s="457">
        <v>0.15258370356138717</v>
      </c>
      <c r="V116" s="327">
        <v>0.13730197681975739</v>
      </c>
      <c r="W116" s="327">
        <v>0.16877567609853414</v>
      </c>
      <c r="X116" s="458">
        <v>0.13669188809456401</v>
      </c>
      <c r="Y116" s="458">
        <v>0.15809494657889356</v>
      </c>
      <c r="Z116" s="796">
        <v>0.13891049338341566</v>
      </c>
      <c r="AA116" s="796">
        <v>0.15532518333437986</v>
      </c>
      <c r="AB116" s="327">
        <v>0.13249561580882352</v>
      </c>
      <c r="AC116" s="327">
        <v>0.14424431700652082</v>
      </c>
      <c r="AD116" s="457">
        <v>0.13791234808807079</v>
      </c>
      <c r="AE116" s="457">
        <v>0.15362189730683792</v>
      </c>
      <c r="AF116" s="327">
        <v>0.1338230415962838</v>
      </c>
      <c r="AG116" s="327">
        <v>0.15097020524251906</v>
      </c>
      <c r="AH116" s="457">
        <v>0.13737737296141606</v>
      </c>
      <c r="AI116" s="457">
        <v>0.15330205209403358</v>
      </c>
      <c r="AJ116" s="327">
        <v>0.13195657750203418</v>
      </c>
      <c r="AK116" s="327">
        <v>0.12936073465197775</v>
      </c>
      <c r="AL116" s="458">
        <v>0.13274560042617545</v>
      </c>
      <c r="AM116" s="458">
        <v>0.14117363316336573</v>
      </c>
      <c r="AN116" s="457">
        <v>0.13672926532677004</v>
      </c>
      <c r="AO116" s="457">
        <v>0.15051404621917433</v>
      </c>
      <c r="AP116" s="327">
        <v>0.13195657750203418</v>
      </c>
      <c r="AQ116" s="327">
        <v>0.14575943206224687</v>
      </c>
      <c r="AR116" s="457">
        <v>0.13621958254405478</v>
      </c>
      <c r="AS116" s="457">
        <v>0.15002008589806676</v>
      </c>
      <c r="AT116" s="327">
        <v>0.13361385708041962</v>
      </c>
      <c r="AU116" s="327">
        <v>0.12701729193898581</v>
      </c>
      <c r="AV116" s="457">
        <v>0.13598397902769435</v>
      </c>
      <c r="AW116" s="457">
        <v>0.14788177835216407</v>
      </c>
      <c r="AX116" s="327">
        <v>0.13142190741491086</v>
      </c>
      <c r="AY116" s="327">
        <v>0.1373778635538585</v>
      </c>
      <c r="AZ116" s="458">
        <v>0.13229928472414751</v>
      </c>
      <c r="BA116" s="458">
        <v>0.13676866088063616</v>
      </c>
      <c r="BB116" s="796">
        <v>0.1325233667517946</v>
      </c>
      <c r="BC116" s="796">
        <v>0.13894002376764741</v>
      </c>
      <c r="BD116" s="457">
        <v>0.13557857544071902</v>
      </c>
      <c r="BE116" s="457">
        <v>0.14696793291635943</v>
      </c>
      <c r="BF116" s="2062"/>
      <c r="BG116" s="2258"/>
      <c r="BH116" s="26"/>
      <c r="BI116" s="26"/>
    </row>
    <row r="117" spans="1:61" x14ac:dyDescent="0.25">
      <c r="A117" s="122"/>
      <c r="B117" s="1272" t="s">
        <v>98</v>
      </c>
      <c r="C117" s="193" t="s">
        <v>331</v>
      </c>
      <c r="D117" s="327">
        <v>0.16434225919976786</v>
      </c>
      <c r="E117" s="327">
        <v>0.15803406246289572</v>
      </c>
      <c r="F117" s="327">
        <v>0.17472680312469407</v>
      </c>
      <c r="G117" s="327">
        <v>0.16462895168537944</v>
      </c>
      <c r="H117" s="457">
        <v>0.16906426036210076</v>
      </c>
      <c r="I117" s="457">
        <v>0.16099906994255336</v>
      </c>
      <c r="J117" s="327">
        <v>0.13542524189975427</v>
      </c>
      <c r="K117" s="327">
        <v>0.16592822066548898</v>
      </c>
      <c r="L117" s="458">
        <v>0.15870996629193276</v>
      </c>
      <c r="M117" s="458">
        <v>0.16260886074430542</v>
      </c>
      <c r="N117" s="327">
        <v>0.16786445778880621</v>
      </c>
      <c r="O117" s="327">
        <v>0.16209850031838979</v>
      </c>
      <c r="P117" s="457">
        <v>0.16124164289559434</v>
      </c>
      <c r="Q117" s="457">
        <v>0.16246114807777623</v>
      </c>
      <c r="R117" s="327">
        <v>0.16786445778880621</v>
      </c>
      <c r="S117" s="327">
        <v>0.17176844431285496</v>
      </c>
      <c r="T117" s="457">
        <v>0.1626764010961681</v>
      </c>
      <c r="U117" s="457">
        <v>0.16447967413251105</v>
      </c>
      <c r="V117" s="327">
        <v>0.16834351638006945</v>
      </c>
      <c r="W117" s="327">
        <v>0.16453721723646089</v>
      </c>
      <c r="X117" s="458">
        <v>0.16802097919716344</v>
      </c>
      <c r="Y117" s="458">
        <v>0.16613463860694219</v>
      </c>
      <c r="Z117" s="796">
        <v>0.16366096255552343</v>
      </c>
      <c r="AA117" s="796">
        <v>0.164486995778723</v>
      </c>
      <c r="AB117" s="327">
        <v>0.16415150809882617</v>
      </c>
      <c r="AC117" s="327">
        <v>0.15769273281117371</v>
      </c>
      <c r="AD117" s="457">
        <v>0.1637372907037237</v>
      </c>
      <c r="AE117" s="457">
        <v>0.1634461783734433</v>
      </c>
      <c r="AF117" s="327">
        <v>0.16407805566097985</v>
      </c>
      <c r="AG117" s="327">
        <v>0.17393196862908794</v>
      </c>
      <c r="AH117" s="457">
        <v>0.16378187057968402</v>
      </c>
      <c r="AI117" s="457">
        <v>0.16465768067830464</v>
      </c>
      <c r="AJ117" s="327">
        <v>0.16348368259801729</v>
      </c>
      <c r="AK117" s="327">
        <v>0.15721152797654842</v>
      </c>
      <c r="AL117" s="458">
        <v>0.16390192733806067</v>
      </c>
      <c r="AM117" s="458">
        <v>0.16245881487286284</v>
      </c>
      <c r="AN117" s="457">
        <v>0.16374621937149403</v>
      </c>
      <c r="AO117" s="457">
        <v>0.16378902712720497</v>
      </c>
      <c r="AP117" s="327">
        <v>0.16348368259801729</v>
      </c>
      <c r="AQ117" s="327">
        <v>0.14614131050193899</v>
      </c>
      <c r="AR117" s="457">
        <v>0.16371818265964852</v>
      </c>
      <c r="AS117" s="457">
        <v>0.16194966754951556</v>
      </c>
      <c r="AT117" s="327">
        <v>0.16283634990398999</v>
      </c>
      <c r="AU117" s="327">
        <v>0.14413840601047151</v>
      </c>
      <c r="AV117" s="457">
        <v>0.16363844943334574</v>
      </c>
      <c r="AW117" s="457">
        <v>0.16029282141834136</v>
      </c>
      <c r="AX117" s="327">
        <v>0.16282126897322793</v>
      </c>
      <c r="AY117" s="327">
        <v>0.16361531857141523</v>
      </c>
      <c r="AZ117" s="458">
        <v>0.16305175384421708</v>
      </c>
      <c r="BA117" s="458">
        <v>0.15136734070393018</v>
      </c>
      <c r="BB117" s="796">
        <v>0.16347860102769432</v>
      </c>
      <c r="BC117" s="796">
        <v>0.15683471117231848</v>
      </c>
      <c r="BD117" s="457">
        <v>0.1635658315707042</v>
      </c>
      <c r="BE117" s="457">
        <v>0.16058290649007026</v>
      </c>
      <c r="BF117" s="2062"/>
      <c r="BG117" s="2258"/>
      <c r="BH117" s="26"/>
      <c r="BI117" s="26"/>
    </row>
    <row r="118" spans="1:61" x14ac:dyDescent="0.25">
      <c r="A118" s="122"/>
      <c r="B118" s="1272" t="s">
        <v>115</v>
      </c>
      <c r="C118" s="193" t="s">
        <v>331</v>
      </c>
      <c r="D118" s="327">
        <v>0.19369768323020001</v>
      </c>
      <c r="E118" s="327">
        <v>0.25177193433441969</v>
      </c>
      <c r="F118" s="327">
        <v>0.24280844594004081</v>
      </c>
      <c r="G118" s="327">
        <v>0.26398336658719729</v>
      </c>
      <c r="H118" s="457">
        <v>0.21602905187531571</v>
      </c>
      <c r="I118" s="457">
        <v>0.25724948704455497</v>
      </c>
      <c r="J118" s="327">
        <v>0.24569701097587507</v>
      </c>
      <c r="K118" s="327">
        <v>0.23630911868080293</v>
      </c>
      <c r="L118" s="458">
        <v>0.22516102976975871</v>
      </c>
      <c r="M118" s="458">
        <v>0.25041081587596919</v>
      </c>
      <c r="N118" s="327">
        <v>0.1966304621006805</v>
      </c>
      <c r="O118" s="327">
        <v>0.16810372485140354</v>
      </c>
      <c r="P118" s="457">
        <v>0.21727089510944936</v>
      </c>
      <c r="Q118" s="457">
        <v>0.22690798456430303</v>
      </c>
      <c r="R118" s="327">
        <v>0.19628282316053933</v>
      </c>
      <c r="S118" s="327">
        <v>0.24021223789059848</v>
      </c>
      <c r="T118" s="457">
        <v>0.21272406587920847</v>
      </c>
      <c r="U118" s="457">
        <v>0.22972957710600236</v>
      </c>
      <c r="V118" s="327">
        <v>0.19573073308507719</v>
      </c>
      <c r="W118" s="327">
        <v>0.24638900366543887</v>
      </c>
      <c r="X118" s="458">
        <v>0.19621946833402304</v>
      </c>
      <c r="Y118" s="458">
        <v>0.21723331027477302</v>
      </c>
      <c r="Z118" s="796">
        <v>0.20977177362875266</v>
      </c>
      <c r="AA118" s="796">
        <v>0.23253075455153055</v>
      </c>
      <c r="AB118" s="327">
        <v>0.19249634093700291</v>
      </c>
      <c r="AC118" s="327">
        <v>0.22520279820660069</v>
      </c>
      <c r="AD118" s="457">
        <v>0.20708374230378804</v>
      </c>
      <c r="AE118" s="457">
        <v>0.23138935147341183</v>
      </c>
      <c r="AF118" s="327">
        <v>0.19243665693283399</v>
      </c>
      <c r="AG118" s="327">
        <v>0.23943373264489076</v>
      </c>
      <c r="AH118" s="457">
        <v>0.20516756742983663</v>
      </c>
      <c r="AI118" s="457">
        <v>0.23230553825637285</v>
      </c>
      <c r="AJ118" s="327">
        <v>0.19191445985501154</v>
      </c>
      <c r="AK118" s="327">
        <v>0.19053997152512647</v>
      </c>
      <c r="AL118" s="458">
        <v>0.19228028437645758</v>
      </c>
      <c r="AM118" s="458">
        <v>0.21761616990411378</v>
      </c>
      <c r="AN118" s="457">
        <v>0.20358303241714523</v>
      </c>
      <c r="AO118" s="457">
        <v>0.22742302166574369</v>
      </c>
      <c r="AP118" s="327">
        <v>0.19189796761552233</v>
      </c>
      <c r="AQ118" s="327">
        <v>0.16805478075998795</v>
      </c>
      <c r="AR118" s="457">
        <v>0.20233516610721555</v>
      </c>
      <c r="AS118" s="457">
        <v>0.22121885936703675</v>
      </c>
      <c r="AT118" s="327">
        <v>0.19257711746832476</v>
      </c>
      <c r="AU118" s="327">
        <v>0.17725443144602523</v>
      </c>
      <c r="AV118" s="457">
        <v>0.20145286649268462</v>
      </c>
      <c r="AW118" s="457">
        <v>0.21713562473240916</v>
      </c>
      <c r="AX118" s="327">
        <v>0.19135366936241002</v>
      </c>
      <c r="AY118" s="327">
        <v>0.22059217415023746</v>
      </c>
      <c r="AZ118" s="458">
        <v>0.19192715624520498</v>
      </c>
      <c r="BA118" s="458">
        <v>0.18877668353195881</v>
      </c>
      <c r="BB118" s="796">
        <v>0.19210445152590153</v>
      </c>
      <c r="BC118" s="796">
        <v>0.20299266183322554</v>
      </c>
      <c r="BD118" s="457">
        <v>0.20055541220224518</v>
      </c>
      <c r="BE118" s="457">
        <v>0.21742528108072326</v>
      </c>
      <c r="BF118" s="2062"/>
      <c r="BG118" s="2258"/>
      <c r="BH118" s="26"/>
      <c r="BI118" s="26"/>
    </row>
    <row r="119" spans="1:61" x14ac:dyDescent="0.25">
      <c r="A119" s="122"/>
      <c r="B119" s="1272" t="s">
        <v>9</v>
      </c>
      <c r="C119" s="193" t="s">
        <v>331</v>
      </c>
      <c r="D119" s="327">
        <v>0.18666885383748941</v>
      </c>
      <c r="E119" s="327">
        <v>0.17846518107710649</v>
      </c>
      <c r="F119" s="327">
        <v>0.27751891534055212</v>
      </c>
      <c r="G119" s="327">
        <v>0.20169013096722677</v>
      </c>
      <c r="H119" s="457">
        <v>0.22797968068909105</v>
      </c>
      <c r="I119" s="457">
        <v>0.18890155918131579</v>
      </c>
      <c r="J119" s="327">
        <v>0.33783602005395413</v>
      </c>
      <c r="K119" s="327">
        <v>0.16623979808141576</v>
      </c>
      <c r="L119" s="458">
        <v>0.261794128769055</v>
      </c>
      <c r="M119" s="458">
        <v>0.18157365339801415</v>
      </c>
      <c r="N119" s="327">
        <v>0.1798465924579695</v>
      </c>
      <c r="O119" s="327">
        <v>0.15997870305838516</v>
      </c>
      <c r="P119" s="457">
        <v>0.239131519876214</v>
      </c>
      <c r="Q119" s="457">
        <v>0.17542753463744343</v>
      </c>
      <c r="R119" s="327">
        <v>0.1732726619837531</v>
      </c>
      <c r="S119" s="327">
        <v>0.15667388609431787</v>
      </c>
      <c r="T119" s="457">
        <v>0.22486394061192277</v>
      </c>
      <c r="U119" s="457">
        <v>0.17135039190397922</v>
      </c>
      <c r="V119" s="327">
        <v>0.17351109064379514</v>
      </c>
      <c r="W119" s="327">
        <v>0.17153030811493555</v>
      </c>
      <c r="X119" s="458">
        <v>0.17556358780695008</v>
      </c>
      <c r="Y119" s="458">
        <v>0.16252136571104214</v>
      </c>
      <c r="Z119" s="796">
        <v>0.21594228746498501</v>
      </c>
      <c r="AA119" s="796">
        <v>0.17138087308579905</v>
      </c>
      <c r="AB119" s="327">
        <v>0.18916706356709231</v>
      </c>
      <c r="AC119" s="327">
        <v>0.16862788077434307</v>
      </c>
      <c r="AD119" s="457">
        <v>0.21177610292682006</v>
      </c>
      <c r="AE119" s="457">
        <v>0.17096170404447156</v>
      </c>
      <c r="AF119" s="327">
        <v>0.18838745713603061</v>
      </c>
      <c r="AG119" s="327">
        <v>0.18938281176182734</v>
      </c>
      <c r="AH119" s="457">
        <v>0.20871633135691212</v>
      </c>
      <c r="AI119" s="457">
        <v>0.17309625682192134</v>
      </c>
      <c r="AJ119" s="327">
        <v>0.19029397106244555</v>
      </c>
      <c r="AK119" s="327">
        <v>0.18584697126521513</v>
      </c>
      <c r="AL119" s="458">
        <v>0.18929406804809651</v>
      </c>
      <c r="AM119" s="458">
        <v>0.18084605863085618</v>
      </c>
      <c r="AN119" s="457">
        <v>0.20651376303561911</v>
      </c>
      <c r="AO119" s="457">
        <v>0.17457402094864227</v>
      </c>
      <c r="AP119" s="327">
        <v>0.19004309145490478</v>
      </c>
      <c r="AQ119" s="327">
        <v>0.18736188440687074</v>
      </c>
      <c r="AR119" s="457">
        <v>0.20475483430767275</v>
      </c>
      <c r="AS119" s="457">
        <v>0.17590267353109534</v>
      </c>
      <c r="AT119" s="327">
        <v>0.19042280355096444</v>
      </c>
      <c r="AU119" s="327">
        <v>0.18378333155399643</v>
      </c>
      <c r="AV119" s="457">
        <v>0.20345896607827169</v>
      </c>
      <c r="AW119" s="457">
        <v>0.17663429546055506</v>
      </c>
      <c r="AX119" s="327">
        <v>0.19168727666846219</v>
      </c>
      <c r="AY119" s="327">
        <v>0.17819743901884885</v>
      </c>
      <c r="AZ119" s="458">
        <v>0.19072601776247955</v>
      </c>
      <c r="BA119" s="458">
        <v>0.18309766424967108</v>
      </c>
      <c r="BB119" s="796">
        <v>0.19000707779682371</v>
      </c>
      <c r="BC119" s="796">
        <v>0.18198777012024622</v>
      </c>
      <c r="BD119" s="457">
        <v>0.20241288756031858</v>
      </c>
      <c r="BE119" s="457">
        <v>0.17676992473607953</v>
      </c>
      <c r="BF119" s="2062"/>
      <c r="BG119" s="2258"/>
      <c r="BH119" s="26"/>
      <c r="BI119" s="26"/>
    </row>
    <row r="120" spans="1:61" x14ac:dyDescent="0.25">
      <c r="A120" s="122"/>
      <c r="B120" s="1272" t="s">
        <v>102</v>
      </c>
      <c r="C120" s="193" t="s">
        <v>331</v>
      </c>
      <c r="D120" s="327">
        <v>5.0968628279386675E-2</v>
      </c>
      <c r="E120" s="327">
        <v>5.5066071996581534E-2</v>
      </c>
      <c r="F120" s="327">
        <v>8.0537141246169536E-2</v>
      </c>
      <c r="G120" s="327">
        <v>6.6817688321707508E-2</v>
      </c>
      <c r="H120" s="457">
        <v>6.4413855494658584E-2</v>
      </c>
      <c r="I120" s="457">
        <v>6.034678570683099E-2</v>
      </c>
      <c r="J120" s="327">
        <v>6.2499654898683893E-2</v>
      </c>
      <c r="K120" s="327">
        <v>7.283255185992793E-2</v>
      </c>
      <c r="L120" s="458">
        <v>6.3824652932098727E-2</v>
      </c>
      <c r="M120" s="458">
        <v>6.4384182341580401E-2</v>
      </c>
      <c r="N120" s="327">
        <v>5.2003147115222866E-2</v>
      </c>
      <c r="O120" s="327">
        <v>5.4073268632825515E-2</v>
      </c>
      <c r="P120" s="457">
        <v>6.0555412941340626E-2</v>
      </c>
      <c r="Q120" s="457">
        <v>6.1449602766849451E-2</v>
      </c>
      <c r="R120" s="327">
        <v>5.2003147115222866E-2</v>
      </c>
      <c r="S120" s="327">
        <v>5.6149865563874655E-2</v>
      </c>
      <c r="T120" s="457">
        <v>5.870266094307993E-2</v>
      </c>
      <c r="U120" s="457">
        <v>6.029741176909828E-2</v>
      </c>
      <c r="V120" s="327">
        <v>5.1851966724436711E-2</v>
      </c>
      <c r="W120" s="327">
        <v>5.7072016370015924E-2</v>
      </c>
      <c r="X120" s="458">
        <v>5.1953752389580957E-2</v>
      </c>
      <c r="Y120" s="458">
        <v>5.5723806505492718E-2</v>
      </c>
      <c r="Z120" s="796">
        <v>5.7512473491509071E-2</v>
      </c>
      <c r="AA120" s="796">
        <v>5.9750969271906852E-2</v>
      </c>
      <c r="AB120" s="327">
        <v>5.0516129019607836E-2</v>
      </c>
      <c r="AC120" s="327">
        <v>5.437417826186472E-2</v>
      </c>
      <c r="AD120" s="457">
        <v>5.6423852822129542E-2</v>
      </c>
      <c r="AE120" s="457">
        <v>5.893230213516313E-2</v>
      </c>
      <c r="AF120" s="327">
        <v>5.0538149999999969E-2</v>
      </c>
      <c r="AG120" s="327">
        <v>5.7305056629020544E-2</v>
      </c>
      <c r="AH120" s="457">
        <v>5.5653867833465896E-2</v>
      </c>
      <c r="AI120" s="457">
        <v>5.8743744450792321E-2</v>
      </c>
      <c r="AJ120" s="327">
        <v>5.0310611814483312E-2</v>
      </c>
      <c r="AK120" s="327">
        <v>5.2292662453791508E-2</v>
      </c>
      <c r="AL120" s="458">
        <v>5.0453850272202359E-2</v>
      </c>
      <c r="AM120" s="458">
        <v>5.4549113574610744E-2</v>
      </c>
      <c r="AN120" s="457">
        <v>5.5015030776115317E-2</v>
      </c>
      <c r="AO120" s="457">
        <v>5.7996086145361669E-2</v>
      </c>
      <c r="AP120" s="327">
        <v>5.0310611814483312E-2</v>
      </c>
      <c r="AQ120" s="327">
        <v>5.2922886614344286E-2</v>
      </c>
      <c r="AR120" s="457">
        <v>5.4512638531854972E-2</v>
      </c>
      <c r="AS120" s="457">
        <v>5.7468983265337732E-2</v>
      </c>
      <c r="AT120" s="327">
        <v>5.0561710909090875E-2</v>
      </c>
      <c r="AU120" s="327">
        <v>5.1856109232883293E-2</v>
      </c>
      <c r="AV120" s="457">
        <v>5.4155405026714287E-2</v>
      </c>
      <c r="AW120" s="457">
        <v>5.6947897117771713E-2</v>
      </c>
      <c r="AX120" s="327">
        <v>5.0106760064829815E-2</v>
      </c>
      <c r="AY120" s="327">
        <v>5.5387416919889458E-2</v>
      </c>
      <c r="AZ120" s="458">
        <v>5.0320510429719974E-2</v>
      </c>
      <c r="BA120" s="458">
        <v>5.3401861542852119E-2</v>
      </c>
      <c r="BB120" s="796">
        <v>5.0387456454997238E-2</v>
      </c>
      <c r="BC120" s="796">
        <v>5.3967381669636071E-2</v>
      </c>
      <c r="BD120" s="457">
        <v>5.3795626546837186E-2</v>
      </c>
      <c r="BE120" s="457">
        <v>5.681249893403735E-2</v>
      </c>
      <c r="BF120" s="2062"/>
      <c r="BG120" s="2258"/>
      <c r="BH120" s="26"/>
      <c r="BI120" s="26"/>
    </row>
    <row r="121" spans="1:61" x14ac:dyDescent="0.25">
      <c r="A121" s="122"/>
      <c r="B121" s="1272" t="s">
        <v>1508</v>
      </c>
      <c r="C121" s="193" t="s">
        <v>331</v>
      </c>
      <c r="D121" s="327">
        <v>0.13840265780166949</v>
      </c>
      <c r="E121" s="327">
        <v>0.12390283827864514</v>
      </c>
      <c r="F121" s="327">
        <v>0.18741161383568133</v>
      </c>
      <c r="G121" s="327">
        <v>0.15905494934437955</v>
      </c>
      <c r="H121" s="457">
        <v>0.16068773349014956</v>
      </c>
      <c r="I121" s="457">
        <v>0.13970134010380542</v>
      </c>
      <c r="J121" s="327">
        <v>0.20174947752157926</v>
      </c>
      <c r="K121" s="327">
        <v>0.14651695741892354</v>
      </c>
      <c r="L121" s="458">
        <v>0.1733267875461201</v>
      </c>
      <c r="M121" s="458">
        <v>0.14190523795367152</v>
      </c>
      <c r="N121" s="327">
        <v>0.14262016441738939</v>
      </c>
      <c r="O121" s="327">
        <v>0.12742396290299882</v>
      </c>
      <c r="P121" s="457">
        <v>0.16483486427774294</v>
      </c>
      <c r="Q121" s="457">
        <v>0.13778379304969099</v>
      </c>
      <c r="R121" s="327">
        <v>0.14262016441738939</v>
      </c>
      <c r="S121" s="327">
        <v>0.12821076547242663</v>
      </c>
      <c r="T121" s="457">
        <v>0.16002229993586548</v>
      </c>
      <c r="U121" s="457">
        <v>0.13570242967078397</v>
      </c>
      <c r="V121" s="327">
        <v>0.14195280105015598</v>
      </c>
      <c r="W121" s="327">
        <v>0.13402206431447308</v>
      </c>
      <c r="X121" s="458">
        <v>0.14240211874191167</v>
      </c>
      <c r="Y121" s="458">
        <v>0.12977899323190012</v>
      </c>
      <c r="Z121" s="796">
        <v>0.15688304278271165</v>
      </c>
      <c r="AA121" s="796">
        <v>0.13541770988465282</v>
      </c>
      <c r="AB121" s="327">
        <v>0.13720739708846078</v>
      </c>
      <c r="AC121" s="327">
        <v>0.13052778558071776</v>
      </c>
      <c r="AD121" s="457">
        <v>0.15382154192720429</v>
      </c>
      <c r="AE121" s="457">
        <v>0.13467282850522652</v>
      </c>
      <c r="AF121" s="327">
        <v>0.13726878446949323</v>
      </c>
      <c r="AG121" s="327">
        <v>0.13560743368941083</v>
      </c>
      <c r="AH121" s="457">
        <v>0.15165606141474849</v>
      </c>
      <c r="AI121" s="457">
        <v>0.1347604503857833</v>
      </c>
      <c r="AJ121" s="327">
        <v>0.13664674985539138</v>
      </c>
      <c r="AK121" s="327">
        <v>0.12656297294207844</v>
      </c>
      <c r="AL121" s="458">
        <v>0.1370379297279164</v>
      </c>
      <c r="AM121" s="458">
        <v>0.13070824862402625</v>
      </c>
      <c r="AN121" s="457">
        <v>0.14986155551883532</v>
      </c>
      <c r="AO121" s="457">
        <v>0.13381057792630652</v>
      </c>
      <c r="AP121" s="327">
        <v>0.13664674985539138</v>
      </c>
      <c r="AQ121" s="327">
        <v>0.13192298870551503</v>
      </c>
      <c r="AR121" s="457">
        <v>0.14845032579442771</v>
      </c>
      <c r="AS121" s="457">
        <v>0.13362121729706761</v>
      </c>
      <c r="AT121" s="327">
        <v>0.13733177946458391</v>
      </c>
      <c r="AU121" s="327">
        <v>0.12682407872880458</v>
      </c>
      <c r="AV121" s="457">
        <v>0.14744501320540576</v>
      </c>
      <c r="AW121" s="457">
        <v>0.13299189580976772</v>
      </c>
      <c r="AX121" s="327">
        <v>0.1360957906485219</v>
      </c>
      <c r="AY121" s="327">
        <v>0.12853785538193768</v>
      </c>
      <c r="AZ121" s="458">
        <v>0.13667552451900086</v>
      </c>
      <c r="BA121" s="458">
        <v>0.12910487809022428</v>
      </c>
      <c r="BB121" s="796">
        <v>0.13685747754838049</v>
      </c>
      <c r="BC121" s="796">
        <v>0.12989523477075887</v>
      </c>
      <c r="BD121" s="457">
        <v>0.14643647674993893</v>
      </c>
      <c r="BE121" s="457">
        <v>0.13260779208303056</v>
      </c>
      <c r="BF121" s="2062"/>
      <c r="BG121" s="2258"/>
      <c r="BH121" s="26"/>
      <c r="BI121" s="26"/>
    </row>
    <row r="122" spans="1:61" x14ac:dyDescent="0.25">
      <c r="A122" s="122"/>
      <c r="B122" s="1272" t="s">
        <v>66</v>
      </c>
      <c r="C122" s="193" t="s">
        <v>331</v>
      </c>
      <c r="D122" s="327">
        <v>7.553322740759795E-2</v>
      </c>
      <c r="E122" s="327">
        <v>0.1372446762735757</v>
      </c>
      <c r="F122" s="327">
        <v>9.3597421800208372E-2</v>
      </c>
      <c r="G122" s="327">
        <v>0.23455188769976959</v>
      </c>
      <c r="H122" s="457">
        <v>8.3747275856444023E-2</v>
      </c>
      <c r="I122" s="457">
        <v>0.18094854786280121</v>
      </c>
      <c r="J122" s="327">
        <v>9.2621693102694802E-2</v>
      </c>
      <c r="K122" s="327">
        <v>0.14812976718078047</v>
      </c>
      <c r="L122" s="458">
        <v>8.647887535218747E-2</v>
      </c>
      <c r="M122" s="458">
        <v>0.17031760248371458</v>
      </c>
      <c r="N122" s="327">
        <v>7.7066338050802347E-2</v>
      </c>
      <c r="O122" s="327">
        <v>0.12032373353335409</v>
      </c>
      <c r="P122" s="457">
        <v>8.3875836125470504E-2</v>
      </c>
      <c r="Q122" s="457">
        <v>0.15606078154829686</v>
      </c>
      <c r="R122" s="327">
        <v>7.7066338050802347E-2</v>
      </c>
      <c r="S122" s="327">
        <v>0.12625972133824739</v>
      </c>
      <c r="T122" s="457">
        <v>8.2400635117748686E-2</v>
      </c>
      <c r="U122" s="457">
        <v>0.14955668055255333</v>
      </c>
      <c r="V122" s="327">
        <v>7.6842295473587521E-2</v>
      </c>
      <c r="W122" s="327">
        <v>0.13235913971432653</v>
      </c>
      <c r="X122" s="458">
        <v>7.6993137276706675E-2</v>
      </c>
      <c r="Y122" s="458">
        <v>0.12613861291250156</v>
      </c>
      <c r="Z122" s="796">
        <v>8.1434971509811493E-2</v>
      </c>
      <c r="AA122" s="796">
        <v>0.14663651576396802</v>
      </c>
      <c r="AB122" s="327">
        <v>7.486264374379413E-2</v>
      </c>
      <c r="AC122" s="327">
        <v>0.14584038239487826</v>
      </c>
      <c r="AD122" s="457">
        <v>8.0412327201664788E-2</v>
      </c>
      <c r="AE122" s="457">
        <v>0.14647647384681337</v>
      </c>
      <c r="AF122" s="327">
        <v>7.4895277851790537E-2</v>
      </c>
      <c r="AG122" s="327">
        <v>0.18706656383486769</v>
      </c>
      <c r="AH122" s="457">
        <v>7.9690570546682549E-2</v>
      </c>
      <c r="AI122" s="457">
        <v>0.15107311112757554</v>
      </c>
      <c r="AJ122" s="327">
        <v>7.4558076438083001E-2</v>
      </c>
      <c r="AK122" s="327">
        <v>0.17120853022606194</v>
      </c>
      <c r="AL122" s="458">
        <v>7.4770349425715713E-2</v>
      </c>
      <c r="AM122" s="458">
        <v>0.1670746488381353</v>
      </c>
      <c r="AN122" s="457">
        <v>7.9076932079508527E-2</v>
      </c>
      <c r="AO122" s="457">
        <v>0.15339477941951354</v>
      </c>
      <c r="AP122" s="327">
        <v>7.4558076438083001E-2</v>
      </c>
      <c r="AQ122" s="327">
        <v>0.14688063529101567</v>
      </c>
      <c r="AR122" s="457">
        <v>7.8594356431867504E-2</v>
      </c>
      <c r="AS122" s="457">
        <v>0.15272026539104064</v>
      </c>
      <c r="AT122" s="327">
        <v>7.4930194065241248E-2</v>
      </c>
      <c r="AU122" s="327">
        <v>0.12247161534402955</v>
      </c>
      <c r="AV122" s="457">
        <v>7.8263051561058783E-2</v>
      </c>
      <c r="AW122" s="457">
        <v>0.14991061476979861</v>
      </c>
      <c r="AX122" s="327">
        <v>7.425597726288817E-2</v>
      </c>
      <c r="AY122" s="327">
        <v>0.13902648111565047</v>
      </c>
      <c r="AZ122" s="458">
        <v>7.4572745743122809E-2</v>
      </c>
      <c r="BA122" s="458">
        <v>0.13620256818197021</v>
      </c>
      <c r="BB122" s="796">
        <v>7.4671956758251251E-2</v>
      </c>
      <c r="BC122" s="796">
        <v>0.15142048236600167</v>
      </c>
      <c r="BD122" s="457">
        <v>7.7906967213499836E-2</v>
      </c>
      <c r="BE122" s="457">
        <v>0.14896673563814278</v>
      </c>
      <c r="BF122" s="2062"/>
      <c r="BG122" s="2258"/>
      <c r="BH122" s="26"/>
      <c r="BI122" s="26"/>
    </row>
    <row r="123" spans="1:61" ht="15.75" x14ac:dyDescent="0.25">
      <c r="A123" s="122"/>
      <c r="B123" s="1273" t="s">
        <v>140</v>
      </c>
      <c r="C123" s="973" t="s">
        <v>331</v>
      </c>
      <c r="D123" s="1274">
        <f t="shared" ref="D123" si="695">SUM(D111:D122)</f>
        <v>5.9143822283279146</v>
      </c>
      <c r="E123" s="1275">
        <v>6.0968115739280559</v>
      </c>
      <c r="F123" s="1274">
        <f t="shared" ref="F123" si="696">SUM(F111:F122)</f>
        <v>6.1808714585621685</v>
      </c>
      <c r="G123" s="1275">
        <v>6.3183195538888874</v>
      </c>
      <c r="H123" s="1276">
        <f t="shared" ref="H123:J123" si="697">SUM(H111:H122)</f>
        <v>6.035558705986686</v>
      </c>
      <c r="I123" s="1276">
        <f t="shared" si="697"/>
        <v>6.1978563431418312</v>
      </c>
      <c r="J123" s="1274">
        <f t="shared" si="697"/>
        <v>6.0720788055654129</v>
      </c>
      <c r="K123" s="1275">
        <v>6.3149177732184221</v>
      </c>
      <c r="L123" s="1277">
        <f t="shared" ref="L123:Q123" si="698">SUM(L111:L122)</f>
        <v>6.0467998143125197</v>
      </c>
      <c r="M123" s="1277">
        <f t="shared" si="698"/>
        <v>6.2351670552735978</v>
      </c>
      <c r="N123" s="1274">
        <f t="shared" si="698"/>
        <v>6.0152482368724547</v>
      </c>
      <c r="O123" s="1275">
        <v>5.8838941694890767</v>
      </c>
      <c r="P123" s="1276">
        <f t="shared" si="698"/>
        <v>6.0380742187465701</v>
      </c>
      <c r="Q123" s="1276">
        <f t="shared" si="698"/>
        <v>6.1359441409281841</v>
      </c>
      <c r="R123" s="1274">
        <f t="shared" ref="R123:U123" si="699">SUM(R111:R122)</f>
        <v>5.9733636889687629</v>
      </c>
      <c r="S123" s="1275">
        <v>6.0500469798965497</v>
      </c>
      <c r="T123" s="1276">
        <f t="shared" si="699"/>
        <v>6.0240554118254623</v>
      </c>
      <c r="U123" s="3228">
        <f t="shared" si="699"/>
        <v>6.1187588840862865</v>
      </c>
      <c r="V123" s="1274">
        <f t="shared" ref="V123" si="700">SUM(V111:V122)</f>
        <v>5.9309414202934763</v>
      </c>
      <c r="W123" s="1275">
        <v>6.1760627567734172</v>
      </c>
      <c r="X123" s="1277">
        <f t="shared" ref="X123:AE123" si="701">SUM(X111:X122)</f>
        <v>5.9736030517678032</v>
      </c>
      <c r="Y123" s="1277">
        <f t="shared" si="701"/>
        <v>6.03249795209884</v>
      </c>
      <c r="Z123" s="1278">
        <f t="shared" si="701"/>
        <v>6.007878495917371</v>
      </c>
      <c r="AA123" s="3515">
        <f t="shared" si="701"/>
        <v>6.1286045094844148</v>
      </c>
      <c r="AB123" s="1274">
        <f t="shared" si="701"/>
        <v>5.9004368116482926</v>
      </c>
      <c r="AC123" s="1275">
        <v>6.1695582025783215</v>
      </c>
      <c r="AD123" s="1276">
        <f t="shared" si="701"/>
        <v>5.9911607315594226</v>
      </c>
      <c r="AE123" s="1276">
        <f t="shared" si="701"/>
        <v>6.1348401515668138</v>
      </c>
      <c r="AF123" s="1274">
        <f t="shared" ref="AF123:AI123" si="702">SUM(AF111:AF122)</f>
        <v>5.8998206418045784</v>
      </c>
      <c r="AG123" s="1275">
        <v>6.425784841340243</v>
      </c>
      <c r="AH123" s="1276">
        <f t="shared" si="702"/>
        <v>5.9792113518336949</v>
      </c>
      <c r="AI123" s="1276">
        <f t="shared" si="702"/>
        <v>6.1686789868340011</v>
      </c>
      <c r="AJ123" s="1274">
        <f t="shared" ref="AJ123:AO123" si="703">SUM(AJ111:AJ122)</f>
        <v>5.8956844735941329</v>
      </c>
      <c r="AK123" s="1275">
        <v>6.2687582675246007</v>
      </c>
      <c r="AL123" s="1277">
        <f t="shared" si="703"/>
        <v>5.8986303314273627</v>
      </c>
      <c r="AM123" s="1277">
        <f t="shared" si="703"/>
        <v>6.2814464397521483</v>
      </c>
      <c r="AN123" s="1276">
        <f t="shared" si="703"/>
        <v>5.9692249194196982</v>
      </c>
      <c r="AO123" s="1276">
        <f t="shared" si="703"/>
        <v>6.1801908561695962</v>
      </c>
      <c r="AP123" s="1274">
        <f t="shared" ref="AP123:AS123" si="704">SUM(AP111:AP122)</f>
        <v>5.8950877615972912</v>
      </c>
      <c r="AQ123" s="1275">
        <v>6.2965609290634514</v>
      </c>
      <c r="AR123" s="1276">
        <f t="shared" si="704"/>
        <v>5.9613076966116854</v>
      </c>
      <c r="AS123" s="1276">
        <f t="shared" si="704"/>
        <v>6.1921377754670353</v>
      </c>
      <c r="AT123" s="1274">
        <f t="shared" ref="AT123:AW123" si="705">SUM(AT111:AT122)</f>
        <v>5.8972032723485617</v>
      </c>
      <c r="AU123" s="1275">
        <v>6.1977894365816137</v>
      </c>
      <c r="AV123" s="1276">
        <f t="shared" si="705"/>
        <v>5.955511526607812</v>
      </c>
      <c r="AW123" s="1276">
        <f t="shared" si="705"/>
        <v>6.1921637303082955</v>
      </c>
      <c r="AX123" s="1274">
        <f t="shared" ref="AX123:BE123" si="706">SUM(AX111:AX122)</f>
        <v>5.8912713620202481</v>
      </c>
      <c r="AY123" s="1274">
        <f t="shared" si="706"/>
        <v>6.1937231293367878</v>
      </c>
      <c r="AZ123" s="1277">
        <f t="shared" si="706"/>
        <v>5.8944530810376508</v>
      </c>
      <c r="BA123" s="1277">
        <f t="shared" si="706"/>
        <v>6.2294206577805422</v>
      </c>
      <c r="BB123" s="1278">
        <f t="shared" si="706"/>
        <v>5.896550355977932</v>
      </c>
      <c r="BC123" s="1278">
        <f t="shared" si="706"/>
        <v>6.2550659615169106</v>
      </c>
      <c r="BD123" s="1276">
        <f t="shared" si="706"/>
        <v>5.9498028934774796</v>
      </c>
      <c r="BE123" s="1276">
        <f t="shared" si="706"/>
        <v>6.1924446176470314</v>
      </c>
      <c r="BF123" s="2062"/>
      <c r="BG123" s="2258"/>
      <c r="BH123" s="26"/>
      <c r="BI123" s="26"/>
    </row>
    <row r="124" spans="1:61" x14ac:dyDescent="0.25">
      <c r="A124" s="122"/>
      <c r="B124" s="336"/>
      <c r="C124" s="336"/>
      <c r="D124" s="774"/>
      <c r="E124" s="336"/>
      <c r="F124" s="774"/>
      <c r="G124" s="336"/>
      <c r="H124" s="336"/>
      <c r="I124" s="336"/>
      <c r="J124" s="774"/>
      <c r="K124" s="336"/>
      <c r="L124" s="336"/>
      <c r="M124" s="336"/>
      <c r="N124" s="774"/>
      <c r="O124" s="336"/>
      <c r="P124" s="336"/>
      <c r="Q124" s="336"/>
      <c r="R124" s="774"/>
      <c r="S124" s="336"/>
      <c r="T124" s="336"/>
      <c r="U124" s="336"/>
      <c r="V124" s="774"/>
      <c r="W124" s="336"/>
      <c r="X124" s="336"/>
      <c r="Y124" s="336"/>
      <c r="Z124" s="336"/>
      <c r="AA124" s="336"/>
      <c r="AB124" s="774"/>
      <c r="AC124" s="336"/>
      <c r="AD124" s="336"/>
      <c r="AE124" s="336"/>
      <c r="AF124" s="774"/>
      <c r="AG124" s="336"/>
      <c r="AH124" s="336"/>
      <c r="AI124" s="336"/>
      <c r="AJ124" s="774"/>
      <c r="AK124" s="336"/>
      <c r="AL124" s="336"/>
      <c r="AM124" s="336"/>
      <c r="AN124" s="336"/>
      <c r="AO124" s="336"/>
      <c r="AP124" s="774"/>
      <c r="AQ124" s="336"/>
      <c r="AR124" s="336"/>
      <c r="AS124" s="336"/>
      <c r="AT124" s="774"/>
      <c r="AU124" s="336"/>
      <c r="AV124" s="336"/>
      <c r="AW124" s="336"/>
      <c r="AX124" s="774"/>
      <c r="AY124" s="336"/>
      <c r="AZ124" s="336"/>
      <c r="BA124" s="336"/>
      <c r="BB124" s="336"/>
      <c r="BC124" s="336"/>
      <c r="BD124" s="336"/>
      <c r="BE124" s="336"/>
      <c r="BF124" s="26"/>
      <c r="BG124" s="26"/>
      <c r="BH124" s="26"/>
      <c r="BI124" s="26"/>
    </row>
    <row r="125" spans="1:61" x14ac:dyDescent="0.25">
      <c r="A125" s="122"/>
      <c r="B125" s="336" t="s">
        <v>275</v>
      </c>
      <c r="C125" s="1106" t="s">
        <v>52</v>
      </c>
      <c r="D125" s="473">
        <f>+SMS!E5</f>
        <v>221509.43396226401</v>
      </c>
      <c r="E125" s="473">
        <f>+SMS!F5</f>
        <v>215539</v>
      </c>
      <c r="F125" s="473">
        <f>+SMS!G5</f>
        <v>184716.98113207502</v>
      </c>
      <c r="G125" s="473">
        <f>+SMS!H5</f>
        <v>175895</v>
      </c>
      <c r="H125" s="442">
        <f>+SMS!I5</f>
        <v>406226.41509433906</v>
      </c>
      <c r="I125" s="442">
        <f>+SMS!J5</f>
        <v>391434</v>
      </c>
      <c r="J125" s="473">
        <f>+SMS!K5</f>
        <v>180641.509433962</v>
      </c>
      <c r="K125" s="442">
        <f>+SMS!L5</f>
        <v>187063</v>
      </c>
      <c r="L125" s="442">
        <f>+SMS!M5</f>
        <v>586867.924528301</v>
      </c>
      <c r="M125" s="442">
        <f>+SMS!N5</f>
        <v>578497</v>
      </c>
      <c r="N125" s="473">
        <f>+SMS!O5</f>
        <v>224339.62264150902</v>
      </c>
      <c r="O125" s="442">
        <f>+SMS!P5</f>
        <v>230148</v>
      </c>
      <c r="P125" s="442">
        <f>+SMS!Q5</f>
        <v>811207.54716981004</v>
      </c>
      <c r="Q125" s="442">
        <f>+SMS!R5</f>
        <v>808645</v>
      </c>
      <c r="R125" s="473">
        <f>+SMS!S5</f>
        <v>224339.62264150943</v>
      </c>
      <c r="S125" s="442">
        <f>+SMS!T5</f>
        <v>224642</v>
      </c>
      <c r="T125" s="442">
        <f>+SMS!U5</f>
        <v>1035547.1698113194</v>
      </c>
      <c r="U125" s="442">
        <f>+SMS!V5</f>
        <v>1033287</v>
      </c>
      <c r="V125" s="473">
        <f>+SMS!W5</f>
        <v>217735.84905660377</v>
      </c>
      <c r="W125" s="442">
        <f>+SMS!X5</f>
        <v>210766</v>
      </c>
      <c r="X125" s="442">
        <f>+SMS!Y5</f>
        <v>666415.09433962218</v>
      </c>
      <c r="Y125" s="442">
        <f>+SMS!Z5</f>
        <v>665556</v>
      </c>
      <c r="Z125" s="442">
        <f>+SMS!AA5</f>
        <v>1253283.0188679232</v>
      </c>
      <c r="AA125" s="442">
        <f>+SMS!AB5</f>
        <v>1244053</v>
      </c>
      <c r="AB125" s="473">
        <f>+SMS!AC5</f>
        <v>230943.396226415</v>
      </c>
      <c r="AC125" s="442">
        <f>+SMS!AD5</f>
        <v>223439</v>
      </c>
      <c r="AD125" s="442">
        <f>+SMS!AE5</f>
        <v>1484226.4150943381</v>
      </c>
      <c r="AE125" s="442">
        <f>+SMS!AF5</f>
        <v>1467492</v>
      </c>
      <c r="AF125" s="473">
        <f>+SMS!AG5</f>
        <v>223396.22641509399</v>
      </c>
      <c r="AG125" s="442">
        <f>+SMS!AH5</f>
        <v>192334</v>
      </c>
      <c r="AH125" s="442">
        <f>+SMS!AI5</f>
        <v>1707622.6415094321</v>
      </c>
      <c r="AI125" s="442">
        <f>+SMS!AJ5</f>
        <v>1659826</v>
      </c>
      <c r="AJ125" s="473">
        <f>+SMS!AK5</f>
        <v>231886.79245283001</v>
      </c>
      <c r="AK125" s="442">
        <f>+SMS!AL5</f>
        <v>217585</v>
      </c>
      <c r="AL125" s="442">
        <f>+SMS!AM5</f>
        <v>686226.41509433906</v>
      </c>
      <c r="AM125" s="442">
        <f>+SMS!AN5</f>
        <v>633358</v>
      </c>
      <c r="AN125" s="442">
        <f>+SMS!AO5</f>
        <v>1939509.4339622622</v>
      </c>
      <c r="AO125" s="442">
        <f>+SMS!AP5</f>
        <v>1877411</v>
      </c>
      <c r="AP125" s="473">
        <f>+SMS!AQ5</f>
        <v>231886.79245283001</v>
      </c>
      <c r="AQ125" s="442">
        <f>+SMS!AR5</f>
        <v>217679</v>
      </c>
      <c r="AR125" s="442">
        <f>+SMS!AS5</f>
        <v>2171396.2264150921</v>
      </c>
      <c r="AS125" s="442">
        <f>+SMS!AT5</f>
        <v>2095090</v>
      </c>
      <c r="AT125" s="473">
        <f>+SMS!AU5</f>
        <v>215849.05660377399</v>
      </c>
      <c r="AU125" s="442">
        <f>+SMS!AV5</f>
        <v>214408</v>
      </c>
      <c r="AV125" s="442">
        <f>+SMS!AW5</f>
        <v>2387245.2830188661</v>
      </c>
      <c r="AW125" s="442">
        <f>+SMS!AX5</f>
        <v>2309498</v>
      </c>
      <c r="AX125" s="473">
        <f>+SMS!AY5</f>
        <v>232830.18867924501</v>
      </c>
      <c r="AY125" s="442">
        <f>+SMS!AZ5</f>
        <v>219427</v>
      </c>
      <c r="AZ125" s="442">
        <f>+SMS!BA5</f>
        <v>680566.03773584892</v>
      </c>
      <c r="BA125" s="442">
        <f>+SMS!BB5</f>
        <v>651514</v>
      </c>
      <c r="BB125" s="442">
        <f>+SMS!BC5</f>
        <v>1366792.452830188</v>
      </c>
      <c r="BC125" s="442">
        <f>+SMS!BD5</f>
        <v>1284872</v>
      </c>
      <c r="BD125" s="442">
        <f>+SMS!BE5</f>
        <v>2620075.4716981109</v>
      </c>
      <c r="BE125" s="442">
        <f>+SMS!BF5</f>
        <v>2528925</v>
      </c>
      <c r="BF125" s="26"/>
      <c r="BG125" s="26"/>
      <c r="BH125" s="26"/>
      <c r="BI125" s="26"/>
    </row>
    <row r="126" spans="1:61" x14ac:dyDescent="0.25">
      <c r="A126" s="122"/>
      <c r="D126" s="183"/>
      <c r="F126" s="183"/>
      <c r="H126" s="116"/>
      <c r="I126" s="122"/>
      <c r="J126" s="183"/>
      <c r="L126" s="116"/>
      <c r="M126" s="122"/>
      <c r="N126" s="183"/>
      <c r="P126" s="116"/>
      <c r="Q126" s="122"/>
      <c r="R126" s="183"/>
      <c r="S126" s="2570"/>
      <c r="T126" s="116"/>
      <c r="U126" s="122"/>
      <c r="V126" s="183"/>
      <c r="W126" s="3290"/>
      <c r="X126" s="116"/>
      <c r="AF126" s="1518"/>
      <c r="AG126" s="1518"/>
      <c r="AH126" s="1518"/>
      <c r="AI126" s="1518"/>
    </row>
    <row r="127" spans="1:61" ht="15.75" thickBot="1" x14ac:dyDescent="0.3">
      <c r="A127" s="122"/>
    </row>
    <row r="128" spans="1:61" ht="20.25" x14ac:dyDescent="0.25">
      <c r="A128" s="122"/>
      <c r="B128" s="489" t="s">
        <v>330</v>
      </c>
    </row>
    <row r="129" spans="1:3" ht="15.75" thickBot="1" x14ac:dyDescent="0.3">
      <c r="A129" s="122"/>
    </row>
    <row r="130" spans="1:3" ht="15.75" thickBot="1" x14ac:dyDescent="0.3">
      <c r="B130" s="3" t="s">
        <v>109</v>
      </c>
      <c r="C130" s="115" t="s">
        <v>335</v>
      </c>
    </row>
    <row r="131" spans="1:3" ht="15.75" thickBot="1" x14ac:dyDescent="0.3">
      <c r="B131" s="3" t="s">
        <v>110</v>
      </c>
      <c r="C131" s="115" t="s">
        <v>335</v>
      </c>
    </row>
    <row r="132" spans="1:3" ht="15.75" thickBot="1" x14ac:dyDescent="0.3">
      <c r="B132" s="3" t="s">
        <v>82</v>
      </c>
      <c r="C132" s="115" t="s">
        <v>335</v>
      </c>
    </row>
    <row r="133" spans="1:3" ht="15.75" thickBot="1" x14ac:dyDescent="0.3">
      <c r="B133" s="3" t="s">
        <v>111</v>
      </c>
      <c r="C133" s="115" t="s">
        <v>335</v>
      </c>
    </row>
    <row r="134" spans="1:3" ht="15.75" thickBot="1" x14ac:dyDescent="0.3">
      <c r="B134" s="3" t="s">
        <v>83</v>
      </c>
      <c r="C134" s="115" t="s">
        <v>335</v>
      </c>
    </row>
    <row r="135" spans="1:3" ht="15.75" thickBot="1" x14ac:dyDescent="0.3">
      <c r="B135" s="3" t="s">
        <v>59</v>
      </c>
      <c r="C135" s="115" t="s">
        <v>335</v>
      </c>
    </row>
    <row r="136" spans="1:3" ht="15.75" thickBot="1" x14ac:dyDescent="0.3">
      <c r="B136" s="3" t="s">
        <v>60</v>
      </c>
      <c r="C136" s="115" t="s">
        <v>335</v>
      </c>
    </row>
    <row r="137" spans="1:3" ht="15.75" thickBot="1" x14ac:dyDescent="0.3">
      <c r="B137" s="3" t="s">
        <v>61</v>
      </c>
      <c r="C137" s="115" t="s">
        <v>335</v>
      </c>
    </row>
    <row r="138" spans="1:3" ht="15.75" thickBot="1" x14ac:dyDescent="0.3">
      <c r="B138" s="3" t="s">
        <v>93</v>
      </c>
      <c r="C138" s="115" t="s">
        <v>335</v>
      </c>
    </row>
    <row r="139" spans="1:3" ht="15.75" thickBot="1" x14ac:dyDescent="0.3">
      <c r="B139" s="3" t="s">
        <v>112</v>
      </c>
      <c r="C139" s="115" t="s">
        <v>335</v>
      </c>
    </row>
    <row r="140" spans="1:3" ht="15.75" thickBot="1" x14ac:dyDescent="0.3">
      <c r="B140" s="3" t="s">
        <v>84</v>
      </c>
      <c r="C140" s="115" t="s">
        <v>335</v>
      </c>
    </row>
    <row r="141" spans="1:3" ht="15.75" thickBot="1" x14ac:dyDescent="0.3">
      <c r="B141" s="3" t="s">
        <v>62</v>
      </c>
      <c r="C141" s="115" t="s">
        <v>335</v>
      </c>
    </row>
    <row r="143" spans="1:3" hidden="1" x14ac:dyDescent="0.25"/>
    <row r="144" spans="1:3" hidden="1" x14ac:dyDescent="0.25"/>
    <row r="145" spans="2:27" hidden="1" x14ac:dyDescent="0.25"/>
    <row r="146" spans="2:27" hidden="1" x14ac:dyDescent="0.25"/>
    <row r="147" spans="2:27" hidden="1" x14ac:dyDescent="0.25"/>
    <row r="148" spans="2:27" hidden="1" x14ac:dyDescent="0.25"/>
    <row r="149" spans="2:27" hidden="1" x14ac:dyDescent="0.25"/>
    <row r="150" spans="2:27" hidden="1" x14ac:dyDescent="0.25"/>
    <row r="151" spans="2:27" hidden="1" x14ac:dyDescent="0.25"/>
    <row r="152" spans="2:27" hidden="1" x14ac:dyDescent="0.25"/>
    <row r="153" spans="2:27" hidden="1" x14ac:dyDescent="0.25"/>
    <row r="154" spans="2:27" hidden="1" x14ac:dyDescent="0.25"/>
    <row r="155" spans="2:27" hidden="1" x14ac:dyDescent="0.25"/>
    <row r="156" spans="2:27" hidden="1" x14ac:dyDescent="0.25"/>
    <row r="157" spans="2:27" hidden="1" x14ac:dyDescent="0.25">
      <c r="H157" s="116"/>
      <c r="I157" s="122"/>
      <c r="J157" s="239"/>
      <c r="L157" s="116"/>
      <c r="N157" s="239"/>
      <c r="P157" s="116"/>
      <c r="R157" s="239"/>
      <c r="S157" s="2570"/>
      <c r="T157" s="116"/>
      <c r="U157" s="2570"/>
      <c r="V157" s="239"/>
      <c r="W157" s="3290"/>
    </row>
    <row r="158" spans="2:27" hidden="1" x14ac:dyDescent="0.25">
      <c r="D158" s="340"/>
      <c r="E158" s="340"/>
      <c r="F158" s="340"/>
      <c r="G158" s="340"/>
      <c r="H158" s="1519"/>
      <c r="I158" s="1106"/>
      <c r="J158" s="2097"/>
      <c r="K158" s="340"/>
      <c r="L158" s="1519"/>
      <c r="M158" s="340"/>
      <c r="N158" s="2097"/>
      <c r="O158" s="340"/>
      <c r="P158" s="1519"/>
      <c r="Q158" s="340"/>
      <c r="R158" s="2097"/>
      <c r="S158" s="340"/>
      <c r="T158" s="1519"/>
      <c r="U158" s="340"/>
      <c r="V158" s="2097"/>
      <c r="W158" s="340"/>
      <c r="X158" s="340"/>
      <c r="Y158" s="340"/>
      <c r="Z158" s="340"/>
      <c r="AA158" s="340"/>
    </row>
    <row r="159" spans="2:27" hidden="1" x14ac:dyDescent="0.25">
      <c r="B159" t="s">
        <v>1215</v>
      </c>
      <c r="D159" s="1511">
        <f>+D56-D74</f>
        <v>0</v>
      </c>
      <c r="E159" s="1511"/>
      <c r="F159" s="1511">
        <f>+F56-F74</f>
        <v>0</v>
      </c>
      <c r="G159" s="1511"/>
      <c r="H159" s="1511">
        <f>+H56-H74</f>
        <v>0</v>
      </c>
      <c r="I159" s="1511">
        <f>+I56-I74</f>
        <v>0</v>
      </c>
      <c r="J159" s="1511">
        <f>+J56-J74</f>
        <v>0</v>
      </c>
      <c r="K159" s="1511"/>
      <c r="L159" s="1511">
        <f>+L56-L74</f>
        <v>0</v>
      </c>
      <c r="M159" s="1511"/>
      <c r="N159" s="1511">
        <f>+N56-N74</f>
        <v>0</v>
      </c>
      <c r="O159" s="1511"/>
      <c r="P159" s="1511">
        <f>+P56-P74</f>
        <v>0</v>
      </c>
      <c r="Q159" s="1511">
        <f>+Q56-Q74</f>
        <v>0</v>
      </c>
      <c r="R159" s="1511">
        <f>+R56-R74</f>
        <v>0</v>
      </c>
      <c r="S159" s="1511"/>
      <c r="T159" s="1511">
        <f>+T56-T74</f>
        <v>0</v>
      </c>
      <c r="U159" s="1511">
        <f>+U56-U74</f>
        <v>0</v>
      </c>
      <c r="V159" s="1511">
        <f>+V56-V74</f>
        <v>0</v>
      </c>
      <c r="W159" s="1511"/>
      <c r="X159" s="1511">
        <f>+X56-X74</f>
        <v>0</v>
      </c>
      <c r="Y159" s="1511"/>
      <c r="Z159" s="1511">
        <f>+Z56-Z74</f>
        <v>0</v>
      </c>
      <c r="AA159" s="1511"/>
    </row>
    <row r="160" spans="2:27" hidden="1" x14ac:dyDescent="0.25">
      <c r="D160" s="340"/>
      <c r="E160" s="340"/>
      <c r="F160" s="340"/>
      <c r="G160" s="340"/>
      <c r="H160" s="1519"/>
      <c r="I160" s="1106"/>
      <c r="J160" s="2097"/>
      <c r="K160" s="340"/>
      <c r="L160" s="1519"/>
      <c r="M160" s="340"/>
      <c r="N160" s="2097"/>
      <c r="O160" s="340"/>
      <c r="P160" s="1519"/>
      <c r="Q160" s="340"/>
      <c r="R160" s="2097"/>
      <c r="S160" s="340"/>
      <c r="T160" s="1519"/>
      <c r="U160" s="340"/>
      <c r="V160" s="2097"/>
      <c r="W160" s="340"/>
      <c r="X160" s="340"/>
      <c r="Y160" s="340"/>
      <c r="Z160" s="340"/>
      <c r="AA160" s="340"/>
    </row>
    <row r="161" spans="2:27" hidden="1" x14ac:dyDescent="0.25">
      <c r="D161" s="340">
        <v>382927.49999999988</v>
      </c>
      <c r="E161" s="340"/>
      <c r="F161" s="340">
        <v>382927.49999999988</v>
      </c>
      <c r="G161" s="340"/>
      <c r="H161" s="1519"/>
      <c r="I161" s="1106"/>
      <c r="J161" s="2097">
        <v>368314.87500000256</v>
      </c>
      <c r="K161" s="340"/>
      <c r="L161" s="1519">
        <f>+D161+F161+J161</f>
        <v>1134169.8750000023</v>
      </c>
      <c r="M161" s="340"/>
      <c r="N161" s="2097">
        <v>380800.12500000373</v>
      </c>
      <c r="O161" s="340"/>
      <c r="P161" s="1519"/>
      <c r="Q161" s="340"/>
      <c r="R161" s="2097">
        <v>380800.12500000373</v>
      </c>
      <c r="S161" s="340"/>
      <c r="T161" s="1519"/>
      <c r="U161" s="340"/>
      <c r="V161" s="2097">
        <v>380800.12500000373</v>
      </c>
      <c r="W161" s="340"/>
      <c r="X161" s="340">
        <f>+N161+R161+V161</f>
        <v>1142400.3750000112</v>
      </c>
      <c r="Y161" s="340"/>
      <c r="Z161" s="340">
        <f>+X161+L161</f>
        <v>2276570.2500000135</v>
      </c>
      <c r="AA161" s="340"/>
    </row>
    <row r="162" spans="2:27" hidden="1" x14ac:dyDescent="0.25">
      <c r="B162" t="s">
        <v>1216</v>
      </c>
      <c r="D162" s="1511">
        <f>+D161-D49</f>
        <v>17127.499999999884</v>
      </c>
      <c r="E162" s="1511"/>
      <c r="F162" s="1511">
        <f>+F161-F49</f>
        <v>48027.499999999884</v>
      </c>
      <c r="G162" s="1511"/>
      <c r="H162" s="1511">
        <f>+H161-H49</f>
        <v>-700700</v>
      </c>
      <c r="I162" s="1511">
        <f>+I161-I49</f>
        <v>-636539.1540000001</v>
      </c>
      <c r="J162" s="1511">
        <f>+J161-J49</f>
        <v>26614.875000002561</v>
      </c>
      <c r="K162" s="1511"/>
      <c r="L162" s="1511">
        <f>+L161-L49</f>
        <v>91769.875000002328</v>
      </c>
      <c r="M162" s="1511"/>
      <c r="N162" s="1511">
        <f>+N161-N49</f>
        <v>10350.125000003725</v>
      </c>
      <c r="O162" s="1511"/>
      <c r="P162" s="1511">
        <f>+P161-P49</f>
        <v>-1412850</v>
      </c>
      <c r="Q162" s="1511">
        <f>+Q161-Q49</f>
        <v>-1325788.4100000001</v>
      </c>
      <c r="R162" s="1511">
        <f>+R161-R49</f>
        <v>10350.125000003725</v>
      </c>
      <c r="S162" s="1511"/>
      <c r="T162" s="1511">
        <f>+T161-T49</f>
        <v>-1783300</v>
      </c>
      <c r="U162" s="1511">
        <f>+U161-U49</f>
        <v>-1697565.0750000002</v>
      </c>
      <c r="V162" s="1511">
        <f>+V161-V49</f>
        <v>21200.125000003725</v>
      </c>
      <c r="W162" s="1511"/>
      <c r="X162" s="1511">
        <f>+X161-X49</f>
        <v>41900.375000011176</v>
      </c>
      <c r="Y162" s="1511"/>
      <c r="Z162" s="1511">
        <f>+Z161-Z49</f>
        <v>133670.2500000135</v>
      </c>
      <c r="AA162" s="1511"/>
    </row>
    <row r="163" spans="2:27" hidden="1" x14ac:dyDescent="0.25">
      <c r="D163" s="340"/>
      <c r="E163" s="340"/>
      <c r="F163" s="340"/>
      <c r="G163" s="340"/>
      <c r="H163" s="1519"/>
      <c r="I163" s="1106"/>
      <c r="J163" s="2097"/>
      <c r="K163" s="340"/>
      <c r="L163" s="1519"/>
      <c r="M163" s="340"/>
      <c r="N163" s="2097"/>
      <c r="O163" s="340"/>
      <c r="P163" s="1519"/>
      <c r="Q163" s="340"/>
      <c r="R163" s="2097"/>
      <c r="S163" s="340"/>
      <c r="T163" s="1519"/>
      <c r="U163" s="340"/>
      <c r="V163" s="2097"/>
      <c r="W163" s="340"/>
      <c r="X163" s="340"/>
      <c r="Y163" s="340"/>
      <c r="Z163" s="340"/>
      <c r="AA163" s="340"/>
    </row>
    <row r="164" spans="2:27" hidden="1" x14ac:dyDescent="0.25">
      <c r="D164" s="340">
        <v>368047.49999999988</v>
      </c>
      <c r="E164" s="340"/>
      <c r="F164" s="340">
        <v>368047.49999999988</v>
      </c>
      <c r="G164" s="340"/>
      <c r="H164" s="1519"/>
      <c r="I164" s="1106"/>
      <c r="J164" s="2097">
        <v>353914.87500000256</v>
      </c>
      <c r="K164" s="340"/>
      <c r="L164" s="1519"/>
      <c r="M164" s="340"/>
      <c r="N164" s="2097">
        <v>365920.12500000338</v>
      </c>
      <c r="O164" s="340"/>
      <c r="P164" s="1519"/>
      <c r="Q164" s="340"/>
      <c r="R164" s="2097">
        <v>365920.12500000338</v>
      </c>
      <c r="S164" s="340"/>
      <c r="T164" s="1519"/>
      <c r="U164" s="340"/>
      <c r="V164" s="2097">
        <v>365920.12500000338</v>
      </c>
      <c r="W164" s="340"/>
      <c r="X164" s="340"/>
      <c r="Y164" s="340"/>
      <c r="Z164" s="340"/>
      <c r="AA164" s="340"/>
    </row>
    <row r="165" spans="2:27" hidden="1" x14ac:dyDescent="0.25">
      <c r="D165" s="340"/>
      <c r="E165" s="340"/>
      <c r="F165" s="340"/>
      <c r="G165" s="340"/>
      <c r="H165" s="1519"/>
      <c r="I165" s="1106"/>
      <c r="J165" s="2097"/>
      <c r="K165" s="340"/>
      <c r="L165" s="1519"/>
      <c r="M165" s="340"/>
      <c r="N165" s="2097"/>
      <c r="O165" s="340"/>
      <c r="P165" s="1519"/>
      <c r="Q165" s="340"/>
      <c r="R165" s="2097"/>
      <c r="S165" s="340"/>
      <c r="T165" s="1519"/>
      <c r="U165" s="340"/>
      <c r="V165" s="2097"/>
      <c r="W165" s="340"/>
      <c r="X165" s="340"/>
      <c r="Y165" s="340"/>
      <c r="Z165" s="340"/>
      <c r="AA165" s="340"/>
    </row>
    <row r="166" spans="2:27" hidden="1" x14ac:dyDescent="0.25">
      <c r="B166" t="s">
        <v>1217</v>
      </c>
      <c r="D166" s="1511">
        <f>+D164-D56</f>
        <v>16647.499999999884</v>
      </c>
      <c r="E166" s="340"/>
      <c r="F166" s="1511">
        <f>+F164-F56</f>
        <v>48027.499999999884</v>
      </c>
      <c r="G166" s="340"/>
      <c r="H166" s="1519"/>
      <c r="I166" s="1106"/>
      <c r="J166" s="1511">
        <f>+J164-J56</f>
        <v>26614.875000002561</v>
      </c>
      <c r="K166" s="340"/>
      <c r="L166" s="1519"/>
      <c r="M166" s="340"/>
      <c r="N166" s="1511">
        <f>+N164-N56</f>
        <v>10350.125000003376</v>
      </c>
      <c r="O166" s="340"/>
      <c r="P166" s="1519"/>
      <c r="Q166" s="340"/>
      <c r="R166" s="1511">
        <f>+R164-R56</f>
        <v>10350.125000003376</v>
      </c>
      <c r="S166" s="340"/>
      <c r="T166" s="1519"/>
      <c r="U166" s="340"/>
      <c r="V166" s="1511">
        <f>+V164-V56</f>
        <v>20720.125000003376</v>
      </c>
      <c r="W166" s="340"/>
      <c r="X166" s="340"/>
      <c r="Y166" s="340"/>
      <c r="Z166" s="340"/>
      <c r="AA166" s="340"/>
    </row>
    <row r="167" spans="2:27" hidden="1" x14ac:dyDescent="0.25">
      <c r="B167" t="s">
        <v>1218</v>
      </c>
      <c r="D167" s="1511">
        <f>+D164-D74</f>
        <v>16647.499999999942</v>
      </c>
      <c r="E167" s="340"/>
      <c r="F167" s="1511">
        <f>+F164-F74</f>
        <v>48027.499999999884</v>
      </c>
      <c r="G167" s="340"/>
      <c r="H167" s="1519"/>
      <c r="I167" s="1106"/>
      <c r="J167" s="1511">
        <f>+J164-J74</f>
        <v>26614.875000002561</v>
      </c>
      <c r="K167" s="340"/>
      <c r="L167" s="1519"/>
      <c r="M167" s="340"/>
      <c r="N167" s="1511">
        <f>+N164-N74</f>
        <v>10350.125000003492</v>
      </c>
      <c r="O167" s="340"/>
      <c r="P167" s="1519"/>
      <c r="Q167" s="340"/>
      <c r="R167" s="1511">
        <f>+R164-R74</f>
        <v>10350.125000003492</v>
      </c>
      <c r="S167" s="340"/>
      <c r="T167" s="1519"/>
      <c r="U167" s="340"/>
      <c r="V167" s="1511">
        <f>+V164-V74</f>
        <v>20720.125000003376</v>
      </c>
      <c r="W167" s="340"/>
      <c r="X167" s="340"/>
      <c r="Y167" s="340"/>
      <c r="Z167" s="340"/>
      <c r="AA167" s="340"/>
    </row>
    <row r="168" spans="2:27" hidden="1" x14ac:dyDescent="0.25">
      <c r="D168" s="340"/>
      <c r="E168" s="340"/>
      <c r="F168" s="340"/>
      <c r="G168" s="340"/>
      <c r="H168" s="1519"/>
      <c r="I168" s="1106"/>
      <c r="J168" s="2097"/>
      <c r="K168" s="340"/>
      <c r="L168" s="1519"/>
      <c r="M168" s="340"/>
      <c r="N168" s="2097"/>
      <c r="O168" s="340"/>
      <c r="P168" s="1519"/>
      <c r="Q168" s="340"/>
      <c r="R168" s="2097"/>
      <c r="S168" s="340"/>
      <c r="T168" s="1519"/>
      <c r="U168" s="340"/>
      <c r="V168" s="2097"/>
      <c r="W168" s="340"/>
      <c r="X168" s="340"/>
      <c r="Y168" s="340"/>
      <c r="Z168" s="340"/>
      <c r="AA168" s="340"/>
    </row>
    <row r="169" spans="2:27" hidden="1" x14ac:dyDescent="0.25">
      <c r="D169" s="340"/>
      <c r="E169" s="340"/>
      <c r="F169" s="340"/>
      <c r="G169" s="340"/>
      <c r="H169" s="1519"/>
      <c r="I169" s="1106"/>
      <c r="J169" s="2097"/>
      <c r="K169" s="340"/>
      <c r="L169" s="1519"/>
      <c r="M169" s="340"/>
      <c r="N169" s="2097"/>
      <c r="O169" s="340"/>
      <c r="P169" s="1519"/>
      <c r="Q169" s="340"/>
      <c r="R169" s="2097"/>
      <c r="S169" s="340"/>
      <c r="T169" s="1519"/>
      <c r="U169" s="340"/>
      <c r="V169" s="2097"/>
      <c r="W169" s="340"/>
      <c r="X169" s="340"/>
      <c r="Y169" s="340"/>
      <c r="Z169" s="340"/>
      <c r="AA169" s="340"/>
    </row>
  </sheetData>
  <mergeCells count="29">
    <mergeCell ref="AX3:AY3"/>
    <mergeCell ref="BD3:BE3"/>
    <mergeCell ref="AZ3:BA3"/>
    <mergeCell ref="BB3:BC3"/>
    <mergeCell ref="AT3:AU3"/>
    <mergeCell ref="AV3:AW3"/>
    <mergeCell ref="AP3:AQ3"/>
    <mergeCell ref="AR3:AS3"/>
    <mergeCell ref="AJ3:AK3"/>
    <mergeCell ref="AN3:AO3"/>
    <mergeCell ref="AL3:AM3"/>
    <mergeCell ref="Z3:AA3"/>
    <mergeCell ref="X3:Y3"/>
    <mergeCell ref="AF3:AG3"/>
    <mergeCell ref="AH3:AI3"/>
    <mergeCell ref="T3:U3"/>
    <mergeCell ref="AB3:AC3"/>
    <mergeCell ref="AD3:AE3"/>
    <mergeCell ref="V3:W3"/>
    <mergeCell ref="B3:B4"/>
    <mergeCell ref="C3:C4"/>
    <mergeCell ref="D3:E3"/>
    <mergeCell ref="F3:G3"/>
    <mergeCell ref="H3:I3"/>
    <mergeCell ref="R3:S3"/>
    <mergeCell ref="J3:K3"/>
    <mergeCell ref="L3:M3"/>
    <mergeCell ref="N3:O3"/>
    <mergeCell ref="P3:Q3"/>
  </mergeCells>
  <pageMargins left="0.7" right="0.7" top="0.75" bottom="0.75" header="0.3" footer="0.3"/>
  <pageSetup scale="38" orientation="landscape" r:id="rId1"/>
  <ignoredErrors>
    <ignoredError sqref="N44" formula="1"/>
  </ignoredError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>
    <tabColor rgb="FF660066"/>
    <pageSetUpPr fitToPage="1"/>
  </sheetPr>
  <dimension ref="A1:BJ106"/>
  <sheetViews>
    <sheetView zoomScale="95" zoomScaleNormal="95" workbookViewId="0">
      <pane xSplit="4" topLeftCell="E1" activePane="topRight" state="frozen"/>
      <selection pane="topRight" activeCell="T31" sqref="T31"/>
    </sheetView>
  </sheetViews>
  <sheetFormatPr defaultColWidth="8.85546875" defaultRowHeight="15" x14ac:dyDescent="0.25"/>
  <cols>
    <col min="3" max="3" width="40.28515625" customWidth="1"/>
    <col min="4" max="4" width="12.7109375" customWidth="1"/>
    <col min="5" max="5" width="12.42578125" customWidth="1"/>
    <col min="6" max="6" width="13.28515625" customWidth="1"/>
    <col min="7" max="7" width="12.42578125" customWidth="1"/>
    <col min="8" max="8" width="12.140625" customWidth="1"/>
    <col min="9" max="9" width="12.140625" hidden="1" customWidth="1"/>
    <col min="10" max="10" width="14.140625" hidden="1" customWidth="1"/>
    <col min="11" max="12" width="9.28515625" customWidth="1"/>
    <col min="13" max="13" width="12.140625" customWidth="1"/>
    <col min="14" max="14" width="13.5703125" customWidth="1"/>
    <col min="15" max="16" width="9.28515625" customWidth="1"/>
    <col min="17" max="18" width="9.28515625" hidden="1" customWidth="1"/>
    <col min="19" max="19" width="9.140625" customWidth="1"/>
    <col min="20" max="20" width="10.28515625" style="2637" customWidth="1"/>
    <col min="21" max="22" width="9.140625" hidden="1" customWidth="1"/>
    <col min="23" max="24" width="9.140625" customWidth="1"/>
    <col min="25" max="25" width="10.28515625" customWidth="1"/>
    <col min="26" max="28" width="9.140625" customWidth="1"/>
    <col min="31" max="32" width="8.85546875" hidden="1" customWidth="1"/>
    <col min="35" max="36" width="8.85546875" hidden="1" customWidth="1"/>
    <col min="39" max="40" width="8.85546875" style="4342"/>
    <col min="41" max="42" width="8.85546875" hidden="1" customWidth="1"/>
    <col min="43" max="43" width="7.85546875" bestFit="1" customWidth="1"/>
    <col min="44" max="44" width="8.7109375" bestFit="1" customWidth="1"/>
    <col min="45" max="45" width="8.85546875" hidden="1" customWidth="1"/>
    <col min="46" max="46" width="9" hidden="1" customWidth="1"/>
    <col min="49" max="50" width="8.85546875" hidden="1" customWidth="1"/>
    <col min="53" max="56" width="8.85546875" style="5229"/>
  </cols>
  <sheetData>
    <row r="1" spans="1:62" x14ac:dyDescent="0.25">
      <c r="O1" s="183"/>
    </row>
    <row r="2" spans="1:62" x14ac:dyDescent="0.25">
      <c r="C2" s="6569" t="s">
        <v>84</v>
      </c>
      <c r="O2" s="183"/>
    </row>
    <row r="3" spans="1:62" ht="16.5" thickBot="1" x14ac:dyDescent="0.3">
      <c r="C3" s="6569"/>
      <c r="D3" s="1440"/>
      <c r="E3" s="1441">
        <v>30</v>
      </c>
      <c r="F3" s="1441">
        <v>30</v>
      </c>
      <c r="G3" s="1441">
        <v>31</v>
      </c>
      <c r="H3" s="1441">
        <v>31</v>
      </c>
      <c r="I3" s="1441">
        <f>+E3+G3</f>
        <v>61</v>
      </c>
      <c r="J3" s="1441">
        <f>+F3+H3</f>
        <v>61</v>
      </c>
      <c r="K3" s="1441">
        <v>30</v>
      </c>
      <c r="L3" s="1441">
        <v>30</v>
      </c>
      <c r="M3" s="1441">
        <f>+I3+K3</f>
        <v>91</v>
      </c>
      <c r="N3" s="1441">
        <f>+J3+L3</f>
        <v>91</v>
      </c>
      <c r="O3" s="2096">
        <v>31</v>
      </c>
      <c r="P3" s="1441">
        <v>31</v>
      </c>
      <c r="Q3" s="1441">
        <f>+M3+O3</f>
        <v>122</v>
      </c>
      <c r="R3" s="1441">
        <f>+N3+P3</f>
        <v>122</v>
      </c>
      <c r="S3" s="1441">
        <v>31</v>
      </c>
      <c r="T3" s="2638">
        <v>31</v>
      </c>
      <c r="U3" s="1441">
        <f>+Q3+S3</f>
        <v>153</v>
      </c>
      <c r="V3" s="1441">
        <f>+R3+T3</f>
        <v>153</v>
      </c>
      <c r="W3" s="1441">
        <v>30</v>
      </c>
      <c r="X3" s="1441">
        <v>30</v>
      </c>
      <c r="Y3" s="1441">
        <f>+O3+S3+W3</f>
        <v>92</v>
      </c>
      <c r="Z3" s="1441">
        <f>+P3+T3+X3</f>
        <v>92</v>
      </c>
      <c r="AA3" s="1441">
        <f>+U3+W3</f>
        <v>183</v>
      </c>
      <c r="AB3" s="1441">
        <f>+V3+X3</f>
        <v>183</v>
      </c>
      <c r="AC3" s="1441">
        <v>31</v>
      </c>
      <c r="AD3" s="1441">
        <v>31</v>
      </c>
      <c r="AE3" s="1441">
        <f>+AA3+AC3</f>
        <v>214</v>
      </c>
      <c r="AF3" s="1441">
        <f>+AB3+AD3</f>
        <v>214</v>
      </c>
      <c r="AG3" s="1441">
        <v>30</v>
      </c>
      <c r="AH3" s="1441">
        <v>30</v>
      </c>
      <c r="AI3" s="1441">
        <f>+AE3+AG3</f>
        <v>244</v>
      </c>
      <c r="AJ3" s="1441">
        <f>+AF3+AH3</f>
        <v>244</v>
      </c>
      <c r="AK3" s="1441">
        <v>31</v>
      </c>
      <c r="AL3" s="1441">
        <v>31</v>
      </c>
      <c r="AM3" s="1441">
        <f>+AC3+AG3+AK3</f>
        <v>92</v>
      </c>
      <c r="AN3" s="1441">
        <f>+AD3+AH3+AL3</f>
        <v>92</v>
      </c>
      <c r="AO3" s="1441">
        <f>+AI3+AK3</f>
        <v>275</v>
      </c>
      <c r="AP3" s="1441">
        <f>+AJ3+AL3</f>
        <v>275</v>
      </c>
      <c r="AQ3" s="1441">
        <v>31</v>
      </c>
      <c r="AR3" s="1441">
        <v>31</v>
      </c>
      <c r="AS3" s="1441">
        <f>+AO3+AQ3</f>
        <v>306</v>
      </c>
      <c r="AT3" s="1441">
        <f>+AP3+AR3</f>
        <v>306</v>
      </c>
      <c r="AU3" s="1441">
        <v>29</v>
      </c>
      <c r="AV3" s="1441">
        <v>29</v>
      </c>
      <c r="AW3" s="1441">
        <f>+AS3+AU3</f>
        <v>335</v>
      </c>
      <c r="AX3" s="1441">
        <f>+AT3+AV3</f>
        <v>335</v>
      </c>
      <c r="AY3" s="1441">
        <v>31</v>
      </c>
      <c r="AZ3" s="1441">
        <v>31</v>
      </c>
      <c r="BA3" s="1441">
        <f>+AQ3+AU3+AY3</f>
        <v>91</v>
      </c>
      <c r="BB3" s="1441">
        <f>+AR3+AV3+AZ3</f>
        <v>91</v>
      </c>
      <c r="BC3" s="1441">
        <f>+AM3+BA3</f>
        <v>183</v>
      </c>
      <c r="BD3" s="1441">
        <f>+AN3+BB3</f>
        <v>183</v>
      </c>
      <c r="BE3" s="1441">
        <f>+AW3+AY3</f>
        <v>366</v>
      </c>
      <c r="BF3" s="1441">
        <f>+AX3+AZ3</f>
        <v>366</v>
      </c>
    </row>
    <row r="4" spans="1:62" ht="15.75" x14ac:dyDescent="0.25">
      <c r="A4" s="183"/>
      <c r="B4" s="183"/>
      <c r="C4" s="6570" t="s">
        <v>542</v>
      </c>
      <c r="D4" s="6547" t="s">
        <v>176</v>
      </c>
      <c r="E4" s="6546" t="s">
        <v>1470</v>
      </c>
      <c r="F4" s="6547"/>
      <c r="G4" s="6546" t="s">
        <v>1526</v>
      </c>
      <c r="H4" s="6547"/>
      <c r="I4" s="6548" t="s">
        <v>15</v>
      </c>
      <c r="J4" s="6549"/>
      <c r="K4" s="6546" t="s">
        <v>1620</v>
      </c>
      <c r="L4" s="6547"/>
      <c r="M4" s="6555" t="s">
        <v>658</v>
      </c>
      <c r="N4" s="6556"/>
      <c r="O4" s="6546" t="s">
        <v>1688</v>
      </c>
      <c r="P4" s="6547"/>
      <c r="Q4" s="6574" t="s">
        <v>18</v>
      </c>
      <c r="R4" s="6575"/>
      <c r="S4" s="6546" t="s">
        <v>1731</v>
      </c>
      <c r="T4" s="6547"/>
      <c r="U4" s="6548" t="s">
        <v>19</v>
      </c>
      <c r="V4" s="6549"/>
      <c r="W4" s="6546" t="s">
        <v>1766</v>
      </c>
      <c r="X4" s="6547"/>
      <c r="Y4" s="6555" t="s">
        <v>682</v>
      </c>
      <c r="Z4" s="6556"/>
      <c r="AA4" s="6560" t="s">
        <v>679</v>
      </c>
      <c r="AB4" s="6561"/>
      <c r="AC4" s="6546" t="s">
        <v>1831</v>
      </c>
      <c r="AD4" s="6547"/>
      <c r="AE4" s="6548" t="s">
        <v>26</v>
      </c>
      <c r="AF4" s="6549"/>
      <c r="AG4" s="6546" t="s">
        <v>1863</v>
      </c>
      <c r="AH4" s="6547"/>
      <c r="AI4" s="6548" t="s">
        <v>29</v>
      </c>
      <c r="AJ4" s="6549"/>
      <c r="AK4" s="6546" t="s">
        <v>1888</v>
      </c>
      <c r="AL4" s="6547"/>
      <c r="AM4" s="6555" t="s">
        <v>684</v>
      </c>
      <c r="AN4" s="6556"/>
      <c r="AO4" s="6548" t="s">
        <v>1890</v>
      </c>
      <c r="AP4" s="6549"/>
      <c r="AQ4" s="6546" t="s">
        <v>1918</v>
      </c>
      <c r="AR4" s="6547"/>
      <c r="AS4" s="6548" t="s">
        <v>30</v>
      </c>
      <c r="AT4" s="6549"/>
      <c r="AU4" s="6546" t="s">
        <v>1940</v>
      </c>
      <c r="AV4" s="6547"/>
      <c r="AW4" s="6548" t="s">
        <v>32</v>
      </c>
      <c r="AX4" s="6549"/>
      <c r="AY4" s="6546" t="s">
        <v>1965</v>
      </c>
      <c r="AZ4" s="6547"/>
      <c r="BA4" s="6555" t="s">
        <v>685</v>
      </c>
      <c r="BB4" s="6556"/>
      <c r="BC4" s="6560" t="s">
        <v>693</v>
      </c>
      <c r="BD4" s="6561"/>
      <c r="BE4" s="6548" t="s">
        <v>1513</v>
      </c>
      <c r="BF4" s="6549"/>
    </row>
    <row r="5" spans="1:62" ht="16.5" thickBot="1" x14ac:dyDescent="0.3">
      <c r="A5" s="183"/>
      <c r="B5" s="183"/>
      <c r="C5" s="6571"/>
      <c r="D5" s="6572"/>
      <c r="E5" s="1442" t="s">
        <v>177</v>
      </c>
      <c r="F5" s="3084" t="s">
        <v>178</v>
      </c>
      <c r="G5" s="1442" t="s">
        <v>177</v>
      </c>
      <c r="H5" s="3084" t="s">
        <v>178</v>
      </c>
      <c r="I5" s="1953" t="s">
        <v>177</v>
      </c>
      <c r="J5" s="1439" t="s">
        <v>178</v>
      </c>
      <c r="K5" s="1442" t="s">
        <v>177</v>
      </c>
      <c r="L5" s="3084" t="s">
        <v>178</v>
      </c>
      <c r="M5" s="5915" t="s">
        <v>177</v>
      </c>
      <c r="N5" s="5916" t="s">
        <v>178</v>
      </c>
      <c r="O5" s="1442" t="s">
        <v>177</v>
      </c>
      <c r="P5" s="3084" t="s">
        <v>178</v>
      </c>
      <c r="Q5" s="5922" t="s">
        <v>177</v>
      </c>
      <c r="R5" s="5929" t="s">
        <v>178</v>
      </c>
      <c r="S5" s="1442" t="s">
        <v>177</v>
      </c>
      <c r="T5" s="2639" t="s">
        <v>178</v>
      </c>
      <c r="U5" s="5922" t="s">
        <v>177</v>
      </c>
      <c r="V5" s="1439" t="s">
        <v>178</v>
      </c>
      <c r="W5" s="1442" t="s">
        <v>177</v>
      </c>
      <c r="X5" s="1443" t="s">
        <v>178</v>
      </c>
      <c r="Y5" s="5915" t="s">
        <v>177</v>
      </c>
      <c r="Z5" s="5916" t="s">
        <v>178</v>
      </c>
      <c r="AA5" s="5908" t="s">
        <v>177</v>
      </c>
      <c r="AB5" s="5909" t="s">
        <v>178</v>
      </c>
      <c r="AC5" s="1442" t="s">
        <v>177</v>
      </c>
      <c r="AD5" s="4139" t="s">
        <v>178</v>
      </c>
      <c r="AE5" s="5922" t="s">
        <v>177</v>
      </c>
      <c r="AF5" s="1439" t="s">
        <v>178</v>
      </c>
      <c r="AG5" s="1442" t="s">
        <v>177</v>
      </c>
      <c r="AH5" s="4222" t="s">
        <v>178</v>
      </c>
      <c r="AI5" s="5922" t="s">
        <v>177</v>
      </c>
      <c r="AJ5" s="1439" t="s">
        <v>178</v>
      </c>
      <c r="AK5" s="1442" t="s">
        <v>177</v>
      </c>
      <c r="AL5" s="4345" t="s">
        <v>178</v>
      </c>
      <c r="AM5" s="5915" t="s">
        <v>177</v>
      </c>
      <c r="AN5" s="5916" t="s">
        <v>178</v>
      </c>
      <c r="AO5" s="5922" t="s">
        <v>177</v>
      </c>
      <c r="AP5" s="1439" t="s">
        <v>178</v>
      </c>
      <c r="AQ5" s="1442" t="s">
        <v>177</v>
      </c>
      <c r="AR5" s="4468" t="s">
        <v>178</v>
      </c>
      <c r="AS5" s="5922" t="s">
        <v>177</v>
      </c>
      <c r="AT5" s="1439" t="s">
        <v>178</v>
      </c>
      <c r="AU5" s="1442" t="s">
        <v>177</v>
      </c>
      <c r="AV5" s="4692" t="s">
        <v>178</v>
      </c>
      <c r="AW5" s="5922" t="s">
        <v>177</v>
      </c>
      <c r="AX5" s="1439" t="s">
        <v>178</v>
      </c>
      <c r="AY5" s="1442" t="s">
        <v>177</v>
      </c>
      <c r="AZ5" s="5230" t="s">
        <v>178</v>
      </c>
      <c r="BA5" s="5915" t="s">
        <v>177</v>
      </c>
      <c r="BB5" s="5916" t="s">
        <v>178</v>
      </c>
      <c r="BC5" s="5908" t="s">
        <v>177</v>
      </c>
      <c r="BD5" s="5909" t="s">
        <v>178</v>
      </c>
      <c r="BE5" s="5922" t="s">
        <v>177</v>
      </c>
      <c r="BF5" s="1439" t="s">
        <v>178</v>
      </c>
    </row>
    <row r="6" spans="1:62" ht="15.75" x14ac:dyDescent="0.25">
      <c r="A6" s="183"/>
      <c r="B6" s="183"/>
      <c r="C6" s="2445" t="s">
        <v>527</v>
      </c>
      <c r="D6" s="1453"/>
      <c r="E6" s="1452"/>
      <c r="F6" s="1453"/>
      <c r="G6" s="1452"/>
      <c r="H6" s="1453"/>
      <c r="I6" s="5928"/>
      <c r="J6" s="5924"/>
      <c r="K6" s="1452"/>
      <c r="L6" s="1453"/>
      <c r="M6" s="5917"/>
      <c r="N6" s="5918"/>
      <c r="O6" s="1452"/>
      <c r="P6" s="1453"/>
      <c r="Q6" s="5923"/>
      <c r="R6" s="5930"/>
      <c r="S6" s="1452"/>
      <c r="T6" s="2640"/>
      <c r="U6" s="5923"/>
      <c r="V6" s="5924"/>
      <c r="W6" s="1452"/>
      <c r="X6" s="1453"/>
      <c r="Y6" s="5917"/>
      <c r="Z6" s="5918"/>
      <c r="AA6" s="5910"/>
      <c r="AB6" s="5911"/>
      <c r="AC6" s="1452"/>
      <c r="AD6" s="1453"/>
      <c r="AE6" s="5923"/>
      <c r="AF6" s="5924"/>
      <c r="AG6" s="1452"/>
      <c r="AH6" s="1453"/>
      <c r="AI6" s="5923"/>
      <c r="AJ6" s="5924"/>
      <c r="AK6" s="1452"/>
      <c r="AL6" s="1453"/>
      <c r="AM6" s="5917"/>
      <c r="AN6" s="5918"/>
      <c r="AO6" s="5923"/>
      <c r="AP6" s="5924"/>
      <c r="AQ6" s="1452"/>
      <c r="AR6" s="1453"/>
      <c r="AS6" s="5923"/>
      <c r="AT6" s="5924"/>
      <c r="AU6" s="1452"/>
      <c r="AV6" s="1453"/>
      <c r="AW6" s="5923"/>
      <c r="AX6" s="5924"/>
      <c r="AY6" s="1452"/>
      <c r="AZ6" s="1453"/>
      <c r="BA6" s="5917"/>
      <c r="BB6" s="5918"/>
      <c r="BC6" s="5910"/>
      <c r="BD6" s="5911"/>
      <c r="BE6" s="5923"/>
      <c r="BF6" s="5924"/>
    </row>
    <row r="7" spans="1:62" ht="15.75" x14ac:dyDescent="0.25">
      <c r="C7" s="3210" t="s">
        <v>528</v>
      </c>
      <c r="D7" s="3083" t="s">
        <v>52</v>
      </c>
      <c r="E7" s="2140">
        <f>+E33*$E$35/1000</f>
        <v>59092.031308709775</v>
      </c>
      <c r="F7" s="1444">
        <v>46020</v>
      </c>
      <c r="G7" s="2140">
        <f>+G33*$E$35/1000</f>
        <v>49276.915375831995</v>
      </c>
      <c r="H7" s="1444">
        <v>39107</v>
      </c>
      <c r="I7" s="5821">
        <f>+E7+G7</f>
        <v>108368.94668454176</v>
      </c>
      <c r="J7" s="1469">
        <f>+F7+H7</f>
        <v>85127</v>
      </c>
      <c r="K7" s="2140">
        <f>+K33*$E$35/1000</f>
        <v>48189.702534036369</v>
      </c>
      <c r="L7" s="1444">
        <v>43508</v>
      </c>
      <c r="M7" s="1446">
        <f>E7+G7+K7</f>
        <v>156558.64921857812</v>
      </c>
      <c r="N7" s="1447">
        <f>F7+H7+L7</f>
        <v>128635</v>
      </c>
      <c r="O7" s="2140">
        <f>+O33*$E$35/1000</f>
        <v>59847.04022662338</v>
      </c>
      <c r="P7" s="1444">
        <v>57888</v>
      </c>
      <c r="Q7" s="5821">
        <f>+M7+O7</f>
        <v>216405.68944520151</v>
      </c>
      <c r="R7" s="1469">
        <f>+N7+P7</f>
        <v>186523</v>
      </c>
      <c r="S7" s="2140">
        <f>+S33*$E$35/1000</f>
        <v>59847.040226623481</v>
      </c>
      <c r="T7" s="2641">
        <v>63098</v>
      </c>
      <c r="U7" s="5821">
        <f>+Q7+S7</f>
        <v>276252.72967182501</v>
      </c>
      <c r="V7" s="1469">
        <f>+R7+T7</f>
        <v>249621</v>
      </c>
      <c r="W7" s="2140">
        <f>+W33*$E$35/1000</f>
        <v>58085.352751491591</v>
      </c>
      <c r="X7" s="2641">
        <v>53900</v>
      </c>
      <c r="Y7" s="1446">
        <f>O7+S7+W7</f>
        <v>177779.43320473845</v>
      </c>
      <c r="Z7" s="1447">
        <f>P7+T7+X7</f>
        <v>174886</v>
      </c>
      <c r="AA7" s="1449">
        <f>+U7+W7</f>
        <v>334338.08242331661</v>
      </c>
      <c r="AB7" s="1450">
        <f>+V7+X7</f>
        <v>303521</v>
      </c>
      <c r="AC7" s="2140">
        <f>+AC33*$E$35/1000</f>
        <v>61608.72770175535</v>
      </c>
      <c r="AD7" s="2641">
        <v>60129</v>
      </c>
      <c r="AE7" s="5821">
        <f>+AA7+AC7</f>
        <v>395946.81012507196</v>
      </c>
      <c r="AF7" s="1469">
        <f>+AB7+AD7</f>
        <v>363650</v>
      </c>
      <c r="AG7" s="2140">
        <f>+AG33*$E$35/1000</f>
        <v>59595.370587318837</v>
      </c>
      <c r="AH7" s="2641">
        <v>46651</v>
      </c>
      <c r="AI7" s="5821">
        <f>+AE7+AG7</f>
        <v>455542.18071239081</v>
      </c>
      <c r="AJ7" s="1469">
        <f>+AF7+AH7</f>
        <v>410301</v>
      </c>
      <c r="AK7" s="2140">
        <f>+AK33*$E$35/1000</f>
        <v>61860.397341059885</v>
      </c>
      <c r="AL7" s="2641">
        <v>56951</v>
      </c>
      <c r="AM7" s="1446">
        <f>AC7+AG7+AK7</f>
        <v>183064.49563013407</v>
      </c>
      <c r="AN7" s="1447">
        <f>AD7+AH7+AL7</f>
        <v>163731</v>
      </c>
      <c r="AO7" s="5821">
        <f>+AI7+AK7</f>
        <v>517402.57805345068</v>
      </c>
      <c r="AP7" s="1469">
        <f>+AJ7+AL7</f>
        <v>467252</v>
      </c>
      <c r="AQ7" s="2140">
        <f>+AQ33*$E$35/1000</f>
        <v>61860.397341059885</v>
      </c>
      <c r="AR7" s="2641">
        <v>61873</v>
      </c>
      <c r="AS7" s="5821">
        <f>+AO7+AQ7</f>
        <v>579262.97539451055</v>
      </c>
      <c r="AT7" s="1469">
        <f>+AP7+AR7</f>
        <v>529125</v>
      </c>
      <c r="AU7" s="2140">
        <f>+AU33*$E$35/1000</f>
        <v>57582.013472882594</v>
      </c>
      <c r="AV7" s="2641">
        <v>50794</v>
      </c>
      <c r="AW7" s="5821">
        <f>+AS7+AU7</f>
        <v>636844.98886739311</v>
      </c>
      <c r="AX7" s="1469">
        <f>+AT7+AV7</f>
        <v>579919</v>
      </c>
      <c r="AY7" s="2140">
        <f>+AY33*$E$35/1000</f>
        <v>62112.06698036442</v>
      </c>
      <c r="AZ7" s="2641">
        <v>50100</v>
      </c>
      <c r="BA7" s="1446">
        <f>AQ7+AU7+AY7</f>
        <v>181554.47779430691</v>
      </c>
      <c r="BB7" s="1447">
        <f>AR7+AV7+AZ7</f>
        <v>162767</v>
      </c>
      <c r="BC7" s="1449">
        <f>AM7+BA7</f>
        <v>364618.97342444095</v>
      </c>
      <c r="BD7" s="1449">
        <f>AN7+BB7</f>
        <v>326498</v>
      </c>
      <c r="BE7" s="5821">
        <f>+AW7+AY7</f>
        <v>698957.0558477575</v>
      </c>
      <c r="BF7" s="1469">
        <f>+AX7+AZ7</f>
        <v>630019</v>
      </c>
      <c r="BG7" s="26"/>
      <c r="BH7" s="26"/>
      <c r="BI7" s="26"/>
      <c r="BJ7" s="26"/>
    </row>
    <row r="8" spans="1:62" s="183" customFormat="1" ht="15.75" x14ac:dyDescent="0.25">
      <c r="C8" s="6568" t="s">
        <v>529</v>
      </c>
      <c r="D8" s="1444" t="s">
        <v>52</v>
      </c>
      <c r="E8" s="2140">
        <f>+E7*E9/100</f>
        <v>15954.848453351638</v>
      </c>
      <c r="F8" s="1444">
        <v>7363</v>
      </c>
      <c r="G8" s="2140">
        <f>+G7*G9/100</f>
        <v>13304.767151474638</v>
      </c>
      <c r="H8" s="1444">
        <v>6761</v>
      </c>
      <c r="I8" s="5821">
        <f>+E8+G8</f>
        <v>29259.615604826278</v>
      </c>
      <c r="J8" s="1469">
        <f>+F8+H8</f>
        <v>14124</v>
      </c>
      <c r="K8" s="2140">
        <f>+K7*K9/100</f>
        <v>13011.219684189819</v>
      </c>
      <c r="L8" s="1444">
        <v>5508</v>
      </c>
      <c r="M8" s="1446">
        <f>E8+G8+K8</f>
        <v>42270.835289016097</v>
      </c>
      <c r="N8" s="1447">
        <f>F8+H8+L8</f>
        <v>19632</v>
      </c>
      <c r="O8" s="2140">
        <f>+O7*O9/100</f>
        <v>16158.700861188314</v>
      </c>
      <c r="P8" s="1444">
        <v>12388</v>
      </c>
      <c r="Q8" s="5821">
        <f>+M8+O8</f>
        <v>58429.536150204411</v>
      </c>
      <c r="R8" s="1469">
        <f>+N8+P8</f>
        <v>32020</v>
      </c>
      <c r="S8" s="2140">
        <f>+S7*S9/100</f>
        <v>16158.700861188341</v>
      </c>
      <c r="T8" s="1444">
        <v>15774</v>
      </c>
      <c r="U8" s="5821">
        <f>+Q8+S8</f>
        <v>74588.237011392746</v>
      </c>
      <c r="V8" s="1469">
        <f>+R8+T8</f>
        <v>47794</v>
      </c>
      <c r="W8" s="2140">
        <f>+W7*W9/100</f>
        <v>15683.04524290273</v>
      </c>
      <c r="X8" s="1444">
        <v>12968</v>
      </c>
      <c r="Y8" s="1446">
        <f>O8+S8+W8</f>
        <v>48000.446965279385</v>
      </c>
      <c r="Z8" s="1447">
        <f>P8+T8+X8</f>
        <v>41130</v>
      </c>
      <c r="AA8" s="1449">
        <f>+U8+W8</f>
        <v>90271.282254295482</v>
      </c>
      <c r="AB8" s="1450">
        <f>+V8+X8</f>
        <v>60762</v>
      </c>
      <c r="AC8" s="2140">
        <f>+AC7*AC9/100</f>
        <v>16634.356479473947</v>
      </c>
      <c r="AD8" s="1444">
        <v>15397</v>
      </c>
      <c r="AE8" s="5821">
        <f>+AA8+AC8</f>
        <v>106905.63873376943</v>
      </c>
      <c r="AF8" s="1469">
        <f>+AB8+AD8</f>
        <v>76159</v>
      </c>
      <c r="AG8" s="2140">
        <f>+AG7*AG9/100</f>
        <v>16090.750058576084</v>
      </c>
      <c r="AH8" s="1444">
        <v>6915</v>
      </c>
      <c r="AI8" s="5821">
        <f>+AE8+AG8</f>
        <v>122996.38879234552</v>
      </c>
      <c r="AJ8" s="1469">
        <f>+AF8+AH8</f>
        <v>83074</v>
      </c>
      <c r="AK8" s="2140">
        <f>+AK7*AK9/100</f>
        <v>16702.307282086167</v>
      </c>
      <c r="AL8" s="1444">
        <v>12101</v>
      </c>
      <c r="AM8" s="1446">
        <f>AC8+AG8+AK8</f>
        <v>49427.413820136193</v>
      </c>
      <c r="AN8" s="1447">
        <f>AD8+AH8+AL8</f>
        <v>34413</v>
      </c>
      <c r="AO8" s="5821">
        <f>+AI8+AK8</f>
        <v>139698.69607443167</v>
      </c>
      <c r="AP8" s="1469">
        <f>+AJ8+AL8</f>
        <v>95175</v>
      </c>
      <c r="AQ8" s="2140">
        <f>+AQ7*AQ9/100</f>
        <v>16702.307282086167</v>
      </c>
      <c r="AR8" s="1444">
        <v>15077</v>
      </c>
      <c r="AS8" s="5821">
        <f>+AO8+AQ8</f>
        <v>156401.00335651785</v>
      </c>
      <c r="AT8" s="1469">
        <f>+AP8+AR8</f>
        <v>110252</v>
      </c>
      <c r="AU8" s="2140">
        <f>+AU7*AU9/100</f>
        <v>15547.1436376783</v>
      </c>
      <c r="AV8" s="1444">
        <v>9651</v>
      </c>
      <c r="AW8" s="5821">
        <f>+AS8+AU8</f>
        <v>171948.14699419614</v>
      </c>
      <c r="AX8" s="1469">
        <f>+AT8+AV8</f>
        <v>119903</v>
      </c>
      <c r="AY8" s="2140">
        <f>+AY7*AY9/100</f>
        <v>16770.258084698395</v>
      </c>
      <c r="AZ8" s="1444">
        <v>10020</v>
      </c>
      <c r="BA8" s="1446">
        <f>AQ8+AU8+AY8</f>
        <v>49019.709004462857</v>
      </c>
      <c r="BB8" s="1447">
        <f>AR8+AV8+AZ8</f>
        <v>34748</v>
      </c>
      <c r="BC8" s="1449">
        <f>AM8+BA8</f>
        <v>98447.12282459905</v>
      </c>
      <c r="BD8" s="1449">
        <f>AN8+BB8</f>
        <v>69161</v>
      </c>
      <c r="BE8" s="5821">
        <f>+AW8+AY8</f>
        <v>188718.40507889455</v>
      </c>
      <c r="BF8" s="1469">
        <f>+AX8+AZ8</f>
        <v>129923</v>
      </c>
      <c r="BG8" s="670"/>
      <c r="BH8" s="670"/>
      <c r="BI8" s="670"/>
      <c r="BJ8" s="670"/>
    </row>
    <row r="9" spans="1:62" s="183" customFormat="1" ht="15.75" x14ac:dyDescent="0.25">
      <c r="C9" s="6568"/>
      <c r="D9" s="1444" t="s">
        <v>51</v>
      </c>
      <c r="E9" s="5820">
        <v>27</v>
      </c>
      <c r="F9" s="1445">
        <f>+F8/F7*100</f>
        <v>15.999565406345068</v>
      </c>
      <c r="G9" s="5820">
        <v>27</v>
      </c>
      <c r="H9" s="1445">
        <f>+H8/H7*100</f>
        <v>17.288464980693995</v>
      </c>
      <c r="I9" s="5824">
        <f>+I8/I7*100</f>
        <v>27</v>
      </c>
      <c r="J9" s="5925">
        <f>+J8/J7*100</f>
        <v>16.591680665358815</v>
      </c>
      <c r="K9" s="5820">
        <v>27</v>
      </c>
      <c r="L9" s="1445">
        <f>+L8/L7*100</f>
        <v>12.659740737335662</v>
      </c>
      <c r="M9" s="5822">
        <f>+M8/M7*100</f>
        <v>27</v>
      </c>
      <c r="N9" s="5919">
        <f>+N8/N7*100</f>
        <v>15.26178722742644</v>
      </c>
      <c r="O9" s="5820">
        <v>27</v>
      </c>
      <c r="P9" s="1445">
        <f>+P8/P7*100</f>
        <v>21.399944720840246</v>
      </c>
      <c r="Q9" s="5824">
        <f>+Q8/Q7*100</f>
        <v>27</v>
      </c>
      <c r="R9" s="5925">
        <f>+R8/R7*100</f>
        <v>17.166783721042446</v>
      </c>
      <c r="S9" s="5820">
        <v>27</v>
      </c>
      <c r="T9" s="1445">
        <f>+T8/T7*100</f>
        <v>24.999207581856794</v>
      </c>
      <c r="U9" s="5824">
        <f>+U8/U7*100</f>
        <v>26.999999999999996</v>
      </c>
      <c r="V9" s="5925">
        <f>+V8/V7*100</f>
        <v>19.14662628544874</v>
      </c>
      <c r="W9" s="5820">
        <v>27</v>
      </c>
      <c r="X9" s="1445">
        <f>+X8/X7*100</f>
        <v>24.059369202226343</v>
      </c>
      <c r="Y9" s="5822">
        <f>+Y8/Y7*100</f>
        <v>27</v>
      </c>
      <c r="Z9" s="5919">
        <f>+Z8/Z7*100</f>
        <v>23.518177555664831</v>
      </c>
      <c r="AA9" s="5823">
        <f>+AA8/AA7*100</f>
        <v>27</v>
      </c>
      <c r="AB9" s="5912">
        <f>+AB8/AB7*100</f>
        <v>20.019043163405499</v>
      </c>
      <c r="AC9" s="5820">
        <v>27</v>
      </c>
      <c r="AD9" s="1445">
        <f>+AD8/AD7*100</f>
        <v>25.606612449899384</v>
      </c>
      <c r="AE9" s="5824">
        <f>+AE8/AE7*100</f>
        <v>27</v>
      </c>
      <c r="AF9" s="5925">
        <f>+AF8/AF7*100</f>
        <v>20.942939639763509</v>
      </c>
      <c r="AG9" s="5820">
        <v>27</v>
      </c>
      <c r="AH9" s="1445">
        <f>+AH8/AH7*100</f>
        <v>14.822833379777498</v>
      </c>
      <c r="AI9" s="5824">
        <f>+AI8/AI7*100</f>
        <v>27</v>
      </c>
      <c r="AJ9" s="5925">
        <f>+AJ8/AJ7*100</f>
        <v>20.247086894743127</v>
      </c>
      <c r="AK9" s="5820">
        <v>27</v>
      </c>
      <c r="AL9" s="1445">
        <f>+AL8/AL7*100</f>
        <v>21.24809046373198</v>
      </c>
      <c r="AM9" s="5822">
        <f>+AM8/AM7*100</f>
        <v>26.999999999999996</v>
      </c>
      <c r="AN9" s="5919">
        <f>+AN8/AN7*100</f>
        <v>21.018011250160324</v>
      </c>
      <c r="AO9" s="5824">
        <f>+AO8/AO7*100</f>
        <v>26.999999999999996</v>
      </c>
      <c r="AP9" s="5925">
        <f>+AP8/AP7*100</f>
        <v>20.369094193283281</v>
      </c>
      <c r="AQ9" s="5820">
        <v>27</v>
      </c>
      <c r="AR9" s="1445">
        <f>+AR8/AR7*100</f>
        <v>24.36765632828536</v>
      </c>
      <c r="AS9" s="5824">
        <f>+AS8/AS7*100</f>
        <v>27</v>
      </c>
      <c r="AT9" s="5925">
        <f>+AT8/AT7*100</f>
        <v>20.836664304275924</v>
      </c>
      <c r="AU9" s="5820">
        <v>27</v>
      </c>
      <c r="AV9" s="1445">
        <f>+AV8/AV7*100</f>
        <v>19.000275623105093</v>
      </c>
      <c r="AW9" s="5824">
        <f>+AW8/AW7*100</f>
        <v>27</v>
      </c>
      <c r="AX9" s="5925">
        <f>+AX8/AX7*100</f>
        <v>20.675818519482895</v>
      </c>
      <c r="AY9" s="5820">
        <v>27</v>
      </c>
      <c r="AZ9" s="1445">
        <f t="shared" ref="AZ9:BF9" si="0">+AZ8/AZ7*100</f>
        <v>20</v>
      </c>
      <c r="BA9" s="5822">
        <f t="shared" si="0"/>
        <v>26.999999999999996</v>
      </c>
      <c r="BB9" s="5919">
        <f t="shared" si="0"/>
        <v>21.348307703650001</v>
      </c>
      <c r="BC9" s="5823">
        <f t="shared" si="0"/>
        <v>26.999999999999996</v>
      </c>
      <c r="BD9" s="5912">
        <f t="shared" si="0"/>
        <v>21.182671869352951</v>
      </c>
      <c r="BE9" s="5824">
        <f t="shared" si="0"/>
        <v>27</v>
      </c>
      <c r="BF9" s="5925">
        <f t="shared" si="0"/>
        <v>20.622076477058631</v>
      </c>
      <c r="BG9" s="670"/>
      <c r="BH9" s="670"/>
      <c r="BI9" s="670"/>
      <c r="BJ9" s="670"/>
    </row>
    <row r="10" spans="1:62" s="183" customFormat="1" ht="15.75" x14ac:dyDescent="0.25">
      <c r="C10" s="5901" t="s">
        <v>530</v>
      </c>
      <c r="D10" s="1444" t="s">
        <v>52</v>
      </c>
      <c r="E10" s="2140">
        <f>+E7-E8</f>
        <v>43137.182855358136</v>
      </c>
      <c r="F10" s="1444">
        <f>+F7-F8</f>
        <v>38657</v>
      </c>
      <c r="G10" s="2140">
        <f>+G7-G8</f>
        <v>35972.148224357356</v>
      </c>
      <c r="H10" s="1444">
        <f>+H7-H8</f>
        <v>32346</v>
      </c>
      <c r="I10" s="5821">
        <f>+E10+G10</f>
        <v>79109.331079715485</v>
      </c>
      <c r="J10" s="1469">
        <f>+F10+H10</f>
        <v>71003</v>
      </c>
      <c r="K10" s="2140">
        <f>+K7-K8</f>
        <v>35178.48284984655</v>
      </c>
      <c r="L10" s="1444">
        <f>+L7-L8</f>
        <v>38000</v>
      </c>
      <c r="M10" s="1446">
        <f>E10+G10+K10</f>
        <v>114287.81392956203</v>
      </c>
      <c r="N10" s="1447">
        <f>F10+H10+L10</f>
        <v>109003</v>
      </c>
      <c r="O10" s="2140">
        <f>+O7-O8</f>
        <v>43688.339365435066</v>
      </c>
      <c r="P10" s="1444">
        <f>+P7-P8</f>
        <v>45500</v>
      </c>
      <c r="Q10" s="5821">
        <f>+M10+O10</f>
        <v>157976.15329499712</v>
      </c>
      <c r="R10" s="1469">
        <f>+N10+P10</f>
        <v>154503</v>
      </c>
      <c r="S10" s="2140">
        <f>+S7-S8</f>
        <v>43688.339365435138</v>
      </c>
      <c r="T10" s="1444">
        <f>+T7-T8</f>
        <v>47324</v>
      </c>
      <c r="U10" s="5821">
        <f>+Q10+S10</f>
        <v>201664.49266043224</v>
      </c>
      <c r="V10" s="1469">
        <f>+R10+T10</f>
        <v>201827</v>
      </c>
      <c r="W10" s="2140">
        <f>+W7-W8</f>
        <v>42402.307508588863</v>
      </c>
      <c r="X10" s="1444">
        <f>+X7-X8</f>
        <v>40932</v>
      </c>
      <c r="Y10" s="1446">
        <f>O10+S10+W10</f>
        <v>129778.98623945907</v>
      </c>
      <c r="Z10" s="1447">
        <f>P10+T10+X10</f>
        <v>133756</v>
      </c>
      <c r="AA10" s="1449">
        <f>+U10+W10</f>
        <v>244066.80016902109</v>
      </c>
      <c r="AB10" s="1450">
        <f>+V10+X10</f>
        <v>242759</v>
      </c>
      <c r="AC10" s="2140">
        <f>+AC7-AC8</f>
        <v>44974.371222281407</v>
      </c>
      <c r="AD10" s="1444">
        <f>+AD7-AD8</f>
        <v>44732</v>
      </c>
      <c r="AE10" s="5821">
        <f>+AA10+AC10</f>
        <v>289041.17139130249</v>
      </c>
      <c r="AF10" s="1469">
        <f>+AB10+AD10</f>
        <v>287491</v>
      </c>
      <c r="AG10" s="2140">
        <f>+AG7-AG8</f>
        <v>43504.620528742751</v>
      </c>
      <c r="AH10" s="1444">
        <f>+AH7-AH8</f>
        <v>39736</v>
      </c>
      <c r="AI10" s="5821">
        <f>+AE10+AG10</f>
        <v>332545.79192004522</v>
      </c>
      <c r="AJ10" s="1469">
        <f>+AF10+AH10</f>
        <v>327227</v>
      </c>
      <c r="AK10" s="2140">
        <f>+AK7-AK8</f>
        <v>45158.090058973714</v>
      </c>
      <c r="AL10" s="1444">
        <f>+AL7-AL8</f>
        <v>44850</v>
      </c>
      <c r="AM10" s="1446">
        <f>AC10+AG10+AK10</f>
        <v>133637.08180999785</v>
      </c>
      <c r="AN10" s="1447">
        <f>AD10+AH10+AL10</f>
        <v>129318</v>
      </c>
      <c r="AO10" s="5821">
        <f>+AI10+AK10</f>
        <v>377703.88197901892</v>
      </c>
      <c r="AP10" s="1469">
        <f>+AJ10+AL10</f>
        <v>372077</v>
      </c>
      <c r="AQ10" s="2140">
        <f>+AQ7-AQ8</f>
        <v>45158.090058973714</v>
      </c>
      <c r="AR10" s="1444">
        <f>+AR7-AR8</f>
        <v>46796</v>
      </c>
      <c r="AS10" s="5821">
        <f>+AO10+AQ10</f>
        <v>422861.97203799261</v>
      </c>
      <c r="AT10" s="1469">
        <f>+AP10+AR10</f>
        <v>418873</v>
      </c>
      <c r="AU10" s="2140">
        <f>+AU7-AU8</f>
        <v>42034.869835204292</v>
      </c>
      <c r="AV10" s="1444">
        <f>+AV7-AV8</f>
        <v>41143</v>
      </c>
      <c r="AW10" s="5821">
        <f>+AS10+AU10</f>
        <v>464896.84187319688</v>
      </c>
      <c r="AX10" s="1469">
        <f>+AT10+AV10</f>
        <v>460016</v>
      </c>
      <c r="AY10" s="2140">
        <f>+AY7-AY8</f>
        <v>45341.808895666021</v>
      </c>
      <c r="AZ10" s="1444">
        <f>+AZ7-AZ8</f>
        <v>40080</v>
      </c>
      <c r="BA10" s="1446">
        <f>AQ10+AU10+AY10</f>
        <v>132534.76878984401</v>
      </c>
      <c r="BB10" s="1447">
        <f>AR10+AV10+AZ10</f>
        <v>128019</v>
      </c>
      <c r="BC10" s="1449">
        <f t="shared" ref="BC10:BC11" si="1">AM10+BA10</f>
        <v>266171.85059984186</v>
      </c>
      <c r="BD10" s="1449">
        <f t="shared" ref="BD10:BD11" si="2">AN10+BB10</f>
        <v>257337</v>
      </c>
      <c r="BE10" s="5821">
        <f>+AW10+AY10</f>
        <v>510238.65076886292</v>
      </c>
      <c r="BF10" s="1469">
        <f>+AX10+AZ10</f>
        <v>500096</v>
      </c>
      <c r="BG10" s="670"/>
      <c r="BH10" s="670"/>
      <c r="BI10" s="670"/>
      <c r="BJ10" s="670"/>
    </row>
    <row r="11" spans="1:62" s="183" customFormat="1" ht="15.75" x14ac:dyDescent="0.25">
      <c r="C11" s="5901" t="s">
        <v>531</v>
      </c>
      <c r="D11" s="1444" t="s">
        <v>52</v>
      </c>
      <c r="E11" s="2140">
        <f>+E10*E12/100</f>
        <v>24156.822399000557</v>
      </c>
      <c r="F11" s="1444">
        <v>20969</v>
      </c>
      <c r="G11" s="2140">
        <f>+G10*G12/100</f>
        <v>20144.403005640121</v>
      </c>
      <c r="H11" s="1444">
        <v>18017</v>
      </c>
      <c r="I11" s="5821">
        <f>+E11+G11</f>
        <v>44301.225404640674</v>
      </c>
      <c r="J11" s="1469">
        <f>+F11+H11</f>
        <v>38986</v>
      </c>
      <c r="K11" s="2140">
        <f>+K10*K12/100</f>
        <v>19699.950395914071</v>
      </c>
      <c r="L11" s="1444">
        <v>21124</v>
      </c>
      <c r="M11" s="1446">
        <f>E11+G11+K11</f>
        <v>64001.175800554745</v>
      </c>
      <c r="N11" s="1447">
        <f>F11+H11+L11</f>
        <v>60110</v>
      </c>
      <c r="O11" s="2140">
        <f>+O10*O12/100</f>
        <v>24465.470044643636</v>
      </c>
      <c r="P11" s="1444">
        <v>24498</v>
      </c>
      <c r="Q11" s="5821">
        <f>+M11+O11</f>
        <v>88466.645845198378</v>
      </c>
      <c r="R11" s="1469">
        <f>+N11+P11</f>
        <v>84608</v>
      </c>
      <c r="S11" s="2140">
        <f>+S10*S12/100</f>
        <v>24465.47004464368</v>
      </c>
      <c r="T11" s="1444">
        <v>25285</v>
      </c>
      <c r="U11" s="5821">
        <f>+Q11+S11</f>
        <v>112932.11588984205</v>
      </c>
      <c r="V11" s="1469">
        <f>+R11+T11</f>
        <v>109893</v>
      </c>
      <c r="W11" s="2140">
        <f>+W10*W12/100</f>
        <v>23745.292204809761</v>
      </c>
      <c r="X11" s="1444">
        <v>22385</v>
      </c>
      <c r="Y11" s="1446">
        <f>O11+S11+W11</f>
        <v>72676.232294097077</v>
      </c>
      <c r="Z11" s="1447">
        <f>P11+T11+X11</f>
        <v>72168</v>
      </c>
      <c r="AA11" s="1449">
        <f>+U11+W11</f>
        <v>136677.40809465182</v>
      </c>
      <c r="AB11" s="1450">
        <f>+V11+X11</f>
        <v>132278</v>
      </c>
      <c r="AC11" s="2140">
        <f>+AC10*AC12/100</f>
        <v>25185.647884477585</v>
      </c>
      <c r="AD11" s="1444">
        <v>25050</v>
      </c>
      <c r="AE11" s="5821">
        <f>+AA11+AC11</f>
        <v>161863.05597912939</v>
      </c>
      <c r="AF11" s="1469">
        <f>+AB11+AD11</f>
        <v>157328</v>
      </c>
      <c r="AG11" s="2140">
        <f>+AG10*AG12/100</f>
        <v>24362.587496095941</v>
      </c>
      <c r="AH11" s="1444">
        <v>22183</v>
      </c>
      <c r="AI11" s="5821">
        <f>+AE11+AG11</f>
        <v>186225.64347522534</v>
      </c>
      <c r="AJ11" s="1469">
        <f>+AF11+AH11</f>
        <v>179511</v>
      </c>
      <c r="AK11" s="2140">
        <f>+AK10*AK12/100</f>
        <v>25288.53043302528</v>
      </c>
      <c r="AL11" s="1444">
        <v>24547</v>
      </c>
      <c r="AM11" s="1446">
        <f>AC11+AG11+AK11</f>
        <v>74836.765813598802</v>
      </c>
      <c r="AN11" s="1447">
        <f>AD11+AH11+AL11</f>
        <v>71780</v>
      </c>
      <c r="AO11" s="5821">
        <f>+AI11+AK11</f>
        <v>211514.17390825061</v>
      </c>
      <c r="AP11" s="1469">
        <f>+AJ11+AL11</f>
        <v>204058</v>
      </c>
      <c r="AQ11" s="2140">
        <f>+AQ10*AQ12/100</f>
        <v>25288.53043302528</v>
      </c>
      <c r="AR11" s="1444">
        <v>26039</v>
      </c>
      <c r="AS11" s="5821">
        <f>+AO11+AQ11</f>
        <v>236802.70434127588</v>
      </c>
      <c r="AT11" s="1469">
        <f>+AP11+AR11</f>
        <v>230097</v>
      </c>
      <c r="AU11" s="2140">
        <f>+AU10*AU12/100</f>
        <v>23539.527107714406</v>
      </c>
      <c r="AV11" s="1444">
        <v>23040</v>
      </c>
      <c r="AW11" s="5821">
        <f>+AS11+AU11</f>
        <v>260342.23144899029</v>
      </c>
      <c r="AX11" s="1469">
        <f>+AT11+AV11</f>
        <v>253137</v>
      </c>
      <c r="AY11" s="2140">
        <f>+AY10*AY12/100</f>
        <v>25391.412981572972</v>
      </c>
      <c r="AZ11" s="1444">
        <v>22445</v>
      </c>
      <c r="BA11" s="1446">
        <f>AQ11+AU11+AY11</f>
        <v>74219.470522312651</v>
      </c>
      <c r="BB11" s="1447">
        <f>AR11+AV11+AZ11</f>
        <v>71524</v>
      </c>
      <c r="BC11" s="1449">
        <f t="shared" si="1"/>
        <v>149056.23633591144</v>
      </c>
      <c r="BD11" s="1449">
        <f t="shared" si="2"/>
        <v>143304</v>
      </c>
      <c r="BE11" s="5821">
        <f>+AW11+AY11</f>
        <v>285733.64443056326</v>
      </c>
      <c r="BF11" s="1469">
        <f>+AX11+AZ11</f>
        <v>275582</v>
      </c>
      <c r="BG11" s="670"/>
      <c r="BH11" s="670"/>
      <c r="BI11" s="670"/>
      <c r="BJ11" s="670"/>
    </row>
    <row r="12" spans="1:62" s="183" customFormat="1" ht="15.75" x14ac:dyDescent="0.25">
      <c r="C12" s="5901" t="s">
        <v>532</v>
      </c>
      <c r="D12" s="1444" t="s">
        <v>51</v>
      </c>
      <c r="E12" s="5820">
        <v>56</v>
      </c>
      <c r="F12" s="1424">
        <f>+F11/F10*100</f>
        <v>54.243733347129883</v>
      </c>
      <c r="G12" s="5820">
        <v>56</v>
      </c>
      <c r="H12" s="1424">
        <f>+H11/H10*100</f>
        <v>55.70085945711989</v>
      </c>
      <c r="I12" s="5824">
        <f>+I11/I10*100</f>
        <v>56.000000000000007</v>
      </c>
      <c r="J12" s="5925">
        <f>+J11/J10*100</f>
        <v>54.907539118065429</v>
      </c>
      <c r="K12" s="5820">
        <v>56</v>
      </c>
      <c r="L12" s="1424">
        <f>+L11/L10*100</f>
        <v>55.589473684210525</v>
      </c>
      <c r="M12" s="5822">
        <f>+M11/M10*100</f>
        <v>56.000000000000007</v>
      </c>
      <c r="N12" s="1448">
        <f>+N11/N10*100</f>
        <v>55.145271231067042</v>
      </c>
      <c r="O12" s="5820">
        <v>56</v>
      </c>
      <c r="P12" s="1424">
        <f>+P11/P10*100</f>
        <v>53.841758241758242</v>
      </c>
      <c r="Q12" s="5824">
        <f>+Q11/Q10*100</f>
        <v>55.999999999999993</v>
      </c>
      <c r="R12" s="1470">
        <f>+R11/R10*100</f>
        <v>54.76139621884365</v>
      </c>
      <c r="S12" s="5820">
        <v>56</v>
      </c>
      <c r="T12" s="1424">
        <f>+T11/T10*100</f>
        <v>53.429549488631558</v>
      </c>
      <c r="U12" s="5824">
        <f>+U11/U10*100</f>
        <v>56.000000000000007</v>
      </c>
      <c r="V12" s="1470">
        <f>+V11/V10*100</f>
        <v>54.449107403865682</v>
      </c>
      <c r="W12" s="5820">
        <v>56</v>
      </c>
      <c r="X12" s="1424">
        <f>+X11/X10*100</f>
        <v>54.68826346135053</v>
      </c>
      <c r="Y12" s="5822">
        <f>+Y11/Y10*100</f>
        <v>55.999999999999993</v>
      </c>
      <c r="Z12" s="1448">
        <f>+Z11/Z10*100</f>
        <v>53.954962768025361</v>
      </c>
      <c r="AA12" s="5823">
        <f>+AA11/AA10*100</f>
        <v>56.000000000000007</v>
      </c>
      <c r="AB12" s="5912">
        <f>+AB11/AB10*100</f>
        <v>54.48943190571719</v>
      </c>
      <c r="AC12" s="5820">
        <v>56</v>
      </c>
      <c r="AD12" s="1424">
        <f>+AD11/AD10*100</f>
        <v>56.000178842886527</v>
      </c>
      <c r="AE12" s="5824">
        <f>+AE11/AE10*100</f>
        <v>56.000000000000007</v>
      </c>
      <c r="AF12" s="1470">
        <f>+AF11/AF10*100</f>
        <v>54.724495723344383</v>
      </c>
      <c r="AG12" s="5820">
        <v>56</v>
      </c>
      <c r="AH12" s="1424">
        <f>+AH11/AH10*100</f>
        <v>55.825951278437692</v>
      </c>
      <c r="AI12" s="5824">
        <f>+AI11/AI10*100</f>
        <v>56.000000000000007</v>
      </c>
      <c r="AJ12" s="1470">
        <f>+AJ11/AJ10*100</f>
        <v>54.858248249685992</v>
      </c>
      <c r="AK12" s="5820">
        <v>56</v>
      </c>
      <c r="AL12" s="1424">
        <f>+AL11/AL10*100</f>
        <v>54.731326644370128</v>
      </c>
      <c r="AM12" s="5822">
        <f>+AM11/AM10*100</f>
        <v>56.000000000000007</v>
      </c>
      <c r="AN12" s="1448">
        <f>+AN11/AN10*100</f>
        <v>55.506580677090575</v>
      </c>
      <c r="AO12" s="5824">
        <f>+AO11/AO10*100</f>
        <v>56.000000000000007</v>
      </c>
      <c r="AP12" s="1470">
        <f>+AP11/AP10*100</f>
        <v>54.84294917449882</v>
      </c>
      <c r="AQ12" s="5820">
        <v>56</v>
      </c>
      <c r="AR12" s="1424">
        <f>+AR11/AR10*100</f>
        <v>55.64364475596205</v>
      </c>
      <c r="AS12" s="5824">
        <f>+AS11/AS10*100</f>
        <v>56.000000000000007</v>
      </c>
      <c r="AT12" s="1470">
        <f>+AT11/AT10*100</f>
        <v>54.932401945219681</v>
      </c>
      <c r="AU12" s="5820">
        <v>56</v>
      </c>
      <c r="AV12" s="1424">
        <f>+AV11/AV10*100</f>
        <v>55.999805556230712</v>
      </c>
      <c r="AW12" s="5824">
        <f>+AW11/AW10*100</f>
        <v>56.000000000000007</v>
      </c>
      <c r="AX12" s="1470">
        <f>+AX11/AX10*100</f>
        <v>55.027868595874928</v>
      </c>
      <c r="AY12" s="5820">
        <v>56</v>
      </c>
      <c r="AZ12" s="1424">
        <f t="shared" ref="AZ12:BF12" si="3">+AZ11/AZ10*100</f>
        <v>56.000499001996005</v>
      </c>
      <c r="BA12" s="5822">
        <f t="shared" si="3"/>
        <v>56.000000000000007</v>
      </c>
      <c r="BB12" s="1448">
        <f t="shared" si="3"/>
        <v>55.869831821838943</v>
      </c>
      <c r="BC12" s="5823">
        <f t="shared" si="3"/>
        <v>56.000000000000007</v>
      </c>
      <c r="BD12" s="5912">
        <f t="shared" si="3"/>
        <v>55.687289429813823</v>
      </c>
      <c r="BE12" s="5824">
        <f t="shared" si="3"/>
        <v>56.000000000000007</v>
      </c>
      <c r="BF12" s="1470">
        <f t="shared" si="3"/>
        <v>55.10581968262094</v>
      </c>
      <c r="BG12" s="670"/>
      <c r="BH12" s="670"/>
      <c r="BI12" s="670"/>
      <c r="BJ12" s="670"/>
    </row>
    <row r="13" spans="1:62" s="183" customFormat="1" ht="15.75" x14ac:dyDescent="0.25">
      <c r="C13" s="5901" t="s">
        <v>1428</v>
      </c>
      <c r="D13" s="1444" t="s">
        <v>52</v>
      </c>
      <c r="E13" s="2140">
        <f>+E11*E14/100</f>
        <v>8454.887839650195</v>
      </c>
      <c r="F13" s="1424">
        <v>7755</v>
      </c>
      <c r="G13" s="2140">
        <f>+G11*G14/100</f>
        <v>7050.5410519740426</v>
      </c>
      <c r="H13" s="1424">
        <v>6910</v>
      </c>
      <c r="I13" s="5821">
        <f>+E13+G13</f>
        <v>15505.428891624237</v>
      </c>
      <c r="J13" s="1470">
        <f>+F13+H13</f>
        <v>14665</v>
      </c>
      <c r="K13" s="2140">
        <f>+K11*K14/100</f>
        <v>6894.9826385699243</v>
      </c>
      <c r="L13" s="1424">
        <v>7324</v>
      </c>
      <c r="M13" s="1446">
        <f>E13+G13+K13</f>
        <v>22400.41153019416</v>
      </c>
      <c r="N13" s="1447">
        <f>F13+H13+L13</f>
        <v>21989</v>
      </c>
      <c r="O13" s="2140">
        <f>+O11*O14/100</f>
        <v>8562.9145156252725</v>
      </c>
      <c r="P13" s="1424">
        <v>8540</v>
      </c>
      <c r="Q13" s="5821">
        <f>+M13+O13</f>
        <v>30963.326045819435</v>
      </c>
      <c r="R13" s="1470">
        <f>+N13+P13</f>
        <v>30529</v>
      </c>
      <c r="S13" s="2140">
        <f>+S11*S14/100</f>
        <v>8562.9145156252889</v>
      </c>
      <c r="T13" s="1424">
        <v>8700</v>
      </c>
      <c r="U13" s="5821">
        <f>+Q13+S13</f>
        <v>39526.24056144472</v>
      </c>
      <c r="V13" s="1470">
        <f>+R13+T13</f>
        <v>39229</v>
      </c>
      <c r="W13" s="2140">
        <f>+W11*W14/100</f>
        <v>8310.8522716834159</v>
      </c>
      <c r="X13" s="1424">
        <v>7130</v>
      </c>
      <c r="Y13" s="1446">
        <f>O13+S13+W13</f>
        <v>25436.681302933979</v>
      </c>
      <c r="Z13" s="1447">
        <f>P13+T13+X13</f>
        <v>24370</v>
      </c>
      <c r="AA13" s="1449">
        <f>+U13+W13</f>
        <v>47837.092833128132</v>
      </c>
      <c r="AB13" s="1450">
        <f>+V13+X13</f>
        <v>46359</v>
      </c>
      <c r="AC13" s="2140">
        <f>+AC11*AC14/100</f>
        <v>8814.9767595671547</v>
      </c>
      <c r="AD13" s="1424">
        <v>8609</v>
      </c>
      <c r="AE13" s="5821">
        <f>+AA13+AC13</f>
        <v>56652.06959269529</v>
      </c>
      <c r="AF13" s="1470">
        <f>+AB13+AD13</f>
        <v>54968</v>
      </c>
      <c r="AG13" s="2140">
        <f>+AG11*AG14/100</f>
        <v>8526.90562363358</v>
      </c>
      <c r="AH13" s="1424">
        <v>8025</v>
      </c>
      <c r="AI13" s="5821">
        <f>+AE13+AG13</f>
        <v>65178.975216328872</v>
      </c>
      <c r="AJ13" s="1470">
        <f>+AF13+AH13</f>
        <v>62993</v>
      </c>
      <c r="AK13" s="2140">
        <f>+AK11*AK14/100</f>
        <v>8850.985651558849</v>
      </c>
      <c r="AL13" s="1424">
        <v>7246</v>
      </c>
      <c r="AM13" s="1446">
        <f>AC13+AG13+AK13</f>
        <v>26192.86803475958</v>
      </c>
      <c r="AN13" s="1447">
        <f>AD13+AH13+AL13</f>
        <v>23880</v>
      </c>
      <c r="AO13" s="5821">
        <f>+AI13+AK13</f>
        <v>74029.960867887727</v>
      </c>
      <c r="AP13" s="1470">
        <f>+AJ13+AL13</f>
        <v>70239</v>
      </c>
      <c r="AQ13" s="2140">
        <f>+AQ11*AQ14/100</f>
        <v>8850.985651558849</v>
      </c>
      <c r="AR13" s="1424">
        <v>10141</v>
      </c>
      <c r="AS13" s="5821">
        <f>+AO13+AQ13</f>
        <v>82880.946519446574</v>
      </c>
      <c r="AT13" s="1470">
        <f>+AP13+AR13</f>
        <v>80380</v>
      </c>
      <c r="AU13" s="2140">
        <f>+AU11*AU14/100</f>
        <v>8238.8344877000418</v>
      </c>
      <c r="AV13" s="1424">
        <v>7650</v>
      </c>
      <c r="AW13" s="5821">
        <f>+AS13+AU13</f>
        <v>91119.781007146608</v>
      </c>
      <c r="AX13" s="1470">
        <f>+AT13+AV13</f>
        <v>88030</v>
      </c>
      <c r="AY13" s="2140">
        <f>+AY11*AY14/100</f>
        <v>8886.9945435505415</v>
      </c>
      <c r="AZ13" s="1424">
        <v>7490</v>
      </c>
      <c r="BA13" s="1446">
        <f>AQ13+AU13+AY13</f>
        <v>25976.814682809432</v>
      </c>
      <c r="BB13" s="1447">
        <f>AR13+AV13+AZ13</f>
        <v>25281</v>
      </c>
      <c r="BC13" s="1449">
        <f>AM13+BA13</f>
        <v>52169.682717569012</v>
      </c>
      <c r="BD13" s="1449">
        <f>AN13+BB13</f>
        <v>49161</v>
      </c>
      <c r="BE13" s="5821">
        <f>+AW13+AY13</f>
        <v>100006.77555069714</v>
      </c>
      <c r="BF13" s="1470">
        <f>+AX13+AZ13</f>
        <v>95520</v>
      </c>
      <c r="BG13" s="670"/>
      <c r="BH13" s="670"/>
      <c r="BI13" s="670"/>
      <c r="BJ13" s="670"/>
    </row>
    <row r="14" spans="1:62" s="183" customFormat="1" ht="15.75" x14ac:dyDescent="0.25">
      <c r="C14" s="5901" t="s">
        <v>631</v>
      </c>
      <c r="D14" s="1444" t="s">
        <v>51</v>
      </c>
      <c r="E14" s="5820">
        <v>35</v>
      </c>
      <c r="F14" s="1424">
        <f>+F13/F11*100</f>
        <v>36.983165625447093</v>
      </c>
      <c r="G14" s="5820">
        <v>35</v>
      </c>
      <c r="H14" s="1424">
        <f>+H13/H11*100</f>
        <v>38.352666925681298</v>
      </c>
      <c r="I14" s="5824">
        <f>+I13/I11*100</f>
        <v>35</v>
      </c>
      <c r="J14" s="5925">
        <f>+J13/J11*100</f>
        <v>37.616067306212486</v>
      </c>
      <c r="K14" s="5820">
        <v>35</v>
      </c>
      <c r="L14" s="1424">
        <f>+L13/L11*100</f>
        <v>34.67146373792842</v>
      </c>
      <c r="M14" s="5822">
        <f>+M13/M11*100</f>
        <v>35</v>
      </c>
      <c r="N14" s="5919">
        <f>+N13/N11*100</f>
        <v>36.581267675927464</v>
      </c>
      <c r="O14" s="5820">
        <v>35</v>
      </c>
      <c r="P14" s="1424">
        <f>+P13/P11*100</f>
        <v>34.859988570495545</v>
      </c>
      <c r="Q14" s="5824">
        <f>+Q13/Q11*100</f>
        <v>35</v>
      </c>
      <c r="R14" s="5925">
        <f>+R13/R11*100</f>
        <v>36.08287632375189</v>
      </c>
      <c r="S14" s="5820">
        <v>35</v>
      </c>
      <c r="T14" s="1424">
        <f>+T13/T11*100</f>
        <v>34.407751631402014</v>
      </c>
      <c r="U14" s="5824">
        <f>+U13/U11*100</f>
        <v>35</v>
      </c>
      <c r="V14" s="5925">
        <f>+V13/V11*100</f>
        <v>35.697451157034571</v>
      </c>
      <c r="W14" s="5820">
        <v>35</v>
      </c>
      <c r="X14" s="1424">
        <f>+X13/X11*100</f>
        <v>31.851686397140945</v>
      </c>
      <c r="Y14" s="5822">
        <f>+Y13/Y11*100</f>
        <v>35</v>
      </c>
      <c r="Z14" s="5919">
        <f>+Z13/Z11*100</f>
        <v>33.76842922070724</v>
      </c>
      <c r="AA14" s="5823">
        <f>+AA13/AA11*100</f>
        <v>35</v>
      </c>
      <c r="AB14" s="5912">
        <f>+AB13/AB11*100</f>
        <v>35.046644188753987</v>
      </c>
      <c r="AC14" s="5820">
        <v>35</v>
      </c>
      <c r="AD14" s="1424">
        <f>+AD13/AD11*100</f>
        <v>34.367265469061877</v>
      </c>
      <c r="AE14" s="5824">
        <f>+AE13/AE11*100</f>
        <v>35</v>
      </c>
      <c r="AF14" s="5925">
        <f>+AF13/AF11*100</f>
        <v>34.9384724905929</v>
      </c>
      <c r="AG14" s="5820">
        <v>35</v>
      </c>
      <c r="AH14" s="1424">
        <f>+AH13/AH11*100</f>
        <v>36.176351259973856</v>
      </c>
      <c r="AI14" s="5824">
        <f>+AI13/AI11*100</f>
        <v>35</v>
      </c>
      <c r="AJ14" s="5925">
        <f>+AJ13/AJ11*100</f>
        <v>35.091442864225591</v>
      </c>
      <c r="AK14" s="5820">
        <v>35</v>
      </c>
      <c r="AL14" s="1424">
        <f>+AL13/AL11*100</f>
        <v>29.518882144457571</v>
      </c>
      <c r="AM14" s="5822">
        <f>+AM13/AM11*100</f>
        <v>35</v>
      </c>
      <c r="AN14" s="5919">
        <f>+AN13/AN11*100</f>
        <v>33.268319866258011</v>
      </c>
      <c r="AO14" s="5824">
        <f>+AO13/AO11*100</f>
        <v>35.000000000000007</v>
      </c>
      <c r="AP14" s="5925">
        <f>+AP13/AP11*100</f>
        <v>34.42109596291251</v>
      </c>
      <c r="AQ14" s="5820">
        <v>35</v>
      </c>
      <c r="AR14" s="1424">
        <f>+AR13/AR11*100</f>
        <v>38.945428011828412</v>
      </c>
      <c r="AS14" s="5824">
        <f>+AS13/AS11*100</f>
        <v>35.000000000000007</v>
      </c>
      <c r="AT14" s="5925">
        <f>+AT13/AT11*100</f>
        <v>34.933093434508052</v>
      </c>
      <c r="AU14" s="5820">
        <v>35</v>
      </c>
      <c r="AV14" s="1424">
        <f>+AV13/AV11*100</f>
        <v>33.203125</v>
      </c>
      <c r="AW14" s="5824">
        <f>+AW13/AW11*100</f>
        <v>35</v>
      </c>
      <c r="AX14" s="5925">
        <f>+AX13/AX11*100</f>
        <v>34.775635327905441</v>
      </c>
      <c r="AY14" s="5820">
        <v>35</v>
      </c>
      <c r="AZ14" s="1424">
        <f t="shared" ref="AZ14:BF14" si="4">+AZ13/AZ11*100</f>
        <v>33.370461127199825</v>
      </c>
      <c r="BA14" s="5822">
        <f t="shared" si="4"/>
        <v>35</v>
      </c>
      <c r="BB14" s="5919">
        <f t="shared" si="4"/>
        <v>35.346177506850843</v>
      </c>
      <c r="BC14" s="5823">
        <f t="shared" si="4"/>
        <v>35</v>
      </c>
      <c r="BD14" s="5912">
        <f t="shared" si="4"/>
        <v>34.305392731535754</v>
      </c>
      <c r="BE14" s="5824">
        <f t="shared" si="4"/>
        <v>35</v>
      </c>
      <c r="BF14" s="5925">
        <f t="shared" si="4"/>
        <v>34.661189772916956</v>
      </c>
      <c r="BG14" s="670"/>
      <c r="BH14" s="670"/>
      <c r="BI14" s="670"/>
      <c r="BJ14" s="670"/>
    </row>
    <row r="15" spans="1:62" s="183" customFormat="1" ht="28.5" x14ac:dyDescent="0.25">
      <c r="C15" s="4023" t="s">
        <v>1509</v>
      </c>
      <c r="D15" s="1444"/>
      <c r="E15" s="6550">
        <v>310</v>
      </c>
      <c r="F15" s="1424">
        <v>282</v>
      </c>
      <c r="G15" s="6550">
        <v>310</v>
      </c>
      <c r="H15" s="1424">
        <v>270</v>
      </c>
      <c r="I15" s="6565">
        <f>+((E15*E11)+(G11*G15))/(E11+G11)</f>
        <v>310</v>
      </c>
      <c r="J15" s="1470">
        <f>+((F15*F10)+(H10*H15))/(F10+H10)</f>
        <v>276.53330140979961</v>
      </c>
      <c r="K15" s="6550">
        <v>290</v>
      </c>
      <c r="L15" s="1424">
        <v>267</v>
      </c>
      <c r="M15" s="6557">
        <f t="shared" ref="M15:M19" si="5">+((E15*E7)+(G7*G15)+(K7*K15))/M7</f>
        <v>303.84387860082307</v>
      </c>
      <c r="N15" s="1448">
        <f>+((F15*F10)+(H15*H10)+(L10*L15))/N10</f>
        <v>273.20985660945109</v>
      </c>
      <c r="O15" s="6550">
        <v>280</v>
      </c>
      <c r="P15" s="1424"/>
      <c r="Q15" s="6565">
        <f>+((M15*M11)+(O11*O15))/(M11+O11)</f>
        <v>297.24984881611391</v>
      </c>
      <c r="R15" s="1470">
        <f>+((N15*N10)+(P10*P15))/(N10+P10)</f>
        <v>192.75155822217042</v>
      </c>
      <c r="S15" s="6550">
        <v>280</v>
      </c>
      <c r="T15" s="1424"/>
      <c r="U15" s="6565">
        <f>+((Q15*Q11)+(S11*S15))/(Q11+S11)</f>
        <v>293.51286349391449</v>
      </c>
      <c r="V15" s="1470">
        <f>+((R15*R10)+(T10*T15))/(R10+T10)</f>
        <v>147.55555005029058</v>
      </c>
      <c r="W15" s="6550">
        <v>290</v>
      </c>
      <c r="X15" s="1424"/>
      <c r="Y15" s="6557">
        <f>+((O15*O7)+(S7*S15)+(W7*W15))/Y7</f>
        <v>283.26727066817665</v>
      </c>
      <c r="Z15" s="1448">
        <f>+((P15*P10)+(T10*T15)+(X10*X15))/Z10</f>
        <v>0</v>
      </c>
      <c r="AA15" s="6562">
        <f>+((U15*U11)+(W11*W15))/(U11+W11)</f>
        <v>292.90256533782974</v>
      </c>
      <c r="AB15" s="1450">
        <f>(N15*N$11+Z15*Z$11)/AB$11</f>
        <v>124.15250064858938</v>
      </c>
      <c r="AC15" s="6550">
        <v>300</v>
      </c>
      <c r="AD15" s="1424">
        <v>275</v>
      </c>
      <c r="AE15" s="6565">
        <f>+((AA15*AA11)+(AC11*AC15))/(AA11+AC11)</f>
        <v>294.00691548866064</v>
      </c>
      <c r="AF15" s="1470">
        <f>+((AB15*AB10)+(AD10*AD15))/(AB10+AD10)</f>
        <v>147.62353223214259</v>
      </c>
      <c r="AG15" s="6550">
        <v>300</v>
      </c>
      <c r="AH15" s="1424">
        <v>256</v>
      </c>
      <c r="AI15" s="6565">
        <f>+((AE15*AE11)+(AG11*AG15))/(AE11+AG11)</f>
        <v>294.79094846636616</v>
      </c>
      <c r="AJ15" s="1470">
        <f>+((AF15*AF10)+(AH10*AH15))/(AF10+AH10)</f>
        <v>160.78396007955001</v>
      </c>
      <c r="AK15" s="6550">
        <v>310</v>
      </c>
      <c r="AL15" s="1424">
        <v>86</v>
      </c>
      <c r="AM15" s="6557">
        <f>+((AC15*AC7)+(AG7*AG15)+(AK7*AK15))/AM7</f>
        <v>303.37915864723675</v>
      </c>
      <c r="AN15" s="1448">
        <f>+((AD15*AD10)+(AH10*AH15)+(AL10*AL15))/AN10</f>
        <v>203.61292318161432</v>
      </c>
      <c r="AO15" s="6565">
        <f>+((AI15*AI11)+(AK11*AK15))/(AI11+AK11)</f>
        <v>296.60933517520482</v>
      </c>
      <c r="AP15" s="1470">
        <f>+((AJ15*AJ10)+(AL10*AL15))/(AJ10+AL10)</f>
        <v>151.76953400761377</v>
      </c>
      <c r="AQ15" s="6550">
        <v>310</v>
      </c>
      <c r="AR15" s="1424">
        <v>58</v>
      </c>
      <c r="AS15" s="6565">
        <f>+((AO15*AO11)+(AQ11*AQ15))/(AO11+AQ11)</f>
        <v>298.03934517395993</v>
      </c>
      <c r="AT15" s="1470">
        <f>+((AP15*AP10)+(AR10*AR15))/(AP10+AR10)</f>
        <v>141.29371170963731</v>
      </c>
      <c r="AU15" s="6550">
        <v>310</v>
      </c>
      <c r="AV15" s="1424"/>
      <c r="AW15" s="6565">
        <f>+((AS15*AS11)+(AU11*AU15))/(AS11+AU11)</f>
        <v>299.12079921595904</v>
      </c>
      <c r="AX15" s="1470">
        <f>+((AT15*AT10)+(AV10*AV15))/(AT10+AV10)</f>
        <v>128.65665738789718</v>
      </c>
      <c r="AY15" s="6550">
        <v>310</v>
      </c>
      <c r="AZ15" s="1424"/>
      <c r="BA15" s="6557">
        <f>+((AQ15*AQ7)+(AU7*AU15)+(AY7*AY15))/BA7</f>
        <v>310</v>
      </c>
      <c r="BB15" s="1448">
        <f>+((AR15*AR10)+(AV10*AV15)+(AZ10*AZ15))/BB10</f>
        <v>21.201290433451284</v>
      </c>
      <c r="BC15" s="6562">
        <f>+((AM15*AM11)+(BA11*BA15))/(AM11+BA11)</f>
        <v>306.67586968525683</v>
      </c>
      <c r="BD15" s="1450">
        <f>(AN15*AN$11+BB15*BB$11)/BD$11</f>
        <v>112.57003798176216</v>
      </c>
      <c r="BE15" s="6551">
        <f>+((AW15*AW11)+(AY11*AY15))/(AW11+AY11)</f>
        <v>300.08756769213051</v>
      </c>
      <c r="BF15" s="1470">
        <f>+((AX15*AX10)+(AZ10*AZ15))/(AX10+AZ10)</f>
        <v>118.34551947016355</v>
      </c>
      <c r="BG15" s="670"/>
      <c r="BH15" s="670"/>
      <c r="BI15" s="670"/>
      <c r="BJ15" s="670"/>
    </row>
    <row r="16" spans="1:62" s="183" customFormat="1" ht="15.75" x14ac:dyDescent="0.25">
      <c r="C16" s="5902" t="s">
        <v>720</v>
      </c>
      <c r="D16" s="6573"/>
      <c r="E16" s="6550"/>
      <c r="F16" s="1424">
        <v>225</v>
      </c>
      <c r="G16" s="6550"/>
      <c r="H16" s="1424">
        <v>246</v>
      </c>
      <c r="I16" s="6565"/>
      <c r="J16" s="1470">
        <f>+((F16*F11)+(H11*H16))/(F11+H11)</f>
        <v>234.70494536500283</v>
      </c>
      <c r="K16" s="6550"/>
      <c r="L16" s="1424">
        <v>271</v>
      </c>
      <c r="M16" s="6557">
        <f t="shared" si="5"/>
        <v>0</v>
      </c>
      <c r="N16" s="1448">
        <f>+((F16*F11)+(H11*H16)+(L11*L16))/N11</f>
        <v>247.45984029279654</v>
      </c>
      <c r="O16" s="6550"/>
      <c r="P16" s="1424">
        <v>283</v>
      </c>
      <c r="Q16" s="6565"/>
      <c r="R16" s="1470">
        <f>+((N16*N11)+(P11*P16))/(N11+P11)</f>
        <v>257.75039003403936</v>
      </c>
      <c r="S16" s="6550"/>
      <c r="T16" s="1424">
        <v>285</v>
      </c>
      <c r="U16" s="6565"/>
      <c r="V16" s="1470">
        <f>+((R16*R11)+(T11*T16))/(R11+T11)</f>
        <v>264.02018326918</v>
      </c>
      <c r="W16" s="6550"/>
      <c r="X16" s="1424">
        <v>284</v>
      </c>
      <c r="Y16" s="6557">
        <f t="shared" ref="Y16:Y19" si="6">+((Q16*Q8)+(S8*S16)+(W8*W16))/Y8</f>
        <v>0</v>
      </c>
      <c r="Z16" s="1448">
        <f>+((P16*P11)+(T11*T16)+(X11*X16))/Z11</f>
        <v>284.01090511029821</v>
      </c>
      <c r="AA16" s="6562"/>
      <c r="AB16" s="1450">
        <f>(N16*N$11+Z16*Z$11)/AB$11</f>
        <v>267.40130633967857</v>
      </c>
      <c r="AC16" s="6550"/>
      <c r="AD16" s="1424">
        <v>273</v>
      </c>
      <c r="AE16" s="6565"/>
      <c r="AF16" s="1470">
        <f>+((AB16*AB11)+(AD11*AD16))/(AB11+AD11)</f>
        <v>268.29273873690636</v>
      </c>
      <c r="AG16" s="6550"/>
      <c r="AH16" s="1424">
        <v>290</v>
      </c>
      <c r="AI16" s="6565"/>
      <c r="AJ16" s="1470">
        <f>+((AF16*AF11)+(AH11*AH16))/(AF11+AH11)</f>
        <v>270.9752048620976</v>
      </c>
      <c r="AK16" s="6550"/>
      <c r="AL16" s="1424">
        <v>284</v>
      </c>
      <c r="AM16" s="6557">
        <f t="shared" ref="AM16:AM19" si="7">+((AE16*AE8)+(AG8*AG16)+(AK8*AK16))/AM8</f>
        <v>0</v>
      </c>
      <c r="AN16" s="1448">
        <f>+((AD16*AD11)+(AH11*AH16)+(AL11*AL16))/AN11</f>
        <v>282.01543605461131</v>
      </c>
      <c r="AO16" s="6565"/>
      <c r="AP16" s="1470">
        <f>+((AJ16*AJ11)+(AL11*AL16))/(AJ11+AL11)</f>
        <v>272.54201256505502</v>
      </c>
      <c r="AQ16" s="6550"/>
      <c r="AR16" s="1424">
        <v>287</v>
      </c>
      <c r="AS16" s="6565"/>
      <c r="AT16" s="1470">
        <f>+((AP16*AP11)+(AR11*AR16))/(AP11+AR11)</f>
        <v>274.17815529972142</v>
      </c>
      <c r="AU16" s="6550"/>
      <c r="AV16" s="1424">
        <v>316</v>
      </c>
      <c r="AW16" s="6565"/>
      <c r="AX16" s="1470">
        <f>+((AT16*AT11)+(AV11*AV16))/(AT11+AV11)</f>
        <v>277.98469208373331</v>
      </c>
      <c r="AY16" s="6550"/>
      <c r="AZ16" s="1424">
        <v>325</v>
      </c>
      <c r="BA16" s="6557">
        <f t="shared" ref="BA16:BA19" si="8">+((AS16*AS8)+(AU8*AU16)+(AY8*AY16))/BA8</f>
        <v>0</v>
      </c>
      <c r="BB16" s="1448">
        <f>+((AR16*AR11)+(AV11*AV16)+(AZ11*AZ16))/BB11</f>
        <v>308.26656786533192</v>
      </c>
      <c r="BC16" s="6562"/>
      <c r="BD16" s="1450">
        <f>(AN16*AN$11+BB16*BB$11)/BD$11</f>
        <v>295.11755429018029</v>
      </c>
      <c r="BE16" s="6551"/>
      <c r="BF16" s="1470">
        <f>+((AX16*AX11)+(AZ11*AZ16))/(AX11+AZ11)</f>
        <v>281.81389205390775</v>
      </c>
      <c r="BG16" s="670"/>
      <c r="BH16" s="670"/>
      <c r="BI16" s="670"/>
      <c r="BJ16" s="670"/>
    </row>
    <row r="17" spans="1:62" s="183" customFormat="1" ht="15.75" x14ac:dyDescent="0.25">
      <c r="C17" s="5902" t="s">
        <v>721</v>
      </c>
      <c r="D17" s="6573"/>
      <c r="E17" s="6550"/>
      <c r="F17" s="1424">
        <v>262</v>
      </c>
      <c r="G17" s="6550"/>
      <c r="H17" s="1424">
        <v>261</v>
      </c>
      <c r="I17" s="6565"/>
      <c r="J17" s="1470">
        <f>+((F17*F11)+(H11*H17))/(F11+H11)</f>
        <v>261.5378597445237</v>
      </c>
      <c r="K17" s="6550"/>
      <c r="L17" s="1424">
        <v>272</v>
      </c>
      <c r="M17" s="6557">
        <f t="shared" si="5"/>
        <v>0</v>
      </c>
      <c r="N17" s="1448">
        <f>+((F17*F11)+(H11*H17)+(L11*L17))/N11</f>
        <v>265.21449010148064</v>
      </c>
      <c r="O17" s="6550"/>
      <c r="P17" s="1424">
        <v>284</v>
      </c>
      <c r="Q17" s="6565"/>
      <c r="R17" s="1470">
        <f>+((N17*N11)+(P11*P17))/(N11+P11)</f>
        <v>270.65377978441757</v>
      </c>
      <c r="S17" s="6550"/>
      <c r="T17" s="1424">
        <v>276</v>
      </c>
      <c r="U17" s="6565"/>
      <c r="V17" s="1470">
        <f>+((R17*R11)+(T11*T17))/(R11+T11)</f>
        <v>271.88387795400979</v>
      </c>
      <c r="W17" s="6550"/>
      <c r="X17" s="1424">
        <v>278</v>
      </c>
      <c r="Y17" s="6557">
        <f t="shared" si="6"/>
        <v>0</v>
      </c>
      <c r="Z17" s="1448">
        <f>+((P17*P11)+(T11*T17)+(X11*X17))/Z11</f>
        <v>279.33602150537632</v>
      </c>
      <c r="AA17" s="6562"/>
      <c r="AB17" s="1450">
        <f t="shared" ref="AB17:AB19" si="9">(N17*N$11+Z17*Z$11)/AB$11</f>
        <v>272.91889051845357</v>
      </c>
      <c r="AC17" s="6550"/>
      <c r="AD17" s="1424">
        <v>257</v>
      </c>
      <c r="AE17" s="6565"/>
      <c r="AF17" s="1470">
        <f>+((AB17*AB11)+(AD11*AD17))/(AB11+AD11)</f>
        <v>270.38426090714938</v>
      </c>
      <c r="AG17" s="6550"/>
      <c r="AH17" s="1424">
        <v>261</v>
      </c>
      <c r="AI17" s="6565"/>
      <c r="AJ17" s="1470">
        <f>+((AF17*AF11)+(AH11*AH17))/(AF11+AH11)</f>
        <v>269.22460462032967</v>
      </c>
      <c r="AK17" s="6550"/>
      <c r="AL17" s="1424">
        <v>249</v>
      </c>
      <c r="AM17" s="6557">
        <f t="shared" si="7"/>
        <v>0</v>
      </c>
      <c r="AN17" s="1448">
        <f>+((AD17*AD11)+(AH11*AH17)+(AL11*AL17))/AN11</f>
        <v>255.50036221788798</v>
      </c>
      <c r="AO17" s="6565"/>
      <c r="AP17" s="1470">
        <f>+((AJ17*AJ11)+(AL11*AL17))/(AJ11+AL11)</f>
        <v>266.79170137901968</v>
      </c>
      <c r="AQ17" s="6550"/>
      <c r="AR17" s="1424">
        <v>266</v>
      </c>
      <c r="AS17" s="6565"/>
      <c r="AT17" s="1470">
        <f>+((AP17*AP11)+(AR11*AR17))/(AP11+AR11)</f>
        <v>266.70210824130692</v>
      </c>
      <c r="AU17" s="6550"/>
      <c r="AV17" s="1424">
        <v>289</v>
      </c>
      <c r="AW17" s="6565"/>
      <c r="AX17" s="1470">
        <f>+((AT17*AT11)+(AV11*AV17))/(AT11+AV11)</f>
        <v>268.73161568636743</v>
      </c>
      <c r="AY17" s="6550"/>
      <c r="AZ17" s="1424">
        <v>296</v>
      </c>
      <c r="BA17" s="6557">
        <f t="shared" si="8"/>
        <v>0</v>
      </c>
      <c r="BB17" s="1448">
        <f>+((AR17*AR11)+(AV11*AV17)+(AZ11*AZ17))/BB11</f>
        <v>282.82330406576813</v>
      </c>
      <c r="BC17" s="6562"/>
      <c r="BD17" s="1450">
        <f>(AN17*AN$11+BB17*BB$11)/BD$11</f>
        <v>269.13742812482553</v>
      </c>
      <c r="BE17" s="6551"/>
      <c r="BF17" s="1470">
        <f>+((AX17*AX11)+(AZ11*AZ17))/(AX11+AZ11)</f>
        <v>270.95251141221127</v>
      </c>
      <c r="BG17" s="670"/>
      <c r="BH17" s="670"/>
      <c r="BI17" s="670"/>
      <c r="BJ17" s="670"/>
    </row>
    <row r="18" spans="1:62" s="183" customFormat="1" ht="15.75" x14ac:dyDescent="0.25">
      <c r="C18" s="5902" t="s">
        <v>722</v>
      </c>
      <c r="D18" s="6573"/>
      <c r="E18" s="6550"/>
      <c r="F18" s="1424">
        <v>267</v>
      </c>
      <c r="G18" s="6550"/>
      <c r="H18" s="1424">
        <v>266</v>
      </c>
      <c r="I18" s="6565"/>
      <c r="J18" s="1470">
        <f>+((F18*F11)+(H11*H18))/(F11+H11)</f>
        <v>266.5378597445237</v>
      </c>
      <c r="K18" s="6550"/>
      <c r="L18" s="1424">
        <v>271</v>
      </c>
      <c r="M18" s="6557">
        <f t="shared" si="5"/>
        <v>0</v>
      </c>
      <c r="N18" s="1448">
        <f>+((F18*F11)+(H11*H18)+(L11*L18))/N11</f>
        <v>268.10595574779569</v>
      </c>
      <c r="O18" s="6550"/>
      <c r="P18" s="1424">
        <v>292</v>
      </c>
      <c r="Q18" s="6565"/>
      <c r="R18" s="1470">
        <f>+((N18*N11)+(P11*P18))/(N11+P11)</f>
        <v>275.02440667549166</v>
      </c>
      <c r="S18" s="6550"/>
      <c r="T18" s="1424">
        <v>287</v>
      </c>
      <c r="U18" s="6565"/>
      <c r="V18" s="1470">
        <f>+((R18*R11)+(T11*T18))/(R11+T11)</f>
        <v>277.77984039019776</v>
      </c>
      <c r="W18" s="6550"/>
      <c r="X18" s="1424">
        <v>287</v>
      </c>
      <c r="Y18" s="6557">
        <f t="shared" si="6"/>
        <v>0</v>
      </c>
      <c r="Z18" s="1448">
        <f>+((P18*P11)+(T11*T18)+(X11*X18))/Z11</f>
        <v>288.69728965746589</v>
      </c>
      <c r="AA18" s="6562"/>
      <c r="AB18" s="1450">
        <f t="shared" si="9"/>
        <v>279.34013970577115</v>
      </c>
      <c r="AC18" s="6550"/>
      <c r="AD18" s="1424">
        <v>275</v>
      </c>
      <c r="AE18" s="6565"/>
      <c r="AF18" s="1470">
        <f>+((AB18*AB11)+(AD11*AD18))/(AB11+AD11)</f>
        <v>278.64909615580183</v>
      </c>
      <c r="AG18" s="6550"/>
      <c r="AH18" s="1424">
        <v>267</v>
      </c>
      <c r="AI18" s="6565"/>
      <c r="AJ18" s="1470">
        <f>+((AF18*AF11)+(AH11*AH18))/(AF11+AH11)</f>
        <v>277.20956375932388</v>
      </c>
      <c r="AK18" s="6550"/>
      <c r="AL18" s="1424">
        <v>243</v>
      </c>
      <c r="AM18" s="6557">
        <f t="shared" si="7"/>
        <v>0</v>
      </c>
      <c r="AN18" s="1448">
        <f>+((AD18*AD11)+(AH11*AH18)+(AL11*AL18))/AN11</f>
        <v>261.58445249373085</v>
      </c>
      <c r="AO18" s="6565"/>
      <c r="AP18" s="1470">
        <f>+((AJ18*AJ11)+(AL11*AL18))/(AJ11+AL11)</f>
        <v>273.09435062580241</v>
      </c>
      <c r="AQ18" s="6550"/>
      <c r="AR18" s="1424">
        <v>273</v>
      </c>
      <c r="AS18" s="6565"/>
      <c r="AT18" s="1470">
        <f>+((AP18*AP11)+(AR11*AR18))/(AP11+AR11)</f>
        <v>273.08367340730206</v>
      </c>
      <c r="AU18" s="6550"/>
      <c r="AV18" s="1424">
        <v>295</v>
      </c>
      <c r="AW18" s="6565"/>
      <c r="AX18" s="1470">
        <f>+((AT18*AT11)+(AV11*AV18))/(AT11+AV11)</f>
        <v>275.07845158945543</v>
      </c>
      <c r="AY18" s="6550"/>
      <c r="AZ18" s="1424">
        <v>304</v>
      </c>
      <c r="BA18" s="6557">
        <f t="shared" si="8"/>
        <v>0</v>
      </c>
      <c r="BB18" s="1448">
        <f>+((AR18*AR11)+(AV11*AV18)+(AZ11*AZ18))/BB11</f>
        <v>289.81498517979981</v>
      </c>
      <c r="BC18" s="6562"/>
      <c r="BD18" s="1450">
        <f>(AN18*AN$11+BB18*BB$11)/BD$11</f>
        <v>275.67450315413384</v>
      </c>
      <c r="BE18" s="6551"/>
      <c r="BF18" s="1470">
        <f>+((AX18*AX11)+(AZ11*AZ18))/(AX11+AZ11)</f>
        <v>277.4339906089657</v>
      </c>
      <c r="BG18" s="670"/>
      <c r="BH18" s="670"/>
      <c r="BI18" s="670"/>
      <c r="BJ18" s="670"/>
    </row>
    <row r="19" spans="1:62" s="183" customFormat="1" ht="15.75" x14ac:dyDescent="0.25">
      <c r="C19" s="5903" t="s">
        <v>723</v>
      </c>
      <c r="D19" s="6573"/>
      <c r="E19" s="6550"/>
      <c r="F19" s="1424">
        <v>211</v>
      </c>
      <c r="G19" s="6550"/>
      <c r="H19" s="1424">
        <v>228</v>
      </c>
      <c r="I19" s="6565"/>
      <c r="J19" s="1470">
        <f>+((F19*F11)+(H11*H19))/(F11+H11)</f>
        <v>218.85638434309752</v>
      </c>
      <c r="K19" s="6550"/>
      <c r="L19" s="1424">
        <v>242</v>
      </c>
      <c r="M19" s="6557">
        <f t="shared" si="5"/>
        <v>0</v>
      </c>
      <c r="N19" s="1448">
        <f>+((F19*F11)+(H11*H19)+(L11*L19))/N11</f>
        <v>226.98956912327401</v>
      </c>
      <c r="O19" s="6550"/>
      <c r="P19" s="1424">
        <v>258</v>
      </c>
      <c r="Q19" s="6565"/>
      <c r="R19" s="1470">
        <f>+((N19*N11)+(P11*P19))/(N11+P11)</f>
        <v>235.96854907337368</v>
      </c>
      <c r="S19" s="6550"/>
      <c r="T19" s="1424">
        <v>260</v>
      </c>
      <c r="U19" s="6565"/>
      <c r="V19" s="1470">
        <f>+((R19*R11)+(T11*T19))/(R11+T11)</f>
        <v>241.49788430564277</v>
      </c>
      <c r="W19" s="6550"/>
      <c r="X19" s="1424">
        <v>248</v>
      </c>
      <c r="Y19" s="6557">
        <f t="shared" si="6"/>
        <v>0</v>
      </c>
      <c r="Z19" s="1448">
        <f>+((P19*P11)+(T11*T19)+(X11*X19))/Z11</f>
        <v>255.59893581642834</v>
      </c>
      <c r="AA19" s="6562"/>
      <c r="AB19" s="1450">
        <f t="shared" si="9"/>
        <v>242.59821739064697</v>
      </c>
      <c r="AC19" s="6550"/>
      <c r="AD19" s="1424">
        <v>235</v>
      </c>
      <c r="AE19" s="6565"/>
      <c r="AF19" s="1470">
        <f>+((AB19*AB11)+(AD11*AD19))/(AB11+AD11)</f>
        <v>241.38841782772298</v>
      </c>
      <c r="AG19" s="6550"/>
      <c r="AH19" s="1424">
        <v>238</v>
      </c>
      <c r="AI19" s="6565"/>
      <c r="AJ19" s="1470">
        <f>+((AF19*AF11)+(AH11*AH19))/(AF11+AH11)</f>
        <v>240.96969545041807</v>
      </c>
      <c r="AK19" s="6550"/>
      <c r="AL19" s="1424">
        <v>232</v>
      </c>
      <c r="AM19" s="6557">
        <f t="shared" si="7"/>
        <v>0</v>
      </c>
      <c r="AN19" s="1448">
        <f>+((AD19*AD11)+(AH11*AH19)+(AL11*AL19))/AN11</f>
        <v>234.90119810532181</v>
      </c>
      <c r="AO19" s="6565"/>
      <c r="AP19" s="1470">
        <f>+((AJ19*AJ11)+(AL11*AL19))/(AJ11+AL11)</f>
        <v>239.89069284223112</v>
      </c>
      <c r="AQ19" s="6550"/>
      <c r="AR19" s="1424">
        <v>248</v>
      </c>
      <c r="AS19" s="6565"/>
      <c r="AT19" s="1470">
        <f>+((AP19*AP11)+(AR11*AR19))/(AP11+AR11)</f>
        <v>240.80838515930239</v>
      </c>
      <c r="AU19" s="6550"/>
      <c r="AV19" s="1424">
        <v>281</v>
      </c>
      <c r="AW19" s="6565"/>
      <c r="AX19" s="1470">
        <f>+((AT19*AT11)+(AV11*AV19))/(AT11+AV11)</f>
        <v>244.46654183307854</v>
      </c>
      <c r="AY19" s="6550"/>
      <c r="AZ19" s="1424">
        <v>285</v>
      </c>
      <c r="BA19" s="6557">
        <f t="shared" si="8"/>
        <v>0</v>
      </c>
      <c r="BB19" s="1448">
        <f>+((AR19*AR11)+(AV11*AV19)+(AZ11*AZ19))/BB11</f>
        <v>270.24127565572394</v>
      </c>
      <c r="BC19" s="6562"/>
      <c r="BD19" s="1450">
        <f>(AN19*AN$11+BB19*BB$11)/BD$11</f>
        <v>252.5396709093954</v>
      </c>
      <c r="BE19" s="6551"/>
      <c r="BF19" s="1470">
        <f>+((AX19*AX11)+(AZ11*AZ19))/(AX11+AZ11)</f>
        <v>247.76782228157137</v>
      </c>
      <c r="BG19" s="670"/>
      <c r="BH19" s="670"/>
      <c r="BI19" s="670"/>
      <c r="BJ19" s="670"/>
    </row>
    <row r="20" spans="1:62" s="183" customFormat="1" ht="15.75" x14ac:dyDescent="0.25">
      <c r="C20" s="2444" t="s">
        <v>534</v>
      </c>
      <c r="D20" s="1455"/>
      <c r="E20" s="1454"/>
      <c r="F20" s="1455"/>
      <c r="G20" s="1454"/>
      <c r="H20" s="1455"/>
      <c r="I20" s="5926"/>
      <c r="J20" s="5927"/>
      <c r="K20" s="1454"/>
      <c r="L20" s="1455"/>
      <c r="M20" s="5920"/>
      <c r="N20" s="5921"/>
      <c r="O20" s="1454"/>
      <c r="P20" s="1455"/>
      <c r="Q20" s="5926"/>
      <c r="R20" s="5927"/>
      <c r="S20" s="1454"/>
      <c r="T20" s="1455"/>
      <c r="U20" s="5926"/>
      <c r="V20" s="5927"/>
      <c r="W20" s="1454"/>
      <c r="X20" s="1455"/>
      <c r="Y20" s="5920"/>
      <c r="Z20" s="5921"/>
      <c r="AA20" s="5913"/>
      <c r="AB20" s="5914"/>
      <c r="AC20" s="1454"/>
      <c r="AD20" s="1455"/>
      <c r="AE20" s="5926"/>
      <c r="AF20" s="5927"/>
      <c r="AG20" s="1454"/>
      <c r="AH20" s="1455"/>
      <c r="AI20" s="5926"/>
      <c r="AJ20" s="5927"/>
      <c r="AK20" s="1454"/>
      <c r="AL20" s="1455"/>
      <c r="AM20" s="5920"/>
      <c r="AN20" s="5921"/>
      <c r="AO20" s="5926"/>
      <c r="AP20" s="5927"/>
      <c r="AQ20" s="1454"/>
      <c r="AR20" s="1455"/>
      <c r="AS20" s="5926"/>
      <c r="AT20" s="5927"/>
      <c r="AU20" s="1454"/>
      <c r="AV20" s="1455"/>
      <c r="AW20" s="5926"/>
      <c r="AX20" s="5927"/>
      <c r="AY20" s="1454"/>
      <c r="AZ20" s="1455"/>
      <c r="BA20" s="5920"/>
      <c r="BB20" s="5921"/>
      <c r="BC20" s="5913"/>
      <c r="BD20" s="5914"/>
      <c r="BE20" s="5926"/>
      <c r="BF20" s="5927"/>
      <c r="BG20" s="670"/>
      <c r="BH20" s="670"/>
      <c r="BI20" s="670"/>
      <c r="BJ20" s="670"/>
    </row>
    <row r="21" spans="1:62" s="183" customFormat="1" ht="15.75" x14ac:dyDescent="0.25">
      <c r="C21" s="5901" t="s">
        <v>535</v>
      </c>
      <c r="D21" s="1444" t="s">
        <v>52</v>
      </c>
      <c r="E21" s="2140">
        <f>+E33*$E$36/1000</f>
        <v>14379.060951786045</v>
      </c>
      <c r="F21" s="1444">
        <v>9420</v>
      </c>
      <c r="G21" s="2140">
        <f>+G33*$E$36/1000</f>
        <v>11990.716074785785</v>
      </c>
      <c r="H21" s="1444">
        <v>0</v>
      </c>
      <c r="I21" s="5821">
        <f>+E21+G21</f>
        <v>26369.777026571828</v>
      </c>
      <c r="J21" s="1469">
        <f>+F21+H21</f>
        <v>9420</v>
      </c>
      <c r="K21" s="2140">
        <f>+K33*$E$36/1000</f>
        <v>11726.160949948848</v>
      </c>
      <c r="L21" s="1444">
        <v>8136</v>
      </c>
      <c r="M21" s="1446">
        <f>E21+G21+K21</f>
        <v>38095.937976520676</v>
      </c>
      <c r="N21" s="1447">
        <f>F21+H21+L21</f>
        <v>17556</v>
      </c>
      <c r="O21" s="2140">
        <f>+O33*$E$36/1000</f>
        <v>14562.779788478354</v>
      </c>
      <c r="P21" s="1444">
        <v>12050</v>
      </c>
      <c r="Q21" s="5821">
        <f>+M21+O21</f>
        <v>52658.717764999034</v>
      </c>
      <c r="R21" s="1469">
        <f>+N21+P21</f>
        <v>29606</v>
      </c>
      <c r="S21" s="2140">
        <f>+S33*$E$36/1000</f>
        <v>14562.779788478379</v>
      </c>
      <c r="T21" s="1444">
        <v>13441</v>
      </c>
      <c r="U21" s="5821">
        <f>+Q21+S21</f>
        <v>67221.497553477413</v>
      </c>
      <c r="V21" s="1469">
        <f>+R21+T21</f>
        <v>43047</v>
      </c>
      <c r="W21" s="2140">
        <f>+W33*$E$36/1000</f>
        <v>14134.102502862952</v>
      </c>
      <c r="X21" s="1444">
        <v>10481</v>
      </c>
      <c r="Y21" s="1446">
        <f>O21+S21+W21</f>
        <v>43259.662079819682</v>
      </c>
      <c r="Z21" s="1447">
        <f>P21+T21+X21</f>
        <v>35972</v>
      </c>
      <c r="AA21" s="1449">
        <f>+U21+W21</f>
        <v>81355.600056340365</v>
      </c>
      <c r="AB21" s="1451">
        <f>+V21+X21</f>
        <v>53528</v>
      </c>
      <c r="AC21" s="2140">
        <f>+AC33*$E$36/1000</f>
        <v>14991.457074093802</v>
      </c>
      <c r="AD21" s="1444">
        <v>3439</v>
      </c>
      <c r="AE21" s="5821">
        <f>+AA21+AC21</f>
        <v>96347.057130434172</v>
      </c>
      <c r="AF21" s="1469">
        <f>+AB21+AD21</f>
        <v>56967</v>
      </c>
      <c r="AG21" s="2140">
        <f>+AG33*$E$36/1000</f>
        <v>14501.540176247581</v>
      </c>
      <c r="AH21" s="1444">
        <v>5597</v>
      </c>
      <c r="AI21" s="5821">
        <f>+AE21+AG21</f>
        <v>110848.59730668175</v>
      </c>
      <c r="AJ21" s="1469">
        <f>+AF21+AH21</f>
        <v>62564</v>
      </c>
      <c r="AK21" s="2140">
        <f>+AK33*$E$36/1000</f>
        <v>15052.696686324571</v>
      </c>
      <c r="AL21" s="1444">
        <v>5964</v>
      </c>
      <c r="AM21" s="1446">
        <f>AC21+AG21+AK21</f>
        <v>44545.69393666595</v>
      </c>
      <c r="AN21" s="1447">
        <f>AD21+AH21+AL21</f>
        <v>15000</v>
      </c>
      <c r="AO21" s="5821">
        <f>+AI21+AK21</f>
        <v>125901.29399300633</v>
      </c>
      <c r="AP21" s="1469">
        <f>+AJ21+AL21</f>
        <v>68528</v>
      </c>
      <c r="AQ21" s="2140">
        <f>+AQ33*$E$36/1000</f>
        <v>15052.696686324571</v>
      </c>
      <c r="AR21" s="1444">
        <v>6974</v>
      </c>
      <c r="AS21" s="5821">
        <f>+AO21+AQ21</f>
        <v>140953.99067933089</v>
      </c>
      <c r="AT21" s="1469">
        <f>+AP21+AR21</f>
        <v>75502</v>
      </c>
      <c r="AU21" s="2140">
        <f>+AU33*$E$36/1000</f>
        <v>14011.623278401428</v>
      </c>
      <c r="AV21" s="1444">
        <v>9991</v>
      </c>
      <c r="AW21" s="5821">
        <f>+AS21+AU21</f>
        <v>154965.61395773233</v>
      </c>
      <c r="AX21" s="1469">
        <f>+AT21+AV21</f>
        <v>85493</v>
      </c>
      <c r="AY21" s="2140">
        <f>+AY33*$E$36/1000</f>
        <v>15113.93629855534</v>
      </c>
      <c r="AZ21" s="1444">
        <v>14296</v>
      </c>
      <c r="BA21" s="1446">
        <f>AQ21+AU21+AY21</f>
        <v>44178.256263281335</v>
      </c>
      <c r="BB21" s="1447">
        <f>AR21+AV21+AZ21</f>
        <v>31261</v>
      </c>
      <c r="BC21" s="1449">
        <f t="shared" ref="BC21:BC22" si="10">AM21+BA21</f>
        <v>88723.950199947285</v>
      </c>
      <c r="BD21" s="1449">
        <f t="shared" ref="BD21:BD22" si="11">AN21+BB21</f>
        <v>46261</v>
      </c>
      <c r="BE21" s="5821">
        <f>+AW21+AY21</f>
        <v>170079.55025628768</v>
      </c>
      <c r="BF21" s="1469">
        <f>+AX21+AZ21</f>
        <v>99789</v>
      </c>
      <c r="BG21" s="670"/>
      <c r="BH21" s="670"/>
      <c r="BI21" s="670"/>
      <c r="BJ21" s="670"/>
    </row>
    <row r="22" spans="1:62" s="183" customFormat="1" ht="15.75" x14ac:dyDescent="0.25">
      <c r="C22" s="6568" t="s">
        <v>529</v>
      </c>
      <c r="D22" s="1444" t="s">
        <v>52</v>
      </c>
      <c r="E22" s="2140">
        <f>+E21*E23/100</f>
        <v>3594.7652379465117</v>
      </c>
      <c r="F22" s="1444">
        <v>1700</v>
      </c>
      <c r="G22" s="2140">
        <f>+G21*G23/100</f>
        <v>2997.6790186964463</v>
      </c>
      <c r="H22" s="1444">
        <v>0</v>
      </c>
      <c r="I22" s="5821">
        <f>+E22+G22</f>
        <v>6592.444256642958</v>
      </c>
      <c r="J22" s="1469">
        <f>+F22+H22</f>
        <v>1700</v>
      </c>
      <c r="K22" s="2140">
        <f>+K21*K23/100</f>
        <v>2931.5402374872119</v>
      </c>
      <c r="L22" s="1444">
        <v>2354</v>
      </c>
      <c r="M22" s="1446">
        <f>E22+G22+K22</f>
        <v>9523.9844941301708</v>
      </c>
      <c r="N22" s="1447">
        <f>F22+H22+L22</f>
        <v>4054</v>
      </c>
      <c r="O22" s="2140">
        <f>+O21*O23/100</f>
        <v>3640.6949471195885</v>
      </c>
      <c r="P22" s="1444">
        <v>3115</v>
      </c>
      <c r="Q22" s="5821">
        <f>+M22+O22</f>
        <v>13164.679441249758</v>
      </c>
      <c r="R22" s="1469">
        <f>+N22+P22</f>
        <v>7169</v>
      </c>
      <c r="S22" s="2140">
        <f>+S21*S23/100</f>
        <v>3640.6949471195949</v>
      </c>
      <c r="T22" s="1444">
        <v>3473</v>
      </c>
      <c r="U22" s="5821">
        <f>+Q22+S22</f>
        <v>16805.374388369353</v>
      </c>
      <c r="V22" s="1469">
        <f>+R22+T22</f>
        <v>10642</v>
      </c>
      <c r="W22" s="2140">
        <f>+W21*W23/100</f>
        <v>3533.5256257157375</v>
      </c>
      <c r="X22" s="1444">
        <v>1140</v>
      </c>
      <c r="Y22" s="1446">
        <f>O22+S22+W22</f>
        <v>10814.91551995492</v>
      </c>
      <c r="Z22" s="1447">
        <f>P22+T22+X22</f>
        <v>7728</v>
      </c>
      <c r="AA22" s="1449">
        <f>+U22+W22</f>
        <v>20338.900014085091</v>
      </c>
      <c r="AB22" s="1451">
        <f>+V22+X22</f>
        <v>11782</v>
      </c>
      <c r="AC22" s="2140">
        <f>+AC21*AC23/100</f>
        <v>3747.8642685234504</v>
      </c>
      <c r="AD22" s="1444">
        <v>447</v>
      </c>
      <c r="AE22" s="5821">
        <f>+AA22+AC22</f>
        <v>24086.764282608543</v>
      </c>
      <c r="AF22" s="1469">
        <f>+AB22+AD22</f>
        <v>12229</v>
      </c>
      <c r="AG22" s="2140">
        <f>+AG21*AG23/100</f>
        <v>3625.3850440618953</v>
      </c>
      <c r="AH22" s="1444">
        <v>938</v>
      </c>
      <c r="AI22" s="5821">
        <f>+AE22+AG22</f>
        <v>27712.149326670438</v>
      </c>
      <c r="AJ22" s="1469">
        <f>+AF22+AH22</f>
        <v>13167</v>
      </c>
      <c r="AK22" s="2140">
        <f>+AK21*AK23/100</f>
        <v>3763.1741715811427</v>
      </c>
      <c r="AL22" s="1444">
        <v>656</v>
      </c>
      <c r="AM22" s="1446">
        <f>AC22+AG22+AK22</f>
        <v>11136.423484166487</v>
      </c>
      <c r="AN22" s="1447">
        <f>AD22+AH22+AL22</f>
        <v>2041</v>
      </c>
      <c r="AO22" s="5821">
        <f>+AI22+AK22</f>
        <v>31475.323498251582</v>
      </c>
      <c r="AP22" s="1469">
        <f>+AJ22+AL22</f>
        <v>13823</v>
      </c>
      <c r="AQ22" s="2140">
        <f>+AQ21*AQ23/100</f>
        <v>3763.1741715811427</v>
      </c>
      <c r="AR22" s="1444">
        <v>1743</v>
      </c>
      <c r="AS22" s="5821">
        <f>+AO22+AQ22</f>
        <v>35238.497669832723</v>
      </c>
      <c r="AT22" s="1469">
        <f>+AP22+AR22</f>
        <v>15566</v>
      </c>
      <c r="AU22" s="2140">
        <f>+AU21*AU23/100</f>
        <v>3502.9058196003571</v>
      </c>
      <c r="AV22" s="1444">
        <v>1699</v>
      </c>
      <c r="AW22" s="5821">
        <f>+AS22+AU22</f>
        <v>38741.403489433083</v>
      </c>
      <c r="AX22" s="1469">
        <f>+AT22+AV22</f>
        <v>17265</v>
      </c>
      <c r="AY22" s="2140">
        <f>+AY21*AY23/100</f>
        <v>3778.484074638835</v>
      </c>
      <c r="AZ22" s="1444">
        <v>2859</v>
      </c>
      <c r="BA22" s="1446">
        <f>AQ22+AU22+AY22</f>
        <v>11044.564065820334</v>
      </c>
      <c r="BB22" s="1447">
        <f>AR22+AV22+AZ22</f>
        <v>6301</v>
      </c>
      <c r="BC22" s="1449">
        <f t="shared" si="10"/>
        <v>22180.987549986821</v>
      </c>
      <c r="BD22" s="1449">
        <f t="shared" si="11"/>
        <v>8342</v>
      </c>
      <c r="BE22" s="5821">
        <f>+AW22+AY22</f>
        <v>42519.88756407192</v>
      </c>
      <c r="BF22" s="1469">
        <f>+AX22+AZ22</f>
        <v>20124</v>
      </c>
      <c r="BG22" s="670"/>
      <c r="BH22" s="670"/>
      <c r="BI22" s="670"/>
      <c r="BJ22" s="670"/>
    </row>
    <row r="23" spans="1:62" s="183" customFormat="1" ht="15.75" x14ac:dyDescent="0.25">
      <c r="C23" s="6568"/>
      <c r="D23" s="1444" t="s">
        <v>51</v>
      </c>
      <c r="E23" s="5820">
        <v>25</v>
      </c>
      <c r="F23" s="1445">
        <f>+F22/F21*100</f>
        <v>18.046709129511676</v>
      </c>
      <c r="G23" s="5820">
        <v>25</v>
      </c>
      <c r="H23" s="1445" t="e">
        <f>+H22/H21*100</f>
        <v>#DIV/0!</v>
      </c>
      <c r="I23" s="5824">
        <f>+I22/I21*100</f>
        <v>25.000000000000007</v>
      </c>
      <c r="J23" s="5925">
        <f>+J22/J21*100</f>
        <v>18.046709129511676</v>
      </c>
      <c r="K23" s="5820">
        <v>25</v>
      </c>
      <c r="L23" s="1445">
        <f>+L22/L21*100</f>
        <v>28.933136676499512</v>
      </c>
      <c r="M23" s="5822">
        <f>+M22/M21*100</f>
        <v>25.000000000000007</v>
      </c>
      <c r="N23" s="5919">
        <f>+N22/N21*100</f>
        <v>23.091820460241514</v>
      </c>
      <c r="O23" s="5820">
        <v>25</v>
      </c>
      <c r="P23" s="1424">
        <f>+P22/P21*100</f>
        <v>25.850622406639008</v>
      </c>
      <c r="Q23" s="5824">
        <f>+Q22/Q21*100</f>
        <v>25</v>
      </c>
      <c r="R23" s="5925">
        <f>+R22/R21*100</f>
        <v>24.214686212254271</v>
      </c>
      <c r="S23" s="5820">
        <v>25</v>
      </c>
      <c r="T23" s="1445">
        <f>+T22/T21*100</f>
        <v>25.838851275946727</v>
      </c>
      <c r="U23" s="5824">
        <f>+U22/U21*100</f>
        <v>25</v>
      </c>
      <c r="V23" s="5925">
        <f>+V22/V21*100</f>
        <v>24.721815689827398</v>
      </c>
      <c r="W23" s="5820">
        <v>25</v>
      </c>
      <c r="X23" s="1424">
        <f>+X22/X21*100</f>
        <v>10.87682473046465</v>
      </c>
      <c r="Y23" s="5822">
        <f>+Y22/Y21*100</f>
        <v>25</v>
      </c>
      <c r="Z23" s="5919">
        <f>+Z22/Z21*100</f>
        <v>21.483375959079286</v>
      </c>
      <c r="AA23" s="1449">
        <f>+AA22/AA21*100</f>
        <v>25</v>
      </c>
      <c r="AB23" s="5912">
        <f>+AB22/AB21*100</f>
        <v>22.010910177850846</v>
      </c>
      <c r="AC23" s="5820">
        <v>25</v>
      </c>
      <c r="AD23" s="1424">
        <f>+AD22/AD21*100</f>
        <v>12.997964524571096</v>
      </c>
      <c r="AE23" s="5824">
        <f>+AE22/AE21*100</f>
        <v>25</v>
      </c>
      <c r="AF23" s="5925">
        <f>+AF22/AF21*100</f>
        <v>21.466814120455702</v>
      </c>
      <c r="AG23" s="5820">
        <v>25</v>
      </c>
      <c r="AH23" s="1424">
        <f>+AH22/AH21*100</f>
        <v>16.758978023941399</v>
      </c>
      <c r="AI23" s="5824">
        <f>+AI22/AI21*100</f>
        <v>25</v>
      </c>
      <c r="AJ23" s="5925">
        <f>+AJ22/AJ21*100</f>
        <v>21.045649255162711</v>
      </c>
      <c r="AK23" s="5820">
        <v>25</v>
      </c>
      <c r="AL23" s="1424">
        <f>+AL22/AL21*100</f>
        <v>10.999329309188465</v>
      </c>
      <c r="AM23" s="5822">
        <f>+AM22/AM21*100</f>
        <v>25</v>
      </c>
      <c r="AN23" s="5919">
        <f>+AN22/AN21*100</f>
        <v>13.606666666666667</v>
      </c>
      <c r="AO23" s="5824">
        <f>+AO22/AO21*100</f>
        <v>25</v>
      </c>
      <c r="AP23" s="5925">
        <f>+AP22/AP21*100</f>
        <v>20.171316833994862</v>
      </c>
      <c r="AQ23" s="5820">
        <v>25</v>
      </c>
      <c r="AR23" s="1424">
        <f>+AR22/AR21*100</f>
        <v>24.992830513335246</v>
      </c>
      <c r="AS23" s="5824">
        <f>+AS22/AS21*100</f>
        <v>25</v>
      </c>
      <c r="AT23" s="5925">
        <f>+AT22/AT21*100</f>
        <v>20.616672406028979</v>
      </c>
      <c r="AU23" s="5820">
        <v>25</v>
      </c>
      <c r="AV23" s="1424">
        <f>+AV22/AV21*100</f>
        <v>17.005304774296867</v>
      </c>
      <c r="AW23" s="5824">
        <f>+AW22/AW21*100</f>
        <v>25</v>
      </c>
      <c r="AX23" s="5925">
        <f>+AX22/AX21*100</f>
        <v>20.194635818137158</v>
      </c>
      <c r="AY23" s="5820">
        <v>25</v>
      </c>
      <c r="AZ23" s="1424">
        <f t="shared" ref="AZ23:BF23" si="12">+AZ22/AZ21*100</f>
        <v>19.998601007274765</v>
      </c>
      <c r="BA23" s="5822">
        <f t="shared" si="12"/>
        <v>25</v>
      </c>
      <c r="BB23" s="5919">
        <f t="shared" si="12"/>
        <v>20.156105051022042</v>
      </c>
      <c r="BC23" s="1449">
        <f t="shared" si="12"/>
        <v>25</v>
      </c>
      <c r="BD23" s="5912">
        <f t="shared" si="12"/>
        <v>18.032467953567799</v>
      </c>
      <c r="BE23" s="5824">
        <f t="shared" si="12"/>
        <v>25</v>
      </c>
      <c r="BF23" s="5925">
        <f t="shared" si="12"/>
        <v>20.166551423503591</v>
      </c>
      <c r="BG23" s="670"/>
      <c r="BH23" s="670"/>
      <c r="BI23" s="670"/>
      <c r="BJ23" s="670"/>
    </row>
    <row r="24" spans="1:62" s="183" customFormat="1" ht="15.75" x14ac:dyDescent="0.25">
      <c r="C24" s="5901" t="s">
        <v>536</v>
      </c>
      <c r="D24" s="1444" t="s">
        <v>52</v>
      </c>
      <c r="E24" s="2140">
        <f>+E21-E22</f>
        <v>10784.295713839532</v>
      </c>
      <c r="F24" s="1444">
        <f>+F21-F22</f>
        <v>7720</v>
      </c>
      <c r="G24" s="2140">
        <f>+G21-G22</f>
        <v>8993.0370560893389</v>
      </c>
      <c r="H24" s="1444">
        <f>+H21-H22</f>
        <v>0</v>
      </c>
      <c r="I24" s="5821">
        <f>+E24+G24</f>
        <v>19777.332769928871</v>
      </c>
      <c r="J24" s="1469">
        <f>+F24+H24</f>
        <v>7720</v>
      </c>
      <c r="K24" s="2140">
        <f>+K21-K22</f>
        <v>8794.6207124616358</v>
      </c>
      <c r="L24" s="1444">
        <f>+L21-L22</f>
        <v>5782</v>
      </c>
      <c r="M24" s="1446">
        <f>E24+G24+K24</f>
        <v>28571.953482390505</v>
      </c>
      <c r="N24" s="1447">
        <f>F24+H24+L24</f>
        <v>13502</v>
      </c>
      <c r="O24" s="2140">
        <f>+O21-O22</f>
        <v>10922.084841358766</v>
      </c>
      <c r="P24" s="1444">
        <f>+P21-P22</f>
        <v>8935</v>
      </c>
      <c r="Q24" s="5821">
        <f>+M24+O24</f>
        <v>39494.038323749272</v>
      </c>
      <c r="R24" s="1469">
        <f>+N24+P24</f>
        <v>22437</v>
      </c>
      <c r="S24" s="2140">
        <f>+S21-S22</f>
        <v>10922.084841358785</v>
      </c>
      <c r="T24" s="1444">
        <f>+T21-T22</f>
        <v>9968</v>
      </c>
      <c r="U24" s="5821">
        <f>+Q24+S24</f>
        <v>50416.12316510806</v>
      </c>
      <c r="V24" s="1469">
        <f>+R24+T24</f>
        <v>32405</v>
      </c>
      <c r="W24" s="2140">
        <f>+W21-W22</f>
        <v>10600.576877147214</v>
      </c>
      <c r="X24" s="1444">
        <f>+X21-X22</f>
        <v>9341</v>
      </c>
      <c r="Y24" s="1446">
        <f>O24+S24+W24</f>
        <v>32444.746559864765</v>
      </c>
      <c r="Z24" s="1447">
        <f>P24+T24+X24</f>
        <v>28244</v>
      </c>
      <c r="AA24" s="1449">
        <f>+U24+W24</f>
        <v>61016.700042255274</v>
      </c>
      <c r="AB24" s="1451">
        <f>+V24+X24</f>
        <v>41746</v>
      </c>
      <c r="AC24" s="2140">
        <f>+AC21-AC22</f>
        <v>11243.592805570352</v>
      </c>
      <c r="AD24" s="1444">
        <f>+AD21-AD22</f>
        <v>2992</v>
      </c>
      <c r="AE24" s="5821">
        <f>+AA24+AC24</f>
        <v>72260.292847825622</v>
      </c>
      <c r="AF24" s="1469">
        <f>+AB24+AD24</f>
        <v>44738</v>
      </c>
      <c r="AG24" s="2140">
        <f>+AG21-AG22</f>
        <v>10876.155132185686</v>
      </c>
      <c r="AH24" s="1444">
        <f>+AH21-AH22</f>
        <v>4659</v>
      </c>
      <c r="AI24" s="5821">
        <f>+AE24+AG24</f>
        <v>83136.447980011304</v>
      </c>
      <c r="AJ24" s="1469">
        <f>+AF24+AH24</f>
        <v>49397</v>
      </c>
      <c r="AK24" s="2140">
        <f>+AK21-AK22</f>
        <v>11289.522514743428</v>
      </c>
      <c r="AL24" s="1444">
        <f>+AL21-AL22</f>
        <v>5308</v>
      </c>
      <c r="AM24" s="1446">
        <f>AC24+AG24+AK24</f>
        <v>33409.270452499462</v>
      </c>
      <c r="AN24" s="1447">
        <f>AD24+AH24+AL24</f>
        <v>12959</v>
      </c>
      <c r="AO24" s="5821">
        <f>+AI24+AK24</f>
        <v>94425.970494754729</v>
      </c>
      <c r="AP24" s="1469">
        <f>+AJ24+AL24</f>
        <v>54705</v>
      </c>
      <c r="AQ24" s="2140">
        <f>+AQ21-AQ22</f>
        <v>11289.522514743428</v>
      </c>
      <c r="AR24" s="1444">
        <f>+AR21-AR22</f>
        <v>5231</v>
      </c>
      <c r="AS24" s="5821">
        <f>+AO24+AQ24</f>
        <v>105715.49300949815</v>
      </c>
      <c r="AT24" s="1469">
        <f>+AP24+AR24</f>
        <v>59936</v>
      </c>
      <c r="AU24" s="2140">
        <f>+AU21-AU22</f>
        <v>10508.717458801071</v>
      </c>
      <c r="AV24" s="1444">
        <f>+AV21-AV22</f>
        <v>8292</v>
      </c>
      <c r="AW24" s="5821">
        <f>+AS24+AU24</f>
        <v>116224.21046829922</v>
      </c>
      <c r="AX24" s="1469">
        <f>+AT24+AV24</f>
        <v>68228</v>
      </c>
      <c r="AY24" s="2140">
        <f>+AY21-AY22</f>
        <v>11335.452223916505</v>
      </c>
      <c r="AZ24" s="1444">
        <f>+AZ21-AZ22</f>
        <v>11437</v>
      </c>
      <c r="BA24" s="1446">
        <f>AQ24+AU24+AY24</f>
        <v>33133.692197461001</v>
      </c>
      <c r="BB24" s="1447">
        <f>AR24+AV24+AZ24</f>
        <v>24960</v>
      </c>
      <c r="BC24" s="1449">
        <f t="shared" ref="BC24:BC25" si="13">AM24+BA24</f>
        <v>66542.962649960464</v>
      </c>
      <c r="BD24" s="1449">
        <f t="shared" ref="BD24:BD25" si="14">AN24+BB24</f>
        <v>37919</v>
      </c>
      <c r="BE24" s="5821">
        <f>+AW24+AY24</f>
        <v>127559.66269221573</v>
      </c>
      <c r="BF24" s="1469">
        <f>+AX24+AZ24</f>
        <v>79665</v>
      </c>
      <c r="BG24" s="670"/>
      <c r="BH24" s="670"/>
      <c r="BI24" s="670"/>
      <c r="BJ24" s="670"/>
    </row>
    <row r="25" spans="1:62" s="183" customFormat="1" ht="15.75" x14ac:dyDescent="0.25">
      <c r="C25" s="5901" t="s">
        <v>574</v>
      </c>
      <c r="D25" s="1444" t="s">
        <v>52</v>
      </c>
      <c r="E25" s="2140">
        <f>+E24*E26/100</f>
        <v>5607.8337711965569</v>
      </c>
      <c r="F25" s="1444">
        <v>4020</v>
      </c>
      <c r="G25" s="2140">
        <f>+G24*G26/100</f>
        <v>4676.3792691664557</v>
      </c>
      <c r="H25" s="1444">
        <v>0</v>
      </c>
      <c r="I25" s="5821">
        <f>+E25+G25</f>
        <v>10284.213040363013</v>
      </c>
      <c r="J25" s="1469">
        <f>+F25+H25</f>
        <v>4020</v>
      </c>
      <c r="K25" s="2140">
        <f>+K24*K26/100</f>
        <v>4573.2027704800512</v>
      </c>
      <c r="L25" s="1444">
        <v>2990</v>
      </c>
      <c r="M25" s="1446">
        <f>E25+G25+K25</f>
        <v>14857.415810843064</v>
      </c>
      <c r="N25" s="1447">
        <f>F25+H25+L25</f>
        <v>7010</v>
      </c>
      <c r="O25" s="2140">
        <f>+O24*O26/100</f>
        <v>5679.4841175065585</v>
      </c>
      <c r="P25" s="1444">
        <v>4639</v>
      </c>
      <c r="Q25" s="5821">
        <f>+M25+O25</f>
        <v>20536.899928349623</v>
      </c>
      <c r="R25" s="1469">
        <f>+N25+P25</f>
        <v>11649</v>
      </c>
      <c r="S25" s="2140">
        <f>+S24*S26/100</f>
        <v>5679.4841175065676</v>
      </c>
      <c r="T25" s="1444">
        <v>5040</v>
      </c>
      <c r="U25" s="5821">
        <f>+Q25+S25</f>
        <v>26216.38404585619</v>
      </c>
      <c r="V25" s="1469">
        <f>+R25+T25</f>
        <v>16689</v>
      </c>
      <c r="W25" s="2140">
        <f>+W24*W26/100</f>
        <v>5512.299976116552</v>
      </c>
      <c r="X25" s="1444">
        <v>4557</v>
      </c>
      <c r="Y25" s="1446">
        <f>O25+S25+W25</f>
        <v>16871.268211129678</v>
      </c>
      <c r="Z25" s="1447">
        <f>P25+T25+X25</f>
        <v>14236</v>
      </c>
      <c r="AA25" s="1449">
        <f>+U25+W25</f>
        <v>31728.684021972742</v>
      </c>
      <c r="AB25" s="1451">
        <f>+V25+X25</f>
        <v>21246</v>
      </c>
      <c r="AC25" s="2140">
        <f>+AC24*AC26/100</f>
        <v>5846.6682588965832</v>
      </c>
      <c r="AD25" s="1444">
        <v>1556</v>
      </c>
      <c r="AE25" s="5821">
        <f>+AA25+AC25</f>
        <v>37575.352280869323</v>
      </c>
      <c r="AF25" s="1469">
        <f>+AB25+AD25</f>
        <v>22802</v>
      </c>
      <c r="AG25" s="2140">
        <f>+AG24*AG26/100</f>
        <v>5655.6006687365561</v>
      </c>
      <c r="AH25" s="1444">
        <v>2420</v>
      </c>
      <c r="AI25" s="5821">
        <f>+AE25+AG25</f>
        <v>43230.952949605882</v>
      </c>
      <c r="AJ25" s="1469">
        <f>+AF25+AH25</f>
        <v>25222</v>
      </c>
      <c r="AK25" s="2140">
        <f>+AK24*AK26/100</f>
        <v>5870.5517076665828</v>
      </c>
      <c r="AL25" s="1444">
        <v>2760</v>
      </c>
      <c r="AM25" s="1446">
        <f>AC25+AG25+AK25</f>
        <v>17372.820635299722</v>
      </c>
      <c r="AN25" s="1447">
        <f>AD25+AH25+AL25</f>
        <v>6736</v>
      </c>
      <c r="AO25" s="5821">
        <f>+AI25+AK25</f>
        <v>49101.504657272468</v>
      </c>
      <c r="AP25" s="1469">
        <f>+AJ25+AL25</f>
        <v>27982</v>
      </c>
      <c r="AQ25" s="2140">
        <f>+AQ24*AQ26/100</f>
        <v>5870.5517076665828</v>
      </c>
      <c r="AR25" s="1444">
        <v>2720</v>
      </c>
      <c r="AS25" s="5821">
        <f>+AO25+AQ25</f>
        <v>54972.056364939053</v>
      </c>
      <c r="AT25" s="1469">
        <f>+AP25+AR25</f>
        <v>30702</v>
      </c>
      <c r="AU25" s="2140">
        <f>+AU24*AU26/100</f>
        <v>5464.5330785765573</v>
      </c>
      <c r="AV25" s="1444">
        <v>4312</v>
      </c>
      <c r="AW25" s="5821">
        <f>+AS25+AU25</f>
        <v>60436.589443515608</v>
      </c>
      <c r="AX25" s="1469">
        <f>+AT25+AV25</f>
        <v>35014</v>
      </c>
      <c r="AY25" s="2140">
        <f>+AY24*AY26/100</f>
        <v>5894.4351564365825</v>
      </c>
      <c r="AZ25" s="1444">
        <v>5947</v>
      </c>
      <c r="BA25" s="1446">
        <f>AQ25+AU25+AY25</f>
        <v>17229.519942679723</v>
      </c>
      <c r="BB25" s="1447">
        <f>AR25+AV25+AZ25</f>
        <v>12979</v>
      </c>
      <c r="BC25" s="1449">
        <f t="shared" si="13"/>
        <v>34602.340577979441</v>
      </c>
      <c r="BD25" s="1449">
        <f t="shared" si="14"/>
        <v>19715</v>
      </c>
      <c r="BE25" s="5821">
        <f>+AW25+AY25</f>
        <v>66331.024599952187</v>
      </c>
      <c r="BF25" s="1469">
        <f>+AX25+AZ25</f>
        <v>40961</v>
      </c>
      <c r="BG25" s="670"/>
      <c r="BH25" s="670"/>
      <c r="BI25" s="670"/>
      <c r="BJ25" s="670"/>
    </row>
    <row r="26" spans="1:62" s="183" customFormat="1" ht="15.75" x14ac:dyDescent="0.25">
      <c r="C26" s="5901" t="s">
        <v>537</v>
      </c>
      <c r="D26" s="1444" t="s">
        <v>51</v>
      </c>
      <c r="E26" s="5820">
        <v>52</v>
      </c>
      <c r="F26" s="1424">
        <f>+F25/F24*100</f>
        <v>52.07253886010362</v>
      </c>
      <c r="G26" s="5820">
        <v>52</v>
      </c>
      <c r="H26" s="1445" t="e">
        <f>+H25/H24*100</f>
        <v>#DIV/0!</v>
      </c>
      <c r="I26" s="5824">
        <f>+I25/I24*100</f>
        <v>52</v>
      </c>
      <c r="J26" s="5925">
        <f>+J25/J24*100</f>
        <v>52.07253886010362</v>
      </c>
      <c r="K26" s="5820">
        <v>52</v>
      </c>
      <c r="L26" s="1424">
        <f>+L25/L24*100</f>
        <v>51.712210307851961</v>
      </c>
      <c r="M26" s="5822">
        <f>+M25/M24*100</f>
        <v>52</v>
      </c>
      <c r="N26" s="5919">
        <f>+N25/N24*100</f>
        <v>51.918234335653977</v>
      </c>
      <c r="O26" s="5820">
        <v>52</v>
      </c>
      <c r="P26" s="1424">
        <f>+P25/P24*100</f>
        <v>51.919418019026295</v>
      </c>
      <c r="Q26" s="5824">
        <f>+Q25/Q24*100</f>
        <v>52</v>
      </c>
      <c r="R26" s="5925">
        <f>+R25/R24*100</f>
        <v>51.918705709319426</v>
      </c>
      <c r="S26" s="5820">
        <v>52</v>
      </c>
      <c r="T26" s="1424">
        <f>+T25/T24*100</f>
        <v>50.561797752808992</v>
      </c>
      <c r="U26" s="5824">
        <f>+U25/U24*100</f>
        <v>52</v>
      </c>
      <c r="V26" s="5925">
        <f>+V25/V24*100</f>
        <v>51.501311525999071</v>
      </c>
      <c r="W26" s="5820">
        <v>52</v>
      </c>
      <c r="X26" s="1424">
        <f>+X25/X24*100</f>
        <v>48.784926667380368</v>
      </c>
      <c r="Y26" s="5822">
        <f>+Y25/Y24*100</f>
        <v>52</v>
      </c>
      <c r="Z26" s="5919">
        <f>+Z25/Z24*100</f>
        <v>50.403625548789122</v>
      </c>
      <c r="AA26" s="1449">
        <f>+AA25/AA24*100</f>
        <v>52</v>
      </c>
      <c r="AB26" s="5912">
        <f>+AB25/AB24*100</f>
        <v>50.893498778326062</v>
      </c>
      <c r="AC26" s="5820">
        <v>52</v>
      </c>
      <c r="AD26" s="1424">
        <f>+AD25/AD24*100</f>
        <v>52.005347593582883</v>
      </c>
      <c r="AE26" s="5824">
        <f>+AE25/AE24*100</f>
        <v>52</v>
      </c>
      <c r="AF26" s="5925">
        <f>+AF25/AF24*100</f>
        <v>50.967857302516876</v>
      </c>
      <c r="AG26" s="5820">
        <v>52</v>
      </c>
      <c r="AH26" s="1424">
        <f>+AH25/AH24*100</f>
        <v>51.942476926379058</v>
      </c>
      <c r="AI26" s="5824">
        <f>+AI25/AI24*100</f>
        <v>52</v>
      </c>
      <c r="AJ26" s="5925">
        <f>+AJ25/AJ24*100</f>
        <v>51.059780958357791</v>
      </c>
      <c r="AK26" s="5820">
        <v>52</v>
      </c>
      <c r="AL26" s="1424">
        <f>+AL25/AL24*100</f>
        <v>51.99698568198945</v>
      </c>
      <c r="AM26" s="5822">
        <f>+AM25/AM24*100</f>
        <v>52</v>
      </c>
      <c r="AN26" s="5919">
        <f>+AN25/AN24*100</f>
        <v>51.979319391928392</v>
      </c>
      <c r="AO26" s="5824">
        <f>+AO25/AO24*100</f>
        <v>52.000000000000014</v>
      </c>
      <c r="AP26" s="5925">
        <f>+AP25/AP24*100</f>
        <v>51.15071748469061</v>
      </c>
      <c r="AQ26" s="5820">
        <v>52</v>
      </c>
      <c r="AR26" s="1424">
        <f>+AR25/AR24*100</f>
        <v>51.997705983559548</v>
      </c>
      <c r="AS26" s="5824">
        <f>+AS25/AS24*100</f>
        <v>52.000000000000014</v>
      </c>
      <c r="AT26" s="5925">
        <f>+AT25/AT24*100</f>
        <v>51.224639615589965</v>
      </c>
      <c r="AU26" s="5820">
        <v>52</v>
      </c>
      <c r="AV26" s="1424">
        <f>+AV25/AV24*100</f>
        <v>52.001929570670526</v>
      </c>
      <c r="AW26" s="5824">
        <f>+AW25/AW24*100</f>
        <v>52.000000000000014</v>
      </c>
      <c r="AX26" s="5925">
        <f>+AX25/AX24*100</f>
        <v>51.319106525180281</v>
      </c>
      <c r="AY26" s="5820">
        <v>52</v>
      </c>
      <c r="AZ26" s="1424">
        <f t="shared" ref="AZ26:BF26" si="15">+AZ25/AZ24*100</f>
        <v>51.997901547608635</v>
      </c>
      <c r="BA26" s="5822">
        <f t="shared" si="15"/>
        <v>52</v>
      </c>
      <c r="BB26" s="5919">
        <f t="shared" si="15"/>
        <v>51.999198717948715</v>
      </c>
      <c r="BC26" s="1449">
        <f t="shared" si="15"/>
        <v>52</v>
      </c>
      <c r="BD26" s="5912">
        <f t="shared" si="15"/>
        <v>51.992404862997446</v>
      </c>
      <c r="BE26" s="5824">
        <f t="shared" si="15"/>
        <v>52</v>
      </c>
      <c r="BF26" s="5925">
        <f t="shared" si="15"/>
        <v>51.416556831732883</v>
      </c>
      <c r="BG26" s="670"/>
      <c r="BH26" s="670"/>
      <c r="BI26" s="670"/>
      <c r="BJ26" s="670"/>
    </row>
    <row r="27" spans="1:62" s="183" customFormat="1" ht="15.75" x14ac:dyDescent="0.25">
      <c r="C27" s="5901" t="s">
        <v>630</v>
      </c>
      <c r="D27" s="1444" t="s">
        <v>52</v>
      </c>
      <c r="E27" s="2140">
        <f>+E25*E28/100</f>
        <v>1121.5667542393114</v>
      </c>
      <c r="F27" s="1424">
        <v>200</v>
      </c>
      <c r="G27" s="2140">
        <f>+G25*G28/100</f>
        <v>935.27585383329119</v>
      </c>
      <c r="H27" s="1424">
        <v>0</v>
      </c>
      <c r="I27" s="5821">
        <f>+E27+G27</f>
        <v>2056.8426080726026</v>
      </c>
      <c r="J27" s="1470">
        <f>+F27+H27</f>
        <v>200</v>
      </c>
      <c r="K27" s="2140">
        <f>+K25*K28/100</f>
        <v>914.64055409601019</v>
      </c>
      <c r="L27" s="1424">
        <v>150</v>
      </c>
      <c r="M27" s="1446">
        <f>E27+G27+K27</f>
        <v>2971.4831621686126</v>
      </c>
      <c r="N27" s="1448">
        <f>+J27+L27</f>
        <v>350</v>
      </c>
      <c r="O27" s="2140">
        <f>+O25*O28/100</f>
        <v>1135.8968235013117</v>
      </c>
      <c r="P27" s="1424">
        <v>125</v>
      </c>
      <c r="Q27" s="5821">
        <f>+M27+O27</f>
        <v>4107.3799856699243</v>
      </c>
      <c r="R27" s="1470">
        <f>+N27+P27</f>
        <v>475</v>
      </c>
      <c r="S27" s="2140">
        <f>+S25*S28/100</f>
        <v>1135.8968235013135</v>
      </c>
      <c r="T27" s="1424">
        <v>310</v>
      </c>
      <c r="U27" s="5821">
        <f>+Q27+S27</f>
        <v>5243.2768091712378</v>
      </c>
      <c r="V27" s="1470">
        <f>+R27+T27</f>
        <v>785</v>
      </c>
      <c r="W27" s="2140">
        <f>+W25*W28/100</f>
        <v>1102.4599952233104</v>
      </c>
      <c r="X27" s="1424">
        <v>300</v>
      </c>
      <c r="Y27" s="1446">
        <f>O27+S27+W27</f>
        <v>3374.2536422259354</v>
      </c>
      <c r="Z27" s="1447">
        <f>P27+T27+X27</f>
        <v>735</v>
      </c>
      <c r="AA27" s="1449">
        <f>+U27+W27</f>
        <v>6345.736804394548</v>
      </c>
      <c r="AB27" s="1450">
        <f>+V27+X27</f>
        <v>1085</v>
      </c>
      <c r="AC27" s="2140">
        <f>+AC25*AC28/100</f>
        <v>1169.3336517793168</v>
      </c>
      <c r="AD27" s="1424">
        <v>350</v>
      </c>
      <c r="AE27" s="5821">
        <f>+AA27+AC27</f>
        <v>7515.0704561738648</v>
      </c>
      <c r="AF27" s="1470">
        <f>+AB27+AD27</f>
        <v>1435</v>
      </c>
      <c r="AG27" s="2140">
        <f>+AG25*AG28/100</f>
        <v>1131.1201337473112</v>
      </c>
      <c r="AH27" s="1424">
        <v>200</v>
      </c>
      <c r="AI27" s="5821">
        <f>+AE27+AG27</f>
        <v>8646.1905899211761</v>
      </c>
      <c r="AJ27" s="1470">
        <f>+AF27+AH27</f>
        <v>1635</v>
      </c>
      <c r="AK27" s="2140">
        <f>+AK25*AK28/100</f>
        <v>1174.1103415333166</v>
      </c>
      <c r="AL27" s="1424">
        <v>100</v>
      </c>
      <c r="AM27" s="1446">
        <f>AC27+AG27+AK27</f>
        <v>3474.5641270599444</v>
      </c>
      <c r="AN27" s="1447">
        <f>AD27+AH27+AL27</f>
        <v>650</v>
      </c>
      <c r="AO27" s="5821">
        <f>+AI27+AK27</f>
        <v>9820.3009314544925</v>
      </c>
      <c r="AP27" s="1470">
        <f>+AJ27+AL27</f>
        <v>1735</v>
      </c>
      <c r="AQ27" s="2140">
        <f>+AQ25*AQ28/100</f>
        <v>1174.1103415333166</v>
      </c>
      <c r="AR27" s="1424">
        <v>350</v>
      </c>
      <c r="AS27" s="5821">
        <f>+AO27+AQ27</f>
        <v>10994.411272987809</v>
      </c>
      <c r="AT27" s="1470">
        <f>+AP27+AR27</f>
        <v>2085</v>
      </c>
      <c r="AU27" s="2140">
        <f>+AU25*AU28/100</f>
        <v>1092.9066157153115</v>
      </c>
      <c r="AV27" s="1424">
        <v>250</v>
      </c>
      <c r="AW27" s="5821">
        <f>+AS27+AU27</f>
        <v>12087.317888703121</v>
      </c>
      <c r="AX27" s="1470">
        <f>+AT27+AV27</f>
        <v>2335</v>
      </c>
      <c r="AY27" s="2140">
        <f>+AY25*AY28/100</f>
        <v>1178.8870312873164</v>
      </c>
      <c r="AZ27" s="1424">
        <v>310</v>
      </c>
      <c r="BA27" s="1446">
        <f>AQ27+AU27+AY27</f>
        <v>3445.9039885359448</v>
      </c>
      <c r="BB27" s="1447">
        <f>AR27+AV27+AZ27</f>
        <v>910</v>
      </c>
      <c r="BC27" s="1449">
        <f>AM27+BA27</f>
        <v>6920.4681155958897</v>
      </c>
      <c r="BD27" s="1449">
        <f>AN27+BB27</f>
        <v>1560</v>
      </c>
      <c r="BE27" s="5821">
        <f>+AW27+AY27</f>
        <v>13266.204919990438</v>
      </c>
      <c r="BF27" s="1470">
        <f>+AX27+AZ27</f>
        <v>2645</v>
      </c>
      <c r="BG27" s="670"/>
      <c r="BH27" s="670"/>
      <c r="BI27" s="670"/>
      <c r="BJ27" s="670"/>
    </row>
    <row r="28" spans="1:62" s="183" customFormat="1" ht="15.75" x14ac:dyDescent="0.25">
      <c r="C28" s="5901" t="s">
        <v>631</v>
      </c>
      <c r="D28" s="1444" t="s">
        <v>51</v>
      </c>
      <c r="E28" s="5820">
        <v>20</v>
      </c>
      <c r="F28" s="1445">
        <f>+F27/F25*100</f>
        <v>4.9751243781094532</v>
      </c>
      <c r="G28" s="5820">
        <v>20</v>
      </c>
      <c r="H28" s="1445" t="e">
        <f>+H27/H25*100</f>
        <v>#DIV/0!</v>
      </c>
      <c r="I28" s="5824">
        <f>+I27/I25*100</f>
        <v>20</v>
      </c>
      <c r="J28" s="5925">
        <f>+J27/J25*100</f>
        <v>4.9751243781094532</v>
      </c>
      <c r="K28" s="5820">
        <v>20</v>
      </c>
      <c r="L28" s="1445">
        <f>+L27/L25*100</f>
        <v>5.0167224080267561</v>
      </c>
      <c r="M28" s="5822">
        <f>+M27/M25*100</f>
        <v>20</v>
      </c>
      <c r="N28" s="5919">
        <f>+N27/N25*100</f>
        <v>4.9928673323823105</v>
      </c>
      <c r="O28" s="5820">
        <v>20</v>
      </c>
      <c r="P28" s="1445">
        <f>+P27/P25*100</f>
        <v>2.6945462384134511</v>
      </c>
      <c r="Q28" s="5824">
        <f>+Q27/Q25*100</f>
        <v>20</v>
      </c>
      <c r="R28" s="5925">
        <f>+R27/R25*100</f>
        <v>4.0776032277448708</v>
      </c>
      <c r="S28" s="5820">
        <v>20</v>
      </c>
      <c r="T28" s="1445">
        <f>+T27/T25*100</f>
        <v>6.1507936507936503</v>
      </c>
      <c r="U28" s="5824">
        <f>+U27/U25*100</f>
        <v>20</v>
      </c>
      <c r="V28" s="5925">
        <f>+V27/V25*100</f>
        <v>4.7036970459584158</v>
      </c>
      <c r="W28" s="5820">
        <v>20</v>
      </c>
      <c r="X28" s="1445">
        <f>+X27/X25*100</f>
        <v>6.5832784726793951</v>
      </c>
      <c r="Y28" s="5822">
        <f>+Y27/Y25*100</f>
        <v>20</v>
      </c>
      <c r="Z28" s="5919">
        <f>+Z27/Z25*100</f>
        <v>5.1629671255970777</v>
      </c>
      <c r="AA28" s="5823">
        <f>+AA27/AA25*100</f>
        <v>20</v>
      </c>
      <c r="AB28" s="5912">
        <f>+AB27/AB25*100</f>
        <v>5.1068436411559821</v>
      </c>
      <c r="AC28" s="5820">
        <v>20</v>
      </c>
      <c r="AD28" s="1445">
        <f>+AD27/AD25*100</f>
        <v>22.493573264781492</v>
      </c>
      <c r="AE28" s="5824">
        <f>+AE27/AE25*100</f>
        <v>20</v>
      </c>
      <c r="AF28" s="5925">
        <f>+AF27/AF25*100</f>
        <v>6.2933076045960874</v>
      </c>
      <c r="AG28" s="5820">
        <v>20</v>
      </c>
      <c r="AH28" s="1445">
        <f>+AH27/AH25*100</f>
        <v>8.2644628099173563</v>
      </c>
      <c r="AI28" s="5824">
        <f>+AI27/AI25*100</f>
        <v>20</v>
      </c>
      <c r="AJ28" s="5925">
        <f>+AJ27/AJ25*100</f>
        <v>6.4824359685988417</v>
      </c>
      <c r="AK28" s="5820">
        <v>20</v>
      </c>
      <c r="AL28" s="1445">
        <f>+AL27/AL25*100</f>
        <v>3.6231884057971016</v>
      </c>
      <c r="AM28" s="5822">
        <f>+AM27/AM25*100</f>
        <v>20</v>
      </c>
      <c r="AN28" s="5919">
        <f>+AN27/AN25*100</f>
        <v>9.6496437054631823</v>
      </c>
      <c r="AO28" s="5824">
        <f>+AO27/AO25*100</f>
        <v>20</v>
      </c>
      <c r="AP28" s="5925">
        <f>+AP27/AP25*100</f>
        <v>6.2004145522121368</v>
      </c>
      <c r="AQ28" s="5820">
        <v>20</v>
      </c>
      <c r="AR28" s="1445">
        <f>+AR27/AR25*100</f>
        <v>12.867647058823529</v>
      </c>
      <c r="AS28" s="5824">
        <f>+AS27/AS25*100</f>
        <v>19.999999999999996</v>
      </c>
      <c r="AT28" s="5925">
        <f>+AT27/AT25*100</f>
        <v>6.7910885284346296</v>
      </c>
      <c r="AU28" s="5820">
        <v>20</v>
      </c>
      <c r="AV28" s="1445">
        <f>+AV27/AV25*100</f>
        <v>5.7977736549165115</v>
      </c>
      <c r="AW28" s="5824">
        <f>+AW27/AW25*100</f>
        <v>20</v>
      </c>
      <c r="AX28" s="5925">
        <f>+AX27/AX25*100</f>
        <v>6.6687610670017703</v>
      </c>
      <c r="AY28" s="5820">
        <v>20</v>
      </c>
      <c r="AZ28" s="1445">
        <f t="shared" ref="AZ28:BF28" si="16">+AZ27/AZ25*100</f>
        <v>5.2127122919118882</v>
      </c>
      <c r="BA28" s="5822">
        <f t="shared" si="16"/>
        <v>20</v>
      </c>
      <c r="BB28" s="5919">
        <f t="shared" si="16"/>
        <v>7.0113259881346783</v>
      </c>
      <c r="BC28" s="5823">
        <f t="shared" si="16"/>
        <v>20.000000000000004</v>
      </c>
      <c r="BD28" s="5912">
        <f t="shared" si="16"/>
        <v>7.9127567841744861</v>
      </c>
      <c r="BE28" s="5824">
        <f t="shared" si="16"/>
        <v>20</v>
      </c>
      <c r="BF28" s="5925">
        <f t="shared" si="16"/>
        <v>6.4573618808134574</v>
      </c>
      <c r="BG28" s="670"/>
      <c r="BH28" s="670"/>
      <c r="BI28" s="670"/>
      <c r="BJ28" s="670"/>
    </row>
    <row r="29" spans="1:62" s="183" customFormat="1" ht="15.75" x14ac:dyDescent="0.25">
      <c r="C29" s="4023" t="s">
        <v>639</v>
      </c>
      <c r="D29" s="1444"/>
      <c r="E29" s="6550">
        <v>100</v>
      </c>
      <c r="F29" s="1445"/>
      <c r="G29" s="6550">
        <v>100</v>
      </c>
      <c r="H29" s="1445"/>
      <c r="I29" s="6553">
        <f>+((E29*E25)+(G29*G25))/(I25)</f>
        <v>100</v>
      </c>
      <c r="J29" s="5925"/>
      <c r="K29" s="6550">
        <v>90</v>
      </c>
      <c r="L29" s="1445"/>
      <c r="M29" s="6558">
        <f>+((E29*E25)+(G25*G29)+(K25*K29))/M25</f>
        <v>96.921939300411523</v>
      </c>
      <c r="N29" s="5919"/>
      <c r="O29" s="6550">
        <v>90</v>
      </c>
      <c r="P29" s="1445"/>
      <c r="Q29" s="6553">
        <f>+((M29*M25)+(O29*O25))/(Q25)</f>
        <v>95.007675489603201</v>
      </c>
      <c r="R29" s="5925"/>
      <c r="S29" s="6550">
        <v>90</v>
      </c>
      <c r="T29" s="1445"/>
      <c r="U29" s="6553">
        <f>+((Q29*Q25)+(S29*S25))/(U25)</f>
        <v>93.922819036513374</v>
      </c>
      <c r="V29" s="5925"/>
      <c r="W29" s="6550">
        <v>90</v>
      </c>
      <c r="X29" s="1445"/>
      <c r="Y29" s="6558">
        <f>+((O29*O25)+(S25*S29)+(W25*W29))/Y25</f>
        <v>90</v>
      </c>
      <c r="Z29" s="5919"/>
      <c r="AA29" s="6563">
        <f>+((U29*U25)+(W29*W25))/(AA25)</f>
        <v>93.2412983259063</v>
      </c>
      <c r="AB29" s="5912"/>
      <c r="AC29" s="6550">
        <v>100</v>
      </c>
      <c r="AD29" s="1445"/>
      <c r="AE29" s="6553">
        <f>+((AA29*AA25)+(AC29*AC25))/(AE25)</f>
        <v>94.292942133631655</v>
      </c>
      <c r="AF29" s="5925"/>
      <c r="AG29" s="6550">
        <v>100</v>
      </c>
      <c r="AH29" s="1445"/>
      <c r="AI29" s="6553">
        <f>+((AE29*AE25)+(AG29*AG25))/(AI25)</f>
        <v>95.039556262706625</v>
      </c>
      <c r="AJ29" s="5925"/>
      <c r="AK29" s="6550">
        <v>110</v>
      </c>
      <c r="AL29" s="1445"/>
      <c r="AM29" s="6558">
        <f>+((AC29*AC25)+(AG25*AG29)+(AK25*AK29))/AM25</f>
        <v>103.37915864723674</v>
      </c>
      <c r="AN29" s="5919"/>
      <c r="AO29" s="6553">
        <f>+((AI29*AI25)+(AK29*AK25))/(AO25)</f>
        <v>96.82821954588789</v>
      </c>
      <c r="AP29" s="5925"/>
      <c r="AQ29" s="6550">
        <v>110</v>
      </c>
      <c r="AR29" s="1445"/>
      <c r="AS29" s="6553">
        <f>+((AO29*AO25)+(AQ29*AQ25))/(AS25)</f>
        <v>98.234854541030884</v>
      </c>
      <c r="AT29" s="5925"/>
      <c r="AU29" s="6550">
        <v>110</v>
      </c>
      <c r="AV29" s="1445"/>
      <c r="AW29" s="6553">
        <f>+((AS29*AS25)+(AU29*AU25))/(AW25)</f>
        <v>99.298631089753727</v>
      </c>
      <c r="AX29" s="5925"/>
      <c r="AY29" s="6550">
        <v>110</v>
      </c>
      <c r="AZ29" s="1445"/>
      <c r="BA29" s="6558">
        <f>+((AQ29*AQ25)+(AU25*AU29)+(AY25*AY29))/BA25</f>
        <v>110</v>
      </c>
      <c r="BB29" s="5919"/>
      <c r="BC29" s="6563">
        <f>+((AM29*AM25)+(BA29*BA25))/(BC25)</f>
        <v>106.67586968525677</v>
      </c>
      <c r="BD29" s="5912"/>
      <c r="BE29" s="6553">
        <f>+((AW29*AW25)+(AY29*AY25))/(BE25)</f>
        <v>100.24959672773362</v>
      </c>
      <c r="BF29" s="5925"/>
      <c r="BG29" s="670"/>
      <c r="BH29" s="670"/>
      <c r="BI29" s="670"/>
      <c r="BJ29" s="670"/>
    </row>
    <row r="30" spans="1:62" s="183" customFormat="1" ht="15.75" x14ac:dyDescent="0.25">
      <c r="C30" s="5903" t="s">
        <v>724</v>
      </c>
      <c r="D30" s="1444"/>
      <c r="E30" s="6550"/>
      <c r="F30" s="5904">
        <v>105</v>
      </c>
      <c r="G30" s="6550"/>
      <c r="H30" s="5904"/>
      <c r="I30" s="6553"/>
      <c r="J30" s="1471">
        <f>+((F30*F25)+(H25*H30))/(F25+H25)</f>
        <v>105</v>
      </c>
      <c r="K30" s="6550"/>
      <c r="L30" s="5904">
        <v>116</v>
      </c>
      <c r="M30" s="6558">
        <f t="shared" ref="M30:M31" si="17">+((E30*E24)+(G24*G30)+(K24*K30))/M24</f>
        <v>0</v>
      </c>
      <c r="N30" s="1456">
        <f>+((F30*F25)+(H25*H30)+(L25*L30))/N25</f>
        <v>109.69186875891583</v>
      </c>
      <c r="O30" s="6550"/>
      <c r="P30" s="5904">
        <v>115</v>
      </c>
      <c r="Q30" s="6553"/>
      <c r="R30" s="1471">
        <f>+((N30*N25)+(P25*P30))/(N25+P25)</f>
        <v>111.80573439780238</v>
      </c>
      <c r="S30" s="6550"/>
      <c r="T30" s="5904">
        <v>97</v>
      </c>
      <c r="U30" s="6553"/>
      <c r="V30" s="1471">
        <f>+((R30*R25)+(T25*T30))/(R25+T25)</f>
        <v>107.33447180777758</v>
      </c>
      <c r="W30" s="6550"/>
      <c r="X30" s="5904">
        <v>76</v>
      </c>
      <c r="Y30" s="6558">
        <f t="shared" ref="Y30:Y31" si="18">+((Q30*Q24)+(S24*S30)+(W24*W30))/Y24</f>
        <v>0</v>
      </c>
      <c r="Z30" s="1456">
        <f>+((P30*P25)+(T25*T30)+(X25*X30))/Z25</f>
        <v>96.143368923855022</v>
      </c>
      <c r="AA30" s="6563"/>
      <c r="AB30" s="1457">
        <f>(N30*N$25+Z30*Z$25)/AB$25</f>
        <v>100.6136213875553</v>
      </c>
      <c r="AC30" s="6550"/>
      <c r="AD30" s="5904">
        <v>83</v>
      </c>
      <c r="AE30" s="6553"/>
      <c r="AF30" s="1471">
        <f>+((AB30*AB25)+(AD25*AD30))/(AB25+AD25)</f>
        <v>99.411674414525038</v>
      </c>
      <c r="AG30" s="6550"/>
      <c r="AH30" s="5904">
        <v>87</v>
      </c>
      <c r="AI30" s="6553"/>
      <c r="AJ30" s="1471">
        <f>+((AF30*AF25)+(AH25*AH30))/(AF25+AH25)</f>
        <v>98.220799302196497</v>
      </c>
      <c r="AK30" s="6550"/>
      <c r="AL30" s="5904">
        <v>71</v>
      </c>
      <c r="AM30" s="6558">
        <f t="shared" ref="AM30:AM31" si="19">+((AE30*AE24)+(AG24*AG30)+(AK24*AK30))/AM24</f>
        <v>0</v>
      </c>
      <c r="AN30" s="1456">
        <f>+((AD30*AD25)+(AH25*AH30)+(AL25*AL30))/AN25</f>
        <v>79.520190023752974</v>
      </c>
      <c r="AO30" s="6553"/>
      <c r="AP30" s="1471">
        <f>+((AJ30*AJ25)+(AL25*AL30))/(AJ25+AL25)</f>
        <v>95.535880208705592</v>
      </c>
      <c r="AQ30" s="6550"/>
      <c r="AR30" s="5904">
        <v>75</v>
      </c>
      <c r="AS30" s="6553"/>
      <c r="AT30" s="1471">
        <f>+((AP30*AP25)+(AR25*AR30))/(AP25+AR25)</f>
        <v>93.716533124877856</v>
      </c>
      <c r="AU30" s="6550"/>
      <c r="AV30" s="5904">
        <v>96</v>
      </c>
      <c r="AW30" s="6553"/>
      <c r="AX30" s="1471">
        <f>+((AT30*AT25)+(AV25*AV30))/(AT25+AV25)</f>
        <v>93.997743759639008</v>
      </c>
      <c r="AY30" s="6550"/>
      <c r="AZ30" s="5904">
        <v>108</v>
      </c>
      <c r="BA30" s="6558">
        <f t="shared" ref="BA30:BA31" si="20">+((AS30*AS24)+(AU24*AU30)+(AY24*AY30))/BA24</f>
        <v>0</v>
      </c>
      <c r="BB30" s="1456">
        <f>+((AR30*AR25)+(AV25*AV30)+(AZ25*AZ30))/BB25</f>
        <v>97.097465135988898</v>
      </c>
      <c r="BC30" s="6563"/>
      <c r="BD30" s="1457">
        <f>(AN30*AN$25+BB30*BB$25)/BD$25</f>
        <v>91.091858990616288</v>
      </c>
      <c r="BE30" s="6553"/>
      <c r="BF30" s="1471">
        <f>+((AX30*AX25)+(AZ25*AZ30))/(AX25+AZ25)</f>
        <v>96.030687727350411</v>
      </c>
      <c r="BG30" s="670"/>
      <c r="BH30" s="670"/>
      <c r="BI30" s="670"/>
      <c r="BJ30" s="670"/>
    </row>
    <row r="31" spans="1:62" s="183" customFormat="1" ht="16.5" thickBot="1" x14ac:dyDescent="0.3">
      <c r="C31" s="5905" t="s">
        <v>723</v>
      </c>
      <c r="D31" s="5906"/>
      <c r="E31" s="6552"/>
      <c r="F31" s="5907">
        <v>83</v>
      </c>
      <c r="G31" s="6552"/>
      <c r="H31" s="5907"/>
      <c r="I31" s="6554"/>
      <c r="J31" s="1472">
        <f>+((F31*F25)+(H25*H31))/(F25+H25)</f>
        <v>83</v>
      </c>
      <c r="K31" s="6552"/>
      <c r="L31" s="5907">
        <v>89</v>
      </c>
      <c r="M31" s="6559">
        <f t="shared" si="17"/>
        <v>0</v>
      </c>
      <c r="N31" s="1458">
        <f>+((F31*F25)+(H25*H31)+(L25*L31))/N25</f>
        <v>85.559201141226822</v>
      </c>
      <c r="O31" s="6552"/>
      <c r="P31" s="5907">
        <v>90</v>
      </c>
      <c r="Q31" s="6554"/>
      <c r="R31" s="1472">
        <f>+((N31*N25)+(P25*P31))/(N25+P25)</f>
        <v>87.327667610953725</v>
      </c>
      <c r="S31" s="6552"/>
      <c r="T31" s="5907">
        <v>80</v>
      </c>
      <c r="U31" s="6554"/>
      <c r="V31" s="1472">
        <f>+((R31*R25)+(T25*T31))/(R25+T25)</f>
        <v>85.114746240038343</v>
      </c>
      <c r="W31" s="6552"/>
      <c r="X31" s="5907">
        <v>64</v>
      </c>
      <c r="Y31" s="6559">
        <f t="shared" si="18"/>
        <v>0</v>
      </c>
      <c r="Z31" s="1458">
        <f>+((P31*P25)+(T25*T31)+(X25*X31))/Z25</f>
        <v>78.136976678842373</v>
      </c>
      <c r="AA31" s="6564"/>
      <c r="AB31" s="1459">
        <f>(N31*N$25+Z31*Z$25)/AB$25</f>
        <v>80.585898522074743</v>
      </c>
      <c r="AC31" s="6552"/>
      <c r="AD31" s="5907">
        <v>63</v>
      </c>
      <c r="AE31" s="6554"/>
      <c r="AF31" s="1472">
        <f>+((AB31*AB25)+(AD25*AD31))/(AB25+AD25)</f>
        <v>79.385843347074811</v>
      </c>
      <c r="AG31" s="6552"/>
      <c r="AH31" s="5907">
        <v>65</v>
      </c>
      <c r="AI31" s="6554"/>
      <c r="AJ31" s="1472">
        <f>+((AF31*AF25)+(AH25*AH31))/(AF25+AH25)</f>
        <v>78.005550709697872</v>
      </c>
      <c r="AK31" s="6552"/>
      <c r="AL31" s="5907">
        <v>53</v>
      </c>
      <c r="AM31" s="6559">
        <f t="shared" si="19"/>
        <v>0</v>
      </c>
      <c r="AN31" s="1458">
        <f>+((AD31*AD25)+(AH25*AH31)+(AL25*AL31))/AN25</f>
        <v>59.621140142517817</v>
      </c>
      <c r="AO31" s="6554"/>
      <c r="AP31" s="1472">
        <f>+((AJ31*AJ25)+(AL25*AL31))/(AJ25+AL25)</f>
        <v>75.539132299335293</v>
      </c>
      <c r="AQ31" s="6552"/>
      <c r="AR31" s="5907">
        <v>56</v>
      </c>
      <c r="AS31" s="6554"/>
      <c r="AT31" s="1472">
        <f>+((AP31*AP25)+(AR25*AR31))/(AP25+AR25)</f>
        <v>73.80809067813172</v>
      </c>
      <c r="AU31" s="6552"/>
      <c r="AV31" s="5907">
        <v>77</v>
      </c>
      <c r="AW31" s="6554"/>
      <c r="AX31" s="1472">
        <f>+((AT31*AT25)+(AV25*AV31))/(AT25+AV25)</f>
        <v>74.201176672188268</v>
      </c>
      <c r="AY31" s="6552"/>
      <c r="AZ31" s="5907">
        <v>87</v>
      </c>
      <c r="BA31" s="6559">
        <f t="shared" si="20"/>
        <v>0</v>
      </c>
      <c r="BB31" s="1458">
        <f>+((AR31*AR25)+(AV25*AV31)+(AZ25*AZ31))/BB25</f>
        <v>77.181061715078201</v>
      </c>
      <c r="BC31" s="6564"/>
      <c r="BD31" s="1459">
        <f>(AN31*AN$25+BB31*BB$25)/BD$25</f>
        <v>71.181384732437238</v>
      </c>
      <c r="BE31" s="6554"/>
      <c r="BF31" s="1472">
        <f>+((AX31*AX25)+(AZ25*AZ31))/(AX25+AZ25)</f>
        <v>76.059397963916894</v>
      </c>
      <c r="BG31" s="670"/>
      <c r="BH31" s="670"/>
      <c r="BI31" s="670"/>
      <c r="BJ31" s="670"/>
    </row>
    <row r="32" spans="1:62" ht="15.75" thickBot="1" x14ac:dyDescent="0.3">
      <c r="A32" s="183"/>
      <c r="B32" s="183"/>
      <c r="C32" s="724"/>
      <c r="D32" s="183"/>
      <c r="E32" s="183"/>
      <c r="F32" s="183"/>
      <c r="G32" s="183"/>
      <c r="H32" s="183"/>
      <c r="I32" s="183"/>
      <c r="J32" s="183"/>
      <c r="K32" s="183"/>
      <c r="L32" s="183"/>
      <c r="M32" s="183"/>
      <c r="N32" s="183"/>
      <c r="O32" s="183"/>
      <c r="P32" s="183"/>
      <c r="Q32" s="183"/>
      <c r="R32" s="183"/>
      <c r="S32" s="183"/>
      <c r="T32" s="183"/>
      <c r="U32" s="183"/>
      <c r="V32" s="183"/>
      <c r="W32" s="183"/>
      <c r="X32" s="183"/>
      <c r="Y32" s="183"/>
      <c r="Z32" s="183"/>
      <c r="AA32" s="183"/>
      <c r="AB32" s="183"/>
      <c r="AC32" s="183"/>
      <c r="AD32" s="183"/>
      <c r="AE32" s="183"/>
      <c r="AF32" s="183"/>
      <c r="AG32" s="183"/>
      <c r="AH32" s="183"/>
      <c r="AI32" s="183"/>
      <c r="AJ32" s="183"/>
      <c r="AK32" s="183"/>
      <c r="AL32" s="183"/>
      <c r="AM32" s="183"/>
      <c r="AN32" s="183"/>
      <c r="AO32" s="183"/>
      <c r="AP32" s="183"/>
      <c r="AQ32" s="183"/>
      <c r="AR32" s="183"/>
      <c r="AS32" s="183"/>
      <c r="AT32" s="183"/>
      <c r="AU32" s="183"/>
      <c r="AV32" s="183"/>
      <c r="AW32" s="183"/>
      <c r="AX32" s="183"/>
      <c r="AY32" s="183"/>
      <c r="AZ32" s="183"/>
      <c r="BA32" s="183"/>
      <c r="BB32" s="183"/>
      <c r="BC32" s="183"/>
      <c r="BD32" s="183"/>
      <c r="BE32" s="183"/>
      <c r="BF32" s="183"/>
      <c r="BG32" s="26"/>
      <c r="BH32" s="26"/>
      <c r="BI32" s="26"/>
      <c r="BJ32" s="26"/>
    </row>
    <row r="33" spans="1:62" ht="16.5" thickBot="1" x14ac:dyDescent="0.3">
      <c r="A33" s="183"/>
      <c r="B33" s="183"/>
      <c r="C33" s="626" t="s">
        <v>275</v>
      </c>
      <c r="D33" s="1704" t="s">
        <v>52</v>
      </c>
      <c r="E33" s="627">
        <f>+SMS!E5</f>
        <v>221509.43396226401</v>
      </c>
      <c r="F33" s="628">
        <f>+SMS!F5</f>
        <v>215539</v>
      </c>
      <c r="G33" s="627">
        <f>+SMS!G5</f>
        <v>184716.98113207502</v>
      </c>
      <c r="H33" s="628">
        <f>+SMS!H5</f>
        <v>175895</v>
      </c>
      <c r="I33" s="627">
        <f>+SMS!I5</f>
        <v>406226.41509433906</v>
      </c>
      <c r="J33" s="628">
        <f>+SMS!J5</f>
        <v>391434</v>
      </c>
      <c r="K33" s="627">
        <f>+SMS!K5</f>
        <v>180641.509433962</v>
      </c>
      <c r="L33" s="628">
        <f>+SMS!L5</f>
        <v>187063</v>
      </c>
      <c r="M33" s="2005">
        <f>+SMS!M5</f>
        <v>586867.924528301</v>
      </c>
      <c r="N33" s="2006">
        <f>+SMS!N5</f>
        <v>578497</v>
      </c>
      <c r="O33" s="627">
        <f>+SMS!O5</f>
        <v>224339.62264150902</v>
      </c>
      <c r="P33" s="628">
        <f>+SMS!P5</f>
        <v>230148</v>
      </c>
      <c r="Q33" s="627">
        <f>+SMS!Q5</f>
        <v>811207.54716981004</v>
      </c>
      <c r="R33" s="628">
        <f>+SMS!R5</f>
        <v>808645</v>
      </c>
      <c r="S33" s="627">
        <f>+SMS!S5</f>
        <v>224339.62264150943</v>
      </c>
      <c r="T33" s="2642">
        <f>+SMS!T5</f>
        <v>224642</v>
      </c>
      <c r="U33" s="627">
        <f>+SMS!U5</f>
        <v>1035547.1698113194</v>
      </c>
      <c r="V33" s="628">
        <f>+SMS!V5</f>
        <v>1033287</v>
      </c>
      <c r="W33" s="627">
        <f>+SMS!W5</f>
        <v>217735.84905660377</v>
      </c>
      <c r="X33" s="2642">
        <f>+SMS!X5</f>
        <v>210766</v>
      </c>
      <c r="Y33" s="2005">
        <f>+SMS!Y5</f>
        <v>666415.09433962218</v>
      </c>
      <c r="Z33" s="2006">
        <f>+SMS!Z5</f>
        <v>665556</v>
      </c>
      <c r="AA33" s="628">
        <f>+SMS!AA5</f>
        <v>1253283.0188679232</v>
      </c>
      <c r="AB33" s="628">
        <f>+SMS!AB5</f>
        <v>1244053</v>
      </c>
      <c r="AC33" s="627">
        <f>+SMS!AC5</f>
        <v>230943.396226415</v>
      </c>
      <c r="AD33" s="2642">
        <f>+SMS!AD5</f>
        <v>223439</v>
      </c>
      <c r="AE33" s="627">
        <f>+SMS!AE5</f>
        <v>1484226.4150943381</v>
      </c>
      <c r="AF33" s="628">
        <f>+SMS!AF5</f>
        <v>1467492</v>
      </c>
      <c r="AG33" s="627">
        <f>+SMS!AG5</f>
        <v>223396.22641509399</v>
      </c>
      <c r="AH33" s="2642">
        <f>+SMS!AH5</f>
        <v>192334</v>
      </c>
      <c r="AI33" s="627">
        <f>+SMS!AI5</f>
        <v>1707622.6415094321</v>
      </c>
      <c r="AJ33" s="628">
        <f>+SMS!AJ5</f>
        <v>1659826</v>
      </c>
      <c r="AK33" s="627">
        <f>+SMS!AK5</f>
        <v>231886.79245283001</v>
      </c>
      <c r="AL33" s="2642">
        <f>+SMS!AL5</f>
        <v>217585</v>
      </c>
      <c r="AM33" s="2005">
        <f>+SMS!AM5</f>
        <v>686226.41509433906</v>
      </c>
      <c r="AN33" s="2006">
        <f>+SMS!AN5</f>
        <v>633358</v>
      </c>
      <c r="AO33" s="627">
        <f>+SMS!AO5</f>
        <v>1939509.4339622622</v>
      </c>
      <c r="AP33" s="628">
        <f>+SMS!AP5</f>
        <v>1877411</v>
      </c>
      <c r="AQ33" s="627">
        <f>+SMS!AQ5</f>
        <v>231886.79245283001</v>
      </c>
      <c r="AR33" s="2642">
        <f>+SMS!AR5</f>
        <v>217679</v>
      </c>
      <c r="AS33" s="627">
        <f>+SMS!AS5</f>
        <v>2171396.2264150921</v>
      </c>
      <c r="AT33" s="628">
        <f>+SMS!AT5</f>
        <v>2095090</v>
      </c>
      <c r="AU33" s="627">
        <f>+SMS!AU5</f>
        <v>215849.05660377399</v>
      </c>
      <c r="AV33" s="2642">
        <f>+SMS!AV5</f>
        <v>214408</v>
      </c>
      <c r="AW33" s="627">
        <f>+SMS!AW5</f>
        <v>2387245.2830188661</v>
      </c>
      <c r="AX33" s="628">
        <f>+SMS!AX5</f>
        <v>2309498</v>
      </c>
      <c r="AY33" s="627">
        <f>+SMS!AY5</f>
        <v>232830.18867924501</v>
      </c>
      <c r="AZ33" s="2642">
        <f>+SMS!AZ5</f>
        <v>219427</v>
      </c>
      <c r="BA33" s="2005">
        <f>+SMS!BA5</f>
        <v>680566.03773584892</v>
      </c>
      <c r="BB33" s="2006">
        <f>+SMS!BB5</f>
        <v>651514</v>
      </c>
      <c r="BC33" s="628">
        <f>+SMS!BC5</f>
        <v>1366792.452830188</v>
      </c>
      <c r="BD33" s="628">
        <f>+SMS!BD5</f>
        <v>1284872</v>
      </c>
      <c r="BE33" s="2642">
        <f>+SMS!BE5</f>
        <v>2620075.4716981109</v>
      </c>
      <c r="BF33" s="2642">
        <f>+SMS!BF5</f>
        <v>2528925</v>
      </c>
      <c r="BG33" s="26"/>
      <c r="BH33" s="26"/>
      <c r="BI33" s="26"/>
      <c r="BJ33" s="26"/>
    </row>
    <row r="34" spans="1:62" ht="16.5" thickBot="1" x14ac:dyDescent="0.3">
      <c r="C34" s="1714" t="s">
        <v>544</v>
      </c>
      <c r="D34" s="1715"/>
      <c r="E34" s="122"/>
      <c r="F34" s="122"/>
      <c r="G34" s="32"/>
      <c r="H34" s="32"/>
      <c r="I34" s="32"/>
      <c r="M34" s="32"/>
      <c r="N34" s="32"/>
      <c r="P34" s="32"/>
      <c r="Q34" s="32"/>
      <c r="R34" s="32"/>
      <c r="S34" s="32"/>
      <c r="T34" s="2643"/>
      <c r="U34" s="32"/>
      <c r="V34" s="32"/>
      <c r="W34" s="32"/>
      <c r="X34" s="32"/>
      <c r="Y34" s="32"/>
      <c r="Z34" s="32"/>
      <c r="AA34" s="32"/>
      <c r="AB34" s="32"/>
    </row>
    <row r="35" spans="1:62" ht="15.75" x14ac:dyDescent="0.25">
      <c r="C35" s="1504" t="s">
        <v>539</v>
      </c>
      <c r="D35" s="1950" t="s">
        <v>540</v>
      </c>
      <c r="E35" s="1709">
        <v>266.76981766282967</v>
      </c>
      <c r="F35" s="122"/>
      <c r="G35" s="32"/>
      <c r="H35" s="32"/>
      <c r="I35" s="32"/>
      <c r="M35" s="32"/>
      <c r="N35" s="32"/>
      <c r="P35" s="32"/>
      <c r="Q35" s="32"/>
      <c r="R35" s="32"/>
      <c r="S35" s="32"/>
      <c r="T35" s="2643"/>
      <c r="U35" s="32"/>
      <c r="V35" s="32"/>
      <c r="W35" s="32"/>
      <c r="X35" s="32"/>
      <c r="Y35" s="32"/>
      <c r="Z35" s="32"/>
      <c r="AA35" s="32"/>
      <c r="AB35" s="32"/>
    </row>
    <row r="36" spans="1:62" ht="15.75" x14ac:dyDescent="0.25">
      <c r="C36" s="1716" t="s">
        <v>541</v>
      </c>
      <c r="D36" s="1951" t="s">
        <v>540</v>
      </c>
      <c r="E36" s="1709">
        <v>64.913988964621879</v>
      </c>
      <c r="F36" s="122"/>
      <c r="G36" s="32"/>
      <c r="H36" s="32"/>
      <c r="I36" s="32"/>
      <c r="M36" s="32"/>
      <c r="N36" s="32"/>
      <c r="P36" s="32"/>
      <c r="Q36" s="32"/>
      <c r="R36" s="32"/>
      <c r="S36" s="32"/>
      <c r="T36" s="2643"/>
      <c r="U36" s="32"/>
      <c r="V36" s="32"/>
      <c r="W36" s="32"/>
      <c r="X36" s="32"/>
      <c r="Y36" s="32"/>
      <c r="Z36" s="32"/>
      <c r="AA36" s="32"/>
      <c r="AB36" s="32"/>
    </row>
    <row r="37" spans="1:62" ht="15.75" x14ac:dyDescent="0.25">
      <c r="C37" s="1717" t="s">
        <v>533</v>
      </c>
      <c r="D37" s="1637" t="s">
        <v>543</v>
      </c>
      <c r="E37" s="419">
        <v>300</v>
      </c>
      <c r="F37" s="122"/>
      <c r="G37" s="32"/>
      <c r="H37" s="32"/>
      <c r="I37" s="32"/>
      <c r="M37" s="32"/>
      <c r="N37" s="32"/>
      <c r="P37" s="32"/>
      <c r="Q37" s="32"/>
      <c r="R37" s="32"/>
      <c r="S37" s="32"/>
      <c r="T37" s="2643"/>
      <c r="U37" s="32"/>
      <c r="V37" s="32"/>
      <c r="W37" s="32"/>
      <c r="X37" s="32"/>
      <c r="Y37" s="32"/>
      <c r="Z37" s="32"/>
      <c r="AA37" s="32"/>
      <c r="AB37" s="32"/>
    </row>
    <row r="38" spans="1:62" ht="16.5" thickBot="1" x14ac:dyDescent="0.3">
      <c r="C38" s="1500" t="s">
        <v>538</v>
      </c>
      <c r="D38" s="1952" t="s">
        <v>543</v>
      </c>
      <c r="E38" s="419">
        <v>100</v>
      </c>
      <c r="F38" s="122"/>
      <c r="G38" s="32"/>
      <c r="H38" s="32"/>
      <c r="I38" s="32"/>
      <c r="M38" s="32"/>
      <c r="N38" s="32"/>
      <c r="P38" s="32"/>
      <c r="Q38" s="32"/>
      <c r="R38" s="32"/>
      <c r="S38" s="32"/>
      <c r="T38" s="2643"/>
      <c r="U38" s="32"/>
      <c r="V38" s="32"/>
      <c r="W38" s="32"/>
      <c r="X38" s="32"/>
      <c r="Y38" s="32"/>
      <c r="Z38" s="32"/>
      <c r="AA38" s="32"/>
      <c r="AB38" s="32"/>
    </row>
    <row r="39" spans="1:62" ht="11.25" customHeight="1" thickBot="1" x14ac:dyDescent="0.3">
      <c r="C39" s="4"/>
      <c r="D39" s="4"/>
      <c r="G39" s="4"/>
      <c r="H39" s="4"/>
      <c r="I39" s="4"/>
      <c r="M39" s="4"/>
      <c r="N39" s="4"/>
      <c r="P39" s="4"/>
      <c r="Q39" s="4"/>
      <c r="R39" s="4"/>
      <c r="S39" s="4"/>
      <c r="T39" s="2644"/>
      <c r="U39" s="4"/>
      <c r="V39" s="4"/>
      <c r="W39" s="4"/>
      <c r="X39" s="4"/>
      <c r="Y39" s="4"/>
      <c r="Z39" s="4"/>
      <c r="AA39" s="4"/>
      <c r="AB39" s="4"/>
    </row>
    <row r="40" spans="1:62" ht="15" hidden="1" customHeight="1" x14ac:dyDescent="0.25">
      <c r="C40" s="4"/>
      <c r="D40" s="4"/>
      <c r="G40" s="4"/>
      <c r="H40" s="4"/>
      <c r="I40" s="4"/>
      <c r="M40" s="4"/>
      <c r="N40" s="4"/>
      <c r="P40" s="4"/>
      <c r="Q40" s="4"/>
      <c r="R40" s="4"/>
      <c r="S40" s="4"/>
      <c r="T40" s="2644"/>
      <c r="U40" s="4"/>
      <c r="V40" s="4"/>
      <c r="W40" s="4"/>
      <c r="X40" s="4"/>
      <c r="Y40" s="4"/>
      <c r="Z40" s="4"/>
      <c r="AA40" s="4"/>
      <c r="AB40" s="4"/>
    </row>
    <row r="41" spans="1:62" ht="15" hidden="1" customHeight="1" x14ac:dyDescent="0.25">
      <c r="C41" s="4552"/>
      <c r="D41" s="4552"/>
      <c r="G41" s="4"/>
      <c r="H41" s="4"/>
      <c r="I41" s="4"/>
      <c r="M41" s="4"/>
      <c r="N41" s="4"/>
      <c r="P41" s="4"/>
      <c r="Q41" s="4"/>
      <c r="R41" s="4"/>
      <c r="S41" s="4"/>
      <c r="T41" s="2644"/>
      <c r="U41" s="4"/>
      <c r="V41" s="4"/>
      <c r="W41" s="4"/>
      <c r="X41" s="4"/>
      <c r="Y41" s="4"/>
      <c r="Z41" s="4"/>
      <c r="AA41" s="4"/>
      <c r="AB41" s="4"/>
    </row>
    <row r="42" spans="1:62" ht="36" customHeight="1" x14ac:dyDescent="0.25">
      <c r="B42" s="4559" t="s">
        <v>478</v>
      </c>
      <c r="C42" s="6566" t="s">
        <v>1938</v>
      </c>
      <c r="D42" s="6567"/>
      <c r="G42" s="4"/>
      <c r="H42" s="4"/>
      <c r="I42" s="4"/>
      <c r="M42" s="4"/>
      <c r="N42" s="4"/>
      <c r="P42" s="4"/>
      <c r="Q42" s="4"/>
      <c r="R42" s="4"/>
      <c r="S42" s="4"/>
      <c r="T42" s="2644"/>
      <c r="U42" s="4"/>
      <c r="V42" s="4"/>
      <c r="W42" s="4"/>
      <c r="X42" s="4"/>
      <c r="Y42" s="4"/>
      <c r="Z42" s="4"/>
      <c r="AA42" s="4"/>
      <c r="AB42" s="4"/>
      <c r="AK42" s="4550"/>
      <c r="AL42" s="4550"/>
      <c r="AM42" s="4550"/>
      <c r="AN42" s="4550"/>
      <c r="AO42" s="4550"/>
      <c r="AP42" s="4550"/>
      <c r="AQ42" s="4550"/>
      <c r="AR42" s="4550"/>
    </row>
    <row r="43" spans="1:62" ht="15" hidden="1" customHeight="1" x14ac:dyDescent="0.25">
      <c r="B43" s="4560"/>
      <c r="C43" s="4561" t="s">
        <v>530</v>
      </c>
      <c r="D43" s="4562" t="s">
        <v>52</v>
      </c>
      <c r="E43" s="4557"/>
      <c r="F43" s="187">
        <f>+F7*(1-F9/100)</f>
        <v>38657</v>
      </c>
      <c r="G43" s="431"/>
      <c r="H43" s="187">
        <f>+H7*(1-H9/100)</f>
        <v>32346</v>
      </c>
      <c r="I43" s="632"/>
      <c r="J43" s="35">
        <f>+J7*(1-J9/100)</f>
        <v>71003</v>
      </c>
      <c r="K43" s="431"/>
      <c r="L43" s="187">
        <f>+L7*(1-L9/100)</f>
        <v>38000</v>
      </c>
      <c r="M43" s="432"/>
      <c r="N43" s="94">
        <f>+N7*(1-N9/100)</f>
        <v>109003</v>
      </c>
      <c r="P43" s="187">
        <f>+P7*(1-P9/100)</f>
        <v>45500</v>
      </c>
      <c r="Q43" s="632"/>
      <c r="R43" s="35">
        <f>+R7*(1-R9/100)</f>
        <v>154503</v>
      </c>
      <c r="S43" s="431"/>
      <c r="T43" s="2645">
        <f>+T7*(1-T9/100)</f>
        <v>47324</v>
      </c>
      <c r="U43" s="632"/>
      <c r="V43" s="35">
        <f>+V7*(1-V9/100)</f>
        <v>201827</v>
      </c>
      <c r="W43" s="431"/>
      <c r="X43" s="187">
        <f>+X7*(1-X9/100)</f>
        <v>40932</v>
      </c>
      <c r="Y43" s="432"/>
      <c r="Z43" s="432">
        <f>+Z7*(1-Z9/100)</f>
        <v>133756</v>
      </c>
      <c r="AA43" s="557"/>
      <c r="AB43" s="624">
        <f>+AB7*(1-AB9/100)</f>
        <v>242758.99999999997</v>
      </c>
      <c r="AK43" s="4550"/>
      <c r="AL43" s="4550"/>
      <c r="AM43" s="4550"/>
      <c r="AN43" s="4550"/>
      <c r="AO43" s="4550"/>
      <c r="AP43" s="4550"/>
      <c r="AQ43" s="4550"/>
      <c r="AR43" s="4550"/>
    </row>
    <row r="44" spans="1:62" ht="15" hidden="1" customHeight="1" x14ac:dyDescent="0.25">
      <c r="B44" s="4560"/>
      <c r="C44" s="4561" t="s">
        <v>973</v>
      </c>
      <c r="D44" s="4563" t="s">
        <v>52</v>
      </c>
      <c r="E44" s="4557"/>
      <c r="F44" s="187">
        <f>+F8</f>
        <v>7363</v>
      </c>
      <c r="G44" s="431"/>
      <c r="H44" s="187">
        <f>+H8</f>
        <v>6761</v>
      </c>
      <c r="I44" s="632"/>
      <c r="J44" s="35">
        <f>+J8</f>
        <v>14124</v>
      </c>
      <c r="K44" s="431"/>
      <c r="L44" s="187">
        <f>+L8</f>
        <v>5508</v>
      </c>
      <c r="M44" s="432"/>
      <c r="N44" s="94">
        <f>+N8</f>
        <v>19632</v>
      </c>
      <c r="P44" s="187">
        <f>+P8</f>
        <v>12388</v>
      </c>
      <c r="Q44" s="632"/>
      <c r="R44" s="35">
        <f>+R8</f>
        <v>32020</v>
      </c>
      <c r="S44" s="431"/>
      <c r="T44" s="2645">
        <f>+T8</f>
        <v>15774</v>
      </c>
      <c r="U44" s="632"/>
      <c r="V44" s="35">
        <f>+V8</f>
        <v>47794</v>
      </c>
      <c r="W44" s="431"/>
      <c r="X44" s="187">
        <f>+X8</f>
        <v>12968</v>
      </c>
      <c r="Y44" s="432"/>
      <c r="Z44" s="432">
        <f>+Z8</f>
        <v>41130</v>
      </c>
      <c r="AA44" s="557"/>
      <c r="AB44" s="624">
        <f>+AB8</f>
        <v>60762</v>
      </c>
      <c r="AK44" s="4550"/>
      <c r="AL44" s="4550"/>
      <c r="AM44" s="4550"/>
      <c r="AN44" s="4550"/>
      <c r="AO44" s="4550"/>
      <c r="AP44" s="4550"/>
      <c r="AQ44" s="4550"/>
      <c r="AR44" s="4550"/>
    </row>
    <row r="45" spans="1:62" ht="15" hidden="1" customHeight="1" x14ac:dyDescent="0.25">
      <c r="B45" s="4560"/>
      <c r="C45" s="4561" t="s">
        <v>820</v>
      </c>
      <c r="D45" s="4562" t="s">
        <v>52</v>
      </c>
      <c r="E45" s="4557"/>
      <c r="F45" s="187">
        <f>SUM(F43:F44)</f>
        <v>46020</v>
      </c>
      <c r="G45" s="431"/>
      <c r="H45" s="187">
        <f>SUM(H43:H44)</f>
        <v>39107</v>
      </c>
      <c r="I45" s="632"/>
      <c r="J45" s="35">
        <f>SUM(J43:J44)</f>
        <v>85127</v>
      </c>
      <c r="K45" s="431"/>
      <c r="L45" s="187">
        <f>SUM(L43:L44)</f>
        <v>43508</v>
      </c>
      <c r="M45" s="432"/>
      <c r="N45" s="94">
        <f>SUM(N43:N44)</f>
        <v>128635</v>
      </c>
      <c r="P45" s="187">
        <f>SUM(P43:P44)</f>
        <v>57888</v>
      </c>
      <c r="Q45" s="632"/>
      <c r="R45" s="35">
        <f>SUM(R43:R44)</f>
        <v>186523</v>
      </c>
      <c r="S45" s="431"/>
      <c r="T45" s="2645">
        <f>SUM(T43:T44)</f>
        <v>63098</v>
      </c>
      <c r="U45" s="632"/>
      <c r="V45" s="35">
        <f>SUM(V43:V44)</f>
        <v>249621</v>
      </c>
      <c r="W45" s="431"/>
      <c r="X45" s="187">
        <f>SUM(X43:X44)</f>
        <v>53900</v>
      </c>
      <c r="Y45" s="432"/>
      <c r="Z45" s="432">
        <f>SUM(Z43:Z44)</f>
        <v>174886</v>
      </c>
      <c r="AA45" s="557"/>
      <c r="AB45" s="624">
        <f>SUM(AB43:AB44)</f>
        <v>303521</v>
      </c>
      <c r="AK45" s="4550"/>
      <c r="AL45" s="4550"/>
      <c r="AM45" s="4550"/>
      <c r="AN45" s="4550"/>
      <c r="AO45" s="4550"/>
      <c r="AP45" s="4550"/>
      <c r="AQ45" s="4550"/>
      <c r="AR45" s="4550"/>
    </row>
    <row r="46" spans="1:62" ht="15" hidden="1" customHeight="1" x14ac:dyDescent="0.25">
      <c r="B46" s="4560"/>
      <c r="C46" s="4561" t="s">
        <v>214</v>
      </c>
      <c r="D46" s="4562" t="s">
        <v>51</v>
      </c>
      <c r="E46" s="4558"/>
      <c r="F46" s="661">
        <v>1.25</v>
      </c>
      <c r="G46" s="180"/>
      <c r="H46" s="661">
        <v>1.25</v>
      </c>
      <c r="I46" s="171"/>
      <c r="J46" s="37">
        <v>1.25</v>
      </c>
      <c r="K46" s="180"/>
      <c r="L46" s="661">
        <v>1.25</v>
      </c>
      <c r="M46" s="170"/>
      <c r="N46" s="663">
        <v>1.25</v>
      </c>
      <c r="P46" s="661">
        <v>1.25</v>
      </c>
      <c r="Q46" s="171"/>
      <c r="R46" s="37">
        <v>1.25</v>
      </c>
      <c r="S46" s="180"/>
      <c r="T46" s="2646">
        <v>1.25</v>
      </c>
      <c r="U46" s="171"/>
      <c r="V46" s="37">
        <v>1.25</v>
      </c>
      <c r="W46" s="180"/>
      <c r="X46" s="661">
        <v>1.25</v>
      </c>
      <c r="Y46" s="170"/>
      <c r="Z46" s="170">
        <v>1.25</v>
      </c>
      <c r="AA46" s="623"/>
      <c r="AB46" s="664">
        <v>1.25</v>
      </c>
      <c r="AM46" s="4553"/>
      <c r="AN46" s="4554"/>
      <c r="AO46" s="4554"/>
      <c r="AP46" s="4555"/>
      <c r="AQ46" s="4555"/>
    </row>
    <row r="47" spans="1:62" ht="15" hidden="1" customHeight="1" x14ac:dyDescent="0.25">
      <c r="B47" s="4560"/>
      <c r="C47" s="4561" t="s">
        <v>214</v>
      </c>
      <c r="D47" s="4562" t="s">
        <v>52</v>
      </c>
      <c r="E47" s="4557"/>
      <c r="F47" s="665">
        <f>+F45*F46/(100-F46)</f>
        <v>582.53164556962031</v>
      </c>
      <c r="G47" s="431"/>
      <c r="H47" s="665">
        <f>+H45*H46/(100-H46)</f>
        <v>495.02531645569621</v>
      </c>
      <c r="I47" s="632"/>
      <c r="J47" s="36">
        <f>+J45*J46/(100-J46)</f>
        <v>1077.5569620253164</v>
      </c>
      <c r="K47" s="431"/>
      <c r="L47" s="665">
        <f>+L45*L46/(100-L46)</f>
        <v>550.7341772151899</v>
      </c>
      <c r="M47" s="432"/>
      <c r="N47" s="95">
        <f>+N45*N46/(100-N46)</f>
        <v>1628.2911392405063</v>
      </c>
      <c r="P47" s="665">
        <f>+P45*P46/(100-P46)</f>
        <v>732.75949367088606</v>
      </c>
      <c r="Q47" s="632"/>
      <c r="R47" s="36">
        <f>+R45*R46/(100-R46)</f>
        <v>2361.0506329113923</v>
      </c>
      <c r="S47" s="431"/>
      <c r="T47" s="2647">
        <f>+T45*T46/(100-T46)</f>
        <v>798.70886075949363</v>
      </c>
      <c r="U47" s="632"/>
      <c r="V47" s="36">
        <f>+V45*V46/(100-V46)</f>
        <v>3159.7594936708861</v>
      </c>
      <c r="W47" s="431"/>
      <c r="X47" s="665">
        <f>+X45*X46/(100-X46)</f>
        <v>682.27848101265818</v>
      </c>
      <c r="Y47" s="432"/>
      <c r="Z47" s="432">
        <f>+Z45*Z46/(100-Z46)</f>
        <v>2213.746835443038</v>
      </c>
      <c r="AA47" s="557"/>
      <c r="AB47" s="544">
        <f>+AB45*AB46/(100-AB46)</f>
        <v>3842.0379746835442</v>
      </c>
    </row>
    <row r="48" spans="1:62" ht="15" hidden="1" customHeight="1" x14ac:dyDescent="0.25">
      <c r="B48" s="4560"/>
      <c r="C48" s="4561" t="s">
        <v>23</v>
      </c>
      <c r="D48" s="4562" t="s">
        <v>52</v>
      </c>
      <c r="E48" s="4557"/>
      <c r="F48" s="665">
        <f>+F45+F47</f>
        <v>46602.531645569623</v>
      </c>
      <c r="G48" s="431"/>
      <c r="H48" s="665">
        <f>+H45+H47</f>
        <v>39602.0253164557</v>
      </c>
      <c r="I48" s="632"/>
      <c r="J48" s="36">
        <f>+J45+J47</f>
        <v>86204.556962025323</v>
      </c>
      <c r="K48" s="431"/>
      <c r="L48" s="665">
        <f>+L45+L47</f>
        <v>44058.734177215192</v>
      </c>
      <c r="M48" s="432"/>
      <c r="N48" s="95">
        <f>+N45+N47</f>
        <v>130263.29113924051</v>
      </c>
      <c r="P48" s="665">
        <f>+P45+P47</f>
        <v>58620.759493670885</v>
      </c>
      <c r="Q48" s="632"/>
      <c r="R48" s="36">
        <f>+R45+R47</f>
        <v>188884.05063291139</v>
      </c>
      <c r="S48" s="431"/>
      <c r="T48" s="2647">
        <f>+T45+T47</f>
        <v>63896.708860759492</v>
      </c>
      <c r="U48" s="632"/>
      <c r="V48" s="36">
        <f>+V45+V47</f>
        <v>252780.75949367089</v>
      </c>
      <c r="W48" s="431"/>
      <c r="X48" s="665">
        <f>+X45+X47</f>
        <v>54582.278481012661</v>
      </c>
      <c r="Y48" s="432"/>
      <c r="Z48" s="432">
        <f>+Z45+Z47</f>
        <v>177099.74683544305</v>
      </c>
      <c r="AA48" s="557"/>
      <c r="AB48" s="544">
        <f>+AB45+AB47</f>
        <v>307363.03797468357</v>
      </c>
    </row>
    <row r="49" spans="2:28" ht="15" hidden="1" customHeight="1" x14ac:dyDescent="0.25">
      <c r="B49" s="4560"/>
      <c r="C49" s="4564"/>
      <c r="D49" s="4565"/>
      <c r="E49" s="4"/>
      <c r="F49" s="4"/>
      <c r="G49" s="4"/>
      <c r="H49" s="4"/>
      <c r="I49" s="4"/>
      <c r="J49" s="4"/>
      <c r="K49" s="4"/>
      <c r="L49" s="4"/>
      <c r="M49" s="4"/>
      <c r="N49" s="4"/>
      <c r="P49" s="4"/>
      <c r="Q49" s="4"/>
      <c r="R49" s="4"/>
      <c r="S49" s="4"/>
      <c r="T49" s="2644"/>
      <c r="U49" s="4"/>
      <c r="V49" s="4"/>
      <c r="W49" s="4"/>
      <c r="X49" s="4"/>
      <c r="Y49" s="4"/>
      <c r="Z49" s="4"/>
      <c r="AA49" s="4"/>
      <c r="AB49" s="4"/>
    </row>
    <row r="50" spans="2:28" ht="15" hidden="1" customHeight="1" x14ac:dyDescent="0.25">
      <c r="B50" s="4560"/>
      <c r="C50" s="4564"/>
      <c r="D50" s="4565"/>
      <c r="E50" s="4"/>
      <c r="F50" s="4"/>
      <c r="G50" s="4"/>
      <c r="H50" s="4"/>
      <c r="I50" s="4"/>
      <c r="J50" s="4"/>
      <c r="K50" s="4"/>
      <c r="L50" s="4"/>
      <c r="M50" s="4"/>
      <c r="N50" s="4"/>
      <c r="P50" s="4"/>
      <c r="Q50" s="4"/>
      <c r="R50" s="4"/>
      <c r="S50" s="4"/>
      <c r="T50" s="2644"/>
      <c r="U50" s="4"/>
      <c r="V50" s="4"/>
      <c r="W50" s="4"/>
      <c r="X50" s="4"/>
      <c r="Y50" s="4"/>
      <c r="Z50" s="4"/>
      <c r="AA50" s="4"/>
      <c r="AB50" s="4"/>
    </row>
    <row r="51" spans="2:28" ht="15" hidden="1" customHeight="1" x14ac:dyDescent="0.25">
      <c r="B51" s="4560"/>
      <c r="C51" s="4561" t="s">
        <v>536</v>
      </c>
      <c r="D51" s="4562" t="s">
        <v>52</v>
      </c>
      <c r="E51" s="4557"/>
      <c r="F51" s="187">
        <f>+F21*(1-F23/100)</f>
        <v>7720</v>
      </c>
      <c r="G51" s="431"/>
      <c r="H51" s="187" t="e">
        <f>+H21*(1-H23/100)</f>
        <v>#DIV/0!</v>
      </c>
      <c r="I51" s="632"/>
      <c r="J51" s="35">
        <f>+J21*(1-J23/100)</f>
        <v>7720</v>
      </c>
      <c r="K51" s="431"/>
      <c r="L51" s="187">
        <f>+L21*(1-L23/100)</f>
        <v>5782</v>
      </c>
      <c r="M51" s="432"/>
      <c r="N51" s="94">
        <f>+N21*(1-N23/100)</f>
        <v>13501.999999999998</v>
      </c>
      <c r="P51" s="187">
        <f>+P21*(1-P23/100)</f>
        <v>8935</v>
      </c>
      <c r="Q51" s="632"/>
      <c r="R51" s="35">
        <f>+R21*(1-R23/100)</f>
        <v>22437.000000000004</v>
      </c>
      <c r="S51" s="431"/>
      <c r="T51" s="2645">
        <f>+T21*(1-T23/100)</f>
        <v>9968</v>
      </c>
      <c r="U51" s="632"/>
      <c r="V51" s="35">
        <f>+V21*(1-V23/100)</f>
        <v>32405</v>
      </c>
      <c r="W51" s="431"/>
      <c r="X51" s="187">
        <f>+X21*(1-X23/100)</f>
        <v>9341</v>
      </c>
      <c r="Y51" s="432"/>
      <c r="Z51" s="432">
        <f>+Z21*(1-Z23/100)</f>
        <v>28244</v>
      </c>
      <c r="AA51" s="557"/>
      <c r="AB51" s="624">
        <f>+AB21*(1-AB23/100)</f>
        <v>41746</v>
      </c>
    </row>
    <row r="52" spans="2:28" ht="15" hidden="1" customHeight="1" x14ac:dyDescent="0.25">
      <c r="B52" s="4560"/>
      <c r="C52" s="4561" t="s">
        <v>973</v>
      </c>
      <c r="D52" s="4563" t="s">
        <v>52</v>
      </c>
      <c r="E52" s="4557"/>
      <c r="F52" s="187">
        <f>+F22</f>
        <v>1700</v>
      </c>
      <c r="G52" s="431"/>
      <c r="H52" s="187">
        <f>+H22</f>
        <v>0</v>
      </c>
      <c r="I52" s="632"/>
      <c r="J52" s="35">
        <f>+J22</f>
        <v>1700</v>
      </c>
      <c r="K52" s="431"/>
      <c r="L52" s="187">
        <f>+L22</f>
        <v>2354</v>
      </c>
      <c r="M52" s="432"/>
      <c r="N52" s="94">
        <f>+N22</f>
        <v>4054</v>
      </c>
      <c r="P52" s="187">
        <f>+P22</f>
        <v>3115</v>
      </c>
      <c r="Q52" s="632"/>
      <c r="R52" s="35">
        <f>+R22</f>
        <v>7169</v>
      </c>
      <c r="S52" s="431"/>
      <c r="T52" s="2645">
        <f>+T22</f>
        <v>3473</v>
      </c>
      <c r="U52" s="632"/>
      <c r="V52" s="35">
        <f>+V22</f>
        <v>10642</v>
      </c>
      <c r="W52" s="431"/>
      <c r="X52" s="187">
        <f>+X22</f>
        <v>1140</v>
      </c>
      <c r="Y52" s="432"/>
      <c r="Z52" s="432">
        <f>+Z22</f>
        <v>7728</v>
      </c>
      <c r="AA52" s="557"/>
      <c r="AB52" s="624">
        <f>+AB22</f>
        <v>11782</v>
      </c>
    </row>
    <row r="53" spans="2:28" ht="15" hidden="1" customHeight="1" x14ac:dyDescent="0.25">
      <c r="B53" s="4560"/>
      <c r="C53" s="4561" t="s">
        <v>974</v>
      </c>
      <c r="D53" s="4562" t="s">
        <v>52</v>
      </c>
      <c r="E53" s="4557"/>
      <c r="F53" s="187">
        <f>SUM(F51:F52)</f>
        <v>9420</v>
      </c>
      <c r="G53" s="431"/>
      <c r="H53" s="187" t="e">
        <f>SUM(H51:H52)</f>
        <v>#DIV/0!</v>
      </c>
      <c r="I53" s="632"/>
      <c r="J53" s="35">
        <f>SUM(J51:J52)</f>
        <v>9420</v>
      </c>
      <c r="K53" s="431"/>
      <c r="L53" s="187">
        <f>SUM(L51:L52)</f>
        <v>8136</v>
      </c>
      <c r="M53" s="432"/>
      <c r="N53" s="94">
        <f>SUM(N51:N52)</f>
        <v>17556</v>
      </c>
      <c r="P53" s="187">
        <f>SUM(P51:P52)</f>
        <v>12050</v>
      </c>
      <c r="Q53" s="632"/>
      <c r="R53" s="35">
        <f>SUM(R51:R52)</f>
        <v>29606.000000000004</v>
      </c>
      <c r="S53" s="431"/>
      <c r="T53" s="2645">
        <f>SUM(T51:T52)</f>
        <v>13441</v>
      </c>
      <c r="U53" s="632"/>
      <c r="V53" s="35">
        <f>SUM(V51:V52)</f>
        <v>43047</v>
      </c>
      <c r="W53" s="431"/>
      <c r="X53" s="187">
        <f>SUM(X51:X52)</f>
        <v>10481</v>
      </c>
      <c r="Y53" s="432"/>
      <c r="Z53" s="432">
        <f>SUM(Z51:Z52)</f>
        <v>35972</v>
      </c>
      <c r="AA53" s="557"/>
      <c r="AB53" s="624">
        <f>SUM(AB51:AB52)</f>
        <v>53528</v>
      </c>
    </row>
    <row r="54" spans="2:28" ht="15" hidden="1" customHeight="1" x14ac:dyDescent="0.25">
      <c r="B54" s="4560"/>
      <c r="C54" s="4561" t="s">
        <v>214</v>
      </c>
      <c r="D54" s="4562" t="s">
        <v>51</v>
      </c>
      <c r="E54" s="4558"/>
      <c r="F54" s="661">
        <v>1.25</v>
      </c>
      <c r="G54" s="180"/>
      <c r="H54" s="661">
        <v>1.25</v>
      </c>
      <c r="I54" s="171"/>
      <c r="J54" s="37">
        <v>1.25</v>
      </c>
      <c r="K54" s="180"/>
      <c r="L54" s="661">
        <v>1.25</v>
      </c>
      <c r="M54" s="170"/>
      <c r="N54" s="663">
        <v>1.25</v>
      </c>
      <c r="P54" s="661">
        <v>1.25</v>
      </c>
      <c r="Q54" s="171"/>
      <c r="R54" s="37">
        <v>1.25</v>
      </c>
      <c r="S54" s="180"/>
      <c r="T54" s="2646">
        <v>1.25</v>
      </c>
      <c r="U54" s="171"/>
      <c r="V54" s="37">
        <v>1.25</v>
      </c>
      <c r="W54" s="180"/>
      <c r="X54" s="661">
        <v>1.25</v>
      </c>
      <c r="Y54" s="170"/>
      <c r="Z54" s="170">
        <v>1.25</v>
      </c>
      <c r="AA54" s="623"/>
      <c r="AB54" s="664">
        <v>1.25</v>
      </c>
    </row>
    <row r="55" spans="2:28" ht="15" hidden="1" customHeight="1" x14ac:dyDescent="0.25">
      <c r="B55" s="4560"/>
      <c r="C55" s="4561" t="s">
        <v>214</v>
      </c>
      <c r="D55" s="4562" t="s">
        <v>52</v>
      </c>
      <c r="E55" s="4557"/>
      <c r="F55" s="665">
        <f>+F53*F54/(100-F54)</f>
        <v>119.24050632911393</v>
      </c>
      <c r="G55" s="431"/>
      <c r="H55" s="665" t="e">
        <f>+H53*H54/(100-H54)</f>
        <v>#DIV/0!</v>
      </c>
      <c r="I55" s="632"/>
      <c r="J55" s="36">
        <f>+J53*J54/(100-J54)</f>
        <v>119.24050632911393</v>
      </c>
      <c r="K55" s="431"/>
      <c r="L55" s="665">
        <f>+L53*L54/(100-L54)</f>
        <v>102.98734177215189</v>
      </c>
      <c r="M55" s="432"/>
      <c r="N55" s="95">
        <f>+N53*N54/(100-N54)</f>
        <v>222.22784810126583</v>
      </c>
      <c r="P55" s="665">
        <f>+P53*P54/(100-P54)</f>
        <v>152.53164556962025</v>
      </c>
      <c r="Q55" s="632"/>
      <c r="R55" s="36">
        <f>+R53*R54/(100-R54)</f>
        <v>374.75949367088617</v>
      </c>
      <c r="S55" s="431"/>
      <c r="T55" s="2647">
        <f>+T53*T54/(100-T54)</f>
        <v>170.13924050632912</v>
      </c>
      <c r="U55" s="632"/>
      <c r="V55" s="36">
        <f>+V53*V54/(100-V54)</f>
        <v>544.89873417721515</v>
      </c>
      <c r="W55" s="431"/>
      <c r="X55" s="665">
        <f>+X53*X54/(100-X54)</f>
        <v>132.67088607594937</v>
      </c>
      <c r="Y55" s="432"/>
      <c r="Z55" s="432">
        <f>+Z53*Z54/(100-Z54)</f>
        <v>455.34177215189874</v>
      </c>
      <c r="AA55" s="557"/>
      <c r="AB55" s="544">
        <f>+AB53*AB54/(100-AB54)</f>
        <v>677.56962025316454</v>
      </c>
    </row>
    <row r="56" spans="2:28" ht="15" hidden="1" customHeight="1" x14ac:dyDescent="0.25">
      <c r="B56" s="4560"/>
      <c r="C56" s="4561" t="s">
        <v>23</v>
      </c>
      <c r="D56" s="4562" t="s">
        <v>52</v>
      </c>
      <c r="E56" s="4557"/>
      <c r="F56" s="665">
        <f>+F53+F55</f>
        <v>9539.2405063291135</v>
      </c>
      <c r="G56" s="431"/>
      <c r="H56" s="665" t="e">
        <f>+H53+H55</f>
        <v>#DIV/0!</v>
      </c>
      <c r="I56" s="632"/>
      <c r="J56" s="36">
        <f>+J53+J55</f>
        <v>9539.2405063291135</v>
      </c>
      <c r="K56" s="431"/>
      <c r="L56" s="665">
        <f>+L53+L55</f>
        <v>8238.9873417721519</v>
      </c>
      <c r="M56" s="432"/>
      <c r="N56" s="95">
        <f>+N53+N55</f>
        <v>17778.227848101265</v>
      </c>
      <c r="P56" s="665">
        <f>+P53+P55</f>
        <v>12202.531645569621</v>
      </c>
      <c r="Q56" s="632"/>
      <c r="R56" s="36">
        <f>+R53+R55</f>
        <v>29980.759493670888</v>
      </c>
      <c r="S56" s="431"/>
      <c r="T56" s="2647">
        <f>+T53+T55</f>
        <v>13611.139240506329</v>
      </c>
      <c r="U56" s="632"/>
      <c r="V56" s="36">
        <f>+V53+V55</f>
        <v>43591.898734177215</v>
      </c>
      <c r="W56" s="431"/>
      <c r="X56" s="665">
        <f>+X53+X55</f>
        <v>10613.67088607595</v>
      </c>
      <c r="Y56" s="432"/>
      <c r="Z56" s="432">
        <f>+Z53+Z55</f>
        <v>36427.3417721519</v>
      </c>
      <c r="AA56" s="557"/>
      <c r="AB56" s="544">
        <f>+AB53+AB55</f>
        <v>54205.569620253162</v>
      </c>
    </row>
    <row r="57" spans="2:28" ht="15" hidden="1" customHeight="1" x14ac:dyDescent="0.25">
      <c r="B57" s="4560"/>
      <c r="C57" s="4564"/>
      <c r="D57" s="4565"/>
      <c r="E57" s="4"/>
      <c r="F57" s="4"/>
      <c r="G57" s="4"/>
      <c r="H57" s="4"/>
      <c r="I57" s="4"/>
      <c r="J57" s="4"/>
      <c r="K57" s="4"/>
      <c r="L57" s="4"/>
      <c r="M57" s="4"/>
      <c r="N57" s="4"/>
      <c r="P57" s="4"/>
      <c r="Q57" s="4"/>
      <c r="R57" s="4"/>
      <c r="S57" s="4"/>
      <c r="T57" s="2644"/>
      <c r="U57" s="4"/>
      <c r="V57" s="4"/>
      <c r="W57" s="4"/>
      <c r="X57" s="4"/>
      <c r="Y57" s="4"/>
      <c r="Z57" s="4"/>
      <c r="AA57" s="4"/>
      <c r="AB57" s="4"/>
    </row>
    <row r="58" spans="2:28" ht="15" hidden="1" customHeight="1" x14ac:dyDescent="0.25">
      <c r="B58" s="4560"/>
      <c r="C58" s="4556" t="s">
        <v>976</v>
      </c>
      <c r="D58" s="4562" t="s">
        <v>52</v>
      </c>
      <c r="E58" s="4557"/>
      <c r="F58" s="665">
        <f>+SMS!F70</f>
        <v>13100</v>
      </c>
      <c r="G58" s="431"/>
      <c r="H58" s="665">
        <f>+SMS!H70</f>
        <v>11220</v>
      </c>
      <c r="I58" s="632"/>
      <c r="J58" s="36">
        <f>+SMS!J70</f>
        <v>24320</v>
      </c>
      <c r="K58" s="431"/>
      <c r="L58" s="665">
        <f>+SMS!L70</f>
        <v>12055</v>
      </c>
      <c r="M58" s="432"/>
      <c r="N58" s="95">
        <f>+SMS!N70</f>
        <v>36375</v>
      </c>
      <c r="P58" s="665">
        <f>+SMS!P70</f>
        <v>14055</v>
      </c>
      <c r="Q58" s="632"/>
      <c r="R58" s="36">
        <f>+SMS!R70</f>
        <v>50430</v>
      </c>
      <c r="S58" s="431"/>
      <c r="T58" s="2647">
        <f>+SMS!T70</f>
        <v>15500</v>
      </c>
      <c r="U58" s="632"/>
      <c r="V58" s="36">
        <f>+SMS!V70</f>
        <v>65930</v>
      </c>
      <c r="W58" s="431"/>
      <c r="X58" s="665">
        <f>+SMS!X70</f>
        <v>14873</v>
      </c>
      <c r="Y58" s="432"/>
      <c r="Z58" s="432">
        <f>+SMS!Z70</f>
        <v>44428</v>
      </c>
      <c r="AA58" s="557"/>
      <c r="AB58" s="544">
        <f>+SMS!AB70</f>
        <v>80803</v>
      </c>
    </row>
    <row r="59" spans="2:28" ht="15" hidden="1" customHeight="1" x14ac:dyDescent="0.25">
      <c r="B59" s="4560"/>
      <c r="C59" s="4556" t="s">
        <v>975</v>
      </c>
      <c r="D59" s="4562" t="s">
        <v>51</v>
      </c>
      <c r="E59" s="4557"/>
      <c r="F59" s="665">
        <f>+F14</f>
        <v>36.983165625447093</v>
      </c>
      <c r="G59" s="431"/>
      <c r="H59" s="665">
        <f>+H14</f>
        <v>38.352666925681298</v>
      </c>
      <c r="I59" s="632"/>
      <c r="J59" s="36">
        <f>+J14</f>
        <v>37.616067306212486</v>
      </c>
      <c r="K59" s="431"/>
      <c r="L59" s="665">
        <f>+L14</f>
        <v>34.67146373792842</v>
      </c>
      <c r="M59" s="432"/>
      <c r="N59" s="95">
        <f>+N14</f>
        <v>36.581267675927464</v>
      </c>
      <c r="P59" s="665">
        <f>+P14</f>
        <v>34.859988570495545</v>
      </c>
      <c r="Q59" s="632"/>
      <c r="R59" s="36">
        <f>+R14</f>
        <v>36.08287632375189</v>
      </c>
      <c r="S59" s="431"/>
      <c r="T59" s="2647">
        <f>+T14</f>
        <v>34.407751631402014</v>
      </c>
      <c r="U59" s="632"/>
      <c r="V59" s="36">
        <f>+V14</f>
        <v>35.697451157034571</v>
      </c>
      <c r="W59" s="431"/>
      <c r="X59" s="665">
        <f>+X14</f>
        <v>31.851686397140945</v>
      </c>
      <c r="Y59" s="432"/>
      <c r="Z59" s="432">
        <f>+Z14</f>
        <v>33.76842922070724</v>
      </c>
      <c r="AA59" s="557"/>
      <c r="AB59" s="544">
        <f>+AB14</f>
        <v>35.046644188753987</v>
      </c>
    </row>
    <row r="60" spans="2:28" ht="15" hidden="1" customHeight="1" x14ac:dyDescent="0.25">
      <c r="B60" s="4560"/>
      <c r="C60" s="4556" t="s">
        <v>977</v>
      </c>
      <c r="D60" s="4562" t="s">
        <v>52</v>
      </c>
      <c r="E60" s="4557"/>
      <c r="F60" s="665">
        <f>+F59*F58/(100-F59)</f>
        <v>7688.0959588315436</v>
      </c>
      <c r="G60" s="431"/>
      <c r="H60" s="665">
        <f>+H59*H58/(100-H59)</f>
        <v>6980.3007112631667</v>
      </c>
      <c r="I60" s="632"/>
      <c r="J60" s="36">
        <f>+J59*J58/(100-J59)</f>
        <v>14664.397023148718</v>
      </c>
      <c r="K60" s="431"/>
      <c r="L60" s="665">
        <f>+L59*L58/(100-L59)</f>
        <v>6397.8855072463757</v>
      </c>
      <c r="M60" s="432"/>
      <c r="N60" s="95">
        <f>+N59*N58/(100-N59)</f>
        <v>20981.870229007633</v>
      </c>
      <c r="P60" s="665">
        <f>+P59*P58/(100-P59)</f>
        <v>7521.6004511843576</v>
      </c>
      <c r="Q60" s="632"/>
      <c r="R60" s="36">
        <f>+R59*R58/(100-R59)</f>
        <v>28469.044730856705</v>
      </c>
      <c r="S60" s="431"/>
      <c r="T60" s="2647">
        <f>+T59*T58/(100-T59)</f>
        <v>8130.8411214953267</v>
      </c>
      <c r="U60" s="632"/>
      <c r="V60" s="36">
        <f>+V59*V58/(100-V59)</f>
        <v>36600.927912374056</v>
      </c>
      <c r="W60" s="431"/>
      <c r="X60" s="665">
        <f>+X59*X58/(100-X59)</f>
        <v>6951.4578826614243</v>
      </c>
      <c r="Y60" s="432"/>
      <c r="Z60" s="432">
        <f>+Z59*Z58/(100-Z59)</f>
        <v>22651.79212519353</v>
      </c>
      <c r="AA60" s="557"/>
      <c r="AB60" s="544">
        <f>+AB59*AB58/(100-AB59)</f>
        <v>43598.578626380666</v>
      </c>
    </row>
    <row r="61" spans="2:28" ht="15" hidden="1" customHeight="1" x14ac:dyDescent="0.25">
      <c r="B61" s="4560"/>
      <c r="C61" s="4556" t="s">
        <v>510</v>
      </c>
      <c r="D61" s="4562" t="s">
        <v>52</v>
      </c>
      <c r="E61" s="4557"/>
      <c r="F61" s="665">
        <f>+F58+F60</f>
        <v>20788.095958831545</v>
      </c>
      <c r="G61" s="431"/>
      <c r="H61" s="665">
        <f>+H58+H60</f>
        <v>18200.300711263168</v>
      </c>
      <c r="I61" s="632"/>
      <c r="J61" s="36">
        <f>+J58+J60</f>
        <v>38984.397023148718</v>
      </c>
      <c r="K61" s="431"/>
      <c r="L61" s="665">
        <f>+L58+L60</f>
        <v>18452.885507246378</v>
      </c>
      <c r="M61" s="432"/>
      <c r="N61" s="95">
        <f>+N58+N60</f>
        <v>57356.870229007633</v>
      </c>
      <c r="P61" s="665">
        <f>+P58+P60</f>
        <v>21576.600451184357</v>
      </c>
      <c r="Q61" s="632"/>
      <c r="R61" s="36">
        <f>+R58+R60</f>
        <v>78899.044730856709</v>
      </c>
      <c r="S61" s="431"/>
      <c r="T61" s="2647">
        <f>+T58+T60</f>
        <v>23630.841121495327</v>
      </c>
      <c r="U61" s="632"/>
      <c r="V61" s="36">
        <f>+V58+V60</f>
        <v>102530.92791237406</v>
      </c>
      <c r="W61" s="431"/>
      <c r="X61" s="665">
        <f>+X58+X60</f>
        <v>21824.457882661423</v>
      </c>
      <c r="Y61" s="432"/>
      <c r="Z61" s="432">
        <f>+Z58+Z60</f>
        <v>67079.792125193533</v>
      </c>
      <c r="AA61" s="557"/>
      <c r="AB61" s="544">
        <f>+AB58+AB60</f>
        <v>124401.57862638067</v>
      </c>
    </row>
    <row r="62" spans="2:28" ht="15" hidden="1" customHeight="1" x14ac:dyDescent="0.25">
      <c r="B62" s="4560"/>
      <c r="C62" s="4564"/>
      <c r="D62" s="4565"/>
      <c r="E62" s="4"/>
      <c r="F62" s="4"/>
      <c r="G62" s="4"/>
      <c r="H62" s="4"/>
      <c r="I62" s="4"/>
      <c r="J62" s="4"/>
      <c r="K62" s="4"/>
      <c r="L62" s="4"/>
      <c r="M62" s="4"/>
      <c r="N62" s="4"/>
      <c r="P62" s="4"/>
      <c r="Q62" s="4"/>
      <c r="R62" s="4"/>
      <c r="S62" s="4"/>
      <c r="T62" s="2644"/>
      <c r="U62" s="4"/>
      <c r="V62" s="4"/>
      <c r="W62" s="4"/>
      <c r="X62" s="4"/>
      <c r="Y62" s="4"/>
      <c r="Z62" s="4"/>
      <c r="AA62" s="4"/>
      <c r="AB62" s="4"/>
    </row>
    <row r="63" spans="2:28" ht="15" hidden="1" customHeight="1" x14ac:dyDescent="0.25">
      <c r="B63" s="4560"/>
      <c r="C63" s="4556" t="s">
        <v>978</v>
      </c>
      <c r="D63" s="4562" t="s">
        <v>52</v>
      </c>
      <c r="E63" s="4557"/>
      <c r="F63" s="665">
        <f>+SMS!F65</f>
        <v>3840</v>
      </c>
      <c r="G63" s="431"/>
      <c r="H63" s="665">
        <f>+SMS!H65</f>
        <v>0</v>
      </c>
      <c r="I63" s="632"/>
      <c r="J63" s="36">
        <f>+SMS!J65</f>
        <v>3840</v>
      </c>
      <c r="K63" s="431"/>
      <c r="L63" s="665">
        <f>+SMS!L65</f>
        <v>1988</v>
      </c>
      <c r="M63" s="432"/>
      <c r="N63" s="95">
        <f>+SMS!N65</f>
        <v>5828</v>
      </c>
      <c r="P63" s="665">
        <f>+SMS!P65</f>
        <v>4088</v>
      </c>
      <c r="Q63" s="632"/>
      <c r="R63" s="36">
        <f>+SMS!R65</f>
        <v>9916</v>
      </c>
      <c r="S63" s="431"/>
      <c r="T63" s="2647">
        <f>+SMS!T65</f>
        <v>4450</v>
      </c>
      <c r="U63" s="632"/>
      <c r="V63" s="36">
        <f>+SMS!V65</f>
        <v>14366</v>
      </c>
      <c r="W63" s="431"/>
      <c r="X63" s="665">
        <f>+SMS!X65</f>
        <v>4575</v>
      </c>
      <c r="Y63" s="432"/>
      <c r="Z63" s="432">
        <f>+SMS!Z65</f>
        <v>13113</v>
      </c>
      <c r="AA63" s="557"/>
      <c r="AB63" s="544">
        <f>+SMS!AB65</f>
        <v>18941</v>
      </c>
    </row>
    <row r="64" spans="2:28" ht="15" hidden="1" customHeight="1" x14ac:dyDescent="0.25">
      <c r="B64" s="4560"/>
      <c r="C64" s="4556" t="s">
        <v>979</v>
      </c>
      <c r="D64" s="4562" t="s">
        <v>51</v>
      </c>
      <c r="E64" s="4557"/>
      <c r="F64" s="665">
        <f>+F28</f>
        <v>4.9751243781094532</v>
      </c>
      <c r="G64" s="431"/>
      <c r="H64" s="665" t="e">
        <f>+H28</f>
        <v>#DIV/0!</v>
      </c>
      <c r="I64" s="632"/>
      <c r="J64" s="36">
        <f>+J28</f>
        <v>4.9751243781094532</v>
      </c>
      <c r="K64" s="431"/>
      <c r="L64" s="665">
        <f>+L28</f>
        <v>5.0167224080267561</v>
      </c>
      <c r="M64" s="432"/>
      <c r="N64" s="95">
        <f>+N28</f>
        <v>4.9928673323823105</v>
      </c>
      <c r="P64" s="665">
        <f>+P28</f>
        <v>2.6945462384134511</v>
      </c>
      <c r="Q64" s="632"/>
      <c r="R64" s="36">
        <f>+R28</f>
        <v>4.0776032277448708</v>
      </c>
      <c r="S64" s="431"/>
      <c r="T64" s="2647">
        <f>+T28</f>
        <v>6.1507936507936503</v>
      </c>
      <c r="U64" s="632"/>
      <c r="V64" s="36">
        <f>+V28</f>
        <v>4.7036970459584158</v>
      </c>
      <c r="W64" s="431"/>
      <c r="X64" s="665">
        <f>+X28</f>
        <v>6.5832784726793951</v>
      </c>
      <c r="Y64" s="432"/>
      <c r="Z64" s="432">
        <f>+Z28</f>
        <v>5.1629671255970777</v>
      </c>
      <c r="AA64" s="557"/>
      <c r="AB64" s="544">
        <f>+AB28</f>
        <v>5.1068436411559821</v>
      </c>
    </row>
    <row r="65" spans="1:28" ht="15" hidden="1" customHeight="1" x14ac:dyDescent="0.25">
      <c r="B65" s="4560"/>
      <c r="C65" s="4556" t="s">
        <v>977</v>
      </c>
      <c r="D65" s="4562" t="s">
        <v>52</v>
      </c>
      <c r="E65" s="4557"/>
      <c r="F65" s="665">
        <f>+F64*F63/(100-F64)</f>
        <v>201.04712041884818</v>
      </c>
      <c r="G65" s="431"/>
      <c r="H65" s="665" t="e">
        <f>+H64*H63/(100-H64)</f>
        <v>#DIV/0!</v>
      </c>
      <c r="I65" s="632"/>
      <c r="J65" s="36">
        <f>+J64*J63/(100-J64)</f>
        <v>201.04712041884818</v>
      </c>
      <c r="K65" s="431"/>
      <c r="L65" s="665">
        <f>+L64*L63/(100-L64)</f>
        <v>105</v>
      </c>
      <c r="M65" s="432"/>
      <c r="N65" s="95">
        <f>+N64*N63/(100-N64)</f>
        <v>306.27627627627623</v>
      </c>
      <c r="P65" s="665">
        <f>+P64*P63/(100-P64)</f>
        <v>113.20336730172795</v>
      </c>
      <c r="Q65" s="632"/>
      <c r="R65" s="36">
        <f>+R64*R63/(100-R64)</f>
        <v>421.52317880794703</v>
      </c>
      <c r="S65" s="431"/>
      <c r="T65" s="2647">
        <f>+T64*T63/(100-T64)</f>
        <v>291.64904862579277</v>
      </c>
      <c r="U65" s="632"/>
      <c r="V65" s="36">
        <f>+V64*V63/(100-V64)</f>
        <v>709.08639336016108</v>
      </c>
      <c r="W65" s="431"/>
      <c r="X65" s="665">
        <f>+X64*X63/(100-X64)</f>
        <v>322.4101479915434</v>
      </c>
      <c r="Y65" s="432"/>
      <c r="Z65" s="432">
        <f>+Z64*Z63/(100-Z64)</f>
        <v>713.87712021331754</v>
      </c>
      <c r="AA65" s="557"/>
      <c r="AB65" s="544">
        <f>+AB64*AB63/(100-AB64)</f>
        <v>1019.3435345468973</v>
      </c>
    </row>
    <row r="66" spans="1:28" ht="15" hidden="1" customHeight="1" x14ac:dyDescent="0.25">
      <c r="B66" s="4560"/>
      <c r="C66" s="4556" t="s">
        <v>510</v>
      </c>
      <c r="D66" s="4562" t="s">
        <v>52</v>
      </c>
      <c r="E66" s="4557"/>
      <c r="F66" s="665">
        <f>+F63+F65</f>
        <v>4041.047120418848</v>
      </c>
      <c r="G66" s="431"/>
      <c r="H66" s="665" t="e">
        <f>+H63+H65</f>
        <v>#DIV/0!</v>
      </c>
      <c r="I66" s="632"/>
      <c r="J66" s="36">
        <f>+J63+J65</f>
        <v>4041.047120418848</v>
      </c>
      <c r="K66" s="431"/>
      <c r="L66" s="665">
        <f>+L63+L65</f>
        <v>2093</v>
      </c>
      <c r="M66" s="432"/>
      <c r="N66" s="95">
        <f>+N63+N65</f>
        <v>6134.2762762762759</v>
      </c>
      <c r="P66" s="665">
        <f>+P63+P65</f>
        <v>4201.2033673017277</v>
      </c>
      <c r="Q66" s="632"/>
      <c r="R66" s="36">
        <f>+R63+R65</f>
        <v>10337.523178807947</v>
      </c>
      <c r="S66" s="431"/>
      <c r="T66" s="2647">
        <f>+T63+T65</f>
        <v>4741.6490486257926</v>
      </c>
      <c r="U66" s="632"/>
      <c r="V66" s="36">
        <f>+V63+V65</f>
        <v>15075.086393360161</v>
      </c>
      <c r="W66" s="431"/>
      <c r="X66" s="665">
        <f>+X63+X65</f>
        <v>4897.4101479915435</v>
      </c>
      <c r="Y66" s="432"/>
      <c r="Z66" s="432">
        <f>+Z63+Z65</f>
        <v>13826.877120213318</v>
      </c>
      <c r="AA66" s="557"/>
      <c r="AB66" s="544">
        <f>+AB63+AB65</f>
        <v>19960.343534546897</v>
      </c>
    </row>
    <row r="67" spans="1:28" ht="15" hidden="1" customHeight="1" x14ac:dyDescent="0.25">
      <c r="B67" s="4560"/>
      <c r="C67" s="4564"/>
      <c r="D67" s="4565"/>
      <c r="E67" s="4"/>
      <c r="F67" s="4"/>
      <c r="G67" s="4"/>
      <c r="H67" s="4"/>
      <c r="I67" s="4"/>
      <c r="J67" s="4"/>
      <c r="K67" s="4"/>
      <c r="L67" s="4"/>
      <c r="M67" s="4"/>
      <c r="N67" s="4"/>
      <c r="P67" s="4"/>
      <c r="Q67" s="4"/>
      <c r="R67" s="4"/>
      <c r="S67" s="4"/>
      <c r="T67" s="2644"/>
      <c r="U67" s="4"/>
      <c r="V67" s="4"/>
      <c r="Y67" s="4"/>
      <c r="Z67" s="4"/>
    </row>
    <row r="68" spans="1:28" ht="15" customHeight="1" x14ac:dyDescent="0.25">
      <c r="A68" s="4"/>
      <c r="B68" s="4566" t="s">
        <v>1939</v>
      </c>
      <c r="C68" s="4556"/>
      <c r="D68" s="4567">
        <v>5444</v>
      </c>
      <c r="E68" s="4550"/>
      <c r="F68" s="4"/>
      <c r="G68" s="4"/>
      <c r="H68" s="4"/>
      <c r="I68" s="4"/>
      <c r="J68" s="4"/>
      <c r="K68" s="4"/>
      <c r="L68" s="4"/>
      <c r="M68" s="4"/>
      <c r="N68" s="4"/>
      <c r="P68" s="4"/>
      <c r="Q68" s="4"/>
      <c r="R68" s="4"/>
      <c r="S68" s="4"/>
      <c r="T68" s="2644"/>
      <c r="U68" s="4"/>
      <c r="V68" s="4"/>
      <c r="Y68" s="4"/>
      <c r="Z68" s="4"/>
    </row>
    <row r="69" spans="1:28" ht="15" customHeight="1" x14ac:dyDescent="0.25">
      <c r="A69" s="4"/>
      <c r="B69" s="4566" t="s">
        <v>1935</v>
      </c>
      <c r="C69" s="4556"/>
      <c r="D69" s="4567">
        <v>2782</v>
      </c>
      <c r="E69" s="4550"/>
      <c r="F69" s="4"/>
      <c r="G69" s="4"/>
      <c r="H69" s="4"/>
      <c r="I69" s="4"/>
      <c r="J69" s="4"/>
      <c r="K69" s="4"/>
      <c r="L69" s="4"/>
      <c r="M69" s="4"/>
      <c r="N69" s="4"/>
      <c r="P69" s="4"/>
      <c r="Q69" s="4"/>
      <c r="R69" s="4"/>
      <c r="S69" s="4"/>
      <c r="T69" s="2644"/>
      <c r="U69" s="4"/>
      <c r="V69" s="4"/>
      <c r="Y69" s="4"/>
      <c r="Z69" s="4"/>
    </row>
    <row r="70" spans="1:28" ht="15" customHeight="1" x14ac:dyDescent="0.25">
      <c r="A70" s="4"/>
      <c r="B70" s="4566" t="s">
        <v>529</v>
      </c>
      <c r="C70" s="4556"/>
      <c r="D70" s="4567">
        <v>2662</v>
      </c>
      <c r="E70" s="4550"/>
      <c r="F70" s="4"/>
      <c r="G70" s="4"/>
      <c r="H70" s="4"/>
      <c r="I70" s="4"/>
      <c r="J70" s="4"/>
      <c r="K70" s="4"/>
      <c r="L70" s="4"/>
      <c r="M70" s="4"/>
      <c r="N70" s="4"/>
      <c r="P70" s="4"/>
      <c r="Q70" s="4"/>
      <c r="R70" s="4"/>
      <c r="S70" s="4"/>
      <c r="T70" s="2644"/>
      <c r="U70" s="4"/>
      <c r="V70" s="4"/>
      <c r="Y70" s="4"/>
      <c r="Z70" s="4"/>
    </row>
    <row r="71" spans="1:28" ht="15" customHeight="1" x14ac:dyDescent="0.25">
      <c r="A71" s="4"/>
      <c r="B71" s="4566" t="s">
        <v>1936</v>
      </c>
      <c r="C71" s="4556"/>
      <c r="D71" s="4567">
        <v>1391</v>
      </c>
      <c r="E71" s="4550"/>
      <c r="F71" s="4"/>
      <c r="G71" s="4"/>
      <c r="H71" s="4"/>
      <c r="I71" s="4"/>
      <c r="J71" s="4"/>
      <c r="K71" s="4"/>
      <c r="L71" s="4"/>
      <c r="M71" s="4"/>
      <c r="N71" s="4"/>
      <c r="P71" s="4"/>
      <c r="Q71" s="4"/>
      <c r="R71" s="4"/>
      <c r="S71" s="4"/>
      <c r="T71" s="2644"/>
      <c r="U71" s="4"/>
      <c r="V71" s="4"/>
      <c r="Y71" s="4"/>
      <c r="Z71" s="4"/>
    </row>
    <row r="72" spans="1:28" ht="15" customHeight="1" thickBot="1" x14ac:dyDescent="0.3">
      <c r="A72" s="4"/>
      <c r="B72" s="4568" t="s">
        <v>1937</v>
      </c>
      <c r="C72" s="4569"/>
      <c r="D72" s="4570">
        <v>1391</v>
      </c>
      <c r="E72" s="4550"/>
      <c r="F72" s="4"/>
      <c r="G72" s="4"/>
      <c r="H72" s="4"/>
      <c r="I72" s="4"/>
      <c r="J72" s="4"/>
      <c r="K72" s="4"/>
      <c r="L72" s="4"/>
      <c r="M72" s="4"/>
      <c r="N72" s="4"/>
      <c r="P72" s="4"/>
      <c r="Q72" s="4"/>
      <c r="R72" s="4"/>
      <c r="S72" s="4"/>
      <c r="T72" s="2644"/>
      <c r="U72" s="4"/>
      <c r="V72" s="4"/>
      <c r="Y72" s="4"/>
      <c r="Z72" s="4"/>
    </row>
    <row r="73" spans="1:28" ht="15" customHeight="1" x14ac:dyDescent="0.25"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P73" s="4"/>
      <c r="Q73" s="4"/>
      <c r="R73" s="4"/>
      <c r="S73" s="4"/>
      <c r="T73" s="2644"/>
      <c r="U73" s="4"/>
      <c r="V73" s="4"/>
      <c r="Y73" s="4"/>
      <c r="Z73" s="4"/>
    </row>
    <row r="74" spans="1:28" ht="15" customHeight="1" x14ac:dyDescent="0.25"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P74" s="4"/>
      <c r="Q74" s="4"/>
      <c r="R74" s="4"/>
      <c r="S74" s="4"/>
      <c r="T74" s="2644"/>
      <c r="U74" s="4"/>
      <c r="V74" s="4"/>
      <c r="Y74" s="4"/>
      <c r="Z74" s="4"/>
    </row>
    <row r="75" spans="1:28" ht="15" customHeight="1" x14ac:dyDescent="0.25"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P75" s="4"/>
      <c r="Q75" s="4"/>
      <c r="R75" s="4"/>
      <c r="S75" s="4"/>
      <c r="T75" s="2644"/>
      <c r="U75" s="4"/>
      <c r="V75" s="4"/>
      <c r="Y75" s="4"/>
      <c r="Z75" s="4"/>
    </row>
    <row r="76" spans="1:28" ht="15" customHeight="1" x14ac:dyDescent="0.25">
      <c r="C76" s="4"/>
      <c r="D76" s="4"/>
      <c r="G76" s="4"/>
      <c r="H76" s="4"/>
      <c r="I76" s="4"/>
      <c r="J76" s="4"/>
      <c r="K76" s="4"/>
      <c r="L76" s="4"/>
      <c r="M76" s="4"/>
      <c r="N76" s="4"/>
      <c r="P76" s="4"/>
      <c r="Q76" s="4"/>
      <c r="R76" s="4"/>
      <c r="S76" s="4"/>
      <c r="T76" s="2644"/>
      <c r="U76" s="4"/>
      <c r="V76" s="4"/>
      <c r="Y76" s="4"/>
      <c r="Z76" s="4"/>
    </row>
    <row r="77" spans="1:28" ht="15" customHeight="1" x14ac:dyDescent="0.25">
      <c r="C77" s="4"/>
      <c r="D77" s="4"/>
      <c r="G77" s="4"/>
      <c r="H77" s="4"/>
      <c r="I77" s="4"/>
      <c r="J77" s="4"/>
      <c r="K77" s="4"/>
      <c r="L77" s="4"/>
      <c r="M77" s="4"/>
      <c r="N77" s="4"/>
      <c r="P77" s="4"/>
      <c r="Q77" s="4"/>
      <c r="R77" s="4"/>
      <c r="S77" s="4"/>
      <c r="T77" s="2644"/>
      <c r="U77" s="4"/>
      <c r="V77" s="4"/>
      <c r="Y77" s="4"/>
      <c r="Z77" s="4"/>
    </row>
    <row r="78" spans="1:28" ht="15" customHeight="1" x14ac:dyDescent="0.25">
      <c r="C78" s="4"/>
      <c r="D78" s="4"/>
      <c r="G78" s="4"/>
      <c r="H78" s="4"/>
      <c r="I78" s="4"/>
      <c r="J78" s="4"/>
      <c r="K78" s="4"/>
      <c r="L78" s="4"/>
      <c r="M78" s="4"/>
      <c r="N78" s="4"/>
      <c r="P78" s="4"/>
      <c r="Q78" s="4"/>
      <c r="R78" s="4"/>
      <c r="S78" s="4"/>
      <c r="T78" s="2644"/>
      <c r="U78" s="4"/>
      <c r="V78" s="4"/>
      <c r="Y78" s="4"/>
      <c r="Z78" s="4"/>
    </row>
    <row r="79" spans="1:28" ht="15" customHeight="1" x14ac:dyDescent="0.25">
      <c r="C79" s="4"/>
      <c r="D79" s="4"/>
      <c r="G79" s="4"/>
      <c r="H79" s="4"/>
      <c r="I79" s="4"/>
      <c r="J79" s="4"/>
      <c r="K79" s="431"/>
      <c r="L79" s="187"/>
      <c r="M79" s="4"/>
      <c r="N79" s="4"/>
      <c r="P79" s="4"/>
      <c r="Q79" s="4"/>
      <c r="R79" s="4"/>
      <c r="S79" s="4"/>
      <c r="T79" s="2644"/>
      <c r="U79" s="4"/>
      <c r="V79" s="4"/>
      <c r="Y79" s="4"/>
      <c r="Z79" s="4"/>
    </row>
    <row r="80" spans="1:28" ht="15" customHeight="1" x14ac:dyDescent="0.25">
      <c r="C80" s="4"/>
      <c r="D80" s="4"/>
      <c r="G80" s="4"/>
      <c r="H80" s="4"/>
      <c r="I80" s="4"/>
      <c r="J80" s="4"/>
      <c r="K80" s="4"/>
      <c r="L80" s="4"/>
      <c r="M80" s="4"/>
      <c r="N80" s="4"/>
      <c r="P80" s="4"/>
      <c r="Q80" s="4"/>
      <c r="R80" s="4"/>
      <c r="S80" s="4"/>
      <c r="T80" s="2644"/>
      <c r="U80" s="4"/>
      <c r="V80" s="4"/>
      <c r="Y80" s="4"/>
      <c r="Z80" s="4"/>
    </row>
    <row r="81" spans="3:26" ht="15" customHeight="1" x14ac:dyDescent="0.25">
      <c r="C81" s="4"/>
      <c r="D81" s="4"/>
      <c r="G81" s="4"/>
      <c r="H81" s="4"/>
      <c r="I81" s="4"/>
      <c r="J81" s="4"/>
      <c r="K81" s="4"/>
      <c r="L81" s="4"/>
      <c r="M81" s="4"/>
      <c r="N81" s="4"/>
      <c r="P81" s="4"/>
      <c r="Q81" s="4"/>
      <c r="R81" s="4"/>
      <c r="S81" s="4"/>
      <c r="T81" s="2644"/>
      <c r="U81" s="4"/>
      <c r="V81" s="4"/>
      <c r="Y81" s="4"/>
      <c r="Z81" s="4"/>
    </row>
    <row r="82" spans="3:26" ht="15" customHeight="1" x14ac:dyDescent="0.25">
      <c r="C82" s="4"/>
      <c r="D82" s="4"/>
      <c r="G82" s="4"/>
      <c r="H82" s="4"/>
      <c r="I82" s="4"/>
      <c r="J82" s="4"/>
      <c r="K82" s="4"/>
      <c r="L82" s="4"/>
      <c r="M82" s="4"/>
      <c r="N82" s="4"/>
      <c r="P82" s="4"/>
      <c r="Q82" s="4"/>
      <c r="R82" s="4"/>
      <c r="S82" s="4"/>
      <c r="T82" s="2644"/>
      <c r="U82" s="4"/>
      <c r="V82" s="4"/>
      <c r="Y82" s="4"/>
      <c r="Z82" s="4"/>
    </row>
    <row r="83" spans="3:26" ht="15" customHeight="1" x14ac:dyDescent="0.25">
      <c r="C83" s="4"/>
      <c r="D83" s="4"/>
      <c r="G83" s="4"/>
      <c r="H83" s="4"/>
      <c r="I83" s="4"/>
      <c r="J83" s="4"/>
      <c r="K83" s="4"/>
      <c r="L83" s="4"/>
      <c r="M83" s="4"/>
      <c r="N83" s="4"/>
      <c r="P83" s="4"/>
      <c r="Q83" s="4"/>
      <c r="R83" s="4"/>
      <c r="S83" s="4"/>
      <c r="T83" s="2644"/>
      <c r="U83" s="4"/>
      <c r="V83" s="4"/>
    </row>
    <row r="84" spans="3:26" ht="15" customHeight="1" x14ac:dyDescent="0.25">
      <c r="C84" s="4"/>
      <c r="D84" s="4"/>
      <c r="G84" s="4"/>
      <c r="H84" s="4"/>
      <c r="I84" s="4"/>
      <c r="J84" s="4"/>
      <c r="K84" s="4"/>
      <c r="L84" s="4"/>
      <c r="M84" s="4"/>
      <c r="N84" s="4"/>
      <c r="P84" s="4"/>
      <c r="Q84" s="4"/>
      <c r="R84" s="4"/>
      <c r="S84" s="4"/>
      <c r="T84" s="2644"/>
      <c r="U84" s="4"/>
      <c r="V84" s="4"/>
    </row>
    <row r="85" spans="3:26" ht="15" customHeight="1" x14ac:dyDescent="0.25">
      <c r="C85" s="4"/>
      <c r="D85" s="4"/>
      <c r="G85" s="4"/>
      <c r="H85" s="4"/>
      <c r="I85" s="4"/>
      <c r="J85" s="4"/>
      <c r="K85" s="4"/>
      <c r="L85" s="4"/>
      <c r="M85" s="4"/>
      <c r="N85" s="4"/>
      <c r="P85" s="4"/>
      <c r="Q85" s="4"/>
      <c r="R85" s="4"/>
      <c r="S85" s="4"/>
      <c r="T85" s="2644"/>
      <c r="U85" s="4"/>
      <c r="V85" s="4"/>
    </row>
    <row r="86" spans="3:26" ht="15" customHeight="1" x14ac:dyDescent="0.25">
      <c r="C86" s="4"/>
      <c r="D86" s="4"/>
      <c r="G86" s="4"/>
      <c r="H86" s="4"/>
      <c r="I86" s="4"/>
      <c r="J86" s="4"/>
      <c r="K86" s="4"/>
      <c r="L86" s="4"/>
      <c r="M86" s="4"/>
      <c r="N86" s="4"/>
      <c r="P86" s="4"/>
      <c r="Q86" s="4"/>
      <c r="R86" s="4"/>
      <c r="S86" s="4"/>
      <c r="T86" s="2644"/>
      <c r="U86" s="4"/>
      <c r="V86" s="4"/>
    </row>
    <row r="87" spans="3:26" ht="15" customHeight="1" x14ac:dyDescent="0.25">
      <c r="C87" s="4"/>
      <c r="D87" s="4"/>
      <c r="G87" s="4"/>
      <c r="H87" s="4"/>
      <c r="I87" s="4"/>
      <c r="J87" s="4"/>
      <c r="K87" s="4"/>
      <c r="L87" s="4"/>
      <c r="M87" s="4"/>
      <c r="N87" s="4"/>
      <c r="P87" s="4"/>
      <c r="Q87" s="4"/>
      <c r="R87" s="4"/>
      <c r="S87" s="4"/>
      <c r="T87" s="2644"/>
      <c r="U87" s="4"/>
      <c r="V87" s="4"/>
    </row>
    <row r="88" spans="3:26" ht="15" customHeight="1" x14ac:dyDescent="0.25">
      <c r="C88" s="4"/>
      <c r="D88" s="4"/>
      <c r="G88" s="4"/>
      <c r="H88" s="4"/>
      <c r="I88" s="4"/>
      <c r="J88" s="4"/>
      <c r="K88" s="4"/>
      <c r="L88" s="4"/>
      <c r="M88" s="4"/>
      <c r="N88" s="4"/>
      <c r="P88" s="4"/>
      <c r="Q88" s="4"/>
      <c r="R88" s="4"/>
      <c r="S88" s="4"/>
      <c r="T88" s="2644"/>
      <c r="U88" s="4"/>
      <c r="V88" s="4"/>
    </row>
    <row r="89" spans="3:26" ht="15" customHeight="1" x14ac:dyDescent="0.25">
      <c r="C89" s="4"/>
      <c r="D89" s="4"/>
      <c r="G89" s="4"/>
      <c r="H89" s="4"/>
      <c r="I89" s="4"/>
      <c r="J89" s="4"/>
      <c r="K89" s="4"/>
      <c r="L89" s="4"/>
      <c r="M89" s="4"/>
      <c r="N89" s="4"/>
      <c r="P89" s="4"/>
      <c r="Q89" s="4"/>
      <c r="R89" s="4"/>
      <c r="S89" s="4"/>
      <c r="T89" s="2644"/>
      <c r="U89" s="4"/>
      <c r="V89" s="4"/>
    </row>
    <row r="90" spans="3:26" ht="15" customHeight="1" x14ac:dyDescent="0.25">
      <c r="C90" s="4"/>
      <c r="D90" s="4"/>
      <c r="G90" s="4"/>
      <c r="H90" s="4"/>
      <c r="I90" s="4"/>
      <c r="J90" s="4"/>
      <c r="K90" s="4"/>
      <c r="L90" s="4"/>
      <c r="M90" s="4"/>
      <c r="N90" s="4"/>
      <c r="P90" s="4"/>
      <c r="Q90" s="4"/>
      <c r="R90" s="4"/>
      <c r="S90" s="4"/>
      <c r="T90" s="2644"/>
      <c r="U90" s="4"/>
      <c r="V90" s="4"/>
    </row>
    <row r="91" spans="3:26" ht="15" customHeight="1" x14ac:dyDescent="0.25">
      <c r="C91" s="4"/>
      <c r="D91" s="4"/>
      <c r="G91" s="4"/>
      <c r="H91" s="4"/>
      <c r="I91" s="4"/>
      <c r="J91" s="4"/>
      <c r="K91" s="4"/>
      <c r="L91" s="4"/>
      <c r="M91" s="4"/>
      <c r="N91" s="4"/>
      <c r="P91" s="4"/>
      <c r="Q91" s="4"/>
      <c r="R91" s="4"/>
      <c r="S91" s="4"/>
      <c r="T91" s="2644"/>
      <c r="U91" s="4"/>
      <c r="V91" s="4"/>
    </row>
    <row r="92" spans="3:26" ht="15" customHeight="1" x14ac:dyDescent="0.25">
      <c r="C92" s="4"/>
      <c r="D92" s="4"/>
      <c r="G92" s="4"/>
      <c r="H92" s="4"/>
      <c r="I92" s="4"/>
      <c r="J92" s="4"/>
      <c r="K92" s="4"/>
      <c r="L92" s="4"/>
      <c r="M92" s="4"/>
      <c r="N92" s="4"/>
      <c r="P92" s="4"/>
      <c r="Q92" s="4"/>
      <c r="R92" s="4"/>
      <c r="S92" s="4"/>
      <c r="T92" s="2644"/>
      <c r="U92" s="4"/>
      <c r="V92" s="4"/>
    </row>
    <row r="93" spans="3:26" ht="15" customHeight="1" x14ac:dyDescent="0.25">
      <c r="C93" s="4"/>
      <c r="D93" s="4"/>
      <c r="G93" s="4"/>
      <c r="H93" s="4"/>
      <c r="I93" s="4"/>
      <c r="J93" s="4"/>
      <c r="K93" s="4"/>
      <c r="L93" s="4"/>
      <c r="M93" s="4"/>
      <c r="N93" s="4"/>
      <c r="P93" s="4"/>
      <c r="Q93" s="4"/>
      <c r="R93" s="4"/>
      <c r="S93" s="4"/>
      <c r="T93" s="2644"/>
      <c r="U93" s="4"/>
      <c r="V93" s="4"/>
    </row>
    <row r="94" spans="3:26" ht="15" customHeight="1" x14ac:dyDescent="0.25">
      <c r="C94" s="4"/>
      <c r="D94" s="4"/>
      <c r="G94" s="4"/>
      <c r="H94" s="4"/>
      <c r="I94" s="4"/>
      <c r="J94" s="4"/>
      <c r="K94" s="4"/>
      <c r="L94" s="4"/>
      <c r="M94" s="4"/>
      <c r="N94" s="4"/>
      <c r="P94" s="4"/>
      <c r="Q94" s="4"/>
      <c r="R94" s="4"/>
      <c r="S94" s="4"/>
      <c r="T94" s="2644"/>
      <c r="U94" s="4"/>
      <c r="V94" s="4"/>
    </row>
    <row r="95" spans="3:26" ht="15" customHeight="1" x14ac:dyDescent="0.25">
      <c r="C95" s="4"/>
      <c r="D95" s="4"/>
      <c r="G95" s="4"/>
      <c r="H95" s="4"/>
      <c r="I95" s="4"/>
      <c r="J95" s="4"/>
      <c r="K95" s="4"/>
      <c r="L95" s="4"/>
      <c r="M95" s="4"/>
      <c r="N95" s="4"/>
      <c r="P95" s="4"/>
      <c r="Q95" s="4"/>
      <c r="R95" s="4"/>
      <c r="S95" s="4"/>
      <c r="T95" s="2644"/>
      <c r="U95" s="4"/>
      <c r="V95" s="4"/>
    </row>
    <row r="96" spans="3:26" ht="15" customHeight="1" x14ac:dyDescent="0.25">
      <c r="C96" s="4"/>
      <c r="D96" s="4"/>
      <c r="G96" s="4"/>
      <c r="H96" s="4"/>
      <c r="I96" s="4"/>
      <c r="J96" s="4"/>
      <c r="K96" s="4"/>
      <c r="L96" s="4"/>
      <c r="M96" s="4"/>
      <c r="N96" s="4"/>
      <c r="P96" s="4"/>
      <c r="Q96" s="4"/>
      <c r="R96" s="4"/>
      <c r="S96" s="4"/>
      <c r="T96" s="2644"/>
      <c r="U96" s="4"/>
      <c r="V96" s="4"/>
    </row>
    <row r="97" spans="3:18" ht="15" customHeight="1" x14ac:dyDescent="0.25">
      <c r="C97" s="4"/>
      <c r="D97" s="4"/>
      <c r="G97" s="4"/>
      <c r="H97" s="4"/>
      <c r="I97" s="4"/>
      <c r="J97" s="4"/>
      <c r="K97" s="4"/>
      <c r="L97" s="4"/>
      <c r="M97" s="4"/>
      <c r="N97" s="4"/>
      <c r="P97" s="4"/>
      <c r="Q97" s="4"/>
      <c r="R97" s="4"/>
    </row>
    <row r="98" spans="3:18" ht="15" customHeight="1" x14ac:dyDescent="0.25">
      <c r="C98" s="4"/>
      <c r="D98" s="4"/>
      <c r="G98" s="4"/>
      <c r="H98" s="4"/>
      <c r="I98" s="4"/>
      <c r="J98" s="4"/>
      <c r="K98" s="4"/>
      <c r="L98" s="4"/>
      <c r="M98" s="4"/>
      <c r="N98" s="4"/>
      <c r="P98" s="4"/>
      <c r="Q98" s="4"/>
      <c r="R98" s="4"/>
    </row>
    <row r="99" spans="3:18" ht="15" customHeight="1" x14ac:dyDescent="0.25">
      <c r="C99" s="4"/>
      <c r="D99" s="4"/>
      <c r="G99" s="4"/>
      <c r="H99" s="4"/>
      <c r="I99" s="4"/>
      <c r="J99" s="4"/>
      <c r="K99" s="4"/>
      <c r="L99" s="4"/>
      <c r="M99" s="4"/>
      <c r="N99" s="4"/>
      <c r="P99" s="4"/>
      <c r="Q99" s="4"/>
      <c r="R99" s="4"/>
    </row>
    <row r="100" spans="3:18" ht="15" customHeight="1" x14ac:dyDescent="0.25">
      <c r="C100" s="4"/>
      <c r="D100" s="4"/>
      <c r="G100" s="4"/>
      <c r="H100" s="4"/>
      <c r="I100" s="4"/>
      <c r="J100" s="4"/>
      <c r="K100" s="4"/>
      <c r="L100" s="4"/>
      <c r="M100" s="4"/>
      <c r="N100" s="4"/>
      <c r="P100" s="4"/>
      <c r="Q100" s="4"/>
      <c r="R100" s="4"/>
    </row>
    <row r="101" spans="3:18" x14ac:dyDescent="0.25">
      <c r="C101" s="4"/>
      <c r="D101" s="4"/>
      <c r="G101" s="4"/>
      <c r="H101" s="4"/>
      <c r="I101" s="4"/>
      <c r="J101" s="4"/>
      <c r="K101" s="4"/>
      <c r="L101" s="4"/>
      <c r="M101" s="4"/>
      <c r="N101" s="4"/>
      <c r="P101" s="4"/>
      <c r="Q101" s="4"/>
      <c r="R101" s="4"/>
    </row>
    <row r="102" spans="3:18" x14ac:dyDescent="0.25">
      <c r="C102" s="4"/>
      <c r="D102" s="4"/>
      <c r="G102" s="4"/>
      <c r="H102" s="4"/>
      <c r="I102" s="4"/>
      <c r="J102" s="4"/>
      <c r="K102" s="4"/>
      <c r="L102" s="4"/>
      <c r="M102" s="4"/>
      <c r="N102" s="4"/>
      <c r="P102" s="4"/>
      <c r="Q102" s="4"/>
      <c r="R102" s="4"/>
    </row>
    <row r="103" spans="3:18" x14ac:dyDescent="0.25">
      <c r="C103" s="4"/>
      <c r="D103" s="4"/>
      <c r="G103" s="4"/>
      <c r="H103" s="4"/>
      <c r="I103" s="4"/>
      <c r="J103" s="4"/>
      <c r="K103" s="4"/>
      <c r="L103" s="4"/>
      <c r="M103" s="4"/>
      <c r="N103" s="4"/>
      <c r="P103" s="4"/>
      <c r="Q103" s="4"/>
      <c r="R103" s="4"/>
    </row>
    <row r="104" spans="3:18" x14ac:dyDescent="0.25">
      <c r="C104" s="4"/>
      <c r="D104" s="4"/>
      <c r="G104" s="4"/>
      <c r="H104" s="4"/>
      <c r="I104" s="4"/>
      <c r="J104" s="4"/>
      <c r="K104" s="4"/>
      <c r="L104" s="4"/>
      <c r="M104" s="4"/>
      <c r="N104" s="4"/>
      <c r="P104" s="4"/>
      <c r="Q104" s="4"/>
      <c r="R104" s="4"/>
    </row>
    <row r="105" spans="3:18" x14ac:dyDescent="0.25">
      <c r="C105" s="4"/>
      <c r="D105" s="4"/>
      <c r="G105" s="4"/>
      <c r="H105" s="4"/>
      <c r="I105" s="4"/>
      <c r="J105" s="4"/>
      <c r="K105" s="4"/>
      <c r="L105" s="4"/>
      <c r="M105" s="4"/>
      <c r="N105" s="4"/>
      <c r="P105" s="4"/>
      <c r="Q105" s="4"/>
      <c r="R105" s="4"/>
    </row>
    <row r="106" spans="3:18" x14ac:dyDescent="0.25">
      <c r="C106" s="4"/>
      <c r="D106" s="4"/>
      <c r="G106" s="4"/>
      <c r="H106" s="4"/>
      <c r="I106" s="4"/>
      <c r="J106" s="4"/>
      <c r="K106" s="4"/>
      <c r="L106" s="4"/>
      <c r="M106" s="4"/>
      <c r="N106" s="4"/>
      <c r="P106" s="4"/>
      <c r="Q106" s="4"/>
      <c r="R106" s="4"/>
    </row>
  </sheetData>
  <mergeCells count="88">
    <mergeCell ref="AQ4:AR4"/>
    <mergeCell ref="AQ15:AQ19"/>
    <mergeCell ref="AQ29:AQ31"/>
    <mergeCell ref="AS4:AT4"/>
    <mergeCell ref="AS15:AS19"/>
    <mergeCell ref="AS29:AS31"/>
    <mergeCell ref="S4:T4"/>
    <mergeCell ref="U4:V4"/>
    <mergeCell ref="S15:S19"/>
    <mergeCell ref="U15:U19"/>
    <mergeCell ref="S29:S31"/>
    <mergeCell ref="U29:U31"/>
    <mergeCell ref="M29:M31"/>
    <mergeCell ref="E29:E31"/>
    <mergeCell ref="D16:D19"/>
    <mergeCell ref="O4:P4"/>
    <mergeCell ref="Q4:R4"/>
    <mergeCell ref="G29:G31"/>
    <mergeCell ref="I29:I31"/>
    <mergeCell ref="K15:K19"/>
    <mergeCell ref="K29:K31"/>
    <mergeCell ref="M15:M19"/>
    <mergeCell ref="O15:O19"/>
    <mergeCell ref="Q15:Q19"/>
    <mergeCell ref="O29:O31"/>
    <mergeCell ref="Q29:Q31"/>
    <mergeCell ref="I4:J4"/>
    <mergeCell ref="K4:L4"/>
    <mergeCell ref="C2:C3"/>
    <mergeCell ref="C4:C5"/>
    <mergeCell ref="D4:D5"/>
    <mergeCell ref="E4:F4"/>
    <mergeCell ref="G4:H4"/>
    <mergeCell ref="C8:C9"/>
    <mergeCell ref="C22:C23"/>
    <mergeCell ref="M4:N4"/>
    <mergeCell ref="E15:E19"/>
    <mergeCell ref="G15:G19"/>
    <mergeCell ref="I15:I19"/>
    <mergeCell ref="W4:X4"/>
    <mergeCell ref="AA4:AB4"/>
    <mergeCell ref="W15:W19"/>
    <mergeCell ref="AA15:AA19"/>
    <mergeCell ref="W29:W31"/>
    <mergeCell ref="AA29:AA31"/>
    <mergeCell ref="Y4:Z4"/>
    <mergeCell ref="Y15:Y19"/>
    <mergeCell ref="Y29:Y31"/>
    <mergeCell ref="AC4:AD4"/>
    <mergeCell ref="AC15:AC19"/>
    <mergeCell ref="AC29:AC31"/>
    <mergeCell ref="AE4:AF4"/>
    <mergeCell ref="AE15:AE19"/>
    <mergeCell ref="AE29:AE31"/>
    <mergeCell ref="C42:D42"/>
    <mergeCell ref="AK4:AL4"/>
    <mergeCell ref="AO4:AP4"/>
    <mergeCell ref="AK15:AK19"/>
    <mergeCell ref="AO15:AO19"/>
    <mergeCell ref="AK29:AK31"/>
    <mergeCell ref="AO29:AO31"/>
    <mergeCell ref="AM4:AN4"/>
    <mergeCell ref="AM15:AM19"/>
    <mergeCell ref="AM29:AM31"/>
    <mergeCell ref="AG4:AH4"/>
    <mergeCell ref="AI4:AJ4"/>
    <mergeCell ref="AG15:AG19"/>
    <mergeCell ref="AI15:AI19"/>
    <mergeCell ref="AG29:AG31"/>
    <mergeCell ref="AI29:AI31"/>
    <mergeCell ref="AU4:AV4"/>
    <mergeCell ref="AW4:AX4"/>
    <mergeCell ref="AU15:AU19"/>
    <mergeCell ref="AW15:AW19"/>
    <mergeCell ref="AU29:AU31"/>
    <mergeCell ref="AW29:AW31"/>
    <mergeCell ref="AY4:AZ4"/>
    <mergeCell ref="BE4:BF4"/>
    <mergeCell ref="AY15:AY19"/>
    <mergeCell ref="BE15:BE19"/>
    <mergeCell ref="AY29:AY31"/>
    <mergeCell ref="BE29:BE31"/>
    <mergeCell ref="BA4:BB4"/>
    <mergeCell ref="BA15:BA19"/>
    <mergeCell ref="BA29:BA31"/>
    <mergeCell ref="BC4:BD4"/>
    <mergeCell ref="BC15:BC19"/>
    <mergeCell ref="BC29:BC31"/>
  </mergeCells>
  <pageMargins left="0.7" right="0.7" top="0.75" bottom="0.75" header="0.3" footer="0.3"/>
  <pageSetup orientation="landscape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>
    <tabColor rgb="FF003300"/>
    <pageSetUpPr fitToPage="1"/>
  </sheetPr>
  <dimension ref="A1:BI40"/>
  <sheetViews>
    <sheetView zoomScaleNormal="100" workbookViewId="0">
      <pane xSplit="3" topLeftCell="AU1" activePane="topRight" state="frozen"/>
      <selection pane="topRight" activeCell="BG18" sqref="BG18"/>
    </sheetView>
  </sheetViews>
  <sheetFormatPr defaultColWidth="8.85546875" defaultRowHeight="15" x14ac:dyDescent="0.25"/>
  <cols>
    <col min="1" max="1" width="9.140625"/>
    <col min="2" max="2" width="28.85546875" bestFit="1" customWidth="1"/>
    <col min="3" max="3" width="16.42578125" bestFit="1" customWidth="1"/>
    <col min="4" max="7" width="7.85546875" bestFit="1" customWidth="1"/>
    <col min="8" max="9" width="9.140625" hidden="1" customWidth="1"/>
    <col min="10" max="11" width="7.85546875" bestFit="1" customWidth="1"/>
    <col min="12" max="13" width="9" bestFit="1" customWidth="1"/>
    <col min="14" max="15" width="7.7109375" bestFit="1" customWidth="1"/>
    <col min="16" max="16" width="10.28515625" hidden="1" customWidth="1"/>
    <col min="17" max="17" width="9.140625" hidden="1" customWidth="1"/>
    <col min="18" max="19" width="7.7109375" bestFit="1" customWidth="1"/>
    <col min="20" max="21" width="9" hidden="1" customWidth="1"/>
    <col min="22" max="23" width="7.7109375" bestFit="1" customWidth="1"/>
    <col min="24" max="25" width="9.7109375" bestFit="1" customWidth="1"/>
    <col min="26" max="27" width="9" bestFit="1" customWidth="1"/>
    <col min="28" max="28" width="8.85546875" customWidth="1"/>
    <col min="30" max="31" width="0" hidden="1" customWidth="1"/>
    <col min="34" max="35" width="8.85546875" hidden="1" customWidth="1"/>
    <col min="38" max="39" width="8.85546875" style="4342"/>
    <col min="40" max="41" width="0" hidden="1" customWidth="1"/>
    <col min="42" max="42" width="7.7109375" bestFit="1" customWidth="1"/>
    <col min="44" max="45" width="0" hidden="1" customWidth="1"/>
    <col min="48" max="49" width="8.85546875" hidden="1" customWidth="1"/>
    <col min="52" max="55" width="8.85546875" style="5241"/>
  </cols>
  <sheetData>
    <row r="1" spans="1:61" ht="18.75" x14ac:dyDescent="0.3">
      <c r="A1" s="3516"/>
      <c r="B1" s="3517" t="s">
        <v>102</v>
      </c>
      <c r="C1" s="3518"/>
      <c r="D1" s="3518"/>
      <c r="E1" s="3518"/>
      <c r="F1" s="3518"/>
      <c r="G1" s="3518"/>
      <c r="H1" s="3518"/>
      <c r="I1" s="3518"/>
      <c r="J1" s="3519"/>
      <c r="K1" s="3520"/>
      <c r="L1" s="3520"/>
      <c r="M1" s="3520"/>
      <c r="N1" s="3519"/>
      <c r="O1" s="3519"/>
      <c r="P1" s="3520"/>
      <c r="Q1" s="3520"/>
      <c r="R1" s="3520"/>
      <c r="S1" s="3520"/>
      <c r="T1" s="3520"/>
      <c r="U1" s="3520"/>
      <c r="V1" s="3520"/>
      <c r="W1" s="3520"/>
      <c r="X1" s="3520"/>
      <c r="Y1" s="3520"/>
      <c r="Z1" s="3520"/>
      <c r="AA1" s="3520"/>
    </row>
    <row r="2" spans="1:61" ht="19.5" thickBot="1" x14ac:dyDescent="0.35">
      <c r="A2" s="3520"/>
      <c r="B2" s="3522"/>
      <c r="C2" s="3522"/>
      <c r="D2" s="3523">
        <v>30</v>
      </c>
      <c r="E2" s="3523">
        <v>30</v>
      </c>
      <c r="F2" s="3523">
        <v>31</v>
      </c>
      <c r="G2" s="3523">
        <v>31</v>
      </c>
      <c r="H2" s="3523">
        <f>+D2+F2</f>
        <v>61</v>
      </c>
      <c r="I2" s="3523">
        <f>+E2+G2</f>
        <v>61</v>
      </c>
      <c r="J2" s="337">
        <v>30</v>
      </c>
      <c r="K2" s="3523">
        <v>30</v>
      </c>
      <c r="L2" s="3523">
        <f>+H2+J2</f>
        <v>91</v>
      </c>
      <c r="M2" s="3523">
        <f>+I2+K2</f>
        <v>91</v>
      </c>
      <c r="N2" s="337">
        <v>31</v>
      </c>
      <c r="O2" s="337">
        <v>31</v>
      </c>
      <c r="P2" s="3523">
        <f>+L2+N2</f>
        <v>122</v>
      </c>
      <c r="Q2" s="3523">
        <f>+M2+O2</f>
        <v>122</v>
      </c>
      <c r="R2" s="3523">
        <v>31</v>
      </c>
      <c r="S2" s="3523">
        <v>31</v>
      </c>
      <c r="T2" s="3523">
        <f>+P2+R2</f>
        <v>153</v>
      </c>
      <c r="U2" s="3523">
        <f>+Q2+S2</f>
        <v>153</v>
      </c>
      <c r="V2" s="3523">
        <v>30</v>
      </c>
      <c r="W2" s="3523">
        <v>30</v>
      </c>
      <c r="X2" s="3523">
        <f>+N2+R2+V2</f>
        <v>92</v>
      </c>
      <c r="Y2" s="3523">
        <f>+O2+S2+W2</f>
        <v>92</v>
      </c>
      <c r="Z2" s="3523">
        <f>+T2+V2</f>
        <v>183</v>
      </c>
      <c r="AA2" s="3523">
        <f>+U2+W2</f>
        <v>183</v>
      </c>
      <c r="AB2" s="3523">
        <v>31</v>
      </c>
      <c r="AC2" s="3523">
        <v>31</v>
      </c>
      <c r="AD2" s="3523">
        <f>+Z2+AB2</f>
        <v>214</v>
      </c>
      <c r="AE2" s="3523">
        <f>+AA2+AC2</f>
        <v>214</v>
      </c>
      <c r="AF2" s="3523">
        <v>30</v>
      </c>
      <c r="AG2" s="3523">
        <v>30</v>
      </c>
      <c r="AH2" s="3523">
        <f>+AD2+AF2</f>
        <v>244</v>
      </c>
      <c r="AI2" s="3523">
        <f>+AE2+AG2</f>
        <v>244</v>
      </c>
      <c r="AJ2" s="3523">
        <v>31</v>
      </c>
      <c r="AK2" s="3523">
        <v>31</v>
      </c>
      <c r="AL2" s="3523">
        <f>+AB2+AF2+AJ2</f>
        <v>92</v>
      </c>
      <c r="AM2" s="3523">
        <f>+AC2+AG2+AK2</f>
        <v>92</v>
      </c>
      <c r="AN2" s="3523">
        <f>+AH2+AJ2</f>
        <v>275</v>
      </c>
      <c r="AO2" s="3523">
        <f>+AI2+AK2</f>
        <v>275</v>
      </c>
      <c r="AP2" s="3523">
        <v>31</v>
      </c>
      <c r="AQ2" s="3523">
        <v>31</v>
      </c>
      <c r="AR2" s="3523">
        <f>+AN2+AP2</f>
        <v>306</v>
      </c>
      <c r="AS2" s="3523">
        <f>+AO2+AQ2</f>
        <v>306</v>
      </c>
      <c r="AT2" s="3523">
        <v>29</v>
      </c>
      <c r="AU2" s="3523">
        <v>29</v>
      </c>
      <c r="AV2" s="3523">
        <f>+AR2+AT2</f>
        <v>335</v>
      </c>
      <c r="AW2" s="3523">
        <f>+AS2+AU2</f>
        <v>335</v>
      </c>
      <c r="AX2" s="3523">
        <v>31</v>
      </c>
      <c r="AY2" s="3523">
        <v>31</v>
      </c>
      <c r="AZ2" s="3523">
        <f>+AP2+AT2+AX2</f>
        <v>91</v>
      </c>
      <c r="BA2" s="3523">
        <f>+AQ2+AU2+AY2</f>
        <v>91</v>
      </c>
      <c r="BB2" s="3523">
        <f>+AL2+AZ2</f>
        <v>183</v>
      </c>
      <c r="BC2" s="3523">
        <f>+AM2+BA2</f>
        <v>183</v>
      </c>
      <c r="BD2" s="3523">
        <f>+AV2+AX2</f>
        <v>366</v>
      </c>
      <c r="BE2" s="3523">
        <f>+AW2+AY2</f>
        <v>366</v>
      </c>
    </row>
    <row r="3" spans="1:61" ht="18.75" x14ac:dyDescent="0.3">
      <c r="A3" s="3520"/>
      <c r="B3" s="6128" t="s">
        <v>175</v>
      </c>
      <c r="C3" s="6122" t="s">
        <v>176</v>
      </c>
      <c r="D3" s="6132" t="s">
        <v>1470</v>
      </c>
      <c r="E3" s="6133"/>
      <c r="F3" s="6132" t="s">
        <v>1526</v>
      </c>
      <c r="G3" s="6133"/>
      <c r="H3" s="6119" t="s">
        <v>15</v>
      </c>
      <c r="I3" s="6583"/>
      <c r="J3" s="6132" t="s">
        <v>1620</v>
      </c>
      <c r="K3" s="6133"/>
      <c r="L3" s="6337" t="s">
        <v>658</v>
      </c>
      <c r="M3" s="6213"/>
      <c r="N3" s="6239" t="s">
        <v>1688</v>
      </c>
      <c r="O3" s="6239"/>
      <c r="P3" s="6231" t="s">
        <v>18</v>
      </c>
      <c r="Q3" s="6231"/>
      <c r="R3" s="6239" t="s">
        <v>1731</v>
      </c>
      <c r="S3" s="6239"/>
      <c r="T3" s="6231" t="s">
        <v>19</v>
      </c>
      <c r="U3" s="6231"/>
      <c r="V3" s="6239" t="s">
        <v>1766</v>
      </c>
      <c r="W3" s="6239"/>
      <c r="X3" s="6213" t="s">
        <v>682</v>
      </c>
      <c r="Y3" s="6213"/>
      <c r="Z3" s="6578" t="s">
        <v>679</v>
      </c>
      <c r="AA3" s="6578"/>
      <c r="AB3" s="6239" t="s">
        <v>1831</v>
      </c>
      <c r="AC3" s="6239"/>
      <c r="AD3" s="6231" t="s">
        <v>26</v>
      </c>
      <c r="AE3" s="6231"/>
      <c r="AF3" s="6239" t="s">
        <v>1863</v>
      </c>
      <c r="AG3" s="6239"/>
      <c r="AH3" s="6231" t="s">
        <v>29</v>
      </c>
      <c r="AI3" s="6231"/>
      <c r="AJ3" s="6239" t="s">
        <v>1888</v>
      </c>
      <c r="AK3" s="6239"/>
      <c r="AL3" s="6213" t="s">
        <v>684</v>
      </c>
      <c r="AM3" s="6213"/>
      <c r="AN3" s="6231" t="s">
        <v>1890</v>
      </c>
      <c r="AO3" s="6231"/>
      <c r="AP3" s="6239" t="s">
        <v>1918</v>
      </c>
      <c r="AQ3" s="6239"/>
      <c r="AR3" s="6231" t="s">
        <v>30</v>
      </c>
      <c r="AS3" s="6231"/>
      <c r="AT3" s="6239" t="s">
        <v>1940</v>
      </c>
      <c r="AU3" s="6239"/>
      <c r="AV3" s="6231" t="s">
        <v>32</v>
      </c>
      <c r="AW3" s="6231"/>
      <c r="AX3" s="6239" t="s">
        <v>1965</v>
      </c>
      <c r="AY3" s="6239"/>
      <c r="AZ3" s="6213" t="s">
        <v>685</v>
      </c>
      <c r="BA3" s="6213"/>
      <c r="BB3" s="6578" t="s">
        <v>693</v>
      </c>
      <c r="BC3" s="6578"/>
      <c r="BD3" s="6231" t="s">
        <v>1513</v>
      </c>
      <c r="BE3" s="6231"/>
    </row>
    <row r="4" spans="1:61" ht="18.75" x14ac:dyDescent="0.3">
      <c r="A4" s="3520"/>
      <c r="B4" s="6124"/>
      <c r="C4" s="6222"/>
      <c r="D4" s="3186" t="s">
        <v>177</v>
      </c>
      <c r="E4" s="3524" t="s">
        <v>178</v>
      </c>
      <c r="F4" s="3186" t="s">
        <v>177</v>
      </c>
      <c r="G4" s="3524" t="s">
        <v>178</v>
      </c>
      <c r="H4" s="1044" t="s">
        <v>177</v>
      </c>
      <c r="I4" s="3525" t="s">
        <v>178</v>
      </c>
      <c r="J4" s="1702" t="s">
        <v>177</v>
      </c>
      <c r="K4" s="3524" t="s">
        <v>178</v>
      </c>
      <c r="L4" s="1045" t="s">
        <v>177</v>
      </c>
      <c r="M4" s="3453" t="s">
        <v>178</v>
      </c>
      <c r="N4" s="3454" t="s">
        <v>177</v>
      </c>
      <c r="O4" s="3454" t="s">
        <v>178</v>
      </c>
      <c r="P4" s="3451" t="s">
        <v>177</v>
      </c>
      <c r="Q4" s="3451" t="s">
        <v>178</v>
      </c>
      <c r="R4" s="3454" t="s">
        <v>177</v>
      </c>
      <c r="S4" s="3454" t="s">
        <v>178</v>
      </c>
      <c r="T4" s="3451" t="s">
        <v>177</v>
      </c>
      <c r="U4" s="3451" t="s">
        <v>178</v>
      </c>
      <c r="V4" s="3454" t="s">
        <v>177</v>
      </c>
      <c r="W4" s="3454" t="s">
        <v>178</v>
      </c>
      <c r="X4" s="3453" t="s">
        <v>177</v>
      </c>
      <c r="Y4" s="3453" t="s">
        <v>178</v>
      </c>
      <c r="Z4" s="3526" t="s">
        <v>177</v>
      </c>
      <c r="AA4" s="3526" t="s">
        <v>178</v>
      </c>
      <c r="AB4" s="4137" t="s">
        <v>177</v>
      </c>
      <c r="AC4" s="4137" t="s">
        <v>178</v>
      </c>
      <c r="AD4" s="4135" t="s">
        <v>177</v>
      </c>
      <c r="AE4" s="4135" t="s">
        <v>178</v>
      </c>
      <c r="AF4" s="4226" t="s">
        <v>177</v>
      </c>
      <c r="AG4" s="4226" t="s">
        <v>178</v>
      </c>
      <c r="AH4" s="4224" t="s">
        <v>177</v>
      </c>
      <c r="AI4" s="4224" t="s">
        <v>178</v>
      </c>
      <c r="AJ4" s="4343" t="s">
        <v>177</v>
      </c>
      <c r="AK4" s="4343" t="s">
        <v>178</v>
      </c>
      <c r="AL4" s="4341" t="s">
        <v>177</v>
      </c>
      <c r="AM4" s="4341" t="s">
        <v>178</v>
      </c>
      <c r="AN4" s="4339" t="s">
        <v>177</v>
      </c>
      <c r="AO4" s="4339" t="s">
        <v>178</v>
      </c>
      <c r="AP4" s="4442" t="s">
        <v>177</v>
      </c>
      <c r="AQ4" s="4442" t="s">
        <v>178</v>
      </c>
      <c r="AR4" s="4440" t="s">
        <v>177</v>
      </c>
      <c r="AS4" s="4440" t="s">
        <v>178</v>
      </c>
      <c r="AT4" s="4691" t="s">
        <v>177</v>
      </c>
      <c r="AU4" s="4691" t="s">
        <v>178</v>
      </c>
      <c r="AV4" s="4689" t="s">
        <v>177</v>
      </c>
      <c r="AW4" s="4689" t="s">
        <v>178</v>
      </c>
      <c r="AX4" s="5242" t="s">
        <v>177</v>
      </c>
      <c r="AY4" s="5242" t="s">
        <v>178</v>
      </c>
      <c r="AZ4" s="5240" t="s">
        <v>177</v>
      </c>
      <c r="BA4" s="5240" t="s">
        <v>178</v>
      </c>
      <c r="BB4" s="5247" t="s">
        <v>177</v>
      </c>
      <c r="BC4" s="5247" t="s">
        <v>178</v>
      </c>
      <c r="BD4" s="5236" t="s">
        <v>177</v>
      </c>
      <c r="BE4" s="5236" t="s">
        <v>178</v>
      </c>
    </row>
    <row r="5" spans="1:61" ht="18.75" x14ac:dyDescent="0.3">
      <c r="A5" s="3516"/>
      <c r="B5" s="1924" t="s">
        <v>0</v>
      </c>
      <c r="C5" s="1712"/>
      <c r="D5" s="1928"/>
      <c r="E5" s="1925"/>
      <c r="F5" s="1928"/>
      <c r="G5" s="1925"/>
      <c r="H5" s="1922"/>
      <c r="I5" s="1925"/>
      <c r="J5" s="1929"/>
      <c r="K5" s="1925"/>
      <c r="L5" s="1922"/>
      <c r="M5" s="1159"/>
      <c r="N5" s="1160"/>
      <c r="O5" s="1160"/>
      <c r="P5" s="1159"/>
      <c r="Q5" s="1159"/>
      <c r="R5" s="1160"/>
      <c r="S5" s="1160"/>
      <c r="T5" s="1159"/>
      <c r="U5" s="1159"/>
      <c r="V5" s="1160"/>
      <c r="W5" s="1160"/>
      <c r="X5" s="1922"/>
      <c r="Y5" s="1159"/>
      <c r="Z5" s="1159"/>
      <c r="AA5" s="1159"/>
      <c r="AB5" s="1160"/>
      <c r="AC5" s="1160"/>
      <c r="AD5" s="1159"/>
      <c r="AE5" s="1159"/>
      <c r="AF5" s="1160"/>
      <c r="AG5" s="1160"/>
      <c r="AH5" s="1159"/>
      <c r="AI5" s="1159"/>
      <c r="AJ5" s="1160"/>
      <c r="AK5" s="1160"/>
      <c r="AL5" s="1922"/>
      <c r="AM5" s="1159"/>
      <c r="AN5" s="1159"/>
      <c r="AO5" s="1159"/>
      <c r="AP5" s="1160"/>
      <c r="AQ5" s="1160"/>
      <c r="AR5" s="1159"/>
      <c r="AS5" s="1159"/>
      <c r="AT5" s="1160"/>
      <c r="AU5" s="1160"/>
      <c r="AV5" s="1159"/>
      <c r="AW5" s="1159"/>
      <c r="AX5" s="1160"/>
      <c r="AY5" s="1160"/>
      <c r="AZ5" s="1922"/>
      <c r="BA5" s="1159"/>
      <c r="BB5" s="1159"/>
      <c r="BC5" s="1159"/>
      <c r="BD5" s="1159"/>
      <c r="BE5" s="1159"/>
    </row>
    <row r="6" spans="1:61" ht="18.75" x14ac:dyDescent="0.3">
      <c r="A6" s="3516"/>
      <c r="B6" s="6582" t="s">
        <v>424</v>
      </c>
      <c r="C6" s="66" t="s">
        <v>423</v>
      </c>
      <c r="D6" s="897">
        <v>1180.8</v>
      </c>
      <c r="E6" s="3178">
        <v>1188.6700000000003</v>
      </c>
      <c r="F6" s="897">
        <v>1141.44</v>
      </c>
      <c r="G6" s="3178">
        <v>1171.0999999999999</v>
      </c>
      <c r="H6" s="423">
        <f>+D6+F6</f>
        <v>2322.2399999999998</v>
      </c>
      <c r="I6" s="250">
        <f>+E6+G6</f>
        <v>2359.7700000000004</v>
      </c>
      <c r="J6" s="897">
        <v>1180.8</v>
      </c>
      <c r="K6" s="3178">
        <v>1049.1600000000001</v>
      </c>
      <c r="L6" s="486">
        <f>+D6+F6+J6</f>
        <v>3503.04</v>
      </c>
      <c r="M6" s="486">
        <f>+E6+G6+K6</f>
        <v>3408.9300000000003</v>
      </c>
      <c r="N6" s="897">
        <v>1220.1600000000001</v>
      </c>
      <c r="O6" s="3178">
        <v>1242.1499999999999</v>
      </c>
      <c r="P6" s="3450">
        <f>+L6+N6</f>
        <v>4723.2</v>
      </c>
      <c r="Q6" s="3450">
        <f>+M6+O6</f>
        <v>4651.08</v>
      </c>
      <c r="R6" s="897">
        <v>1220.1600000000001</v>
      </c>
      <c r="S6" s="3178">
        <v>1227.4500000000003</v>
      </c>
      <c r="T6" s="3450">
        <f>+P6+R6</f>
        <v>5943.36</v>
      </c>
      <c r="U6" s="3450">
        <f>+Q6+S6</f>
        <v>5878.5300000000007</v>
      </c>
      <c r="V6" s="897">
        <v>1180.8</v>
      </c>
      <c r="W6" s="3178">
        <v>1205.3299999999997</v>
      </c>
      <c r="X6" s="486">
        <f>N6+R6+V6</f>
        <v>3621.12</v>
      </c>
      <c r="Y6" s="486">
        <f>O6+S6+W6</f>
        <v>3674.9300000000003</v>
      </c>
      <c r="Z6" s="595">
        <f>L6+X6</f>
        <v>7124.16</v>
      </c>
      <c r="AA6" s="595">
        <f>M6+Y6</f>
        <v>7083.8600000000006</v>
      </c>
      <c r="AB6" s="897">
        <v>1220.1600000000001</v>
      </c>
      <c r="AC6" s="3178">
        <v>1246.2099999999996</v>
      </c>
      <c r="AD6" s="4134">
        <f>+Z6+AB6</f>
        <v>8344.32</v>
      </c>
      <c r="AE6" s="4134">
        <f>+AA6+AC6</f>
        <v>8330.07</v>
      </c>
      <c r="AF6" s="897">
        <v>1180.8</v>
      </c>
      <c r="AG6" s="3178">
        <v>1206.03</v>
      </c>
      <c r="AH6" s="4223">
        <f>+AD6+AF6</f>
        <v>9525.119999999999</v>
      </c>
      <c r="AI6" s="4223">
        <f>+AE6+AG6</f>
        <v>9536.1</v>
      </c>
      <c r="AJ6" s="897">
        <v>1220.1600000000001</v>
      </c>
      <c r="AK6" s="3178">
        <v>1260.8399999999997</v>
      </c>
      <c r="AL6" s="486">
        <f>AB6+AF6+AJ6</f>
        <v>3621.12</v>
      </c>
      <c r="AM6" s="486">
        <f>AC6+AG6+AK6</f>
        <v>3713.0799999999995</v>
      </c>
      <c r="AN6" s="4340">
        <f>+AH6+AJ6</f>
        <v>10745.279999999999</v>
      </c>
      <c r="AO6" s="4340">
        <f>+AI6+AK6</f>
        <v>10796.94</v>
      </c>
      <c r="AP6" s="897">
        <v>1220.1600000000001</v>
      </c>
      <c r="AQ6" s="3178">
        <v>1253.3499999999997</v>
      </c>
      <c r="AR6" s="4439">
        <f>+AN6+AP6</f>
        <v>11965.439999999999</v>
      </c>
      <c r="AS6" s="4439">
        <f>+AO6+AQ6</f>
        <v>12050.29</v>
      </c>
      <c r="AT6" s="897">
        <v>1141.44</v>
      </c>
      <c r="AU6" s="3178">
        <v>1175.7899999999997</v>
      </c>
      <c r="AV6" s="4690">
        <f>+AR6+AT6</f>
        <v>13106.88</v>
      </c>
      <c r="AW6" s="4690">
        <f>+AS6+AU6</f>
        <v>13226.08</v>
      </c>
      <c r="AX6" s="897">
        <v>1220.1600000000001</v>
      </c>
      <c r="AY6" s="3178">
        <v>1257.4800000000002</v>
      </c>
      <c r="AZ6" s="486">
        <f>AP6+AT6+AX6</f>
        <v>3581.76</v>
      </c>
      <c r="BA6" s="486">
        <f>AQ6+AU6+AY6</f>
        <v>3686.62</v>
      </c>
      <c r="BB6" s="595">
        <f>AL6+AZ6</f>
        <v>7202.88</v>
      </c>
      <c r="BC6" s="595">
        <f>AM6+BA6</f>
        <v>7399.6999999999989</v>
      </c>
      <c r="BD6" s="5235">
        <f>+AV6+AX6</f>
        <v>14327.039999999999</v>
      </c>
      <c r="BE6" s="5235">
        <f>+AW6+AY6</f>
        <v>14483.56</v>
      </c>
      <c r="BF6" s="26"/>
      <c r="BG6" s="26"/>
      <c r="BH6" s="26"/>
      <c r="BI6" s="26"/>
    </row>
    <row r="7" spans="1:61" ht="18.75" x14ac:dyDescent="0.3">
      <c r="A7" s="3516"/>
      <c r="B7" s="6582"/>
      <c r="C7" s="66" t="s">
        <v>52</v>
      </c>
      <c r="D7" s="897">
        <v>1686.8571428571429</v>
      </c>
      <c r="E7" s="3178">
        <v>1698.1000000000004</v>
      </c>
      <c r="F7" s="897">
        <v>1630.6285714285716</v>
      </c>
      <c r="G7" s="3178">
        <v>1673</v>
      </c>
      <c r="H7" s="423">
        <f t="shared" ref="H7:I15" si="0">+D7+F7</f>
        <v>3317.4857142857145</v>
      </c>
      <c r="I7" s="250">
        <f t="shared" si="0"/>
        <v>3371.1000000000004</v>
      </c>
      <c r="J7" s="897">
        <v>1686.8571428571429</v>
      </c>
      <c r="K7" s="3178">
        <v>1498.8</v>
      </c>
      <c r="L7" s="486">
        <f t="shared" ref="L7:L15" si="1">+D7+F7+J7</f>
        <v>5004.3428571428576</v>
      </c>
      <c r="M7" s="486">
        <f t="shared" ref="M7:M15" si="2">+E7+G7+K7</f>
        <v>4869.9000000000005</v>
      </c>
      <c r="N7" s="897">
        <v>1743.0857142857144</v>
      </c>
      <c r="O7" s="3178">
        <v>1774.4999999999998</v>
      </c>
      <c r="P7" s="3450">
        <f t="shared" ref="P7:Q15" si="3">+L7+N7</f>
        <v>6747.4285714285725</v>
      </c>
      <c r="Q7" s="3450">
        <f t="shared" si="3"/>
        <v>6644.4000000000005</v>
      </c>
      <c r="R7" s="897">
        <v>1743.0857142857144</v>
      </c>
      <c r="S7" s="3178">
        <v>1753.5000000000002</v>
      </c>
      <c r="T7" s="3450">
        <f t="shared" ref="T7:T15" si="4">+P7+R7</f>
        <v>8490.5142857142873</v>
      </c>
      <c r="U7" s="3450">
        <f t="shared" ref="U7:U15" si="5">+Q7+S7</f>
        <v>8397.9000000000015</v>
      </c>
      <c r="V7" s="897">
        <v>1686.8571428571429</v>
      </c>
      <c r="W7" s="3178">
        <v>1721.8999999999996</v>
      </c>
      <c r="X7" s="486">
        <f t="shared" ref="X7:X15" si="6">N7+R7+V7</f>
        <v>5173.0285714285719</v>
      </c>
      <c r="Y7" s="486">
        <f t="shared" ref="Y7:Y15" si="7">O7+S7+W7</f>
        <v>5249.9</v>
      </c>
      <c r="Z7" s="595">
        <f t="shared" ref="Z7:Z15" si="8">L7+X7</f>
        <v>10177.37142857143</v>
      </c>
      <c r="AA7" s="595">
        <f t="shared" ref="AA7:AA15" si="9">M7+Y7</f>
        <v>10119.799999999999</v>
      </c>
      <c r="AB7" s="897">
        <v>1743.0857142857144</v>
      </c>
      <c r="AC7" s="3178">
        <v>1780.2999999999995</v>
      </c>
      <c r="AD7" s="4134">
        <f t="shared" ref="AD7:AD15" si="10">+Z7+AB7</f>
        <v>11920.457142857145</v>
      </c>
      <c r="AE7" s="4134">
        <f t="shared" ref="AE7:AE15" si="11">+AA7+AC7</f>
        <v>11900.099999999999</v>
      </c>
      <c r="AF7" s="897">
        <v>1686.8571428571429</v>
      </c>
      <c r="AG7" s="3178">
        <v>1722.9</v>
      </c>
      <c r="AH7" s="4223">
        <f t="shared" ref="AH7:AH15" si="12">+AD7+AF7</f>
        <v>13607.314285714288</v>
      </c>
      <c r="AI7" s="4223">
        <f t="shared" ref="AI7:AI15" si="13">+AE7+AG7</f>
        <v>13622.999999999998</v>
      </c>
      <c r="AJ7" s="897">
        <v>1743.0857142857144</v>
      </c>
      <c r="AK7" s="3178">
        <v>1801.1999999999998</v>
      </c>
      <c r="AL7" s="486">
        <f t="shared" ref="AL7:AL15" si="14">AB7+AF7+AJ7</f>
        <v>5173.028571428571</v>
      </c>
      <c r="AM7" s="486">
        <f t="shared" ref="AM7:AM15" si="15">AC7+AG7+AK7</f>
        <v>5304.4</v>
      </c>
      <c r="AN7" s="4340">
        <f t="shared" ref="AN7:AN15" si="16">+AH7+AJ7</f>
        <v>15350.400000000003</v>
      </c>
      <c r="AO7" s="4340">
        <f t="shared" ref="AO7:AO15" si="17">+AI7+AK7</f>
        <v>15424.199999999997</v>
      </c>
      <c r="AP7" s="897">
        <v>1743.0857142857144</v>
      </c>
      <c r="AQ7" s="3178">
        <v>1790.4999999999998</v>
      </c>
      <c r="AR7" s="4439">
        <f t="shared" ref="AR7:AR15" si="18">+AN7+AP7</f>
        <v>17093.485714285718</v>
      </c>
      <c r="AS7" s="4439">
        <f t="shared" ref="AS7:AS15" si="19">+AO7+AQ7</f>
        <v>17214.699999999997</v>
      </c>
      <c r="AT7" s="897">
        <v>1630.6285714285716</v>
      </c>
      <c r="AU7" s="3178">
        <v>1679.6999999999996</v>
      </c>
      <c r="AV7" s="4690">
        <f t="shared" ref="AV7:AV15" si="20">+AR7+AT7</f>
        <v>18724.114285714291</v>
      </c>
      <c r="AW7" s="4690">
        <f t="shared" ref="AW7:AW15" si="21">+AS7+AU7</f>
        <v>18894.399999999998</v>
      </c>
      <c r="AX7" s="897">
        <v>1743.0857142857144</v>
      </c>
      <c r="AY7" s="3178">
        <v>1796.4000000000003</v>
      </c>
      <c r="AZ7" s="486">
        <f t="shared" ref="AZ7:AZ15" si="22">AP7+AT7+AX7</f>
        <v>5116.8000000000011</v>
      </c>
      <c r="BA7" s="486">
        <f t="shared" ref="BA7:BA15" si="23">AQ7+AU7+AY7</f>
        <v>5266.5999999999995</v>
      </c>
      <c r="BB7" s="595">
        <f t="shared" ref="BB7:BB15" si="24">AL7+AZ7</f>
        <v>10289.828571428572</v>
      </c>
      <c r="BC7" s="595">
        <f t="shared" ref="BC7:BC15" si="25">AM7+BA7</f>
        <v>10571</v>
      </c>
      <c r="BD7" s="5235">
        <f t="shared" ref="BD7:BD15" si="26">+AV7+AX7</f>
        <v>20467.200000000004</v>
      </c>
      <c r="BE7" s="5235">
        <f t="shared" ref="BE7:BE15" si="27">+AW7+AY7</f>
        <v>20690.8</v>
      </c>
      <c r="BF7" s="26"/>
      <c r="BG7" s="26"/>
      <c r="BH7" s="26"/>
      <c r="BI7" s="26"/>
    </row>
    <row r="8" spans="1:61" ht="18.75" x14ac:dyDescent="0.3">
      <c r="A8" s="3516"/>
      <c r="B8" s="6582" t="s">
        <v>425</v>
      </c>
      <c r="C8" s="66" t="s">
        <v>423</v>
      </c>
      <c r="D8" s="897">
        <v>28728</v>
      </c>
      <c r="E8" s="3178">
        <v>29237.740000000005</v>
      </c>
      <c r="F8" s="897">
        <v>27770.400000000001</v>
      </c>
      <c r="G8" s="3178">
        <v>28641.53</v>
      </c>
      <c r="H8" s="423">
        <f t="shared" si="0"/>
        <v>56498.400000000001</v>
      </c>
      <c r="I8" s="250">
        <f t="shared" si="0"/>
        <v>57879.270000000004</v>
      </c>
      <c r="J8" s="897">
        <v>28728</v>
      </c>
      <c r="K8" s="3178">
        <v>25863.67</v>
      </c>
      <c r="L8" s="486">
        <f t="shared" si="1"/>
        <v>85226.4</v>
      </c>
      <c r="M8" s="486">
        <f t="shared" si="2"/>
        <v>83742.94</v>
      </c>
      <c r="N8" s="897">
        <v>29685.599999999999</v>
      </c>
      <c r="O8" s="3178">
        <v>30179.029999999992</v>
      </c>
      <c r="P8" s="3450">
        <f t="shared" si="3"/>
        <v>114912</v>
      </c>
      <c r="Q8" s="3450">
        <f t="shared" si="3"/>
        <v>113921.97</v>
      </c>
      <c r="R8" s="897">
        <v>29685.599999999999</v>
      </c>
      <c r="S8" s="3178">
        <v>29958.740000000009</v>
      </c>
      <c r="T8" s="3450">
        <f t="shared" si="4"/>
        <v>144597.6</v>
      </c>
      <c r="U8" s="3450">
        <f t="shared" si="5"/>
        <v>143880.71000000002</v>
      </c>
      <c r="V8" s="897">
        <v>28728</v>
      </c>
      <c r="W8" s="3178">
        <v>29293.18</v>
      </c>
      <c r="X8" s="486">
        <f t="shared" si="6"/>
        <v>88099.199999999997</v>
      </c>
      <c r="Y8" s="486">
        <f t="shared" si="7"/>
        <v>89430.950000000012</v>
      </c>
      <c r="Z8" s="595">
        <f t="shared" si="8"/>
        <v>173325.59999999998</v>
      </c>
      <c r="AA8" s="595">
        <f t="shared" si="9"/>
        <v>173173.89</v>
      </c>
      <c r="AB8" s="897">
        <v>29685.599999999999</v>
      </c>
      <c r="AC8" s="3178">
        <v>30327.779999999984</v>
      </c>
      <c r="AD8" s="4134">
        <f t="shared" si="10"/>
        <v>203011.19999999998</v>
      </c>
      <c r="AE8" s="4134">
        <f t="shared" si="11"/>
        <v>203501.66999999998</v>
      </c>
      <c r="AF8" s="897">
        <v>28728</v>
      </c>
      <c r="AG8" s="3178">
        <v>29438.359999999993</v>
      </c>
      <c r="AH8" s="4223">
        <f t="shared" si="12"/>
        <v>231739.19999999998</v>
      </c>
      <c r="AI8" s="4223">
        <f t="shared" si="13"/>
        <v>232940.02999999997</v>
      </c>
      <c r="AJ8" s="897">
        <v>29685.599999999999</v>
      </c>
      <c r="AK8" s="3178">
        <v>30450.000000000004</v>
      </c>
      <c r="AL8" s="486">
        <f t="shared" si="14"/>
        <v>88099.199999999997</v>
      </c>
      <c r="AM8" s="486">
        <f t="shared" si="15"/>
        <v>90216.139999999985</v>
      </c>
      <c r="AN8" s="4340">
        <f t="shared" si="16"/>
        <v>261424.8</v>
      </c>
      <c r="AO8" s="4340">
        <f t="shared" si="17"/>
        <v>263390.02999999997</v>
      </c>
      <c r="AP8" s="897">
        <v>29685.599999999999</v>
      </c>
      <c r="AQ8" s="3178">
        <v>30259.600000000002</v>
      </c>
      <c r="AR8" s="4439">
        <f t="shared" si="18"/>
        <v>291110.39999999997</v>
      </c>
      <c r="AS8" s="4439">
        <f t="shared" si="19"/>
        <v>293649.62999999995</v>
      </c>
      <c r="AT8" s="897">
        <v>27770.400000000001</v>
      </c>
      <c r="AU8" s="3178">
        <v>28369.180000000008</v>
      </c>
      <c r="AV8" s="4690">
        <f t="shared" si="20"/>
        <v>318880.8</v>
      </c>
      <c r="AW8" s="4690">
        <f t="shared" si="21"/>
        <v>322018.80999999994</v>
      </c>
      <c r="AX8" s="897">
        <v>29685.599999999999</v>
      </c>
      <c r="AY8" s="3178">
        <v>30345.489999999994</v>
      </c>
      <c r="AZ8" s="486">
        <f t="shared" si="22"/>
        <v>87141.6</v>
      </c>
      <c r="BA8" s="486">
        <f t="shared" si="23"/>
        <v>88974.27</v>
      </c>
      <c r="BB8" s="595">
        <f t="shared" si="24"/>
        <v>175240.8</v>
      </c>
      <c r="BC8" s="595">
        <f t="shared" si="25"/>
        <v>179190.40999999997</v>
      </c>
      <c r="BD8" s="5235">
        <f t="shared" si="26"/>
        <v>348566.39999999997</v>
      </c>
      <c r="BE8" s="5235">
        <f t="shared" si="27"/>
        <v>352364.29999999993</v>
      </c>
      <c r="BF8" s="26"/>
      <c r="BG8" s="26"/>
      <c r="BH8" s="26"/>
      <c r="BI8" s="26"/>
    </row>
    <row r="9" spans="1:61" ht="18.75" x14ac:dyDescent="0.3">
      <c r="A9" s="3516"/>
      <c r="B9" s="6582"/>
      <c r="C9" s="66" t="s">
        <v>52</v>
      </c>
      <c r="D9" s="897">
        <v>41040</v>
      </c>
      <c r="E9" s="3178">
        <v>41768.200000000004</v>
      </c>
      <c r="F9" s="897">
        <v>39672</v>
      </c>
      <c r="G9" s="3178">
        <v>40916.47</v>
      </c>
      <c r="H9" s="423">
        <f t="shared" si="0"/>
        <v>80712</v>
      </c>
      <c r="I9" s="250">
        <f t="shared" si="0"/>
        <v>82684.670000000013</v>
      </c>
      <c r="J9" s="897">
        <v>41040</v>
      </c>
      <c r="K9" s="3178">
        <v>36948.1</v>
      </c>
      <c r="L9" s="486">
        <f t="shared" si="1"/>
        <v>121752</v>
      </c>
      <c r="M9" s="486">
        <f t="shared" si="2"/>
        <v>119632.77000000002</v>
      </c>
      <c r="N9" s="897">
        <v>42408</v>
      </c>
      <c r="O9" s="3178">
        <v>43112.899999999987</v>
      </c>
      <c r="P9" s="3450">
        <f t="shared" si="3"/>
        <v>164160</v>
      </c>
      <c r="Q9" s="3450">
        <f t="shared" si="3"/>
        <v>162745.67000000001</v>
      </c>
      <c r="R9" s="897">
        <v>42408</v>
      </c>
      <c r="S9" s="3178">
        <v>42798.200000000012</v>
      </c>
      <c r="T9" s="3450">
        <f t="shared" si="4"/>
        <v>206568</v>
      </c>
      <c r="U9" s="3450">
        <f t="shared" si="5"/>
        <v>205543.87000000002</v>
      </c>
      <c r="V9" s="897">
        <v>41040</v>
      </c>
      <c r="W9" s="3178">
        <v>41847.4</v>
      </c>
      <c r="X9" s="486">
        <f t="shared" si="6"/>
        <v>125856</v>
      </c>
      <c r="Y9" s="486">
        <f t="shared" si="7"/>
        <v>127758.5</v>
      </c>
      <c r="Z9" s="595">
        <f t="shared" si="8"/>
        <v>247608</v>
      </c>
      <c r="AA9" s="595">
        <f t="shared" si="9"/>
        <v>247391.27000000002</v>
      </c>
      <c r="AB9" s="897">
        <v>42408</v>
      </c>
      <c r="AC9" s="3178">
        <v>43325.39999999998</v>
      </c>
      <c r="AD9" s="4134">
        <f t="shared" si="10"/>
        <v>290016</v>
      </c>
      <c r="AE9" s="4134">
        <f t="shared" si="11"/>
        <v>290716.67</v>
      </c>
      <c r="AF9" s="897">
        <v>41040</v>
      </c>
      <c r="AG9" s="3178">
        <v>42054.799999999988</v>
      </c>
      <c r="AH9" s="4223">
        <f t="shared" si="12"/>
        <v>331056</v>
      </c>
      <c r="AI9" s="4223">
        <f t="shared" si="13"/>
        <v>332771.46999999997</v>
      </c>
      <c r="AJ9" s="897">
        <v>42408</v>
      </c>
      <c r="AK9" s="3178">
        <v>43500.000000000007</v>
      </c>
      <c r="AL9" s="486">
        <f t="shared" si="14"/>
        <v>125856</v>
      </c>
      <c r="AM9" s="486">
        <f t="shared" si="15"/>
        <v>128880.19999999998</v>
      </c>
      <c r="AN9" s="4340">
        <f t="shared" si="16"/>
        <v>373464</v>
      </c>
      <c r="AO9" s="4340">
        <f t="shared" si="17"/>
        <v>376271.47</v>
      </c>
      <c r="AP9" s="897">
        <v>42408</v>
      </c>
      <c r="AQ9" s="3178">
        <v>43228.000000000007</v>
      </c>
      <c r="AR9" s="4439">
        <f t="shared" si="18"/>
        <v>415872</v>
      </c>
      <c r="AS9" s="4439">
        <f t="shared" si="19"/>
        <v>419499.47</v>
      </c>
      <c r="AT9" s="897">
        <v>39672.000000000007</v>
      </c>
      <c r="AU9" s="3178">
        <v>40527.400000000009</v>
      </c>
      <c r="AV9" s="4690">
        <f t="shared" si="20"/>
        <v>455544</v>
      </c>
      <c r="AW9" s="4690">
        <f t="shared" si="21"/>
        <v>460026.87</v>
      </c>
      <c r="AX9" s="897">
        <v>42408</v>
      </c>
      <c r="AY9" s="3178">
        <v>43350.69999999999</v>
      </c>
      <c r="AZ9" s="486">
        <f t="shared" si="22"/>
        <v>124488</v>
      </c>
      <c r="BA9" s="486">
        <f t="shared" si="23"/>
        <v>127106.1</v>
      </c>
      <c r="BB9" s="595">
        <f t="shared" si="24"/>
        <v>250344</v>
      </c>
      <c r="BC9" s="595">
        <f t="shared" si="25"/>
        <v>255986.3</v>
      </c>
      <c r="BD9" s="5235">
        <f t="shared" si="26"/>
        <v>497952</v>
      </c>
      <c r="BE9" s="5235">
        <f t="shared" si="27"/>
        <v>503377.57</v>
      </c>
      <c r="BF9" s="26"/>
      <c r="BG9" s="26"/>
      <c r="BH9" s="26"/>
      <c r="BI9" s="26"/>
    </row>
    <row r="10" spans="1:61" ht="18.75" x14ac:dyDescent="0.3">
      <c r="A10" s="3516"/>
      <c r="B10" s="6582" t="s">
        <v>426</v>
      </c>
      <c r="C10" s="66" t="s">
        <v>423</v>
      </c>
      <c r="D10" s="897">
        <v>590.4</v>
      </c>
      <c r="E10" s="3178">
        <v>657.76</v>
      </c>
      <c r="F10" s="897">
        <v>570.72</v>
      </c>
      <c r="G10" s="3178">
        <v>644.32000000000005</v>
      </c>
      <c r="H10" s="1023">
        <f t="shared" si="0"/>
        <v>1161.1199999999999</v>
      </c>
      <c r="I10" s="250">
        <f t="shared" si="0"/>
        <v>1302.08</v>
      </c>
      <c r="J10" s="897">
        <v>590.4</v>
      </c>
      <c r="K10" s="3178">
        <v>583.12</v>
      </c>
      <c r="L10" s="486">
        <f t="shared" si="1"/>
        <v>1751.52</v>
      </c>
      <c r="M10" s="486">
        <f t="shared" si="2"/>
        <v>1885.1999999999998</v>
      </c>
      <c r="N10" s="897">
        <v>610.08000000000004</v>
      </c>
      <c r="O10" s="3178">
        <v>684.4799999999999</v>
      </c>
      <c r="P10" s="3450">
        <f t="shared" si="3"/>
        <v>2361.6</v>
      </c>
      <c r="Q10" s="3450">
        <f t="shared" si="3"/>
        <v>2569.6799999999998</v>
      </c>
      <c r="R10" s="897">
        <v>610.08000000000004</v>
      </c>
      <c r="S10" s="3178">
        <v>680.32000000000028</v>
      </c>
      <c r="T10" s="3450">
        <f t="shared" si="4"/>
        <v>2971.68</v>
      </c>
      <c r="U10" s="3450">
        <f t="shared" si="5"/>
        <v>3250</v>
      </c>
      <c r="V10" s="897">
        <v>590.4</v>
      </c>
      <c r="W10" s="3178">
        <v>661.67999999999984</v>
      </c>
      <c r="X10" s="486">
        <f t="shared" si="6"/>
        <v>1810.56</v>
      </c>
      <c r="Y10" s="486">
        <f t="shared" si="7"/>
        <v>2026.48</v>
      </c>
      <c r="Z10" s="595">
        <f t="shared" si="8"/>
        <v>3562.08</v>
      </c>
      <c r="AA10" s="595">
        <f t="shared" si="9"/>
        <v>3911.68</v>
      </c>
      <c r="AB10" s="897">
        <v>610.08000000000004</v>
      </c>
      <c r="AC10" s="3178">
        <v>682.4</v>
      </c>
      <c r="AD10" s="4134">
        <f t="shared" si="10"/>
        <v>4172.16</v>
      </c>
      <c r="AE10" s="4134">
        <f t="shared" si="11"/>
        <v>4594.08</v>
      </c>
      <c r="AF10" s="897">
        <v>590.4</v>
      </c>
      <c r="AG10" s="3178">
        <v>666.31999999999994</v>
      </c>
      <c r="AH10" s="4223">
        <f t="shared" si="12"/>
        <v>4762.5599999999995</v>
      </c>
      <c r="AI10" s="4223">
        <f t="shared" si="13"/>
        <v>5260.4</v>
      </c>
      <c r="AJ10" s="897">
        <v>610.08000000000004</v>
      </c>
      <c r="AK10" s="3178">
        <v>692.88000000000011</v>
      </c>
      <c r="AL10" s="486">
        <f t="shared" si="14"/>
        <v>1810.56</v>
      </c>
      <c r="AM10" s="486">
        <f t="shared" si="15"/>
        <v>2041.6</v>
      </c>
      <c r="AN10" s="4340">
        <f t="shared" si="16"/>
        <v>5372.6399999999994</v>
      </c>
      <c r="AO10" s="4340">
        <f t="shared" si="17"/>
        <v>5953.28</v>
      </c>
      <c r="AP10" s="897">
        <v>610.08000000000004</v>
      </c>
      <c r="AQ10" s="3178">
        <v>689.68000000000006</v>
      </c>
      <c r="AR10" s="4439">
        <f t="shared" si="18"/>
        <v>5982.7199999999993</v>
      </c>
      <c r="AS10" s="4439">
        <f t="shared" si="19"/>
        <v>6642.96</v>
      </c>
      <c r="AT10" s="897">
        <v>570.72</v>
      </c>
      <c r="AU10" s="3178">
        <v>646.72000000000014</v>
      </c>
      <c r="AV10" s="4690">
        <f t="shared" si="20"/>
        <v>6553.44</v>
      </c>
      <c r="AW10" s="4690">
        <f t="shared" si="21"/>
        <v>7289.68</v>
      </c>
      <c r="AX10" s="897">
        <v>610.08000000000004</v>
      </c>
      <c r="AY10" s="3178">
        <v>694.56</v>
      </c>
      <c r="AZ10" s="486">
        <f t="shared" si="22"/>
        <v>1790.88</v>
      </c>
      <c r="BA10" s="486">
        <f t="shared" si="23"/>
        <v>2030.96</v>
      </c>
      <c r="BB10" s="595">
        <f t="shared" si="24"/>
        <v>3601.44</v>
      </c>
      <c r="BC10" s="595">
        <f t="shared" si="25"/>
        <v>4072.56</v>
      </c>
      <c r="BD10" s="5235">
        <f t="shared" si="26"/>
        <v>7163.5199999999995</v>
      </c>
      <c r="BE10" s="5235">
        <f t="shared" si="27"/>
        <v>7984.24</v>
      </c>
      <c r="BF10" s="26"/>
      <c r="BG10" s="26"/>
      <c r="BH10" s="26"/>
      <c r="BI10" s="26"/>
    </row>
    <row r="11" spans="1:61" ht="18.75" x14ac:dyDescent="0.3">
      <c r="A11" s="3516"/>
      <c r="B11" s="6582"/>
      <c r="C11" s="66" t="s">
        <v>52</v>
      </c>
      <c r="D11" s="897">
        <v>737.99999999999989</v>
      </c>
      <c r="E11" s="3178">
        <v>822.19999999999993</v>
      </c>
      <c r="F11" s="897">
        <v>713.4</v>
      </c>
      <c r="G11" s="3178">
        <v>805.4</v>
      </c>
      <c r="H11" s="1023">
        <f t="shared" si="0"/>
        <v>1451.3999999999999</v>
      </c>
      <c r="I11" s="250">
        <f t="shared" si="0"/>
        <v>1627.6</v>
      </c>
      <c r="J11" s="897">
        <v>737.99999999999989</v>
      </c>
      <c r="K11" s="3178">
        <v>728.9</v>
      </c>
      <c r="L11" s="486">
        <f t="shared" si="1"/>
        <v>2189.3999999999996</v>
      </c>
      <c r="M11" s="486">
        <f t="shared" si="2"/>
        <v>2356.5</v>
      </c>
      <c r="N11" s="897">
        <v>762.6</v>
      </c>
      <c r="O11" s="3178">
        <v>855.59999999999991</v>
      </c>
      <c r="P11" s="3450">
        <f t="shared" si="3"/>
        <v>2951.9999999999995</v>
      </c>
      <c r="Q11" s="3450">
        <f t="shared" si="3"/>
        <v>3212.1</v>
      </c>
      <c r="R11" s="897">
        <v>762.6</v>
      </c>
      <c r="S11" s="3178">
        <v>850.40000000000032</v>
      </c>
      <c r="T11" s="3450">
        <f t="shared" si="4"/>
        <v>3714.5999999999995</v>
      </c>
      <c r="U11" s="3450">
        <f t="shared" si="5"/>
        <v>4062.5</v>
      </c>
      <c r="V11" s="897">
        <v>737.99999999999989</v>
      </c>
      <c r="W11" s="3178">
        <v>827.09999999999991</v>
      </c>
      <c r="X11" s="486">
        <f t="shared" si="6"/>
        <v>2263.1999999999998</v>
      </c>
      <c r="Y11" s="486">
        <f t="shared" si="7"/>
        <v>2533.1000000000004</v>
      </c>
      <c r="Z11" s="595">
        <f t="shared" si="8"/>
        <v>4452.5999999999995</v>
      </c>
      <c r="AA11" s="595">
        <f t="shared" si="9"/>
        <v>4889.6000000000004</v>
      </c>
      <c r="AB11" s="897">
        <v>762.6</v>
      </c>
      <c r="AC11" s="3178">
        <v>853</v>
      </c>
      <c r="AD11" s="4134">
        <f t="shared" si="10"/>
        <v>5215.2</v>
      </c>
      <c r="AE11" s="4134">
        <f t="shared" si="11"/>
        <v>5742.6</v>
      </c>
      <c r="AF11" s="897">
        <v>737.99999999999989</v>
      </c>
      <c r="AG11" s="3178">
        <v>832.89999999999986</v>
      </c>
      <c r="AH11" s="4223">
        <f t="shared" si="12"/>
        <v>5953.2</v>
      </c>
      <c r="AI11" s="4223">
        <f t="shared" si="13"/>
        <v>6575.5</v>
      </c>
      <c r="AJ11" s="897">
        <v>762.6</v>
      </c>
      <c r="AK11" s="3178">
        <v>866.10000000000014</v>
      </c>
      <c r="AL11" s="486">
        <f t="shared" si="14"/>
        <v>2263.1999999999998</v>
      </c>
      <c r="AM11" s="486">
        <f t="shared" si="15"/>
        <v>2552</v>
      </c>
      <c r="AN11" s="4340">
        <f t="shared" si="16"/>
        <v>6715.8</v>
      </c>
      <c r="AO11" s="4340">
        <f t="shared" si="17"/>
        <v>7441.6</v>
      </c>
      <c r="AP11" s="897">
        <v>762.6</v>
      </c>
      <c r="AQ11" s="3178">
        <v>862.10000000000014</v>
      </c>
      <c r="AR11" s="4439">
        <f t="shared" si="18"/>
        <v>7478.4000000000005</v>
      </c>
      <c r="AS11" s="4439">
        <f t="shared" si="19"/>
        <v>8303.7000000000007</v>
      </c>
      <c r="AT11" s="897">
        <v>713.4</v>
      </c>
      <c r="AU11" s="3178">
        <v>808.40000000000009</v>
      </c>
      <c r="AV11" s="4690">
        <f t="shared" si="20"/>
        <v>8191.8</v>
      </c>
      <c r="AW11" s="4690">
        <f t="shared" si="21"/>
        <v>9112.1</v>
      </c>
      <c r="AX11" s="897">
        <v>762.6</v>
      </c>
      <c r="AY11" s="3178">
        <v>868.19999999999993</v>
      </c>
      <c r="AZ11" s="486">
        <f t="shared" si="22"/>
        <v>2238.6</v>
      </c>
      <c r="BA11" s="486">
        <f t="shared" si="23"/>
        <v>2538.7000000000003</v>
      </c>
      <c r="BB11" s="595">
        <f t="shared" si="24"/>
        <v>4501.7999999999993</v>
      </c>
      <c r="BC11" s="595">
        <f t="shared" si="25"/>
        <v>5090.7000000000007</v>
      </c>
      <c r="BD11" s="5235">
        <f t="shared" si="26"/>
        <v>8954.4</v>
      </c>
      <c r="BE11" s="5235">
        <f t="shared" si="27"/>
        <v>9980.3000000000011</v>
      </c>
      <c r="BF11" s="26"/>
      <c r="BG11" s="26"/>
      <c r="BH11" s="26"/>
      <c r="BI11" s="26"/>
    </row>
    <row r="12" spans="1:61" ht="18.75" x14ac:dyDescent="0.3">
      <c r="A12" s="3516"/>
      <c r="B12" s="6582" t="s">
        <v>427</v>
      </c>
      <c r="C12" s="66" t="s">
        <v>423</v>
      </c>
      <c r="D12" s="897">
        <v>22572</v>
      </c>
      <c r="E12" s="3178">
        <v>25856.159999999996</v>
      </c>
      <c r="F12" s="897">
        <v>22526.400000000001</v>
      </c>
      <c r="G12" s="3178">
        <v>25415.200000000001</v>
      </c>
      <c r="H12" s="423">
        <f t="shared" si="0"/>
        <v>45098.400000000001</v>
      </c>
      <c r="I12" s="250">
        <f t="shared" si="0"/>
        <v>51271.360000000001</v>
      </c>
      <c r="J12" s="897">
        <v>22572</v>
      </c>
      <c r="K12" s="3178">
        <v>23558.720000000005</v>
      </c>
      <c r="L12" s="486">
        <f t="shared" si="1"/>
        <v>67670.399999999994</v>
      </c>
      <c r="M12" s="486">
        <f t="shared" si="2"/>
        <v>74830.080000000002</v>
      </c>
      <c r="N12" s="897">
        <v>23324.400000000001</v>
      </c>
      <c r="O12" s="3178">
        <v>26731.680000000004</v>
      </c>
      <c r="P12" s="3450">
        <f t="shared" si="3"/>
        <v>90994.799999999988</v>
      </c>
      <c r="Q12" s="3450">
        <f t="shared" si="3"/>
        <v>101561.76000000001</v>
      </c>
      <c r="R12" s="897">
        <v>23324.400000000001</v>
      </c>
      <c r="S12" s="3178">
        <v>26552.720000000008</v>
      </c>
      <c r="T12" s="3450">
        <f t="shared" si="4"/>
        <v>114319.19999999998</v>
      </c>
      <c r="U12" s="3450">
        <f t="shared" si="5"/>
        <v>128114.48000000001</v>
      </c>
      <c r="V12" s="897">
        <v>22572</v>
      </c>
      <c r="W12" s="3178">
        <v>26252</v>
      </c>
      <c r="X12" s="486">
        <f t="shared" si="6"/>
        <v>69220.800000000003</v>
      </c>
      <c r="Y12" s="486">
        <f t="shared" si="7"/>
        <v>79536.400000000009</v>
      </c>
      <c r="Z12" s="595">
        <f t="shared" si="8"/>
        <v>136891.20000000001</v>
      </c>
      <c r="AA12" s="595">
        <f t="shared" si="9"/>
        <v>154366.48000000001</v>
      </c>
      <c r="AB12" s="897">
        <v>23324.400000000001</v>
      </c>
      <c r="AC12" s="3178">
        <v>26698.743999999999</v>
      </c>
      <c r="AD12" s="4134">
        <f t="shared" si="10"/>
        <v>160215.6</v>
      </c>
      <c r="AE12" s="4134">
        <f t="shared" si="11"/>
        <v>181065.22400000002</v>
      </c>
      <c r="AF12" s="897">
        <v>22572</v>
      </c>
      <c r="AG12" s="3178">
        <v>25755.68</v>
      </c>
      <c r="AH12" s="4223">
        <f t="shared" si="12"/>
        <v>182787.6</v>
      </c>
      <c r="AI12" s="4223">
        <f t="shared" si="13"/>
        <v>206820.90400000001</v>
      </c>
      <c r="AJ12" s="897">
        <v>23324.400000000001</v>
      </c>
      <c r="AK12" s="3178">
        <v>26844.303999999996</v>
      </c>
      <c r="AL12" s="486">
        <f t="shared" si="14"/>
        <v>69220.800000000003</v>
      </c>
      <c r="AM12" s="486">
        <f t="shared" si="15"/>
        <v>79298.728000000003</v>
      </c>
      <c r="AN12" s="4340">
        <f t="shared" si="16"/>
        <v>206112</v>
      </c>
      <c r="AO12" s="4340">
        <f t="shared" si="17"/>
        <v>233665.20800000001</v>
      </c>
      <c r="AP12" s="897">
        <v>23324.400000000001</v>
      </c>
      <c r="AQ12" s="3178">
        <v>27137.439999999995</v>
      </c>
      <c r="AR12" s="4439">
        <f t="shared" si="18"/>
        <v>229436.4</v>
      </c>
      <c r="AS12" s="4439">
        <f t="shared" si="19"/>
        <v>260802.64800000002</v>
      </c>
      <c r="AT12" s="897">
        <v>21819.599999999999</v>
      </c>
      <c r="AU12" s="3178">
        <v>25030.640000000007</v>
      </c>
      <c r="AV12" s="4690">
        <f t="shared" si="20"/>
        <v>251256</v>
      </c>
      <c r="AW12" s="4690">
        <f t="shared" si="21"/>
        <v>285833.288</v>
      </c>
      <c r="AX12" s="897">
        <v>23324.400000000001</v>
      </c>
      <c r="AY12" s="3178">
        <v>26989.840000000004</v>
      </c>
      <c r="AZ12" s="486">
        <f t="shared" si="22"/>
        <v>68468.399999999994</v>
      </c>
      <c r="BA12" s="486">
        <f t="shared" si="23"/>
        <v>79157.920000000013</v>
      </c>
      <c r="BB12" s="595">
        <f t="shared" si="24"/>
        <v>137689.20000000001</v>
      </c>
      <c r="BC12" s="595">
        <f t="shared" si="25"/>
        <v>158456.64800000002</v>
      </c>
      <c r="BD12" s="5235">
        <f t="shared" si="26"/>
        <v>274580.40000000002</v>
      </c>
      <c r="BE12" s="5235">
        <f t="shared" si="27"/>
        <v>312823.12800000003</v>
      </c>
      <c r="BF12" s="26"/>
      <c r="BG12" s="26"/>
      <c r="BH12" s="26"/>
      <c r="BI12" s="26"/>
    </row>
    <row r="13" spans="1:61" ht="18.75" x14ac:dyDescent="0.3">
      <c r="A13" s="3516"/>
      <c r="B13" s="6582"/>
      <c r="C13" s="66" t="s">
        <v>52</v>
      </c>
      <c r="D13" s="897">
        <v>28215</v>
      </c>
      <c r="E13" s="3178">
        <v>32320.199999999997</v>
      </c>
      <c r="F13" s="897">
        <v>28158</v>
      </c>
      <c r="G13" s="3178">
        <v>31769</v>
      </c>
      <c r="H13" s="423">
        <f t="shared" si="0"/>
        <v>56373</v>
      </c>
      <c r="I13" s="250">
        <f t="shared" si="0"/>
        <v>64089.2</v>
      </c>
      <c r="J13" s="897">
        <v>28215</v>
      </c>
      <c r="K13" s="3178">
        <v>29448.400000000005</v>
      </c>
      <c r="L13" s="486">
        <f t="shared" si="1"/>
        <v>84588</v>
      </c>
      <c r="M13" s="486">
        <f t="shared" si="2"/>
        <v>93537.600000000006</v>
      </c>
      <c r="N13" s="897">
        <v>29155.5</v>
      </c>
      <c r="O13" s="3178">
        <v>33414.600000000006</v>
      </c>
      <c r="P13" s="3450">
        <f t="shared" si="3"/>
        <v>113743.5</v>
      </c>
      <c r="Q13" s="3450">
        <f t="shared" si="3"/>
        <v>126952.20000000001</v>
      </c>
      <c r="R13" s="897">
        <v>29155.5</v>
      </c>
      <c r="S13" s="3178">
        <v>33190.900000000009</v>
      </c>
      <c r="T13" s="3450">
        <f t="shared" si="4"/>
        <v>142899</v>
      </c>
      <c r="U13" s="3450">
        <f t="shared" si="5"/>
        <v>160143.10000000003</v>
      </c>
      <c r="V13" s="897">
        <v>28215</v>
      </c>
      <c r="W13" s="3178">
        <v>32815</v>
      </c>
      <c r="X13" s="486">
        <f t="shared" si="6"/>
        <v>86526</v>
      </c>
      <c r="Y13" s="486">
        <f t="shared" si="7"/>
        <v>99420.500000000015</v>
      </c>
      <c r="Z13" s="595">
        <f t="shared" si="8"/>
        <v>171114</v>
      </c>
      <c r="AA13" s="595">
        <f t="shared" si="9"/>
        <v>192958.10000000003</v>
      </c>
      <c r="AB13" s="897">
        <v>29155.5</v>
      </c>
      <c r="AC13" s="3178">
        <v>33373.43</v>
      </c>
      <c r="AD13" s="4134">
        <f t="shared" si="10"/>
        <v>200269.5</v>
      </c>
      <c r="AE13" s="4134">
        <f t="shared" si="11"/>
        <v>226331.53000000003</v>
      </c>
      <c r="AF13" s="897">
        <v>28215</v>
      </c>
      <c r="AG13" s="3178">
        <v>32194.6</v>
      </c>
      <c r="AH13" s="4223">
        <f t="shared" si="12"/>
        <v>228484.5</v>
      </c>
      <c r="AI13" s="4223">
        <f t="shared" si="13"/>
        <v>258526.13000000003</v>
      </c>
      <c r="AJ13" s="897">
        <v>29155.5</v>
      </c>
      <c r="AK13" s="3178">
        <v>33555.379999999997</v>
      </c>
      <c r="AL13" s="486">
        <f t="shared" si="14"/>
        <v>86526</v>
      </c>
      <c r="AM13" s="486">
        <f t="shared" si="15"/>
        <v>99123.41</v>
      </c>
      <c r="AN13" s="4340">
        <f t="shared" si="16"/>
        <v>257640</v>
      </c>
      <c r="AO13" s="4340">
        <f t="shared" si="17"/>
        <v>292081.51</v>
      </c>
      <c r="AP13" s="897">
        <v>29155.5</v>
      </c>
      <c r="AQ13" s="3178">
        <v>33921.799999999996</v>
      </c>
      <c r="AR13" s="4439">
        <f t="shared" si="18"/>
        <v>286795.5</v>
      </c>
      <c r="AS13" s="4439">
        <f t="shared" si="19"/>
        <v>326003.31</v>
      </c>
      <c r="AT13" s="897">
        <v>27274.5</v>
      </c>
      <c r="AU13" s="3178">
        <v>31288.30000000001</v>
      </c>
      <c r="AV13" s="4690">
        <f t="shared" si="20"/>
        <v>314070</v>
      </c>
      <c r="AW13" s="4690">
        <f t="shared" si="21"/>
        <v>357291.61</v>
      </c>
      <c r="AX13" s="897">
        <v>29155.5</v>
      </c>
      <c r="AY13" s="3178">
        <v>33737.300000000003</v>
      </c>
      <c r="AZ13" s="486">
        <f t="shared" si="22"/>
        <v>85585.5</v>
      </c>
      <c r="BA13" s="486">
        <f t="shared" si="23"/>
        <v>98947.400000000009</v>
      </c>
      <c r="BB13" s="595">
        <f t="shared" si="24"/>
        <v>172111.5</v>
      </c>
      <c r="BC13" s="595">
        <f t="shared" si="25"/>
        <v>198070.81</v>
      </c>
      <c r="BD13" s="5235">
        <f t="shared" si="26"/>
        <v>343225.5</v>
      </c>
      <c r="BE13" s="5235">
        <f t="shared" si="27"/>
        <v>391028.91</v>
      </c>
      <c r="BF13" s="26"/>
      <c r="BG13" s="26"/>
      <c r="BH13" s="26"/>
      <c r="BI13" s="26"/>
    </row>
    <row r="14" spans="1:61" ht="18.75" x14ac:dyDescent="0.3">
      <c r="A14" s="3516"/>
      <c r="B14" s="6582" t="s">
        <v>428</v>
      </c>
      <c r="C14" s="66" t="s">
        <v>423</v>
      </c>
      <c r="D14" s="897">
        <v>1023.84</v>
      </c>
      <c r="E14" s="3178">
        <v>1026.76</v>
      </c>
      <c r="F14" s="897">
        <v>989.71199999999999</v>
      </c>
      <c r="G14" s="3178">
        <v>1038.07</v>
      </c>
      <c r="H14" s="423">
        <f t="shared" si="0"/>
        <v>2013.5520000000001</v>
      </c>
      <c r="I14" s="250">
        <f t="shared" si="0"/>
        <v>2064.83</v>
      </c>
      <c r="J14" s="897">
        <v>972.64800000000002</v>
      </c>
      <c r="K14" s="3178">
        <v>841.56799999999998</v>
      </c>
      <c r="L14" s="486">
        <f t="shared" si="1"/>
        <v>2986.2000000000003</v>
      </c>
      <c r="M14" s="486">
        <f t="shared" si="2"/>
        <v>2906.3980000000001</v>
      </c>
      <c r="N14" s="897">
        <v>1057.9680000000001</v>
      </c>
      <c r="O14" s="3178">
        <v>1067.9760000000001</v>
      </c>
      <c r="P14" s="3450">
        <f t="shared" si="3"/>
        <v>4044.1680000000006</v>
      </c>
      <c r="Q14" s="3450">
        <f t="shared" si="3"/>
        <v>3974.3740000000003</v>
      </c>
      <c r="R14" s="897">
        <v>1057.9680000000001</v>
      </c>
      <c r="S14" s="3178">
        <v>1047.48</v>
      </c>
      <c r="T14" s="3450">
        <f t="shared" si="4"/>
        <v>5102.1360000000004</v>
      </c>
      <c r="U14" s="3450">
        <f t="shared" si="5"/>
        <v>5021.8540000000003</v>
      </c>
      <c r="V14" s="897">
        <v>1023.84</v>
      </c>
      <c r="W14" s="3178">
        <v>1015.2800000000001</v>
      </c>
      <c r="X14" s="486">
        <f t="shared" si="6"/>
        <v>3139.7760000000003</v>
      </c>
      <c r="Y14" s="486">
        <f t="shared" si="7"/>
        <v>3130.7360000000003</v>
      </c>
      <c r="Z14" s="595">
        <f t="shared" si="8"/>
        <v>6125.9760000000006</v>
      </c>
      <c r="AA14" s="595">
        <f t="shared" si="9"/>
        <v>6037.134</v>
      </c>
      <c r="AB14" s="897">
        <v>1057.9680000000001</v>
      </c>
      <c r="AC14" s="3178">
        <v>1052.3520000000001</v>
      </c>
      <c r="AD14" s="4134">
        <f t="shared" si="10"/>
        <v>7183.9440000000004</v>
      </c>
      <c r="AE14" s="4134">
        <f t="shared" si="11"/>
        <v>7089.4859999999999</v>
      </c>
      <c r="AF14" s="897">
        <v>1023.84</v>
      </c>
      <c r="AG14" s="3178">
        <v>1031.4639999999999</v>
      </c>
      <c r="AH14" s="4223">
        <f t="shared" si="12"/>
        <v>8207.7839999999997</v>
      </c>
      <c r="AI14" s="4223">
        <f t="shared" si="13"/>
        <v>8120.95</v>
      </c>
      <c r="AJ14" s="897">
        <v>1057.9680000000001</v>
      </c>
      <c r="AK14" s="3178">
        <v>1071.8960000000002</v>
      </c>
      <c r="AL14" s="486">
        <f t="shared" si="14"/>
        <v>3139.7759999999998</v>
      </c>
      <c r="AM14" s="486">
        <f t="shared" si="15"/>
        <v>3155.712</v>
      </c>
      <c r="AN14" s="4340">
        <f t="shared" si="16"/>
        <v>9265.7520000000004</v>
      </c>
      <c r="AO14" s="4340">
        <f t="shared" si="17"/>
        <v>9192.8459999999995</v>
      </c>
      <c r="AP14" s="897">
        <v>1057.9680000000001</v>
      </c>
      <c r="AQ14" s="3178">
        <v>1042.6080000000002</v>
      </c>
      <c r="AR14" s="4439">
        <f t="shared" si="18"/>
        <v>10323.720000000001</v>
      </c>
      <c r="AS14" s="4439">
        <f t="shared" si="19"/>
        <v>10235.454</v>
      </c>
      <c r="AT14" s="897">
        <v>989.71199999999999</v>
      </c>
      <c r="AU14" s="3178">
        <v>992.54400000000021</v>
      </c>
      <c r="AV14" s="4690">
        <f t="shared" si="20"/>
        <v>11313.432000000001</v>
      </c>
      <c r="AW14" s="4690">
        <f t="shared" si="21"/>
        <v>11227.998</v>
      </c>
      <c r="AX14" s="897">
        <v>1057.9680000000001</v>
      </c>
      <c r="AY14" s="3178">
        <v>1055.432</v>
      </c>
      <c r="AZ14" s="486">
        <f t="shared" si="22"/>
        <v>3105.6480000000001</v>
      </c>
      <c r="BA14" s="486">
        <f t="shared" si="23"/>
        <v>3090.5840000000007</v>
      </c>
      <c r="BB14" s="595">
        <f t="shared" si="24"/>
        <v>6245.424</v>
      </c>
      <c r="BC14" s="595">
        <f t="shared" si="25"/>
        <v>6246.2960000000003</v>
      </c>
      <c r="BD14" s="5235">
        <f t="shared" si="26"/>
        <v>12371.400000000001</v>
      </c>
      <c r="BE14" s="5235">
        <f t="shared" si="27"/>
        <v>12283.43</v>
      </c>
      <c r="BF14" s="26"/>
      <c r="BG14" s="26"/>
      <c r="BH14" s="26"/>
      <c r="BI14" s="26"/>
    </row>
    <row r="15" spans="1:61" ht="18.75" x14ac:dyDescent="0.3">
      <c r="A15" s="3516"/>
      <c r="B15" s="6582"/>
      <c r="C15" s="66" t="s">
        <v>52</v>
      </c>
      <c r="D15" s="897">
        <v>1828.2857142857142</v>
      </c>
      <c r="E15" s="3178">
        <v>1833.5</v>
      </c>
      <c r="F15" s="897">
        <v>1767.3428571428572</v>
      </c>
      <c r="G15" s="3178">
        <v>1853.7</v>
      </c>
      <c r="H15" s="423">
        <f t="shared" si="0"/>
        <v>3595.6285714285714</v>
      </c>
      <c r="I15" s="250">
        <f t="shared" si="0"/>
        <v>3687.2</v>
      </c>
      <c r="J15" s="897">
        <v>1736.8714285714286</v>
      </c>
      <c r="K15" s="3178">
        <v>1502.8</v>
      </c>
      <c r="L15" s="486">
        <f t="shared" si="1"/>
        <v>5332.5</v>
      </c>
      <c r="M15" s="486">
        <f t="shared" si="2"/>
        <v>5190</v>
      </c>
      <c r="N15" s="897">
        <v>1889.2285714285713</v>
      </c>
      <c r="O15" s="3178">
        <v>1907.1000000000001</v>
      </c>
      <c r="P15" s="3450">
        <f t="shared" si="3"/>
        <v>7221.7285714285717</v>
      </c>
      <c r="Q15" s="3450">
        <f t="shared" si="3"/>
        <v>7097.1</v>
      </c>
      <c r="R15" s="897">
        <v>1889.2285714285713</v>
      </c>
      <c r="S15" s="3178">
        <v>1870.5</v>
      </c>
      <c r="T15" s="3450">
        <f t="shared" si="4"/>
        <v>9110.9571428571435</v>
      </c>
      <c r="U15" s="3450">
        <f t="shared" si="5"/>
        <v>8967.6</v>
      </c>
      <c r="V15" s="897">
        <v>1828.2857142857142</v>
      </c>
      <c r="W15" s="3178">
        <v>1813.0000000000002</v>
      </c>
      <c r="X15" s="486">
        <f t="shared" si="6"/>
        <v>5606.7428571428572</v>
      </c>
      <c r="Y15" s="486">
        <f t="shared" si="7"/>
        <v>5590.6</v>
      </c>
      <c r="Z15" s="595">
        <f t="shared" si="8"/>
        <v>10939.242857142857</v>
      </c>
      <c r="AA15" s="595">
        <f t="shared" si="9"/>
        <v>10780.6</v>
      </c>
      <c r="AB15" s="897">
        <v>1889.2285714285713</v>
      </c>
      <c r="AC15" s="3178">
        <v>1879.2</v>
      </c>
      <c r="AD15" s="4134">
        <f t="shared" si="10"/>
        <v>12828.471428571429</v>
      </c>
      <c r="AE15" s="4134">
        <f t="shared" si="11"/>
        <v>12659.800000000001</v>
      </c>
      <c r="AF15" s="897">
        <v>1828.2857142857142</v>
      </c>
      <c r="AG15" s="3178">
        <v>1841.9</v>
      </c>
      <c r="AH15" s="4223">
        <f t="shared" si="12"/>
        <v>14656.757142857143</v>
      </c>
      <c r="AI15" s="4223">
        <f t="shared" si="13"/>
        <v>14501.7</v>
      </c>
      <c r="AJ15" s="897">
        <v>1889.2285714285713</v>
      </c>
      <c r="AK15" s="3178">
        <v>1914.1000000000004</v>
      </c>
      <c r="AL15" s="486">
        <f t="shared" si="14"/>
        <v>5606.7428571428572</v>
      </c>
      <c r="AM15" s="486">
        <f t="shared" si="15"/>
        <v>5635.2000000000007</v>
      </c>
      <c r="AN15" s="4340">
        <f t="shared" si="16"/>
        <v>16545.985714285714</v>
      </c>
      <c r="AO15" s="4340">
        <f t="shared" si="17"/>
        <v>16415.800000000003</v>
      </c>
      <c r="AP15" s="897">
        <v>1889.2285714285713</v>
      </c>
      <c r="AQ15" s="3178">
        <v>1861.8000000000002</v>
      </c>
      <c r="AR15" s="4439">
        <f t="shared" si="18"/>
        <v>18435.214285714286</v>
      </c>
      <c r="AS15" s="4439">
        <f t="shared" si="19"/>
        <v>18277.600000000002</v>
      </c>
      <c r="AT15" s="897">
        <v>1767.3428571428569</v>
      </c>
      <c r="AU15" s="3178">
        <v>1772.4000000000003</v>
      </c>
      <c r="AV15" s="4690">
        <f t="shared" si="20"/>
        <v>20202.557142857142</v>
      </c>
      <c r="AW15" s="4690">
        <f t="shared" si="21"/>
        <v>20050.000000000004</v>
      </c>
      <c r="AX15" s="897">
        <v>1889.2285714285713</v>
      </c>
      <c r="AY15" s="3178">
        <v>1884.7</v>
      </c>
      <c r="AZ15" s="486">
        <f t="shared" si="22"/>
        <v>5545.7999999999993</v>
      </c>
      <c r="BA15" s="486">
        <f t="shared" si="23"/>
        <v>5518.9000000000005</v>
      </c>
      <c r="BB15" s="595">
        <f t="shared" si="24"/>
        <v>11152.542857142857</v>
      </c>
      <c r="BC15" s="595">
        <f t="shared" si="25"/>
        <v>11154.100000000002</v>
      </c>
      <c r="BD15" s="5235">
        <f t="shared" si="26"/>
        <v>22091.785714285714</v>
      </c>
      <c r="BE15" s="5235">
        <f t="shared" si="27"/>
        <v>21934.700000000004</v>
      </c>
      <c r="BF15" s="26"/>
      <c r="BG15" s="26"/>
      <c r="BH15" s="26"/>
      <c r="BI15" s="26"/>
    </row>
    <row r="16" spans="1:61" ht="18.75" x14ac:dyDescent="0.3">
      <c r="A16" s="3527"/>
      <c r="B16" s="1926" t="s">
        <v>342</v>
      </c>
      <c r="C16" s="1713"/>
      <c r="D16" s="1929"/>
      <c r="E16" s="1927"/>
      <c r="F16" s="1929"/>
      <c r="G16" s="1927"/>
      <c r="H16" s="1923"/>
      <c r="I16" s="1927"/>
      <c r="J16" s="1929"/>
      <c r="K16" s="1927"/>
      <c r="L16" s="1923"/>
      <c r="M16" s="1927"/>
      <c r="N16" s="1929"/>
      <c r="O16" s="1927"/>
      <c r="P16" s="1160"/>
      <c r="Q16" s="1160"/>
      <c r="R16" s="1929"/>
      <c r="S16" s="1927"/>
      <c r="T16" s="1160"/>
      <c r="U16" s="1160"/>
      <c r="V16" s="1929"/>
      <c r="W16" s="1927"/>
      <c r="X16" s="1923"/>
      <c r="Y16" s="1927"/>
      <c r="Z16" s="1160"/>
      <c r="AA16" s="1160"/>
      <c r="AB16" s="1929"/>
      <c r="AC16" s="1927"/>
      <c r="AD16" s="1160"/>
      <c r="AE16" s="1160"/>
      <c r="AF16" s="1929"/>
      <c r="AG16" s="1927"/>
      <c r="AH16" s="1160"/>
      <c r="AI16" s="1160"/>
      <c r="AJ16" s="1929"/>
      <c r="AK16" s="1927"/>
      <c r="AL16" s="1923"/>
      <c r="AM16" s="1927"/>
      <c r="AN16" s="1160"/>
      <c r="AO16" s="1160"/>
      <c r="AP16" s="1929"/>
      <c r="AQ16" s="1927"/>
      <c r="AR16" s="1160"/>
      <c r="AS16" s="1160"/>
      <c r="AT16" s="1929"/>
      <c r="AU16" s="1927"/>
      <c r="AV16" s="1160"/>
      <c r="AW16" s="1160"/>
      <c r="AX16" s="1929"/>
      <c r="AY16" s="1927"/>
      <c r="AZ16" s="1923"/>
      <c r="BA16" s="1927"/>
      <c r="BB16" s="1160"/>
      <c r="BC16" s="1160"/>
      <c r="BD16" s="1160"/>
      <c r="BE16" s="1160"/>
      <c r="BF16" s="26"/>
      <c r="BG16" s="26"/>
      <c r="BH16" s="26"/>
      <c r="BI16" s="26"/>
    </row>
    <row r="17" spans="1:61" ht="18.75" x14ac:dyDescent="0.3">
      <c r="A17" s="3527"/>
      <c r="B17" s="1926" t="s">
        <v>103</v>
      </c>
      <c r="C17" s="1713"/>
      <c r="D17" s="1929"/>
      <c r="E17" s="1927"/>
      <c r="F17" s="1929"/>
      <c r="G17" s="1927"/>
      <c r="H17" s="1923"/>
      <c r="I17" s="1927"/>
      <c r="J17" s="1929"/>
      <c r="K17" s="1927"/>
      <c r="L17" s="1923"/>
      <c r="M17" s="1927"/>
      <c r="N17" s="1929"/>
      <c r="O17" s="1927"/>
      <c r="P17" s="1160"/>
      <c r="Q17" s="1160"/>
      <c r="R17" s="1929"/>
      <c r="S17" s="1927"/>
      <c r="T17" s="1160"/>
      <c r="U17" s="1160"/>
      <c r="V17" s="1929"/>
      <c r="W17" s="1927"/>
      <c r="X17" s="1923"/>
      <c r="Y17" s="1927"/>
      <c r="Z17" s="1160"/>
      <c r="AA17" s="1160"/>
      <c r="AB17" s="1929"/>
      <c r="AC17" s="1927"/>
      <c r="AD17" s="1160"/>
      <c r="AE17" s="1160"/>
      <c r="AF17" s="1929"/>
      <c r="AG17" s="1927"/>
      <c r="AH17" s="1160"/>
      <c r="AI17" s="1160"/>
      <c r="AJ17" s="1929"/>
      <c r="AK17" s="1927"/>
      <c r="AL17" s="1923"/>
      <c r="AM17" s="1927"/>
      <c r="AN17" s="1160"/>
      <c r="AO17" s="1160"/>
      <c r="AP17" s="1929"/>
      <c r="AQ17" s="1927"/>
      <c r="AR17" s="1160"/>
      <c r="AS17" s="1160"/>
      <c r="AT17" s="1929"/>
      <c r="AU17" s="1927"/>
      <c r="AV17" s="1160"/>
      <c r="AW17" s="1160"/>
      <c r="AX17" s="1929"/>
      <c r="AY17" s="1927"/>
      <c r="AZ17" s="1923"/>
      <c r="BA17" s="1927"/>
      <c r="BB17" s="1160"/>
      <c r="BC17" s="1160"/>
      <c r="BD17" s="1160"/>
      <c r="BE17" s="1160"/>
      <c r="BF17" s="26"/>
      <c r="BG17" s="26"/>
      <c r="BH17" s="26"/>
      <c r="BI17" s="26"/>
    </row>
    <row r="18" spans="1:61" ht="18.75" x14ac:dyDescent="0.3">
      <c r="A18" s="3516"/>
      <c r="B18" s="3528" t="s">
        <v>842</v>
      </c>
      <c r="C18" s="66" t="s">
        <v>572</v>
      </c>
      <c r="D18" s="3181">
        <f>2927/1000</f>
        <v>2.927</v>
      </c>
      <c r="E18" s="3179">
        <f>973/(24*E$2)</f>
        <v>1.351388888888889</v>
      </c>
      <c r="F18" s="3181">
        <v>3</v>
      </c>
      <c r="G18" s="3179">
        <f>1030.61/(24*G$2)</f>
        <v>1.3852284946236557</v>
      </c>
      <c r="H18" s="3191">
        <f t="shared" ref="H18:I22" si="28">+((D18*D$2)+(F18*F$2))/H$2</f>
        <v>2.9640983606557376</v>
      </c>
      <c r="I18" s="3205">
        <f t="shared" si="28"/>
        <v>1.3685860655737705</v>
      </c>
      <c r="J18" s="3181">
        <v>3</v>
      </c>
      <c r="K18" s="3179">
        <f>1044.211/(24*K$2)</f>
        <v>1.4502930555555555</v>
      </c>
      <c r="L18" s="3529">
        <f t="shared" ref="L18:M22" si="29">+((D18*D$2)+(F18*F$2)+(J18*J$2))/L$2</f>
        <v>2.9759340659340658</v>
      </c>
      <c r="M18" s="3529">
        <f t="shared" si="29"/>
        <v>1.3955224358974359</v>
      </c>
      <c r="N18" s="3181">
        <v>3</v>
      </c>
      <c r="O18" s="3179">
        <f>1035.51/(24*O$2)</f>
        <v>1.3918145161290323</v>
      </c>
      <c r="P18" s="422">
        <f t="shared" ref="P18:Q22" si="30">+((L18*L$2)+(N18*N$2))/P$2</f>
        <v>2.982049180327869</v>
      </c>
      <c r="Q18" s="422">
        <f t="shared" si="30"/>
        <v>1.3945802595628416</v>
      </c>
      <c r="R18" s="3181">
        <v>3</v>
      </c>
      <c r="S18" s="3179">
        <f>991.13/(24*S$2)</f>
        <v>1.3321639784946238</v>
      </c>
      <c r="T18" s="422">
        <f t="shared" ref="T18:T22" si="31">+((P18*P$2)+(R18*R$2))/T$2</f>
        <v>2.9856862745098041</v>
      </c>
      <c r="U18" s="422">
        <f t="shared" ref="U18:U22" si="32">+((Q18*Q$2)+(S18*S$2))/U$2</f>
        <v>1.3819338235294119</v>
      </c>
      <c r="V18" s="3181">
        <v>3</v>
      </c>
      <c r="W18" s="3179">
        <f>965.86/(24*W$2)</f>
        <v>1.3414722222222222</v>
      </c>
      <c r="X18" s="3529">
        <f t="shared" ref="X18:Y20" si="33">(N18*N$2+R18*R$2+V18*V$2)/X$2</f>
        <v>3</v>
      </c>
      <c r="Y18" s="3529">
        <f t="shared" si="33"/>
        <v>1.3552989130434783</v>
      </c>
      <c r="Z18" s="597">
        <f t="shared" ref="Z18:AA22" si="34">+((T18*T$2)+(V18*V$2))/Z$2</f>
        <v>2.9880327868852454</v>
      </c>
      <c r="AA18" s="597">
        <f t="shared" si="34"/>
        <v>1.3753007741347907</v>
      </c>
      <c r="AB18" s="3181">
        <v>2.778</v>
      </c>
      <c r="AC18" s="4140">
        <f>908.11/(24*AC$2)</f>
        <v>1.2205779569892474</v>
      </c>
      <c r="AD18" s="4141">
        <f t="shared" ref="AD18:AD22" si="35">+((Z18*Z$2)+(AB18*AB$2))/AD$2</f>
        <v>2.9576074766355136</v>
      </c>
      <c r="AE18" s="4141">
        <f t="shared" ref="AE18:AE22" si="36">+((AA18*AA$2)+(AC18*AC$2))/AE$2</f>
        <v>1.3528876557632399</v>
      </c>
      <c r="AF18" s="3181">
        <v>2.7850000000000001</v>
      </c>
      <c r="AG18" s="4227">
        <f>755.51/(24*AG$2)</f>
        <v>1.0493194444444445</v>
      </c>
      <c r="AH18" s="4228">
        <f t="shared" ref="AH18:AH22" si="37">+((AD18*AD$2)+(AF18*AF$2))/AH$2</f>
        <v>2.9363852459016386</v>
      </c>
      <c r="AI18" s="4228">
        <f t="shared" ref="AI18:AI22" si="38">+((AE18*AE$2)+(AG18*AG$2))/AI$2</f>
        <v>1.3155636953551912</v>
      </c>
      <c r="AJ18" s="3181">
        <v>2.71</v>
      </c>
      <c r="AK18" s="4346">
        <f>913.71/(24*AK$2)</f>
        <v>1.2281048387096776</v>
      </c>
      <c r="AL18" s="3529">
        <f t="shared" ref="AL18:AL22" si="39">(AB18*AB$2+AF18*AF$2+AJ18*AJ$2)/AL$2</f>
        <v>2.7573695652173913</v>
      </c>
      <c r="AM18" s="3529">
        <f t="shared" ref="AM18:AM22" si="40">(AC18*AC$2+AG18*AG$2+AK18*AK$2)/AM$2</f>
        <v>1.1672690217391306</v>
      </c>
      <c r="AN18" s="4347">
        <f t="shared" ref="AN18:AN22" si="41">+((AH18*AH$2)+(AJ18*AJ$2))/AN$2</f>
        <v>2.910865454545454</v>
      </c>
      <c r="AO18" s="4347">
        <f t="shared" ref="AO18:AO22" si="42">+((AI18*AI$2)+(AK18*AK$2))/AO$2</f>
        <v>1.305704696969697</v>
      </c>
      <c r="AP18" s="3181">
        <v>2.71</v>
      </c>
      <c r="AQ18" s="4444">
        <f>881.86/(24*AQ$2)</f>
        <v>1.1852956989247312</v>
      </c>
      <c r="AR18" s="4445">
        <f t="shared" ref="AR18:AR22" si="43">+((AN18*AN$2)+(AP18*AP$2))/AR$2</f>
        <v>2.8905163398692806</v>
      </c>
      <c r="AS18" s="4445">
        <f t="shared" ref="AS18:AS22" si="44">+((AO18*AO$2)+(AQ18*AQ$2))/AS$2</f>
        <v>1.2935063997821352</v>
      </c>
      <c r="AT18" s="3181">
        <v>2.7930000000000001</v>
      </c>
      <c r="AU18" s="4693">
        <f>821.31/(24*AU$2)</f>
        <v>1.1800431034482757</v>
      </c>
      <c r="AV18" s="4694">
        <f t="shared" ref="AV18:AV22" si="45">+((AR18*AR$2)+(AT18*AT$2))/AV$2</f>
        <v>2.8820746268656712</v>
      </c>
      <c r="AW18" s="4694">
        <f t="shared" ref="AW18:AW22" si="46">+((AS18*AS$2)+(AU18*AU$2))/AW$2</f>
        <v>1.2836842039800995</v>
      </c>
      <c r="AX18" s="3181">
        <v>2.641</v>
      </c>
      <c r="AY18" s="5244">
        <f>965.16/(24*AY$2)</f>
        <v>1.2972580645161289</v>
      </c>
      <c r="AZ18" s="3529">
        <f t="shared" ref="AZ18:AZ22" si="47">(AP18*AP$2+AT18*AT$2+AX18*AX$2)/AZ$2</f>
        <v>2.7129450549450547</v>
      </c>
      <c r="BA18" s="3529">
        <f t="shared" ref="BA18:BA22" si="48">(AQ18*AQ$2+AU18*AU$2+AY18*AY$2)/BA$2</f>
        <v>1.2217628205128206</v>
      </c>
      <c r="BB18" s="5246">
        <f t="shared" ref="BB18:BC22" si="49">+((AL18*AL$2)+(AZ18*AZ$2))/BB$2</f>
        <v>2.7352786885245899</v>
      </c>
      <c r="BC18" s="5246">
        <f t="shared" si="49"/>
        <v>1.1943670309653918</v>
      </c>
      <c r="BD18" s="5245">
        <f t="shared" ref="BD18:BD22" si="50">+((AV18*AV$2)+(AX18*AX$2))/BD$2</f>
        <v>2.8616557377049179</v>
      </c>
      <c r="BE18" s="5245">
        <f t="shared" ref="BE18:BE22" si="51">+((AW18*AW$2)+(AY18*AY$2))/BE$2</f>
        <v>1.284833902550091</v>
      </c>
      <c r="BF18" s="26"/>
      <c r="BG18" s="26"/>
      <c r="BH18" s="26"/>
      <c r="BI18" s="26"/>
    </row>
    <row r="19" spans="1:61" ht="18.75" x14ac:dyDescent="0.3">
      <c r="A19" s="3516"/>
      <c r="B19" s="3528" t="s">
        <v>16</v>
      </c>
      <c r="C19" s="66" t="s">
        <v>572</v>
      </c>
      <c r="D19" s="3181">
        <v>22</v>
      </c>
      <c r="E19" s="3179">
        <f>14258.79/(24*E$2)</f>
        <v>19.803875000000001</v>
      </c>
      <c r="F19" s="3181">
        <v>20</v>
      </c>
      <c r="G19" s="3179">
        <f>11294.22/(24*G$2)</f>
        <v>15.180403225806451</v>
      </c>
      <c r="H19" s="3191">
        <f t="shared" si="28"/>
        <v>20.983606557377048</v>
      </c>
      <c r="I19" s="3205">
        <f t="shared" si="28"/>
        <v>17.454241803278688</v>
      </c>
      <c r="J19" s="3181">
        <v>20</v>
      </c>
      <c r="K19" s="3179">
        <f>11750.48/(24*K$2)</f>
        <v>16.32011111111111</v>
      </c>
      <c r="L19" s="3529">
        <f t="shared" si="29"/>
        <v>20.659340659340661</v>
      </c>
      <c r="M19" s="3529">
        <f t="shared" si="29"/>
        <v>17.080352564102562</v>
      </c>
      <c r="N19" s="3181">
        <v>22</v>
      </c>
      <c r="O19" s="3179">
        <f>15301.23/(24*O$2)</f>
        <v>20.56616935483871</v>
      </c>
      <c r="P19" s="422">
        <f t="shared" si="30"/>
        <v>21</v>
      </c>
      <c r="Q19" s="422">
        <f t="shared" si="30"/>
        <v>17.96609289617486</v>
      </c>
      <c r="R19" s="3181">
        <v>22</v>
      </c>
      <c r="S19" s="3179">
        <f>13310.92/(24*S$2)</f>
        <v>17.891021505376344</v>
      </c>
      <c r="T19" s="422">
        <f t="shared" si="31"/>
        <v>21.202614379084967</v>
      </c>
      <c r="U19" s="422">
        <f t="shared" si="32"/>
        <v>17.950882352941175</v>
      </c>
      <c r="V19" s="3181">
        <v>22</v>
      </c>
      <c r="W19" s="3179">
        <f>14213.08/(24*W$2)</f>
        <v>19.740388888888887</v>
      </c>
      <c r="X19" s="3529">
        <f t="shared" si="33"/>
        <v>22</v>
      </c>
      <c r="Y19" s="3529">
        <f t="shared" si="33"/>
        <v>19.395484601449276</v>
      </c>
      <c r="Z19" s="597">
        <f t="shared" si="34"/>
        <v>21.333333333333332</v>
      </c>
      <c r="AA19" s="597">
        <f t="shared" si="34"/>
        <v>18.244244080145716</v>
      </c>
      <c r="AB19" s="3181">
        <v>22</v>
      </c>
      <c r="AC19" s="4140">
        <f>14507.5/(24*AC$2)</f>
        <v>19.499327956989248</v>
      </c>
      <c r="AD19" s="4141">
        <f t="shared" si="35"/>
        <v>21.429906542056074</v>
      </c>
      <c r="AE19" s="4141">
        <f t="shared" si="36"/>
        <v>18.426055295950153</v>
      </c>
      <c r="AF19" s="3181">
        <v>22</v>
      </c>
      <c r="AG19" s="4227">
        <f>8951.6/(24*AG$2)</f>
        <v>12.432777777777778</v>
      </c>
      <c r="AH19" s="4228">
        <f t="shared" si="37"/>
        <v>21.5</v>
      </c>
      <c r="AI19" s="4228">
        <f t="shared" si="38"/>
        <v>17.689176912568303</v>
      </c>
      <c r="AJ19" s="3181">
        <v>22</v>
      </c>
      <c r="AK19" s="4346">
        <f>11769.1/(24*AK$2)</f>
        <v>15.818682795698924</v>
      </c>
      <c r="AL19" s="3529">
        <f t="shared" si="39"/>
        <v>22</v>
      </c>
      <c r="AM19" s="3529">
        <f t="shared" si="40"/>
        <v>15.954800724637682</v>
      </c>
      <c r="AN19" s="4347">
        <f t="shared" si="41"/>
        <v>21.556363636363635</v>
      </c>
      <c r="AO19" s="4347">
        <f t="shared" si="42"/>
        <v>17.478321212121212</v>
      </c>
      <c r="AP19" s="3181">
        <v>22</v>
      </c>
      <c r="AQ19" s="4444">
        <f>14243.11/(24*AQ$2)</f>
        <v>19.143965053763441</v>
      </c>
      <c r="AR19" s="4445">
        <f t="shared" si="43"/>
        <v>21.601307189542485</v>
      </c>
      <c r="AS19" s="4445">
        <f t="shared" si="44"/>
        <v>17.647062908496729</v>
      </c>
      <c r="AT19" s="3181">
        <v>22</v>
      </c>
      <c r="AU19" s="4693">
        <f>14663.6/(24*AU$2)</f>
        <v>21.068390804597701</v>
      </c>
      <c r="AV19" s="4694">
        <f t="shared" si="45"/>
        <v>21.635820895522389</v>
      </c>
      <c r="AW19" s="4694">
        <f t="shared" si="46"/>
        <v>17.943237562189054</v>
      </c>
      <c r="AX19" s="3181">
        <v>22</v>
      </c>
      <c r="AY19" s="5244">
        <f>14989.66/(24*AY$2)</f>
        <v>20.147392473118281</v>
      </c>
      <c r="AZ19" s="3529">
        <f t="shared" si="47"/>
        <v>22</v>
      </c>
      <c r="BA19" s="3529">
        <f t="shared" si="48"/>
        <v>20.099070512820511</v>
      </c>
      <c r="BB19" s="5246">
        <f t="shared" si="49"/>
        <v>22</v>
      </c>
      <c r="BC19" s="5246">
        <f t="shared" si="49"/>
        <v>18.015612477231329</v>
      </c>
      <c r="BD19" s="5245">
        <f t="shared" si="50"/>
        <v>21.666666666666668</v>
      </c>
      <c r="BE19" s="5245">
        <f t="shared" si="51"/>
        <v>18.129928278688521</v>
      </c>
      <c r="BF19" s="26"/>
      <c r="BG19" s="26"/>
      <c r="BH19" s="26"/>
      <c r="BI19" s="26"/>
    </row>
    <row r="20" spans="1:61" ht="18.75" x14ac:dyDescent="0.3">
      <c r="A20" s="3516"/>
      <c r="B20" s="3528" t="s">
        <v>59</v>
      </c>
      <c r="C20" s="66" t="s">
        <v>572</v>
      </c>
      <c r="D20" s="3181">
        <v>16.613</v>
      </c>
      <c r="E20" s="3179">
        <f>11804.66/(24*E$2)</f>
        <v>16.395361111111111</v>
      </c>
      <c r="F20" s="3181">
        <v>13.407</v>
      </c>
      <c r="G20" s="3179">
        <f>9717.82/(24*G$2)</f>
        <v>13.061586021505375</v>
      </c>
      <c r="H20" s="3191">
        <f t="shared" si="28"/>
        <v>14.98372131147541</v>
      </c>
      <c r="I20" s="3205">
        <f t="shared" si="28"/>
        <v>14.701147540983607</v>
      </c>
      <c r="J20" s="3181">
        <f>13548.1132075472/1000</f>
        <v>13.5481132075472</v>
      </c>
      <c r="K20" s="3179">
        <f>10355.87/(24*K$2)</f>
        <v>14.383152777777779</v>
      </c>
      <c r="L20" s="3529">
        <f t="shared" si="29"/>
        <v>14.510443914576001</v>
      </c>
      <c r="M20" s="3529">
        <f t="shared" si="29"/>
        <v>14.596314102564103</v>
      </c>
      <c r="N20" s="3181">
        <v>16.282714546561198</v>
      </c>
      <c r="O20" s="3179">
        <f>12189.38/(24*O$2)</f>
        <v>16.383575268817204</v>
      </c>
      <c r="P20" s="422">
        <f t="shared" si="30"/>
        <v>14.96077497680175</v>
      </c>
      <c r="Q20" s="422">
        <f t="shared" si="30"/>
        <v>15.050454234972678</v>
      </c>
      <c r="R20" s="3181">
        <v>16.282714546561198</v>
      </c>
      <c r="S20" s="3179">
        <f>11535.44/(24*S$2)</f>
        <v>15.50462365591398</v>
      </c>
      <c r="T20" s="422">
        <f t="shared" si="31"/>
        <v>15.228618941916409</v>
      </c>
      <c r="U20" s="422">
        <f t="shared" si="32"/>
        <v>15.142475490196079</v>
      </c>
      <c r="V20" s="3181">
        <v>16.282714546561198</v>
      </c>
      <c r="W20" s="3179">
        <f>10840.55/(24*W$2)</f>
        <v>15.056319444444444</v>
      </c>
      <c r="X20" s="3529">
        <f t="shared" si="33"/>
        <v>16.282714546561198</v>
      </c>
      <c r="Y20" s="3529">
        <f t="shared" si="33"/>
        <v>15.654605978260872</v>
      </c>
      <c r="Z20" s="597">
        <f t="shared" si="34"/>
        <v>15.401421500054898</v>
      </c>
      <c r="AA20" s="597">
        <f t="shared" si="34"/>
        <v>15.128351548269581</v>
      </c>
      <c r="AB20" s="3181">
        <f>16762.0206938527/1000</f>
        <v>16.762020693852701</v>
      </c>
      <c r="AC20" s="4140">
        <f>11367.16/(24*AC$2)</f>
        <v>15.278440860215053</v>
      </c>
      <c r="AD20" s="4141">
        <f t="shared" si="35"/>
        <v>15.598517644950842</v>
      </c>
      <c r="AE20" s="4141">
        <f t="shared" si="36"/>
        <v>15.150093457943925</v>
      </c>
      <c r="AF20" s="3181">
        <v>16.754999999999999</v>
      </c>
      <c r="AG20" s="4227">
        <f>9901.64/(24*AG$2)</f>
        <v>13.752277777777778</v>
      </c>
      <c r="AH20" s="4228">
        <f t="shared" si="37"/>
        <v>15.740708098440493</v>
      </c>
      <c r="AI20" s="4228">
        <f t="shared" si="38"/>
        <v>14.978230874316939</v>
      </c>
      <c r="AJ20" s="3181">
        <v>16.829999999999998</v>
      </c>
      <c r="AK20" s="4346">
        <f>11460.12/(24*AK$2)</f>
        <v>15.403387096774194</v>
      </c>
      <c r="AL20" s="3529">
        <f t="shared" si="39"/>
        <v>16.782637407711235</v>
      </c>
      <c r="AM20" s="3529">
        <f t="shared" si="40"/>
        <v>14.82288043478261</v>
      </c>
      <c r="AN20" s="4347">
        <f t="shared" si="41"/>
        <v>15.863501003707199</v>
      </c>
      <c r="AO20" s="4347">
        <f t="shared" si="42"/>
        <v>15.026157575757573</v>
      </c>
      <c r="AP20" s="3181">
        <v>16.829999999999998</v>
      </c>
      <c r="AQ20" s="4444">
        <f>11530.12/(24*AQ$2)</f>
        <v>15.49747311827957</v>
      </c>
      <c r="AR20" s="4445">
        <f t="shared" si="43"/>
        <v>15.961414300717253</v>
      </c>
      <c r="AS20" s="4445">
        <f t="shared" si="44"/>
        <v>15.07390522875817</v>
      </c>
      <c r="AT20" s="3181">
        <v>16.7469095640859</v>
      </c>
      <c r="AU20" s="4693">
        <f>10838.17/(24*AU$2)</f>
        <v>15.572083333333333</v>
      </c>
      <c r="AV20" s="4694">
        <f t="shared" si="45"/>
        <v>16.029412398143197</v>
      </c>
      <c r="AW20" s="4694">
        <f t="shared" si="46"/>
        <v>15.117031094527363</v>
      </c>
      <c r="AX20" s="3181">
        <f>16898.9653073646/1000</f>
        <v>16.898965307364602</v>
      </c>
      <c r="AY20" s="5244">
        <f>11378.57/(24*AY$2)</f>
        <v>15.293776881720429</v>
      </c>
      <c r="AZ20" s="3529">
        <f t="shared" si="47"/>
        <v>16.82701430644828</v>
      </c>
      <c r="BA20" s="3529">
        <f t="shared" si="48"/>
        <v>15.451858974358974</v>
      </c>
      <c r="BB20" s="5246">
        <f t="shared" si="49"/>
        <v>16.804704608722552</v>
      </c>
      <c r="BC20" s="5246">
        <f t="shared" si="49"/>
        <v>15.135651183970857</v>
      </c>
      <c r="BD20" s="5245">
        <f t="shared" si="50"/>
        <v>16.103063054388727</v>
      </c>
      <c r="BE20" s="5245">
        <f t="shared" si="51"/>
        <v>15.132001366120219</v>
      </c>
      <c r="BF20" s="26"/>
      <c r="BG20" s="26"/>
      <c r="BH20" s="26"/>
      <c r="BI20" s="26"/>
    </row>
    <row r="21" spans="1:61" ht="18.75" x14ac:dyDescent="0.3">
      <c r="A21" s="3516"/>
      <c r="B21" s="3528" t="s">
        <v>768</v>
      </c>
      <c r="C21" s="66" t="s">
        <v>572</v>
      </c>
      <c r="D21" s="3181"/>
      <c r="E21" s="3179">
        <f>154/(24*E$2)</f>
        <v>0.21388888888888888</v>
      </c>
      <c r="F21" s="3181">
        <v>2.4529999999999998</v>
      </c>
      <c r="G21" s="3179">
        <f>154/(24*G$2)</f>
        <v>0.20698924731182797</v>
      </c>
      <c r="H21" s="3191">
        <f t="shared" si="28"/>
        <v>1.2466065573770491</v>
      </c>
      <c r="I21" s="3205">
        <f t="shared" si="28"/>
        <v>0.21038251366120217</v>
      </c>
      <c r="J21" s="3181">
        <f>4991.88679245283/1000</f>
        <v>4.9918867924528305</v>
      </c>
      <c r="K21" s="3179">
        <f>154/(24*K$2)</f>
        <v>0.21388888888888888</v>
      </c>
      <c r="L21" s="3529">
        <f t="shared" si="29"/>
        <v>2.4813143271822518</v>
      </c>
      <c r="M21" s="3529">
        <f t="shared" si="29"/>
        <v>0.21153846153846154</v>
      </c>
      <c r="N21" s="3181">
        <f>257.285453438832/1000</f>
        <v>0.25728545343883202</v>
      </c>
      <c r="O21" s="3179">
        <f>154/(24*O$2)</f>
        <v>0.20698924731182797</v>
      </c>
      <c r="P21" s="422">
        <f t="shared" si="30"/>
        <v>1.9161922363130224</v>
      </c>
      <c r="Q21" s="422">
        <f t="shared" si="30"/>
        <v>0.2103825136612022</v>
      </c>
      <c r="R21" s="3181">
        <f>257.285453438832/1000</f>
        <v>0.25728545343883202</v>
      </c>
      <c r="S21" s="3179">
        <f>154/(24*S$2)</f>
        <v>0.20698924731182797</v>
      </c>
      <c r="T21" s="422">
        <f t="shared" si="31"/>
        <v>1.5800738685411277</v>
      </c>
      <c r="U21" s="422">
        <f t="shared" si="32"/>
        <v>0.20969498910675383</v>
      </c>
      <c r="V21" s="3181">
        <f>257.285453438832/1000</f>
        <v>0.25728545343883202</v>
      </c>
      <c r="W21" s="3179">
        <f>154/(24*W$2)</f>
        <v>0.21388888888888888</v>
      </c>
      <c r="X21" s="3529">
        <f t="shared" ref="X21:X22" si="52">(N21*N$2+R21*R$2+V21*V$2)/X$2</f>
        <v>0.25728545343883202</v>
      </c>
      <c r="Y21" s="3529">
        <f t="shared" ref="Y21:Y22" si="53">(O21*O$2+S21*S$2+W21*W$2)/Y$2</f>
        <v>0.20923913043478262</v>
      </c>
      <c r="Z21" s="597">
        <f t="shared" si="34"/>
        <v>1.3632233086882923</v>
      </c>
      <c r="AA21" s="597">
        <f t="shared" si="34"/>
        <v>0.2103825136612022</v>
      </c>
      <c r="AB21" s="3181">
        <v>0</v>
      </c>
      <c r="AC21" s="4140">
        <f>154/(24*AC$2)</f>
        <v>0.20698924731182797</v>
      </c>
      <c r="AD21" s="4141">
        <f t="shared" si="35"/>
        <v>1.1657470349998014</v>
      </c>
      <c r="AE21" s="4141">
        <f t="shared" si="36"/>
        <v>0.20989096573208721</v>
      </c>
      <c r="AF21" s="3181">
        <v>0</v>
      </c>
      <c r="AG21" s="4227">
        <f>154/(24*AG$2)</f>
        <v>0.21388888888888888</v>
      </c>
      <c r="AH21" s="4228">
        <f t="shared" si="37"/>
        <v>1.0224174815162193</v>
      </c>
      <c r="AI21" s="4228">
        <f t="shared" si="38"/>
        <v>0.21038251366120217</v>
      </c>
      <c r="AJ21" s="3181">
        <v>0</v>
      </c>
      <c r="AK21" s="4346">
        <f>154/(24*AK$2)</f>
        <v>0.20698924731182797</v>
      </c>
      <c r="AL21" s="3529">
        <f t="shared" si="39"/>
        <v>0</v>
      </c>
      <c r="AM21" s="3529">
        <f t="shared" si="40"/>
        <v>0.20923913043478262</v>
      </c>
      <c r="AN21" s="4347">
        <f t="shared" si="41"/>
        <v>0.90716314723620906</v>
      </c>
      <c r="AO21" s="4347">
        <f t="shared" si="42"/>
        <v>0.20999999999999996</v>
      </c>
      <c r="AP21" s="3181">
        <v>0</v>
      </c>
      <c r="AQ21" s="4444">
        <f>0/(24*AQ$2)</f>
        <v>0</v>
      </c>
      <c r="AR21" s="4445">
        <f t="shared" si="43"/>
        <v>0.81526099833319443</v>
      </c>
      <c r="AS21" s="4445">
        <f t="shared" si="44"/>
        <v>0.1887254901960784</v>
      </c>
      <c r="AT21" s="3181">
        <v>0</v>
      </c>
      <c r="AU21" s="4693">
        <f>0/(24*AU$2)</f>
        <v>0</v>
      </c>
      <c r="AV21" s="4694">
        <f t="shared" si="45"/>
        <v>0.74468616564166412</v>
      </c>
      <c r="AW21" s="4694">
        <f t="shared" si="46"/>
        <v>0.17238805970149251</v>
      </c>
      <c r="AX21" s="3181">
        <v>0</v>
      </c>
      <c r="AY21" s="5244">
        <f>0/(24*AY$2)</f>
        <v>0</v>
      </c>
      <c r="AZ21" s="3529">
        <f t="shared" si="47"/>
        <v>0</v>
      </c>
      <c r="BA21" s="3529">
        <f t="shared" si="48"/>
        <v>0</v>
      </c>
      <c r="BB21" s="5246">
        <f t="shared" si="49"/>
        <v>0</v>
      </c>
      <c r="BC21" s="5246">
        <f t="shared" si="49"/>
        <v>0.1051912568306011</v>
      </c>
      <c r="BD21" s="5245">
        <f t="shared" si="50"/>
        <v>0.68161165434414606</v>
      </c>
      <c r="BE21" s="5245">
        <f t="shared" si="51"/>
        <v>0.15778688524590162</v>
      </c>
      <c r="BF21" s="26"/>
      <c r="BG21" s="26"/>
      <c r="BH21" s="26"/>
      <c r="BI21" s="26"/>
    </row>
    <row r="22" spans="1:61" ht="18.75" x14ac:dyDescent="0.3">
      <c r="A22" s="3516"/>
      <c r="B22" s="3528" t="s">
        <v>104</v>
      </c>
      <c r="C22" s="66" t="s">
        <v>572</v>
      </c>
      <c r="D22" s="3181"/>
      <c r="E22" s="3179">
        <f>17.68/(24*E$2)</f>
        <v>2.4555555555555556E-2</v>
      </c>
      <c r="F22" s="3181"/>
      <c r="G22" s="3179">
        <v>0</v>
      </c>
      <c r="H22" s="3191">
        <f t="shared" si="28"/>
        <v>0</v>
      </c>
      <c r="I22" s="3205">
        <f t="shared" si="28"/>
        <v>1.2076502732240438E-2</v>
      </c>
      <c r="J22" s="3181"/>
      <c r="K22" s="3179">
        <v>0</v>
      </c>
      <c r="L22" s="3529">
        <f t="shared" si="29"/>
        <v>0</v>
      </c>
      <c r="M22" s="3529">
        <f t="shared" si="29"/>
        <v>8.0952380952380963E-3</v>
      </c>
      <c r="N22" s="3181">
        <v>0</v>
      </c>
      <c r="O22" s="3179">
        <v>0</v>
      </c>
      <c r="P22" s="422">
        <f t="shared" si="30"/>
        <v>0</v>
      </c>
      <c r="Q22" s="422">
        <f t="shared" si="30"/>
        <v>6.0382513661202198E-3</v>
      </c>
      <c r="R22" s="3181">
        <v>0</v>
      </c>
      <c r="S22" s="3179">
        <v>0</v>
      </c>
      <c r="T22" s="422">
        <f t="shared" si="31"/>
        <v>0</v>
      </c>
      <c r="U22" s="422">
        <f t="shared" si="32"/>
        <v>4.814814814814816E-3</v>
      </c>
      <c r="V22" s="3181">
        <v>0</v>
      </c>
      <c r="W22" s="3179">
        <v>0</v>
      </c>
      <c r="X22" s="3529">
        <f t="shared" si="52"/>
        <v>0</v>
      </c>
      <c r="Y22" s="3529">
        <f t="shared" si="53"/>
        <v>0</v>
      </c>
      <c r="Z22" s="597">
        <f t="shared" si="34"/>
        <v>0</v>
      </c>
      <c r="AA22" s="597">
        <f t="shared" si="34"/>
        <v>4.0255009107468135E-3</v>
      </c>
      <c r="AB22" s="3181">
        <v>0</v>
      </c>
      <c r="AC22" s="4140">
        <v>0</v>
      </c>
      <c r="AD22" s="4141">
        <f t="shared" si="35"/>
        <v>0</v>
      </c>
      <c r="AE22" s="4141">
        <f t="shared" si="36"/>
        <v>3.4423676012461072E-3</v>
      </c>
      <c r="AF22" s="3181">
        <v>0</v>
      </c>
      <c r="AG22" s="4227">
        <v>0</v>
      </c>
      <c r="AH22" s="4228">
        <f t="shared" si="37"/>
        <v>0</v>
      </c>
      <c r="AI22" s="4228">
        <f t="shared" si="38"/>
        <v>3.0191256830601103E-3</v>
      </c>
      <c r="AJ22" s="3181">
        <v>0</v>
      </c>
      <c r="AK22" s="4346">
        <v>0</v>
      </c>
      <c r="AL22" s="3529">
        <f t="shared" si="39"/>
        <v>0</v>
      </c>
      <c r="AM22" s="3529">
        <f t="shared" si="40"/>
        <v>0</v>
      </c>
      <c r="AN22" s="4347">
        <f t="shared" si="41"/>
        <v>0</v>
      </c>
      <c r="AO22" s="4347">
        <f t="shared" si="42"/>
        <v>2.6787878787878799E-3</v>
      </c>
      <c r="AP22" s="3181">
        <v>0</v>
      </c>
      <c r="AQ22" s="4444">
        <v>0</v>
      </c>
      <c r="AR22" s="4445">
        <f t="shared" si="43"/>
        <v>0</v>
      </c>
      <c r="AS22" s="4445">
        <f t="shared" si="44"/>
        <v>2.407407407407408E-3</v>
      </c>
      <c r="AT22" s="3181">
        <v>0</v>
      </c>
      <c r="AU22" s="4693">
        <v>0</v>
      </c>
      <c r="AV22" s="4694">
        <f t="shared" si="45"/>
        <v>0</v>
      </c>
      <c r="AW22" s="4694">
        <f t="shared" si="46"/>
        <v>2.1990049751243784E-3</v>
      </c>
      <c r="AX22" s="3181">
        <v>0</v>
      </c>
      <c r="AY22" s="5244">
        <v>0</v>
      </c>
      <c r="AZ22" s="3529">
        <f t="shared" si="47"/>
        <v>0</v>
      </c>
      <c r="BA22" s="3529">
        <f t="shared" si="48"/>
        <v>0</v>
      </c>
      <c r="BB22" s="5246">
        <f t="shared" si="49"/>
        <v>0</v>
      </c>
      <c r="BC22" s="5246">
        <f t="shared" si="49"/>
        <v>0</v>
      </c>
      <c r="BD22" s="5245">
        <f t="shared" si="50"/>
        <v>0</v>
      </c>
      <c r="BE22" s="5245">
        <f t="shared" si="51"/>
        <v>2.0127504553734067E-3</v>
      </c>
      <c r="BF22" s="26"/>
      <c r="BG22" s="26"/>
      <c r="BH22" s="26"/>
      <c r="BI22" s="26"/>
    </row>
    <row r="23" spans="1:61" ht="18.75" x14ac:dyDescent="0.3">
      <c r="A23" s="3516"/>
      <c r="B23" s="3528" t="s">
        <v>104</v>
      </c>
      <c r="C23" s="66" t="s">
        <v>52</v>
      </c>
      <c r="D23" s="897"/>
      <c r="E23" s="3178">
        <v>25.26</v>
      </c>
      <c r="F23" s="897"/>
      <c r="G23" s="3178">
        <v>0</v>
      </c>
      <c r="H23" s="423">
        <f>+D23+F23</f>
        <v>0</v>
      </c>
      <c r="I23" s="250">
        <f>+E23+G23</f>
        <v>25.26</v>
      </c>
      <c r="J23" s="897"/>
      <c r="K23" s="3178">
        <v>0</v>
      </c>
      <c r="L23" s="486">
        <f>+D23+F23+J23</f>
        <v>0</v>
      </c>
      <c r="M23" s="486">
        <f>+E23+G23+K23</f>
        <v>25.26</v>
      </c>
      <c r="N23" s="897">
        <v>0</v>
      </c>
      <c r="O23" s="3178">
        <v>0</v>
      </c>
      <c r="P23" s="3450">
        <f>+L23+N23</f>
        <v>0</v>
      </c>
      <c r="Q23" s="3450">
        <f>+M23+O23</f>
        <v>25.26</v>
      </c>
      <c r="R23" s="897">
        <v>0</v>
      </c>
      <c r="S23" s="3178">
        <v>0</v>
      </c>
      <c r="T23" s="3450">
        <f>+P23+R23</f>
        <v>0</v>
      </c>
      <c r="U23" s="3450">
        <f>+Q23+S23</f>
        <v>25.26</v>
      </c>
      <c r="V23" s="897">
        <v>0</v>
      </c>
      <c r="W23" s="3178">
        <v>0</v>
      </c>
      <c r="X23" s="486">
        <f>N23+R23+V23</f>
        <v>0</v>
      </c>
      <c r="Y23" s="486">
        <f>O23+S23+W23</f>
        <v>0</v>
      </c>
      <c r="Z23" s="595">
        <f>+T23+V23</f>
        <v>0</v>
      </c>
      <c r="AA23" s="595">
        <f>+U23+W23</f>
        <v>25.26</v>
      </c>
      <c r="AB23" s="897">
        <v>0</v>
      </c>
      <c r="AC23" s="3178">
        <v>0</v>
      </c>
      <c r="AD23" s="4134">
        <f>+Z23+AB23</f>
        <v>0</v>
      </c>
      <c r="AE23" s="4134">
        <f>+AA23+AC23</f>
        <v>25.26</v>
      </c>
      <c r="AF23" s="897">
        <v>0</v>
      </c>
      <c r="AG23" s="3178">
        <v>0</v>
      </c>
      <c r="AH23" s="4223">
        <f>+AD23+AF23</f>
        <v>0</v>
      </c>
      <c r="AI23" s="4223">
        <f>+AE23+AG23</f>
        <v>25.26</v>
      </c>
      <c r="AJ23" s="897">
        <v>0</v>
      </c>
      <c r="AK23" s="3178">
        <v>0</v>
      </c>
      <c r="AL23" s="486">
        <f>AB23+AF23+AJ23</f>
        <v>0</v>
      </c>
      <c r="AM23" s="486">
        <f>AC23+AG23+AK23</f>
        <v>0</v>
      </c>
      <c r="AN23" s="4340">
        <f>+AH23+AJ23</f>
        <v>0</v>
      </c>
      <c r="AO23" s="4340">
        <f>+AI23+AK23</f>
        <v>25.26</v>
      </c>
      <c r="AP23" s="897">
        <v>0</v>
      </c>
      <c r="AQ23" s="3178">
        <v>0</v>
      </c>
      <c r="AR23" s="4439">
        <f>+AN23+AP23</f>
        <v>0</v>
      </c>
      <c r="AS23" s="4439">
        <f>+AO23+AQ23</f>
        <v>25.26</v>
      </c>
      <c r="AT23" s="897">
        <v>0</v>
      </c>
      <c r="AU23" s="3178">
        <v>0</v>
      </c>
      <c r="AV23" s="4690">
        <f>+AR23+AT23</f>
        <v>0</v>
      </c>
      <c r="AW23" s="4690">
        <f>+AS23+AU23</f>
        <v>25.26</v>
      </c>
      <c r="AX23" s="897">
        <v>0</v>
      </c>
      <c r="AY23" s="3178">
        <v>0</v>
      </c>
      <c r="AZ23" s="486">
        <f>AP23+AT23+AX23</f>
        <v>0</v>
      </c>
      <c r="BA23" s="486">
        <f>AQ23+AU23+AY23</f>
        <v>0</v>
      </c>
      <c r="BB23" s="595">
        <f>+AL23+AZ23</f>
        <v>0</v>
      </c>
      <c r="BC23" s="595">
        <f>+AM23+BA23</f>
        <v>0</v>
      </c>
      <c r="BD23" s="5235">
        <f>+AV23+AX23</f>
        <v>0</v>
      </c>
      <c r="BE23" s="5235">
        <f>+AW23+AY23</f>
        <v>25.26</v>
      </c>
      <c r="BF23" s="26"/>
      <c r="BG23" s="26"/>
      <c r="BH23" s="26"/>
      <c r="BI23" s="26"/>
    </row>
    <row r="24" spans="1:61" ht="18.75" x14ac:dyDescent="0.3">
      <c r="A24" s="3527"/>
      <c r="B24" s="3530" t="s">
        <v>23</v>
      </c>
      <c r="C24" s="1042" t="s">
        <v>572</v>
      </c>
      <c r="D24" s="3181">
        <f t="shared" ref="D24:AA24" si="54">SUM(D18:D22)</f>
        <v>41.54</v>
      </c>
      <c r="E24" s="2148">
        <f t="shared" si="54"/>
        <v>37.789069444444443</v>
      </c>
      <c r="F24" s="3181">
        <f t="shared" si="54"/>
        <v>38.86</v>
      </c>
      <c r="G24" s="2148">
        <f t="shared" si="54"/>
        <v>29.83420698924731</v>
      </c>
      <c r="H24" s="3189">
        <f t="shared" si="54"/>
        <v>40.17803278688524</v>
      </c>
      <c r="I24" s="543">
        <f t="shared" si="54"/>
        <v>33.746434426229506</v>
      </c>
      <c r="J24" s="3181">
        <f t="shared" si="54"/>
        <v>41.540000000000035</v>
      </c>
      <c r="K24" s="2148">
        <f t="shared" si="54"/>
        <v>32.367445833333335</v>
      </c>
      <c r="L24" s="3531">
        <f t="shared" si="54"/>
        <v>40.627032967032982</v>
      </c>
      <c r="M24" s="3201">
        <f t="shared" si="54"/>
        <v>33.2918228021978</v>
      </c>
      <c r="N24" s="3181">
        <f t="shared" si="54"/>
        <v>41.540000000000028</v>
      </c>
      <c r="O24" s="2148">
        <f t="shared" si="54"/>
        <v>38.548548387096773</v>
      </c>
      <c r="P24" s="422">
        <f t="shared" si="54"/>
        <v>40.859016393442644</v>
      </c>
      <c r="Q24" s="422">
        <f t="shared" si="54"/>
        <v>34.627548155737699</v>
      </c>
      <c r="R24" s="3181">
        <f t="shared" ref="R24:U24" si="55">SUM(R18:R22)</f>
        <v>41.540000000000028</v>
      </c>
      <c r="S24" s="2148">
        <f t="shared" si="55"/>
        <v>34.93479838709677</v>
      </c>
      <c r="T24" s="422">
        <f t="shared" si="55"/>
        <v>40.996993464052302</v>
      </c>
      <c r="U24" s="422">
        <f t="shared" si="55"/>
        <v>34.689801470588229</v>
      </c>
      <c r="V24" s="3181">
        <f t="shared" ref="V24:W24" si="56">SUM(V18:V22)</f>
        <v>41.540000000000028</v>
      </c>
      <c r="W24" s="2148">
        <f t="shared" si="56"/>
        <v>36.352069444444439</v>
      </c>
      <c r="X24" s="3529">
        <f>SUM(X18:X22)</f>
        <v>41.540000000000028</v>
      </c>
      <c r="Y24" s="3529">
        <f>SUM(Y18:Y22)</f>
        <v>36.614628623188409</v>
      </c>
      <c r="Z24" s="3544">
        <f t="shared" si="54"/>
        <v>41.08601092896177</v>
      </c>
      <c r="AA24" s="3544">
        <f t="shared" si="54"/>
        <v>34.962304417122034</v>
      </c>
      <c r="AB24" s="3181">
        <f t="shared" ref="AB24:AE24" si="57">SUM(AB18:AB22)</f>
        <v>41.540020693852696</v>
      </c>
      <c r="AC24" s="2148">
        <f t="shared" si="57"/>
        <v>36.205336021505374</v>
      </c>
      <c r="AD24" s="4141">
        <f t="shared" si="57"/>
        <v>41.151778698642232</v>
      </c>
      <c r="AE24" s="4141">
        <f t="shared" si="57"/>
        <v>35.142369742990645</v>
      </c>
      <c r="AF24" s="3181">
        <f>SUM(AF18:AF23)</f>
        <v>41.54</v>
      </c>
      <c r="AG24" s="2148">
        <f t="shared" ref="AG24:AI24" si="58">SUM(AG18:AG22)</f>
        <v>27.448263888888889</v>
      </c>
      <c r="AH24" s="4228">
        <f t="shared" si="58"/>
        <v>41.199510825858354</v>
      </c>
      <c r="AI24" s="4228">
        <f t="shared" si="58"/>
        <v>34.196373121584692</v>
      </c>
      <c r="AJ24" s="3181">
        <f>SUM(AJ18:AJ23)</f>
        <v>41.54</v>
      </c>
      <c r="AK24" s="2148">
        <f t="shared" ref="AK24:AO24" si="59">SUM(AK18:AK22)</f>
        <v>32.657163978494623</v>
      </c>
      <c r="AL24" s="3529">
        <f>SUM(AL18:AL22)</f>
        <v>41.540006972928623</v>
      </c>
      <c r="AM24" s="3529">
        <f>SUM(AM18:AM22)</f>
        <v>32.154189311594202</v>
      </c>
      <c r="AN24" s="4347">
        <f t="shared" si="59"/>
        <v>41.237893241852497</v>
      </c>
      <c r="AO24" s="4347">
        <f t="shared" si="59"/>
        <v>34.022862272727266</v>
      </c>
      <c r="AP24" s="3181">
        <f>SUM(AP18:AP23)</f>
        <v>41.54</v>
      </c>
      <c r="AQ24" s="2148">
        <f t="shared" ref="AQ24:AS24" si="60">SUM(AQ18:AQ22)</f>
        <v>35.826733870967743</v>
      </c>
      <c r="AR24" s="4445">
        <f t="shared" si="60"/>
        <v>41.268498828462214</v>
      </c>
      <c r="AS24" s="4445">
        <f t="shared" si="60"/>
        <v>34.20560743464052</v>
      </c>
      <c r="AT24" s="3181">
        <f>SUM(AT18:AT23)</f>
        <v>41.539909564085903</v>
      </c>
      <c r="AU24" s="2148">
        <f t="shared" ref="AU24:AW24" si="61">SUM(AU18:AU22)</f>
        <v>37.820517241379314</v>
      </c>
      <c r="AV24" s="4694">
        <f t="shared" si="61"/>
        <v>41.29199408617292</v>
      </c>
      <c r="AW24" s="4694">
        <f t="shared" si="61"/>
        <v>34.518539925373133</v>
      </c>
      <c r="AX24" s="3181">
        <f>SUM(AX18:AX23)</f>
        <v>41.539965307364596</v>
      </c>
      <c r="AY24" s="2148">
        <f t="shared" ref="AY24:BE24" si="62">SUM(AY18:AY22)</f>
        <v>36.738427419354835</v>
      </c>
      <c r="AZ24" s="3529">
        <f>SUM(AZ18:AZ22)</f>
        <v>41.539959361393336</v>
      </c>
      <c r="BA24" s="3529">
        <f>SUM(BA18:BA22)</f>
        <v>36.77269230769231</v>
      </c>
      <c r="BB24" s="3544">
        <f t="shared" ref="BB24:BC24" si="63">SUM(BB18:BB22)</f>
        <v>41.539983297247147</v>
      </c>
      <c r="BC24" s="3544">
        <f t="shared" si="63"/>
        <v>34.450821948998176</v>
      </c>
      <c r="BD24" s="5245">
        <f t="shared" si="62"/>
        <v>41.312997113104458</v>
      </c>
      <c r="BE24" s="5245">
        <f t="shared" si="62"/>
        <v>34.706563183060105</v>
      </c>
      <c r="BF24" s="26"/>
      <c r="BG24" s="26"/>
      <c r="BH24" s="26"/>
      <c r="BI24" s="26"/>
    </row>
    <row r="25" spans="1:61" ht="18.75" x14ac:dyDescent="0.3">
      <c r="A25" s="3527"/>
      <c r="B25" s="1926" t="s">
        <v>105</v>
      </c>
      <c r="C25" s="1713"/>
      <c r="D25" s="3532"/>
      <c r="E25" s="3533"/>
      <c r="F25" s="3532"/>
      <c r="G25" s="3533"/>
      <c r="H25" s="3534"/>
      <c r="I25" s="3533"/>
      <c r="J25" s="3532"/>
      <c r="K25" s="3533"/>
      <c r="L25" s="3534"/>
      <c r="M25" s="3533"/>
      <c r="N25" s="3532"/>
      <c r="O25" s="3533"/>
      <c r="P25" s="3535"/>
      <c r="Q25" s="3535"/>
      <c r="R25" s="3532"/>
      <c r="S25" s="3533"/>
      <c r="T25" s="3535"/>
      <c r="U25" s="3535"/>
      <c r="V25" s="3532"/>
      <c r="W25" s="3533"/>
      <c r="X25" s="3534"/>
      <c r="Y25" s="3533"/>
      <c r="Z25" s="3535"/>
      <c r="AA25" s="3535"/>
      <c r="AB25" s="3532"/>
      <c r="AC25" s="3533"/>
      <c r="AD25" s="3535"/>
      <c r="AE25" s="3535"/>
      <c r="AF25" s="3532"/>
      <c r="AG25" s="3533"/>
      <c r="AH25" s="3535"/>
      <c r="AI25" s="3535"/>
      <c r="AJ25" s="3532"/>
      <c r="AK25" s="3533"/>
      <c r="AL25" s="3534"/>
      <c r="AM25" s="3533"/>
      <c r="AN25" s="3535"/>
      <c r="AO25" s="3535"/>
      <c r="AP25" s="3532"/>
      <c r="AQ25" s="3533"/>
      <c r="AR25" s="3535"/>
      <c r="AS25" s="3535"/>
      <c r="AT25" s="3532"/>
      <c r="AU25" s="3533"/>
      <c r="AV25" s="3535"/>
      <c r="AW25" s="3535"/>
      <c r="AX25" s="3532"/>
      <c r="AY25" s="3533"/>
      <c r="AZ25" s="3534"/>
      <c r="BA25" s="3533"/>
      <c r="BB25" s="3535"/>
      <c r="BC25" s="3535"/>
      <c r="BD25" s="3535"/>
      <c r="BE25" s="3535"/>
      <c r="BF25" s="26"/>
      <c r="BG25" s="26"/>
      <c r="BH25" s="26"/>
      <c r="BI25" s="26"/>
    </row>
    <row r="26" spans="1:61" ht="18.75" x14ac:dyDescent="0.3">
      <c r="A26" s="3516"/>
      <c r="B26" s="3528" t="s">
        <v>16</v>
      </c>
      <c r="C26" s="66" t="s">
        <v>572</v>
      </c>
      <c r="D26" s="1995">
        <v>16</v>
      </c>
      <c r="E26" s="3179">
        <f>4100/(24*E$2)</f>
        <v>5.6944444444444446</v>
      </c>
      <c r="F26" s="1995">
        <v>15</v>
      </c>
      <c r="G26" s="3179">
        <f>4100/(24*G$2)</f>
        <v>5.510752688172043</v>
      </c>
      <c r="H26" s="3191">
        <f t="shared" ref="H26:I28" si="64">+((D26*D$2)+(F26*F$2))/H$2</f>
        <v>15.491803278688524</v>
      </c>
      <c r="I26" s="3205">
        <f t="shared" si="64"/>
        <v>5.6010928961748636</v>
      </c>
      <c r="J26" s="1995">
        <v>15</v>
      </c>
      <c r="K26" s="3179">
        <f>4100/(24*K$2)</f>
        <v>5.6944444444444446</v>
      </c>
      <c r="L26" s="3529">
        <f t="shared" ref="L26:M31" si="65">+((D26*D$2)+(F26*F$2)+(J26*J$2))/L$2</f>
        <v>15.32967032967033</v>
      </c>
      <c r="M26" s="3529">
        <f>+((E26*E$2)+(G26*G$2)+(K26*K$2))/M$2</f>
        <v>5.6318681318681323</v>
      </c>
      <c r="N26" s="1995">
        <v>16</v>
      </c>
      <c r="O26" s="3179">
        <f>4100/(24*O$2)</f>
        <v>5.510752688172043</v>
      </c>
      <c r="P26" s="422">
        <f>+((L26*L$2)+(N26*N$2))/P$2</f>
        <v>15.5</v>
      </c>
      <c r="Q26" s="422">
        <f>+((M26*M$2)+(O26*O$2))/Q$2</f>
        <v>5.6010928961748636</v>
      </c>
      <c r="R26" s="1995">
        <v>16</v>
      </c>
      <c r="S26" s="3179">
        <f>4100/(24*S$2)</f>
        <v>5.510752688172043</v>
      </c>
      <c r="T26" s="422">
        <f>+((P26*P$2)+(R26*R$2))/T$2</f>
        <v>15.601307189542483</v>
      </c>
      <c r="U26" s="422">
        <f>+((Q26*Q$2)+(S26*S$2))/U$2</f>
        <v>5.582788671023966</v>
      </c>
      <c r="V26" s="1995">
        <v>16</v>
      </c>
      <c r="W26" s="3179">
        <f>4100/(24*W$2)</f>
        <v>5.6944444444444446</v>
      </c>
      <c r="X26" s="3529">
        <f>(N26*N$2+R26*R$2+V26*V$2)/X$2</f>
        <v>16</v>
      </c>
      <c r="Y26" s="3529">
        <f>(O26*O$2+S26*S$2+W26*W$2)/Y$2</f>
        <v>5.5706521739130439</v>
      </c>
      <c r="Z26" s="597">
        <f>(L26*L$2+X26*X$2)/Z$2</f>
        <v>15.666666666666666</v>
      </c>
      <c r="AA26" s="597">
        <f>(M26*M$2+Y26*Y$2)/AA$2</f>
        <v>5.6010928961748636</v>
      </c>
      <c r="AB26" s="1995">
        <v>16</v>
      </c>
      <c r="AC26" s="4140">
        <f>4100/(24*AC$2)</f>
        <v>5.510752688172043</v>
      </c>
      <c r="AD26" s="4141">
        <f>+((Z26*Z$2)+(AB26*AB$2))/AD$2</f>
        <v>15.714953271028037</v>
      </c>
      <c r="AE26" s="4141">
        <f>+((AA26*AA$2)+(AC26*AC$2))/AE$2</f>
        <v>5.5880062305295946</v>
      </c>
      <c r="AF26" s="1995">
        <v>16</v>
      </c>
      <c r="AG26" s="4227">
        <f>4100/(24*AG$2)</f>
        <v>5.6944444444444446</v>
      </c>
      <c r="AH26" s="4228">
        <f>+((AD26*AD$2)+(AF26*AF$2))/AH$2</f>
        <v>15.75</v>
      </c>
      <c r="AI26" s="4228">
        <f>+((AE26*AE$2)+(AG26*AG$2))/AI$2</f>
        <v>5.6010928961748627</v>
      </c>
      <c r="AJ26" s="1995">
        <v>16</v>
      </c>
      <c r="AK26" s="4346">
        <f>4100/(24*AK$2)</f>
        <v>5.510752688172043</v>
      </c>
      <c r="AL26" s="3529">
        <f>(AB26*AB$2+AF26*AF$2+AJ26*AJ$2)/AL$2</f>
        <v>16</v>
      </c>
      <c r="AM26" s="3529">
        <f>(AC26*AC$2+AG26*AG$2+AK26*AK$2)/AM$2</f>
        <v>5.5706521739130439</v>
      </c>
      <c r="AN26" s="4347">
        <f>+((AH26*AH$2)+(AJ26*AJ$2))/AN$2</f>
        <v>15.778181818181817</v>
      </c>
      <c r="AO26" s="4347">
        <f>+((AI26*AI$2)+(AK26*AK$2))/AO$2</f>
        <v>5.5909090909090899</v>
      </c>
      <c r="AP26" s="1995">
        <v>16</v>
      </c>
      <c r="AQ26" s="4444">
        <f>4100/(24*AQ$2)</f>
        <v>5.510752688172043</v>
      </c>
      <c r="AR26" s="4445">
        <f>+((AN26*AN$2)+(AP26*AP$2))/AR$2</f>
        <v>15.800653594771243</v>
      </c>
      <c r="AS26" s="4445">
        <f>+((AO26*AO$2)+(AQ26*AQ$2))/AS$2</f>
        <v>5.5827886710239643</v>
      </c>
      <c r="AT26" s="1995">
        <v>16</v>
      </c>
      <c r="AU26" s="4693">
        <f>4100/(24*AU$2)</f>
        <v>5.8908045977011492</v>
      </c>
      <c r="AV26" s="4694">
        <f>+((AR26*AR$2)+(AT26*AT$2))/AV$2</f>
        <v>15.817910447761195</v>
      </c>
      <c r="AW26" s="4694">
        <f>+((AS26*AS$2)+(AU26*AU$2))/AW$2</f>
        <v>5.6094527363184072</v>
      </c>
      <c r="AX26" s="1995">
        <v>16</v>
      </c>
      <c r="AY26" s="5244">
        <f>4100/(24*AY$2)</f>
        <v>5.510752688172043</v>
      </c>
      <c r="AZ26" s="3529">
        <f>(AP26*AP$2+AT26*AT$2+AX26*AX$2)/AZ$2</f>
        <v>16</v>
      </c>
      <c r="BA26" s="3529">
        <f>(AQ26*AQ$2+AU26*AU$2+AY26*AY$2)/BA$2</f>
        <v>5.6318681318681323</v>
      </c>
      <c r="BB26" s="5246">
        <f t="shared" ref="BB26:BC29" si="66">(AL26*AL$2+AZ26*AZ$2)/BB$2</f>
        <v>16</v>
      </c>
      <c r="BC26" s="5246">
        <f t="shared" si="66"/>
        <v>5.6010928961748636</v>
      </c>
      <c r="BD26" s="5245">
        <f>+((AV26*AV$2)+(AX26*AX$2))/BD$2</f>
        <v>15.833333333333334</v>
      </c>
      <c r="BE26" s="5245">
        <f>+((AW26*AW$2)+(AY26*AY$2))/BE$2</f>
        <v>5.6010928961748636</v>
      </c>
      <c r="BF26" s="26"/>
      <c r="BG26" s="26"/>
      <c r="BH26" s="26"/>
      <c r="BI26" s="26"/>
    </row>
    <row r="27" spans="1:61" ht="18.75" x14ac:dyDescent="0.3">
      <c r="A27" s="3516"/>
      <c r="B27" s="3528" t="s">
        <v>59</v>
      </c>
      <c r="C27" s="66" t="s">
        <v>572</v>
      </c>
      <c r="D27" s="1995">
        <v>10</v>
      </c>
      <c r="E27" s="3179">
        <f>7921.68/(24*E$2)</f>
        <v>11.002333333333334</v>
      </c>
      <c r="F27" s="1995">
        <v>9</v>
      </c>
      <c r="G27" s="3179">
        <f>7488.96/(24*G$2)</f>
        <v>10.065806451612904</v>
      </c>
      <c r="H27" s="3191">
        <f t="shared" si="64"/>
        <v>9.4918032786885238</v>
      </c>
      <c r="I27" s="3205">
        <f t="shared" si="64"/>
        <v>10.526393442622952</v>
      </c>
      <c r="J27" s="1995">
        <v>9</v>
      </c>
      <c r="K27" s="3179">
        <f>6551.2/(24*K$2)</f>
        <v>9.0988888888888884</v>
      </c>
      <c r="L27" s="3529">
        <f t="shared" si="65"/>
        <v>9.3296703296703303</v>
      </c>
      <c r="M27" s="3529">
        <f>+((E27*E$2)+(G27*G$2)+(K27*K$2))/M$2</f>
        <v>10.055787545787547</v>
      </c>
      <c r="N27" s="1995">
        <v>10</v>
      </c>
      <c r="O27" s="3179">
        <f>8178.4/(24*O$2)</f>
        <v>10.99247311827957</v>
      </c>
      <c r="P27" s="422">
        <f>+((L27*L$2)+(N27*N$2))/P$2</f>
        <v>9.5</v>
      </c>
      <c r="Q27" s="422">
        <f>+((M27*M$2)+(O27*O$2))/Q$2</f>
        <v>10.293797814207652</v>
      </c>
      <c r="R27" s="1995">
        <v>10</v>
      </c>
      <c r="S27" s="3179">
        <f>7689.36/(24*S$2)</f>
        <v>10.33516129032258</v>
      </c>
      <c r="T27" s="422">
        <f>+((P27*P$2)+(R27*R$2))/T$2</f>
        <v>9.6013071895424833</v>
      </c>
      <c r="U27" s="422">
        <f>+((Q27*Q$2)+(S27*S$2))/U$2</f>
        <v>10.302178649237474</v>
      </c>
      <c r="V27" s="1995">
        <v>10</v>
      </c>
      <c r="W27" s="3179">
        <f>7888.88/(24*W$2)</f>
        <v>10.956777777777777</v>
      </c>
      <c r="X27" s="3529">
        <f t="shared" ref="X27:X30" si="67">(N27*N$2+R27*R$2+V27*V$2)/X$2</f>
        <v>10</v>
      </c>
      <c r="Y27" s="3529">
        <f t="shared" ref="Y27:Y28" si="68">(O27*O$2+S27*S$2+W27*W$2)/Y$2</f>
        <v>10.759347826086955</v>
      </c>
      <c r="Z27" s="597">
        <f t="shared" ref="Z27:Z28" si="69">(L27*L$2+X27*X$2)/Z$2</f>
        <v>9.6666666666666661</v>
      </c>
      <c r="AA27" s="597">
        <f t="shared" ref="AA27:AA28" si="70">(M27*M$2+Y27*Y$2)/AA$2</f>
        <v>10.409489981785065</v>
      </c>
      <c r="AB27" s="1995">
        <v>10</v>
      </c>
      <c r="AC27" s="4140">
        <f>8261.92/(24*AC$2)</f>
        <v>11.1047311827957</v>
      </c>
      <c r="AD27" s="4141">
        <f>+((Z27*Z$2)+(AB27*AB$2))/AD$2</f>
        <v>9.7149532710280369</v>
      </c>
      <c r="AE27" s="4141">
        <f>+((AA27*AA$2)+(AC27*AC$2))/AE$2</f>
        <v>10.510202492211839</v>
      </c>
      <c r="AF27" s="1995">
        <v>10</v>
      </c>
      <c r="AG27" s="4227">
        <f>7411.92/(24*AG$2)</f>
        <v>10.294333333333334</v>
      </c>
      <c r="AH27" s="4228">
        <f>+((AD27*AD$2)+(AF27*AF$2))/AH$2</f>
        <v>9.75</v>
      </c>
      <c r="AI27" s="4228">
        <f>+((AE27*AE$2)+(AG27*AG$2))/AI$2</f>
        <v>10.483661202185793</v>
      </c>
      <c r="AJ27" s="1995">
        <v>10</v>
      </c>
      <c r="AK27" s="4346">
        <f>8350.56/(24*AK$2)</f>
        <v>11.223870967741934</v>
      </c>
      <c r="AL27" s="3529">
        <f t="shared" ref="AL27:AL31" si="71">(AB27*AB$2+AF27*AF$2+AJ27*AJ$2)/AL$2</f>
        <v>10</v>
      </c>
      <c r="AM27" s="3529">
        <f t="shared" ref="AM27:AM28" si="72">(AC27*AC$2+AG27*AG$2+AK27*AK$2)/AM$2</f>
        <v>10.880615942028985</v>
      </c>
      <c r="AN27" s="4347">
        <f>+((AH27*AH$2)+(AJ27*AJ$2))/AN$2</f>
        <v>9.7781818181818174</v>
      </c>
      <c r="AO27" s="4347">
        <f>+((AI27*AI$2)+(AK27*AK$2))/AO$2</f>
        <v>10.567103030303031</v>
      </c>
      <c r="AP27" s="1995">
        <v>10</v>
      </c>
      <c r="AQ27" s="4444">
        <f>8552.96/(24*AQ$2)</f>
        <v>11.495913978494622</v>
      </c>
      <c r="AR27" s="4445">
        <f>+((AN27*AN$2)+(AP27*AP$2))/AR$2</f>
        <v>9.8006535947712425</v>
      </c>
      <c r="AS27" s="4445">
        <f>+((AO27*AO$2)+(AQ27*AQ$2))/AS$2</f>
        <v>10.66119825708061</v>
      </c>
      <c r="AT27" s="1995">
        <v>10</v>
      </c>
      <c r="AU27" s="4693">
        <f>8093.92/(24*AU$2)</f>
        <v>11.629195402298851</v>
      </c>
      <c r="AV27" s="4694">
        <f>+((AR27*AR$2)+(AT27*AT$2))/AV$2</f>
        <v>9.8179104477611947</v>
      </c>
      <c r="AW27" s="4694">
        <f>+((AS27*AS$2)+(AU27*AU$2))/AW$2</f>
        <v>10.744995024875623</v>
      </c>
      <c r="AX27" s="1995">
        <v>10</v>
      </c>
      <c r="AY27" s="5244">
        <f>8499.12/(24*AY$2)</f>
        <v>11.423548387096774</v>
      </c>
      <c r="AZ27" s="3529">
        <f t="shared" ref="AZ27:AZ31" si="73">(AP27*AP$2+AT27*AT$2+AX27*AX$2)/AZ$2</f>
        <v>10</v>
      </c>
      <c r="BA27" s="3529">
        <f t="shared" ref="BA27:BA28" si="74">(AQ27*AQ$2+AU27*AU$2+AY27*AY$2)/BA$2</f>
        <v>11.513736263736265</v>
      </c>
      <c r="BB27" s="5246">
        <f t="shared" si="66"/>
        <v>10</v>
      </c>
      <c r="BC27" s="5246">
        <f t="shared" si="66"/>
        <v>11.195446265938068</v>
      </c>
      <c r="BD27" s="5245">
        <f>+((AV27*AV$2)+(AX27*AX$2))/BD$2</f>
        <v>9.8333333333333339</v>
      </c>
      <c r="BE27" s="5245">
        <f>+((AW27*AW$2)+(AY27*AY$2))/BE$2</f>
        <v>10.802468123861567</v>
      </c>
      <c r="BF27" s="26"/>
      <c r="BG27" s="26"/>
      <c r="BH27" s="26"/>
      <c r="BI27" s="26"/>
    </row>
    <row r="28" spans="1:61" ht="18.75" x14ac:dyDescent="0.3">
      <c r="A28" s="3516"/>
      <c r="B28" s="3528" t="s">
        <v>840</v>
      </c>
      <c r="C28" s="66" t="s">
        <v>572</v>
      </c>
      <c r="D28" s="1995">
        <v>2</v>
      </c>
      <c r="E28" s="3179">
        <f>864/(24*E$2)</f>
        <v>1.2</v>
      </c>
      <c r="F28" s="1995">
        <v>2</v>
      </c>
      <c r="G28" s="3179">
        <f>892.8/(24*G$2)</f>
        <v>1.2</v>
      </c>
      <c r="H28" s="3191">
        <f t="shared" si="64"/>
        <v>2</v>
      </c>
      <c r="I28" s="3205">
        <f t="shared" si="64"/>
        <v>1.1999999999999997</v>
      </c>
      <c r="J28" s="1995">
        <v>2</v>
      </c>
      <c r="K28" s="3179">
        <f>864/(24*K$2)</f>
        <v>1.2</v>
      </c>
      <c r="L28" s="3529">
        <f t="shared" si="65"/>
        <v>2</v>
      </c>
      <c r="M28" s="3529">
        <f>+((E28*E$2)+(G28*G$2)+(K28*K$2))/M$2</f>
        <v>1.2</v>
      </c>
      <c r="N28" s="1995">
        <v>2</v>
      </c>
      <c r="O28" s="3179">
        <f>892.8/(24*O$2)</f>
        <v>1.2</v>
      </c>
      <c r="P28" s="422">
        <f>+((L28*L$2)+(N28*N$2))/P$2</f>
        <v>2</v>
      </c>
      <c r="Q28" s="422">
        <f>+((M28*M$2)+((O28*O$2)))/Q$2</f>
        <v>1.2</v>
      </c>
      <c r="R28" s="1995">
        <v>2</v>
      </c>
      <c r="S28" s="3179">
        <f>892.8/(24*S$2)</f>
        <v>1.2</v>
      </c>
      <c r="T28" s="422">
        <f>+((P28*P$2)+(R28*R$2))/T$2</f>
        <v>2</v>
      </c>
      <c r="U28" s="422">
        <f>+((Q28*Q$2)+((S28*S$2)))/U$2</f>
        <v>1.2</v>
      </c>
      <c r="V28" s="1995">
        <v>2</v>
      </c>
      <c r="W28" s="3179">
        <f>892.8/(24*W$2)</f>
        <v>1.24</v>
      </c>
      <c r="X28" s="3529">
        <f t="shared" si="67"/>
        <v>2</v>
      </c>
      <c r="Y28" s="3529">
        <f t="shared" si="68"/>
        <v>1.2130434782608694</v>
      </c>
      <c r="Z28" s="597">
        <f t="shared" si="69"/>
        <v>2</v>
      </c>
      <c r="AA28" s="597">
        <f t="shared" si="70"/>
        <v>1.2065573770491804</v>
      </c>
      <c r="AB28" s="1995">
        <v>2</v>
      </c>
      <c r="AC28" s="4140">
        <f>864/(24*AC$2)</f>
        <v>1.1612903225806452</v>
      </c>
      <c r="AD28" s="4141">
        <f>+((Z28*Z$2)+(AB28*AB$2))/AD$2</f>
        <v>2</v>
      </c>
      <c r="AE28" s="4141">
        <f>+((AA28*AA$2)+((AC28*AC$2)))/AE$2</f>
        <v>1.2</v>
      </c>
      <c r="AF28" s="1995">
        <v>2</v>
      </c>
      <c r="AG28" s="4227">
        <f>864/(24*AG$2)</f>
        <v>1.2</v>
      </c>
      <c r="AH28" s="4228">
        <f>+((AD28*AD$2)+(AF28*AF$2))/AH$2</f>
        <v>2</v>
      </c>
      <c r="AI28" s="4228">
        <f>+((AE28*AE$2)+((AG28*AG$2)))/AI$2</f>
        <v>1.2</v>
      </c>
      <c r="AJ28" s="1995">
        <v>2</v>
      </c>
      <c r="AK28" s="4346">
        <f>892.8/(24*AK$2)</f>
        <v>1.2</v>
      </c>
      <c r="AL28" s="3529">
        <f t="shared" si="71"/>
        <v>2</v>
      </c>
      <c r="AM28" s="3529">
        <f t="shared" si="72"/>
        <v>1.1869565217391302</v>
      </c>
      <c r="AN28" s="4347">
        <f>+((AH28*AH$2)+(AJ28*AJ$2))/AN$2</f>
        <v>2</v>
      </c>
      <c r="AO28" s="4347">
        <f>+((AI28*AI$2)+((AK28*AK$2)))/AO$2</f>
        <v>1.2</v>
      </c>
      <c r="AP28" s="1995">
        <v>2</v>
      </c>
      <c r="AQ28" s="4444">
        <f>892.8/(24*AQ$2)</f>
        <v>1.2</v>
      </c>
      <c r="AR28" s="4445">
        <f>+((AN28*AN$2)+(AP28*AP$2))/AR$2</f>
        <v>2</v>
      </c>
      <c r="AS28" s="4445">
        <f>+((AO28*AO$2)+((AQ28*AQ$2)))/AS$2</f>
        <v>1.2</v>
      </c>
      <c r="AT28" s="1995">
        <v>2</v>
      </c>
      <c r="AU28" s="4693">
        <f>835.2/(24*AU$2)</f>
        <v>1.2</v>
      </c>
      <c r="AV28" s="4694">
        <f>+((AR28*AR$2)+(AT28*AT$2))/AV$2</f>
        <v>2</v>
      </c>
      <c r="AW28" s="4694">
        <f>+((AS28*AS$2)+((AU28*AU$2)))/AW$2</f>
        <v>1.2</v>
      </c>
      <c r="AX28" s="1995">
        <v>2</v>
      </c>
      <c r="AY28" s="5244">
        <f>892.8/(24*AY$2)</f>
        <v>1.2</v>
      </c>
      <c r="AZ28" s="3529">
        <f t="shared" si="73"/>
        <v>2</v>
      </c>
      <c r="BA28" s="3529">
        <f t="shared" si="74"/>
        <v>1.2</v>
      </c>
      <c r="BB28" s="5246">
        <f t="shared" si="66"/>
        <v>2</v>
      </c>
      <c r="BC28" s="5246">
        <f t="shared" si="66"/>
        <v>1.1934426229508195</v>
      </c>
      <c r="BD28" s="5245">
        <f>+((AV28*AV$2)+(AX28*AX$2))/BD$2</f>
        <v>2</v>
      </c>
      <c r="BE28" s="5245">
        <f>+((AW28*AW$2)+((AY28*AY$2)))/BE$2</f>
        <v>1.2</v>
      </c>
      <c r="BF28" s="26"/>
      <c r="BG28" s="26"/>
      <c r="BH28" s="26"/>
      <c r="BI28" s="26"/>
    </row>
    <row r="29" spans="1:61" ht="18.75" x14ac:dyDescent="0.3">
      <c r="A29" s="3516"/>
      <c r="B29" s="3528" t="s">
        <v>841</v>
      </c>
      <c r="C29" s="66" t="s">
        <v>572</v>
      </c>
      <c r="D29" s="1995">
        <v>3.1</v>
      </c>
      <c r="E29" s="6576">
        <f>12058.16/(24*E$2)</f>
        <v>16.747444444444444</v>
      </c>
      <c r="F29" s="1995">
        <v>3.1</v>
      </c>
      <c r="G29" s="6576">
        <f>12790/(24*G$2)</f>
        <v>17.190860215053764</v>
      </c>
      <c r="H29" s="3191">
        <f>+((D29*D$2)+(F29*F$2))/H$2</f>
        <v>3.1000000000000005</v>
      </c>
      <c r="I29" s="6584">
        <f>+((E29*E$2)+(G29*G$2))/I$2</f>
        <v>16.972786885245899</v>
      </c>
      <c r="J29" s="1995">
        <v>3.1</v>
      </c>
      <c r="K29" s="6576">
        <f>11986.16/(24*K$2)</f>
        <v>16.647444444444446</v>
      </c>
      <c r="L29" s="3529">
        <f t="shared" si="65"/>
        <v>3.1</v>
      </c>
      <c r="M29" s="6580">
        <f>+((E29*E$2)+(G29*G$2)+(K29*K$2))/M$2</f>
        <v>16.865531135531135</v>
      </c>
      <c r="N29" s="1995">
        <v>3.1</v>
      </c>
      <c r="O29" s="6576">
        <f>13087.36/(24*O$2)</f>
        <v>17.590537634408602</v>
      </c>
      <c r="P29" s="422">
        <f>+((L29*L$2)+(N29*N$2))/P$2</f>
        <v>3.1000000000000005</v>
      </c>
      <c r="Q29" s="6577">
        <f>+((M29*M$2)+(O29*O$2))/Q$2</f>
        <v>17.049754098360655</v>
      </c>
      <c r="R29" s="1995">
        <v>3.1</v>
      </c>
      <c r="S29" s="6576">
        <f>13679.36/(24*S$2)</f>
        <v>18.386236559139785</v>
      </c>
      <c r="T29" s="422">
        <f>+((P29*P$2)+(R29*R$2))/T$2</f>
        <v>3.1000000000000005</v>
      </c>
      <c r="U29" s="6577">
        <f>+((Q29*Q$2)+(S29*S$2))/U$2</f>
        <v>17.320544662309366</v>
      </c>
      <c r="V29" s="1995">
        <v>3.1</v>
      </c>
      <c r="W29" s="6576">
        <f>12535.68/(24*W$2)</f>
        <v>17.410666666666668</v>
      </c>
      <c r="X29" s="3529">
        <f t="shared" si="67"/>
        <v>3.1000000000000005</v>
      </c>
      <c r="Y29" s="6580">
        <f>(O29*O$2+S29*S$2+W29*W$2)/Y$2</f>
        <v>17.8</v>
      </c>
      <c r="Z29" s="597">
        <f>(L29*L$2+X29*X$2)/Z$2</f>
        <v>3.1000000000000005</v>
      </c>
      <c r="AA29" s="6579">
        <f>(M29*M$2+Y29*Y$2)/AA$2</f>
        <v>17.335318761384336</v>
      </c>
      <c r="AB29" s="1995">
        <v>3.1</v>
      </c>
      <c r="AC29" s="6576">
        <f>12976.88/(24*AC$2)</f>
        <v>17.442043010752688</v>
      </c>
      <c r="AD29" s="4141">
        <f>+((Z29*Z$2)+(AB29*AB$2))/AD$2</f>
        <v>3.1000000000000005</v>
      </c>
      <c r="AE29" s="6577">
        <f>+((AA29*AA$2)+(AC29*AC$2))/AE$2</f>
        <v>17.35077881619938</v>
      </c>
      <c r="AF29" s="1995">
        <v>3.1</v>
      </c>
      <c r="AG29" s="6576">
        <f>13167.28/(24*AG$2)</f>
        <v>18.28788888888889</v>
      </c>
      <c r="AH29" s="4228">
        <f>+((AD29*AD$2)+(AF29*AF$2))/AH$2</f>
        <v>3.1000000000000005</v>
      </c>
      <c r="AI29" s="6577">
        <f>+((AE29*AE$2)+(AG29*AG$2))/AI$2</f>
        <v>17.465997267759565</v>
      </c>
      <c r="AJ29" s="1995">
        <v>3.1</v>
      </c>
      <c r="AK29" s="6576">
        <f>13823.84/(24*AK$2)</f>
        <v>18.580430107526883</v>
      </c>
      <c r="AL29" s="3529">
        <f t="shared" si="71"/>
        <v>3.1000000000000005</v>
      </c>
      <c r="AM29" s="6580">
        <f>(AC29*AC$2+AG29*AG$2+AK29*AK$2)/AM$2</f>
        <v>18.101449275362317</v>
      </c>
      <c r="AN29" s="4347">
        <f>+((AH29*AH$2)+(AJ29*AJ$2))/AN$2</f>
        <v>3.1000000000000005</v>
      </c>
      <c r="AO29" s="6577">
        <f>+((AI29*AI$2)+(AK29*AK$2))/AO$2</f>
        <v>17.591624242424242</v>
      </c>
      <c r="AP29" s="1995">
        <v>3.1</v>
      </c>
      <c r="AQ29" s="6576">
        <f>13692/(24*AQ$2)</f>
        <v>18.403225806451612</v>
      </c>
      <c r="AR29" s="4445">
        <f>+((AN29*AN$2)+(AP29*AP$2))/AR$2</f>
        <v>3.1000000000000005</v>
      </c>
      <c r="AS29" s="6577">
        <f>+((AO29*AO$2)+(AQ29*AQ$2))/AS$2</f>
        <v>17.673845315904138</v>
      </c>
      <c r="AT29" s="1995">
        <v>3.1</v>
      </c>
      <c r="AU29" s="6576">
        <f>12347.68/(24*AU$2)</f>
        <v>17.740919540229886</v>
      </c>
      <c r="AV29" s="4694">
        <f>+((AR29*AR$2)+(AT29*AT$2))/AV$2</f>
        <v>3.1000000000000005</v>
      </c>
      <c r="AW29" s="6577">
        <f>+((AS29*AS$2)+(AU29*AU$2))/AW$2</f>
        <v>17.679651741293533</v>
      </c>
      <c r="AX29" s="1995">
        <v>3.1</v>
      </c>
      <c r="AY29" s="6576">
        <f>13707.2/(24*AY$2)</f>
        <v>18.423655913978497</v>
      </c>
      <c r="AZ29" s="3529">
        <f t="shared" si="73"/>
        <v>3.1</v>
      </c>
      <c r="BA29" s="6580">
        <f>(AQ29*AQ$2+AU29*AU$2+AY29*AY$2)/BA$2</f>
        <v>18.19912087912088</v>
      </c>
      <c r="BB29" s="5246">
        <f t="shared" si="66"/>
        <v>3.1000000000000005</v>
      </c>
      <c r="BC29" s="6579">
        <f t="shared" si="66"/>
        <v>18.150018214936246</v>
      </c>
      <c r="BD29" s="5245">
        <f>+((AV29*AV$2)+(AX29*AX$2))/BD$2</f>
        <v>3.1000000000000005</v>
      </c>
      <c r="BE29" s="6577">
        <f>+((AW29*AW$2)+(AY29*AY$2))/BE$2</f>
        <v>17.742668488160291</v>
      </c>
      <c r="BF29" s="26"/>
      <c r="BG29" s="26"/>
      <c r="BH29" s="26"/>
      <c r="BI29" s="26"/>
    </row>
    <row r="30" spans="1:61" ht="18.75" x14ac:dyDescent="0.3">
      <c r="A30" s="3516"/>
      <c r="B30" s="3528" t="s">
        <v>725</v>
      </c>
      <c r="C30" s="66" t="s">
        <v>572</v>
      </c>
      <c r="D30" s="1995">
        <v>1.07</v>
      </c>
      <c r="E30" s="6576"/>
      <c r="F30" s="1995">
        <v>1.9450000000000001</v>
      </c>
      <c r="G30" s="6576"/>
      <c r="H30" s="3191">
        <f>+((D30*D$2)+(F30*F$2))/H$2</f>
        <v>1.5146721311475411</v>
      </c>
      <c r="I30" s="6584"/>
      <c r="J30" s="1995">
        <v>3.07</v>
      </c>
      <c r="K30" s="6576"/>
      <c r="L30" s="3529">
        <f t="shared" si="65"/>
        <v>2.0274175824175824</v>
      </c>
      <c r="M30" s="6581"/>
      <c r="N30" s="1995">
        <v>1.07</v>
      </c>
      <c r="O30" s="6576"/>
      <c r="P30" s="422">
        <f>+((L30*L$2)+(N30*N$2))/P$2</f>
        <v>1.7841393442622953</v>
      </c>
      <c r="Q30" s="6577"/>
      <c r="R30" s="1995">
        <v>1.07</v>
      </c>
      <c r="S30" s="6576"/>
      <c r="T30" s="422">
        <f>+((P30*P$2)+(R30*R$2))/T$2</f>
        <v>1.6394444444444447</v>
      </c>
      <c r="U30" s="6577"/>
      <c r="V30" s="1995">
        <v>1.07</v>
      </c>
      <c r="W30" s="6576"/>
      <c r="X30" s="3529">
        <f t="shared" si="67"/>
        <v>1.07</v>
      </c>
      <c r="Y30" s="6581"/>
      <c r="Z30" s="597">
        <f>(L30*L$2+X30*X$2)/Z$2</f>
        <v>1.5460928961748635</v>
      </c>
      <c r="AA30" s="6579"/>
      <c r="AB30" s="1995">
        <v>1.07</v>
      </c>
      <c r="AC30" s="6576"/>
      <c r="AD30" s="4141">
        <f>+((Z30*Z$2)+(AB30*AB$2))/AD$2</f>
        <v>1.4771261682242991</v>
      </c>
      <c r="AE30" s="6577"/>
      <c r="AF30" s="1995">
        <v>1.07</v>
      </c>
      <c r="AG30" s="6576"/>
      <c r="AH30" s="4228">
        <f>+((AD30*AD$2)+(AF30*AF$2))/AH$2</f>
        <v>1.4270696721311478</v>
      </c>
      <c r="AI30" s="6577"/>
      <c r="AJ30" s="1995">
        <v>1.07</v>
      </c>
      <c r="AK30" s="6576"/>
      <c r="AL30" s="3529">
        <f t="shared" si="71"/>
        <v>1.07</v>
      </c>
      <c r="AM30" s="6581"/>
      <c r="AN30" s="4347">
        <f>+((AH30*AH$2)+(AJ30*AJ$2))/AN$2</f>
        <v>1.3868181818181819</v>
      </c>
      <c r="AO30" s="6577"/>
      <c r="AP30" s="1995">
        <v>1.07</v>
      </c>
      <c r="AQ30" s="6576"/>
      <c r="AR30" s="4445">
        <f>+((AN30*AN$2)+(AP30*AP$2))/AR$2</f>
        <v>1.3547222222222224</v>
      </c>
      <c r="AS30" s="6577"/>
      <c r="AT30" s="1995">
        <v>1.07</v>
      </c>
      <c r="AU30" s="6576"/>
      <c r="AV30" s="4694">
        <f>+((AR30*AR$2)+(AT30*AT$2))/AV$2</f>
        <v>1.3300746268656718</v>
      </c>
      <c r="AW30" s="6577"/>
      <c r="AX30" s="1995">
        <v>1.07</v>
      </c>
      <c r="AY30" s="6576"/>
      <c r="AZ30" s="3529">
        <f t="shared" si="73"/>
        <v>1.07</v>
      </c>
      <c r="BA30" s="6581"/>
      <c r="BB30" s="5246">
        <f>(AL30*AL$2+AZ30*AZ$2)/BB$2</f>
        <v>1.07</v>
      </c>
      <c r="BC30" s="6579"/>
      <c r="BD30" s="5245">
        <f>+((AV30*AV$2)+(AX30*AX$2))/BD$2</f>
        <v>1.3080464480874319</v>
      </c>
      <c r="BE30" s="6577"/>
      <c r="BF30" s="26"/>
      <c r="BG30" s="26"/>
      <c r="BH30" s="26"/>
      <c r="BI30" s="26"/>
    </row>
    <row r="31" spans="1:61" ht="18.75" x14ac:dyDescent="0.3">
      <c r="A31" s="3516"/>
      <c r="B31" s="6582" t="s">
        <v>104</v>
      </c>
      <c r="C31" s="66" t="s">
        <v>572</v>
      </c>
      <c r="D31" s="1995"/>
      <c r="E31" s="3179">
        <v>0</v>
      </c>
      <c r="F31" s="1995"/>
      <c r="G31" s="3179">
        <v>0</v>
      </c>
      <c r="H31" s="3191">
        <f>+((D31*D$2)+(F31*F$2))/H$2</f>
        <v>0</v>
      </c>
      <c r="I31" s="3205">
        <f>+((E31*E$2)+(G31*G$2))/I$2</f>
        <v>0</v>
      </c>
      <c r="J31" s="1995"/>
      <c r="K31" s="3179">
        <v>0</v>
      </c>
      <c r="L31" s="3529">
        <f t="shared" si="65"/>
        <v>0</v>
      </c>
      <c r="M31" s="3529">
        <f t="shared" si="65"/>
        <v>0</v>
      </c>
      <c r="N31" s="1995">
        <v>0</v>
      </c>
      <c r="O31" s="3179">
        <v>0</v>
      </c>
      <c r="P31" s="422">
        <f>+((L31*L$2)+(N31*N$2))/P$2</f>
        <v>0</v>
      </c>
      <c r="Q31" s="422">
        <f>+((M31*M$2)+(O31*O$2))/Q$2</f>
        <v>0</v>
      </c>
      <c r="R31" s="1995">
        <v>0</v>
      </c>
      <c r="S31" s="3179">
        <v>0</v>
      </c>
      <c r="T31" s="422">
        <f>+((P31*P$2)+(R31*R$2))/T$2</f>
        <v>0</v>
      </c>
      <c r="U31" s="422">
        <f>+((Q31*Q$2)+(S31*S$2))/U$2</f>
        <v>0</v>
      </c>
      <c r="V31" s="1995">
        <v>0</v>
      </c>
      <c r="W31" s="3179">
        <v>0</v>
      </c>
      <c r="X31" s="3529">
        <f t="shared" ref="X31" si="75">(N31*N$2+R31*R$2+V31*V$2)/X$2</f>
        <v>0</v>
      </c>
      <c r="Y31" s="3529">
        <f t="shared" ref="Y31" si="76">(O31*O$2+S31*S$2+W31*W$2)/Y$2</f>
        <v>0</v>
      </c>
      <c r="Z31" s="597">
        <f t="shared" ref="Z31" si="77">(L31*L$2+X31*X$2)/Z$2</f>
        <v>0</v>
      </c>
      <c r="AA31" s="597">
        <f t="shared" ref="AA31" si="78">(M31*M$2+Y31*Y$2)/AA$2</f>
        <v>0</v>
      </c>
      <c r="AB31" s="1995">
        <v>0</v>
      </c>
      <c r="AC31" s="4140">
        <v>0</v>
      </c>
      <c r="AD31" s="4141">
        <f>+((Z31*Z$2)+(AB31*AB$2))/AD$2</f>
        <v>0</v>
      </c>
      <c r="AE31" s="4141">
        <f>+((AA31*AA$2)+(AC31*AC$2))/AE$2</f>
        <v>0</v>
      </c>
      <c r="AF31" s="1995">
        <v>0</v>
      </c>
      <c r="AG31" s="4227">
        <v>0</v>
      </c>
      <c r="AH31" s="4228">
        <f>+((AD31*AD$2)+(AF31*AF$2))/AH$2</f>
        <v>0</v>
      </c>
      <c r="AI31" s="4228">
        <f>+((AE31*AE$2)+(AG31*AG$2))/AI$2</f>
        <v>0</v>
      </c>
      <c r="AJ31" s="1995">
        <v>0</v>
      </c>
      <c r="AK31" s="4361">
        <f>119.5/(24*AK$2)</f>
        <v>0.16061827956989247</v>
      </c>
      <c r="AL31" s="3529">
        <f t="shared" si="71"/>
        <v>0</v>
      </c>
      <c r="AM31" s="3529">
        <f t="shared" ref="AM31" si="79">(AC31*AC$2+AG31*AG$2+AK31*AK$2)/AM$2</f>
        <v>5.4121376811594207E-2</v>
      </c>
      <c r="AN31" s="4347">
        <f>+((AH31*AH$2)+(AJ31*AJ$2))/AN$2</f>
        <v>0</v>
      </c>
      <c r="AO31" s="4347">
        <f>+((AI31*AI$2)+(AK31*AK$2))/AO$2</f>
        <v>1.8106060606060608E-2</v>
      </c>
      <c r="AP31" s="1995">
        <v>0</v>
      </c>
      <c r="AQ31" s="4444">
        <v>0</v>
      </c>
      <c r="AR31" s="4445">
        <f>+((AN31*AN$2)+(AP31*AP$2))/AR$2</f>
        <v>0</v>
      </c>
      <c r="AS31" s="4445">
        <f>+((AO31*AO$2)+(AQ31*AQ$2))/AS$2</f>
        <v>1.6271786492374728E-2</v>
      </c>
      <c r="AT31" s="1995">
        <v>0</v>
      </c>
      <c r="AU31" s="4693">
        <v>0</v>
      </c>
      <c r="AV31" s="4694">
        <f>+((AR31*AR$2)+(AT31*AT$2))/AV$2</f>
        <v>0</v>
      </c>
      <c r="AW31" s="4694">
        <f>+((AS31*AS$2)+(AU31*AU$2))/AW$2</f>
        <v>1.4863184079601991E-2</v>
      </c>
      <c r="AX31" s="1995">
        <v>0</v>
      </c>
      <c r="AY31" s="5244">
        <v>0</v>
      </c>
      <c r="AZ31" s="3529">
        <f t="shared" si="73"/>
        <v>0</v>
      </c>
      <c r="BA31" s="3529">
        <f t="shared" ref="BA31" si="80">(AQ31*AQ$2+AU31*AU$2+AY31*AY$2)/BA$2</f>
        <v>0</v>
      </c>
      <c r="BB31" s="5246">
        <f>(AL31*AL$2+AZ31*AZ$2)/BB$2</f>
        <v>0</v>
      </c>
      <c r="BC31" s="5246">
        <f>(AM31*AM$2+BA31*BA$2)/BC$2</f>
        <v>2.720856102003643E-2</v>
      </c>
      <c r="BD31" s="5245">
        <f>+((AV31*AV$2)+(AX31*AX$2))/BD$2</f>
        <v>0</v>
      </c>
      <c r="BE31" s="5245">
        <f>+((AW31*AW$2)+(AY31*AY$2))/BE$2</f>
        <v>1.3604280510018215E-2</v>
      </c>
      <c r="BF31" s="26"/>
      <c r="BG31" s="26"/>
      <c r="BH31" s="26"/>
      <c r="BI31" s="26"/>
    </row>
    <row r="32" spans="1:61" ht="15.75" customHeight="1" x14ac:dyDescent="0.3">
      <c r="A32" s="3516"/>
      <c r="B32" s="6582"/>
      <c r="C32" s="66" t="s">
        <v>52</v>
      </c>
      <c r="D32" s="897"/>
      <c r="E32" s="3178">
        <v>0</v>
      </c>
      <c r="F32" s="897"/>
      <c r="G32" s="3178"/>
      <c r="H32" s="423">
        <f>+D32+F32</f>
        <v>0</v>
      </c>
      <c r="I32" s="250">
        <f>+E32+G32</f>
        <v>0</v>
      </c>
      <c r="J32" s="897"/>
      <c r="K32" s="3178">
        <v>0</v>
      </c>
      <c r="L32" s="486">
        <f>+D32+F32+J32</f>
        <v>0</v>
      </c>
      <c r="M32" s="486">
        <f>+E32+G32+K32</f>
        <v>0</v>
      </c>
      <c r="N32" s="897">
        <v>0</v>
      </c>
      <c r="O32" s="3178">
        <v>0</v>
      </c>
      <c r="P32" s="3450">
        <f>+L32+N32</f>
        <v>0</v>
      </c>
      <c r="Q32" s="3450">
        <f>+M32+O32</f>
        <v>0</v>
      </c>
      <c r="R32" s="897">
        <v>0</v>
      </c>
      <c r="S32" s="3178">
        <v>0</v>
      </c>
      <c r="T32" s="3450">
        <f>+P32+R32</f>
        <v>0</v>
      </c>
      <c r="U32" s="3450">
        <f>+Q32+S32</f>
        <v>0</v>
      </c>
      <c r="V32" s="897">
        <v>0</v>
      </c>
      <c r="W32" s="3178">
        <v>0</v>
      </c>
      <c r="X32" s="3529">
        <f>N32+R32+V32</f>
        <v>0</v>
      </c>
      <c r="Y32" s="3529">
        <f>O32+S32+W32</f>
        <v>0</v>
      </c>
      <c r="Z32" s="595">
        <f>+L32+X32</f>
        <v>0</v>
      </c>
      <c r="AA32" s="595">
        <f>+M32+Y32</f>
        <v>0</v>
      </c>
      <c r="AB32" s="897">
        <v>0</v>
      </c>
      <c r="AC32" s="3178">
        <v>0</v>
      </c>
      <c r="AD32" s="4134">
        <f>+Z32+AB32</f>
        <v>0</v>
      </c>
      <c r="AE32" s="4134">
        <f>+AA32+AC32</f>
        <v>0</v>
      </c>
      <c r="AF32" s="897">
        <v>0</v>
      </c>
      <c r="AG32" s="3178">
        <v>0</v>
      </c>
      <c r="AH32" s="4223">
        <f>+AD32+AF32</f>
        <v>0</v>
      </c>
      <c r="AI32" s="4223">
        <f>+AE32+AG32</f>
        <v>0</v>
      </c>
      <c r="AJ32" s="897">
        <v>0</v>
      </c>
      <c r="AK32" s="3178">
        <v>149.37</v>
      </c>
      <c r="AL32" s="3529">
        <f>AB32+AF32+AJ32</f>
        <v>0</v>
      </c>
      <c r="AM32" s="3529">
        <f>AC32+AG32+AK32</f>
        <v>149.37</v>
      </c>
      <c r="AN32" s="4340">
        <f>+AH32+AJ32</f>
        <v>0</v>
      </c>
      <c r="AO32" s="4340">
        <f>+AI32+AK32</f>
        <v>149.37</v>
      </c>
      <c r="AP32" s="897">
        <v>0</v>
      </c>
      <c r="AQ32" s="3178">
        <v>0</v>
      </c>
      <c r="AR32" s="4439">
        <f>+AN32+AP32</f>
        <v>0</v>
      </c>
      <c r="AS32" s="4439">
        <f>+AO32+AQ32</f>
        <v>149.37</v>
      </c>
      <c r="AT32" s="897">
        <v>0</v>
      </c>
      <c r="AU32" s="3178">
        <v>0</v>
      </c>
      <c r="AV32" s="4690">
        <f>+AR32+AT32</f>
        <v>0</v>
      </c>
      <c r="AW32" s="4690">
        <f>+AS32+AU32</f>
        <v>149.37</v>
      </c>
      <c r="AX32" s="897">
        <v>0</v>
      </c>
      <c r="AY32" s="3178">
        <v>0</v>
      </c>
      <c r="AZ32" s="3529">
        <f>AP32+AT32+AX32</f>
        <v>0</v>
      </c>
      <c r="BA32" s="3529">
        <f>AQ32+AU32+AY32</f>
        <v>0</v>
      </c>
      <c r="BB32" s="595">
        <f>+AL32+AZ32</f>
        <v>0</v>
      </c>
      <c r="BC32" s="595">
        <f>+AM32+BA32</f>
        <v>149.37</v>
      </c>
      <c r="BD32" s="5235">
        <f>+AV32+AX32</f>
        <v>0</v>
      </c>
      <c r="BE32" s="5235">
        <f>+AW32+AY32</f>
        <v>149.37</v>
      </c>
      <c r="BF32" s="26"/>
      <c r="BG32" s="26"/>
      <c r="BH32" s="26"/>
      <c r="BI32" s="26"/>
    </row>
    <row r="33" spans="1:61" ht="18.75" x14ac:dyDescent="0.3">
      <c r="A33" s="3527"/>
      <c r="B33" s="3530" t="s">
        <v>23</v>
      </c>
      <c r="C33" s="1042" t="s">
        <v>572</v>
      </c>
      <c r="D33" s="1995">
        <f>SUM(D26:D32)</f>
        <v>32.17</v>
      </c>
      <c r="E33" s="3179">
        <f t="shared" ref="E33:G33" si="81">SUM(E26:E31)</f>
        <v>34.644222222222226</v>
      </c>
      <c r="F33" s="1995">
        <f>SUM(F26:F32)</f>
        <v>31.045000000000002</v>
      </c>
      <c r="G33" s="3179">
        <f t="shared" si="81"/>
        <v>33.967419354838711</v>
      </c>
      <c r="H33" s="3191">
        <f t="shared" ref="H33:AA33" si="82">SUM(H26:H31)</f>
        <v>31.598278688524591</v>
      </c>
      <c r="I33" s="3205">
        <f t="shared" si="82"/>
        <v>34.300273224043714</v>
      </c>
      <c r="J33" s="1995">
        <f>SUM(J26:J32)</f>
        <v>32.17</v>
      </c>
      <c r="K33" s="3179">
        <f t="shared" ref="K33" si="83">SUM(K26:K31)</f>
        <v>32.640777777777778</v>
      </c>
      <c r="L33" s="3529">
        <f t="shared" ref="L33:O33" si="84">SUM(L26:L31)</f>
        <v>31.786758241758243</v>
      </c>
      <c r="M33" s="3202">
        <f t="shared" si="84"/>
        <v>33.753186813186815</v>
      </c>
      <c r="N33" s="1995">
        <f t="shared" si="84"/>
        <v>32.17</v>
      </c>
      <c r="O33" s="3179">
        <f t="shared" si="84"/>
        <v>35.293763440860218</v>
      </c>
      <c r="P33" s="422">
        <f t="shared" si="82"/>
        <v>31.884139344262298</v>
      </c>
      <c r="Q33" s="422">
        <f t="shared" si="82"/>
        <v>34.144644808743166</v>
      </c>
      <c r="R33" s="1995">
        <f t="shared" si="82"/>
        <v>32.17</v>
      </c>
      <c r="S33" s="3179">
        <f t="shared" si="82"/>
        <v>35.432150537634406</v>
      </c>
      <c r="T33" s="422">
        <f t="shared" ref="T33:W33" si="85">SUM(T26:T31)</f>
        <v>31.942058823529411</v>
      </c>
      <c r="U33" s="422">
        <f t="shared" si="85"/>
        <v>34.405511982570808</v>
      </c>
      <c r="V33" s="1995">
        <f t="shared" si="85"/>
        <v>32.17</v>
      </c>
      <c r="W33" s="3179">
        <f t="shared" si="85"/>
        <v>35.30188888888889</v>
      </c>
      <c r="X33" s="3529">
        <f>SUM(X26:X31)</f>
        <v>32.17</v>
      </c>
      <c r="Y33" s="3202">
        <f>SUM(Y26:Y31)</f>
        <v>35.343043478260867</v>
      </c>
      <c r="Z33" s="3545">
        <f t="shared" si="82"/>
        <v>31.979426229508196</v>
      </c>
      <c r="AA33" s="3545">
        <f t="shared" si="82"/>
        <v>34.552459016393442</v>
      </c>
      <c r="AB33" s="1995">
        <f>SUM(AB26:AB32)</f>
        <v>32.17</v>
      </c>
      <c r="AC33" s="4140">
        <f t="shared" ref="AC33:AE33" si="86">SUM(AC26:AC31)</f>
        <v>35.218817204301075</v>
      </c>
      <c r="AD33" s="4141">
        <f t="shared" si="86"/>
        <v>32.007032710280377</v>
      </c>
      <c r="AE33" s="4141">
        <f t="shared" si="86"/>
        <v>34.648987538940816</v>
      </c>
      <c r="AF33" s="1995">
        <f>SUM(AF26:AF32)</f>
        <v>32.17</v>
      </c>
      <c r="AG33" s="4227">
        <f t="shared" ref="AG33:AI33" si="87">SUM(AG26:AG31)</f>
        <v>35.476666666666674</v>
      </c>
      <c r="AH33" s="4228">
        <f t="shared" si="87"/>
        <v>32.027069672131148</v>
      </c>
      <c r="AI33" s="4228">
        <f t="shared" si="87"/>
        <v>34.75075136612022</v>
      </c>
      <c r="AJ33" s="1995">
        <f>SUM(AJ26:AJ32)</f>
        <v>32.17</v>
      </c>
      <c r="AK33" s="4346">
        <f t="shared" ref="AK33:AO33" si="88">SUM(AK26:AK31)</f>
        <v>36.675672043010756</v>
      </c>
      <c r="AL33" s="3529">
        <f>SUM(AL26:AL31)</f>
        <v>32.17</v>
      </c>
      <c r="AM33" s="3202">
        <f>SUM(AM26:AM31)</f>
        <v>35.793795289855069</v>
      </c>
      <c r="AN33" s="4347">
        <f t="shared" si="88"/>
        <v>32.043181818181822</v>
      </c>
      <c r="AO33" s="4347">
        <f t="shared" si="88"/>
        <v>34.967742424242417</v>
      </c>
      <c r="AP33" s="1995">
        <f>SUM(AP26:AP32)</f>
        <v>32.17</v>
      </c>
      <c r="AQ33" s="4444">
        <f t="shared" ref="AQ33:AS33" si="89">SUM(AQ26:AQ31)</f>
        <v>36.609892473118279</v>
      </c>
      <c r="AR33" s="4445">
        <f t="shared" si="89"/>
        <v>32.056029411764712</v>
      </c>
      <c r="AS33" s="4445">
        <f t="shared" si="89"/>
        <v>35.134104030501085</v>
      </c>
      <c r="AT33" s="1995">
        <f>SUM(AT26:AT32)</f>
        <v>32.17</v>
      </c>
      <c r="AU33" s="4693">
        <f t="shared" ref="AU33:AW33" si="90">SUM(AU26:AU31)</f>
        <v>36.460919540229881</v>
      </c>
      <c r="AV33" s="4694">
        <f t="shared" si="90"/>
        <v>32.065895522388061</v>
      </c>
      <c r="AW33" s="4694">
        <f t="shared" si="90"/>
        <v>35.248962686567168</v>
      </c>
      <c r="AX33" s="1995">
        <f>SUM(AX26:AX32)</f>
        <v>32.17</v>
      </c>
      <c r="AY33" s="5244">
        <f t="shared" ref="AY33:BE33" si="91">SUM(AY26:AY31)</f>
        <v>36.557956989247316</v>
      </c>
      <c r="AZ33" s="3529">
        <f>SUM(AZ26:AZ31)</f>
        <v>32.17</v>
      </c>
      <c r="BA33" s="3202">
        <f>SUM(BA26:BA31)</f>
        <v>36.54472527472528</v>
      </c>
      <c r="BB33" s="3545">
        <f t="shared" ref="BB33:BC33" si="92">SUM(BB26:BB31)</f>
        <v>32.17</v>
      </c>
      <c r="BC33" s="3545">
        <f t="shared" si="92"/>
        <v>36.16720856102004</v>
      </c>
      <c r="BD33" s="5245">
        <f t="shared" si="91"/>
        <v>32.074713114754104</v>
      </c>
      <c r="BE33" s="5245">
        <f t="shared" si="91"/>
        <v>35.359833788706737</v>
      </c>
      <c r="BF33" s="26"/>
      <c r="BG33" s="26"/>
      <c r="BH33" s="26"/>
      <c r="BI33" s="26"/>
    </row>
    <row r="34" spans="1:61" ht="18.75" x14ac:dyDescent="0.3">
      <c r="A34" s="3527"/>
      <c r="B34" s="1926" t="s">
        <v>106</v>
      </c>
      <c r="C34" s="1713"/>
      <c r="D34" s="3532"/>
      <c r="E34" s="3533"/>
      <c r="F34" s="3532"/>
      <c r="G34" s="3533"/>
      <c r="H34" s="3534"/>
      <c r="I34" s="3533"/>
      <c r="J34" s="3532"/>
      <c r="K34" s="3533"/>
      <c r="L34" s="3534"/>
      <c r="M34" s="3533"/>
      <c r="N34" s="3532"/>
      <c r="O34" s="3533"/>
      <c r="P34" s="3535"/>
      <c r="Q34" s="3535"/>
      <c r="R34" s="3532"/>
      <c r="S34" s="3533"/>
      <c r="T34" s="3535"/>
      <c r="U34" s="3535"/>
      <c r="V34" s="3532"/>
      <c r="W34" s="3533"/>
      <c r="X34" s="3534"/>
      <c r="Y34" s="3533"/>
      <c r="Z34" s="3535"/>
      <c r="AA34" s="3535"/>
      <c r="AB34" s="3532"/>
      <c r="AC34" s="3533"/>
      <c r="AD34" s="3535"/>
      <c r="AE34" s="3535"/>
      <c r="AF34" s="3532"/>
      <c r="AG34" s="3533"/>
      <c r="AH34" s="3535"/>
      <c r="AI34" s="3535"/>
      <c r="AJ34" s="3532"/>
      <c r="AK34" s="3533"/>
      <c r="AL34" s="3534"/>
      <c r="AM34" s="3533"/>
      <c r="AN34" s="3535"/>
      <c r="AO34" s="3535"/>
      <c r="AP34" s="3532"/>
      <c r="AQ34" s="3533"/>
      <c r="AR34" s="3535"/>
      <c r="AS34" s="3535"/>
      <c r="AT34" s="3532"/>
      <c r="AU34" s="3533"/>
      <c r="AV34" s="3535"/>
      <c r="AW34" s="3535"/>
      <c r="AX34" s="3532"/>
      <c r="AY34" s="3533"/>
      <c r="AZ34" s="3534"/>
      <c r="BA34" s="3533"/>
      <c r="BB34" s="3535"/>
      <c r="BC34" s="3535"/>
      <c r="BD34" s="3535"/>
      <c r="BE34" s="3535"/>
      <c r="BF34" s="26"/>
      <c r="BG34" s="26"/>
      <c r="BH34" s="26"/>
      <c r="BI34" s="26"/>
    </row>
    <row r="35" spans="1:61" ht="18.75" x14ac:dyDescent="0.3">
      <c r="A35" s="3516"/>
      <c r="B35" s="3528" t="s">
        <v>59</v>
      </c>
      <c r="C35" s="66" t="s">
        <v>572</v>
      </c>
      <c r="D35" s="1995">
        <v>0.5</v>
      </c>
      <c r="E35" s="3179">
        <f>238.67/(24*E$2)</f>
        <v>0.33148611111111109</v>
      </c>
      <c r="F35" s="1995">
        <v>0.45</v>
      </c>
      <c r="G35" s="3179">
        <f>190.51/(24*G$2)</f>
        <v>0.25606182795698923</v>
      </c>
      <c r="H35" s="3191">
        <f t="shared" ref="H35:I37" si="93">+((D35*D$2)+(F35*F$2))/H$2</f>
        <v>0.47459016393442627</v>
      </c>
      <c r="I35" s="3205">
        <f t="shared" si="93"/>
        <v>0.29315573770491804</v>
      </c>
      <c r="J35" s="1995">
        <v>0.45</v>
      </c>
      <c r="K35" s="3179">
        <f>214.536/(24*K$2)</f>
        <v>0.29796666666666666</v>
      </c>
      <c r="L35" s="3529">
        <f t="shared" ref="L35:M37" si="94">+((D35*D$2)+(F35*F$2)+(J35*J$2))/L$2</f>
        <v>0.46648351648351649</v>
      </c>
      <c r="M35" s="3529">
        <f t="shared" si="94"/>
        <v>0.29474175824175824</v>
      </c>
      <c r="N35" s="1995">
        <v>0.5</v>
      </c>
      <c r="O35" s="3179">
        <f>294.28/(24*O$2)</f>
        <v>0.39553763440860212</v>
      </c>
      <c r="P35" s="422">
        <f t="shared" ref="P35:Q37" si="95">+((L35*L$2)+(N35*N$2))/P$2</f>
        <v>0.47500000000000003</v>
      </c>
      <c r="Q35" s="422">
        <f t="shared" si="95"/>
        <v>0.32035382513661204</v>
      </c>
      <c r="R35" s="1995">
        <v>0.5</v>
      </c>
      <c r="S35" s="3179">
        <f>243.88/(24*S$2)</f>
        <v>0.32779569892473115</v>
      </c>
      <c r="T35" s="422">
        <f t="shared" ref="T35:T37" si="96">+((P35*P$2)+(R35*R$2))/T$2</f>
        <v>0.4800653594771242</v>
      </c>
      <c r="U35" s="422">
        <f t="shared" ref="U35:U37" si="97">+((Q35*Q$2)+(S35*S$2))/U$2</f>
        <v>0.32186165577342046</v>
      </c>
      <c r="V35" s="1995">
        <v>0.5</v>
      </c>
      <c r="W35" s="3179">
        <f>275.52/(24*W$2)</f>
        <v>0.38266666666666665</v>
      </c>
      <c r="X35" s="3529">
        <f t="shared" ref="X35:Y37" si="98">(N35*N$2+R35*R$2+V35*V$2)/X$2</f>
        <v>0.5</v>
      </c>
      <c r="Y35" s="3529">
        <f t="shared" si="98"/>
        <v>0.36851449275362319</v>
      </c>
      <c r="Z35" s="597">
        <f t="shared" ref="Z35:Z37" si="99">(L35*L$2+X35*X$2)/Z$2</f>
        <v>0.48333333333333334</v>
      </c>
      <c r="AA35" s="597">
        <f t="shared" ref="AA35:AA37" si="100">(M35*M$2+Y35*Y$2)/AA$2</f>
        <v>0.33182969034608378</v>
      </c>
      <c r="AB35" s="1995">
        <v>0.5</v>
      </c>
      <c r="AC35" s="4140">
        <f>349.72/(24*AC$2)</f>
        <v>0.47005376344086025</v>
      </c>
      <c r="AD35" s="4141">
        <f t="shared" ref="AD35:AD37" si="101">+((Z35*Z$2)+(AB35*AB$2))/AD$2</f>
        <v>0.48574766355140186</v>
      </c>
      <c r="AE35" s="4141">
        <f t="shared" ref="AE35:AE37" si="102">+((AA35*AA$2)+(AC35*AC$2))/AE$2</f>
        <v>0.35185280373831773</v>
      </c>
      <c r="AF35" s="1995">
        <v>0.5</v>
      </c>
      <c r="AG35" s="4227">
        <f>298.42/(24*AG$2)</f>
        <v>0.41447222222222224</v>
      </c>
      <c r="AH35" s="4228">
        <f t="shared" ref="AH35:AH37" si="103">+((AD35*AD$2)+(AF35*AF$2))/AH$2</f>
        <v>0.48749999999999999</v>
      </c>
      <c r="AI35" s="4228">
        <f t="shared" ref="AI35:AI37" si="104">+((AE35*AE$2)+(AG35*AG$2))/AI$2</f>
        <v>0.35955191256830599</v>
      </c>
      <c r="AJ35" s="1995">
        <v>0.5</v>
      </c>
      <c r="AK35" s="4346">
        <f>318.36/(24*AK$2)</f>
        <v>0.42790322580645163</v>
      </c>
      <c r="AL35" s="3529">
        <f t="shared" ref="AL35:AL37" si="105">(AB35*AB$2+AF35*AF$2+AJ35*AJ$2)/AL$2</f>
        <v>0.5</v>
      </c>
      <c r="AM35" s="3529">
        <f t="shared" ref="AM35:AM37" si="106">(AC35*AC$2+AG35*AG$2+AK35*AK$2)/AM$2</f>
        <v>0.43772644927536236</v>
      </c>
      <c r="AN35" s="4347">
        <f t="shared" ref="AN35:AN37" si="107">+((AH35*AH$2)+(AJ35*AJ$2))/AN$2</f>
        <v>0.48890909090909085</v>
      </c>
      <c r="AO35" s="4347">
        <f t="shared" ref="AO35:AO37" si="108">+((AI35*AI$2)+(AK35*AK$2))/AO$2</f>
        <v>0.36725696969696969</v>
      </c>
      <c r="AP35" s="1995">
        <v>0.5</v>
      </c>
      <c r="AQ35" s="4444">
        <f>339.08/(24*AQ$2)</f>
        <v>0.45575268817204301</v>
      </c>
      <c r="AR35" s="4445">
        <f t="shared" ref="AR35:AR37" si="109">+((AN35*AN$2)+(AP35*AP$2))/AR$2</f>
        <v>0.49003267973856207</v>
      </c>
      <c r="AS35" s="4445">
        <f t="shared" ref="AS35:AS37" si="110">+((AO35*AO$2)+(AQ35*AQ$2))/AS$2</f>
        <v>0.37622222222222218</v>
      </c>
      <c r="AT35" s="1995">
        <v>0.5</v>
      </c>
      <c r="AU35" s="4693">
        <f>397.71/(24*AU$2)</f>
        <v>0.57142241379310343</v>
      </c>
      <c r="AV35" s="4694">
        <f t="shared" ref="AV35:AV37" si="111">+((AR35*AR$2)+(AT35*AT$2))/AV$2</f>
        <v>0.49089552238805967</v>
      </c>
      <c r="AW35" s="4694">
        <f t="shared" ref="AW35:AW37" si="112">+((AS35*AS$2)+(AU35*AU$2))/AW$2</f>
        <v>0.39312014925373129</v>
      </c>
      <c r="AX35" s="1995">
        <v>0.5</v>
      </c>
      <c r="AY35" s="5244">
        <f>452.592/(24*AY$2)</f>
        <v>0.60832258064516131</v>
      </c>
      <c r="AZ35" s="3529">
        <f t="shared" ref="AZ35:AZ37" si="113">(AP35*AP$2+AT35*AT$2+AX35*AX$2)/AZ$2</f>
        <v>0.5</v>
      </c>
      <c r="BA35" s="3529">
        <f t="shared" ref="BA35:BA37" si="114">(AQ35*AQ$2+AU35*AU$2+AY35*AY$2)/BA$2</f>
        <v>0.54458882783882789</v>
      </c>
      <c r="BB35" s="5246">
        <f t="shared" ref="BB35:BC37" si="115">(AL35*AL$2+AZ35*AZ$2)/BB$2</f>
        <v>0.5</v>
      </c>
      <c r="BC35" s="5246">
        <f t="shared" si="115"/>
        <v>0.49086566484517308</v>
      </c>
      <c r="BD35" s="5245">
        <f t="shared" ref="BD35:BD37" si="116">+((AV35*AV$2)+(AX35*AX$2))/BD$2</f>
        <v>0.49166666666666664</v>
      </c>
      <c r="BE35" s="5245">
        <f t="shared" ref="BE35:BE37" si="117">+((AW35*AW$2)+(AY35*AY$2))/BE$2</f>
        <v>0.4113476775956284</v>
      </c>
      <c r="BF35" s="26"/>
      <c r="BG35" s="26"/>
      <c r="BH35" s="26"/>
      <c r="BI35" s="26"/>
    </row>
    <row r="36" spans="1:61" ht="18.75" x14ac:dyDescent="0.3">
      <c r="A36" s="3516"/>
      <c r="B36" s="3528" t="s">
        <v>573</v>
      </c>
      <c r="C36" s="66" t="s">
        <v>572</v>
      </c>
      <c r="D36" s="1995">
        <v>0.183</v>
      </c>
      <c r="E36" s="3179">
        <f>0/(24*E$2)</f>
        <v>0</v>
      </c>
      <c r="F36" s="1995">
        <v>0.255</v>
      </c>
      <c r="G36" s="3179">
        <f>0/(24*G$2)</f>
        <v>0</v>
      </c>
      <c r="H36" s="3191">
        <f t="shared" si="93"/>
        <v>0.21959016393442624</v>
      </c>
      <c r="I36" s="3205">
        <f t="shared" si="93"/>
        <v>0</v>
      </c>
      <c r="J36" s="1995">
        <v>0.22789999999999999</v>
      </c>
      <c r="K36" s="3179">
        <f>0/(24*K$2)</f>
        <v>0</v>
      </c>
      <c r="L36" s="3529">
        <f t="shared" si="94"/>
        <v>0.22232967032967033</v>
      </c>
      <c r="M36" s="3529">
        <f t="shared" si="94"/>
        <v>0</v>
      </c>
      <c r="N36" s="1995">
        <v>0.20699999999999999</v>
      </c>
      <c r="O36" s="3179">
        <f>0/(24*O$2)</f>
        <v>0</v>
      </c>
      <c r="P36" s="422">
        <f t="shared" si="95"/>
        <v>0.21843442622950821</v>
      </c>
      <c r="Q36" s="422">
        <f t="shared" si="95"/>
        <v>0</v>
      </c>
      <c r="R36" s="1995">
        <v>0.20699999999999999</v>
      </c>
      <c r="S36" s="3179">
        <f>0/(24*S$2)</f>
        <v>0</v>
      </c>
      <c r="T36" s="422">
        <f t="shared" si="96"/>
        <v>0.21611764705882355</v>
      </c>
      <c r="U36" s="422">
        <f t="shared" si="97"/>
        <v>0</v>
      </c>
      <c r="V36" s="1995">
        <v>0.20699999999999999</v>
      </c>
      <c r="W36" s="3179">
        <f>0/(24*W$2)</f>
        <v>0</v>
      </c>
      <c r="X36" s="3529">
        <f t="shared" si="98"/>
        <v>0.20700000000000002</v>
      </c>
      <c r="Y36" s="3529">
        <f t="shared" si="98"/>
        <v>0</v>
      </c>
      <c r="Z36" s="597">
        <f t="shared" si="99"/>
        <v>0.21462295081967211</v>
      </c>
      <c r="AA36" s="597">
        <f t="shared" si="100"/>
        <v>0</v>
      </c>
      <c r="AB36" s="1995">
        <v>0.20699999999999999</v>
      </c>
      <c r="AC36" s="4140">
        <f>0/(24*AC$2)</f>
        <v>0</v>
      </c>
      <c r="AD36" s="4141">
        <f t="shared" si="101"/>
        <v>0.21351869158878503</v>
      </c>
      <c r="AE36" s="4141">
        <f t="shared" si="102"/>
        <v>0</v>
      </c>
      <c r="AF36" s="1995">
        <v>0.183</v>
      </c>
      <c r="AG36" s="4227">
        <f>0/(24*AG$2)</f>
        <v>0</v>
      </c>
      <c r="AH36" s="4228">
        <f t="shared" si="103"/>
        <v>0.20976639344262296</v>
      </c>
      <c r="AI36" s="4228">
        <f t="shared" si="104"/>
        <v>0</v>
      </c>
      <c r="AJ36" s="1995">
        <v>0.20699999999999999</v>
      </c>
      <c r="AK36" s="4346">
        <f>0/(24*AK$2)</f>
        <v>0</v>
      </c>
      <c r="AL36" s="3529">
        <f t="shared" si="105"/>
        <v>0.19917391304347823</v>
      </c>
      <c r="AM36" s="3529">
        <f t="shared" si="106"/>
        <v>0</v>
      </c>
      <c r="AN36" s="4347">
        <f t="shared" si="107"/>
        <v>0.20945454545454545</v>
      </c>
      <c r="AO36" s="4347">
        <f t="shared" si="108"/>
        <v>0</v>
      </c>
      <c r="AP36" s="1995">
        <v>0.20699999999999999</v>
      </c>
      <c r="AQ36" s="4444">
        <f>0/(24*AQ$2)</f>
        <v>0</v>
      </c>
      <c r="AR36" s="4445">
        <f t="shared" si="109"/>
        <v>0.20920588235294116</v>
      </c>
      <c r="AS36" s="4445">
        <f t="shared" si="110"/>
        <v>0</v>
      </c>
      <c r="AT36" s="1995">
        <v>0.182</v>
      </c>
      <c r="AU36" s="4693">
        <f>0/(24*AU$2)</f>
        <v>0</v>
      </c>
      <c r="AV36" s="4694">
        <f t="shared" si="111"/>
        <v>0.20685074626865671</v>
      </c>
      <c r="AW36" s="4694">
        <f t="shared" si="112"/>
        <v>0</v>
      </c>
      <c r="AX36" s="1995">
        <v>0.20699999999999999</v>
      </c>
      <c r="AY36" s="5244">
        <f>0/(24*AY$2)</f>
        <v>0</v>
      </c>
      <c r="AZ36" s="3529">
        <f t="shared" si="113"/>
        <v>0.19903296703296705</v>
      </c>
      <c r="BA36" s="3529">
        <f t="shared" si="114"/>
        <v>0</v>
      </c>
      <c r="BB36" s="5246">
        <f t="shared" si="115"/>
        <v>0.19910382513661201</v>
      </c>
      <c r="BC36" s="5246">
        <f t="shared" si="115"/>
        <v>0</v>
      </c>
      <c r="BD36" s="5245">
        <f t="shared" si="116"/>
        <v>0.20686338797814208</v>
      </c>
      <c r="BE36" s="5245">
        <f t="shared" si="117"/>
        <v>0</v>
      </c>
      <c r="BF36" s="26"/>
      <c r="BG36" s="26"/>
      <c r="BH36" s="26"/>
      <c r="BI36" s="26"/>
    </row>
    <row r="37" spans="1:61" ht="18.75" x14ac:dyDescent="0.3">
      <c r="A37" s="3516"/>
      <c r="B37" s="6582" t="s">
        <v>104</v>
      </c>
      <c r="C37" s="66" t="s">
        <v>572</v>
      </c>
      <c r="D37" s="1995">
        <v>0.73899999999999999</v>
      </c>
      <c r="E37" s="3179">
        <f>561/(24*E$2)</f>
        <v>0.77916666666666667</v>
      </c>
      <c r="F37" s="1995">
        <v>0.625</v>
      </c>
      <c r="G37" s="3179">
        <f>498.9/(24*G$2)</f>
        <v>0.67056451612903223</v>
      </c>
      <c r="H37" s="3191">
        <f t="shared" si="93"/>
        <v>0.68106557377049182</v>
      </c>
      <c r="I37" s="3205">
        <f t="shared" si="93"/>
        <v>0.72397540983606545</v>
      </c>
      <c r="J37" s="1995">
        <v>0.67300000000000004</v>
      </c>
      <c r="K37" s="3179">
        <f>406.4312/(24*K$2)</f>
        <v>0.56448777777777781</v>
      </c>
      <c r="L37" s="3529">
        <f t="shared" si="94"/>
        <v>0.67840659340659337</v>
      </c>
      <c r="M37" s="3529">
        <f t="shared" si="94"/>
        <v>0.67139706959706957</v>
      </c>
      <c r="N37" s="1995">
        <v>0.71499999999999997</v>
      </c>
      <c r="O37" s="3179">
        <f>460.5832/(24*O$2)</f>
        <v>0.61906344086021503</v>
      </c>
      <c r="P37" s="422">
        <f t="shared" si="95"/>
        <v>0.68770491803278688</v>
      </c>
      <c r="Q37" s="422">
        <f t="shared" si="95"/>
        <v>0.65809918032786885</v>
      </c>
      <c r="R37" s="1995">
        <v>0.71499999999999997</v>
      </c>
      <c r="S37" s="3179">
        <f>510.6976/(24*S$2)</f>
        <v>0.68642150537634417</v>
      </c>
      <c r="T37" s="422">
        <f t="shared" si="96"/>
        <v>0.69323529411764706</v>
      </c>
      <c r="U37" s="422">
        <f t="shared" si="97"/>
        <v>0.66383769063180831</v>
      </c>
      <c r="V37" s="1995">
        <v>0.71499999999999997</v>
      </c>
      <c r="W37" s="3179">
        <f>534.98/(24*W$2)</f>
        <v>0.74302777777777784</v>
      </c>
      <c r="X37" s="3529">
        <f t="shared" si="98"/>
        <v>0.71499999999999997</v>
      </c>
      <c r="Y37" s="3529">
        <f t="shared" si="98"/>
        <v>0.68218333333333336</v>
      </c>
      <c r="Z37" s="597">
        <f t="shared" si="99"/>
        <v>0.69680327868852454</v>
      </c>
      <c r="AA37" s="597">
        <f t="shared" si="100"/>
        <v>0.67681967213114758</v>
      </c>
      <c r="AB37" s="1995">
        <v>0.71499999999999997</v>
      </c>
      <c r="AC37" s="4140">
        <f>491.75/(24*AC$2)</f>
        <v>0.66095430107526887</v>
      </c>
      <c r="AD37" s="4141">
        <f t="shared" si="101"/>
        <v>0.69943925233644855</v>
      </c>
      <c r="AE37" s="4141">
        <f t="shared" si="102"/>
        <v>0.67452141744548288</v>
      </c>
      <c r="AF37" s="1995">
        <v>0.73899999999999999</v>
      </c>
      <c r="AG37" s="4227">
        <f>447.76/(24*AG$2)</f>
        <v>0.62188888888888882</v>
      </c>
      <c r="AH37" s="4228">
        <f t="shared" si="103"/>
        <v>0.70430327868852449</v>
      </c>
      <c r="AI37" s="4228">
        <f t="shared" si="104"/>
        <v>0.6680502049180328</v>
      </c>
      <c r="AJ37" s="1995">
        <v>0.71499999999999997</v>
      </c>
      <c r="AK37" s="4346">
        <f>401.74/(24*AK$2)</f>
        <v>0.53997311827956995</v>
      </c>
      <c r="AL37" s="3529">
        <f t="shared" si="105"/>
        <v>0.72282608695652173</v>
      </c>
      <c r="AM37" s="3529">
        <f t="shared" si="106"/>
        <v>0.60745018115942029</v>
      </c>
      <c r="AN37" s="4347">
        <f t="shared" si="107"/>
        <v>0.70550909090909075</v>
      </c>
      <c r="AO37" s="4347">
        <f t="shared" si="108"/>
        <v>0.65361242424242427</v>
      </c>
      <c r="AP37" s="1995">
        <v>0.71499999999999997</v>
      </c>
      <c r="AQ37" s="4444">
        <f>545.104/(24*AQ$2)</f>
        <v>0.73266666666666669</v>
      </c>
      <c r="AR37" s="4445">
        <f t="shared" si="109"/>
        <v>0.70647058823529396</v>
      </c>
      <c r="AS37" s="4445">
        <f t="shared" si="110"/>
        <v>0.66162118736383446</v>
      </c>
      <c r="AT37" s="1995">
        <v>0.74</v>
      </c>
      <c r="AU37" s="4693">
        <f>452.4/(24*AU$2)</f>
        <v>0.65</v>
      </c>
      <c r="AV37" s="4694">
        <f t="shared" si="111"/>
        <v>0.70937313432835813</v>
      </c>
      <c r="AW37" s="4694">
        <f t="shared" si="112"/>
        <v>0.66061517412935322</v>
      </c>
      <c r="AX37" s="1995">
        <v>0.71499999999999997</v>
      </c>
      <c r="AY37" s="5244">
        <f>422.3856/(24*AY$2)</f>
        <v>0.56772258064516135</v>
      </c>
      <c r="AZ37" s="3529">
        <f t="shared" si="113"/>
        <v>0.72296703296703291</v>
      </c>
      <c r="BA37" s="3529">
        <f t="shared" si="114"/>
        <v>0.65013260073260082</v>
      </c>
      <c r="BB37" s="5246">
        <f t="shared" si="115"/>
        <v>0.72289617486338797</v>
      </c>
      <c r="BC37" s="5246">
        <f t="shared" si="115"/>
        <v>0.62867477231329694</v>
      </c>
      <c r="BD37" s="5245">
        <f t="shared" si="116"/>
        <v>0.70984972677595626</v>
      </c>
      <c r="BE37" s="5245">
        <f t="shared" si="117"/>
        <v>0.65274722222222226</v>
      </c>
      <c r="BF37" s="26"/>
      <c r="BG37" s="26"/>
      <c r="BH37" s="26"/>
      <c r="BI37" s="26"/>
    </row>
    <row r="38" spans="1:61" ht="18.75" x14ac:dyDescent="0.3">
      <c r="A38" s="3516"/>
      <c r="B38" s="6582"/>
      <c r="C38" s="66" t="s">
        <v>52</v>
      </c>
      <c r="D38" s="897">
        <v>950</v>
      </c>
      <c r="E38" s="3178">
        <v>1001.7899999999997</v>
      </c>
      <c r="F38" s="897">
        <v>830</v>
      </c>
      <c r="G38" s="3178">
        <v>890.8900000000001</v>
      </c>
      <c r="H38" s="423">
        <f>+D38+F38</f>
        <v>1780</v>
      </c>
      <c r="I38" s="250">
        <f>+E38+G38</f>
        <v>1892.6799999999998</v>
      </c>
      <c r="J38" s="897">
        <v>865</v>
      </c>
      <c r="K38" s="3178">
        <v>725.77</v>
      </c>
      <c r="L38" s="486">
        <f>+D38+F38+J38</f>
        <v>2645</v>
      </c>
      <c r="M38" s="486">
        <f>+E38+G38+K38</f>
        <v>2618.4499999999998</v>
      </c>
      <c r="N38" s="897">
        <v>950</v>
      </c>
      <c r="O38" s="3178">
        <v>822.47</v>
      </c>
      <c r="P38" s="3450">
        <f>+L38+N38</f>
        <v>3595</v>
      </c>
      <c r="Q38" s="3450">
        <f>+M38+O38</f>
        <v>3440.92</v>
      </c>
      <c r="R38" s="897">
        <v>950</v>
      </c>
      <c r="S38" s="3178">
        <v>911.95999999999992</v>
      </c>
      <c r="T38" s="3450">
        <f>+P38+R38</f>
        <v>4545</v>
      </c>
      <c r="U38" s="3450">
        <f>+Q38+S38</f>
        <v>4352.88</v>
      </c>
      <c r="V38" s="897">
        <v>950</v>
      </c>
      <c r="W38" s="3178">
        <v>955.32999999999993</v>
      </c>
      <c r="X38" s="486">
        <f>N38+R38+V38</f>
        <v>2850</v>
      </c>
      <c r="Y38" s="486">
        <f>O38+S38+W38</f>
        <v>2689.7599999999998</v>
      </c>
      <c r="Z38" s="595">
        <f>L38+X38</f>
        <v>5495</v>
      </c>
      <c r="AA38" s="595">
        <f>M38+Y38</f>
        <v>5308.2099999999991</v>
      </c>
      <c r="AB38" s="897">
        <v>950</v>
      </c>
      <c r="AC38" s="3178">
        <v>878.12000000000012</v>
      </c>
      <c r="AD38" s="4134">
        <f>+Z38+AB38</f>
        <v>6445</v>
      </c>
      <c r="AE38" s="4134">
        <f>+AA38+AC38</f>
        <v>6186.329999999999</v>
      </c>
      <c r="AF38" s="897">
        <v>950</v>
      </c>
      <c r="AG38" s="3178">
        <v>799.58</v>
      </c>
      <c r="AH38" s="4223">
        <f>+AD38+AF38</f>
        <v>7395</v>
      </c>
      <c r="AI38" s="4223">
        <f>+AE38+AG38</f>
        <v>6985.9099999999989</v>
      </c>
      <c r="AJ38" s="897">
        <v>950</v>
      </c>
      <c r="AK38" s="3178">
        <v>717.39</v>
      </c>
      <c r="AL38" s="486">
        <f>AB38+AF38+AJ38</f>
        <v>2850</v>
      </c>
      <c r="AM38" s="486">
        <f>AC38+AG38+AK38</f>
        <v>2395.09</v>
      </c>
      <c r="AN38" s="4340">
        <f>+AH38+AJ38</f>
        <v>8345</v>
      </c>
      <c r="AO38" s="4340">
        <f>+AI38+AK38</f>
        <v>7703.2999999999993</v>
      </c>
      <c r="AP38" s="897">
        <v>950</v>
      </c>
      <c r="AQ38" s="3178">
        <v>973.4</v>
      </c>
      <c r="AR38" s="4439">
        <f>+AN38+AP38</f>
        <v>9295</v>
      </c>
      <c r="AS38" s="4439">
        <f>+AO38+AQ38</f>
        <v>8676.6999999999989</v>
      </c>
      <c r="AT38" s="897">
        <v>920</v>
      </c>
      <c r="AU38" s="3178">
        <v>807.85</v>
      </c>
      <c r="AV38" s="4690">
        <f>+AR38+AT38</f>
        <v>10215</v>
      </c>
      <c r="AW38" s="4690">
        <f>+AS38+AU38</f>
        <v>9484.5499999999993</v>
      </c>
      <c r="AX38" s="897">
        <v>950</v>
      </c>
      <c r="AY38" s="3178">
        <v>754.26</v>
      </c>
      <c r="AZ38" s="486">
        <f>AP38+AT38+AX38</f>
        <v>2820</v>
      </c>
      <c r="BA38" s="486">
        <f>AQ38+AU38+AY38</f>
        <v>2535.5100000000002</v>
      </c>
      <c r="BB38" s="595">
        <f>AL38+AZ38</f>
        <v>5670</v>
      </c>
      <c r="BC38" s="595">
        <f>AM38+BA38</f>
        <v>4930.6000000000004</v>
      </c>
      <c r="BD38" s="5235">
        <f>+AV38+AX38</f>
        <v>11165</v>
      </c>
      <c r="BE38" s="5235">
        <f>+AW38+AY38</f>
        <v>10238.81</v>
      </c>
      <c r="BF38" s="26"/>
      <c r="BG38" s="26"/>
      <c r="BH38" s="26"/>
      <c r="BI38" s="26"/>
    </row>
    <row r="39" spans="1:61" ht="19.5" thickBot="1" x14ac:dyDescent="0.35">
      <c r="A39" s="3527"/>
      <c r="B39" s="3536" t="s">
        <v>23</v>
      </c>
      <c r="C39" s="3537" t="s">
        <v>572</v>
      </c>
      <c r="D39" s="3538">
        <f>SUM(D35:D37)</f>
        <v>1.4220000000000002</v>
      </c>
      <c r="E39" s="3539">
        <f t="shared" ref="E39:G39" si="118">SUM(E35:E37)</f>
        <v>1.1106527777777777</v>
      </c>
      <c r="F39" s="3538">
        <f>SUM(F35:F37)</f>
        <v>1.33</v>
      </c>
      <c r="G39" s="3539">
        <f t="shared" si="118"/>
        <v>0.9266263440860214</v>
      </c>
      <c r="H39" s="3540">
        <f t="shared" ref="H39:AE39" si="119">SUM(H35:H37)</f>
        <v>1.3752459016393443</v>
      </c>
      <c r="I39" s="3541">
        <f t="shared" si="119"/>
        <v>1.0171311475409834</v>
      </c>
      <c r="J39" s="3538">
        <f>SUM(J35:J37)</f>
        <v>1.3509</v>
      </c>
      <c r="K39" s="3539">
        <f t="shared" ref="K39" si="120">SUM(K35:K37)</f>
        <v>0.86245444444444441</v>
      </c>
      <c r="L39" s="3542">
        <f>SUM(L35:L37)</f>
        <v>1.3672197802197803</v>
      </c>
      <c r="M39" s="3543">
        <f>SUM(M35:M37)</f>
        <v>0.96613882783882787</v>
      </c>
      <c r="N39" s="3538">
        <f t="shared" si="119"/>
        <v>1.4219999999999999</v>
      </c>
      <c r="O39" s="3539">
        <f t="shared" si="119"/>
        <v>1.0146010752688173</v>
      </c>
      <c r="P39" s="422">
        <f t="shared" si="119"/>
        <v>1.3811393442622952</v>
      </c>
      <c r="Q39" s="422">
        <f t="shared" si="119"/>
        <v>0.97845300546448088</v>
      </c>
      <c r="R39" s="3538">
        <f t="shared" ref="R39:U39" si="121">SUM(R35:R37)</f>
        <v>1.4219999999999999</v>
      </c>
      <c r="S39" s="3539">
        <f t="shared" si="121"/>
        <v>1.0142172043010753</v>
      </c>
      <c r="T39" s="422">
        <f t="shared" si="121"/>
        <v>1.389418300653595</v>
      </c>
      <c r="U39" s="422">
        <f t="shared" si="121"/>
        <v>0.98569934640522883</v>
      </c>
      <c r="V39" s="3538">
        <f t="shared" ref="V39:W39" si="122">SUM(V35:V37)</f>
        <v>1.4219999999999999</v>
      </c>
      <c r="W39" s="3539">
        <f t="shared" si="122"/>
        <v>1.1256944444444446</v>
      </c>
      <c r="X39" s="3542">
        <f>SUM(X35:X37)</f>
        <v>1.4220000000000002</v>
      </c>
      <c r="Y39" s="3543">
        <f>SUM(Y35:Y37)</f>
        <v>1.0506978260869566</v>
      </c>
      <c r="Z39" s="3546">
        <f t="shared" si="119"/>
        <v>1.3947595628415299</v>
      </c>
      <c r="AA39" s="3546">
        <f t="shared" si="119"/>
        <v>1.0086493624772315</v>
      </c>
      <c r="AB39" s="3538">
        <f t="shared" si="119"/>
        <v>1.4219999999999999</v>
      </c>
      <c r="AC39" s="3539">
        <f t="shared" si="119"/>
        <v>1.1310080645161291</v>
      </c>
      <c r="AD39" s="4141">
        <f t="shared" si="119"/>
        <v>1.3987056074766353</v>
      </c>
      <c r="AE39" s="4141">
        <f t="shared" si="119"/>
        <v>1.0263742211838007</v>
      </c>
      <c r="AF39" s="3538">
        <f t="shared" ref="AF39:AJ39" si="123">SUM(AF35:AF37)</f>
        <v>1.4220000000000002</v>
      </c>
      <c r="AG39" s="3539">
        <f t="shared" si="123"/>
        <v>1.0363611111111111</v>
      </c>
      <c r="AH39" s="4228">
        <f t="shared" si="123"/>
        <v>1.4015696721311475</v>
      </c>
      <c r="AI39" s="4228">
        <f t="shared" si="123"/>
        <v>1.0276021174863388</v>
      </c>
      <c r="AJ39" s="3538">
        <f t="shared" si="123"/>
        <v>1.4219999999999999</v>
      </c>
      <c r="AK39" s="3539">
        <f t="shared" ref="AK39:AS39" si="124">SUM(AK35:AK37)</f>
        <v>0.96787634408602163</v>
      </c>
      <c r="AL39" s="3542">
        <f>SUM(AL35:AL37)</f>
        <v>1.4219999999999999</v>
      </c>
      <c r="AM39" s="3543">
        <f>SUM(AM35:AM37)</f>
        <v>1.0451766304347827</v>
      </c>
      <c r="AN39" s="4347">
        <f t="shared" si="124"/>
        <v>1.4038727272727272</v>
      </c>
      <c r="AO39" s="4347">
        <f t="shared" si="124"/>
        <v>1.020869393939394</v>
      </c>
      <c r="AP39" s="3538">
        <f t="shared" si="124"/>
        <v>1.4219999999999999</v>
      </c>
      <c r="AQ39" s="3539">
        <f t="shared" si="124"/>
        <v>1.1884193548387096</v>
      </c>
      <c r="AR39" s="4445">
        <f t="shared" si="124"/>
        <v>1.4057091503267971</v>
      </c>
      <c r="AS39" s="4445">
        <f t="shared" si="124"/>
        <v>1.0378434095860567</v>
      </c>
      <c r="AT39" s="3538">
        <f t="shared" ref="AT39:AW39" si="125">SUM(AT35:AT37)</f>
        <v>1.4219999999999999</v>
      </c>
      <c r="AU39" s="3539">
        <f t="shared" si="125"/>
        <v>1.2214224137931033</v>
      </c>
      <c r="AV39" s="4694">
        <f t="shared" si="125"/>
        <v>1.4071194029850744</v>
      </c>
      <c r="AW39" s="4694">
        <f t="shared" si="125"/>
        <v>1.0537353233830844</v>
      </c>
      <c r="AX39" s="3538">
        <f t="shared" ref="AX39:BE39" si="126">SUM(AX35:AX37)</f>
        <v>1.4219999999999999</v>
      </c>
      <c r="AY39" s="3539">
        <f t="shared" si="126"/>
        <v>1.1760451612903227</v>
      </c>
      <c r="AZ39" s="3542">
        <f>SUM(AZ35:AZ37)</f>
        <v>1.4219999999999999</v>
      </c>
      <c r="BA39" s="3543">
        <f>SUM(BA35:BA37)</f>
        <v>1.1947214285714287</v>
      </c>
      <c r="BB39" s="3546">
        <f t="shared" ref="BB39:BC39" si="127">SUM(BB35:BB37)</f>
        <v>1.4219999999999999</v>
      </c>
      <c r="BC39" s="3546">
        <f t="shared" si="127"/>
        <v>1.1195404371584701</v>
      </c>
      <c r="BD39" s="5245">
        <f t="shared" si="126"/>
        <v>1.408379781420765</v>
      </c>
      <c r="BE39" s="5245">
        <f t="shared" si="126"/>
        <v>1.0640948998178508</v>
      </c>
      <c r="BF39" s="26"/>
      <c r="BG39" s="26"/>
      <c r="BH39" s="26"/>
      <c r="BI39" s="26"/>
    </row>
    <row r="40" spans="1:61" x14ac:dyDescent="0.25">
      <c r="AF40" s="26"/>
      <c r="AG40" s="26"/>
      <c r="AH40" s="26"/>
      <c r="AI40" s="26"/>
      <c r="AJ40" s="26"/>
      <c r="AK40" s="26"/>
      <c r="AL40" s="26"/>
      <c r="AM40" s="26"/>
      <c r="AN40" s="26"/>
      <c r="AO40" s="26"/>
      <c r="AV40" s="26"/>
      <c r="AW40" s="26"/>
    </row>
  </sheetData>
  <mergeCells count="63">
    <mergeCell ref="AX3:AY3"/>
    <mergeCell ref="BD3:BE3"/>
    <mergeCell ref="AY29:AY30"/>
    <mergeCell ref="BE29:BE30"/>
    <mergeCell ref="AZ3:BA3"/>
    <mergeCell ref="BA29:BA30"/>
    <mergeCell ref="BB3:BC3"/>
    <mergeCell ref="BC29:BC30"/>
    <mergeCell ref="AJ3:AK3"/>
    <mergeCell ref="AN3:AO3"/>
    <mergeCell ref="AK29:AK30"/>
    <mergeCell ref="AO29:AO30"/>
    <mergeCell ref="AL3:AM3"/>
    <mergeCell ref="AM29:AM30"/>
    <mergeCell ref="B37:B38"/>
    <mergeCell ref="F3:G3"/>
    <mergeCell ref="H3:I3"/>
    <mergeCell ref="J3:K3"/>
    <mergeCell ref="B8:B9"/>
    <mergeCell ref="B10:B11"/>
    <mergeCell ref="D3:E3"/>
    <mergeCell ref="B6:B7"/>
    <mergeCell ref="B3:B4"/>
    <mergeCell ref="B12:B13"/>
    <mergeCell ref="B14:B15"/>
    <mergeCell ref="C3:C4"/>
    <mergeCell ref="B31:B32"/>
    <mergeCell ref="E29:E30"/>
    <mergeCell ref="G29:G30"/>
    <mergeCell ref="I29:I30"/>
    <mergeCell ref="K29:K30"/>
    <mergeCell ref="AA29:AA30"/>
    <mergeCell ref="Y29:Y30"/>
    <mergeCell ref="M29:M30"/>
    <mergeCell ref="O29:O30"/>
    <mergeCell ref="Q29:Q30"/>
    <mergeCell ref="W29:W30"/>
    <mergeCell ref="S29:S30"/>
    <mergeCell ref="U29:U30"/>
    <mergeCell ref="L3:M3"/>
    <mergeCell ref="P3:Q3"/>
    <mergeCell ref="N3:O3"/>
    <mergeCell ref="V3:W3"/>
    <mergeCell ref="Z3:AA3"/>
    <mergeCell ref="X3:Y3"/>
    <mergeCell ref="R3:S3"/>
    <mergeCell ref="T3:U3"/>
    <mergeCell ref="AT3:AU3"/>
    <mergeCell ref="AV3:AW3"/>
    <mergeCell ref="AU29:AU30"/>
    <mergeCell ref="AW29:AW30"/>
    <mergeCell ref="AB3:AC3"/>
    <mergeCell ref="AD3:AE3"/>
    <mergeCell ref="AC29:AC30"/>
    <mergeCell ref="AE29:AE30"/>
    <mergeCell ref="AP3:AQ3"/>
    <mergeCell ref="AR3:AS3"/>
    <mergeCell ref="AQ29:AQ30"/>
    <mergeCell ref="AS29:AS30"/>
    <mergeCell ref="AF3:AG3"/>
    <mergeCell ref="AH3:AI3"/>
    <mergeCell ref="AG29:AG30"/>
    <mergeCell ref="AI29:AI30"/>
  </mergeCells>
  <pageMargins left="0.7" right="0.7" top="0.75" bottom="0.75" header="0.3" footer="0.3"/>
  <pageSetup scale="81" orientation="landscape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>
    <tabColor theme="9" tint="-0.249977111117893"/>
    <pageSetUpPr fitToPage="1"/>
  </sheetPr>
  <dimension ref="C1:BJ31"/>
  <sheetViews>
    <sheetView zoomScaleNormal="100" zoomScaleSheetLayoutView="130" workbookViewId="0">
      <pane xSplit="4" ySplit="1" topLeftCell="AZ2" activePane="bottomRight" state="frozen"/>
      <selection pane="topRight" activeCell="E1" sqref="E1"/>
      <selection pane="bottomLeft" activeCell="A2" sqref="A2"/>
      <selection pane="bottomRight" activeCell="BC15" sqref="BC15"/>
    </sheetView>
  </sheetViews>
  <sheetFormatPr defaultRowHeight="15" x14ac:dyDescent="0.25"/>
  <cols>
    <col min="3" max="3" width="19" customWidth="1"/>
    <col min="4" max="4" width="23.28515625" bestFit="1" customWidth="1"/>
    <col min="5" max="5" width="13.7109375" customWidth="1"/>
    <col min="6" max="6" width="12.7109375" customWidth="1"/>
    <col min="7" max="7" width="12.5703125" customWidth="1"/>
    <col min="8" max="8" width="11.85546875" customWidth="1"/>
    <col min="9" max="10" width="11.85546875" hidden="1" customWidth="1"/>
    <col min="11" max="11" width="11.140625" customWidth="1"/>
    <col min="12" max="12" width="9.7109375" customWidth="1"/>
    <col min="13" max="13" width="11.140625" customWidth="1"/>
    <col min="14" max="14" width="9.7109375" customWidth="1"/>
    <col min="15" max="15" width="11.140625" customWidth="1"/>
    <col min="16" max="16" width="9.7109375" customWidth="1"/>
    <col min="17" max="17" width="11.140625" hidden="1" customWidth="1"/>
    <col min="18" max="18" width="9.7109375" hidden="1" customWidth="1"/>
    <col min="19" max="19" width="11.140625" customWidth="1"/>
    <col min="20" max="20" width="9.7109375" customWidth="1"/>
    <col min="21" max="21" width="13" hidden="1" customWidth="1"/>
    <col min="22" max="22" width="11.7109375" hidden="1" customWidth="1"/>
    <col min="23" max="23" width="11.140625" customWidth="1"/>
    <col min="24" max="24" width="9.7109375" customWidth="1"/>
    <col min="25" max="25" width="11.140625" customWidth="1"/>
    <col min="26" max="26" width="9.7109375" customWidth="1"/>
    <col min="27" max="27" width="11.140625" customWidth="1"/>
    <col min="28" max="28" width="9.7109375" customWidth="1"/>
    <col min="29" max="29" width="11.140625" bestFit="1" customWidth="1"/>
    <col min="31" max="31" width="11.140625" hidden="1" customWidth="1"/>
    <col min="32" max="32" width="9.7109375" hidden="1" customWidth="1"/>
    <col min="33" max="33" width="11.140625" bestFit="1" customWidth="1"/>
    <col min="34" max="34" width="9.7109375" bestFit="1" customWidth="1"/>
    <col min="35" max="35" width="11.140625" hidden="1" customWidth="1"/>
    <col min="36" max="36" width="9.7109375" hidden="1" customWidth="1"/>
    <col min="37" max="37" width="11.140625" bestFit="1" customWidth="1"/>
    <col min="38" max="38" width="9.7109375" bestFit="1" customWidth="1"/>
    <col min="39" max="39" width="11.140625" style="4342" bestFit="1" customWidth="1"/>
    <col min="40" max="40" width="9.7109375" style="4342" bestFit="1" customWidth="1"/>
    <col min="41" max="41" width="11.140625" hidden="1" customWidth="1"/>
    <col min="42" max="42" width="9.7109375" hidden="1" customWidth="1"/>
    <col min="43" max="43" width="11.140625" bestFit="1" customWidth="1"/>
    <col min="45" max="45" width="11.140625" hidden="1" customWidth="1"/>
    <col min="46" max="46" width="9.7109375" hidden="1" customWidth="1"/>
    <col min="47" max="47" width="11.140625" bestFit="1" customWidth="1"/>
    <col min="48" max="48" width="9.7109375" bestFit="1" customWidth="1"/>
    <col min="49" max="49" width="11.140625" hidden="1" customWidth="1"/>
    <col min="50" max="50" width="9.7109375" hidden="1" customWidth="1"/>
    <col min="51" max="51" width="11.140625" bestFit="1" customWidth="1"/>
    <col min="52" max="52" width="9.7109375" bestFit="1" customWidth="1"/>
    <col min="53" max="53" width="11.140625" style="5241" bestFit="1" customWidth="1"/>
    <col min="54" max="54" width="9.7109375" style="5241" customWidth="1"/>
    <col min="55" max="55" width="11.140625" style="5241" bestFit="1" customWidth="1"/>
    <col min="56" max="56" width="9.7109375" style="5241" customWidth="1"/>
    <col min="57" max="57" width="11.140625" bestFit="1" customWidth="1"/>
    <col min="58" max="58" width="9.7109375" bestFit="1" customWidth="1"/>
  </cols>
  <sheetData>
    <row r="1" spans="3:62" ht="23.25" x14ac:dyDescent="0.35">
      <c r="C1" s="6591" t="s">
        <v>1048</v>
      </c>
      <c r="D1" s="6591"/>
      <c r="E1" s="6591"/>
      <c r="F1" s="6591"/>
      <c r="G1" s="6591"/>
      <c r="H1" s="6591"/>
      <c r="I1" s="6591"/>
      <c r="J1" s="6591"/>
      <c r="K1" s="6591"/>
      <c r="L1" s="6591"/>
      <c r="M1" s="6591"/>
      <c r="N1" s="6591"/>
      <c r="O1" s="6591"/>
      <c r="P1" s="6591"/>
      <c r="Q1" s="6591"/>
      <c r="R1" s="6591"/>
      <c r="S1" s="6591"/>
      <c r="T1" s="6591"/>
    </row>
    <row r="2" spans="3:62" ht="24" thickBot="1" x14ac:dyDescent="0.4">
      <c r="C2" s="1360"/>
      <c r="D2" s="1360"/>
      <c r="E2" s="1360"/>
      <c r="F2" s="1360"/>
      <c r="G2" s="1360"/>
      <c r="H2" s="1360"/>
      <c r="I2" s="1360"/>
      <c r="J2" s="1360"/>
      <c r="K2" s="1360"/>
      <c r="L2" s="1360"/>
      <c r="M2" s="1360"/>
      <c r="N2" s="1360"/>
      <c r="O2" s="1360"/>
      <c r="P2" s="1360"/>
      <c r="Q2" s="1360"/>
      <c r="R2" s="1360"/>
      <c r="S2" s="1360"/>
      <c r="T2" s="1360"/>
    </row>
    <row r="3" spans="3:62" ht="15.75" thickBot="1" x14ac:dyDescent="0.3">
      <c r="C3" s="1390"/>
      <c r="D3" s="1391"/>
      <c r="E3" s="6585" t="s">
        <v>1506</v>
      </c>
      <c r="F3" s="6586"/>
      <c r="G3" s="6585" t="s">
        <v>1526</v>
      </c>
      <c r="H3" s="6586"/>
      <c r="I3" s="6587" t="s">
        <v>680</v>
      </c>
      <c r="J3" s="6588"/>
      <c r="K3" s="6592" t="s">
        <v>1620</v>
      </c>
      <c r="L3" s="6592"/>
      <c r="M3" s="6589" t="s">
        <v>658</v>
      </c>
      <c r="N3" s="6590"/>
      <c r="O3" s="6585" t="s">
        <v>1688</v>
      </c>
      <c r="P3" s="6586"/>
      <c r="Q3" s="6587" t="s">
        <v>672</v>
      </c>
      <c r="R3" s="6588"/>
      <c r="S3" s="6585" t="s">
        <v>1731</v>
      </c>
      <c r="T3" s="6586"/>
      <c r="U3" s="6587" t="s">
        <v>866</v>
      </c>
      <c r="V3" s="6588"/>
      <c r="W3" s="6592" t="s">
        <v>1766</v>
      </c>
      <c r="X3" s="6592"/>
      <c r="Y3" s="6589" t="s">
        <v>682</v>
      </c>
      <c r="Z3" s="6590"/>
      <c r="AA3" s="6593" t="s">
        <v>679</v>
      </c>
      <c r="AB3" s="6594"/>
      <c r="AC3" s="6585" t="s">
        <v>1831</v>
      </c>
      <c r="AD3" s="6586"/>
      <c r="AE3" s="6587" t="s">
        <v>1148</v>
      </c>
      <c r="AF3" s="6588"/>
      <c r="AG3" s="6585" t="s">
        <v>1863</v>
      </c>
      <c r="AH3" s="6586"/>
      <c r="AI3" s="6587" t="s">
        <v>1864</v>
      </c>
      <c r="AJ3" s="6588"/>
      <c r="AK3" s="6585" t="s">
        <v>1888</v>
      </c>
      <c r="AL3" s="6586"/>
      <c r="AM3" s="6589" t="s">
        <v>684</v>
      </c>
      <c r="AN3" s="6590"/>
      <c r="AO3" s="6587" t="s">
        <v>951</v>
      </c>
      <c r="AP3" s="6588"/>
      <c r="AQ3" s="6585" t="s">
        <v>1918</v>
      </c>
      <c r="AR3" s="6586"/>
      <c r="AS3" s="6587" t="s">
        <v>1919</v>
      </c>
      <c r="AT3" s="6588"/>
      <c r="AU3" s="6585" t="s">
        <v>1940</v>
      </c>
      <c r="AV3" s="6586"/>
      <c r="AW3" s="6587" t="s">
        <v>1941</v>
      </c>
      <c r="AX3" s="6588"/>
      <c r="AY3" s="6585" t="s">
        <v>1965</v>
      </c>
      <c r="AZ3" s="6586"/>
      <c r="BA3" s="6589" t="s">
        <v>685</v>
      </c>
      <c r="BB3" s="6590"/>
      <c r="BC3" s="6593" t="s">
        <v>693</v>
      </c>
      <c r="BD3" s="6594"/>
      <c r="BE3" s="6587" t="s">
        <v>1513</v>
      </c>
      <c r="BF3" s="6588"/>
    </row>
    <row r="4" spans="3:62" ht="15.75" thickBot="1" x14ac:dyDescent="0.3">
      <c r="C4" s="689" t="s">
        <v>1029</v>
      </c>
      <c r="D4" s="685"/>
      <c r="E4" s="1982" t="s">
        <v>1033</v>
      </c>
      <c r="F4" s="689" t="s">
        <v>1034</v>
      </c>
      <c r="G4" s="1982" t="s">
        <v>1033</v>
      </c>
      <c r="H4" s="689" t="s">
        <v>1034</v>
      </c>
      <c r="I4" s="1983" t="s">
        <v>1033</v>
      </c>
      <c r="J4" s="1906" t="s">
        <v>1034</v>
      </c>
      <c r="K4" s="1981" t="s">
        <v>1033</v>
      </c>
      <c r="L4" s="1982" t="s">
        <v>1034</v>
      </c>
      <c r="M4" s="1377" t="s">
        <v>1033</v>
      </c>
      <c r="N4" s="1378" t="s">
        <v>1034</v>
      </c>
      <c r="O4" s="1982" t="s">
        <v>1033</v>
      </c>
      <c r="P4" s="689" t="s">
        <v>1034</v>
      </c>
      <c r="Q4" s="1983" t="s">
        <v>1033</v>
      </c>
      <c r="R4" s="1906" t="s">
        <v>1034</v>
      </c>
      <c r="S4" s="2579" t="s">
        <v>1033</v>
      </c>
      <c r="T4" s="689" t="s">
        <v>1034</v>
      </c>
      <c r="U4" s="2577" t="s">
        <v>1033</v>
      </c>
      <c r="V4" s="1906" t="s">
        <v>1034</v>
      </c>
      <c r="W4" s="3424" t="s">
        <v>1033</v>
      </c>
      <c r="X4" s="689" t="s">
        <v>1034</v>
      </c>
      <c r="Y4" s="1377" t="s">
        <v>1033</v>
      </c>
      <c r="Z4" s="1378" t="s">
        <v>1034</v>
      </c>
      <c r="AA4" s="2197" t="s">
        <v>1033</v>
      </c>
      <c r="AB4" s="2198" t="s">
        <v>1034</v>
      </c>
      <c r="AC4" s="3424" t="s">
        <v>1033</v>
      </c>
      <c r="AD4" s="689" t="s">
        <v>1034</v>
      </c>
      <c r="AE4" s="2577" t="s">
        <v>1033</v>
      </c>
      <c r="AF4" s="1906" t="s">
        <v>1034</v>
      </c>
      <c r="AG4" s="3424" t="s">
        <v>1033</v>
      </c>
      <c r="AH4" s="689" t="s">
        <v>1034</v>
      </c>
      <c r="AI4" s="2577" t="s">
        <v>1033</v>
      </c>
      <c r="AJ4" s="1906" t="s">
        <v>1034</v>
      </c>
      <c r="AK4" s="3424" t="s">
        <v>1033</v>
      </c>
      <c r="AL4" s="689" t="s">
        <v>1034</v>
      </c>
      <c r="AM4" s="1377" t="s">
        <v>1033</v>
      </c>
      <c r="AN4" s="1378" t="s">
        <v>1034</v>
      </c>
      <c r="AO4" s="2577" t="s">
        <v>1033</v>
      </c>
      <c r="AP4" s="1906" t="s">
        <v>1034</v>
      </c>
      <c r="AQ4" s="3424" t="s">
        <v>1033</v>
      </c>
      <c r="AR4" s="689" t="s">
        <v>1034</v>
      </c>
      <c r="AS4" s="2577" t="s">
        <v>1033</v>
      </c>
      <c r="AT4" s="1906" t="s">
        <v>1034</v>
      </c>
      <c r="AU4" s="3424" t="s">
        <v>1033</v>
      </c>
      <c r="AV4" s="689" t="s">
        <v>1034</v>
      </c>
      <c r="AW4" s="2577" t="s">
        <v>1033</v>
      </c>
      <c r="AX4" s="1906" t="s">
        <v>1034</v>
      </c>
      <c r="AY4" s="3424" t="s">
        <v>1033</v>
      </c>
      <c r="AZ4" s="689" t="s">
        <v>1034</v>
      </c>
      <c r="BA4" s="1377" t="s">
        <v>1033</v>
      </c>
      <c r="BB4" s="1378" t="s">
        <v>1034</v>
      </c>
      <c r="BC4" s="2197" t="s">
        <v>1033</v>
      </c>
      <c r="BD4" s="2198" t="s">
        <v>1034</v>
      </c>
      <c r="BE4" s="2577" t="s">
        <v>1033</v>
      </c>
      <c r="BF4" s="1906" t="s">
        <v>1034</v>
      </c>
    </row>
    <row r="5" spans="3:62" x14ac:dyDescent="0.25">
      <c r="C5" s="6600" t="s">
        <v>17</v>
      </c>
      <c r="D5" s="3206" t="s">
        <v>1251</v>
      </c>
      <c r="E5" s="680">
        <v>0</v>
      </c>
      <c r="F5" s="684">
        <v>0</v>
      </c>
      <c r="G5" s="680">
        <v>0</v>
      </c>
      <c r="H5" s="684">
        <v>0</v>
      </c>
      <c r="I5" s="1907">
        <f>+E5+G5</f>
        <v>0</v>
      </c>
      <c r="J5" s="1908">
        <f>+H5+F5</f>
        <v>0</v>
      </c>
      <c r="K5" s="1687">
        <v>0</v>
      </c>
      <c r="L5" s="680">
        <v>0</v>
      </c>
      <c r="M5" s="1379">
        <f t="shared" ref="M5:N7" si="0">+E5+G5+K5</f>
        <v>0</v>
      </c>
      <c r="N5" s="1996">
        <f t="shared" si="0"/>
        <v>0</v>
      </c>
      <c r="O5" s="680">
        <v>0</v>
      </c>
      <c r="P5" s="684">
        <v>0</v>
      </c>
      <c r="Q5" s="1907">
        <f>+M5+O5</f>
        <v>0</v>
      </c>
      <c r="R5" s="1908">
        <f>+P5+N5</f>
        <v>0</v>
      </c>
      <c r="S5" s="680">
        <v>0</v>
      </c>
      <c r="T5" s="684">
        <v>0</v>
      </c>
      <c r="U5" s="1907">
        <f>+Q5+S5</f>
        <v>0</v>
      </c>
      <c r="V5" s="1908">
        <f>+T5+R5</f>
        <v>0</v>
      </c>
      <c r="W5" s="680">
        <v>0</v>
      </c>
      <c r="X5" s="684">
        <v>0</v>
      </c>
      <c r="Y5" s="1379">
        <f t="shared" ref="Y5:Z7" si="1">+O5+S5+W5</f>
        <v>0</v>
      </c>
      <c r="Z5" s="1379">
        <f t="shared" si="1"/>
        <v>0</v>
      </c>
      <c r="AA5" s="2199">
        <f t="shared" ref="AA5:AB7" si="2">+M5+Y5</f>
        <v>0</v>
      </c>
      <c r="AB5" s="2200">
        <f t="shared" si="2"/>
        <v>0</v>
      </c>
      <c r="AC5" s="680">
        <v>0</v>
      </c>
      <c r="AD5" s="684">
        <v>0</v>
      </c>
      <c r="AE5" s="1907">
        <f>+AA5+AC5</f>
        <v>0</v>
      </c>
      <c r="AF5" s="1908">
        <f>+AD5+AB5</f>
        <v>0</v>
      </c>
      <c r="AG5" s="680">
        <v>0</v>
      </c>
      <c r="AH5" s="684">
        <v>0</v>
      </c>
      <c r="AI5" s="1907">
        <f>+AE5+AG5</f>
        <v>0</v>
      </c>
      <c r="AJ5" s="1908">
        <f>+AH5+AF5</f>
        <v>0</v>
      </c>
      <c r="AK5" s="680">
        <v>0</v>
      </c>
      <c r="AL5" s="684">
        <v>0</v>
      </c>
      <c r="AM5" s="1379">
        <f t="shared" ref="AM5:AM7" si="3">+AC5+AG5+AK5</f>
        <v>0</v>
      </c>
      <c r="AN5" s="1379">
        <f t="shared" ref="AN5:AN7" si="4">+AD5+AH5+AL5</f>
        <v>0</v>
      </c>
      <c r="AO5" s="1907">
        <f>+AI5+AK5</f>
        <v>0</v>
      </c>
      <c r="AP5" s="1908">
        <f>+AL5+AJ5</f>
        <v>0</v>
      </c>
      <c r="AQ5" s="680">
        <v>0</v>
      </c>
      <c r="AR5" s="684">
        <v>0</v>
      </c>
      <c r="AS5" s="1907">
        <f>+AO5+AQ5</f>
        <v>0</v>
      </c>
      <c r="AT5" s="1908">
        <f>+AR5+AP5</f>
        <v>0</v>
      </c>
      <c r="AU5" s="680">
        <v>0</v>
      </c>
      <c r="AV5" s="684">
        <v>0</v>
      </c>
      <c r="AW5" s="1907">
        <f>+AS5+AU5</f>
        <v>0</v>
      </c>
      <c r="AX5" s="1908">
        <f>+AV5+AT5</f>
        <v>0</v>
      </c>
      <c r="AY5" s="680">
        <v>0</v>
      </c>
      <c r="AZ5" s="684">
        <v>0</v>
      </c>
      <c r="BA5" s="1379">
        <f t="shared" ref="BA5:BA7" si="5">+AQ5+AU5+AY5</f>
        <v>0</v>
      </c>
      <c r="BB5" s="1379">
        <f t="shared" ref="BB5:BB7" si="6">+AR5+AV5+AZ5</f>
        <v>0</v>
      </c>
      <c r="BC5" s="2199">
        <f>+AM5+BA5</f>
        <v>0</v>
      </c>
      <c r="BD5" s="2199">
        <f>+AN5+BB5</f>
        <v>0</v>
      </c>
      <c r="BE5" s="1907">
        <f>+AW5+AY5</f>
        <v>0</v>
      </c>
      <c r="BF5" s="1908">
        <f>+AZ5+AX5</f>
        <v>0</v>
      </c>
      <c r="BG5" s="26"/>
      <c r="BH5" s="26"/>
      <c r="BI5" s="26"/>
      <c r="BJ5" s="26"/>
    </row>
    <row r="6" spans="3:62" x14ac:dyDescent="0.25">
      <c r="C6" s="6601"/>
      <c r="D6" s="3206" t="s">
        <v>1369</v>
      </c>
      <c r="E6" s="687">
        <v>0</v>
      </c>
      <c r="F6" s="684">
        <v>0</v>
      </c>
      <c r="G6" s="680">
        <v>4725.25</v>
      </c>
      <c r="H6" s="684">
        <v>4538.34</v>
      </c>
      <c r="I6" s="1907">
        <f>+E6+G6</f>
        <v>4725.25</v>
      </c>
      <c r="J6" s="1908">
        <f>+H6+F6</f>
        <v>4538.34</v>
      </c>
      <c r="K6" s="1688">
        <v>0</v>
      </c>
      <c r="L6" s="680">
        <v>157.35000000000002</v>
      </c>
      <c r="M6" s="1379">
        <f t="shared" si="0"/>
        <v>4725.25</v>
      </c>
      <c r="N6" s="1996">
        <f t="shared" si="0"/>
        <v>4695.6900000000005</v>
      </c>
      <c r="O6" s="687">
        <v>0</v>
      </c>
      <c r="P6" s="684">
        <v>32.909999999999997</v>
      </c>
      <c r="Q6" s="1907">
        <f t="shared" ref="Q6:Q7" si="7">+M6+O6</f>
        <v>4725.25</v>
      </c>
      <c r="R6" s="1908">
        <f t="shared" ref="R6:R7" si="8">+P6+N6</f>
        <v>4728.6000000000004</v>
      </c>
      <c r="S6" s="687">
        <v>0</v>
      </c>
      <c r="T6" s="684">
        <v>0</v>
      </c>
      <c r="U6" s="1907">
        <f t="shared" ref="U6:U7" si="9">+Q6+S6</f>
        <v>4725.25</v>
      </c>
      <c r="V6" s="1908">
        <f t="shared" ref="V6:V7" si="10">+T6+R6</f>
        <v>4728.6000000000004</v>
      </c>
      <c r="W6" s="687">
        <v>0</v>
      </c>
      <c r="X6" s="684">
        <v>0</v>
      </c>
      <c r="Y6" s="1379">
        <f t="shared" si="1"/>
        <v>0</v>
      </c>
      <c r="Z6" s="1379">
        <f t="shared" si="1"/>
        <v>32.909999999999997</v>
      </c>
      <c r="AA6" s="2199">
        <f t="shared" si="2"/>
        <v>4725.25</v>
      </c>
      <c r="AB6" s="2200">
        <f t="shared" si="2"/>
        <v>4728.6000000000004</v>
      </c>
      <c r="AC6" s="687">
        <v>0</v>
      </c>
      <c r="AD6" s="684">
        <v>0</v>
      </c>
      <c r="AE6" s="1907">
        <f t="shared" ref="AE6:AE7" si="11">+AA6+AC6</f>
        <v>4725.25</v>
      </c>
      <c r="AF6" s="1908">
        <f t="shared" ref="AF6:AF7" si="12">+AD6+AB6</f>
        <v>4728.6000000000004</v>
      </c>
      <c r="AG6" s="687">
        <v>0</v>
      </c>
      <c r="AH6" s="684">
        <v>0</v>
      </c>
      <c r="AI6" s="1907">
        <f t="shared" ref="AI6:AI7" si="13">+AE6+AG6</f>
        <v>4725.25</v>
      </c>
      <c r="AJ6" s="1908">
        <f t="shared" ref="AJ6:AJ7" si="14">+AH6+AF6</f>
        <v>4728.6000000000004</v>
      </c>
      <c r="AK6" s="687">
        <v>0</v>
      </c>
      <c r="AL6" s="684">
        <v>0</v>
      </c>
      <c r="AM6" s="1379">
        <f t="shared" si="3"/>
        <v>0</v>
      </c>
      <c r="AN6" s="1379">
        <f t="shared" si="4"/>
        <v>0</v>
      </c>
      <c r="AO6" s="1907">
        <f t="shared" ref="AO6:AO7" si="15">+AI6+AK6</f>
        <v>4725.25</v>
      </c>
      <c r="AP6" s="1908">
        <f t="shared" ref="AP6:AP7" si="16">+AL6+AJ6</f>
        <v>4728.6000000000004</v>
      </c>
      <c r="AQ6" s="687">
        <v>0</v>
      </c>
      <c r="AR6" s="684">
        <v>0</v>
      </c>
      <c r="AS6" s="1907">
        <f t="shared" ref="AS6:AS7" si="17">+AO6+AQ6</f>
        <v>4725.25</v>
      </c>
      <c r="AT6" s="1908">
        <f t="shared" ref="AT6:AT7" si="18">+AR6+AP6</f>
        <v>4728.6000000000004</v>
      </c>
      <c r="AU6" s="687">
        <v>0</v>
      </c>
      <c r="AV6" s="684">
        <v>0</v>
      </c>
      <c r="AW6" s="1907">
        <f t="shared" ref="AW6:AW7" si="19">+AS6+AU6</f>
        <v>4725.25</v>
      </c>
      <c r="AX6" s="1908">
        <f t="shared" ref="AX6:AX7" si="20">+AV6+AT6</f>
        <v>4728.6000000000004</v>
      </c>
      <c r="AY6" s="687">
        <v>0</v>
      </c>
      <c r="AZ6" s="684">
        <v>0</v>
      </c>
      <c r="BA6" s="1379">
        <f t="shared" si="5"/>
        <v>0</v>
      </c>
      <c r="BB6" s="1379">
        <f t="shared" si="6"/>
        <v>0</v>
      </c>
      <c r="BC6" s="2199">
        <f t="shared" ref="BC6:BC7" si="21">+AM6+BA6</f>
        <v>0</v>
      </c>
      <c r="BD6" s="2199">
        <f t="shared" ref="BD6:BD7" si="22">+AN6+BB6</f>
        <v>0</v>
      </c>
      <c r="BE6" s="1907">
        <f t="shared" ref="BE6:BE7" si="23">+AW6+AY6</f>
        <v>4725.25</v>
      </c>
      <c r="BF6" s="1908">
        <f t="shared" ref="BF6:BF7" si="24">+AZ6+AX6</f>
        <v>4728.6000000000004</v>
      </c>
      <c r="BG6" s="26"/>
      <c r="BH6" s="26"/>
      <c r="BI6" s="26"/>
      <c r="BJ6" s="26"/>
    </row>
    <row r="7" spans="3:62" ht="15.75" thickBot="1" x14ac:dyDescent="0.3">
      <c r="C7" s="6601"/>
      <c r="D7" s="3207" t="s">
        <v>1030</v>
      </c>
      <c r="E7" s="686">
        <v>0</v>
      </c>
      <c r="F7" s="682">
        <v>0</v>
      </c>
      <c r="G7" s="690">
        <v>0</v>
      </c>
      <c r="H7" s="682">
        <v>0</v>
      </c>
      <c r="I7" s="1907">
        <f>+E7+G7</f>
        <v>0</v>
      </c>
      <c r="J7" s="1908">
        <f>+H7+F7</f>
        <v>0</v>
      </c>
      <c r="K7" s="1689">
        <v>0</v>
      </c>
      <c r="L7" s="690">
        <v>0</v>
      </c>
      <c r="M7" s="1379">
        <f t="shared" si="0"/>
        <v>0</v>
      </c>
      <c r="N7" s="1996">
        <f t="shared" si="0"/>
        <v>0</v>
      </c>
      <c r="O7" s="690">
        <v>0</v>
      </c>
      <c r="P7" s="682">
        <v>0</v>
      </c>
      <c r="Q7" s="1907">
        <f t="shared" si="7"/>
        <v>0</v>
      </c>
      <c r="R7" s="1908">
        <f t="shared" si="8"/>
        <v>0</v>
      </c>
      <c r="S7" s="690">
        <v>0</v>
      </c>
      <c r="T7" s="682">
        <v>0</v>
      </c>
      <c r="U7" s="1907">
        <f t="shared" si="9"/>
        <v>0</v>
      </c>
      <c r="V7" s="1908">
        <f t="shared" si="10"/>
        <v>0</v>
      </c>
      <c r="W7" s="690">
        <v>0</v>
      </c>
      <c r="X7" s="682">
        <v>0</v>
      </c>
      <c r="Y7" s="1379">
        <f t="shared" si="1"/>
        <v>0</v>
      </c>
      <c r="Z7" s="1379">
        <f t="shared" si="1"/>
        <v>0</v>
      </c>
      <c r="AA7" s="2199">
        <f t="shared" si="2"/>
        <v>0</v>
      </c>
      <c r="AB7" s="2200">
        <f t="shared" si="2"/>
        <v>0</v>
      </c>
      <c r="AC7" s="690">
        <v>0</v>
      </c>
      <c r="AD7" s="682">
        <v>0</v>
      </c>
      <c r="AE7" s="1907">
        <f t="shared" si="11"/>
        <v>0</v>
      </c>
      <c r="AF7" s="1908">
        <f t="shared" si="12"/>
        <v>0</v>
      </c>
      <c r="AG7" s="690">
        <v>0</v>
      </c>
      <c r="AH7" s="682">
        <v>0</v>
      </c>
      <c r="AI7" s="1907">
        <f t="shared" si="13"/>
        <v>0</v>
      </c>
      <c r="AJ7" s="1908">
        <f t="shared" si="14"/>
        <v>0</v>
      </c>
      <c r="AK7" s="690">
        <v>0</v>
      </c>
      <c r="AL7" s="682">
        <v>0</v>
      </c>
      <c r="AM7" s="1379">
        <f t="shared" si="3"/>
        <v>0</v>
      </c>
      <c r="AN7" s="1379">
        <f t="shared" si="4"/>
        <v>0</v>
      </c>
      <c r="AO7" s="1907">
        <f t="shared" si="15"/>
        <v>0</v>
      </c>
      <c r="AP7" s="1908">
        <f t="shared" si="16"/>
        <v>0</v>
      </c>
      <c r="AQ7" s="690">
        <v>0</v>
      </c>
      <c r="AR7" s="682">
        <v>0</v>
      </c>
      <c r="AS7" s="1907">
        <f t="shared" si="17"/>
        <v>0</v>
      </c>
      <c r="AT7" s="1908">
        <f t="shared" si="18"/>
        <v>0</v>
      </c>
      <c r="AU7" s="690">
        <v>0</v>
      </c>
      <c r="AV7" s="682">
        <v>0</v>
      </c>
      <c r="AW7" s="1907">
        <f t="shared" si="19"/>
        <v>0</v>
      </c>
      <c r="AX7" s="1908">
        <f t="shared" si="20"/>
        <v>0</v>
      </c>
      <c r="AY7" s="690">
        <v>0</v>
      </c>
      <c r="AZ7" s="682">
        <v>0</v>
      </c>
      <c r="BA7" s="1379">
        <f t="shared" si="5"/>
        <v>0</v>
      </c>
      <c r="BB7" s="1379">
        <f t="shared" si="6"/>
        <v>0</v>
      </c>
      <c r="BC7" s="2199">
        <f t="shared" si="21"/>
        <v>0</v>
      </c>
      <c r="BD7" s="2199">
        <f t="shared" si="22"/>
        <v>0</v>
      </c>
      <c r="BE7" s="1907">
        <f t="shared" si="23"/>
        <v>0</v>
      </c>
      <c r="BF7" s="1908">
        <f t="shared" si="24"/>
        <v>0</v>
      </c>
      <c r="BG7" s="26"/>
      <c r="BH7" s="26"/>
      <c r="BI7" s="26"/>
      <c r="BJ7" s="26"/>
    </row>
    <row r="8" spans="3:62" ht="15.75" thickBot="1" x14ac:dyDescent="0.3">
      <c r="C8" s="6602"/>
      <c r="D8" s="2846" t="s">
        <v>2</v>
      </c>
      <c r="E8" s="691">
        <f t="shared" ref="E8:N8" si="25">SUM(E5:E7)</f>
        <v>0</v>
      </c>
      <c r="F8" s="681">
        <f t="shared" si="25"/>
        <v>0</v>
      </c>
      <c r="G8" s="691">
        <f t="shared" si="25"/>
        <v>4725.25</v>
      </c>
      <c r="H8" s="681">
        <f t="shared" si="25"/>
        <v>4538.34</v>
      </c>
      <c r="I8" s="1386">
        <f>SUM(I5:I7)</f>
        <v>4725.25</v>
      </c>
      <c r="J8" s="1387">
        <f>SUM(J5:J7)</f>
        <v>4538.34</v>
      </c>
      <c r="K8" s="1690">
        <f t="shared" si="25"/>
        <v>0</v>
      </c>
      <c r="L8" s="691">
        <f t="shared" si="25"/>
        <v>157.35000000000002</v>
      </c>
      <c r="M8" s="1380">
        <f t="shared" si="25"/>
        <v>4725.25</v>
      </c>
      <c r="N8" s="1381">
        <f t="shared" si="25"/>
        <v>4695.6900000000005</v>
      </c>
      <c r="O8" s="691">
        <f t="shared" ref="O8:AF8" si="26">SUM(O5:O7)</f>
        <v>0</v>
      </c>
      <c r="P8" s="681">
        <f t="shared" si="26"/>
        <v>32.909999999999997</v>
      </c>
      <c r="Q8" s="1386">
        <f t="shared" si="26"/>
        <v>4725.25</v>
      </c>
      <c r="R8" s="1387">
        <f t="shared" si="26"/>
        <v>4728.6000000000004</v>
      </c>
      <c r="S8" s="691">
        <f t="shared" ref="S8:V8" si="27">SUM(S5:S7)</f>
        <v>0</v>
      </c>
      <c r="T8" s="681">
        <f t="shared" si="27"/>
        <v>0</v>
      </c>
      <c r="U8" s="1386">
        <f t="shared" si="27"/>
        <v>4725.25</v>
      </c>
      <c r="V8" s="1387">
        <f t="shared" si="27"/>
        <v>4728.6000000000004</v>
      </c>
      <c r="W8" s="691">
        <f t="shared" ref="W8:X8" si="28">SUM(W5:W7)</f>
        <v>0</v>
      </c>
      <c r="X8" s="681">
        <f t="shared" si="28"/>
        <v>0</v>
      </c>
      <c r="Y8" s="1380">
        <f t="shared" si="26"/>
        <v>0</v>
      </c>
      <c r="Z8" s="1381">
        <f t="shared" si="26"/>
        <v>32.909999999999997</v>
      </c>
      <c r="AA8" s="2201">
        <f t="shared" si="26"/>
        <v>4725.25</v>
      </c>
      <c r="AB8" s="2202">
        <f t="shared" si="26"/>
        <v>4728.6000000000004</v>
      </c>
      <c r="AC8" s="691">
        <f t="shared" si="26"/>
        <v>0</v>
      </c>
      <c r="AD8" s="681">
        <f t="shared" si="26"/>
        <v>0</v>
      </c>
      <c r="AE8" s="1386">
        <f t="shared" si="26"/>
        <v>4725.25</v>
      </c>
      <c r="AF8" s="1387">
        <f t="shared" si="26"/>
        <v>4728.6000000000004</v>
      </c>
      <c r="AG8" s="691">
        <f t="shared" ref="AG8:AJ8" si="29">SUM(AG5:AG7)</f>
        <v>0</v>
      </c>
      <c r="AH8" s="681">
        <f t="shared" si="29"/>
        <v>0</v>
      </c>
      <c r="AI8" s="1386">
        <f t="shared" si="29"/>
        <v>4725.25</v>
      </c>
      <c r="AJ8" s="1387">
        <f t="shared" si="29"/>
        <v>4728.6000000000004</v>
      </c>
      <c r="AK8" s="691">
        <f t="shared" ref="AK8:AT8" si="30">SUM(AK5:AK7)</f>
        <v>0</v>
      </c>
      <c r="AL8" s="681">
        <f t="shared" si="30"/>
        <v>0</v>
      </c>
      <c r="AM8" s="1380">
        <f t="shared" si="30"/>
        <v>0</v>
      </c>
      <c r="AN8" s="1381">
        <f t="shared" si="30"/>
        <v>0</v>
      </c>
      <c r="AO8" s="1386">
        <f t="shared" si="30"/>
        <v>4725.25</v>
      </c>
      <c r="AP8" s="1387">
        <f t="shared" si="30"/>
        <v>4728.6000000000004</v>
      </c>
      <c r="AQ8" s="691">
        <f t="shared" si="30"/>
        <v>0</v>
      </c>
      <c r="AR8" s="681">
        <f t="shared" si="30"/>
        <v>0</v>
      </c>
      <c r="AS8" s="1386">
        <f t="shared" si="30"/>
        <v>4725.25</v>
      </c>
      <c r="AT8" s="1387">
        <f t="shared" si="30"/>
        <v>4728.6000000000004</v>
      </c>
      <c r="AU8" s="691">
        <f t="shared" ref="AU8:AX8" si="31">SUM(AU5:AU7)</f>
        <v>0</v>
      </c>
      <c r="AV8" s="681">
        <f t="shared" si="31"/>
        <v>0</v>
      </c>
      <c r="AW8" s="1386">
        <f t="shared" si="31"/>
        <v>4725.25</v>
      </c>
      <c r="AX8" s="1387">
        <f t="shared" si="31"/>
        <v>4728.6000000000004</v>
      </c>
      <c r="AY8" s="691">
        <f t="shared" ref="AY8:BF8" si="32">SUM(AY5:AY7)</f>
        <v>0</v>
      </c>
      <c r="AZ8" s="681">
        <f t="shared" si="32"/>
        <v>0</v>
      </c>
      <c r="BA8" s="1380">
        <f t="shared" si="32"/>
        <v>0</v>
      </c>
      <c r="BB8" s="1381">
        <f t="shared" si="32"/>
        <v>0</v>
      </c>
      <c r="BC8" s="2201">
        <f t="shared" si="32"/>
        <v>0</v>
      </c>
      <c r="BD8" s="2202">
        <f t="shared" si="32"/>
        <v>0</v>
      </c>
      <c r="BE8" s="1386">
        <f t="shared" si="32"/>
        <v>4725.25</v>
      </c>
      <c r="BF8" s="1387">
        <f t="shared" si="32"/>
        <v>4728.6000000000004</v>
      </c>
      <c r="BG8" s="26"/>
      <c r="BH8" s="26"/>
      <c r="BI8" s="26"/>
      <c r="BJ8" s="26"/>
    </row>
    <row r="9" spans="3:62" x14ac:dyDescent="0.25">
      <c r="C9" s="6597" t="s">
        <v>1031</v>
      </c>
      <c r="D9" s="3206" t="s">
        <v>1250</v>
      </c>
      <c r="E9" s="680">
        <v>0</v>
      </c>
      <c r="F9" s="684">
        <v>0</v>
      </c>
      <c r="G9" s="680">
        <v>0</v>
      </c>
      <c r="H9" s="684">
        <v>0</v>
      </c>
      <c r="I9" s="1907">
        <f>+E9+G9</f>
        <v>0</v>
      </c>
      <c r="J9" s="1908">
        <f>+H9+F9</f>
        <v>0</v>
      </c>
      <c r="K9" s="680">
        <v>0</v>
      </c>
      <c r="L9" s="684">
        <v>0</v>
      </c>
      <c r="M9" s="1379">
        <f t="shared" ref="M9:N14" si="33">+E9+G9+K9</f>
        <v>0</v>
      </c>
      <c r="N9" s="1996">
        <f t="shared" si="33"/>
        <v>0</v>
      </c>
      <c r="O9" s="680">
        <v>0</v>
      </c>
      <c r="P9" s="684">
        <v>0</v>
      </c>
      <c r="Q9" s="1907">
        <f>+M9+O9</f>
        <v>0</v>
      </c>
      <c r="R9" s="1908">
        <f>+P9+N9</f>
        <v>0</v>
      </c>
      <c r="S9" s="680">
        <v>0</v>
      </c>
      <c r="T9" s="684">
        <v>0</v>
      </c>
      <c r="U9" s="1907">
        <f>+Q9+S9</f>
        <v>0</v>
      </c>
      <c r="V9" s="1908">
        <f>+T9+R9</f>
        <v>0</v>
      </c>
      <c r="W9" s="680">
        <v>0</v>
      </c>
      <c r="X9" s="684">
        <v>0</v>
      </c>
      <c r="Y9" s="1379">
        <f t="shared" ref="Y9:Z15" si="34">+O9+S9+W9</f>
        <v>0</v>
      </c>
      <c r="Z9" s="1379">
        <f t="shared" si="34"/>
        <v>0</v>
      </c>
      <c r="AA9" s="2199">
        <f t="shared" ref="AA9:AB15" si="35">+M9+Y9</f>
        <v>0</v>
      </c>
      <c r="AB9" s="2200">
        <f t="shared" si="35"/>
        <v>0</v>
      </c>
      <c r="AC9" s="680">
        <v>0</v>
      </c>
      <c r="AD9" s="684">
        <v>0</v>
      </c>
      <c r="AE9" s="1907">
        <f>+AA9+AC9</f>
        <v>0</v>
      </c>
      <c r="AF9" s="1908">
        <f>+AD9+AB9</f>
        <v>0</v>
      </c>
      <c r="AG9" s="680">
        <v>0</v>
      </c>
      <c r="AH9" s="684">
        <v>0</v>
      </c>
      <c r="AI9" s="1907">
        <f>+AE9+AG9</f>
        <v>0</v>
      </c>
      <c r="AJ9" s="1908">
        <f>+AH9+AF9</f>
        <v>0</v>
      </c>
      <c r="AK9" s="680">
        <v>0</v>
      </c>
      <c r="AL9" s="684">
        <v>0</v>
      </c>
      <c r="AM9" s="1379">
        <f t="shared" ref="AM9:AM15" si="36">+AC9+AG9+AK9</f>
        <v>0</v>
      </c>
      <c r="AN9" s="1379">
        <f t="shared" ref="AN9:AN15" si="37">+AD9+AH9+AL9</f>
        <v>0</v>
      </c>
      <c r="AO9" s="1907">
        <f>+AI9+AK9</f>
        <v>0</v>
      </c>
      <c r="AP9" s="1908">
        <f>+AL9+AJ9</f>
        <v>0</v>
      </c>
      <c r="AQ9" s="680">
        <v>0</v>
      </c>
      <c r="AR9" s="684">
        <v>0</v>
      </c>
      <c r="AS9" s="1907">
        <f>+AO9+AQ9</f>
        <v>0</v>
      </c>
      <c r="AT9" s="1908">
        <f>+AR9+AP9</f>
        <v>0</v>
      </c>
      <c r="AU9" s="680">
        <v>0</v>
      </c>
      <c r="AV9" s="684">
        <v>0</v>
      </c>
      <c r="AW9" s="1907">
        <f>+AS9+AU9</f>
        <v>0</v>
      </c>
      <c r="AX9" s="1908">
        <f>+AV9+AT9</f>
        <v>0</v>
      </c>
      <c r="AY9" s="680">
        <v>0</v>
      </c>
      <c r="AZ9" s="684">
        <v>0</v>
      </c>
      <c r="BA9" s="1379">
        <f t="shared" ref="BA9:BA15" si="38">+AQ9+AU9+AY9</f>
        <v>0</v>
      </c>
      <c r="BB9" s="1379">
        <f t="shared" ref="BB9:BB15" si="39">+AR9+AV9+AZ9</f>
        <v>0</v>
      </c>
      <c r="BC9" s="2199">
        <f t="shared" ref="BC9:BC15" si="40">+AM9+BA9</f>
        <v>0</v>
      </c>
      <c r="BD9" s="2199">
        <f t="shared" ref="BD9:BD15" si="41">+AN9+BB9</f>
        <v>0</v>
      </c>
      <c r="BE9" s="1907">
        <f>+AW9+AY9</f>
        <v>0</v>
      </c>
      <c r="BF9" s="1908">
        <f>+AZ9+AX9</f>
        <v>0</v>
      </c>
      <c r="BG9" s="26"/>
      <c r="BH9" s="26"/>
      <c r="BI9" s="26"/>
      <c r="BJ9" s="26"/>
    </row>
    <row r="10" spans="3:62" x14ac:dyDescent="0.25">
      <c r="C10" s="6598"/>
      <c r="D10" s="3206" t="s">
        <v>1342</v>
      </c>
      <c r="E10" s="680">
        <v>0</v>
      </c>
      <c r="F10" s="684">
        <v>0</v>
      </c>
      <c r="G10" s="680">
        <v>0</v>
      </c>
      <c r="H10" s="684">
        <v>0</v>
      </c>
      <c r="I10" s="1907">
        <f t="shared" ref="I10:I15" si="42">+E10+G10</f>
        <v>0</v>
      </c>
      <c r="J10" s="1908">
        <f t="shared" ref="J10:J15" si="43">+H10+F10</f>
        <v>0</v>
      </c>
      <c r="K10" s="680">
        <v>0</v>
      </c>
      <c r="L10" s="684">
        <v>0</v>
      </c>
      <c r="M10" s="1379">
        <f t="shared" si="33"/>
        <v>0</v>
      </c>
      <c r="N10" s="1996">
        <f t="shared" si="33"/>
        <v>0</v>
      </c>
      <c r="O10" s="680">
        <v>0</v>
      </c>
      <c r="P10" s="684">
        <v>0</v>
      </c>
      <c r="Q10" s="1907">
        <f t="shared" ref="Q10:Q15" si="44">+M10+O10</f>
        <v>0</v>
      </c>
      <c r="R10" s="1908">
        <f t="shared" ref="R10:R15" si="45">+P10+N10</f>
        <v>0</v>
      </c>
      <c r="S10" s="680">
        <v>0</v>
      </c>
      <c r="T10" s="684">
        <v>0</v>
      </c>
      <c r="U10" s="1907">
        <f t="shared" ref="U10:U15" si="46">+Q10+S10</f>
        <v>0</v>
      </c>
      <c r="V10" s="1908">
        <f t="shared" ref="V10:V15" si="47">+T10+R10</f>
        <v>0</v>
      </c>
      <c r="W10" s="680">
        <v>0</v>
      </c>
      <c r="X10" s="684">
        <v>0</v>
      </c>
      <c r="Y10" s="1379">
        <f t="shared" si="34"/>
        <v>0</v>
      </c>
      <c r="Z10" s="1379">
        <f t="shared" si="34"/>
        <v>0</v>
      </c>
      <c r="AA10" s="2199">
        <f t="shared" si="35"/>
        <v>0</v>
      </c>
      <c r="AB10" s="2200">
        <f t="shared" si="35"/>
        <v>0</v>
      </c>
      <c r="AC10" s="680">
        <v>0</v>
      </c>
      <c r="AD10" s="684">
        <v>0</v>
      </c>
      <c r="AE10" s="1907">
        <f t="shared" ref="AE10:AE15" si="48">+AA10+AC10</f>
        <v>0</v>
      </c>
      <c r="AF10" s="1908">
        <f t="shared" ref="AF10:AF15" si="49">+AD10+AB10</f>
        <v>0</v>
      </c>
      <c r="AG10" s="680">
        <v>0</v>
      </c>
      <c r="AH10" s="684">
        <v>0</v>
      </c>
      <c r="AI10" s="1907">
        <f t="shared" ref="AI10:AI15" si="50">+AE10+AG10</f>
        <v>0</v>
      </c>
      <c r="AJ10" s="1908">
        <f t="shared" ref="AJ10:AJ15" si="51">+AH10+AF10</f>
        <v>0</v>
      </c>
      <c r="AK10" s="680">
        <v>0</v>
      </c>
      <c r="AL10" s="684">
        <v>0</v>
      </c>
      <c r="AM10" s="1379">
        <f t="shared" si="36"/>
        <v>0</v>
      </c>
      <c r="AN10" s="1379">
        <f t="shared" si="37"/>
        <v>0</v>
      </c>
      <c r="AO10" s="1907">
        <f t="shared" ref="AO10:AO15" si="52">+AI10+AK10</f>
        <v>0</v>
      </c>
      <c r="AP10" s="1908">
        <f t="shared" ref="AP10:AP15" si="53">+AL10+AJ10</f>
        <v>0</v>
      </c>
      <c r="AQ10" s="680">
        <v>0</v>
      </c>
      <c r="AR10" s="684">
        <v>0</v>
      </c>
      <c r="AS10" s="1907">
        <f t="shared" ref="AS10:AS15" si="54">+AO10+AQ10</f>
        <v>0</v>
      </c>
      <c r="AT10" s="1908">
        <f t="shared" ref="AT10:AT15" si="55">+AR10+AP10</f>
        <v>0</v>
      </c>
      <c r="AU10" s="680">
        <v>0</v>
      </c>
      <c r="AV10" s="684">
        <v>0</v>
      </c>
      <c r="AW10" s="1907">
        <f t="shared" ref="AW10:AW15" si="56">+AS10+AU10</f>
        <v>0</v>
      </c>
      <c r="AX10" s="1908">
        <f t="shared" ref="AX10:AX15" si="57">+AV10+AT10</f>
        <v>0</v>
      </c>
      <c r="AY10" s="680">
        <v>0</v>
      </c>
      <c r="AZ10" s="684">
        <v>0</v>
      </c>
      <c r="BA10" s="1379">
        <f t="shared" si="38"/>
        <v>0</v>
      </c>
      <c r="BB10" s="1379">
        <f t="shared" si="39"/>
        <v>0</v>
      </c>
      <c r="BC10" s="2199">
        <f t="shared" si="40"/>
        <v>0</v>
      </c>
      <c r="BD10" s="2199">
        <f t="shared" si="41"/>
        <v>0</v>
      </c>
      <c r="BE10" s="1907">
        <f t="shared" ref="BE10:BE15" si="58">+AW10+AY10</f>
        <v>0</v>
      </c>
      <c r="BF10" s="1908">
        <f t="shared" ref="BF10:BF15" si="59">+AZ10+AX10</f>
        <v>0</v>
      </c>
      <c r="BG10" s="26"/>
      <c r="BH10" s="26"/>
      <c r="BI10" s="26"/>
      <c r="BJ10" s="26"/>
    </row>
    <row r="11" spans="3:62" x14ac:dyDescent="0.25">
      <c r="C11" s="6598"/>
      <c r="D11" s="3206" t="s">
        <v>1442</v>
      </c>
      <c r="E11" s="680">
        <v>0</v>
      </c>
      <c r="F11" s="684">
        <v>61.88</v>
      </c>
      <c r="G11" s="680">
        <v>0</v>
      </c>
      <c r="H11" s="684">
        <v>0</v>
      </c>
      <c r="I11" s="1907">
        <f t="shared" si="42"/>
        <v>0</v>
      </c>
      <c r="J11" s="1908">
        <f t="shared" si="43"/>
        <v>61.88</v>
      </c>
      <c r="K11" s="680">
        <v>0</v>
      </c>
      <c r="L11" s="684">
        <v>0</v>
      </c>
      <c r="M11" s="1379">
        <f t="shared" si="33"/>
        <v>0</v>
      </c>
      <c r="N11" s="1996">
        <f t="shared" si="33"/>
        <v>61.88</v>
      </c>
      <c r="O11" s="680">
        <v>1891.9150000000002</v>
      </c>
      <c r="P11" s="684">
        <v>1882.22</v>
      </c>
      <c r="Q11" s="1907">
        <f t="shared" si="44"/>
        <v>1891.9150000000002</v>
      </c>
      <c r="R11" s="1908">
        <f t="shared" si="45"/>
        <v>1944.1000000000001</v>
      </c>
      <c r="S11" s="680">
        <v>0</v>
      </c>
      <c r="T11" s="684">
        <v>0</v>
      </c>
      <c r="U11" s="1907">
        <f t="shared" si="46"/>
        <v>1891.9150000000002</v>
      </c>
      <c r="V11" s="1908">
        <f t="shared" si="47"/>
        <v>1944.1000000000001</v>
      </c>
      <c r="W11" s="680">
        <v>0</v>
      </c>
      <c r="X11" s="684">
        <v>0</v>
      </c>
      <c r="Y11" s="1379">
        <f t="shared" si="34"/>
        <v>1891.9150000000002</v>
      </c>
      <c r="Z11" s="1379">
        <f t="shared" si="34"/>
        <v>1882.22</v>
      </c>
      <c r="AA11" s="2199">
        <f t="shared" si="35"/>
        <v>1891.9150000000002</v>
      </c>
      <c r="AB11" s="2200">
        <f t="shared" si="35"/>
        <v>1944.1000000000001</v>
      </c>
      <c r="AC11" s="680">
        <v>0</v>
      </c>
      <c r="AD11" s="684">
        <v>0</v>
      </c>
      <c r="AE11" s="1907">
        <f t="shared" si="48"/>
        <v>1891.9150000000002</v>
      </c>
      <c r="AF11" s="1908">
        <f t="shared" si="49"/>
        <v>1944.1000000000001</v>
      </c>
      <c r="AG11" s="680">
        <v>0</v>
      </c>
      <c r="AH11" s="684">
        <v>0</v>
      </c>
      <c r="AI11" s="1907">
        <f t="shared" si="50"/>
        <v>1891.9150000000002</v>
      </c>
      <c r="AJ11" s="1908">
        <f t="shared" si="51"/>
        <v>1944.1000000000001</v>
      </c>
      <c r="AK11" s="680">
        <v>0</v>
      </c>
      <c r="AL11" s="684">
        <v>0</v>
      </c>
      <c r="AM11" s="1379">
        <f t="shared" si="36"/>
        <v>0</v>
      </c>
      <c r="AN11" s="1379">
        <f t="shared" si="37"/>
        <v>0</v>
      </c>
      <c r="AO11" s="1907">
        <f t="shared" si="52"/>
        <v>1891.9150000000002</v>
      </c>
      <c r="AP11" s="1908">
        <f t="shared" si="53"/>
        <v>1944.1000000000001</v>
      </c>
      <c r="AQ11" s="680">
        <v>0</v>
      </c>
      <c r="AR11" s="684">
        <v>0</v>
      </c>
      <c r="AS11" s="1907">
        <f t="shared" si="54"/>
        <v>1891.9150000000002</v>
      </c>
      <c r="AT11" s="1908">
        <f t="shared" si="55"/>
        <v>1944.1000000000001</v>
      </c>
      <c r="AU11" s="680">
        <v>0</v>
      </c>
      <c r="AV11" s="684">
        <v>0</v>
      </c>
      <c r="AW11" s="1907">
        <f t="shared" si="56"/>
        <v>1891.9150000000002</v>
      </c>
      <c r="AX11" s="1908">
        <f t="shared" si="57"/>
        <v>1944.1000000000001</v>
      </c>
      <c r="AY11" s="680">
        <v>0</v>
      </c>
      <c r="AZ11" s="684">
        <v>0</v>
      </c>
      <c r="BA11" s="1379">
        <f t="shared" si="38"/>
        <v>0</v>
      </c>
      <c r="BB11" s="1379">
        <f t="shared" si="39"/>
        <v>0</v>
      </c>
      <c r="BC11" s="2199">
        <f t="shared" si="40"/>
        <v>0</v>
      </c>
      <c r="BD11" s="2199">
        <f t="shared" si="41"/>
        <v>0</v>
      </c>
      <c r="BE11" s="1907">
        <f t="shared" si="58"/>
        <v>1891.9150000000002</v>
      </c>
      <c r="BF11" s="1908">
        <f t="shared" si="59"/>
        <v>1944.1000000000001</v>
      </c>
      <c r="BG11" s="26"/>
      <c r="BH11" s="26"/>
      <c r="BI11" s="26"/>
      <c r="BJ11" s="26"/>
    </row>
    <row r="12" spans="3:62" x14ac:dyDescent="0.25">
      <c r="C12" s="6598"/>
      <c r="D12" s="3206" t="s">
        <v>1254</v>
      </c>
      <c r="E12" s="680">
        <v>6705.6390000000001</v>
      </c>
      <c r="F12" s="684">
        <v>6539.58</v>
      </c>
      <c r="G12" s="680">
        <v>4925.0219999999981</v>
      </c>
      <c r="H12" s="684">
        <v>4923.6100000000006</v>
      </c>
      <c r="I12" s="1907">
        <f t="shared" si="42"/>
        <v>11630.660999999998</v>
      </c>
      <c r="J12" s="1908">
        <f t="shared" si="43"/>
        <v>11463.19</v>
      </c>
      <c r="K12" s="680">
        <v>7956.190000000006</v>
      </c>
      <c r="L12" s="684">
        <v>1269.6499999999999</v>
      </c>
      <c r="M12" s="1379">
        <f t="shared" si="33"/>
        <v>19586.851000000002</v>
      </c>
      <c r="N12" s="1996">
        <f t="shared" si="33"/>
        <v>12732.84</v>
      </c>
      <c r="O12" s="680">
        <v>629.86</v>
      </c>
      <c r="P12" s="684">
        <v>6970.06</v>
      </c>
      <c r="Q12" s="1907">
        <f t="shared" si="44"/>
        <v>20216.711000000003</v>
      </c>
      <c r="R12" s="1908">
        <f t="shared" si="45"/>
        <v>19702.900000000001</v>
      </c>
      <c r="S12" s="680">
        <v>9863.9910000000182</v>
      </c>
      <c r="T12" s="684">
        <v>9599.1799999999985</v>
      </c>
      <c r="U12" s="1907">
        <f t="shared" si="46"/>
        <v>30080.702000000019</v>
      </c>
      <c r="V12" s="1908">
        <f t="shared" si="47"/>
        <v>29302.080000000002</v>
      </c>
      <c r="W12" s="2627">
        <v>13161.005000000021</v>
      </c>
      <c r="X12" s="684">
        <v>13405.170000000006</v>
      </c>
      <c r="Y12" s="1379">
        <f t="shared" si="34"/>
        <v>23654.85600000004</v>
      </c>
      <c r="Z12" s="1379">
        <f t="shared" si="34"/>
        <v>29974.410000000003</v>
      </c>
      <c r="AA12" s="2199">
        <f t="shared" si="35"/>
        <v>43241.707000000039</v>
      </c>
      <c r="AB12" s="2200">
        <f t="shared" si="35"/>
        <v>42707.25</v>
      </c>
      <c r="AC12" s="680">
        <v>4917.8950000000013</v>
      </c>
      <c r="AD12" s="684">
        <v>4626.82</v>
      </c>
      <c r="AE12" s="1907">
        <f t="shared" si="48"/>
        <v>48159.602000000043</v>
      </c>
      <c r="AF12" s="1908">
        <f t="shared" si="49"/>
        <v>47334.07</v>
      </c>
      <c r="AG12" s="680">
        <v>0</v>
      </c>
      <c r="AH12" s="684">
        <v>258.82</v>
      </c>
      <c r="AI12" s="1907">
        <f t="shared" si="50"/>
        <v>48159.602000000043</v>
      </c>
      <c r="AJ12" s="1908">
        <f t="shared" si="51"/>
        <v>47592.89</v>
      </c>
      <c r="AK12" s="680">
        <v>7558.32</v>
      </c>
      <c r="AL12" s="684">
        <v>7386.1099999999988</v>
      </c>
      <c r="AM12" s="1379">
        <f t="shared" si="36"/>
        <v>12476.215</v>
      </c>
      <c r="AN12" s="1379">
        <f t="shared" si="37"/>
        <v>12271.749999999998</v>
      </c>
      <c r="AO12" s="1907">
        <f t="shared" si="52"/>
        <v>55717.922000000042</v>
      </c>
      <c r="AP12" s="1908">
        <f t="shared" si="53"/>
        <v>54979</v>
      </c>
      <c r="AQ12" s="680">
        <v>7554.2300000000077</v>
      </c>
      <c r="AR12" s="684">
        <v>7087.5099999999993</v>
      </c>
      <c r="AS12" s="1907">
        <f t="shared" si="54"/>
        <v>63272.152000000053</v>
      </c>
      <c r="AT12" s="1908">
        <f t="shared" si="55"/>
        <v>62066.51</v>
      </c>
      <c r="AU12" s="680">
        <v>8910.0650000000132</v>
      </c>
      <c r="AV12" s="684">
        <v>9344.489999999998</v>
      </c>
      <c r="AW12" s="1907">
        <f t="shared" si="56"/>
        <v>72182.217000000062</v>
      </c>
      <c r="AX12" s="1908">
        <f t="shared" si="57"/>
        <v>71411</v>
      </c>
      <c r="AY12" s="680">
        <v>15368.175000000045</v>
      </c>
      <c r="AZ12" s="684">
        <v>14818.449999999999</v>
      </c>
      <c r="BA12" s="1379">
        <f t="shared" si="38"/>
        <v>31832.470000000067</v>
      </c>
      <c r="BB12" s="1379">
        <f t="shared" si="39"/>
        <v>31250.449999999997</v>
      </c>
      <c r="BC12" s="2199">
        <f t="shared" si="40"/>
        <v>44308.68500000007</v>
      </c>
      <c r="BD12" s="2199">
        <f t="shared" si="41"/>
        <v>43522.2</v>
      </c>
      <c r="BE12" s="1907">
        <f t="shared" si="58"/>
        <v>87550.392000000109</v>
      </c>
      <c r="BF12" s="1908">
        <f t="shared" si="59"/>
        <v>86229.45</v>
      </c>
      <c r="BG12" s="26"/>
      <c r="BH12" s="26"/>
      <c r="BI12" s="26"/>
      <c r="BJ12" s="26"/>
    </row>
    <row r="13" spans="3:62" x14ac:dyDescent="0.25">
      <c r="C13" s="6598"/>
      <c r="D13" s="3206" t="s">
        <v>1253</v>
      </c>
      <c r="E13" s="680">
        <v>1588.9650000000001</v>
      </c>
      <c r="F13" s="684">
        <v>1561.77</v>
      </c>
      <c r="G13" s="680">
        <v>6048.4050000000043</v>
      </c>
      <c r="H13" s="684">
        <v>6028.3499999999995</v>
      </c>
      <c r="I13" s="1907">
        <f t="shared" si="42"/>
        <v>7637.3700000000044</v>
      </c>
      <c r="J13" s="1908">
        <f t="shared" si="43"/>
        <v>7590.119999999999</v>
      </c>
      <c r="K13" s="680">
        <v>6392.6700000000019</v>
      </c>
      <c r="L13" s="684">
        <v>6222.2199999999984</v>
      </c>
      <c r="M13" s="1379">
        <f t="shared" si="33"/>
        <v>14030.040000000006</v>
      </c>
      <c r="N13" s="1996">
        <f t="shared" si="33"/>
        <v>13812.339999999997</v>
      </c>
      <c r="O13" s="680">
        <v>6258.7190000000019</v>
      </c>
      <c r="P13" s="684">
        <v>5824.4699999999993</v>
      </c>
      <c r="Q13" s="1907">
        <f t="shared" si="44"/>
        <v>20288.759000000009</v>
      </c>
      <c r="R13" s="1908">
        <f t="shared" si="45"/>
        <v>19636.809999999998</v>
      </c>
      <c r="S13" s="680">
        <v>10393.368000000011</v>
      </c>
      <c r="T13" s="684">
        <v>10330.189999999997</v>
      </c>
      <c r="U13" s="1907">
        <f t="shared" si="46"/>
        <v>30682.127000000022</v>
      </c>
      <c r="V13" s="1908">
        <f t="shared" si="47"/>
        <v>29966.999999999993</v>
      </c>
      <c r="W13" s="2627">
        <v>8748.5620000000199</v>
      </c>
      <c r="X13" s="684">
        <v>8965.159999999998</v>
      </c>
      <c r="Y13" s="1379">
        <f t="shared" si="34"/>
        <v>25400.649000000034</v>
      </c>
      <c r="Z13" s="1379">
        <f t="shared" si="34"/>
        <v>25119.819999999992</v>
      </c>
      <c r="AA13" s="2199">
        <f t="shared" si="35"/>
        <v>39430.689000000042</v>
      </c>
      <c r="AB13" s="2200">
        <f t="shared" si="35"/>
        <v>38932.159999999989</v>
      </c>
      <c r="AC13" s="680">
        <v>7272.0200000000077</v>
      </c>
      <c r="AD13" s="684">
        <v>7159.4800000000005</v>
      </c>
      <c r="AE13" s="1907">
        <f t="shared" si="48"/>
        <v>46702.709000000046</v>
      </c>
      <c r="AF13" s="1908">
        <f t="shared" si="49"/>
        <v>46091.639999999992</v>
      </c>
      <c r="AG13" s="680">
        <v>1948.885</v>
      </c>
      <c r="AH13" s="684">
        <v>1988.81</v>
      </c>
      <c r="AI13" s="1907">
        <f t="shared" si="50"/>
        <v>48651.594000000048</v>
      </c>
      <c r="AJ13" s="1908">
        <f t="shared" si="51"/>
        <v>48080.44999999999</v>
      </c>
      <c r="AK13" s="680">
        <v>5605.3449999999993</v>
      </c>
      <c r="AL13" s="684">
        <v>3971.2199999999993</v>
      </c>
      <c r="AM13" s="1379">
        <f t="shared" si="36"/>
        <v>14826.250000000007</v>
      </c>
      <c r="AN13" s="1379">
        <f t="shared" si="37"/>
        <v>13119.51</v>
      </c>
      <c r="AO13" s="1907">
        <f t="shared" si="52"/>
        <v>54256.939000000049</v>
      </c>
      <c r="AP13" s="1908">
        <f t="shared" si="53"/>
        <v>52051.669999999991</v>
      </c>
      <c r="AQ13" s="680">
        <v>7102.2850000000035</v>
      </c>
      <c r="AR13" s="684">
        <v>8502.5399999999991</v>
      </c>
      <c r="AS13" s="1907">
        <f t="shared" si="54"/>
        <v>61359.224000000053</v>
      </c>
      <c r="AT13" s="1908">
        <f t="shared" si="55"/>
        <v>60554.209999999992</v>
      </c>
      <c r="AU13" s="680">
        <v>7854.8450000000093</v>
      </c>
      <c r="AV13" s="684">
        <v>7775.8200000000006</v>
      </c>
      <c r="AW13" s="1907">
        <f t="shared" si="56"/>
        <v>69214.069000000061</v>
      </c>
      <c r="AX13" s="1908">
        <f t="shared" si="57"/>
        <v>68330.03</v>
      </c>
      <c r="AY13" s="680">
        <v>10995.965000000018</v>
      </c>
      <c r="AZ13" s="684">
        <v>10111.549999999999</v>
      </c>
      <c r="BA13" s="1379">
        <f t="shared" si="38"/>
        <v>25953.09500000003</v>
      </c>
      <c r="BB13" s="1379">
        <f t="shared" si="39"/>
        <v>26389.91</v>
      </c>
      <c r="BC13" s="2199">
        <f t="shared" si="40"/>
        <v>40779.345000000038</v>
      </c>
      <c r="BD13" s="2199">
        <f t="shared" si="41"/>
        <v>39509.42</v>
      </c>
      <c r="BE13" s="1907">
        <f t="shared" si="58"/>
        <v>80210.034000000072</v>
      </c>
      <c r="BF13" s="1908">
        <f t="shared" si="59"/>
        <v>78441.58</v>
      </c>
      <c r="BG13" s="26"/>
      <c r="BH13" s="26"/>
      <c r="BI13" s="26"/>
      <c r="BJ13" s="26"/>
    </row>
    <row r="14" spans="3:62" x14ac:dyDescent="0.25">
      <c r="C14" s="6598"/>
      <c r="D14" s="3206" t="s">
        <v>1252</v>
      </c>
      <c r="E14" s="680">
        <v>6016.8249999999998</v>
      </c>
      <c r="F14" s="684">
        <v>5988.8999999999987</v>
      </c>
      <c r="G14" s="680">
        <v>6098.1850000000031</v>
      </c>
      <c r="H14" s="684">
        <v>6056.58</v>
      </c>
      <c r="I14" s="1907">
        <f t="shared" si="42"/>
        <v>12115.010000000002</v>
      </c>
      <c r="J14" s="1908">
        <f t="shared" si="43"/>
        <v>12045.48</v>
      </c>
      <c r="K14" s="680">
        <v>3924.3550000000009</v>
      </c>
      <c r="L14" s="684">
        <v>3813.5800000000008</v>
      </c>
      <c r="M14" s="1379">
        <f t="shared" si="33"/>
        <v>16039.365000000003</v>
      </c>
      <c r="N14" s="1996">
        <f t="shared" si="33"/>
        <v>15859.060000000001</v>
      </c>
      <c r="O14" s="680">
        <v>6753.4770000000017</v>
      </c>
      <c r="P14" s="684">
        <v>2173.0400000000004</v>
      </c>
      <c r="Q14" s="1907">
        <f t="shared" si="44"/>
        <v>22792.842000000004</v>
      </c>
      <c r="R14" s="1908">
        <f t="shared" si="45"/>
        <v>18032.100000000002</v>
      </c>
      <c r="S14" s="680">
        <v>3784.0890000000004</v>
      </c>
      <c r="T14" s="684">
        <v>8320.8399999999965</v>
      </c>
      <c r="U14" s="1907">
        <f t="shared" si="46"/>
        <v>26576.931000000004</v>
      </c>
      <c r="V14" s="1908">
        <f t="shared" si="47"/>
        <v>26352.94</v>
      </c>
      <c r="W14" s="2627">
        <v>7180.6200000000135</v>
      </c>
      <c r="X14" s="684">
        <v>7042.4999999999982</v>
      </c>
      <c r="Y14" s="1379">
        <f t="shared" si="34"/>
        <v>17718.186000000016</v>
      </c>
      <c r="Z14" s="1379">
        <f t="shared" si="34"/>
        <v>17536.379999999997</v>
      </c>
      <c r="AA14" s="2199">
        <f t="shared" si="35"/>
        <v>33757.551000000021</v>
      </c>
      <c r="AB14" s="2200">
        <f t="shared" si="35"/>
        <v>33395.440000000002</v>
      </c>
      <c r="AC14" s="680">
        <v>7936.5620000000108</v>
      </c>
      <c r="AD14" s="684">
        <v>7864.41</v>
      </c>
      <c r="AE14" s="1907">
        <f t="shared" si="48"/>
        <v>41694.113000000034</v>
      </c>
      <c r="AF14" s="1908">
        <f t="shared" si="49"/>
        <v>41259.850000000006</v>
      </c>
      <c r="AG14" s="680">
        <v>4417.199999999998</v>
      </c>
      <c r="AH14" s="684">
        <v>4402.5800000000008</v>
      </c>
      <c r="AI14" s="1907">
        <f t="shared" si="50"/>
        <v>46111.313000000031</v>
      </c>
      <c r="AJ14" s="1908">
        <f t="shared" si="51"/>
        <v>45662.430000000008</v>
      </c>
      <c r="AK14" s="680">
        <v>7118.7930000000006</v>
      </c>
      <c r="AL14" s="684">
        <v>7139.7700000000023</v>
      </c>
      <c r="AM14" s="1379">
        <f t="shared" si="36"/>
        <v>19472.555000000011</v>
      </c>
      <c r="AN14" s="1379">
        <f t="shared" si="37"/>
        <v>19406.760000000002</v>
      </c>
      <c r="AO14" s="1907">
        <f t="shared" si="52"/>
        <v>53230.106000000029</v>
      </c>
      <c r="AP14" s="1908">
        <f t="shared" si="53"/>
        <v>52802.200000000012</v>
      </c>
      <c r="AQ14" s="680">
        <v>7924.3750000000055</v>
      </c>
      <c r="AR14" s="684">
        <v>7887.6499999999987</v>
      </c>
      <c r="AS14" s="1907">
        <f t="shared" si="54"/>
        <v>61154.481000000036</v>
      </c>
      <c r="AT14" s="1908">
        <f t="shared" si="55"/>
        <v>60689.850000000013</v>
      </c>
      <c r="AU14" s="680">
        <v>7578.7770000000028</v>
      </c>
      <c r="AV14" s="684">
        <v>7373.130000000001</v>
      </c>
      <c r="AW14" s="1907">
        <f t="shared" si="56"/>
        <v>68733.258000000045</v>
      </c>
      <c r="AX14" s="1908">
        <f t="shared" si="57"/>
        <v>68062.98000000001</v>
      </c>
      <c r="AY14" s="680">
        <v>6566.4950000000081</v>
      </c>
      <c r="AZ14" s="684">
        <v>6583.41</v>
      </c>
      <c r="BA14" s="1379">
        <f t="shared" si="38"/>
        <v>22069.647000000019</v>
      </c>
      <c r="BB14" s="1379">
        <f t="shared" si="39"/>
        <v>21844.19</v>
      </c>
      <c r="BC14" s="2199">
        <f t="shared" si="40"/>
        <v>41542.202000000034</v>
      </c>
      <c r="BD14" s="2199">
        <f t="shared" si="41"/>
        <v>41250.949999999997</v>
      </c>
      <c r="BE14" s="1907">
        <f t="shared" si="58"/>
        <v>75299.753000000055</v>
      </c>
      <c r="BF14" s="1908">
        <f t="shared" si="59"/>
        <v>74646.390000000014</v>
      </c>
      <c r="BG14" s="26"/>
      <c r="BH14" s="26"/>
      <c r="BI14" s="26"/>
      <c r="BJ14" s="26"/>
    </row>
    <row r="15" spans="3:62" ht="15.75" thickBot="1" x14ac:dyDescent="0.3">
      <c r="C15" s="6598"/>
      <c r="D15" s="3208" t="s">
        <v>1512</v>
      </c>
      <c r="E15" s="2296">
        <v>2.8569999999999993</v>
      </c>
      <c r="F15" s="2297">
        <v>0</v>
      </c>
      <c r="G15" s="2296">
        <v>0</v>
      </c>
      <c r="H15" s="2297">
        <v>0</v>
      </c>
      <c r="I15" s="2348">
        <f t="shared" si="42"/>
        <v>2.8569999999999993</v>
      </c>
      <c r="J15" s="2349">
        <f t="shared" si="43"/>
        <v>0</v>
      </c>
      <c r="K15" s="2296">
        <v>55.211999999999996</v>
      </c>
      <c r="L15" s="2297">
        <v>50.78</v>
      </c>
      <c r="M15" s="1379">
        <f t="shared" ref="M15" si="60">+E15+G15+K15</f>
        <v>58.068999999999996</v>
      </c>
      <c r="N15" s="2373">
        <f t="shared" ref="N15" si="61">+F15+H15+L15</f>
        <v>50.78</v>
      </c>
      <c r="O15" s="2296">
        <v>0</v>
      </c>
      <c r="P15" s="2297">
        <v>0</v>
      </c>
      <c r="Q15" s="1907">
        <f t="shared" si="44"/>
        <v>58.068999999999996</v>
      </c>
      <c r="R15" s="1908">
        <f t="shared" si="45"/>
        <v>50.78</v>
      </c>
      <c r="S15" s="2296">
        <v>0</v>
      </c>
      <c r="T15" s="2297">
        <v>0</v>
      </c>
      <c r="U15" s="1907">
        <f t="shared" si="46"/>
        <v>58.068999999999996</v>
      </c>
      <c r="V15" s="1908">
        <f t="shared" si="47"/>
        <v>50.78</v>
      </c>
      <c r="W15" s="2296">
        <v>0</v>
      </c>
      <c r="X15" s="2297">
        <v>0</v>
      </c>
      <c r="Y15" s="1379">
        <f t="shared" si="34"/>
        <v>0</v>
      </c>
      <c r="Z15" s="1379">
        <f t="shared" si="34"/>
        <v>0</v>
      </c>
      <c r="AA15" s="2199">
        <f t="shared" si="35"/>
        <v>58.068999999999996</v>
      </c>
      <c r="AB15" s="2200">
        <f t="shared" si="35"/>
        <v>50.78</v>
      </c>
      <c r="AC15" s="2296">
        <v>0</v>
      </c>
      <c r="AD15" s="2297">
        <v>0</v>
      </c>
      <c r="AE15" s="1907">
        <f t="shared" si="48"/>
        <v>58.068999999999996</v>
      </c>
      <c r="AF15" s="1908">
        <f t="shared" si="49"/>
        <v>50.78</v>
      </c>
      <c r="AG15" s="2296">
        <v>0</v>
      </c>
      <c r="AH15" s="2297">
        <v>0</v>
      </c>
      <c r="AI15" s="1907">
        <f t="shared" si="50"/>
        <v>58.068999999999996</v>
      </c>
      <c r="AJ15" s="1908">
        <f t="shared" si="51"/>
        <v>50.78</v>
      </c>
      <c r="AK15" s="2296">
        <v>0</v>
      </c>
      <c r="AL15" s="2297">
        <v>0</v>
      </c>
      <c r="AM15" s="1379">
        <f t="shared" si="36"/>
        <v>0</v>
      </c>
      <c r="AN15" s="1379">
        <f t="shared" si="37"/>
        <v>0</v>
      </c>
      <c r="AO15" s="1907">
        <f t="shared" si="52"/>
        <v>58.068999999999996</v>
      </c>
      <c r="AP15" s="1908">
        <f t="shared" si="53"/>
        <v>50.78</v>
      </c>
      <c r="AQ15" s="2296">
        <v>0</v>
      </c>
      <c r="AR15" s="2297">
        <v>0</v>
      </c>
      <c r="AS15" s="1907">
        <f t="shared" si="54"/>
        <v>58.068999999999996</v>
      </c>
      <c r="AT15" s="1908">
        <f t="shared" si="55"/>
        <v>50.78</v>
      </c>
      <c r="AU15" s="2296">
        <v>0</v>
      </c>
      <c r="AV15" s="2297">
        <v>0</v>
      </c>
      <c r="AW15" s="1907">
        <f t="shared" si="56"/>
        <v>58.068999999999996</v>
      </c>
      <c r="AX15" s="1908">
        <f t="shared" si="57"/>
        <v>50.78</v>
      </c>
      <c r="AY15" s="2296">
        <v>0</v>
      </c>
      <c r="AZ15" s="2297">
        <v>0</v>
      </c>
      <c r="BA15" s="1379">
        <f t="shared" si="38"/>
        <v>0</v>
      </c>
      <c r="BB15" s="1379">
        <f t="shared" si="39"/>
        <v>0</v>
      </c>
      <c r="BC15" s="2199">
        <f t="shared" si="40"/>
        <v>0</v>
      </c>
      <c r="BD15" s="2199">
        <f t="shared" si="41"/>
        <v>0</v>
      </c>
      <c r="BE15" s="1907">
        <f t="shared" si="58"/>
        <v>58.068999999999996</v>
      </c>
      <c r="BF15" s="1908">
        <f t="shared" si="59"/>
        <v>50.78</v>
      </c>
      <c r="BG15" s="26"/>
      <c r="BH15" s="26"/>
      <c r="BI15" s="26"/>
      <c r="BJ15" s="26"/>
    </row>
    <row r="16" spans="3:62" ht="15.75" thickBot="1" x14ac:dyDescent="0.3">
      <c r="C16" s="6599"/>
      <c r="D16" s="3209" t="s">
        <v>2</v>
      </c>
      <c r="E16" s="688">
        <f>SUM(E9:E15)</f>
        <v>14314.286</v>
      </c>
      <c r="F16" s="679">
        <f>SUM(F9:F15)</f>
        <v>14152.129999999997</v>
      </c>
      <c r="G16" s="688">
        <f>SUM(G9:G15)</f>
        <v>17071.612000000008</v>
      </c>
      <c r="H16" s="679">
        <f>SUM(H9:H15)</f>
        <v>17008.54</v>
      </c>
      <c r="I16" s="1909">
        <f>SUM(I9:I14)</f>
        <v>31383.041000000005</v>
      </c>
      <c r="J16" s="1910">
        <f>SUM(J9:J14)</f>
        <v>31160.67</v>
      </c>
      <c r="K16" s="1691">
        <f t="shared" ref="K16:S16" si="62">SUM(K9:K15)</f>
        <v>18328.427000000007</v>
      </c>
      <c r="L16" s="1691">
        <f t="shared" si="62"/>
        <v>11356.23</v>
      </c>
      <c r="M16" s="1382">
        <f t="shared" si="62"/>
        <v>49714.325000000019</v>
      </c>
      <c r="N16" s="2375">
        <f t="shared" si="62"/>
        <v>42516.899999999994</v>
      </c>
      <c r="O16" s="1691">
        <f t="shared" si="62"/>
        <v>15533.971000000005</v>
      </c>
      <c r="P16" s="679">
        <f t="shared" si="62"/>
        <v>16849.79</v>
      </c>
      <c r="Q16" s="1909">
        <f t="shared" si="62"/>
        <v>65248.296000000017</v>
      </c>
      <c r="R16" s="1910">
        <f t="shared" si="62"/>
        <v>59366.69</v>
      </c>
      <c r="S16" s="1691">
        <f t="shared" si="62"/>
        <v>24041.448000000029</v>
      </c>
      <c r="T16" s="679">
        <f t="shared" ref="T16" si="63">SUM(T9:T14)</f>
        <v>28250.209999999992</v>
      </c>
      <c r="U16" s="1909">
        <f>SUM(U9:U15)</f>
        <v>89289.74400000005</v>
      </c>
      <c r="V16" s="1910">
        <f>SUM(V9:V15)</f>
        <v>87616.9</v>
      </c>
      <c r="W16" s="1691">
        <f t="shared" ref="W16" si="64">SUM(W9:W15)</f>
        <v>29090.187000000053</v>
      </c>
      <c r="X16" s="679">
        <f t="shared" ref="X16" si="65">SUM(X9:X14)</f>
        <v>29412.83</v>
      </c>
      <c r="Y16" s="1382">
        <f t="shared" ref="Y16:Z16" si="66">SUM(Y9:Y14)</f>
        <v>68665.606000000087</v>
      </c>
      <c r="Z16" s="1383">
        <f t="shared" si="66"/>
        <v>74512.829999999987</v>
      </c>
      <c r="AA16" s="2203">
        <f>SUM(AA9:AA15)</f>
        <v>118379.9310000001</v>
      </c>
      <c r="AB16" s="2204">
        <f>SUM(AB9:AB15)</f>
        <v>117029.72999999998</v>
      </c>
      <c r="AC16" s="1691">
        <f t="shared" ref="AC16" si="67">SUM(AC9:AC15)</f>
        <v>20126.477000000021</v>
      </c>
      <c r="AD16" s="679">
        <f>SUM(AD9:AD15)</f>
        <v>19650.71</v>
      </c>
      <c r="AE16" s="1909">
        <f>SUM(AE9:AE15)</f>
        <v>138506.40800000011</v>
      </c>
      <c r="AF16" s="1910">
        <f>SUM(AF9:AF15)</f>
        <v>136680.44</v>
      </c>
      <c r="AG16" s="1691">
        <f t="shared" ref="AG16" si="68">SUM(AG9:AG15)</f>
        <v>6366.0849999999982</v>
      </c>
      <c r="AH16" s="679">
        <f>SUM(AH9:AH15)</f>
        <v>6650.2100000000009</v>
      </c>
      <c r="AI16" s="1909">
        <f>SUM(AI9:AI15)</f>
        <v>144872.4930000001</v>
      </c>
      <c r="AJ16" s="1910">
        <f>SUM(AJ9:AJ15)</f>
        <v>143330.65</v>
      </c>
      <c r="AK16" s="1691">
        <f t="shared" ref="AK16" si="69">SUM(AK9:AK15)</f>
        <v>20282.457999999999</v>
      </c>
      <c r="AL16" s="679">
        <f>SUM(AL9:AL15)</f>
        <v>18497.099999999999</v>
      </c>
      <c r="AM16" s="1382">
        <f t="shared" ref="AM16:AN16" si="70">SUM(AM9:AM14)</f>
        <v>46775.020000000019</v>
      </c>
      <c r="AN16" s="1383">
        <f t="shared" si="70"/>
        <v>44798.020000000004</v>
      </c>
      <c r="AO16" s="1909">
        <f>SUM(AO9:AO15)</f>
        <v>165154.95100000012</v>
      </c>
      <c r="AP16" s="1910">
        <f>SUM(AP9:AP15)</f>
        <v>161827.75</v>
      </c>
      <c r="AQ16" s="1691">
        <f t="shared" ref="AQ16" si="71">SUM(AQ9:AQ15)</f>
        <v>22580.890000000014</v>
      </c>
      <c r="AR16" s="679">
        <f>SUM(AR9:AR15)</f>
        <v>23477.699999999997</v>
      </c>
      <c r="AS16" s="1909">
        <f>SUM(AS9:AS15)</f>
        <v>187735.84100000013</v>
      </c>
      <c r="AT16" s="1910">
        <f>SUM(AT9:AT15)</f>
        <v>185305.45</v>
      </c>
      <c r="AU16" s="1691">
        <f t="shared" ref="AU16" si="72">SUM(AU9:AU15)</f>
        <v>24343.687000000024</v>
      </c>
      <c r="AV16" s="679">
        <f>SUM(AV9:AV15)</f>
        <v>24493.439999999999</v>
      </c>
      <c r="AW16" s="1909">
        <f>SUM(AW9:AW15)</f>
        <v>212079.52800000014</v>
      </c>
      <c r="AX16" s="1910">
        <f>SUM(AX9:AX15)</f>
        <v>209798.89</v>
      </c>
      <c r="AY16" s="1691">
        <f t="shared" ref="AY16" si="73">SUM(AY9:AY15)</f>
        <v>32930.635000000075</v>
      </c>
      <c r="AZ16" s="679">
        <f>SUM(AZ9:AZ15)</f>
        <v>31513.41</v>
      </c>
      <c r="BA16" s="1382">
        <f t="shared" ref="BA16:BB16" si="74">SUM(BA9:BA14)</f>
        <v>79855.212000000116</v>
      </c>
      <c r="BB16" s="1383">
        <f t="shared" si="74"/>
        <v>79484.55</v>
      </c>
      <c r="BC16" s="2203">
        <f>SUM(BC9:BC15)</f>
        <v>126630.23200000015</v>
      </c>
      <c r="BD16" s="2204">
        <f>SUM(BD9:BD15)</f>
        <v>124282.56999999999</v>
      </c>
      <c r="BE16" s="1909">
        <f>SUM(BE9:BE15)</f>
        <v>245010.16300000023</v>
      </c>
      <c r="BF16" s="1910">
        <f>SUM(BF9:BF15)</f>
        <v>241312.30000000002</v>
      </c>
      <c r="BG16" s="26"/>
      <c r="BH16" s="26"/>
      <c r="BI16" s="26"/>
      <c r="BJ16" s="26"/>
    </row>
    <row r="17" spans="3:62" ht="19.5" thickBot="1" x14ac:dyDescent="0.3">
      <c r="C17" s="6595" t="s">
        <v>1032</v>
      </c>
      <c r="D17" s="6596"/>
      <c r="E17" s="683">
        <f>+E8+E16</f>
        <v>14314.286</v>
      </c>
      <c r="F17" s="692">
        <f t="shared" ref="F17:N17" si="75">+F8+F16</f>
        <v>14152.129999999997</v>
      </c>
      <c r="G17" s="683">
        <f t="shared" si="75"/>
        <v>21796.862000000008</v>
      </c>
      <c r="H17" s="692">
        <f t="shared" si="75"/>
        <v>21546.880000000001</v>
      </c>
      <c r="I17" s="1388">
        <f>+I8+I16</f>
        <v>36108.291000000005</v>
      </c>
      <c r="J17" s="1389">
        <f>+J8+J16</f>
        <v>35699.009999999995</v>
      </c>
      <c r="K17" s="1692">
        <f t="shared" si="75"/>
        <v>18328.427000000007</v>
      </c>
      <c r="L17" s="683">
        <f t="shared" si="75"/>
        <v>11513.58</v>
      </c>
      <c r="M17" s="1384">
        <f t="shared" si="75"/>
        <v>54439.575000000019</v>
      </c>
      <c r="N17" s="2374">
        <f t="shared" si="75"/>
        <v>47212.59</v>
      </c>
      <c r="O17" s="683">
        <f t="shared" ref="O17:AF17" si="76">+O8+O16</f>
        <v>15533.971000000005</v>
      </c>
      <c r="P17" s="692">
        <f t="shared" si="76"/>
        <v>16882.7</v>
      </c>
      <c r="Q17" s="1388">
        <f t="shared" si="76"/>
        <v>69973.546000000017</v>
      </c>
      <c r="R17" s="1389">
        <f t="shared" si="76"/>
        <v>64095.29</v>
      </c>
      <c r="S17" s="683">
        <f t="shared" ref="S17:V17" si="77">+S8+S16</f>
        <v>24041.448000000029</v>
      </c>
      <c r="T17" s="692">
        <f t="shared" si="77"/>
        <v>28250.209999999992</v>
      </c>
      <c r="U17" s="1388">
        <f t="shared" si="77"/>
        <v>94014.99400000005</v>
      </c>
      <c r="V17" s="1389">
        <f t="shared" si="77"/>
        <v>92345.5</v>
      </c>
      <c r="W17" s="683">
        <f t="shared" ref="W17:X17" si="78">+W8+W16</f>
        <v>29090.187000000053</v>
      </c>
      <c r="X17" s="692">
        <f t="shared" si="78"/>
        <v>29412.83</v>
      </c>
      <c r="Y17" s="1384">
        <f t="shared" si="76"/>
        <v>68665.606000000087</v>
      </c>
      <c r="Z17" s="1385">
        <f t="shared" si="76"/>
        <v>74545.739999999991</v>
      </c>
      <c r="AA17" s="2205">
        <f t="shared" si="76"/>
        <v>123105.1810000001</v>
      </c>
      <c r="AB17" s="2206">
        <f t="shared" si="76"/>
        <v>121758.32999999999</v>
      </c>
      <c r="AC17" s="683">
        <f t="shared" si="76"/>
        <v>20126.477000000021</v>
      </c>
      <c r="AD17" s="692">
        <f t="shared" si="76"/>
        <v>19650.71</v>
      </c>
      <c r="AE17" s="1388">
        <f t="shared" si="76"/>
        <v>143231.65800000011</v>
      </c>
      <c r="AF17" s="1389">
        <f t="shared" si="76"/>
        <v>141409.04</v>
      </c>
      <c r="AG17" s="683">
        <f t="shared" ref="AG17:AJ17" si="79">+AG8+AG16</f>
        <v>6366.0849999999982</v>
      </c>
      <c r="AH17" s="692">
        <f t="shared" si="79"/>
        <v>6650.2100000000009</v>
      </c>
      <c r="AI17" s="1388">
        <f t="shared" si="79"/>
        <v>149597.7430000001</v>
      </c>
      <c r="AJ17" s="1389">
        <f t="shared" si="79"/>
        <v>148059.25</v>
      </c>
      <c r="AK17" s="683">
        <f t="shared" ref="AK17:AT17" si="80">+AK8+AK16</f>
        <v>20282.457999999999</v>
      </c>
      <c r="AL17" s="692">
        <f t="shared" si="80"/>
        <v>18497.099999999999</v>
      </c>
      <c r="AM17" s="1384">
        <f t="shared" si="80"/>
        <v>46775.020000000019</v>
      </c>
      <c r="AN17" s="1385">
        <f t="shared" si="80"/>
        <v>44798.020000000004</v>
      </c>
      <c r="AO17" s="1388">
        <f t="shared" si="80"/>
        <v>169880.20100000012</v>
      </c>
      <c r="AP17" s="1389">
        <f t="shared" si="80"/>
        <v>166556.35</v>
      </c>
      <c r="AQ17" s="683">
        <f t="shared" si="80"/>
        <v>22580.890000000014</v>
      </c>
      <c r="AR17" s="692">
        <f t="shared" si="80"/>
        <v>23477.699999999997</v>
      </c>
      <c r="AS17" s="1388">
        <f t="shared" si="80"/>
        <v>192461.09100000013</v>
      </c>
      <c r="AT17" s="1389">
        <f t="shared" si="80"/>
        <v>190034.05000000002</v>
      </c>
      <c r="AU17" s="683">
        <f t="shared" ref="AU17:AX17" si="81">+AU8+AU16</f>
        <v>24343.687000000024</v>
      </c>
      <c r="AV17" s="692">
        <f t="shared" si="81"/>
        <v>24493.439999999999</v>
      </c>
      <c r="AW17" s="1388">
        <f t="shared" si="81"/>
        <v>216804.77800000014</v>
      </c>
      <c r="AX17" s="1389">
        <f t="shared" si="81"/>
        <v>214527.49000000002</v>
      </c>
      <c r="AY17" s="683">
        <f t="shared" ref="AY17:BF17" si="82">+AY8+AY16</f>
        <v>32930.635000000075</v>
      </c>
      <c r="AZ17" s="692">
        <f t="shared" si="82"/>
        <v>31513.41</v>
      </c>
      <c r="BA17" s="1384">
        <f t="shared" si="82"/>
        <v>79855.212000000116</v>
      </c>
      <c r="BB17" s="1385">
        <f t="shared" si="82"/>
        <v>79484.55</v>
      </c>
      <c r="BC17" s="2205">
        <f t="shared" si="82"/>
        <v>126630.23200000015</v>
      </c>
      <c r="BD17" s="2206">
        <f t="shared" si="82"/>
        <v>124282.56999999999</v>
      </c>
      <c r="BE17" s="1388">
        <f t="shared" si="82"/>
        <v>249735.41300000023</v>
      </c>
      <c r="BF17" s="1389">
        <f t="shared" si="82"/>
        <v>246040.90000000002</v>
      </c>
      <c r="BG17" s="26"/>
      <c r="BH17" s="26"/>
      <c r="BI17" s="26"/>
      <c r="BJ17" s="26"/>
    </row>
    <row r="19" spans="3:62" x14ac:dyDescent="0.25">
      <c r="Z19" s="26"/>
    </row>
    <row r="20" spans="3:62" x14ac:dyDescent="0.25">
      <c r="Z20" s="26"/>
    </row>
    <row r="21" spans="3:62" ht="23.25" hidden="1" x14ac:dyDescent="0.35">
      <c r="D21" s="6591" t="s">
        <v>1152</v>
      </c>
      <c r="E21" s="6591"/>
      <c r="F21" s="6591"/>
      <c r="G21" s="6591"/>
      <c r="H21" s="6591"/>
      <c r="I21" s="6591"/>
      <c r="J21" s="6591"/>
      <c r="K21" s="6591"/>
      <c r="L21" s="6591"/>
      <c r="M21" s="6591"/>
      <c r="N21" s="6591"/>
      <c r="O21" s="6591"/>
      <c r="P21" s="6591"/>
      <c r="Q21" s="6591"/>
      <c r="R21" s="6591"/>
      <c r="S21" s="6591"/>
      <c r="T21" s="6591"/>
    </row>
    <row r="22" spans="3:62" hidden="1" x14ac:dyDescent="0.25"/>
    <row r="23" spans="3:62" hidden="1" x14ac:dyDescent="0.25">
      <c r="D23" s="220"/>
      <c r="E23" s="220"/>
      <c r="F23" s="340" t="s">
        <v>1012</v>
      </c>
      <c r="G23" s="340" t="s">
        <v>1035</v>
      </c>
      <c r="H23" s="340" t="s">
        <v>1039</v>
      </c>
      <c r="I23" s="340"/>
      <c r="J23" s="340"/>
      <c r="K23" s="340" t="s">
        <v>658</v>
      </c>
      <c r="L23" s="340" t="s">
        <v>1049</v>
      </c>
      <c r="M23" s="340" t="s">
        <v>1071</v>
      </c>
      <c r="N23" s="340" t="s">
        <v>1120</v>
      </c>
      <c r="O23" s="340" t="s">
        <v>682</v>
      </c>
      <c r="P23" s="340" t="s">
        <v>679</v>
      </c>
      <c r="Q23" s="340"/>
      <c r="R23" s="340"/>
      <c r="S23" s="340" t="s">
        <v>1147</v>
      </c>
      <c r="T23" s="340" t="s">
        <v>1148</v>
      </c>
    </row>
    <row r="24" spans="3:62" hidden="1" x14ac:dyDescent="0.25">
      <c r="D24" s="220" t="s">
        <v>1017</v>
      </c>
      <c r="E24" s="220" t="s">
        <v>68</v>
      </c>
      <c r="F24" s="425">
        <v>0</v>
      </c>
      <c r="G24" s="425">
        <v>0</v>
      </c>
      <c r="H24" s="425">
        <v>1279.2</v>
      </c>
      <c r="I24" s="425"/>
      <c r="J24" s="425"/>
      <c r="K24" s="425">
        <f>SUM(F24:H24)</f>
        <v>1279.2</v>
      </c>
      <c r="L24" s="425">
        <v>0</v>
      </c>
      <c r="M24" s="425">
        <v>850.75</v>
      </c>
      <c r="N24" s="425">
        <v>1435</v>
      </c>
      <c r="O24" s="425">
        <f>SUM(L24:N24)</f>
        <v>2285.75</v>
      </c>
      <c r="P24" s="425">
        <f>+O24+K24</f>
        <v>3564.95</v>
      </c>
      <c r="Q24" s="425"/>
      <c r="R24" s="425"/>
      <c r="S24" s="425">
        <v>988.1</v>
      </c>
      <c r="T24" s="425">
        <f>P24+S24</f>
        <v>4553.05</v>
      </c>
    </row>
    <row r="25" spans="3:62" hidden="1" x14ac:dyDescent="0.25">
      <c r="D25" s="220" t="s">
        <v>1020</v>
      </c>
      <c r="E25" s="220" t="s">
        <v>68</v>
      </c>
      <c r="F25" s="425">
        <v>516.12</v>
      </c>
      <c r="G25" s="425">
        <v>332.09999999999997</v>
      </c>
      <c r="H25" s="425">
        <v>0</v>
      </c>
      <c r="I25" s="425"/>
      <c r="J25" s="425"/>
      <c r="K25" s="425">
        <f t="shared" ref="K25:K31" si="83">SUM(F25:H25)</f>
        <v>848.22</v>
      </c>
      <c r="L25" s="425">
        <v>0</v>
      </c>
      <c r="M25" s="425">
        <v>0</v>
      </c>
      <c r="N25" s="425">
        <v>529</v>
      </c>
      <c r="O25" s="425">
        <f t="shared" ref="O25:O31" si="84">SUM(L25:N25)</f>
        <v>529</v>
      </c>
      <c r="P25" s="425">
        <f t="shared" ref="P25:P31" si="85">+O25+K25</f>
        <v>1377.22</v>
      </c>
      <c r="Q25" s="425"/>
      <c r="R25" s="425"/>
      <c r="S25" s="425">
        <v>740.05</v>
      </c>
      <c r="T25" s="425">
        <f t="shared" ref="T25:T30" si="86">P25+S25</f>
        <v>2117.27</v>
      </c>
    </row>
    <row r="26" spans="3:62" hidden="1" x14ac:dyDescent="0.25">
      <c r="D26" s="220" t="s">
        <v>1019</v>
      </c>
      <c r="E26" s="220" t="s">
        <v>68</v>
      </c>
      <c r="F26" s="425">
        <v>367.24799999999999</v>
      </c>
      <c r="G26" s="425">
        <v>0</v>
      </c>
      <c r="H26" s="425">
        <v>393.6</v>
      </c>
      <c r="I26" s="425"/>
      <c r="J26" s="425"/>
      <c r="K26" s="425">
        <f t="shared" si="83"/>
        <v>760.84799999999996</v>
      </c>
      <c r="L26" s="425">
        <v>1521.1</v>
      </c>
      <c r="M26" s="425">
        <v>742.09999999999991</v>
      </c>
      <c r="N26" s="425">
        <v>845</v>
      </c>
      <c r="O26" s="425">
        <f t="shared" si="84"/>
        <v>3108.2</v>
      </c>
      <c r="P26" s="425">
        <f t="shared" si="85"/>
        <v>3869.0479999999998</v>
      </c>
      <c r="Q26" s="425"/>
      <c r="R26" s="425"/>
      <c r="S26" s="425">
        <v>1566.2</v>
      </c>
      <c r="T26" s="425">
        <f t="shared" si="86"/>
        <v>5435.2479999999996</v>
      </c>
    </row>
    <row r="27" spans="3:62" hidden="1" x14ac:dyDescent="0.25">
      <c r="D27" s="220" t="s">
        <v>1021</v>
      </c>
      <c r="E27" s="220" t="s">
        <v>68</v>
      </c>
      <c r="F27" s="425">
        <v>1028.192</v>
      </c>
      <c r="G27" s="425">
        <v>313.64999999999998</v>
      </c>
      <c r="H27" s="425">
        <v>1558</v>
      </c>
      <c r="I27" s="425"/>
      <c r="J27" s="425"/>
      <c r="K27" s="425">
        <f t="shared" si="83"/>
        <v>2899.8420000000001</v>
      </c>
      <c r="L27" s="425">
        <v>1033.1999999999998</v>
      </c>
      <c r="M27" s="425">
        <v>491.99999999999994</v>
      </c>
      <c r="N27" s="425">
        <v>759</v>
      </c>
      <c r="O27" s="425">
        <f t="shared" si="84"/>
        <v>2284.1999999999998</v>
      </c>
      <c r="P27" s="425">
        <f t="shared" si="85"/>
        <v>5184.0419999999995</v>
      </c>
      <c r="Q27" s="425"/>
      <c r="R27" s="425"/>
      <c r="S27" s="425">
        <v>1221.8</v>
      </c>
      <c r="T27" s="425">
        <f t="shared" si="86"/>
        <v>6405.8419999999996</v>
      </c>
    </row>
    <row r="28" spans="3:62" hidden="1" x14ac:dyDescent="0.25">
      <c r="D28" s="220" t="s">
        <v>1036</v>
      </c>
      <c r="E28" s="220" t="s">
        <v>68</v>
      </c>
      <c r="F28" s="425">
        <v>0</v>
      </c>
      <c r="G28" s="425">
        <v>143.5</v>
      </c>
      <c r="H28" s="425">
        <v>0</v>
      </c>
      <c r="I28" s="425"/>
      <c r="J28" s="425"/>
      <c r="K28" s="425">
        <f t="shared" si="83"/>
        <v>143.5</v>
      </c>
      <c r="L28" s="425">
        <v>0</v>
      </c>
      <c r="M28" s="425">
        <v>0</v>
      </c>
      <c r="N28" s="425">
        <v>0</v>
      </c>
      <c r="O28" s="425">
        <f t="shared" si="84"/>
        <v>0</v>
      </c>
      <c r="P28" s="425">
        <f t="shared" si="85"/>
        <v>143.5</v>
      </c>
      <c r="Q28" s="425"/>
      <c r="R28" s="425"/>
      <c r="S28" s="425">
        <v>0</v>
      </c>
      <c r="T28" s="425">
        <f t="shared" si="86"/>
        <v>143.5</v>
      </c>
    </row>
    <row r="29" spans="3:62" hidden="1" x14ac:dyDescent="0.25">
      <c r="D29" s="220" t="s">
        <v>1022</v>
      </c>
      <c r="E29" s="220" t="s">
        <v>68</v>
      </c>
      <c r="F29" s="425">
        <v>42.84</v>
      </c>
      <c r="G29" s="425">
        <v>0</v>
      </c>
      <c r="H29" s="425">
        <v>0</v>
      </c>
      <c r="I29" s="425"/>
      <c r="J29" s="425"/>
      <c r="K29" s="425">
        <f t="shared" si="83"/>
        <v>42.84</v>
      </c>
      <c r="L29" s="425">
        <v>0</v>
      </c>
      <c r="M29" s="425">
        <v>153.75</v>
      </c>
      <c r="N29" s="425">
        <v>0</v>
      </c>
      <c r="O29" s="425">
        <f t="shared" si="84"/>
        <v>153.75</v>
      </c>
      <c r="P29" s="425">
        <f t="shared" si="85"/>
        <v>196.59</v>
      </c>
      <c r="Q29" s="425"/>
      <c r="R29" s="425"/>
      <c r="S29" s="425">
        <v>0</v>
      </c>
      <c r="T29" s="425">
        <f t="shared" si="86"/>
        <v>196.59</v>
      </c>
    </row>
    <row r="30" spans="3:62" hidden="1" x14ac:dyDescent="0.25">
      <c r="D30" s="220" t="s">
        <v>956</v>
      </c>
      <c r="E30" s="220" t="s">
        <v>68</v>
      </c>
      <c r="F30" s="425">
        <v>2756.5039999999999</v>
      </c>
      <c r="G30" s="425">
        <v>3013.4999999999995</v>
      </c>
      <c r="H30" s="425">
        <v>6814.2</v>
      </c>
      <c r="I30" s="425"/>
      <c r="J30" s="425"/>
      <c r="K30" s="425">
        <f t="shared" si="83"/>
        <v>12584.203999999998</v>
      </c>
      <c r="L30" s="425">
        <v>5334.0999999999995</v>
      </c>
      <c r="M30" s="425">
        <v>6262.75</v>
      </c>
      <c r="N30" s="425">
        <v>9301</v>
      </c>
      <c r="O30" s="425">
        <f t="shared" si="84"/>
        <v>20897.849999999999</v>
      </c>
      <c r="P30" s="425">
        <f t="shared" si="85"/>
        <v>33482.053999999996</v>
      </c>
      <c r="Q30" s="425"/>
      <c r="R30" s="425"/>
      <c r="S30" s="425">
        <v>7052</v>
      </c>
      <c r="T30" s="425">
        <f t="shared" si="86"/>
        <v>40534.053999999996</v>
      </c>
    </row>
    <row r="31" spans="3:62" ht="18.75" hidden="1" x14ac:dyDescent="0.3">
      <c r="D31" s="1308" t="s">
        <v>2</v>
      </c>
      <c r="E31" s="1308"/>
      <c r="F31" s="1309">
        <f>SUM(F24:F30)</f>
        <v>4710.9039999999995</v>
      </c>
      <c r="G31" s="1309">
        <f t="shared" ref="G31:S31" si="87">SUM(G24:G30)</f>
        <v>3802.7499999999995</v>
      </c>
      <c r="H31" s="1309">
        <f t="shared" si="87"/>
        <v>10045</v>
      </c>
      <c r="I31" s="1309"/>
      <c r="J31" s="1309"/>
      <c r="K31" s="1309">
        <f t="shared" si="83"/>
        <v>18558.653999999999</v>
      </c>
      <c r="L31" s="1309">
        <f t="shared" si="87"/>
        <v>7888.4</v>
      </c>
      <c r="M31" s="1309">
        <f t="shared" si="87"/>
        <v>8501.35</v>
      </c>
      <c r="N31" s="1309">
        <f t="shared" si="87"/>
        <v>12869</v>
      </c>
      <c r="O31" s="1309">
        <f t="shared" si="84"/>
        <v>29258.75</v>
      </c>
      <c r="P31" s="1309">
        <f t="shared" si="85"/>
        <v>47817.403999999995</v>
      </c>
      <c r="Q31" s="1309"/>
      <c r="R31" s="1309"/>
      <c r="S31" s="1309">
        <f t="shared" si="87"/>
        <v>11568.150000000001</v>
      </c>
      <c r="T31" s="1309">
        <f>SUM(T24:T30)</f>
        <v>59385.553999999996</v>
      </c>
    </row>
  </sheetData>
  <mergeCells count="32">
    <mergeCell ref="AY3:AZ3"/>
    <mergeCell ref="BE3:BF3"/>
    <mergeCell ref="BA3:BB3"/>
    <mergeCell ref="BC3:BD3"/>
    <mergeCell ref="D21:T21"/>
    <mergeCell ref="C17:D17"/>
    <mergeCell ref="C9:C16"/>
    <mergeCell ref="S3:T3"/>
    <mergeCell ref="O3:P3"/>
    <mergeCell ref="E3:F3"/>
    <mergeCell ref="C5:C8"/>
    <mergeCell ref="I3:J3"/>
    <mergeCell ref="K3:L3"/>
    <mergeCell ref="M3:N3"/>
    <mergeCell ref="Q3:R3"/>
    <mergeCell ref="AA3:AB3"/>
    <mergeCell ref="C1:T1"/>
    <mergeCell ref="G3:H3"/>
    <mergeCell ref="U3:V3"/>
    <mergeCell ref="W3:X3"/>
    <mergeCell ref="Y3:Z3"/>
    <mergeCell ref="AU3:AV3"/>
    <mergeCell ref="AW3:AX3"/>
    <mergeCell ref="AG3:AH3"/>
    <mergeCell ref="AI3:AJ3"/>
    <mergeCell ref="AC3:AD3"/>
    <mergeCell ref="AE3:AF3"/>
    <mergeCell ref="AQ3:AR3"/>
    <mergeCell ref="AS3:AT3"/>
    <mergeCell ref="AK3:AL3"/>
    <mergeCell ref="AO3:AP3"/>
    <mergeCell ref="AM3:AN3"/>
  </mergeCells>
  <printOptions horizontalCentered="1" verticalCentered="1"/>
  <pageMargins left="0" right="0" top="0" bottom="0" header="0" footer="0"/>
  <pageSetup paperSize="9" orientation="landscape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>
    <tabColor rgb="FF92D050"/>
  </sheetPr>
  <dimension ref="D6:BI17"/>
  <sheetViews>
    <sheetView topLeftCell="I1" workbookViewId="0">
      <selection activeCell="AM17" sqref="AM17"/>
    </sheetView>
  </sheetViews>
  <sheetFormatPr defaultRowHeight="15" x14ac:dyDescent="0.25"/>
  <cols>
    <col min="4" max="4" width="38.7109375" bestFit="1" customWidth="1"/>
    <col min="5" max="5" width="7.7109375" bestFit="1" customWidth="1"/>
    <col min="6" max="6" width="9.140625" hidden="1" customWidth="1"/>
    <col min="7" max="7" width="10.85546875" customWidth="1"/>
    <col min="8" max="8" width="2.7109375" hidden="1" customWidth="1"/>
    <col min="9" max="9" width="10.7109375" customWidth="1"/>
    <col min="10" max="10" width="2.7109375" hidden="1" customWidth="1"/>
    <col min="11" max="11" width="8.42578125" hidden="1" customWidth="1"/>
    <col min="12" max="12" width="2.7109375" hidden="1" customWidth="1"/>
    <col min="13" max="13" width="11.140625" customWidth="1"/>
    <col min="14" max="14" width="2.7109375" hidden="1" customWidth="1"/>
    <col min="15" max="15" width="10.28515625" customWidth="1"/>
    <col min="16" max="16" width="2.7109375" hidden="1" customWidth="1"/>
    <col min="17" max="17" width="10" customWidth="1"/>
    <col min="18" max="18" width="2.7109375" hidden="1" customWidth="1"/>
    <col min="19" max="19" width="8.42578125" hidden="1" customWidth="1"/>
    <col min="20" max="20" width="2.7109375" hidden="1" customWidth="1"/>
    <col min="21" max="21" width="9.5703125" customWidth="1"/>
    <col min="22" max="22" width="2.7109375" hidden="1" customWidth="1"/>
    <col min="23" max="23" width="10.85546875" hidden="1" customWidth="1"/>
    <col min="24" max="24" width="2.7109375" hidden="1" customWidth="1"/>
    <col min="25" max="25" width="8.42578125" bestFit="1" customWidth="1"/>
    <col min="26" max="26" width="2.7109375" hidden="1" customWidth="1"/>
    <col min="27" max="27" width="8.85546875" customWidth="1"/>
    <col min="28" max="28" width="2.7109375" hidden="1" customWidth="1"/>
    <col min="29" max="29" width="8.42578125" bestFit="1" customWidth="1"/>
    <col min="30" max="30" width="0" hidden="1" customWidth="1"/>
    <col min="32" max="32" width="9.140625" hidden="1" customWidth="1"/>
    <col min="33" max="33" width="9.85546875" hidden="1" customWidth="1"/>
    <col min="34" max="34" width="9.140625" hidden="1" customWidth="1"/>
    <col min="36" max="37" width="9.140625" hidden="1" customWidth="1"/>
    <col min="38" max="38" width="0" hidden="1" customWidth="1"/>
    <col min="40" max="40" width="0" style="4342" hidden="1" customWidth="1"/>
    <col min="41" max="41" width="9.140625" style="4342"/>
    <col min="42" max="44" width="9.140625" hidden="1" customWidth="1"/>
    <col min="46" max="48" width="9.140625" hidden="1" customWidth="1"/>
    <col min="50" max="50" width="9.140625" hidden="1" customWidth="1"/>
    <col min="51" max="52" width="0" hidden="1" customWidth="1"/>
    <col min="54" max="54" width="0" style="5241" hidden="1" customWidth="1"/>
    <col min="55" max="55" width="9.140625" style="5241"/>
    <col min="56" max="56" width="0" style="5241" hidden="1" customWidth="1"/>
    <col min="57" max="57" width="9.85546875" style="5241" bestFit="1" customWidth="1"/>
    <col min="58" max="58" width="0" hidden="1" customWidth="1"/>
    <col min="59" max="59" width="9.85546875" bestFit="1" customWidth="1"/>
  </cols>
  <sheetData>
    <row r="6" spans="4:61" ht="26.25" x14ac:dyDescent="0.4">
      <c r="D6" s="6614" t="s">
        <v>1160</v>
      </c>
      <c r="E6" s="6614"/>
      <c r="F6" s="6614"/>
      <c r="G6" s="6614"/>
      <c r="H6" s="6614"/>
      <c r="I6" s="6614"/>
      <c r="J6" s="6614"/>
      <c r="K6" s="6614"/>
      <c r="L6" s="6614"/>
      <c r="M6" s="6614"/>
      <c r="N6" s="6614"/>
      <c r="O6" s="6614"/>
      <c r="P6" s="6614"/>
      <c r="Q6" s="6614"/>
      <c r="R6" s="6614"/>
      <c r="S6" s="6614"/>
      <c r="T6" s="6614"/>
      <c r="U6" s="6614"/>
      <c r="V6" s="6614"/>
      <c r="W6" s="6614"/>
      <c r="X6" s="6614"/>
      <c r="Y6" s="6614"/>
      <c r="Z6" s="6614"/>
      <c r="AA6" s="6614"/>
      <c r="AB6" s="6614"/>
      <c r="AC6" s="6614"/>
    </row>
    <row r="7" spans="4:61" ht="15.75" thickBot="1" x14ac:dyDescent="0.3"/>
    <row r="8" spans="4:61" s="34" customFormat="1" ht="18.75" x14ac:dyDescent="0.25">
      <c r="D8" s="1462"/>
      <c r="E8" s="1463"/>
      <c r="F8" s="6603" t="s">
        <v>1506</v>
      </c>
      <c r="G8" s="6604"/>
      <c r="H8" s="6603" t="s">
        <v>1526</v>
      </c>
      <c r="I8" s="6604"/>
      <c r="J8" s="6605" t="s">
        <v>680</v>
      </c>
      <c r="K8" s="6606"/>
      <c r="L8" s="6603" t="s">
        <v>1620</v>
      </c>
      <c r="M8" s="6604"/>
      <c r="N8" s="6607" t="s">
        <v>658</v>
      </c>
      <c r="O8" s="6608"/>
      <c r="P8" s="6603" t="s">
        <v>1688</v>
      </c>
      <c r="Q8" s="6604"/>
      <c r="R8" s="6605" t="s">
        <v>672</v>
      </c>
      <c r="S8" s="6606"/>
      <c r="T8" s="6603" t="s">
        <v>1731</v>
      </c>
      <c r="U8" s="6604"/>
      <c r="V8" s="6605" t="s">
        <v>19</v>
      </c>
      <c r="W8" s="6606"/>
      <c r="X8" s="6603" t="s">
        <v>1766</v>
      </c>
      <c r="Y8" s="6604"/>
      <c r="Z8" s="6607" t="s">
        <v>682</v>
      </c>
      <c r="AA8" s="6608"/>
      <c r="AB8" s="6612" t="s">
        <v>679</v>
      </c>
      <c r="AC8" s="6613"/>
      <c r="AD8" s="6603" t="s">
        <v>1831</v>
      </c>
      <c r="AE8" s="6604"/>
      <c r="AF8" s="6605" t="s">
        <v>26</v>
      </c>
      <c r="AG8" s="6606"/>
      <c r="AH8" s="6603" t="s">
        <v>1863</v>
      </c>
      <c r="AI8" s="6604"/>
      <c r="AJ8" s="6605" t="s">
        <v>29</v>
      </c>
      <c r="AK8" s="6606"/>
      <c r="AL8" s="6603" t="s">
        <v>1888</v>
      </c>
      <c r="AM8" s="6604"/>
      <c r="AN8" s="6607" t="s">
        <v>684</v>
      </c>
      <c r="AO8" s="6608"/>
      <c r="AP8" s="6605" t="s">
        <v>1890</v>
      </c>
      <c r="AQ8" s="6606"/>
      <c r="AR8" s="6603" t="s">
        <v>1918</v>
      </c>
      <c r="AS8" s="6604"/>
      <c r="AT8" s="6605" t="s">
        <v>30</v>
      </c>
      <c r="AU8" s="6606"/>
      <c r="AV8" s="6603" t="s">
        <v>1940</v>
      </c>
      <c r="AW8" s="6604"/>
      <c r="AX8" s="6605" t="s">
        <v>32</v>
      </c>
      <c r="AY8" s="6606"/>
      <c r="AZ8" s="6603" t="s">
        <v>1965</v>
      </c>
      <c r="BA8" s="6604"/>
      <c r="BB8" s="6607" t="s">
        <v>685</v>
      </c>
      <c r="BC8" s="6608"/>
      <c r="BD8" s="6612" t="s">
        <v>693</v>
      </c>
      <c r="BE8" s="6613"/>
      <c r="BF8" s="6605" t="s">
        <v>1513</v>
      </c>
      <c r="BG8" s="6606"/>
    </row>
    <row r="9" spans="4:61" ht="18.75" x14ac:dyDescent="0.3">
      <c r="D9" s="1464" t="s">
        <v>1017</v>
      </c>
      <c r="E9" s="6609" t="s">
        <v>68</v>
      </c>
      <c r="F9" s="1392"/>
      <c r="G9" s="1392">
        <f>+'Special -Value added steel '!G12</f>
        <v>442.8</v>
      </c>
      <c r="H9" s="1392"/>
      <c r="I9" s="1392">
        <f>+'Special -Value added steel '!I12</f>
        <v>0</v>
      </c>
      <c r="J9" s="757"/>
      <c r="K9" s="757">
        <f>+G9+I9</f>
        <v>442.8</v>
      </c>
      <c r="L9" s="1392"/>
      <c r="M9" s="1392">
        <f>+'Special -Value added steel '!M12</f>
        <v>0</v>
      </c>
      <c r="N9" s="762"/>
      <c r="O9" s="762">
        <f>+G9+I9+M9</f>
        <v>442.8</v>
      </c>
      <c r="P9" s="1392"/>
      <c r="Q9" s="1392">
        <f>+'Special -Value added steel '!Q12</f>
        <v>502.25000000000011</v>
      </c>
      <c r="R9" s="757"/>
      <c r="S9" s="757">
        <f>+O9+Q9</f>
        <v>945.05000000000018</v>
      </c>
      <c r="T9" s="1392"/>
      <c r="U9" s="1392">
        <f>+'Special -Value added steel '!U12</f>
        <v>0</v>
      </c>
      <c r="V9" s="757"/>
      <c r="W9" s="757">
        <f>+S9+U9</f>
        <v>945.05000000000018</v>
      </c>
      <c r="X9" s="1392"/>
      <c r="Y9" s="1392">
        <f>+'Special -Value added steel '!Y12</f>
        <v>145.55000000000001</v>
      </c>
      <c r="Z9" s="762"/>
      <c r="AA9" s="762">
        <f>+Q9+U9+Y9</f>
        <v>647.80000000000018</v>
      </c>
      <c r="AB9" s="1461"/>
      <c r="AC9" s="1461">
        <f>+O9+AA9</f>
        <v>1090.6000000000001</v>
      </c>
      <c r="AD9" s="1392"/>
      <c r="AE9" s="1392">
        <f>+'Special -Value added steel '!AE12</f>
        <v>848.69999999999993</v>
      </c>
      <c r="AF9" s="757"/>
      <c r="AG9" s="757">
        <f>+AC9+AE9</f>
        <v>1939.3000000000002</v>
      </c>
      <c r="AH9" s="1392"/>
      <c r="AI9" s="1392">
        <f>+'Special -Value added steel '!AI12</f>
        <v>217.29999999999998</v>
      </c>
      <c r="AJ9" s="757"/>
      <c r="AK9" s="757">
        <f>+AG9+AI9</f>
        <v>2156.6000000000004</v>
      </c>
      <c r="AL9" s="1392"/>
      <c r="AM9" s="1392">
        <f>+'Special -Value added steel '!AM12</f>
        <v>407.95000000000005</v>
      </c>
      <c r="AN9" s="762"/>
      <c r="AO9" s="762">
        <f>+AE9+AI9+AM9</f>
        <v>1473.95</v>
      </c>
      <c r="AP9" s="757"/>
      <c r="AQ9" s="757">
        <f>+AK9+AM9</f>
        <v>2564.5500000000002</v>
      </c>
      <c r="AR9" s="1392"/>
      <c r="AS9" s="1392">
        <f>+'Special -Value added steel '!AS12</f>
        <v>504.30000000000007</v>
      </c>
      <c r="AT9" s="757"/>
      <c r="AU9" s="757">
        <f>+AQ9+AS9</f>
        <v>3068.8500000000004</v>
      </c>
      <c r="AV9" s="1392"/>
      <c r="AW9" s="1392">
        <f>+'Special -Value added steel '!AW12</f>
        <v>483.80000000000013</v>
      </c>
      <c r="AX9" s="757"/>
      <c r="AY9" s="757">
        <f>+AU9+AW9</f>
        <v>3552.6500000000005</v>
      </c>
      <c r="AZ9" s="1392"/>
      <c r="BA9" s="1392">
        <f>+'Special -Value added steel '!BA12</f>
        <v>557.6</v>
      </c>
      <c r="BB9" s="762"/>
      <c r="BC9" s="762">
        <f>+AS9+AW9+BA9</f>
        <v>1545.7000000000003</v>
      </c>
      <c r="BD9" s="1461"/>
      <c r="BE9" s="1461">
        <f>+AO9+BC9</f>
        <v>3019.6500000000005</v>
      </c>
      <c r="BF9" s="757"/>
      <c r="BG9" s="757">
        <f>+AY9+BA9</f>
        <v>4110.2500000000009</v>
      </c>
      <c r="BH9" s="26"/>
      <c r="BI9" s="26"/>
    </row>
    <row r="10" spans="4:61" s="4092" customFormat="1" ht="18.75" x14ac:dyDescent="0.3">
      <c r="D10" s="1464" t="s">
        <v>1833</v>
      </c>
      <c r="E10" s="6610"/>
      <c r="F10" s="1392"/>
      <c r="G10" s="1392">
        <f>+'Special -Value added steel '!G13</f>
        <v>0</v>
      </c>
      <c r="H10" s="1392"/>
      <c r="I10" s="1392">
        <f>+'Special -Value added steel '!I13</f>
        <v>0</v>
      </c>
      <c r="J10" s="757"/>
      <c r="K10" s="757">
        <f>+G10+I10</f>
        <v>0</v>
      </c>
      <c r="L10" s="1392"/>
      <c r="M10" s="1392">
        <f>+'Special -Value added steel '!M13</f>
        <v>0</v>
      </c>
      <c r="N10" s="762"/>
      <c r="O10" s="762">
        <f>+G10+I10+M10</f>
        <v>0</v>
      </c>
      <c r="P10" s="1392"/>
      <c r="Q10" s="1392">
        <f>+'Special -Value added steel '!Q13</f>
        <v>0</v>
      </c>
      <c r="R10" s="757"/>
      <c r="S10" s="757"/>
      <c r="T10" s="1392"/>
      <c r="U10" s="1392">
        <f>+'Special -Value added steel '!U13</f>
        <v>0</v>
      </c>
      <c r="V10" s="757"/>
      <c r="W10" s="757">
        <f>+S10+U10</f>
        <v>0</v>
      </c>
      <c r="X10" s="1392"/>
      <c r="Y10" s="1392">
        <f>+'Special -Value added steel '!Y13</f>
        <v>0</v>
      </c>
      <c r="Z10" s="762"/>
      <c r="AA10" s="762">
        <f>+Q10+U10+Y10</f>
        <v>0</v>
      </c>
      <c r="AB10" s="1461"/>
      <c r="AC10" s="1461">
        <f>+O10+AA10</f>
        <v>0</v>
      </c>
      <c r="AD10" s="1392"/>
      <c r="AE10" s="1392">
        <f>+'Special -Value added steel '!AE13</f>
        <v>114.8</v>
      </c>
      <c r="AF10" s="757"/>
      <c r="AG10" s="757">
        <f>+AC10+AE10</f>
        <v>114.8</v>
      </c>
      <c r="AH10" s="1392"/>
      <c r="AI10" s="1392">
        <f>+'Special -Value added steel '!AI13</f>
        <v>0</v>
      </c>
      <c r="AJ10" s="757"/>
      <c r="AK10" s="757">
        <f>+AG10+AI10</f>
        <v>114.8</v>
      </c>
      <c r="AL10" s="1392"/>
      <c r="AM10" s="1392">
        <f>+'Special -Value added steel '!AM13</f>
        <v>0</v>
      </c>
      <c r="AN10" s="762"/>
      <c r="AO10" s="762">
        <f>+AE10+AI10+AM10</f>
        <v>114.8</v>
      </c>
      <c r="AP10" s="757"/>
      <c r="AQ10" s="757">
        <f>+AK10+AM10</f>
        <v>114.8</v>
      </c>
      <c r="AR10" s="1392"/>
      <c r="AS10" s="1392">
        <f>+'Special -Value added steel '!AS13</f>
        <v>0</v>
      </c>
      <c r="AT10" s="757"/>
      <c r="AU10" s="757">
        <f>+AQ10+AS10</f>
        <v>114.8</v>
      </c>
      <c r="AV10" s="1392"/>
      <c r="AW10" s="1392">
        <f>+'Special -Value added steel '!AW13</f>
        <v>0</v>
      </c>
      <c r="AX10" s="757"/>
      <c r="AY10" s="757">
        <f>+AU10+AW10</f>
        <v>114.8</v>
      </c>
      <c r="AZ10" s="1392"/>
      <c r="BA10" s="1392">
        <f>+'Special -Value added steel '!BA13</f>
        <v>0</v>
      </c>
      <c r="BB10" s="762"/>
      <c r="BC10" s="762">
        <f>+AS10+AW10+BA10</f>
        <v>0</v>
      </c>
      <c r="BD10" s="1461"/>
      <c r="BE10" s="1461">
        <f t="shared" ref="BE10:BE16" si="0">+AO10+BC10</f>
        <v>114.8</v>
      </c>
      <c r="BF10" s="757"/>
      <c r="BG10" s="757">
        <f>+AY10+BA10</f>
        <v>114.8</v>
      </c>
      <c r="BH10" s="26"/>
      <c r="BI10" s="26"/>
    </row>
    <row r="11" spans="4:61" ht="18.75" x14ac:dyDescent="0.3">
      <c r="D11" s="1464" t="s">
        <v>1019</v>
      </c>
      <c r="E11" s="6610"/>
      <c r="F11" s="1392"/>
      <c r="G11" s="1392">
        <f>+'Special -Value added steel '!G14</f>
        <v>506.35</v>
      </c>
      <c r="H11" s="1392"/>
      <c r="I11" s="1392">
        <f>+'Special -Value added steel '!I14</f>
        <v>110.7</v>
      </c>
      <c r="J11" s="757"/>
      <c r="K11" s="757">
        <f t="shared" ref="K11:K16" si="1">+G11+I11</f>
        <v>617.05000000000007</v>
      </c>
      <c r="L11" s="1392"/>
      <c r="M11" s="1392">
        <f>+'Special -Value added steel '!M14</f>
        <v>0</v>
      </c>
      <c r="N11" s="762"/>
      <c r="O11" s="762">
        <f t="shared" ref="O11:O16" si="2">+G11+I11+M11</f>
        <v>617.05000000000007</v>
      </c>
      <c r="P11" s="1392"/>
      <c r="Q11" s="1392">
        <f>+'Special -Value added steel '!Q14</f>
        <v>514.54999999999995</v>
      </c>
      <c r="R11" s="757"/>
      <c r="S11" s="757">
        <f t="shared" ref="S11:S16" si="3">+O11+Q11</f>
        <v>1131.5999999999999</v>
      </c>
      <c r="T11" s="1392"/>
      <c r="U11" s="1392">
        <f>+'Special -Value added steel '!U14</f>
        <v>0</v>
      </c>
      <c r="V11" s="757"/>
      <c r="W11" s="757">
        <f t="shared" ref="W11:W16" si="4">+S11+U11</f>
        <v>1131.5999999999999</v>
      </c>
      <c r="X11" s="1392"/>
      <c r="Y11" s="1392">
        <f>+'Special -Value added steel '!Y14</f>
        <v>412.05</v>
      </c>
      <c r="Z11" s="762"/>
      <c r="AA11" s="762">
        <f t="shared" ref="AA11:AA16" si="5">+Q11+U11+Y11</f>
        <v>926.59999999999991</v>
      </c>
      <c r="AB11" s="1461"/>
      <c r="AC11" s="1461">
        <f t="shared" ref="AC11:AC16" si="6">+O11+AA11</f>
        <v>1543.65</v>
      </c>
      <c r="AD11" s="1392"/>
      <c r="AE11" s="1392">
        <f>+'Special -Value added steel '!AE14</f>
        <v>526.84999999999991</v>
      </c>
      <c r="AF11" s="757"/>
      <c r="AG11" s="757">
        <f t="shared" ref="AG11:AG16" si="7">+AC11+AE11</f>
        <v>2070.5</v>
      </c>
      <c r="AH11" s="1392"/>
      <c r="AI11" s="1392">
        <f>+'Special -Value added steel '!AI14</f>
        <v>674.45</v>
      </c>
      <c r="AJ11" s="757"/>
      <c r="AK11" s="757">
        <f t="shared" ref="AK11:AK15" si="8">+AG11+AI11</f>
        <v>2744.95</v>
      </c>
      <c r="AL11" s="1392"/>
      <c r="AM11" s="1392">
        <f>+'Special -Value added steel '!AM14</f>
        <v>500.2</v>
      </c>
      <c r="AN11" s="762"/>
      <c r="AO11" s="762">
        <f t="shared" ref="AO11:AO16" si="9">+AE11+AI11+AM11</f>
        <v>1701.5</v>
      </c>
      <c r="AP11" s="757"/>
      <c r="AQ11" s="757">
        <f t="shared" ref="AQ11:AQ16" si="10">+AK11+AM11</f>
        <v>3245.1499999999996</v>
      </c>
      <c r="AR11" s="1392"/>
      <c r="AS11" s="1392">
        <f>+'Special -Value added steel '!AS14</f>
        <v>307.5</v>
      </c>
      <c r="AT11" s="757"/>
      <c r="AU11" s="757">
        <f t="shared" ref="AU11:AU16" si="11">+AQ11+AS11</f>
        <v>3552.6499999999996</v>
      </c>
      <c r="AV11" s="1392"/>
      <c r="AW11" s="1392">
        <f>+'Special -Value added steel '!AW14</f>
        <v>598.59999999999991</v>
      </c>
      <c r="AX11" s="757"/>
      <c r="AY11" s="757">
        <f t="shared" ref="AY11:AY16" si="12">+AU11+AW11</f>
        <v>4151.25</v>
      </c>
      <c r="AZ11" s="1392"/>
      <c r="BA11" s="1392">
        <f>+'Special -Value added steel '!BA14</f>
        <v>625.25</v>
      </c>
      <c r="BB11" s="762"/>
      <c r="BC11" s="762">
        <f t="shared" ref="BC11:BC16" si="13">+AS11+AW11+BA11</f>
        <v>1531.35</v>
      </c>
      <c r="BD11" s="1461"/>
      <c r="BE11" s="1461">
        <f t="shared" si="0"/>
        <v>3232.85</v>
      </c>
      <c r="BF11" s="757"/>
      <c r="BG11" s="757">
        <f t="shared" ref="BG11:BG16" si="14">+AY11+BA11</f>
        <v>4776.5</v>
      </c>
      <c r="BH11" s="26"/>
      <c r="BI11" s="26"/>
    </row>
    <row r="12" spans="4:61" ht="18.75" x14ac:dyDescent="0.3">
      <c r="D12" s="1464" t="s">
        <v>1188</v>
      </c>
      <c r="E12" s="6610"/>
      <c r="F12" s="1392"/>
      <c r="G12" s="1392">
        <f>+'Special -Value added steel '!G15</f>
        <v>207.05</v>
      </c>
      <c r="H12" s="1392"/>
      <c r="I12" s="1392">
        <f>+'Special -Value added steel '!I15</f>
        <v>0</v>
      </c>
      <c r="J12" s="757"/>
      <c r="K12" s="757">
        <f t="shared" si="1"/>
        <v>207.05</v>
      </c>
      <c r="L12" s="1392"/>
      <c r="M12" s="1392">
        <f>+'Special -Value added steel '!M15</f>
        <v>0</v>
      </c>
      <c r="N12" s="762"/>
      <c r="O12" s="762">
        <f t="shared" si="2"/>
        <v>207.05</v>
      </c>
      <c r="P12" s="1392"/>
      <c r="Q12" s="1392">
        <f>+'Special -Value added steel '!Q15</f>
        <v>96.35</v>
      </c>
      <c r="R12" s="757"/>
      <c r="S12" s="757">
        <f t="shared" si="3"/>
        <v>303.39999999999998</v>
      </c>
      <c r="T12" s="1392"/>
      <c r="U12" s="1392">
        <f>+'Special -Value added steel '!U15</f>
        <v>0</v>
      </c>
      <c r="V12" s="757"/>
      <c r="W12" s="757">
        <f t="shared" si="4"/>
        <v>303.39999999999998</v>
      </c>
      <c r="X12" s="1392"/>
      <c r="Y12" s="1392">
        <f>+'Special -Value added steel '!Y15</f>
        <v>0</v>
      </c>
      <c r="Z12" s="762"/>
      <c r="AA12" s="762">
        <f t="shared" si="5"/>
        <v>96.35</v>
      </c>
      <c r="AB12" s="1461"/>
      <c r="AC12" s="1461">
        <f t="shared" si="6"/>
        <v>303.39999999999998</v>
      </c>
      <c r="AD12" s="1392"/>
      <c r="AE12" s="1392">
        <f>+'Special -Value added steel '!AE15</f>
        <v>0</v>
      </c>
      <c r="AF12" s="757"/>
      <c r="AG12" s="757">
        <f t="shared" si="7"/>
        <v>303.39999999999998</v>
      </c>
      <c r="AH12" s="1392"/>
      <c r="AI12" s="1392">
        <f>+'Special -Value added steel '!AI15</f>
        <v>0</v>
      </c>
      <c r="AJ12" s="757"/>
      <c r="AK12" s="757">
        <f t="shared" si="8"/>
        <v>303.39999999999998</v>
      </c>
      <c r="AL12" s="1392"/>
      <c r="AM12" s="1392">
        <f>+'Special -Value added steel '!AM15</f>
        <v>0</v>
      </c>
      <c r="AN12" s="762"/>
      <c r="AO12" s="762">
        <f t="shared" si="9"/>
        <v>0</v>
      </c>
      <c r="AP12" s="757"/>
      <c r="AQ12" s="757">
        <f t="shared" si="10"/>
        <v>303.39999999999998</v>
      </c>
      <c r="AR12" s="1392"/>
      <c r="AS12" s="1392">
        <f>+'Special -Value added steel '!AS15</f>
        <v>0</v>
      </c>
      <c r="AT12" s="757"/>
      <c r="AU12" s="757">
        <f t="shared" si="11"/>
        <v>303.39999999999998</v>
      </c>
      <c r="AV12" s="1392"/>
      <c r="AW12" s="1392">
        <f>+'Special -Value added steel '!AW15</f>
        <v>0</v>
      </c>
      <c r="AX12" s="757"/>
      <c r="AY12" s="757">
        <f t="shared" si="12"/>
        <v>303.39999999999998</v>
      </c>
      <c r="AZ12" s="1392"/>
      <c r="BA12" s="1392">
        <f>+'Special -Value added steel '!BA15</f>
        <v>0</v>
      </c>
      <c r="BB12" s="762"/>
      <c r="BC12" s="762">
        <f t="shared" si="13"/>
        <v>0</v>
      </c>
      <c r="BD12" s="1461"/>
      <c r="BE12" s="1461">
        <f t="shared" si="0"/>
        <v>0</v>
      </c>
      <c r="BF12" s="757"/>
      <c r="BG12" s="757">
        <f t="shared" si="14"/>
        <v>303.39999999999998</v>
      </c>
      <c r="BH12" s="26"/>
      <c r="BI12" s="26"/>
    </row>
    <row r="13" spans="4:61" ht="18.75" x14ac:dyDescent="0.3">
      <c r="D13" s="1464" t="s">
        <v>1021</v>
      </c>
      <c r="E13" s="6610"/>
      <c r="F13" s="1392"/>
      <c r="G13" s="1392">
        <f>+'Special -Value added steel '!G16</f>
        <v>904.05000000000007</v>
      </c>
      <c r="H13" s="1392"/>
      <c r="I13" s="1392">
        <f>+'Special -Value added steel '!I16</f>
        <v>157.85</v>
      </c>
      <c r="J13" s="757"/>
      <c r="K13" s="757">
        <f t="shared" si="1"/>
        <v>1061.9000000000001</v>
      </c>
      <c r="L13" s="1392"/>
      <c r="M13" s="1392">
        <f>+'Special -Value added steel '!M16</f>
        <v>0</v>
      </c>
      <c r="N13" s="762"/>
      <c r="O13" s="762">
        <f t="shared" si="2"/>
        <v>1061.9000000000001</v>
      </c>
      <c r="P13" s="1392"/>
      <c r="Q13" s="1392">
        <f>+'Special -Value added steel '!Q16</f>
        <v>643.69999999999993</v>
      </c>
      <c r="R13" s="757"/>
      <c r="S13" s="757">
        <f t="shared" si="3"/>
        <v>1705.6</v>
      </c>
      <c r="T13" s="1392"/>
      <c r="U13" s="1392">
        <f>+'Special -Value added steel '!U16</f>
        <v>0</v>
      </c>
      <c r="V13" s="757"/>
      <c r="W13" s="757">
        <f t="shared" si="4"/>
        <v>1705.6</v>
      </c>
      <c r="X13" s="1392"/>
      <c r="Y13" s="1392">
        <f>+'Special -Value added steel '!Y16</f>
        <v>487.90000000000003</v>
      </c>
      <c r="Z13" s="762"/>
      <c r="AA13" s="762">
        <f t="shared" si="5"/>
        <v>1131.5999999999999</v>
      </c>
      <c r="AB13" s="1461"/>
      <c r="AC13" s="1461">
        <f t="shared" si="6"/>
        <v>2193.5</v>
      </c>
      <c r="AD13" s="1392"/>
      <c r="AE13" s="1392">
        <f>+'Special -Value added steel '!AE16</f>
        <v>707.25</v>
      </c>
      <c r="AF13" s="757"/>
      <c r="AG13" s="757">
        <f t="shared" si="7"/>
        <v>2900.75</v>
      </c>
      <c r="AH13" s="1392"/>
      <c r="AI13" s="1392">
        <f>+'Special -Value added steel '!AI16</f>
        <v>877.40000000000009</v>
      </c>
      <c r="AJ13" s="757"/>
      <c r="AK13" s="757">
        <f t="shared" si="8"/>
        <v>3778.15</v>
      </c>
      <c r="AL13" s="1392"/>
      <c r="AM13" s="1392">
        <f>+'Special -Value added steel '!AM16</f>
        <v>510.45</v>
      </c>
      <c r="AN13" s="762"/>
      <c r="AO13" s="762">
        <f t="shared" si="9"/>
        <v>2095.1</v>
      </c>
      <c r="AP13" s="757"/>
      <c r="AQ13" s="757">
        <f t="shared" si="10"/>
        <v>4288.6000000000004</v>
      </c>
      <c r="AR13" s="1392"/>
      <c r="AS13" s="1392">
        <f>+'Special -Value added steel '!AS16</f>
        <v>387.45</v>
      </c>
      <c r="AT13" s="757"/>
      <c r="AU13" s="757">
        <f t="shared" si="11"/>
        <v>4676.05</v>
      </c>
      <c r="AV13" s="1392"/>
      <c r="AW13" s="1392">
        <f>+'Special -Value added steel '!AW16</f>
        <v>660.09999999999991</v>
      </c>
      <c r="AX13" s="757"/>
      <c r="AY13" s="757">
        <f t="shared" si="12"/>
        <v>5336.15</v>
      </c>
      <c r="AZ13" s="1392"/>
      <c r="BA13" s="1392">
        <f>+'Special -Value added steel '!BA16</f>
        <v>707.25</v>
      </c>
      <c r="BB13" s="762"/>
      <c r="BC13" s="762">
        <f t="shared" si="13"/>
        <v>1754.8</v>
      </c>
      <c r="BD13" s="1461"/>
      <c r="BE13" s="1461">
        <f t="shared" si="0"/>
        <v>3849.8999999999996</v>
      </c>
      <c r="BF13" s="757"/>
      <c r="BG13" s="757">
        <f t="shared" si="14"/>
        <v>6043.4</v>
      </c>
      <c r="BH13" s="26"/>
      <c r="BI13" s="26"/>
    </row>
    <row r="14" spans="4:61" ht="18.75" x14ac:dyDescent="0.3">
      <c r="D14" s="1464" t="s">
        <v>1195</v>
      </c>
      <c r="E14" s="6610"/>
      <c r="F14" s="1392"/>
      <c r="G14" s="1392">
        <f>+'Special -Value added steel '!G17</f>
        <v>51.25</v>
      </c>
      <c r="H14" s="1392"/>
      <c r="I14" s="1392">
        <f>+'Special -Value added steel '!I17</f>
        <v>86.1</v>
      </c>
      <c r="J14" s="757"/>
      <c r="K14" s="757">
        <f t="shared" si="1"/>
        <v>137.35</v>
      </c>
      <c r="L14" s="1392"/>
      <c r="M14" s="1392">
        <f>+'Special -Value added steel '!M17</f>
        <v>53.3</v>
      </c>
      <c r="N14" s="762"/>
      <c r="O14" s="762">
        <f t="shared" si="2"/>
        <v>190.64999999999998</v>
      </c>
      <c r="P14" s="1392"/>
      <c r="Q14" s="1392">
        <f>+'Special -Value added steel '!Q17</f>
        <v>111.05</v>
      </c>
      <c r="R14" s="757"/>
      <c r="S14" s="757">
        <f t="shared" si="3"/>
        <v>301.7</v>
      </c>
      <c r="T14" s="1392"/>
      <c r="U14" s="1392">
        <f>+'Special -Value added steel '!U17</f>
        <v>2.0499999999999998</v>
      </c>
      <c r="V14" s="757"/>
      <c r="W14" s="757">
        <f t="shared" si="4"/>
        <v>303.75</v>
      </c>
      <c r="X14" s="1392"/>
      <c r="Y14" s="1392">
        <f>+'Special -Value added steel '!Y17</f>
        <v>47.15</v>
      </c>
      <c r="Z14" s="762"/>
      <c r="AA14" s="762">
        <f t="shared" si="5"/>
        <v>160.25</v>
      </c>
      <c r="AB14" s="1461"/>
      <c r="AC14" s="1461">
        <f t="shared" si="6"/>
        <v>350.9</v>
      </c>
      <c r="AD14" s="1392"/>
      <c r="AE14" s="1392">
        <f>+'Special -Value added steel '!AE17</f>
        <v>539.15</v>
      </c>
      <c r="AF14" s="757"/>
      <c r="AG14" s="757">
        <f t="shared" si="7"/>
        <v>890.05</v>
      </c>
      <c r="AH14" s="1392"/>
      <c r="AI14" s="1392">
        <f>+'Special -Value added steel '!AI17</f>
        <v>457.15</v>
      </c>
      <c r="AJ14" s="757"/>
      <c r="AK14" s="757">
        <f t="shared" si="8"/>
        <v>1347.1999999999998</v>
      </c>
      <c r="AL14" s="1392"/>
      <c r="AM14" s="1392">
        <f>+'Special -Value added steel '!AM17</f>
        <v>14.35</v>
      </c>
      <c r="AN14" s="762"/>
      <c r="AO14" s="762">
        <f t="shared" si="9"/>
        <v>1010.65</v>
      </c>
      <c r="AP14" s="757"/>
      <c r="AQ14" s="757">
        <f t="shared" si="10"/>
        <v>1361.5499999999997</v>
      </c>
      <c r="AR14" s="1392"/>
      <c r="AS14" s="1392">
        <f>+'Special -Value added steel '!AS17</f>
        <v>75.849999999999994</v>
      </c>
      <c r="AT14" s="757"/>
      <c r="AU14" s="757">
        <f t="shared" si="11"/>
        <v>1437.3999999999996</v>
      </c>
      <c r="AV14" s="1392"/>
      <c r="AW14" s="1392">
        <f>+'Special -Value added steel '!AW17</f>
        <v>196.8</v>
      </c>
      <c r="AX14" s="757"/>
      <c r="AY14" s="757">
        <f t="shared" si="12"/>
        <v>1634.1999999999996</v>
      </c>
      <c r="AZ14" s="1392"/>
      <c r="BA14" s="1392">
        <f>+'Special -Value added steel '!BA17</f>
        <v>789.25</v>
      </c>
      <c r="BB14" s="762"/>
      <c r="BC14" s="762">
        <f t="shared" si="13"/>
        <v>1061.9000000000001</v>
      </c>
      <c r="BD14" s="1461"/>
      <c r="BE14" s="1461">
        <f t="shared" si="0"/>
        <v>2072.5500000000002</v>
      </c>
      <c r="BF14" s="757"/>
      <c r="BG14" s="757">
        <f t="shared" si="14"/>
        <v>2423.4499999999998</v>
      </c>
      <c r="BH14" s="26"/>
      <c r="BI14" s="26"/>
    </row>
    <row r="15" spans="4:61" s="4213" customFormat="1" ht="18.75" x14ac:dyDescent="0.3">
      <c r="D15" s="1464" t="s">
        <v>1022</v>
      </c>
      <c r="E15" s="6610"/>
      <c r="F15" s="1392"/>
      <c r="G15" s="1392">
        <f>+'Special -Value added steel '!G18</f>
        <v>0</v>
      </c>
      <c r="H15" s="1392"/>
      <c r="I15" s="1392">
        <f>+'Special -Value added steel '!I18</f>
        <v>0</v>
      </c>
      <c r="J15" s="757"/>
      <c r="K15" s="757"/>
      <c r="L15" s="1392"/>
      <c r="M15" s="1392">
        <f>+'Special -Value added steel '!M18</f>
        <v>0</v>
      </c>
      <c r="N15" s="762"/>
      <c r="O15" s="762">
        <f t="shared" si="2"/>
        <v>0</v>
      </c>
      <c r="P15" s="1392"/>
      <c r="Q15" s="1392">
        <f>+'Special -Value added steel '!Q18</f>
        <v>0</v>
      </c>
      <c r="R15" s="757"/>
      <c r="S15" s="757"/>
      <c r="T15" s="1392"/>
      <c r="U15" s="1392">
        <f>+'Special -Value added steel '!U18</f>
        <v>0</v>
      </c>
      <c r="V15" s="757"/>
      <c r="W15" s="757">
        <f t="shared" si="4"/>
        <v>0</v>
      </c>
      <c r="X15" s="1392"/>
      <c r="Y15" s="1392">
        <f>+'Special -Value added steel '!Y18</f>
        <v>0</v>
      </c>
      <c r="Z15" s="762"/>
      <c r="AA15" s="762">
        <f t="shared" si="5"/>
        <v>0</v>
      </c>
      <c r="AB15" s="1461"/>
      <c r="AC15" s="1461">
        <f t="shared" si="6"/>
        <v>0</v>
      </c>
      <c r="AD15" s="1392"/>
      <c r="AE15" s="1392">
        <f>+'Special -Value added steel '!AE18</f>
        <v>0</v>
      </c>
      <c r="AF15" s="757"/>
      <c r="AG15" s="757">
        <f t="shared" si="7"/>
        <v>0</v>
      </c>
      <c r="AH15" s="1392"/>
      <c r="AI15" s="1392">
        <f>+'Special -Value added steel '!AI18</f>
        <v>65.599999999999994</v>
      </c>
      <c r="AJ15" s="757"/>
      <c r="AK15" s="757">
        <f t="shared" si="8"/>
        <v>65.599999999999994</v>
      </c>
      <c r="AL15" s="1392"/>
      <c r="AM15" s="1392">
        <f>+'Special -Value added steel '!AM18</f>
        <v>0</v>
      </c>
      <c r="AN15" s="762"/>
      <c r="AO15" s="762">
        <f t="shared" si="9"/>
        <v>65.599999999999994</v>
      </c>
      <c r="AP15" s="757"/>
      <c r="AQ15" s="757">
        <f t="shared" si="10"/>
        <v>65.599999999999994</v>
      </c>
      <c r="AR15" s="1392"/>
      <c r="AS15" s="1392">
        <f>+'Special -Value added steel '!AS18</f>
        <v>0</v>
      </c>
      <c r="AT15" s="757"/>
      <c r="AU15" s="757">
        <f t="shared" si="11"/>
        <v>65.599999999999994</v>
      </c>
      <c r="AV15" s="1392"/>
      <c r="AW15" s="1392">
        <f>+'Special -Value added steel '!AW18</f>
        <v>0</v>
      </c>
      <c r="AX15" s="757"/>
      <c r="AY15" s="757">
        <f t="shared" si="12"/>
        <v>65.599999999999994</v>
      </c>
      <c r="AZ15" s="1392"/>
      <c r="BA15" s="1392">
        <f>+'Special -Value added steel '!BA18</f>
        <v>0</v>
      </c>
      <c r="BB15" s="762"/>
      <c r="BC15" s="762">
        <f t="shared" si="13"/>
        <v>0</v>
      </c>
      <c r="BD15" s="1461"/>
      <c r="BE15" s="1461">
        <f t="shared" si="0"/>
        <v>65.599999999999994</v>
      </c>
      <c r="BF15" s="757"/>
      <c r="BG15" s="757">
        <f t="shared" si="14"/>
        <v>65.599999999999994</v>
      </c>
      <c r="BH15" s="26"/>
      <c r="BI15" s="26"/>
    </row>
    <row r="16" spans="4:61" ht="18.75" x14ac:dyDescent="0.3">
      <c r="D16" s="1464" t="s">
        <v>1196</v>
      </c>
      <c r="E16" s="6610"/>
      <c r="F16" s="1392"/>
      <c r="G16" s="1392">
        <f>+'Special -Value added steel '!G20</f>
        <v>4797</v>
      </c>
      <c r="H16" s="1392"/>
      <c r="I16" s="1392">
        <f>+'Special -Value added steel '!I20</f>
        <v>2947.9</v>
      </c>
      <c r="J16" s="757"/>
      <c r="K16" s="757">
        <f t="shared" si="1"/>
        <v>7744.9</v>
      </c>
      <c r="L16" s="1392"/>
      <c r="M16" s="1392">
        <f>+'Special -Value added steel '!M20</f>
        <v>5005.5</v>
      </c>
      <c r="N16" s="762"/>
      <c r="O16" s="762">
        <f t="shared" si="2"/>
        <v>12750.4</v>
      </c>
      <c r="P16" s="1392"/>
      <c r="Q16" s="1392">
        <f>+'Special -Value added steel '!Q20</f>
        <v>5036.24</v>
      </c>
      <c r="R16" s="757"/>
      <c r="S16" s="757">
        <f t="shared" si="3"/>
        <v>17786.64</v>
      </c>
      <c r="T16" s="1392"/>
      <c r="U16" s="1392">
        <f>+'Special -Value added steel '!U20</f>
        <v>8546.450000000008</v>
      </c>
      <c r="V16" s="757"/>
      <c r="W16" s="757">
        <f t="shared" si="4"/>
        <v>26333.090000000007</v>
      </c>
      <c r="X16" s="1392"/>
      <c r="Y16" s="1392">
        <f>+'Special -Value added steel '!Y20</f>
        <v>11612.225</v>
      </c>
      <c r="Z16" s="762"/>
      <c r="AA16" s="762">
        <f t="shared" si="5"/>
        <v>25194.915000000008</v>
      </c>
      <c r="AB16" s="1461"/>
      <c r="AC16" s="1461">
        <f t="shared" si="6"/>
        <v>37945.31500000001</v>
      </c>
      <c r="AD16" s="1392"/>
      <c r="AE16" s="1392">
        <f>+'Special -Value added steel '!AE20</f>
        <v>11092.55</v>
      </c>
      <c r="AF16" s="757"/>
      <c r="AG16" s="757">
        <f t="shared" si="7"/>
        <v>49037.865000000005</v>
      </c>
      <c r="AH16" s="1392"/>
      <c r="AI16" s="1392">
        <f>+'Special -Value added steel '!AI20</f>
        <v>6430.85</v>
      </c>
      <c r="AJ16" s="757"/>
      <c r="AK16" s="757">
        <f t="shared" ref="AK16" si="15">+AG16+AI16</f>
        <v>55468.715000000004</v>
      </c>
      <c r="AL16" s="1392"/>
      <c r="AM16" s="1392">
        <f>+'Special -Value added steel '!AM20</f>
        <v>4827.7499999999991</v>
      </c>
      <c r="AN16" s="762"/>
      <c r="AO16" s="762">
        <f t="shared" si="9"/>
        <v>22351.15</v>
      </c>
      <c r="AP16" s="757"/>
      <c r="AQ16" s="757">
        <f t="shared" si="10"/>
        <v>60296.465000000004</v>
      </c>
      <c r="AR16" s="1392"/>
      <c r="AS16" s="1392">
        <f>+'Special -Value added steel '!AS20</f>
        <v>6112.6</v>
      </c>
      <c r="AT16" s="757"/>
      <c r="AU16" s="757">
        <f t="shared" si="11"/>
        <v>66409.065000000002</v>
      </c>
      <c r="AV16" s="1392"/>
      <c r="AW16" s="1392">
        <f>+'Special -Value added steel '!AW20</f>
        <v>7863.8000000000029</v>
      </c>
      <c r="AX16" s="757"/>
      <c r="AY16" s="757">
        <f t="shared" si="12"/>
        <v>74272.865000000005</v>
      </c>
      <c r="AZ16" s="1392"/>
      <c r="BA16" s="1392">
        <f>+'Special -Value added steel '!BA20</f>
        <v>12566.5</v>
      </c>
      <c r="BB16" s="762"/>
      <c r="BC16" s="762">
        <f t="shared" si="13"/>
        <v>26542.9</v>
      </c>
      <c r="BD16" s="1461"/>
      <c r="BE16" s="1461">
        <f t="shared" si="0"/>
        <v>48894.05</v>
      </c>
      <c r="BF16" s="757"/>
      <c r="BG16" s="757">
        <f t="shared" si="14"/>
        <v>86839.365000000005</v>
      </c>
      <c r="BH16" s="26"/>
      <c r="BI16" s="26"/>
    </row>
    <row r="17" spans="4:61" ht="19.5" thickBot="1" x14ac:dyDescent="0.35">
      <c r="D17" s="1465" t="s">
        <v>2</v>
      </c>
      <c r="E17" s="6611"/>
      <c r="F17" s="1466"/>
      <c r="G17" s="1466">
        <f t="shared" ref="G17:AC17" si="16">SUM(G9:G16)</f>
        <v>6908.5</v>
      </c>
      <c r="H17" s="1466">
        <f t="shared" si="16"/>
        <v>0</v>
      </c>
      <c r="I17" s="1466">
        <f t="shared" si="16"/>
        <v>3302.55</v>
      </c>
      <c r="J17" s="1466">
        <f t="shared" si="16"/>
        <v>0</v>
      </c>
      <c r="K17" s="1466">
        <f t="shared" si="16"/>
        <v>10211.049999999999</v>
      </c>
      <c r="L17" s="1466">
        <f t="shared" si="16"/>
        <v>0</v>
      </c>
      <c r="M17" s="1466">
        <f t="shared" si="16"/>
        <v>5058.8</v>
      </c>
      <c r="N17" s="1466">
        <f t="shared" si="16"/>
        <v>0</v>
      </c>
      <c r="O17" s="1466">
        <f t="shared" si="16"/>
        <v>15269.85</v>
      </c>
      <c r="P17" s="1466">
        <f t="shared" si="16"/>
        <v>0</v>
      </c>
      <c r="Q17" s="1466">
        <f t="shared" si="16"/>
        <v>6904.1399999999994</v>
      </c>
      <c r="R17" s="1466">
        <f t="shared" si="16"/>
        <v>0</v>
      </c>
      <c r="S17" s="1466">
        <f t="shared" si="16"/>
        <v>22173.989999999998</v>
      </c>
      <c r="T17" s="1466">
        <f t="shared" si="16"/>
        <v>0</v>
      </c>
      <c r="U17" s="1466">
        <f t="shared" ref="U17:W17" si="17">SUM(U9:U16)</f>
        <v>8548.5000000000073</v>
      </c>
      <c r="V17" s="1466">
        <f t="shared" si="17"/>
        <v>0</v>
      </c>
      <c r="W17" s="1466">
        <f t="shared" si="17"/>
        <v>30722.490000000005</v>
      </c>
      <c r="X17" s="1466">
        <f t="shared" si="16"/>
        <v>0</v>
      </c>
      <c r="Y17" s="1466">
        <f t="shared" ref="Y17" si="18">SUM(Y9:Y16)</f>
        <v>12704.875</v>
      </c>
      <c r="Z17" s="1466">
        <f t="shared" si="16"/>
        <v>0</v>
      </c>
      <c r="AA17" s="1466">
        <f t="shared" si="16"/>
        <v>28157.515000000007</v>
      </c>
      <c r="AB17" s="1466">
        <f t="shared" si="16"/>
        <v>0</v>
      </c>
      <c r="AC17" s="1466">
        <f t="shared" si="16"/>
        <v>43427.365000000005</v>
      </c>
      <c r="AD17" s="1466">
        <f t="shared" ref="AD17" si="19">SUM(AD9:AD16)</f>
        <v>0</v>
      </c>
      <c r="AE17" s="1466">
        <f t="shared" ref="AE17:AH17" si="20">SUM(AE9:AE16)</f>
        <v>13829.3</v>
      </c>
      <c r="AF17" s="1466">
        <f t="shared" si="20"/>
        <v>0</v>
      </c>
      <c r="AG17" s="1466">
        <f t="shared" si="20"/>
        <v>57256.665000000008</v>
      </c>
      <c r="AH17" s="1466">
        <f t="shared" si="20"/>
        <v>0</v>
      </c>
      <c r="AI17" s="1466">
        <f t="shared" ref="AI17:AL17" si="21">SUM(AI9:AI16)</f>
        <v>8722.75</v>
      </c>
      <c r="AJ17" s="1466">
        <f t="shared" si="21"/>
        <v>0</v>
      </c>
      <c r="AK17" s="1466">
        <f t="shared" si="21"/>
        <v>65979.415000000008</v>
      </c>
      <c r="AL17" s="1466">
        <f t="shared" si="21"/>
        <v>0</v>
      </c>
      <c r="AM17" s="1466">
        <f t="shared" ref="AM17:AU17" si="22">SUM(AM9:AM16)</f>
        <v>6260.6999999999989</v>
      </c>
      <c r="AN17" s="1466">
        <f t="shared" ref="AN17:AO17" si="23">SUM(AN9:AN16)</f>
        <v>0</v>
      </c>
      <c r="AO17" s="1466">
        <f t="shared" si="23"/>
        <v>28812.75</v>
      </c>
      <c r="AP17" s="1466">
        <f t="shared" si="22"/>
        <v>0</v>
      </c>
      <c r="AQ17" s="1466">
        <f t="shared" si="22"/>
        <v>72240.115000000005</v>
      </c>
      <c r="AR17" s="1466">
        <f t="shared" si="22"/>
        <v>0</v>
      </c>
      <c r="AS17" s="1466">
        <f t="shared" si="22"/>
        <v>7387.7000000000007</v>
      </c>
      <c r="AT17" s="1466">
        <f t="shared" si="22"/>
        <v>0</v>
      </c>
      <c r="AU17" s="1466">
        <f t="shared" si="22"/>
        <v>79627.815000000002</v>
      </c>
      <c r="AV17" s="1466">
        <f t="shared" ref="AV17:AY17" si="24">SUM(AV9:AV16)</f>
        <v>0</v>
      </c>
      <c r="AW17" s="1466">
        <f t="shared" si="24"/>
        <v>9803.1000000000022</v>
      </c>
      <c r="AX17" s="1466">
        <f t="shared" si="24"/>
        <v>0</v>
      </c>
      <c r="AY17" s="1466">
        <f t="shared" si="24"/>
        <v>89430.915000000008</v>
      </c>
      <c r="AZ17" s="1466">
        <f t="shared" ref="AZ17:BG17" si="25">SUM(AZ9:AZ16)</f>
        <v>0</v>
      </c>
      <c r="BA17" s="1466">
        <f t="shared" si="25"/>
        <v>15245.85</v>
      </c>
      <c r="BB17" s="1466">
        <f t="shared" ref="BB17:BE17" si="26">SUM(BB9:BB16)</f>
        <v>0</v>
      </c>
      <c r="BC17" s="1466">
        <f t="shared" si="26"/>
        <v>32436.65</v>
      </c>
      <c r="BD17" s="1466">
        <f t="shared" si="26"/>
        <v>0</v>
      </c>
      <c r="BE17" s="1466">
        <f t="shared" si="26"/>
        <v>61249.4</v>
      </c>
      <c r="BF17" s="1466">
        <f t="shared" si="25"/>
        <v>0</v>
      </c>
      <c r="BG17" s="1466">
        <f t="shared" si="25"/>
        <v>104676.765</v>
      </c>
      <c r="BH17" s="26"/>
      <c r="BI17" s="26"/>
    </row>
  </sheetData>
  <mergeCells count="29">
    <mergeCell ref="AZ8:BA8"/>
    <mergeCell ref="BF8:BG8"/>
    <mergeCell ref="BB8:BC8"/>
    <mergeCell ref="BD8:BE8"/>
    <mergeCell ref="D6:AC6"/>
    <mergeCell ref="N8:O8"/>
    <mergeCell ref="P8:Q8"/>
    <mergeCell ref="R8:S8"/>
    <mergeCell ref="T8:U8"/>
    <mergeCell ref="V8:W8"/>
    <mergeCell ref="X8:Y8"/>
    <mergeCell ref="Z8:AA8"/>
    <mergeCell ref="AB8:AC8"/>
    <mergeCell ref="AV8:AW8"/>
    <mergeCell ref="AX8:AY8"/>
    <mergeCell ref="AH8:AI8"/>
    <mergeCell ref="E9:E17"/>
    <mergeCell ref="F8:G8"/>
    <mergeCell ref="H8:I8"/>
    <mergeCell ref="J8:K8"/>
    <mergeCell ref="L8:M8"/>
    <mergeCell ref="AR8:AS8"/>
    <mergeCell ref="AT8:AU8"/>
    <mergeCell ref="AD8:AE8"/>
    <mergeCell ref="AF8:AG8"/>
    <mergeCell ref="AL8:AM8"/>
    <mergeCell ref="AP8:AQ8"/>
    <mergeCell ref="AN8:AO8"/>
    <mergeCell ref="AJ8:AK8"/>
  </mergeCells>
  <pageMargins left="0.7" right="0.7" top="0.75" bottom="0.75" header="0.3" footer="0.3"/>
  <pageSetup paperSize="9" orientation="portrait" verticalDpi="0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>
    <tabColor rgb="FF0000FF"/>
    <pageSetUpPr fitToPage="1"/>
  </sheetPr>
  <dimension ref="C2:BH17"/>
  <sheetViews>
    <sheetView zoomScale="84" zoomScaleNormal="84" workbookViewId="0">
      <pane xSplit="3" topLeftCell="AM1" activePane="topRight" state="frozen"/>
      <selection pane="topRight" activeCell="AZ13" sqref="AZ13"/>
    </sheetView>
  </sheetViews>
  <sheetFormatPr defaultColWidth="8.85546875" defaultRowHeight="18.75" x14ac:dyDescent="0.3"/>
  <cols>
    <col min="1" max="2" width="8.85546875" style="658"/>
    <col min="3" max="3" width="53.140625" style="658" customWidth="1"/>
    <col min="4" max="4" width="19.42578125" style="658" customWidth="1"/>
    <col min="5" max="5" width="11.7109375" style="658" customWidth="1"/>
    <col min="6" max="6" width="13.5703125" style="658" customWidth="1"/>
    <col min="7" max="8" width="9.140625" style="658" customWidth="1"/>
    <col min="9" max="10" width="9.140625" style="658" hidden="1" customWidth="1"/>
    <col min="11" max="16" width="9.140625" style="658" customWidth="1"/>
    <col min="17" max="18" width="9.140625" style="658" hidden="1" customWidth="1"/>
    <col min="19" max="28" width="9.140625" style="658" customWidth="1"/>
    <col min="29" max="30" width="8.85546875" style="658"/>
    <col min="31" max="32" width="0" style="658" hidden="1" customWidth="1"/>
    <col min="33" max="34" width="8.85546875" style="658"/>
    <col min="35" max="36" width="8.85546875" style="658" hidden="1" customWidth="1"/>
    <col min="37" max="40" width="8.85546875" style="658"/>
    <col min="41" max="42" width="0" style="658" hidden="1" customWidth="1"/>
    <col min="43" max="44" width="8.85546875" style="658"/>
    <col min="45" max="46" width="0" style="658" hidden="1" customWidth="1"/>
    <col min="47" max="48" width="8.85546875" style="658"/>
    <col min="49" max="50" width="0" style="658" hidden="1" customWidth="1"/>
    <col min="51" max="16384" width="8.85546875" style="658"/>
  </cols>
  <sheetData>
    <row r="2" spans="3:60" x14ac:dyDescent="0.3">
      <c r="C2" s="3459" t="s">
        <v>690</v>
      </c>
    </row>
    <row r="3" spans="3:60" ht="15.75" customHeight="1" thickBot="1" x14ac:dyDescent="0.35">
      <c r="C3" s="3460"/>
    </row>
    <row r="4" spans="3:60" ht="19.5" thickBot="1" x14ac:dyDescent="0.35">
      <c r="C4" s="6624" t="s">
        <v>607</v>
      </c>
      <c r="D4" s="6626" t="s">
        <v>176</v>
      </c>
      <c r="E4" s="6619" t="s">
        <v>1470</v>
      </c>
      <c r="F4" s="6628"/>
      <c r="G4" s="6619" t="s">
        <v>1526</v>
      </c>
      <c r="H4" s="6619"/>
      <c r="I4" s="6617" t="s">
        <v>15</v>
      </c>
      <c r="J4" s="6618"/>
      <c r="K4" s="6620" t="s">
        <v>1620</v>
      </c>
      <c r="L4" s="6621"/>
      <c r="M4" s="6622" t="s">
        <v>142</v>
      </c>
      <c r="N4" s="6623"/>
      <c r="O4" s="6619" t="s">
        <v>1688</v>
      </c>
      <c r="P4" s="6619"/>
      <c r="Q4" s="6617" t="s">
        <v>18</v>
      </c>
      <c r="R4" s="6618"/>
      <c r="S4" s="6619" t="s">
        <v>1731</v>
      </c>
      <c r="T4" s="6619"/>
      <c r="U4" s="6617" t="s">
        <v>19</v>
      </c>
      <c r="V4" s="6618"/>
      <c r="W4" s="6619" t="s">
        <v>1766</v>
      </c>
      <c r="X4" s="6619"/>
      <c r="Y4" s="6629" t="s">
        <v>143</v>
      </c>
      <c r="Z4" s="6623"/>
      <c r="AA4" s="6630" t="s">
        <v>520</v>
      </c>
      <c r="AB4" s="6631"/>
      <c r="AC4" s="6619" t="s">
        <v>1831</v>
      </c>
      <c r="AD4" s="6619"/>
      <c r="AE4" s="6617" t="s">
        <v>26</v>
      </c>
      <c r="AF4" s="6618"/>
      <c r="AG4" s="6619" t="s">
        <v>1863</v>
      </c>
      <c r="AH4" s="6619"/>
      <c r="AI4" s="6617" t="s">
        <v>29</v>
      </c>
      <c r="AJ4" s="6618"/>
      <c r="AK4" s="6619" t="s">
        <v>1888</v>
      </c>
      <c r="AL4" s="6619"/>
      <c r="AM4" s="6629" t="s">
        <v>1892</v>
      </c>
      <c r="AN4" s="6623"/>
      <c r="AO4" s="6617" t="s">
        <v>1890</v>
      </c>
      <c r="AP4" s="6618"/>
      <c r="AQ4" s="6620" t="s">
        <v>1918</v>
      </c>
      <c r="AR4" s="6621"/>
      <c r="AS4" s="6615" t="s">
        <v>30</v>
      </c>
      <c r="AT4" s="6616"/>
      <c r="AU4" s="6620" t="s">
        <v>1940</v>
      </c>
      <c r="AV4" s="6621"/>
      <c r="AW4" s="6615" t="s">
        <v>32</v>
      </c>
      <c r="AX4" s="6616"/>
      <c r="AY4" s="6620" t="s">
        <v>1965</v>
      </c>
      <c r="AZ4" s="6621"/>
      <c r="BA4" s="6629" t="s">
        <v>1966</v>
      </c>
      <c r="BB4" s="6623"/>
      <c r="BC4" s="6630" t="s">
        <v>558</v>
      </c>
      <c r="BD4" s="6631"/>
      <c r="BE4" s="6615" t="s">
        <v>1513</v>
      </c>
      <c r="BF4" s="6616"/>
    </row>
    <row r="5" spans="3:60" ht="19.5" thickBot="1" x14ac:dyDescent="0.35">
      <c r="C5" s="6625"/>
      <c r="D5" s="6627"/>
      <c r="E5" s="3461" t="s">
        <v>177</v>
      </c>
      <c r="F5" s="3462" t="s">
        <v>178</v>
      </c>
      <c r="G5" s="3461" t="s">
        <v>177</v>
      </c>
      <c r="H5" s="3463" t="s">
        <v>178</v>
      </c>
      <c r="I5" s="3464" t="s">
        <v>177</v>
      </c>
      <c r="J5" s="3465" t="s">
        <v>178</v>
      </c>
      <c r="K5" s="3466" t="s">
        <v>177</v>
      </c>
      <c r="L5" s="3467" t="s">
        <v>178</v>
      </c>
      <c r="M5" s="3468" t="s">
        <v>177</v>
      </c>
      <c r="N5" s="3469" t="s">
        <v>178</v>
      </c>
      <c r="O5" s="3461" t="s">
        <v>177</v>
      </c>
      <c r="P5" s="3463" t="s">
        <v>178</v>
      </c>
      <c r="Q5" s="3464" t="s">
        <v>177</v>
      </c>
      <c r="R5" s="3465" t="s">
        <v>178</v>
      </c>
      <c r="S5" s="3461" t="s">
        <v>177</v>
      </c>
      <c r="T5" s="3463" t="s">
        <v>178</v>
      </c>
      <c r="U5" s="3464" t="s">
        <v>177</v>
      </c>
      <c r="V5" s="3465" t="s">
        <v>178</v>
      </c>
      <c r="W5" s="3461" t="s">
        <v>177</v>
      </c>
      <c r="X5" s="3463" t="s">
        <v>178</v>
      </c>
      <c r="Y5" s="3470" t="s">
        <v>177</v>
      </c>
      <c r="Z5" s="3469" t="s">
        <v>178</v>
      </c>
      <c r="AA5" s="3471" t="s">
        <v>177</v>
      </c>
      <c r="AB5" s="3472" t="s">
        <v>178</v>
      </c>
      <c r="AC5" s="4143" t="s">
        <v>177</v>
      </c>
      <c r="AD5" s="3463" t="s">
        <v>178</v>
      </c>
      <c r="AE5" s="4142" t="s">
        <v>177</v>
      </c>
      <c r="AF5" s="3465" t="s">
        <v>178</v>
      </c>
      <c r="AG5" s="4232" t="s">
        <v>177</v>
      </c>
      <c r="AH5" s="3463" t="s">
        <v>178</v>
      </c>
      <c r="AI5" s="4231" t="s">
        <v>177</v>
      </c>
      <c r="AJ5" s="3465" t="s">
        <v>178</v>
      </c>
      <c r="AK5" s="4374" t="s">
        <v>177</v>
      </c>
      <c r="AL5" s="3463" t="s">
        <v>178</v>
      </c>
      <c r="AM5" s="4376" t="s">
        <v>177</v>
      </c>
      <c r="AN5" s="3469" t="s">
        <v>178</v>
      </c>
      <c r="AO5" s="4375" t="s">
        <v>177</v>
      </c>
      <c r="AP5" s="3465" t="s">
        <v>178</v>
      </c>
      <c r="AQ5" s="4470" t="s">
        <v>177</v>
      </c>
      <c r="AR5" s="3463" t="s">
        <v>178</v>
      </c>
      <c r="AS5" s="4469" t="s">
        <v>177</v>
      </c>
      <c r="AT5" s="3465" t="s">
        <v>178</v>
      </c>
      <c r="AU5" s="4696" t="s">
        <v>177</v>
      </c>
      <c r="AV5" s="3463" t="s">
        <v>178</v>
      </c>
      <c r="AW5" s="4695" t="s">
        <v>177</v>
      </c>
      <c r="AX5" s="3465" t="s">
        <v>178</v>
      </c>
      <c r="AY5" s="5249" t="s">
        <v>177</v>
      </c>
      <c r="AZ5" s="3463" t="s">
        <v>178</v>
      </c>
      <c r="BA5" s="5250" t="s">
        <v>177</v>
      </c>
      <c r="BB5" s="3469" t="s">
        <v>178</v>
      </c>
      <c r="BC5" s="5251" t="s">
        <v>177</v>
      </c>
      <c r="BD5" s="3472" t="s">
        <v>178</v>
      </c>
      <c r="BE5" s="5248" t="s">
        <v>177</v>
      </c>
      <c r="BF5" s="3465" t="s">
        <v>178</v>
      </c>
    </row>
    <row r="6" spans="3:60" ht="19.5" thickBot="1" x14ac:dyDescent="0.35">
      <c r="C6" s="3473" t="s">
        <v>7</v>
      </c>
      <c r="D6" s="3474" t="s">
        <v>52</v>
      </c>
      <c r="E6" s="3475">
        <v>96</v>
      </c>
      <c r="F6" s="3476">
        <v>123.93</v>
      </c>
      <c r="G6" s="3477">
        <v>96</v>
      </c>
      <c r="H6" s="3476">
        <v>59.98</v>
      </c>
      <c r="I6" s="3478">
        <f t="shared" ref="I6:J8" si="0">+E6+G6</f>
        <v>192</v>
      </c>
      <c r="J6" s="3479">
        <f t="shared" si="0"/>
        <v>183.91</v>
      </c>
      <c r="K6" s="3477">
        <v>96</v>
      </c>
      <c r="L6" s="3476">
        <v>139.18</v>
      </c>
      <c r="M6" s="3480">
        <f t="shared" ref="M6:N8" si="1">+I6+K6</f>
        <v>288</v>
      </c>
      <c r="N6" s="3481">
        <f t="shared" si="1"/>
        <v>323.09000000000003</v>
      </c>
      <c r="O6" s="3477">
        <v>96</v>
      </c>
      <c r="P6" s="3476">
        <v>103.88</v>
      </c>
      <c r="Q6" s="3478">
        <f t="shared" ref="Q6:R8" si="2">+M6+O6</f>
        <v>384</v>
      </c>
      <c r="R6" s="3479">
        <f t="shared" si="2"/>
        <v>426.97</v>
      </c>
      <c r="S6" s="3477">
        <v>96</v>
      </c>
      <c r="T6" s="3476">
        <v>119.55</v>
      </c>
      <c r="U6" s="3478">
        <f t="shared" ref="U6:U8" si="3">+Q6+S6</f>
        <v>480</v>
      </c>
      <c r="V6" s="3479">
        <f t="shared" ref="V6:V8" si="4">+R6+T6</f>
        <v>546.52</v>
      </c>
      <c r="W6" s="3477">
        <v>96</v>
      </c>
      <c r="X6" s="3476">
        <v>116.48</v>
      </c>
      <c r="Y6" s="3480">
        <f t="shared" ref="Y6:Z8" si="5">+O6+S6+W6</f>
        <v>288</v>
      </c>
      <c r="Z6" s="3481">
        <f t="shared" si="5"/>
        <v>339.91</v>
      </c>
      <c r="AA6" s="3482">
        <f t="shared" ref="AA6:AB8" si="6">+U6+W6</f>
        <v>576</v>
      </c>
      <c r="AB6" s="3483">
        <f t="shared" si="6"/>
        <v>663</v>
      </c>
      <c r="AC6" s="3477">
        <v>96</v>
      </c>
      <c r="AD6" s="3476">
        <v>93.61</v>
      </c>
      <c r="AE6" s="3478">
        <f t="shared" ref="AE6:AE8" si="7">+AA6+AC6</f>
        <v>672</v>
      </c>
      <c r="AF6" s="3479">
        <f t="shared" ref="AF6:AF8" si="8">+AB6+AD6</f>
        <v>756.61</v>
      </c>
      <c r="AG6" s="3477">
        <v>96</v>
      </c>
      <c r="AH6" s="3476">
        <v>130.87</v>
      </c>
      <c r="AI6" s="3478">
        <f t="shared" ref="AI6:AI8" si="9">+AE6+AG6</f>
        <v>768</v>
      </c>
      <c r="AJ6" s="3479">
        <f t="shared" ref="AJ6:AJ8" si="10">+AF6+AH6</f>
        <v>887.48</v>
      </c>
      <c r="AK6" s="3477">
        <v>96</v>
      </c>
      <c r="AL6" s="3476">
        <v>96.81</v>
      </c>
      <c r="AM6" s="3480">
        <f t="shared" ref="AM6:AM8" si="11">+AC6+AG6+AK6</f>
        <v>288</v>
      </c>
      <c r="AN6" s="3481">
        <f t="shared" ref="AN6:AN8" si="12">+AD6+AH6+AL6</f>
        <v>321.29000000000002</v>
      </c>
      <c r="AO6" s="3478">
        <f t="shared" ref="AO6:AO8" si="13">+AI6+AK6</f>
        <v>864</v>
      </c>
      <c r="AP6" s="3479">
        <f t="shared" ref="AP6:AP8" si="14">+AJ6+AL6</f>
        <v>984.29</v>
      </c>
      <c r="AQ6" s="3477">
        <v>96</v>
      </c>
      <c r="AR6" s="3476">
        <v>106.42</v>
      </c>
      <c r="AS6" s="3478">
        <f t="shared" ref="AS6:AS8" si="15">+AO6+AQ6</f>
        <v>960</v>
      </c>
      <c r="AT6" s="3479">
        <f t="shared" ref="AT6:AT8" si="16">+AP6+AR6</f>
        <v>1090.71</v>
      </c>
      <c r="AU6" s="3477">
        <v>94</v>
      </c>
      <c r="AV6" s="3476">
        <v>91.9</v>
      </c>
      <c r="AW6" s="3478">
        <f t="shared" ref="AW6:AW8" si="17">+AS6+AU6</f>
        <v>1054</v>
      </c>
      <c r="AX6" s="3479">
        <f t="shared" ref="AX6:AX8" si="18">+AT6+AV6</f>
        <v>1182.6100000000001</v>
      </c>
      <c r="AY6" s="3477">
        <v>96</v>
      </c>
      <c r="AZ6" s="3476">
        <v>88.29</v>
      </c>
      <c r="BA6" s="3480">
        <f t="shared" ref="BA6:BA8" si="19">+AQ6+AU6+AY6</f>
        <v>286</v>
      </c>
      <c r="BB6" s="3481">
        <f t="shared" ref="BB6:BB8" si="20">+AR6+AV6+AZ6</f>
        <v>286.61</v>
      </c>
      <c r="BC6" s="3482">
        <f>AM6+BA6</f>
        <v>574</v>
      </c>
      <c r="BD6" s="3482">
        <f>AN6+BB6</f>
        <v>607.90000000000009</v>
      </c>
      <c r="BE6" s="3478">
        <f t="shared" ref="BE6:BE8" si="21">+AW6+AY6</f>
        <v>1150</v>
      </c>
      <c r="BF6" s="3479">
        <f t="shared" ref="BF6:BF8" si="22">+AX6+AZ6</f>
        <v>1270.9000000000001</v>
      </c>
      <c r="BG6" s="707"/>
      <c r="BH6" s="707"/>
    </row>
    <row r="7" spans="3:60" ht="19.5" thickBot="1" x14ac:dyDescent="0.35">
      <c r="C7" s="3484" t="s">
        <v>608</v>
      </c>
      <c r="D7" s="3485" t="s">
        <v>52</v>
      </c>
      <c r="E7" s="3486">
        <v>142</v>
      </c>
      <c r="F7" s="3487">
        <v>206.65</v>
      </c>
      <c r="G7" s="3488">
        <v>142</v>
      </c>
      <c r="H7" s="3487">
        <v>187.83</v>
      </c>
      <c r="I7" s="3489">
        <f t="shared" si="0"/>
        <v>284</v>
      </c>
      <c r="J7" s="3490">
        <f t="shared" si="0"/>
        <v>394.48</v>
      </c>
      <c r="K7" s="3488">
        <v>142</v>
      </c>
      <c r="L7" s="3487">
        <v>129.05000000000001</v>
      </c>
      <c r="M7" s="3491">
        <f t="shared" si="1"/>
        <v>426</v>
      </c>
      <c r="N7" s="3492">
        <f t="shared" si="1"/>
        <v>523.53</v>
      </c>
      <c r="O7" s="3488">
        <v>142</v>
      </c>
      <c r="P7" s="3487">
        <v>138.38999999999999</v>
      </c>
      <c r="Q7" s="3489">
        <f t="shared" si="2"/>
        <v>568</v>
      </c>
      <c r="R7" s="3490">
        <f t="shared" si="2"/>
        <v>661.92</v>
      </c>
      <c r="S7" s="3488">
        <v>142</v>
      </c>
      <c r="T7" s="3487">
        <v>150.6</v>
      </c>
      <c r="U7" s="3489">
        <f t="shared" si="3"/>
        <v>710</v>
      </c>
      <c r="V7" s="3490">
        <f t="shared" si="4"/>
        <v>812.52</v>
      </c>
      <c r="W7" s="3488">
        <v>142</v>
      </c>
      <c r="X7" s="3487">
        <v>129.11000000000001</v>
      </c>
      <c r="Y7" s="3491">
        <f t="shared" si="5"/>
        <v>426</v>
      </c>
      <c r="Z7" s="3492">
        <f t="shared" si="5"/>
        <v>418.1</v>
      </c>
      <c r="AA7" s="3493">
        <f t="shared" si="6"/>
        <v>852</v>
      </c>
      <c r="AB7" s="3494">
        <f t="shared" si="6"/>
        <v>941.63</v>
      </c>
      <c r="AC7" s="3488">
        <v>142</v>
      </c>
      <c r="AD7" s="3487">
        <v>147.97999999999999</v>
      </c>
      <c r="AE7" s="3489">
        <f t="shared" si="7"/>
        <v>994</v>
      </c>
      <c r="AF7" s="3490">
        <f t="shared" si="8"/>
        <v>1089.6099999999999</v>
      </c>
      <c r="AG7" s="3488">
        <v>141</v>
      </c>
      <c r="AH7" s="3487">
        <v>143.72999999999999</v>
      </c>
      <c r="AI7" s="3489">
        <f t="shared" si="9"/>
        <v>1135</v>
      </c>
      <c r="AJ7" s="3490">
        <f t="shared" si="10"/>
        <v>1233.3399999999999</v>
      </c>
      <c r="AK7" s="3488">
        <v>141</v>
      </c>
      <c r="AL7" s="3487">
        <v>123.98</v>
      </c>
      <c r="AM7" s="3491">
        <f t="shared" si="11"/>
        <v>424</v>
      </c>
      <c r="AN7" s="3492">
        <f t="shared" si="12"/>
        <v>415.69</v>
      </c>
      <c r="AO7" s="3489">
        <f t="shared" si="13"/>
        <v>1276</v>
      </c>
      <c r="AP7" s="3490">
        <f t="shared" si="14"/>
        <v>1357.32</v>
      </c>
      <c r="AQ7" s="3488">
        <v>142</v>
      </c>
      <c r="AR7" s="3487">
        <v>145.22999999999999</v>
      </c>
      <c r="AS7" s="3489">
        <f t="shared" si="15"/>
        <v>1418</v>
      </c>
      <c r="AT7" s="3490">
        <f t="shared" si="16"/>
        <v>1502.55</v>
      </c>
      <c r="AU7" s="3488">
        <v>140</v>
      </c>
      <c r="AV7" s="3487">
        <v>143.46</v>
      </c>
      <c r="AW7" s="3489">
        <f t="shared" si="17"/>
        <v>1558</v>
      </c>
      <c r="AX7" s="3490">
        <f t="shared" si="18"/>
        <v>1646.01</v>
      </c>
      <c r="AY7" s="3488">
        <v>142</v>
      </c>
      <c r="AZ7" s="3487">
        <v>124.56</v>
      </c>
      <c r="BA7" s="3491">
        <f t="shared" si="19"/>
        <v>424</v>
      </c>
      <c r="BB7" s="3492">
        <f t="shared" si="20"/>
        <v>413.25</v>
      </c>
      <c r="BC7" s="3482">
        <f>AM7+BA7</f>
        <v>848</v>
      </c>
      <c r="BD7" s="3482">
        <f>AN7+BB7</f>
        <v>828.94</v>
      </c>
      <c r="BE7" s="3489">
        <f t="shared" si="21"/>
        <v>1700</v>
      </c>
      <c r="BF7" s="3490">
        <f t="shared" si="22"/>
        <v>1770.57</v>
      </c>
      <c r="BG7" s="707"/>
      <c r="BH7" s="707"/>
    </row>
    <row r="8" spans="3:60" ht="15.95" customHeight="1" thickBot="1" x14ac:dyDescent="0.35">
      <c r="C8" s="3495" t="s">
        <v>8</v>
      </c>
      <c r="D8" s="3496" t="s">
        <v>52</v>
      </c>
      <c r="E8" s="3497">
        <v>4</v>
      </c>
      <c r="F8" s="3498">
        <v>4</v>
      </c>
      <c r="G8" s="3499">
        <v>4</v>
      </c>
      <c r="H8" s="3498">
        <v>4</v>
      </c>
      <c r="I8" s="3500">
        <f t="shared" si="0"/>
        <v>8</v>
      </c>
      <c r="J8" s="3501">
        <f t="shared" si="0"/>
        <v>8</v>
      </c>
      <c r="K8" s="3499">
        <v>4</v>
      </c>
      <c r="L8" s="3498">
        <v>4.18</v>
      </c>
      <c r="M8" s="3502">
        <f t="shared" si="1"/>
        <v>12</v>
      </c>
      <c r="N8" s="3503">
        <f t="shared" si="1"/>
        <v>12.18</v>
      </c>
      <c r="O8" s="3499">
        <v>5</v>
      </c>
      <c r="P8" s="3498">
        <v>4.96</v>
      </c>
      <c r="Q8" s="3500">
        <f t="shared" si="2"/>
        <v>17</v>
      </c>
      <c r="R8" s="3501">
        <f t="shared" si="2"/>
        <v>17.14</v>
      </c>
      <c r="S8" s="3499">
        <v>5</v>
      </c>
      <c r="T8" s="3498">
        <v>5.16</v>
      </c>
      <c r="U8" s="3500">
        <f t="shared" si="3"/>
        <v>22</v>
      </c>
      <c r="V8" s="3501">
        <f t="shared" si="4"/>
        <v>22.3</v>
      </c>
      <c r="W8" s="3499">
        <v>4</v>
      </c>
      <c r="X8" s="3498">
        <v>4.05</v>
      </c>
      <c r="Y8" s="3502">
        <f t="shared" si="5"/>
        <v>14</v>
      </c>
      <c r="Z8" s="3503">
        <f t="shared" si="5"/>
        <v>14.170000000000002</v>
      </c>
      <c r="AA8" s="3504">
        <f t="shared" si="6"/>
        <v>26</v>
      </c>
      <c r="AB8" s="3505">
        <f t="shared" si="6"/>
        <v>26.35</v>
      </c>
      <c r="AC8" s="3499">
        <v>4</v>
      </c>
      <c r="AD8" s="3498">
        <v>4</v>
      </c>
      <c r="AE8" s="3500">
        <f t="shared" si="7"/>
        <v>30</v>
      </c>
      <c r="AF8" s="3501">
        <f t="shared" si="8"/>
        <v>30.35</v>
      </c>
      <c r="AG8" s="3499">
        <v>4</v>
      </c>
      <c r="AH8" s="3498">
        <v>4.12</v>
      </c>
      <c r="AI8" s="3500">
        <f t="shared" si="9"/>
        <v>34</v>
      </c>
      <c r="AJ8" s="3501">
        <f t="shared" si="10"/>
        <v>34.47</v>
      </c>
      <c r="AK8" s="3499">
        <v>4</v>
      </c>
      <c r="AL8" s="3498">
        <v>4.05</v>
      </c>
      <c r="AM8" s="3502">
        <f t="shared" si="11"/>
        <v>12</v>
      </c>
      <c r="AN8" s="3503">
        <f t="shared" si="12"/>
        <v>12.170000000000002</v>
      </c>
      <c r="AO8" s="3500">
        <f t="shared" si="13"/>
        <v>38</v>
      </c>
      <c r="AP8" s="3501">
        <f t="shared" si="14"/>
        <v>38.519999999999996</v>
      </c>
      <c r="AQ8" s="3499">
        <v>4</v>
      </c>
      <c r="AR8" s="3498">
        <v>4.75</v>
      </c>
      <c r="AS8" s="3500">
        <f t="shared" si="15"/>
        <v>42</v>
      </c>
      <c r="AT8" s="3501">
        <f t="shared" si="16"/>
        <v>43.269999999999996</v>
      </c>
      <c r="AU8" s="3499">
        <v>4</v>
      </c>
      <c r="AV8" s="3498">
        <v>4.25</v>
      </c>
      <c r="AW8" s="3500">
        <f t="shared" si="17"/>
        <v>46</v>
      </c>
      <c r="AX8" s="3501">
        <f t="shared" si="18"/>
        <v>47.519999999999996</v>
      </c>
      <c r="AY8" s="3499">
        <v>4</v>
      </c>
      <c r="AZ8" s="3498">
        <v>4.25</v>
      </c>
      <c r="BA8" s="3502">
        <f t="shared" si="19"/>
        <v>12</v>
      </c>
      <c r="BB8" s="3503">
        <f t="shared" si="20"/>
        <v>13.25</v>
      </c>
      <c r="BC8" s="3482">
        <f t="shared" ref="BC8:BD8" si="23">AM8+BA8</f>
        <v>24</v>
      </c>
      <c r="BD8" s="3482">
        <f t="shared" si="23"/>
        <v>25.42</v>
      </c>
      <c r="BE8" s="3500">
        <f t="shared" si="21"/>
        <v>50</v>
      </c>
      <c r="BF8" s="3501">
        <f t="shared" si="22"/>
        <v>51.769999999999996</v>
      </c>
      <c r="BG8" s="707"/>
      <c r="BH8" s="707"/>
    </row>
    <row r="13" spans="3:60" x14ac:dyDescent="0.3">
      <c r="K13" s="3506"/>
      <c r="L13" s="3507"/>
    </row>
    <row r="14" spans="3:60" x14ac:dyDescent="0.3">
      <c r="K14" s="3506"/>
      <c r="L14" s="3508"/>
    </row>
    <row r="15" spans="3:60" x14ac:dyDescent="0.3">
      <c r="K15" s="3506"/>
      <c r="L15" s="3507"/>
    </row>
    <row r="17" spans="3:3" x14ac:dyDescent="0.3">
      <c r="C17" s="659"/>
    </row>
  </sheetData>
  <mergeCells count="29">
    <mergeCell ref="AY4:AZ4"/>
    <mergeCell ref="BE4:BF4"/>
    <mergeCell ref="BA4:BB4"/>
    <mergeCell ref="BC4:BD4"/>
    <mergeCell ref="O4:P4"/>
    <mergeCell ref="Q4:R4"/>
    <mergeCell ref="AU4:AV4"/>
    <mergeCell ref="AW4:AX4"/>
    <mergeCell ref="AE4:AF4"/>
    <mergeCell ref="AM4:AN4"/>
    <mergeCell ref="U4:V4"/>
    <mergeCell ref="W4:X4"/>
    <mergeCell ref="Y4:Z4"/>
    <mergeCell ref="AA4:AB4"/>
    <mergeCell ref="AK4:AL4"/>
    <mergeCell ref="AQ4:AR4"/>
    <mergeCell ref="K4:L4"/>
    <mergeCell ref="M4:N4"/>
    <mergeCell ref="S4:T4"/>
    <mergeCell ref="C4:C5"/>
    <mergeCell ref="D4:D5"/>
    <mergeCell ref="E4:F4"/>
    <mergeCell ref="G4:H4"/>
    <mergeCell ref="I4:J4"/>
    <mergeCell ref="AS4:AT4"/>
    <mergeCell ref="AO4:AP4"/>
    <mergeCell ref="AG4:AH4"/>
    <mergeCell ref="AI4:AJ4"/>
    <mergeCell ref="AC4:AD4"/>
  </mergeCells>
  <pageMargins left="0.7" right="0.7" top="0.75" bottom="0.75" header="0.3" footer="0.3"/>
  <pageSetup orientation="landscape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>
    <tabColor rgb="FFCC99FF"/>
  </sheetPr>
  <dimension ref="C4:J32"/>
  <sheetViews>
    <sheetView topLeftCell="A7" workbookViewId="0">
      <selection activeCell="G11" sqref="G11"/>
    </sheetView>
  </sheetViews>
  <sheetFormatPr defaultColWidth="9.140625" defaultRowHeight="15" x14ac:dyDescent="0.25"/>
  <cols>
    <col min="3" max="3" width="12.7109375" bestFit="1" customWidth="1"/>
    <col min="4" max="4" width="51.140625" customWidth="1"/>
    <col min="5" max="5" width="33.5703125" customWidth="1"/>
    <col min="6" max="6" width="32.28515625" bestFit="1" customWidth="1"/>
    <col min="7" max="7" width="32.140625" bestFit="1" customWidth="1"/>
    <col min="8" max="8" width="32.28515625" bestFit="1" customWidth="1"/>
    <col min="9" max="9" width="31.7109375" bestFit="1" customWidth="1"/>
  </cols>
  <sheetData>
    <row r="4" spans="3:10" ht="22.5" x14ac:dyDescent="0.25">
      <c r="C4" s="6634" t="s">
        <v>1371</v>
      </c>
      <c r="D4" s="6634" t="s">
        <v>1372</v>
      </c>
      <c r="E4" s="6635" t="s">
        <v>1519</v>
      </c>
      <c r="F4" s="6635"/>
      <c r="G4" s="6635"/>
      <c r="H4" s="6635"/>
    </row>
    <row r="5" spans="3:10" ht="23.25" x14ac:dyDescent="0.25">
      <c r="C5" s="6634"/>
      <c r="D5" s="6634"/>
      <c r="E5" s="2310" t="s">
        <v>177</v>
      </c>
      <c r="F5" s="2310" t="s">
        <v>1422</v>
      </c>
      <c r="G5" s="2310" t="s">
        <v>1373</v>
      </c>
      <c r="H5" s="2310" t="s">
        <v>1422</v>
      </c>
    </row>
    <row r="6" spans="3:10" ht="23.25" x14ac:dyDescent="0.25">
      <c r="C6" s="2310">
        <v>1</v>
      </c>
      <c r="D6" s="2254" t="s">
        <v>1111</v>
      </c>
      <c r="E6" s="2254" t="s">
        <v>1520</v>
      </c>
      <c r="F6" s="2310">
        <v>7</v>
      </c>
      <c r="G6" s="2310" t="s">
        <v>1595</v>
      </c>
      <c r="H6" s="2310">
        <v>6</v>
      </c>
    </row>
    <row r="7" spans="3:10" ht="23.25" x14ac:dyDescent="0.25">
      <c r="C7" s="6634">
        <v>2</v>
      </c>
      <c r="D7" s="2326" t="s">
        <v>1374</v>
      </c>
      <c r="E7" s="2254" t="s">
        <v>1520</v>
      </c>
      <c r="F7" s="2310">
        <v>7</v>
      </c>
      <c r="G7" s="2327" t="s">
        <v>1596</v>
      </c>
      <c r="H7" s="2310">
        <v>10</v>
      </c>
    </row>
    <row r="8" spans="3:10" ht="23.25" x14ac:dyDescent="0.25">
      <c r="C8" s="6634"/>
      <c r="D8" s="2326" t="s">
        <v>1375</v>
      </c>
      <c r="E8" s="2254" t="s">
        <v>1521</v>
      </c>
      <c r="F8" s="2310">
        <v>10</v>
      </c>
      <c r="G8" s="2310" t="s">
        <v>1597</v>
      </c>
      <c r="H8" s="2310">
        <v>7</v>
      </c>
    </row>
    <row r="9" spans="3:10" x14ac:dyDescent="0.25">
      <c r="C9" s="220"/>
      <c r="D9" s="220"/>
      <c r="E9" s="2328"/>
      <c r="F9" s="220"/>
      <c r="G9" s="340"/>
      <c r="H9" s="220"/>
    </row>
    <row r="10" spans="3:10" ht="25.5" x14ac:dyDescent="0.25">
      <c r="C10" s="2310">
        <v>3</v>
      </c>
      <c r="D10" s="2255" t="s">
        <v>1376</v>
      </c>
      <c r="E10" s="2255"/>
      <c r="F10" s="2310"/>
      <c r="G10" s="2329"/>
      <c r="H10" s="2310"/>
    </row>
    <row r="11" spans="3:10" ht="23.25" x14ac:dyDescent="0.25">
      <c r="C11" s="2310" t="s">
        <v>1377</v>
      </c>
      <c r="D11" s="2330" t="s">
        <v>1435</v>
      </c>
      <c r="E11" s="2311" t="s">
        <v>1522</v>
      </c>
      <c r="F11" s="2310">
        <v>10</v>
      </c>
      <c r="G11" s="4801" t="s">
        <v>1956</v>
      </c>
      <c r="H11" s="2310">
        <v>14</v>
      </c>
      <c r="I11" s="6632" t="s">
        <v>1959</v>
      </c>
      <c r="J11" s="6632"/>
    </row>
    <row r="12" spans="3:10" ht="26.25" x14ac:dyDescent="0.25">
      <c r="C12" s="2310" t="s">
        <v>1378</v>
      </c>
      <c r="D12" s="2330" t="s">
        <v>1525</v>
      </c>
      <c r="E12" s="2311" t="s">
        <v>1598</v>
      </c>
      <c r="F12" s="2310">
        <v>13</v>
      </c>
      <c r="G12" s="4834" t="s">
        <v>34</v>
      </c>
      <c r="H12" s="4834" t="s">
        <v>34</v>
      </c>
      <c r="I12" s="4833" t="s">
        <v>1955</v>
      </c>
      <c r="J12" s="4833">
        <v>12</v>
      </c>
    </row>
    <row r="13" spans="3:10" ht="23.25" x14ac:dyDescent="0.25">
      <c r="C13" s="6636" t="s">
        <v>1380</v>
      </c>
      <c r="D13" s="6638" t="s">
        <v>1434</v>
      </c>
      <c r="E13" s="2331" t="s">
        <v>1599</v>
      </c>
      <c r="F13" s="2310">
        <v>7</v>
      </c>
      <c r="G13" s="2307" t="s">
        <v>1957</v>
      </c>
      <c r="H13" s="2310">
        <v>10</v>
      </c>
    </row>
    <row r="14" spans="3:10" ht="26.25" x14ac:dyDescent="0.25">
      <c r="C14" s="6637"/>
      <c r="D14" s="6638"/>
      <c r="E14" s="2331" t="s">
        <v>1600</v>
      </c>
      <c r="F14" s="2310">
        <v>7</v>
      </c>
      <c r="G14" s="4834" t="s">
        <v>34</v>
      </c>
      <c r="H14" s="4834" t="s">
        <v>34</v>
      </c>
    </row>
    <row r="15" spans="3:10" ht="23.25" x14ac:dyDescent="0.25">
      <c r="C15" s="2310" t="s">
        <v>1382</v>
      </c>
      <c r="D15" s="2330" t="s">
        <v>1379</v>
      </c>
      <c r="E15" s="6633" t="s">
        <v>1523</v>
      </c>
      <c r="F15" s="6634">
        <v>7</v>
      </c>
      <c r="G15" s="2310" t="s">
        <v>1601</v>
      </c>
      <c r="H15" s="2310">
        <v>8</v>
      </c>
    </row>
    <row r="16" spans="3:10" ht="23.25" x14ac:dyDescent="0.25">
      <c r="C16" s="2310" t="s">
        <v>1433</v>
      </c>
      <c r="D16" s="2330" t="s">
        <v>1381</v>
      </c>
      <c r="E16" s="6633"/>
      <c r="F16" s="6634"/>
      <c r="G16" s="2310" t="s">
        <v>1602</v>
      </c>
      <c r="H16" s="2310">
        <v>9</v>
      </c>
    </row>
    <row r="17" spans="3:8" ht="23.25" x14ac:dyDescent="0.25">
      <c r="C17" s="2310" t="s">
        <v>1436</v>
      </c>
      <c r="D17" s="2330" t="s">
        <v>1383</v>
      </c>
      <c r="E17" s="6633"/>
      <c r="F17" s="6634"/>
      <c r="G17" s="2310" t="s">
        <v>1602</v>
      </c>
      <c r="H17" s="2310">
        <v>9</v>
      </c>
    </row>
    <row r="18" spans="3:8" ht="23.25" x14ac:dyDescent="0.25">
      <c r="C18" s="2310">
        <v>4</v>
      </c>
      <c r="D18" s="2254" t="s">
        <v>61</v>
      </c>
      <c r="E18" s="2254" t="s">
        <v>1521</v>
      </c>
      <c r="F18" s="2310">
        <v>10</v>
      </c>
      <c r="G18" s="2310" t="s">
        <v>1603</v>
      </c>
      <c r="H18" s="2310">
        <v>10</v>
      </c>
    </row>
    <row r="19" spans="3:8" ht="23.25" x14ac:dyDescent="0.25">
      <c r="C19" s="2310">
        <v>5</v>
      </c>
      <c r="D19" s="2254" t="s">
        <v>98</v>
      </c>
      <c r="E19" s="2254" t="s">
        <v>1524</v>
      </c>
      <c r="F19" s="2310">
        <v>15</v>
      </c>
      <c r="G19" s="2310" t="s">
        <v>1521</v>
      </c>
      <c r="H19" s="2310">
        <v>10</v>
      </c>
    </row>
    <row r="20" spans="3:8" ht="23.25" x14ac:dyDescent="0.25">
      <c r="C20" s="2310">
        <v>6</v>
      </c>
      <c r="D20" s="2254" t="s">
        <v>1384</v>
      </c>
      <c r="E20" s="2254" t="s">
        <v>1521</v>
      </c>
      <c r="F20" s="2310">
        <v>10</v>
      </c>
      <c r="G20" s="2310" t="s">
        <v>1603</v>
      </c>
      <c r="H20" s="2310">
        <v>10</v>
      </c>
    </row>
    <row r="25" spans="3:8" ht="75" x14ac:dyDescent="0.25">
      <c r="C25" s="771" t="s">
        <v>1604</v>
      </c>
      <c r="D25" s="2332" t="s">
        <v>1605</v>
      </c>
    </row>
    <row r="26" spans="3:8" ht="68.25" customHeight="1" x14ac:dyDescent="0.25">
      <c r="C26" s="771" t="s">
        <v>1606</v>
      </c>
      <c r="D26" s="2332" t="s">
        <v>1607</v>
      </c>
    </row>
    <row r="27" spans="3:8" ht="75" x14ac:dyDescent="0.25">
      <c r="C27" s="2333" t="s">
        <v>748</v>
      </c>
      <c r="D27" s="2332" t="s">
        <v>1608</v>
      </c>
    </row>
    <row r="28" spans="3:8" ht="75" x14ac:dyDescent="0.25">
      <c r="C28" s="441" t="s">
        <v>59</v>
      </c>
      <c r="D28" s="2334" t="s">
        <v>1609</v>
      </c>
    </row>
    <row r="29" spans="3:8" ht="37.5" x14ac:dyDescent="0.25">
      <c r="C29" s="441" t="s">
        <v>60</v>
      </c>
      <c r="D29" s="2335" t="s">
        <v>1610</v>
      </c>
    </row>
    <row r="30" spans="3:8" ht="37.5" x14ac:dyDescent="0.25">
      <c r="C30" s="771" t="s">
        <v>61</v>
      </c>
      <c r="D30" s="2332" t="s">
        <v>1611</v>
      </c>
    </row>
    <row r="31" spans="3:8" ht="60.75" customHeight="1" x14ac:dyDescent="0.25">
      <c r="C31" s="771" t="s">
        <v>93</v>
      </c>
      <c r="D31" s="2332" t="s">
        <v>1612</v>
      </c>
    </row>
    <row r="32" spans="3:8" ht="43.5" customHeight="1" x14ac:dyDescent="0.25">
      <c r="C32" s="771" t="s">
        <v>112</v>
      </c>
      <c r="D32" s="2332" t="s">
        <v>1613</v>
      </c>
    </row>
  </sheetData>
  <mergeCells count="9">
    <mergeCell ref="I11:J11"/>
    <mergeCell ref="E15:E17"/>
    <mergeCell ref="F15:F17"/>
    <mergeCell ref="C4:C5"/>
    <mergeCell ref="D4:D5"/>
    <mergeCell ref="E4:H4"/>
    <mergeCell ref="C7:C8"/>
    <mergeCell ref="C13:C14"/>
    <mergeCell ref="D13:D14"/>
  </mergeCells>
  <pageMargins left="0.7" right="0.7" top="0.75" bottom="0.75" header="0.3" footer="0.3"/>
  <pageSetup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>
    <tabColor rgb="FFCC98B4"/>
    <pageSetUpPr fitToPage="1"/>
  </sheetPr>
  <dimension ref="D5:U35"/>
  <sheetViews>
    <sheetView workbookViewId="0">
      <selection activeCell="L35" sqref="L35"/>
    </sheetView>
  </sheetViews>
  <sheetFormatPr defaultRowHeight="15.75" x14ac:dyDescent="0.25"/>
  <cols>
    <col min="1" max="3" width="9.140625" style="2377"/>
    <col min="4" max="4" width="49.85546875" style="2377" customWidth="1"/>
    <col min="5" max="5" width="16.140625" style="2377" hidden="1" customWidth="1"/>
    <col min="6" max="6" width="15.42578125" style="2377" customWidth="1"/>
    <col min="7" max="7" width="13.5703125" style="2377" bestFit="1" customWidth="1"/>
    <col min="8" max="8" width="16.42578125" style="2377" bestFit="1" customWidth="1"/>
    <col min="9" max="9" width="1.5703125" style="5012" customWidth="1"/>
    <col min="10" max="10" width="49.42578125" style="2377" customWidth="1"/>
    <col min="11" max="11" width="15.42578125" style="2377" hidden="1" customWidth="1"/>
    <col min="12" max="12" width="11.28515625" style="2377" bestFit="1" customWidth="1"/>
    <col min="13" max="13" width="13.5703125" style="2377" bestFit="1" customWidth="1"/>
    <col min="14" max="14" width="16.42578125" style="2377" bestFit="1" customWidth="1"/>
    <col min="15" max="15" width="3.140625" style="5012" customWidth="1"/>
    <col min="16" max="16" width="49" style="2377" customWidth="1"/>
    <col min="17" max="17" width="5.7109375" style="2377" hidden="1" customWidth="1"/>
    <col min="18" max="18" width="11.28515625" style="2377" bestFit="1" customWidth="1"/>
    <col min="19" max="19" width="13.7109375" style="2377" bestFit="1" customWidth="1"/>
    <col min="20" max="20" width="16.42578125" style="2377" bestFit="1" customWidth="1"/>
    <col min="21" max="21" width="17.140625" style="2377" bestFit="1" customWidth="1"/>
    <col min="22" max="16384" width="9.140625" style="2377"/>
  </cols>
  <sheetData>
    <row r="5" spans="4:21" ht="28.5" x14ac:dyDescent="0.45">
      <c r="D5" s="6639" t="s">
        <v>1649</v>
      </c>
      <c r="E5" s="6639"/>
      <c r="F5" s="6639"/>
      <c r="G5" s="6639"/>
      <c r="H5" s="6639"/>
      <c r="J5" s="6639" t="s">
        <v>1650</v>
      </c>
      <c r="K5" s="6639"/>
      <c r="L5" s="6639"/>
      <c r="M5" s="6639"/>
      <c r="N5" s="6639"/>
      <c r="P5" s="6640" t="s">
        <v>62</v>
      </c>
      <c r="Q5" s="6641"/>
      <c r="R5" s="6641"/>
      <c r="S5" s="6641"/>
      <c r="T5" s="6641"/>
      <c r="U5" s="6642"/>
    </row>
    <row r="6" spans="4:21" ht="28.5" x14ac:dyDescent="0.25">
      <c r="D6" s="4378"/>
      <c r="E6" s="4378"/>
      <c r="F6" s="4379" t="s">
        <v>1651</v>
      </c>
      <c r="G6" s="4379" t="s">
        <v>1652</v>
      </c>
      <c r="H6" s="4379" t="s">
        <v>1653</v>
      </c>
      <c r="I6" s="5013"/>
      <c r="J6" s="4378"/>
      <c r="K6" s="4378"/>
      <c r="L6" s="4379" t="s">
        <v>1651</v>
      </c>
      <c r="M6" s="4379" t="s">
        <v>1652</v>
      </c>
      <c r="N6" s="4379" t="s">
        <v>1653</v>
      </c>
      <c r="P6" s="4378"/>
      <c r="Q6" s="4378"/>
      <c r="R6" s="4379" t="s">
        <v>1651</v>
      </c>
      <c r="S6" s="4379" t="s">
        <v>1652</v>
      </c>
      <c r="T6" s="4379" t="s">
        <v>1653</v>
      </c>
      <c r="U6" s="4379" t="s">
        <v>1859</v>
      </c>
    </row>
    <row r="7" spans="4:21" ht="32.25" customHeight="1" x14ac:dyDescent="0.45">
      <c r="D7" s="4756" t="s">
        <v>1654</v>
      </c>
      <c r="E7" s="4757"/>
      <c r="F7" s="4758">
        <v>62.592421052631636</v>
      </c>
      <c r="G7" s="4758">
        <v>2.7966315789473684</v>
      </c>
      <c r="H7" s="4758">
        <v>3.3077368421052609</v>
      </c>
      <c r="J7" s="4756" t="s">
        <v>1654</v>
      </c>
      <c r="K7" s="4757"/>
      <c r="L7" s="4758">
        <v>63.913176470588255</v>
      </c>
      <c r="M7" s="4758">
        <v>1.8717647058823521</v>
      </c>
      <c r="N7" s="4758">
        <v>2.5894117647058814</v>
      </c>
      <c r="P7" s="4756" t="s">
        <v>1654</v>
      </c>
      <c r="Q7" s="4757"/>
      <c r="R7" s="4758">
        <v>57.384682274928792</v>
      </c>
      <c r="S7" s="4758">
        <v>4.061069698250412</v>
      </c>
      <c r="T7" s="4758">
        <v>2.9385519762231174</v>
      </c>
      <c r="U7" s="4758">
        <v>2.0851733646466379</v>
      </c>
    </row>
    <row r="8" spans="4:21" ht="28.5" x14ac:dyDescent="0.45">
      <c r="D8" s="4756" t="s">
        <v>1655</v>
      </c>
      <c r="E8" s="4757"/>
      <c r="F8" s="4758">
        <v>62.414772946859848</v>
      </c>
      <c r="G8" s="4758">
        <v>3.0926360708534615</v>
      </c>
      <c r="H8" s="4758">
        <v>3.2114518760195785</v>
      </c>
      <c r="J8" s="4756" t="s">
        <v>1655</v>
      </c>
      <c r="K8" s="4757"/>
      <c r="L8" s="4758">
        <v>62.616530612244915</v>
      </c>
      <c r="M8" s="4758">
        <v>2.7822448979591838</v>
      </c>
      <c r="N8" s="4758">
        <v>3.0315918367346955</v>
      </c>
      <c r="P8" s="4756" t="s">
        <v>1655</v>
      </c>
      <c r="Q8" s="4757"/>
      <c r="R8" s="4758">
        <v>57.666494386436916</v>
      </c>
      <c r="S8" s="4758">
        <v>4.2392835375161679</v>
      </c>
      <c r="T8" s="4758">
        <v>3.0860570231678586</v>
      </c>
      <c r="U8" s="4758">
        <v>1.991930149178982</v>
      </c>
    </row>
    <row r="9" spans="4:21" ht="28.5" x14ac:dyDescent="0.45">
      <c r="D9" s="4756" t="s">
        <v>1656</v>
      </c>
      <c r="E9" s="4757"/>
      <c r="F9" s="4758">
        <v>62.249008403361287</v>
      </c>
      <c r="G9" s="4758">
        <v>3.7766554621848756</v>
      </c>
      <c r="H9" s="4758">
        <v>2.8714453781512606</v>
      </c>
      <c r="J9" s="4756" t="s">
        <v>1656</v>
      </c>
      <c r="K9" s="4757"/>
      <c r="L9" s="4758">
        <v>62.877727272727292</v>
      </c>
      <c r="M9" s="4758">
        <v>3.2952447552447564</v>
      </c>
      <c r="N9" s="4758">
        <v>2.1003496503496493</v>
      </c>
      <c r="P9" s="4756" t="s">
        <v>1656</v>
      </c>
      <c r="Q9" s="4757"/>
      <c r="R9" s="4758">
        <v>56.516058983090353</v>
      </c>
      <c r="S9" s="4758">
        <v>4.6805393152959391</v>
      </c>
      <c r="T9" s="4758">
        <v>2.9923282891980403</v>
      </c>
      <c r="U9" s="4758">
        <v>1.9580285119928031</v>
      </c>
    </row>
    <row r="10" spans="4:21" ht="28.5" x14ac:dyDescent="0.45">
      <c r="D10" s="4756" t="s">
        <v>1657</v>
      </c>
      <c r="E10" s="4757"/>
      <c r="F10" s="4758">
        <v>62.630572774869059</v>
      </c>
      <c r="G10" s="4758">
        <v>3.8978219895288015</v>
      </c>
      <c r="H10" s="4758">
        <v>2.2407120418848168</v>
      </c>
      <c r="J10" s="4756" t="s">
        <v>1657</v>
      </c>
      <c r="K10" s="4757"/>
      <c r="L10" s="4758">
        <v>63.026620999999963</v>
      </c>
      <c r="M10" s="4758">
        <v>3.7217741935483826</v>
      </c>
      <c r="N10" s="4758">
        <v>1.7948387096774181</v>
      </c>
      <c r="P10" s="4756" t="s">
        <v>1657</v>
      </c>
      <c r="Q10" s="4757"/>
      <c r="R10" s="4758">
        <v>56.248274943557462</v>
      </c>
      <c r="S10" s="4758">
        <v>4.8152999238446981</v>
      </c>
      <c r="T10" s="4758">
        <v>2.7998356123762473</v>
      </c>
      <c r="U10" s="4758">
        <v>1.9306909509977692</v>
      </c>
    </row>
    <row r="11" spans="4:21" ht="28.5" x14ac:dyDescent="0.45">
      <c r="D11" s="4756" t="s">
        <v>1658</v>
      </c>
      <c r="E11" s="4757"/>
      <c r="F11" s="4758">
        <v>61.856832946635677</v>
      </c>
      <c r="G11" s="4758">
        <v>4.2113573085846827</v>
      </c>
      <c r="H11" s="4758">
        <v>2.9364037122969839</v>
      </c>
      <c r="J11" s="4756" t="s">
        <v>1658</v>
      </c>
      <c r="K11" s="4757"/>
      <c r="L11" s="4758">
        <v>63.031521739130476</v>
      </c>
      <c r="M11" s="4758">
        <v>3.6093675889328081</v>
      </c>
      <c r="N11" s="4758">
        <v>1.8816403162055333</v>
      </c>
      <c r="P11" s="4756" t="s">
        <v>1658</v>
      </c>
      <c r="Q11" s="4757"/>
      <c r="R11" s="4758">
        <v>54.658268778978936</v>
      </c>
      <c r="S11" s="4758">
        <v>5.7694903097523493</v>
      </c>
      <c r="T11" s="4758">
        <v>2.9344785604493309</v>
      </c>
      <c r="U11" s="4758">
        <v>1.8331881373504406</v>
      </c>
    </row>
    <row r="12" spans="4:21" ht="28.5" x14ac:dyDescent="0.45">
      <c r="D12" s="4756" t="s">
        <v>1659</v>
      </c>
      <c r="E12" s="4757"/>
      <c r="F12" s="4758">
        <v>62.0164385093167</v>
      </c>
      <c r="G12" s="4758">
        <v>4.8478136645962682</v>
      </c>
      <c r="H12" s="4758">
        <v>2.1067950310558992</v>
      </c>
      <c r="J12" s="4756" t="s">
        <v>1659</v>
      </c>
      <c r="K12" s="4757"/>
      <c r="L12" s="4758">
        <v>62.828988919667516</v>
      </c>
      <c r="M12" s="4758">
        <v>4.1222160664819949</v>
      </c>
      <c r="N12" s="4758">
        <v>1.5608310249307473</v>
      </c>
      <c r="P12" s="4756" t="s">
        <v>1659</v>
      </c>
      <c r="Q12" s="4757"/>
      <c r="R12" s="4758">
        <v>54.557901847922452</v>
      </c>
      <c r="S12" s="4758">
        <v>5.9917244627008408</v>
      </c>
      <c r="T12" s="4758">
        <v>2.300313254544184</v>
      </c>
      <c r="U12" s="4758">
        <v>1.8502380482071401</v>
      </c>
    </row>
    <row r="13" spans="4:21" ht="28.5" x14ac:dyDescent="0.45">
      <c r="D13" s="4380"/>
      <c r="E13" s="4381"/>
      <c r="F13" s="4382"/>
      <c r="G13" s="4382"/>
      <c r="H13" s="4382"/>
      <c r="J13" s="4380"/>
      <c r="K13" s="4381"/>
      <c r="L13" s="4382"/>
      <c r="M13" s="4382"/>
      <c r="N13" s="4382"/>
      <c r="P13" s="4380"/>
      <c r="Q13" s="4381"/>
      <c r="R13" s="4382"/>
      <c r="S13" s="4382"/>
      <c r="T13" s="4382"/>
      <c r="U13" s="4382"/>
    </row>
    <row r="14" spans="4:21" ht="28.5" x14ac:dyDescent="0.45">
      <c r="D14" s="4759" t="s">
        <v>1660</v>
      </c>
      <c r="E14" s="4760"/>
      <c r="F14" s="4761">
        <v>61.36</v>
      </c>
      <c r="G14" s="4761">
        <v>4.2300000000000004</v>
      </c>
      <c r="H14" s="4761">
        <v>2.64</v>
      </c>
      <c r="J14" s="4759" t="s">
        <v>1660</v>
      </c>
      <c r="K14" s="4760"/>
      <c r="L14" s="4761">
        <v>62.43</v>
      </c>
      <c r="M14" s="4761">
        <v>3.52</v>
      </c>
      <c r="N14" s="4761">
        <v>2.2000000000000002</v>
      </c>
      <c r="P14" s="4759" t="s">
        <v>1660</v>
      </c>
      <c r="Q14" s="4760"/>
      <c r="R14" s="4761" t="s">
        <v>1860</v>
      </c>
      <c r="S14" s="4761" t="s">
        <v>1861</v>
      </c>
      <c r="T14" s="4761" t="s">
        <v>1862</v>
      </c>
      <c r="U14" s="4761">
        <v>1.85</v>
      </c>
    </row>
    <row r="15" spans="4:21" ht="28.5" hidden="1" x14ac:dyDescent="0.45">
      <c r="D15" s="6643" t="s">
        <v>1661</v>
      </c>
      <c r="E15" s="4760" t="s">
        <v>1662</v>
      </c>
      <c r="F15" s="4761">
        <v>62.26452542372882</v>
      </c>
      <c r="G15" s="4761">
        <v>4.0506779661016958</v>
      </c>
      <c r="H15" s="4761">
        <v>2.4597457627118628</v>
      </c>
      <c r="J15" s="4759"/>
      <c r="K15" s="4760" t="s">
        <v>1662</v>
      </c>
      <c r="L15" s="4761">
        <v>63.255868686868716</v>
      </c>
      <c r="M15" s="4761">
        <v>2.9725252525252523</v>
      </c>
      <c r="N15" s="4761">
        <v>1.8761616161616164</v>
      </c>
      <c r="P15" s="4759"/>
      <c r="Q15" s="4760"/>
      <c r="R15" s="4761"/>
      <c r="S15" s="4761"/>
      <c r="T15" s="4761"/>
      <c r="U15" s="4761"/>
    </row>
    <row r="16" spans="4:21" ht="28.5" hidden="1" x14ac:dyDescent="0.45">
      <c r="D16" s="6644"/>
      <c r="E16" s="4760" t="s">
        <v>1663</v>
      </c>
      <c r="F16" s="4761">
        <v>60.557013432835802</v>
      </c>
      <c r="G16" s="4761">
        <v>6.7840298507462693</v>
      </c>
      <c r="H16" s="4761">
        <v>2.5667164179104476</v>
      </c>
      <c r="J16" s="4759"/>
      <c r="K16" s="4760"/>
      <c r="L16" s="4761"/>
      <c r="M16" s="4761"/>
      <c r="N16" s="4761"/>
      <c r="P16" s="4759"/>
      <c r="Q16" s="4760"/>
      <c r="R16" s="4761"/>
      <c r="S16" s="4761"/>
      <c r="T16" s="4761"/>
      <c r="U16" s="4761"/>
    </row>
    <row r="17" spans="4:21" ht="28.5" hidden="1" x14ac:dyDescent="0.45">
      <c r="D17" s="6644"/>
      <c r="E17" s="4760" t="s">
        <v>1664</v>
      </c>
      <c r="F17" s="4761">
        <v>59.483333333333348</v>
      </c>
      <c r="G17" s="4761">
        <v>5.6566666666666663</v>
      </c>
      <c r="H17" s="4761">
        <v>5.4725000000000001</v>
      </c>
      <c r="J17" s="4759"/>
      <c r="K17" s="4760"/>
      <c r="L17" s="4761"/>
      <c r="M17" s="4761"/>
      <c r="N17" s="4761"/>
      <c r="P17" s="4759"/>
      <c r="Q17" s="4760"/>
      <c r="R17" s="4761"/>
      <c r="S17" s="4761"/>
      <c r="T17" s="4761"/>
      <c r="U17" s="4761"/>
    </row>
    <row r="18" spans="4:21" ht="28.5" hidden="1" x14ac:dyDescent="0.45">
      <c r="D18" s="6644"/>
      <c r="E18" s="4760" t="s">
        <v>1665</v>
      </c>
      <c r="F18" s="4761">
        <v>60.085000000000001</v>
      </c>
      <c r="G18" s="4761">
        <v>6.68</v>
      </c>
      <c r="H18" s="4761">
        <v>3.2549999999999999</v>
      </c>
      <c r="J18" s="4759"/>
      <c r="K18" s="4760"/>
      <c r="L18" s="4761"/>
      <c r="M18" s="4761"/>
      <c r="N18" s="4761"/>
      <c r="P18" s="4759"/>
      <c r="Q18" s="4760"/>
      <c r="R18" s="4761"/>
      <c r="S18" s="4761"/>
      <c r="T18" s="4761"/>
      <c r="U18" s="4761"/>
    </row>
    <row r="19" spans="4:21" ht="28.5" hidden="1" x14ac:dyDescent="0.45">
      <c r="D19" s="6644"/>
      <c r="E19" s="4760" t="s">
        <v>1666</v>
      </c>
      <c r="F19" s="4761">
        <v>61.6405009428032</v>
      </c>
      <c r="G19" s="4761">
        <v>4.9323067253299859</v>
      </c>
      <c r="H19" s="4761">
        <v>2.6575109993714601</v>
      </c>
      <c r="J19" s="4759"/>
      <c r="K19" s="4760"/>
      <c r="L19" s="4761"/>
      <c r="M19" s="4761"/>
      <c r="N19" s="4761"/>
      <c r="P19" s="4759"/>
      <c r="Q19" s="4760"/>
      <c r="R19" s="4761"/>
      <c r="S19" s="4761"/>
      <c r="T19" s="4761"/>
      <c r="U19" s="4761"/>
    </row>
    <row r="20" spans="4:21" ht="27.75" customHeight="1" x14ac:dyDescent="0.45">
      <c r="D20" s="6645"/>
      <c r="E20" s="4760" t="s">
        <v>1667</v>
      </c>
      <c r="F20" s="4761">
        <v>61.65299988764054</v>
      </c>
      <c r="G20" s="4761">
        <v>4.8020112359550522</v>
      </c>
      <c r="H20" s="4761">
        <v>2.6520674157303348</v>
      </c>
      <c r="J20" s="4759" t="s">
        <v>1661</v>
      </c>
      <c r="K20" s="4760" t="s">
        <v>1667</v>
      </c>
      <c r="L20" s="4761">
        <v>62.937881390593041</v>
      </c>
      <c r="M20" s="4761">
        <v>3.5104498977505156</v>
      </c>
      <c r="N20" s="4761">
        <v>1.8599591002044982</v>
      </c>
      <c r="P20" s="4759" t="s">
        <v>1661</v>
      </c>
      <c r="Q20" s="4760" t="s">
        <v>1667</v>
      </c>
      <c r="R20" s="4761">
        <v>53.472138936884413</v>
      </c>
      <c r="S20" s="4761">
        <v>6.2968578269727109</v>
      </c>
      <c r="T20" s="4761">
        <v>2.6378704610110186</v>
      </c>
      <c r="U20" s="4761">
        <v>1.8678503639381072</v>
      </c>
    </row>
    <row r="21" spans="4:21" ht="26.25" hidden="1" customHeight="1" x14ac:dyDescent="0.45">
      <c r="D21" s="4759" t="s">
        <v>1668</v>
      </c>
      <c r="E21" s="4760"/>
      <c r="F21" s="4761">
        <v>61.5</v>
      </c>
      <c r="G21" s="4761">
        <v>4.2</v>
      </c>
      <c r="H21" s="4761">
        <v>2.5</v>
      </c>
      <c r="J21" s="4759" t="s">
        <v>1668</v>
      </c>
      <c r="K21" s="4760"/>
      <c r="L21" s="4761">
        <v>62.8</v>
      </c>
      <c r="M21" s="4761">
        <v>3.5</v>
      </c>
      <c r="N21" s="4761">
        <v>1.9</v>
      </c>
      <c r="P21" s="4759" t="s">
        <v>1668</v>
      </c>
      <c r="Q21" s="4760"/>
      <c r="R21" s="4761">
        <v>53.37822824219618</v>
      </c>
      <c r="S21" s="4761">
        <v>5.9162847311280826</v>
      </c>
      <c r="T21" s="4761">
        <v>3.1141975851535659</v>
      </c>
      <c r="U21" s="4761">
        <v>1.8680849713778922</v>
      </c>
    </row>
    <row r="22" spans="4:21" ht="29.25" customHeight="1" x14ac:dyDescent="0.45">
      <c r="D22" s="4759" t="s">
        <v>1669</v>
      </c>
      <c r="E22" s="4760"/>
      <c r="F22" s="4761">
        <v>61.37</v>
      </c>
      <c r="G22" s="4761">
        <v>4.9800000000000004</v>
      </c>
      <c r="H22" s="4761">
        <v>2.65</v>
      </c>
      <c r="J22" s="4759" t="s">
        <v>1669</v>
      </c>
      <c r="K22" s="4760"/>
      <c r="L22" s="4761">
        <v>62.5</v>
      </c>
      <c r="M22" s="4761">
        <v>3.95</v>
      </c>
      <c r="N22" s="4761">
        <v>2.0299999999999998</v>
      </c>
      <c r="P22" s="4759" t="s">
        <v>1669</v>
      </c>
      <c r="Q22" s="4760"/>
      <c r="R22" s="4761"/>
      <c r="S22" s="4761"/>
      <c r="T22" s="4761"/>
      <c r="U22" s="4761"/>
    </row>
    <row r="23" spans="4:21" ht="28.5" x14ac:dyDescent="0.45">
      <c r="D23" s="4762" t="s">
        <v>1917</v>
      </c>
      <c r="E23" s="4763"/>
      <c r="F23" s="4764">
        <v>60.83</v>
      </c>
      <c r="G23" s="4764">
        <v>4.82</v>
      </c>
      <c r="H23" s="4764">
        <v>3.32</v>
      </c>
      <c r="J23" s="4762" t="s">
        <v>1917</v>
      </c>
      <c r="K23" s="4763"/>
      <c r="L23" s="4764">
        <v>62.45</v>
      </c>
      <c r="M23" s="4764">
        <v>2.85</v>
      </c>
      <c r="N23" s="4764">
        <v>2.29</v>
      </c>
      <c r="P23" s="4762" t="s">
        <v>1917</v>
      </c>
      <c r="Q23" s="4763"/>
      <c r="R23" s="4764">
        <v>53.16</v>
      </c>
      <c r="S23" s="4764">
        <v>6.19</v>
      </c>
      <c r="T23" s="4764">
        <v>3.12</v>
      </c>
      <c r="U23" s="4764">
        <v>1.87</v>
      </c>
    </row>
    <row r="24" spans="4:21" ht="28.5" x14ac:dyDescent="0.45">
      <c r="D24" s="4762" t="s">
        <v>1909</v>
      </c>
      <c r="E24" s="4763"/>
      <c r="F24" s="4764">
        <v>61.312799999999982</v>
      </c>
      <c r="G24" s="4764">
        <v>3.6630000000000003</v>
      </c>
      <c r="H24" s="4764">
        <v>2.8299999999999987</v>
      </c>
      <c r="J24" s="4762" t="s">
        <v>1909</v>
      </c>
      <c r="K24" s="4763"/>
      <c r="L24" s="4764">
        <v>62.771507246376814</v>
      </c>
      <c r="M24" s="4764">
        <v>2.4013043478260871</v>
      </c>
      <c r="N24" s="4764">
        <v>1.6024637681159422</v>
      </c>
      <c r="P24" s="4762" t="s">
        <v>1909</v>
      </c>
      <c r="Q24" s="4763"/>
      <c r="R24" s="4764">
        <v>52.19</v>
      </c>
      <c r="S24" s="4764">
        <v>6.36</v>
      </c>
      <c r="T24" s="4764">
        <v>3.15</v>
      </c>
      <c r="U24" s="4764">
        <v>1.85</v>
      </c>
    </row>
    <row r="25" spans="4:21" ht="28.5" x14ac:dyDescent="0.45">
      <c r="D25" s="4762" t="s">
        <v>1911</v>
      </c>
      <c r="E25" s="4763"/>
      <c r="F25" s="4764">
        <v>61.834753424657535</v>
      </c>
      <c r="G25" s="4764">
        <v>3.0872602739726025</v>
      </c>
      <c r="H25" s="4764">
        <v>2.512876712328767</v>
      </c>
      <c r="J25" s="4762" t="s">
        <v>1911</v>
      </c>
      <c r="K25" s="4763"/>
      <c r="L25" s="4764">
        <v>62.529117647058818</v>
      </c>
      <c r="M25" s="4764">
        <v>2.3072549019607846</v>
      </c>
      <c r="N25" s="4764">
        <v>1.975490196078431</v>
      </c>
      <c r="P25" s="4762" t="s">
        <v>1911</v>
      </c>
      <c r="Q25" s="4763"/>
      <c r="R25" s="4764">
        <v>55.08</v>
      </c>
      <c r="S25" s="4764">
        <v>5.1260000000000003</v>
      </c>
      <c r="T25" s="4764">
        <v>2.67</v>
      </c>
      <c r="U25" s="4764">
        <v>1.87</v>
      </c>
    </row>
    <row r="26" spans="4:21" ht="28.5" x14ac:dyDescent="0.45">
      <c r="D26" s="4762" t="s">
        <v>1910</v>
      </c>
      <c r="E26" s="4763"/>
      <c r="F26" s="4764">
        <v>61.09731868131869</v>
      </c>
      <c r="G26" s="4764">
        <v>4.4797802197802179</v>
      </c>
      <c r="H26" s="4764">
        <v>2.3717582417582417</v>
      </c>
      <c r="I26" s="5012">
        <v>61.09731868131869</v>
      </c>
      <c r="J26" s="4762" t="s">
        <v>1910</v>
      </c>
      <c r="K26" s="4763"/>
      <c r="L26" s="4764">
        <v>62.505999999999993</v>
      </c>
      <c r="M26" s="4764">
        <v>2.7073170731707319</v>
      </c>
      <c r="N26" s="4764">
        <v>1.6843902439024394</v>
      </c>
      <c r="P26" s="4762" t="s">
        <v>1910</v>
      </c>
      <c r="Q26" s="4763"/>
      <c r="R26" s="4764">
        <v>52.78</v>
      </c>
      <c r="S26" s="4764">
        <v>6.24</v>
      </c>
      <c r="T26" s="4764">
        <v>2.65</v>
      </c>
      <c r="U26" s="4764">
        <v>1.86</v>
      </c>
    </row>
    <row r="27" spans="4:21" ht="28.5" x14ac:dyDescent="0.45">
      <c r="D27" s="4762" t="s">
        <v>1912</v>
      </c>
      <c r="E27" s="4763"/>
      <c r="F27" s="4764">
        <v>60.579487804878084</v>
      </c>
      <c r="G27" s="4764">
        <v>5.0039024390243911</v>
      </c>
      <c r="H27" s="4764">
        <v>2.4721951219512199</v>
      </c>
      <c r="J27" s="4762" t="s">
        <v>1912</v>
      </c>
      <c r="K27" s="4763"/>
      <c r="L27" s="4764">
        <v>62.400642857142863</v>
      </c>
      <c r="M27" s="4764">
        <v>3.3657142857142861</v>
      </c>
      <c r="N27" s="4764">
        <v>1.3010714285714289</v>
      </c>
      <c r="P27" s="4762" t="s">
        <v>1912</v>
      </c>
      <c r="Q27" s="4763"/>
      <c r="R27" s="4764">
        <v>52.52</v>
      </c>
      <c r="S27" s="4764">
        <v>6.63</v>
      </c>
      <c r="T27" s="4764">
        <v>2.58</v>
      </c>
      <c r="U27" s="4764">
        <v>1.81</v>
      </c>
    </row>
    <row r="28" spans="4:21" ht="28.5" x14ac:dyDescent="0.45">
      <c r="D28" s="4762" t="s">
        <v>1913</v>
      </c>
      <c r="E28" s="4763"/>
      <c r="F28" s="4764">
        <v>61.352785714285709</v>
      </c>
      <c r="G28" s="4764">
        <v>4.1680000000000019</v>
      </c>
      <c r="H28" s="4764">
        <v>2.0210000000000008</v>
      </c>
      <c r="J28" s="4762" t="s">
        <v>1913</v>
      </c>
      <c r="K28" s="4763"/>
      <c r="L28" s="4764">
        <v>62.178060606060612</v>
      </c>
      <c r="M28" s="4764">
        <v>3.3260606060606062</v>
      </c>
      <c r="N28" s="4764">
        <v>1.4766666666666668</v>
      </c>
      <c r="P28" s="4762" t="s">
        <v>1913</v>
      </c>
      <c r="Q28" s="4763"/>
      <c r="R28" s="4764">
        <v>52.6</v>
      </c>
      <c r="S28" s="4764">
        <v>6.63</v>
      </c>
      <c r="T28" s="4764">
        <v>2.42</v>
      </c>
      <c r="U28" s="4764">
        <v>1.75</v>
      </c>
    </row>
    <row r="29" spans="4:21" ht="28.5" x14ac:dyDescent="0.45">
      <c r="D29" s="4762" t="s">
        <v>1914</v>
      </c>
      <c r="E29" s="4763"/>
      <c r="F29" s="4764">
        <v>60.652396039603971</v>
      </c>
      <c r="G29" s="4764">
        <v>4.925841584158416</v>
      </c>
      <c r="H29" s="4764">
        <v>2.2668316831683168</v>
      </c>
      <c r="J29" s="4762" t="s">
        <v>1914</v>
      </c>
      <c r="K29" s="4763"/>
      <c r="L29" s="4764">
        <v>62.535204545454569</v>
      </c>
      <c r="M29" s="4764">
        <v>2.8165909090909089</v>
      </c>
      <c r="N29" s="4764">
        <v>1.3911363636363632</v>
      </c>
      <c r="P29" s="4762" t="s">
        <v>1914</v>
      </c>
      <c r="Q29" s="4763"/>
      <c r="R29" s="4764">
        <v>53.18</v>
      </c>
      <c r="S29" s="4764">
        <v>6.46</v>
      </c>
      <c r="T29" s="4764">
        <v>2.27</v>
      </c>
      <c r="U29" s="4764">
        <v>1.75</v>
      </c>
    </row>
    <row r="30" spans="4:21" ht="28.5" x14ac:dyDescent="0.45">
      <c r="D30" s="4762" t="s">
        <v>1915</v>
      </c>
      <c r="E30" s="4763"/>
      <c r="F30" s="4764">
        <v>61.29</v>
      </c>
      <c r="G30" s="4764">
        <v>4.04</v>
      </c>
      <c r="H30" s="4764">
        <v>2.21</v>
      </c>
      <c r="J30" s="4762" t="s">
        <v>1915</v>
      </c>
      <c r="K30" s="4763"/>
      <c r="L30" s="4764">
        <v>62.22</v>
      </c>
      <c r="M30" s="4764">
        <v>3.19</v>
      </c>
      <c r="N30" s="4764">
        <v>1.7</v>
      </c>
      <c r="P30" s="4762" t="s">
        <v>1915</v>
      </c>
      <c r="Q30" s="4763"/>
      <c r="R30" s="4764">
        <v>53.3</v>
      </c>
      <c r="S30" s="4764">
        <v>6.38</v>
      </c>
      <c r="T30" s="4764">
        <v>2.41</v>
      </c>
      <c r="U30" s="4764">
        <v>1.74</v>
      </c>
    </row>
    <row r="31" spans="4:21" ht="28.5" x14ac:dyDescent="0.45">
      <c r="D31" s="4762" t="s">
        <v>1916</v>
      </c>
      <c r="E31" s="4763"/>
      <c r="F31" s="4764">
        <v>61.497297029702963</v>
      </c>
      <c r="G31" s="4764">
        <v>4.2097029702970303</v>
      </c>
      <c r="H31" s="4764">
        <v>1.8356435643564362</v>
      </c>
      <c r="J31" s="4762" t="s">
        <v>1916</v>
      </c>
      <c r="K31" s="4763"/>
      <c r="L31" s="4764">
        <v>62.373446808510671</v>
      </c>
      <c r="M31" s="4764">
        <v>3.2148936170212763</v>
      </c>
      <c r="N31" s="4764">
        <v>1.4134042553191488</v>
      </c>
      <c r="P31" s="4762" t="s">
        <v>1916</v>
      </c>
      <c r="Q31" s="4763"/>
      <c r="R31" s="4764">
        <v>53.96</v>
      </c>
      <c r="S31" s="4764">
        <v>6.1</v>
      </c>
      <c r="T31" s="4764">
        <v>2.21</v>
      </c>
      <c r="U31" s="4764">
        <v>1.74</v>
      </c>
    </row>
    <row r="32" spans="4:21" ht="28.5" x14ac:dyDescent="0.45">
      <c r="D32" s="4762" t="s">
        <v>1927</v>
      </c>
      <c r="E32" s="4763"/>
      <c r="F32" s="4764">
        <v>61.49</v>
      </c>
      <c r="G32" s="4764">
        <v>3.8231868131868114</v>
      </c>
      <c r="H32" s="4764">
        <v>2.1123076923076924</v>
      </c>
      <c r="J32" s="4762" t="s">
        <v>1927</v>
      </c>
      <c r="K32" s="4763"/>
      <c r="L32" s="4764">
        <v>62</v>
      </c>
      <c r="M32" s="4764">
        <v>3.22</v>
      </c>
      <c r="N32" s="4764">
        <v>1.89</v>
      </c>
      <c r="P32" s="4762" t="s">
        <v>1927</v>
      </c>
      <c r="Q32" s="4763"/>
      <c r="R32" s="4764">
        <v>53.82</v>
      </c>
      <c r="S32" s="4764">
        <v>6.04</v>
      </c>
      <c r="T32" s="4764">
        <v>2.4</v>
      </c>
      <c r="U32" s="4764">
        <v>1.76</v>
      </c>
    </row>
    <row r="33" spans="4:21" ht="28.5" x14ac:dyDescent="0.45">
      <c r="D33" s="4765" t="s">
        <v>1954</v>
      </c>
      <c r="E33" s="4766"/>
      <c r="F33" s="4767">
        <v>60.483788732394359</v>
      </c>
      <c r="G33" s="4767">
        <v>4.5140845070422539</v>
      </c>
      <c r="H33" s="4767">
        <v>2.9476056338028171</v>
      </c>
      <c r="J33" s="4765" t="s">
        <v>1954</v>
      </c>
      <c r="K33" s="4766"/>
      <c r="L33" s="4767">
        <v>61.784959183673486</v>
      </c>
      <c r="M33" s="4767">
        <v>3.1918367346938772</v>
      </c>
      <c r="N33" s="4767">
        <v>2.2140816326530612</v>
      </c>
      <c r="P33" s="4765" t="s">
        <v>1954</v>
      </c>
      <c r="Q33" s="4766"/>
      <c r="R33" s="4767">
        <v>53.01</v>
      </c>
      <c r="S33" s="4767">
        <v>6.26</v>
      </c>
      <c r="T33" s="4767">
        <v>2.79</v>
      </c>
      <c r="U33" s="4767">
        <v>1.77</v>
      </c>
    </row>
    <row r="34" spans="4:21" ht="28.5" x14ac:dyDescent="0.45">
      <c r="D34" s="5266" t="s">
        <v>1981</v>
      </c>
      <c r="E34" s="5267"/>
      <c r="F34" s="5268">
        <v>60.709963855421684</v>
      </c>
      <c r="G34" s="5268">
        <v>4.3401204819277126</v>
      </c>
      <c r="H34" s="5268">
        <v>2.8090361445783141</v>
      </c>
      <c r="J34" s="5266" t="s">
        <v>1981</v>
      </c>
      <c r="K34" s="5267"/>
      <c r="L34" s="5268">
        <v>62.315816326530602</v>
      </c>
      <c r="M34" s="5268">
        <v>2.6636734693877555</v>
      </c>
      <c r="N34" s="5268">
        <v>1.9604081632653059</v>
      </c>
      <c r="P34" s="5266" t="s">
        <v>1981</v>
      </c>
      <c r="Q34" s="5267"/>
      <c r="R34" s="5268">
        <v>51.75</v>
      </c>
      <c r="S34" s="5268">
        <v>6.94</v>
      </c>
      <c r="T34" s="5268">
        <v>3.05</v>
      </c>
      <c r="U34" s="5268">
        <v>1.75</v>
      </c>
    </row>
    <row r="35" spans="4:21" ht="28.5" x14ac:dyDescent="0.45">
      <c r="D35" s="5269" t="s">
        <v>1982</v>
      </c>
      <c r="E35" s="5270"/>
      <c r="F35" s="5271">
        <f>+AVERAGE(F23:F34)</f>
        <v>61.094215940188583</v>
      </c>
      <c r="G35" s="5271">
        <f>+AVERAGE(G23:G34)</f>
        <v>4.2562399407824527</v>
      </c>
      <c r="H35" s="5271">
        <f>+AVERAGE(H23:H34)</f>
        <v>2.4757712328543167</v>
      </c>
      <c r="J35" s="5269" t="s">
        <v>1982</v>
      </c>
      <c r="K35" s="5270"/>
      <c r="L35" s="5271">
        <f>+AVERAGE(L23:L34)</f>
        <v>62.338729601734038</v>
      </c>
      <c r="M35" s="5271">
        <f t="shared" ref="M35:N35" si="0">+AVERAGE(M23:M34)</f>
        <v>2.9378871620771925</v>
      </c>
      <c r="N35" s="5271">
        <f t="shared" si="0"/>
        <v>1.7415927265173989</v>
      </c>
      <c r="P35" s="5269" t="s">
        <v>1982</v>
      </c>
      <c r="Q35" s="5270"/>
      <c r="R35" s="5271">
        <f t="shared" ref="R35" si="1">+AVERAGE(R23:R34)</f>
        <v>53.112500000000004</v>
      </c>
      <c r="S35" s="5271">
        <f t="shared" ref="S35" si="2">+AVERAGE(S23:S34)</f>
        <v>6.2796666666666674</v>
      </c>
      <c r="T35" s="5271">
        <f t="shared" ref="T35" si="3">+AVERAGE(T23:T34)</f>
        <v>2.6433333333333331</v>
      </c>
      <c r="U35" s="5271">
        <f t="shared" ref="U35" si="4">+AVERAGE(U23:U34)</f>
        <v>1.7933333333333332</v>
      </c>
    </row>
  </sheetData>
  <mergeCells count="4">
    <mergeCell ref="D5:H5"/>
    <mergeCell ref="J5:N5"/>
    <mergeCell ref="P5:U5"/>
    <mergeCell ref="D15:D20"/>
  </mergeCells>
  <printOptions horizontalCentered="1" verticalCentered="1"/>
  <pageMargins left="0.16" right="0" top="0" bottom="0" header="0" footer="0"/>
  <pageSetup paperSize="9" scale="48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1"/>
  <dimension ref="D5:Z19"/>
  <sheetViews>
    <sheetView topLeftCell="J1" workbookViewId="0">
      <selection activeCell="AB12" sqref="AB12"/>
    </sheetView>
  </sheetViews>
  <sheetFormatPr defaultRowHeight="15" x14ac:dyDescent="0.25"/>
  <cols>
    <col min="1" max="2" width="9.140625" style="2533"/>
    <col min="3" max="3" width="15.140625" style="2533" bestFit="1" customWidth="1"/>
    <col min="4" max="4" width="34.140625" style="323" customWidth="1"/>
    <col min="5" max="5" width="12.140625" style="2533" customWidth="1"/>
    <col min="6" max="6" width="10.85546875" style="2533" customWidth="1"/>
    <col min="7" max="18" width="10.5703125" style="2533" bestFit="1" customWidth="1"/>
    <col min="19" max="19" width="9.140625" style="2533"/>
    <col min="20" max="20" width="9.5703125" style="2533" bestFit="1" customWidth="1"/>
    <col min="21" max="21" width="9.140625" style="2533"/>
    <col min="22" max="22" width="11.28515625" style="2533" customWidth="1"/>
    <col min="23" max="16384" width="9.140625" style="2533"/>
  </cols>
  <sheetData>
    <row r="5" spans="4:26" ht="15.75" thickBot="1" x14ac:dyDescent="0.3"/>
    <row r="6" spans="4:26" ht="20.25" x14ac:dyDescent="0.25">
      <c r="D6" s="2534"/>
      <c r="E6" s="2535" t="s">
        <v>176</v>
      </c>
      <c r="F6" s="2535" t="s">
        <v>1727</v>
      </c>
      <c r="G6" s="2535" t="s">
        <v>1347</v>
      </c>
      <c r="H6" s="2535" t="s">
        <v>1356</v>
      </c>
      <c r="I6" s="2535" t="s">
        <v>1387</v>
      </c>
      <c r="J6" s="2535" t="s">
        <v>1413</v>
      </c>
      <c r="K6" s="2535" t="s">
        <v>1429</v>
      </c>
      <c r="L6" s="2535" t="s">
        <v>1439</v>
      </c>
      <c r="M6" s="2535" t="s">
        <v>1448</v>
      </c>
      <c r="N6" s="2535" t="s">
        <v>1460</v>
      </c>
      <c r="O6" s="2535" t="s">
        <v>1470</v>
      </c>
      <c r="P6" s="2535" t="s">
        <v>1526</v>
      </c>
      <c r="Q6" s="2535" t="s">
        <v>1620</v>
      </c>
      <c r="R6" s="2535" t="s">
        <v>1688</v>
      </c>
      <c r="S6" s="2535" t="s">
        <v>1731</v>
      </c>
      <c r="T6" s="2535" t="s">
        <v>1766</v>
      </c>
      <c r="U6" s="2535" t="s">
        <v>1831</v>
      </c>
      <c r="V6" s="2535" t="s">
        <v>1863</v>
      </c>
      <c r="W6" s="2535" t="s">
        <v>1888</v>
      </c>
      <c r="X6" s="2535" t="s">
        <v>1918</v>
      </c>
      <c r="Y6" s="2535" t="s">
        <v>1940</v>
      </c>
      <c r="Z6" s="2535" t="s">
        <v>1965</v>
      </c>
    </row>
    <row r="7" spans="4:26" ht="20.25" x14ac:dyDescent="0.25">
      <c r="D7" s="2536" t="s">
        <v>1106</v>
      </c>
      <c r="E7" s="2537" t="s">
        <v>248</v>
      </c>
      <c r="F7" s="2538">
        <v>374.24192914750546</v>
      </c>
      <c r="G7" s="2538">
        <v>357.13669784896041</v>
      </c>
      <c r="H7" s="2538">
        <v>472</v>
      </c>
      <c r="I7" s="2538">
        <v>409.69792586754374</v>
      </c>
      <c r="J7" s="2538">
        <v>440.43140676817086</v>
      </c>
      <c r="K7" s="2538">
        <v>481.25602212932353</v>
      </c>
      <c r="L7" s="2538">
        <v>451.91513133247309</v>
      </c>
      <c r="M7" s="2538">
        <v>426.63557542874275</v>
      </c>
      <c r="N7" s="2538">
        <v>401.9331179747503</v>
      </c>
      <c r="O7" s="2538">
        <v>455.89765866079711</v>
      </c>
      <c r="P7" s="2538">
        <v>487.6115537966208</v>
      </c>
      <c r="Q7" s="2538">
        <v>400.09125379052409</v>
      </c>
      <c r="R7" s="2538">
        <v>459.97111985484503</v>
      </c>
      <c r="S7" s="2539">
        <v>478.76881203570764</v>
      </c>
      <c r="T7" s="2539">
        <f>'B-FCE'!X76</f>
        <v>448.46878491620129</v>
      </c>
      <c r="U7" s="2539">
        <v>430.55008343128634</v>
      </c>
      <c r="V7" s="2539">
        <v>450.85902064106665</v>
      </c>
      <c r="W7" s="2539">
        <v>454.32705717078858</v>
      </c>
      <c r="X7" s="2539">
        <v>402.60355006683147</v>
      </c>
      <c r="Y7" s="2539">
        <v>434.45952244838372</v>
      </c>
      <c r="Z7" s="2539">
        <v>474.25515248511829</v>
      </c>
    </row>
    <row r="8" spans="4:26" ht="21" thickBot="1" x14ac:dyDescent="0.3">
      <c r="D8" s="2540"/>
      <c r="E8" s="2541"/>
      <c r="F8" s="2541"/>
      <c r="G8" s="2541"/>
      <c r="H8" s="2541"/>
      <c r="I8" s="2541"/>
      <c r="J8" s="2541"/>
      <c r="K8" s="2541"/>
      <c r="L8" s="2541"/>
      <c r="M8" s="2541"/>
      <c r="N8" s="2541"/>
      <c r="O8" s="2541"/>
      <c r="P8" s="2541"/>
      <c r="Q8" s="2541"/>
      <c r="R8" s="2541"/>
      <c r="S8" s="2542"/>
      <c r="T8" s="2542"/>
      <c r="U8" s="2542"/>
      <c r="V8" s="2542"/>
      <c r="W8" s="2542"/>
      <c r="X8" s="2542"/>
      <c r="Y8" s="2542"/>
      <c r="Z8" s="2542"/>
    </row>
    <row r="9" spans="4:26" ht="20.25" x14ac:dyDescent="0.25">
      <c r="D9" s="2543" t="s">
        <v>1728</v>
      </c>
      <c r="E9" s="2544"/>
      <c r="F9" s="2544"/>
      <c r="G9" s="2544"/>
      <c r="H9" s="2544"/>
      <c r="I9" s="2544"/>
      <c r="J9" s="2544"/>
      <c r="K9" s="2544"/>
      <c r="L9" s="2544"/>
      <c r="M9" s="2544"/>
      <c r="N9" s="2544"/>
      <c r="O9" s="2544"/>
      <c r="P9" s="2544"/>
      <c r="Q9" s="2544"/>
      <c r="R9" s="2544"/>
      <c r="S9" s="2545"/>
      <c r="T9" s="2545"/>
      <c r="U9" s="2545"/>
      <c r="V9" s="2545"/>
      <c r="W9" s="2545"/>
      <c r="X9" s="2545"/>
      <c r="Y9" s="2545"/>
      <c r="Z9" s="2545"/>
    </row>
    <row r="10" spans="4:26" ht="20.25" x14ac:dyDescent="0.25">
      <c r="D10" s="2546" t="s">
        <v>438</v>
      </c>
      <c r="E10" s="6646" t="s">
        <v>51</v>
      </c>
      <c r="F10" s="2547">
        <v>4.9267088607594935</v>
      </c>
      <c r="G10" s="2547">
        <v>4.7988888888888859</v>
      </c>
      <c r="H10" s="2547">
        <v>5.7245762711864421</v>
      </c>
      <c r="I10" s="2547">
        <v>4.9452564102564098</v>
      </c>
      <c r="J10" s="2547">
        <v>6.1471428571428559</v>
      </c>
      <c r="K10" s="2547">
        <v>5.0889473684210529</v>
      </c>
      <c r="L10" s="2547">
        <v>4.9205882352941179</v>
      </c>
      <c r="M10" s="2547">
        <v>4.1611627906976736</v>
      </c>
      <c r="N10" s="2547">
        <v>3.4794444444444457</v>
      </c>
      <c r="O10" s="2547">
        <v>4.817380952380951</v>
      </c>
      <c r="P10" s="2547">
        <v>3.6630000000000003</v>
      </c>
      <c r="Q10" s="2547">
        <v>3.0872602739726025</v>
      </c>
      <c r="R10" s="2547">
        <v>4.4797802197802179</v>
      </c>
      <c r="S10" s="2548">
        <v>5.0039024390243911</v>
      </c>
      <c r="T10" s="2548">
        <f>Quality!G28</f>
        <v>4.1680000000000019</v>
      </c>
      <c r="U10" s="2548">
        <v>4.925841584158416</v>
      </c>
      <c r="V10" s="2548">
        <v>4.04</v>
      </c>
      <c r="W10" s="2548">
        <v>4.2097029702970303</v>
      </c>
      <c r="X10" s="2548">
        <v>3.8231868131868114</v>
      </c>
      <c r="Y10" s="2548">
        <v>4.5140845070422539</v>
      </c>
      <c r="Z10" s="2548">
        <v>4.3401204819277126</v>
      </c>
    </row>
    <row r="11" spans="4:26" ht="20.25" x14ac:dyDescent="0.25">
      <c r="D11" s="2546" t="s">
        <v>439</v>
      </c>
      <c r="E11" s="6646"/>
      <c r="F11" s="2547">
        <v>2.4696202531645577</v>
      </c>
      <c r="G11" s="2547">
        <v>3.0506349206349213</v>
      </c>
      <c r="H11" s="2547">
        <v>3.3566101694915251</v>
      </c>
      <c r="I11" s="2547">
        <v>1.8442307692307698</v>
      </c>
      <c r="J11" s="2547">
        <v>2.6771428571428584</v>
      </c>
      <c r="K11" s="2547">
        <v>3.5796491228070182</v>
      </c>
      <c r="L11" s="2547">
        <v>2.886470588235293</v>
      </c>
      <c r="M11" s="2547">
        <v>2.9701162790697668</v>
      </c>
      <c r="N11" s="2547">
        <v>2.5795555555555554</v>
      </c>
      <c r="O11" s="2547">
        <v>3.3175000000000003</v>
      </c>
      <c r="P11" s="2547">
        <v>2.8299999999999987</v>
      </c>
      <c r="Q11" s="2547">
        <v>2.512876712328767</v>
      </c>
      <c r="R11" s="2547">
        <v>2.3717582417582417</v>
      </c>
      <c r="S11" s="2548">
        <v>2.4721951219512199</v>
      </c>
      <c r="T11" s="2548">
        <f>Quality!H28</f>
        <v>2.0210000000000008</v>
      </c>
      <c r="U11" s="2548">
        <v>2.2668316831683168</v>
      </c>
      <c r="V11" s="2548">
        <v>2.21</v>
      </c>
      <c r="W11" s="2548">
        <v>1.8356435643564362</v>
      </c>
      <c r="X11" s="2548">
        <v>2.1123076923076924</v>
      </c>
      <c r="Y11" s="2548">
        <v>2.9476056338028171</v>
      </c>
      <c r="Z11" s="2548">
        <v>2.8090361445783141</v>
      </c>
    </row>
    <row r="12" spans="4:26" ht="20.25" x14ac:dyDescent="0.25">
      <c r="D12" s="2546" t="s">
        <v>1729</v>
      </c>
      <c r="E12" s="6646"/>
      <c r="F12" s="2547">
        <f>SUM(F10:F11)</f>
        <v>7.3963291139240512</v>
      </c>
      <c r="G12" s="2547">
        <f t="shared" ref="G12:Q12" si="0">SUM(G10:G11)</f>
        <v>7.8495238095238076</v>
      </c>
      <c r="H12" s="2547">
        <f t="shared" si="0"/>
        <v>9.0811864406779677</v>
      </c>
      <c r="I12" s="2547">
        <f t="shared" si="0"/>
        <v>6.7894871794871801</v>
      </c>
      <c r="J12" s="2547">
        <f t="shared" si="0"/>
        <v>8.8242857142857147</v>
      </c>
      <c r="K12" s="2547">
        <f t="shared" si="0"/>
        <v>8.6685964912280706</v>
      </c>
      <c r="L12" s="2547">
        <f t="shared" si="0"/>
        <v>7.8070588235294114</v>
      </c>
      <c r="M12" s="2547">
        <f t="shared" si="0"/>
        <v>7.1312790697674409</v>
      </c>
      <c r="N12" s="2547">
        <f t="shared" si="0"/>
        <v>6.0590000000000011</v>
      </c>
      <c r="O12" s="2547">
        <f t="shared" si="0"/>
        <v>8.1348809523809518</v>
      </c>
      <c r="P12" s="2547">
        <f t="shared" si="0"/>
        <v>6.4929999999999986</v>
      </c>
      <c r="Q12" s="2547">
        <f t="shared" si="0"/>
        <v>5.6001369863013695</v>
      </c>
      <c r="R12" s="2547">
        <f>SUM(R10:R11)</f>
        <v>6.8515384615384596</v>
      </c>
      <c r="S12" s="2548">
        <f>SUM(S10:S11)</f>
        <v>7.4760975609756111</v>
      </c>
      <c r="T12" s="2548">
        <f>SUM(T10:T11)</f>
        <v>6.1890000000000027</v>
      </c>
      <c r="U12" s="2548">
        <f t="shared" ref="U12:Z12" si="1">SUM(U10:U11)</f>
        <v>7.1926732673267324</v>
      </c>
      <c r="V12" s="2548">
        <f t="shared" si="1"/>
        <v>6.25</v>
      </c>
      <c r="W12" s="2548">
        <f t="shared" si="1"/>
        <v>6.0453465346534667</v>
      </c>
      <c r="X12" s="2548">
        <f t="shared" si="1"/>
        <v>5.9354945054945034</v>
      </c>
      <c r="Y12" s="2548">
        <f t="shared" si="1"/>
        <v>7.4616901408450715</v>
      </c>
      <c r="Z12" s="2548">
        <f t="shared" si="1"/>
        <v>7.1491566265060271</v>
      </c>
    </row>
    <row r="13" spans="4:26" ht="20.25" x14ac:dyDescent="0.25">
      <c r="D13" s="2546" t="s">
        <v>436</v>
      </c>
      <c r="E13" s="6646"/>
      <c r="F13" s="2547">
        <v>61.774987341772153</v>
      </c>
      <c r="G13" s="2547">
        <v>61.472809523809531</v>
      </c>
      <c r="H13" s="2547">
        <v>60.75215254237289</v>
      </c>
      <c r="I13" s="2547">
        <v>62.145769230769218</v>
      </c>
      <c r="J13" s="2547">
        <v>60.922680952380958</v>
      </c>
      <c r="K13" s="3213">
        <v>60.607298245614054</v>
      </c>
      <c r="L13" s="2547">
        <v>61.293882352941161</v>
      </c>
      <c r="M13" s="2547">
        <v>61.731558139534869</v>
      </c>
      <c r="N13" s="2547">
        <v>62.468644444444443</v>
      </c>
      <c r="O13" s="2547">
        <v>60.834380952380947</v>
      </c>
      <c r="P13" s="2547">
        <v>61.312799999999982</v>
      </c>
      <c r="Q13" s="2547">
        <v>61.834753424657535</v>
      </c>
      <c r="R13" s="2547">
        <v>61.09731868131869</v>
      </c>
      <c r="S13" s="2548">
        <v>60.579487804878084</v>
      </c>
      <c r="T13" s="2548">
        <f>Quality!F28</f>
        <v>61.352785714285709</v>
      </c>
      <c r="U13" s="2548">
        <v>60.652396039603971</v>
      </c>
      <c r="V13" s="2548">
        <v>61.29</v>
      </c>
      <c r="W13" s="2548">
        <v>61.497297029702963</v>
      </c>
      <c r="X13" s="2548">
        <v>61.49</v>
      </c>
      <c r="Y13" s="5011">
        <v>60.483788732394359</v>
      </c>
      <c r="Z13" s="2548">
        <v>60.709963855421684</v>
      </c>
    </row>
    <row r="14" spans="4:26" ht="21" thickBot="1" x14ac:dyDescent="0.3">
      <c r="D14" s="2549" t="s">
        <v>1730</v>
      </c>
      <c r="E14" s="6647"/>
      <c r="F14" s="2550">
        <v>0.52992225621988387</v>
      </c>
      <c r="G14" s="2550">
        <v>0.67291826643164032</v>
      </c>
      <c r="H14" s="2550">
        <v>0.60981126148708042</v>
      </c>
      <c r="I14" s="2550">
        <v>0.38686942150253145</v>
      </c>
      <c r="J14" s="2550">
        <v>0.51310760194134475</v>
      </c>
      <c r="K14" s="2550">
        <v>0.75329559029059001</v>
      </c>
      <c r="L14" s="2550">
        <v>0.60371236906661097</v>
      </c>
      <c r="M14" s="2550">
        <v>0.7561847282687979</v>
      </c>
      <c r="N14" s="2550">
        <v>0.77364592036626434</v>
      </c>
      <c r="O14" s="2550">
        <v>0.74214809932243708</v>
      </c>
      <c r="P14" s="2550">
        <v>0.81354824866349373</v>
      </c>
      <c r="Q14" s="2550">
        <v>0.88543883501455878</v>
      </c>
      <c r="R14" s="2550">
        <f>+R11/R10</f>
        <v>0.52943629495167566</v>
      </c>
      <c r="S14" s="2551">
        <f>S11/S10</f>
        <v>0.49405342171963346</v>
      </c>
      <c r="T14" s="2551">
        <f>T11/T10</f>
        <v>0.48488483685220723</v>
      </c>
      <c r="U14" s="2551">
        <f t="shared" ref="U14:Z14" si="2">U11/U10</f>
        <v>0.46019175493959918</v>
      </c>
      <c r="V14" s="2551">
        <f t="shared" si="2"/>
        <v>0.54702970297029707</v>
      </c>
      <c r="W14" s="2551">
        <f t="shared" si="2"/>
        <v>0.43605061385766036</v>
      </c>
      <c r="X14" s="2551">
        <f t="shared" si="2"/>
        <v>0.55249920956569254</v>
      </c>
      <c r="Y14" s="2551">
        <f t="shared" si="2"/>
        <v>0.65297971918876752</v>
      </c>
      <c r="Z14" s="2551">
        <f t="shared" si="2"/>
        <v>0.64722538378258332</v>
      </c>
    </row>
    <row r="19" spans="8:18" x14ac:dyDescent="0.25"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</row>
  </sheetData>
  <mergeCells count="1">
    <mergeCell ref="E10:E14"/>
  </mergeCells>
  <phoneticPr fontId="90" type="noConversion"/>
  <conditionalFormatting sqref="F13:Y13">
    <cfRule type="top10" dxfId="16" priority="8" bottom="1" rank="1"/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25" operator="containsText" id="{FA8620B5-C334-4163-9C8B-CFC820B38F4D}">
            <xm:f>NOT(ISERROR(SEARCH(MAX($F$12:$R$12),F12)))</xm:f>
            <xm:f>MAX($F$12:$R$12)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F12:Q12 S12:Y12</xm:sqref>
        </x14:conditionalFormatting>
        <x14:conditionalFormatting xmlns:xm="http://schemas.microsoft.com/office/excel/2006/main">
          <x14:cfRule type="containsText" priority="24" operator="containsText" id="{725A5B2A-6DEB-4C80-83AB-754697E901C8}">
            <xm:f>NOT(ISERROR(SEARCH(MAX($F$10:$R$10),F10)))</xm:f>
            <xm:f>MAX($F$10:$R$10)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F10:Q10 S10:T10</xm:sqref>
        </x14:conditionalFormatting>
        <x14:conditionalFormatting xmlns:xm="http://schemas.microsoft.com/office/excel/2006/main">
          <x14:cfRule type="containsText" priority="23" operator="containsText" id="{C7FF52C1-B57D-463A-87F4-56DB2574F257}">
            <xm:f>NOT(ISERROR(SEARCH(MAX($F$11:$R$11),F11)))</xm:f>
            <xm:f>MAX($F$11:$R$11)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F11:Q11 S11:T11</xm:sqref>
        </x14:conditionalFormatting>
        <x14:conditionalFormatting xmlns:xm="http://schemas.microsoft.com/office/excel/2006/main">
          <x14:cfRule type="containsText" priority="21" operator="containsText" id="{ACA3457E-9272-431E-8A7C-4AC32297BCDE}">
            <xm:f>NOT(ISERROR(SEARCH(MAX($F$7:$R$7),F7)))</xm:f>
            <xm:f>MAX($F$7:$R$7)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F7:T7</xm:sqref>
        </x14:conditionalFormatting>
        <x14:conditionalFormatting xmlns:xm="http://schemas.microsoft.com/office/excel/2006/main">
          <x14:cfRule type="containsText" priority="20" operator="containsText" id="{DE5C8A43-BADF-482E-B9BD-5398072B7DB8}">
            <xm:f>NOT(ISERROR(SEARCH(MAX($F$12:$R$12),R12)))</xm:f>
            <xm:f>MAX($F$12:$R$12)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R12</xm:sqref>
        </x14:conditionalFormatting>
        <x14:conditionalFormatting xmlns:xm="http://schemas.microsoft.com/office/excel/2006/main">
          <x14:cfRule type="containsText" priority="19" operator="containsText" id="{BA705D60-5894-47C9-932A-7169C771A739}">
            <xm:f>NOT(ISERROR(SEARCH(MAX($F$10:$R$10),R10)))</xm:f>
            <xm:f>MAX($F$10:$R$10)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R10</xm:sqref>
        </x14:conditionalFormatting>
        <x14:conditionalFormatting xmlns:xm="http://schemas.microsoft.com/office/excel/2006/main">
          <x14:cfRule type="containsText" priority="18" operator="containsText" id="{6BC04222-C6D7-4622-8718-E3E209506181}">
            <xm:f>NOT(ISERROR(SEARCH(MAX($F$11:$R$11),R11)))</xm:f>
            <xm:f>MAX($F$11:$R$11)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R11</xm:sqref>
        </x14:conditionalFormatting>
        <x14:conditionalFormatting xmlns:xm="http://schemas.microsoft.com/office/excel/2006/main">
          <x14:cfRule type="containsText" priority="16" operator="containsText" id="{B67EDB80-FA7B-4839-9B1D-C2B676924A5E}">
            <xm:f>NOT(ISERROR(SEARCH(MAX($F$7:$R$7),R7)))</xm:f>
            <xm:f>MAX($F$7:$R$7)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R7</xm:sqref>
        </x14:conditionalFormatting>
        <x14:conditionalFormatting xmlns:xm="http://schemas.microsoft.com/office/excel/2006/main">
          <x14:cfRule type="containsText" priority="12" operator="containsText" id="{964550B0-88B8-4885-A94B-8EBE65B81F16}">
            <xm:f>NOT(ISERROR(SEARCH(MAX($F$10:$R$10),U10)))</xm:f>
            <xm:f>MAX($F$10:$R$10)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U10:Y10</xm:sqref>
        </x14:conditionalFormatting>
        <x14:conditionalFormatting xmlns:xm="http://schemas.microsoft.com/office/excel/2006/main">
          <x14:cfRule type="containsText" priority="11" operator="containsText" id="{C6C3D7D8-A52C-4F06-B231-F0A924072F28}">
            <xm:f>NOT(ISERROR(SEARCH(MAX($F$11:$R$11),U11)))</xm:f>
            <xm:f>MAX($F$11:$R$11)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U11:Y11</xm:sqref>
        </x14:conditionalFormatting>
        <x14:conditionalFormatting xmlns:xm="http://schemas.microsoft.com/office/excel/2006/main">
          <x14:cfRule type="containsText" priority="10" operator="containsText" id="{53C2D7E3-9E41-4E20-BD1F-C4D3E3A593B0}">
            <xm:f>NOT(ISERROR(SEARCH(MAX($F$7:$R$7),U7)))</xm:f>
            <xm:f>MAX($F$7:$R$7)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U7:Y7</xm:sqref>
        </x14:conditionalFormatting>
        <x14:conditionalFormatting xmlns:xm="http://schemas.microsoft.com/office/excel/2006/main">
          <x14:cfRule type="containsText" priority="6" operator="containsText" id="{F6DA3DEF-B7C2-4CE9-B244-2F4A1C58162B}">
            <xm:f>NOT(ISERROR(SEARCH(MAX($F$10:$R$10),Z10)))</xm:f>
            <xm:f>MAX($F$10:$R$10)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Z10</xm:sqref>
        </x14:conditionalFormatting>
        <x14:conditionalFormatting xmlns:xm="http://schemas.microsoft.com/office/excel/2006/main">
          <x14:cfRule type="containsText" priority="5" operator="containsText" id="{A3353DE3-8123-4A44-8A86-D8B5CD51D0C1}">
            <xm:f>NOT(ISERROR(SEARCH(MAX($F$11:$R$11),Z11)))</xm:f>
            <xm:f>MAX($F$11:$R$11)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Z11</xm:sqref>
        </x14:conditionalFormatting>
        <x14:conditionalFormatting xmlns:xm="http://schemas.microsoft.com/office/excel/2006/main">
          <x14:cfRule type="containsText" priority="4" operator="containsText" id="{D1B85CF8-0CF7-4B68-B240-857AC1088CC0}">
            <xm:f>NOT(ISERROR(SEARCH(MAX($F$7:$R$7),Z7)))</xm:f>
            <xm:f>MAX($F$7:$R$7)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Z7</xm:sqref>
        </x14:conditionalFormatting>
        <x14:conditionalFormatting xmlns:xm="http://schemas.microsoft.com/office/excel/2006/main">
          <x14:cfRule type="containsText" priority="2" operator="containsText" id="{67E5C2D0-F073-4E38-98D2-D8F74412A17B}">
            <xm:f>NOT(ISERROR(SEARCH(MAX($F$12:$R$12),Z12)))</xm:f>
            <xm:f>MAX($F$12:$R$12)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Z12</xm:sqref>
        </x14:conditionalFormatting>
        <x14:conditionalFormatting xmlns:xm="http://schemas.microsoft.com/office/excel/2006/main">
          <x14:cfRule type="containsText" priority="1" operator="containsText" id="{A2ECF5D8-E719-44A6-B52D-582CF21AE468}">
            <xm:f>NOT(ISERROR(SEARCH(MAX($F$12:$R$12),Z13)))</xm:f>
            <xm:f>MAX($F$12:$R$12)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Z13</xm:sqref>
        </x14:conditionalFormatting>
      </x14:conditionalFormatting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33">
    <tabColor rgb="FFFFC000"/>
    <pageSetUpPr fitToPage="1"/>
  </sheetPr>
  <dimension ref="A1:WZN78"/>
  <sheetViews>
    <sheetView workbookViewId="0">
      <pane xSplit="4" ySplit="3" topLeftCell="AE4" activePane="bottomRight" state="frozen"/>
      <selection pane="topRight" activeCell="E1" sqref="E1"/>
      <selection pane="bottomLeft" activeCell="A4" sqref="A4"/>
      <selection pane="bottomRight" activeCell="BG69" sqref="BG69"/>
    </sheetView>
  </sheetViews>
  <sheetFormatPr defaultRowHeight="18.75" x14ac:dyDescent="0.3"/>
  <cols>
    <col min="3" max="3" width="24.5703125" bestFit="1" customWidth="1"/>
    <col min="4" max="4" width="51.7109375" bestFit="1" customWidth="1"/>
    <col min="5" max="5" width="9.85546875" bestFit="1" customWidth="1"/>
    <col min="6" max="6" width="15.42578125" hidden="1" customWidth="1"/>
    <col min="7" max="7" width="12.5703125" bestFit="1" customWidth="1"/>
    <col min="8" max="8" width="9.85546875" hidden="1" customWidth="1"/>
    <col min="9" max="9" width="15.5703125" customWidth="1"/>
    <col min="10" max="12" width="10.140625" hidden="1" customWidth="1"/>
    <col min="13" max="13" width="11.5703125" customWidth="1"/>
    <col min="14" max="14" width="10.140625" hidden="1" customWidth="1"/>
    <col min="15" max="15" width="9.85546875" customWidth="1"/>
    <col min="16" max="16" width="9.140625" hidden="1" customWidth="1"/>
    <col min="17" max="17" width="9.85546875" bestFit="1" customWidth="1"/>
    <col min="18" max="18" width="0" hidden="1" customWidth="1"/>
    <col min="19" max="20" width="9.85546875" hidden="1" customWidth="1"/>
    <col min="21" max="21" width="9.85546875" bestFit="1" customWidth="1"/>
    <col min="22" max="22" width="9.140625" hidden="1" customWidth="1"/>
    <col min="23" max="23" width="11.42578125" hidden="1" customWidth="1"/>
    <col min="24" max="24" width="11.42578125" style="3452" hidden="1" customWidth="1"/>
    <col min="25" max="25" width="9.85546875" style="3452" bestFit="1" customWidth="1"/>
    <col min="26" max="26" width="9.140625" style="3452" customWidth="1"/>
    <col min="27" max="27" width="11.42578125" style="3452" customWidth="1"/>
    <col min="28" max="28" width="0" hidden="1" customWidth="1"/>
    <col min="29" max="29" width="11.28515625" style="658" bestFit="1" customWidth="1"/>
    <col min="30" max="30" width="0" hidden="1" customWidth="1"/>
    <col min="31" max="31" width="9.85546875" bestFit="1" customWidth="1"/>
    <col min="32" max="32" width="9.140625" hidden="1" customWidth="1"/>
    <col min="33" max="33" width="11.28515625" customWidth="1"/>
    <col min="34" max="34" width="9.140625" hidden="1" customWidth="1"/>
    <col min="35" max="35" width="9.85546875" bestFit="1" customWidth="1"/>
    <col min="36" max="36" width="9.140625" hidden="1" customWidth="1"/>
    <col min="37" max="37" width="11.28515625" hidden="1" customWidth="1"/>
    <col min="38" max="38" width="9.140625" hidden="1" customWidth="1"/>
    <col min="39" max="39" width="9.85546875" bestFit="1" customWidth="1"/>
    <col min="40" max="40" width="9.85546875" style="4372" hidden="1" customWidth="1"/>
    <col min="41" max="41" width="9.85546875" style="4372" customWidth="1"/>
    <col min="42" max="42" width="0" hidden="1" customWidth="1"/>
    <col min="43" max="43" width="11.28515625" hidden="1" customWidth="1"/>
    <col min="44" max="44" width="9.140625" hidden="1" customWidth="1"/>
    <col min="45" max="45" width="9.85546875" bestFit="1" customWidth="1"/>
    <col min="46" max="46" width="9.140625" hidden="1" customWidth="1"/>
    <col min="47" max="47" width="11.28515625" customWidth="1"/>
    <col min="48" max="48" width="9.140625" hidden="1" customWidth="1"/>
    <col min="49" max="49" width="9.85546875" bestFit="1" customWidth="1"/>
    <col min="50" max="50" width="9.140625" hidden="1" customWidth="1"/>
    <col min="51" max="51" width="11.28515625" bestFit="1" customWidth="1"/>
    <col min="52" max="52" width="0" hidden="1" customWidth="1"/>
    <col min="53" max="53" width="9.85546875" bestFit="1" customWidth="1"/>
    <col min="54" max="54" width="0" style="5241" hidden="1" customWidth="1"/>
    <col min="55" max="55" width="9.85546875" style="5241" bestFit="1" customWidth="1"/>
    <col min="56" max="56" width="0" style="5241" hidden="1" customWidth="1"/>
    <col min="57" max="57" width="11.28515625" style="5241" bestFit="1" customWidth="1"/>
    <col min="58" max="58" width="0" hidden="1" customWidth="1"/>
    <col min="59" max="59" width="11.28515625" bestFit="1" customWidth="1"/>
  </cols>
  <sheetData>
    <row r="1" spans="3:59" ht="23.25" x14ac:dyDescent="0.35">
      <c r="C1" s="6591" t="s">
        <v>1614</v>
      </c>
      <c r="D1" s="6591"/>
      <c r="E1" s="6591"/>
      <c r="F1" s="6591"/>
      <c r="G1" s="6591"/>
      <c r="H1" s="6591"/>
      <c r="I1" s="6591"/>
      <c r="J1" s="6591"/>
      <c r="K1" s="6591"/>
      <c r="L1" s="6591"/>
      <c r="M1" s="6591"/>
      <c r="N1" s="6591"/>
      <c r="O1" s="6591"/>
    </row>
    <row r="3" spans="3:59" x14ac:dyDescent="0.3">
      <c r="C3" s="674" t="s">
        <v>1011</v>
      </c>
      <c r="D3" s="674" t="s">
        <v>881</v>
      </c>
      <c r="E3" s="674" t="s">
        <v>176</v>
      </c>
      <c r="F3" s="6447" t="s">
        <v>1506</v>
      </c>
      <c r="G3" s="6448"/>
      <c r="H3" s="6447" t="s">
        <v>1526</v>
      </c>
      <c r="I3" s="6448"/>
      <c r="J3" s="6454" t="s">
        <v>680</v>
      </c>
      <c r="K3" s="6455"/>
      <c r="L3" s="6447" t="s">
        <v>1620</v>
      </c>
      <c r="M3" s="6448"/>
      <c r="N3" s="6442" t="s">
        <v>658</v>
      </c>
      <c r="O3" s="6443"/>
      <c r="P3" s="6447" t="s">
        <v>1688</v>
      </c>
      <c r="Q3" s="6448"/>
      <c r="R3" s="6442" t="s">
        <v>672</v>
      </c>
      <c r="S3" s="6443"/>
      <c r="T3" s="6648">
        <v>45139</v>
      </c>
      <c r="U3" s="6448"/>
      <c r="V3" s="6442" t="s">
        <v>866</v>
      </c>
      <c r="W3" s="6443"/>
      <c r="X3" s="6648">
        <v>45170</v>
      </c>
      <c r="Y3" s="6649"/>
      <c r="Z3" s="6442" t="s">
        <v>682</v>
      </c>
      <c r="AA3" s="6650"/>
      <c r="AB3" s="6651" t="s">
        <v>520</v>
      </c>
      <c r="AC3" s="6651"/>
      <c r="AD3" s="6648">
        <v>45200</v>
      </c>
      <c r="AE3" s="6649"/>
      <c r="AF3" s="6442" t="s">
        <v>1148</v>
      </c>
      <c r="AG3" s="6443"/>
      <c r="AH3" s="6648">
        <v>45231</v>
      </c>
      <c r="AI3" s="6649"/>
      <c r="AJ3" s="6454" t="s">
        <v>1864</v>
      </c>
      <c r="AK3" s="6455"/>
      <c r="AL3" s="6648">
        <v>45261</v>
      </c>
      <c r="AM3" s="6649"/>
      <c r="AN3" s="6442" t="s">
        <v>684</v>
      </c>
      <c r="AO3" s="6650"/>
      <c r="AP3" s="6454" t="s">
        <v>951</v>
      </c>
      <c r="AQ3" s="6455"/>
      <c r="AR3" s="6648" t="s">
        <v>1918</v>
      </c>
      <c r="AS3" s="6649"/>
      <c r="AT3" s="6454" t="s">
        <v>1919</v>
      </c>
      <c r="AU3" s="6455"/>
      <c r="AV3" s="6648" t="s">
        <v>1940</v>
      </c>
      <c r="AW3" s="6649"/>
      <c r="AX3" s="6454" t="s">
        <v>1941</v>
      </c>
      <c r="AY3" s="6455"/>
      <c r="AZ3" s="6648" t="s">
        <v>1965</v>
      </c>
      <c r="BA3" s="6649"/>
      <c r="BB3" s="6442" t="s">
        <v>685</v>
      </c>
      <c r="BC3" s="6650"/>
      <c r="BD3" s="6651" t="s">
        <v>558</v>
      </c>
      <c r="BE3" s="6651"/>
      <c r="BF3" s="6454" t="s">
        <v>1513</v>
      </c>
      <c r="BG3" s="6455"/>
    </row>
    <row r="4" spans="3:59" x14ac:dyDescent="0.3">
      <c r="C4" s="675" t="s">
        <v>17</v>
      </c>
      <c r="D4" s="2207" t="s">
        <v>1481</v>
      </c>
      <c r="E4" s="6452"/>
      <c r="F4" s="675"/>
      <c r="G4" s="676">
        <f>+SUMIF(WRM!$C$7:$C$95,$D4,WRM!$F$7:$F$95)</f>
        <v>3390.7000000000003</v>
      </c>
      <c r="H4" s="676"/>
      <c r="I4" s="676">
        <f>+SUMIF(WRM!$C$7:$C$95,$D4,WRM!$H$7:$H$95)</f>
        <v>756.44999999999993</v>
      </c>
      <c r="J4" s="753"/>
      <c r="K4" s="753">
        <f t="shared" ref="K4:K30" si="0">+G4+I4</f>
        <v>4147.1500000000005</v>
      </c>
      <c r="L4" s="676"/>
      <c r="M4" s="676">
        <f>+SUMIF(WRM!$C$7:$C$95,$D4,WRM!$L$7:$L$95)</f>
        <v>2732.6500000000005</v>
      </c>
      <c r="N4" s="758"/>
      <c r="O4" s="758">
        <f t="shared" ref="O4:O30" si="1">+G4+I4+M4</f>
        <v>6879.8000000000011</v>
      </c>
      <c r="P4" s="676"/>
      <c r="Q4" s="676">
        <f>+SUMIF(WRM!$C$7:$C$95,$D4,WRM!$P$7:$P$95)</f>
        <v>1866.2799999999995</v>
      </c>
      <c r="R4" s="758"/>
      <c r="S4" s="758">
        <f>O4+Q4</f>
        <v>8746.08</v>
      </c>
      <c r="T4" s="676"/>
      <c r="U4" s="676">
        <f>+SUMIF(WRM!$C$7:$C$95,$D4,WRM!$T$7:$T$95)</f>
        <v>1730.1999999999998</v>
      </c>
      <c r="V4" s="758"/>
      <c r="W4" s="758">
        <f>S4+U4</f>
        <v>10476.279999999999</v>
      </c>
      <c r="X4" s="758"/>
      <c r="Y4" s="676">
        <f>+SUMIF(WRM!$C$7:$C$95,$D4,WRM!$X$7:$X$95)</f>
        <v>1885.9999999999998</v>
      </c>
      <c r="Z4" s="758"/>
      <c r="AA4" s="3509">
        <f>Q4+U4+Y4</f>
        <v>5482.48</v>
      </c>
      <c r="AB4" s="3605"/>
      <c r="AC4" s="1461">
        <f>O4+AA4</f>
        <v>12362.28</v>
      </c>
      <c r="AD4" s="758"/>
      <c r="AE4" s="676">
        <f>+SUMIF(WRM!$C$7:$C$95,$D4,WRM!$AD$7:$AD$95)</f>
        <v>2919.2000000000003</v>
      </c>
      <c r="AF4" s="758"/>
      <c r="AG4" s="758">
        <f>AC4+AE4</f>
        <v>15281.480000000001</v>
      </c>
      <c r="AH4" s="758"/>
      <c r="AI4" s="676">
        <f>+SUMIF(WRM!$C$7:$C$95,$D4,WRM!$AH$7:$AH$95)</f>
        <v>1711.7500000000002</v>
      </c>
      <c r="AJ4" s="753"/>
      <c r="AK4" s="753">
        <f>AG4+AI4</f>
        <v>16993.230000000003</v>
      </c>
      <c r="AL4" s="758"/>
      <c r="AM4" s="676">
        <f>+SUMIF(WRM!$C$7:$C$95,$D4,WRM!$AL$7:$AL$95)</f>
        <v>4030.2999999999993</v>
      </c>
      <c r="AN4" s="758"/>
      <c r="AO4" s="3509">
        <f>AE4+AI4+AM4</f>
        <v>8661.25</v>
      </c>
      <c r="AP4" s="753"/>
      <c r="AQ4" s="753">
        <f>AK4+AM4</f>
        <v>21023.530000000002</v>
      </c>
      <c r="AR4" s="758"/>
      <c r="AS4" s="676">
        <f>+SUMIF(WRM!$C$7:$C$95,$D4,WRM!$AR$7:$AR$95)</f>
        <v>4081.55</v>
      </c>
      <c r="AT4" s="753"/>
      <c r="AU4" s="753">
        <f>AQ4+AS4</f>
        <v>25105.08</v>
      </c>
      <c r="AV4" s="758"/>
      <c r="AW4" s="676">
        <f>+SUMIF(WRM!$C$7:$C$95,$D4,WRM!$AV$7:$AV$95)</f>
        <v>781.05</v>
      </c>
      <c r="AX4" s="753"/>
      <c r="AY4" s="753">
        <f>AU4+AW4</f>
        <v>25886.13</v>
      </c>
      <c r="AZ4" s="758"/>
      <c r="BA4" s="676">
        <f>+SUMIF(WRM!$C$7:$C$95,$D4,WRM!$AZ$7:$AZ$95)</f>
        <v>1568.25</v>
      </c>
      <c r="BB4" s="758"/>
      <c r="BC4" s="3509">
        <f>AS4+AW4+BA4</f>
        <v>6430.85</v>
      </c>
      <c r="BD4" s="3605"/>
      <c r="BE4" s="1461">
        <f>AQ4+BC4</f>
        <v>27454.380000000005</v>
      </c>
      <c r="BF4" s="753"/>
      <c r="BG4" s="753">
        <f>AY4+BA4</f>
        <v>27454.38</v>
      </c>
    </row>
    <row r="5" spans="3:59" x14ac:dyDescent="0.3">
      <c r="C5" s="675" t="s">
        <v>17</v>
      </c>
      <c r="D5" s="2207" t="s">
        <v>939</v>
      </c>
      <c r="E5" s="6452"/>
      <c r="F5" s="675"/>
      <c r="G5" s="676">
        <f>+SUMIF(WRM!$C$7:$C$95,$D5,WRM!$F$7:$F$95)</f>
        <v>200.9</v>
      </c>
      <c r="H5" s="676"/>
      <c r="I5" s="676">
        <f>+SUMIF(WRM!$C$7:$C$95,$D5,WRM!$H$7:$H$95)</f>
        <v>0</v>
      </c>
      <c r="J5" s="753"/>
      <c r="K5" s="753">
        <f t="shared" si="0"/>
        <v>200.9</v>
      </c>
      <c r="L5" s="676"/>
      <c r="M5" s="676">
        <f>+SUMIF(WRM!$C$7:$C$95,$D5,WRM!$L$7:$L$95)</f>
        <v>0</v>
      </c>
      <c r="N5" s="758"/>
      <c r="O5" s="758">
        <f t="shared" si="1"/>
        <v>200.9</v>
      </c>
      <c r="P5" s="676"/>
      <c r="Q5" s="676">
        <f>+SUMIF(WRM!$C$7:$C$95,$D5,WRM!$P$7:$P$95)</f>
        <v>0</v>
      </c>
      <c r="R5" s="758"/>
      <c r="S5" s="758">
        <f t="shared" ref="S5:S57" si="2">O5+Q5</f>
        <v>200.9</v>
      </c>
      <c r="T5" s="676"/>
      <c r="U5" s="676">
        <f>+SUMIF(WRM!$C$7:$C$95,$D5,WRM!$T$7:$T$95)</f>
        <v>0</v>
      </c>
      <c r="V5" s="758"/>
      <c r="W5" s="758">
        <f t="shared" ref="W5:W30" si="3">S5+U5</f>
        <v>200.9</v>
      </c>
      <c r="X5" s="758"/>
      <c r="Y5" s="676">
        <f>+SUMIF(WRM!$C$7:$C$95,$D5,WRM!$X$7:$X$95)</f>
        <v>0</v>
      </c>
      <c r="Z5" s="758"/>
      <c r="AA5" s="3509">
        <f t="shared" ref="AA5:AA30" si="4">Q5+U5+Y5</f>
        <v>0</v>
      </c>
      <c r="AB5" s="3605"/>
      <c r="AC5" s="1461">
        <f t="shared" ref="AC5:AC68" si="5">O5+AA5</f>
        <v>200.9</v>
      </c>
      <c r="AD5" s="758"/>
      <c r="AE5" s="676">
        <f>+SUMIF(WRM!$C$7:$C$95,$D5,WRM!$AD$7:$AD$95)</f>
        <v>0</v>
      </c>
      <c r="AF5" s="758"/>
      <c r="AG5" s="758">
        <f t="shared" ref="AG5:AG30" si="6">AC5+AE5</f>
        <v>200.9</v>
      </c>
      <c r="AH5" s="758"/>
      <c r="AI5" s="676">
        <f>+SUMIF(WRM!$C$7:$C$95,$D5,WRM!$AH$7:$AH$95)</f>
        <v>0</v>
      </c>
      <c r="AJ5" s="753"/>
      <c r="AK5" s="753">
        <f t="shared" ref="AK5:AK18" si="7">AG5+AI5</f>
        <v>200.9</v>
      </c>
      <c r="AL5" s="758"/>
      <c r="AM5" s="676">
        <f>+SUMIF(WRM!$C$7:$C$95,$D5,WRM!$AL$7:$AL$95)</f>
        <v>0</v>
      </c>
      <c r="AN5" s="758"/>
      <c r="AO5" s="3509">
        <f t="shared" ref="AO5:AO30" si="8">AE5+AI5+AM5</f>
        <v>0</v>
      </c>
      <c r="AP5" s="753"/>
      <c r="AQ5" s="753">
        <f t="shared" ref="AQ5:AQ30" si="9">AK5+AM5</f>
        <v>200.9</v>
      </c>
      <c r="AR5" s="758"/>
      <c r="AS5" s="676">
        <f>+SUMIF(WRM!$C$7:$C$95,$D5,WRM!$AR$7:$AR$95)</f>
        <v>0</v>
      </c>
      <c r="AT5" s="753"/>
      <c r="AU5" s="753">
        <f t="shared" ref="AU5:AU30" si="10">AQ5+AS5</f>
        <v>200.9</v>
      </c>
      <c r="AV5" s="758"/>
      <c r="AW5" s="676">
        <f>+SUMIF(WRM!$C$7:$C$95,$D5,WRM!$AV$7:$AV$95)</f>
        <v>0</v>
      </c>
      <c r="AX5" s="753"/>
      <c r="AY5" s="753">
        <f t="shared" ref="AY5:AY30" si="11">AU5+AW5</f>
        <v>200.9</v>
      </c>
      <c r="AZ5" s="758"/>
      <c r="BA5" s="676">
        <f>+SUMIF(WRM!$C$7:$C$95,$D5,WRM!$AZ$7:$AZ$95)</f>
        <v>0</v>
      </c>
      <c r="BB5" s="758"/>
      <c r="BC5" s="3509">
        <f t="shared" ref="BC5:BC30" si="12">AS5+AW5+BA5</f>
        <v>0</v>
      </c>
      <c r="BD5" s="3605"/>
      <c r="BE5" s="1461">
        <f t="shared" ref="BE5:BE41" si="13">AQ5+BC5</f>
        <v>200.9</v>
      </c>
      <c r="BF5" s="753"/>
      <c r="BG5" s="753">
        <f t="shared" ref="BG5:BG30" si="14">AY5+BA5</f>
        <v>200.9</v>
      </c>
    </row>
    <row r="6" spans="3:59" x14ac:dyDescent="0.3">
      <c r="C6" s="675" t="s">
        <v>17</v>
      </c>
      <c r="D6" s="2207" t="s">
        <v>1414</v>
      </c>
      <c r="E6" s="6452"/>
      <c r="F6" s="675"/>
      <c r="G6" s="676">
        <f>+SUMIF(WRM!$C$7:$C$95,$D6,WRM!$F$7:$F$95)</f>
        <v>366.95</v>
      </c>
      <c r="H6" s="676"/>
      <c r="I6" s="676">
        <f>+SUMIF(WRM!$C$7:$C$95,$D6,WRM!$H$7:$H$95)</f>
        <v>395.65</v>
      </c>
      <c r="J6" s="753"/>
      <c r="K6" s="753">
        <f t="shared" si="0"/>
        <v>762.59999999999991</v>
      </c>
      <c r="L6" s="676"/>
      <c r="M6" s="676">
        <f>+SUMIF(WRM!$C$7:$C$95,$D6,WRM!$L$7:$L$95)</f>
        <v>315.70000000000005</v>
      </c>
      <c r="N6" s="758"/>
      <c r="O6" s="758">
        <f t="shared" si="1"/>
        <v>1078.3</v>
      </c>
      <c r="P6" s="676"/>
      <c r="Q6" s="676">
        <f>+SUMIF(WRM!$C$7:$C$95,$D6,WRM!$P$7:$P$95)</f>
        <v>305.45</v>
      </c>
      <c r="R6" s="758"/>
      <c r="S6" s="758">
        <f t="shared" si="2"/>
        <v>1383.75</v>
      </c>
      <c r="T6" s="676"/>
      <c r="U6" s="676">
        <f>+SUMIF(WRM!$C$7:$C$95,$D6,WRM!$T$7:$T$95)</f>
        <v>506.35</v>
      </c>
      <c r="V6" s="758"/>
      <c r="W6" s="758">
        <f t="shared" si="3"/>
        <v>1890.1</v>
      </c>
      <c r="X6" s="758"/>
      <c r="Y6" s="676">
        <f>+SUMIF(WRM!$C$7:$C$95,$D6,WRM!$X$7:$X$95)</f>
        <v>0</v>
      </c>
      <c r="Z6" s="758"/>
      <c r="AA6" s="3509">
        <f t="shared" si="4"/>
        <v>811.8</v>
      </c>
      <c r="AB6" s="3605"/>
      <c r="AC6" s="1461">
        <f t="shared" si="5"/>
        <v>1890.1</v>
      </c>
      <c r="AD6" s="758"/>
      <c r="AE6" s="676">
        <f>+SUMIF(WRM!$C$7:$C$95,$D6,WRM!$AD$7:$AD$95)</f>
        <v>102.5</v>
      </c>
      <c r="AF6" s="758"/>
      <c r="AG6" s="758">
        <f t="shared" si="6"/>
        <v>1992.6</v>
      </c>
      <c r="AH6" s="758"/>
      <c r="AI6" s="676">
        <f>+SUMIF(WRM!$C$7:$C$95,$D6,WRM!$AH$7:$AH$95)</f>
        <v>305.45</v>
      </c>
      <c r="AJ6" s="753"/>
      <c r="AK6" s="753">
        <f t="shared" si="7"/>
        <v>2298.0499999999997</v>
      </c>
      <c r="AL6" s="758"/>
      <c r="AM6" s="676">
        <f>+SUMIF(WRM!$C$7:$C$95,$D6,WRM!$AL$7:$AL$95)</f>
        <v>301.34999999999991</v>
      </c>
      <c r="AN6" s="758"/>
      <c r="AO6" s="3509">
        <f t="shared" si="8"/>
        <v>709.3</v>
      </c>
      <c r="AP6" s="753"/>
      <c r="AQ6" s="753">
        <f t="shared" si="9"/>
        <v>2599.3999999999996</v>
      </c>
      <c r="AR6" s="758"/>
      <c r="AS6" s="676">
        <f>+SUMIF(WRM!$C$7:$C$95,$D6,WRM!$AR$7:$AR$95)</f>
        <v>526.84999999999991</v>
      </c>
      <c r="AT6" s="753"/>
      <c r="AU6" s="753">
        <f t="shared" si="10"/>
        <v>3126.2499999999995</v>
      </c>
      <c r="AV6" s="758"/>
      <c r="AW6" s="676">
        <f>+SUMIF(WRM!$C$7:$C$95,$D6,WRM!$AV$7:$AV$95)</f>
        <v>196.8</v>
      </c>
      <c r="AX6" s="753"/>
      <c r="AY6" s="753">
        <f t="shared" si="11"/>
        <v>3323.0499999999997</v>
      </c>
      <c r="AZ6" s="758"/>
      <c r="BA6" s="676">
        <f>+SUMIF(WRM!$C$7:$C$95,$D6,WRM!$AZ$7:$AZ$95)</f>
        <v>545.29999999999995</v>
      </c>
      <c r="BB6" s="758"/>
      <c r="BC6" s="3509">
        <f t="shared" si="12"/>
        <v>1268.9499999999998</v>
      </c>
      <c r="BD6" s="3605"/>
      <c r="BE6" s="1461">
        <f t="shared" si="13"/>
        <v>3868.3499999999995</v>
      </c>
      <c r="BF6" s="753"/>
      <c r="BG6" s="753">
        <f t="shared" si="14"/>
        <v>3868.3499999999995</v>
      </c>
    </row>
    <row r="7" spans="3:59" x14ac:dyDescent="0.3">
      <c r="C7" s="675" t="s">
        <v>17</v>
      </c>
      <c r="D7" s="2207" t="s">
        <v>995</v>
      </c>
      <c r="E7" s="6452"/>
      <c r="F7" s="675"/>
      <c r="G7" s="676">
        <f>+SUMIF(WRM!$C$7:$C$95,$D7,WRM!$F$7:$F$95)</f>
        <v>0</v>
      </c>
      <c r="H7" s="676"/>
      <c r="I7" s="676">
        <f>+SUMIF(WRM!$C$7:$C$95,$D7,WRM!$H$7:$H$95)</f>
        <v>426.40000000000003</v>
      </c>
      <c r="J7" s="753"/>
      <c r="K7" s="753">
        <f t="shared" si="0"/>
        <v>426.40000000000003</v>
      </c>
      <c r="L7" s="676"/>
      <c r="M7" s="676">
        <f>+SUMIF(WRM!$C$7:$C$95,$D7,WRM!$L$7:$L$95)</f>
        <v>0</v>
      </c>
      <c r="N7" s="758"/>
      <c r="O7" s="758">
        <f t="shared" si="1"/>
        <v>426.40000000000003</v>
      </c>
      <c r="P7" s="676"/>
      <c r="Q7" s="676">
        <f>+SUMIF(WRM!$C$7:$C$95,$D7,WRM!$P$7:$P$95)</f>
        <v>107.11999999999999</v>
      </c>
      <c r="R7" s="758"/>
      <c r="S7" s="758">
        <f t="shared" si="2"/>
        <v>533.52</v>
      </c>
      <c r="T7" s="676"/>
      <c r="U7" s="676">
        <f>+SUMIF(WRM!$C$7:$C$95,$D7,WRM!$T$7:$T$95)</f>
        <v>631.4</v>
      </c>
      <c r="V7" s="758"/>
      <c r="W7" s="758">
        <f t="shared" si="3"/>
        <v>1164.92</v>
      </c>
      <c r="X7" s="758"/>
      <c r="Y7" s="676">
        <f>+SUMIF(WRM!$C$7:$C$95,$D7,WRM!$X$7:$X$95)</f>
        <v>0</v>
      </c>
      <c r="Z7" s="758"/>
      <c r="AA7" s="3509">
        <f t="shared" si="4"/>
        <v>738.52</v>
      </c>
      <c r="AB7" s="3605"/>
      <c r="AC7" s="1461">
        <f t="shared" si="5"/>
        <v>1164.92</v>
      </c>
      <c r="AD7" s="758"/>
      <c r="AE7" s="676">
        <f>+SUMIF(WRM!$C$7:$C$95,$D7,WRM!$AD$7:$AD$95)</f>
        <v>0</v>
      </c>
      <c r="AF7" s="758"/>
      <c r="AG7" s="758">
        <f t="shared" si="6"/>
        <v>1164.92</v>
      </c>
      <c r="AH7" s="758"/>
      <c r="AI7" s="676">
        <f>+SUMIF(WRM!$C$7:$C$95,$D7,WRM!$AH$7:$AH$95)</f>
        <v>824.10000000000014</v>
      </c>
      <c r="AJ7" s="753"/>
      <c r="AK7" s="753">
        <f t="shared" si="7"/>
        <v>1989.0200000000002</v>
      </c>
      <c r="AL7" s="758"/>
      <c r="AM7" s="676">
        <f>+SUMIF(WRM!$C$7:$C$95,$D7,WRM!$AL$7:$AL$95)</f>
        <v>0</v>
      </c>
      <c r="AN7" s="758"/>
      <c r="AO7" s="3509">
        <f t="shared" si="8"/>
        <v>824.10000000000014</v>
      </c>
      <c r="AP7" s="753"/>
      <c r="AQ7" s="753">
        <f t="shared" si="9"/>
        <v>1989.0200000000002</v>
      </c>
      <c r="AR7" s="758"/>
      <c r="AS7" s="676">
        <f>+SUMIF(WRM!$C$7:$C$95,$D7,WRM!$AR$7:$AR$95)</f>
        <v>0</v>
      </c>
      <c r="AT7" s="753"/>
      <c r="AU7" s="753">
        <f t="shared" si="10"/>
        <v>1989.0200000000002</v>
      </c>
      <c r="AV7" s="758"/>
      <c r="AW7" s="676">
        <f>+SUMIF(WRM!$C$7:$C$95,$D7,WRM!$AV$7:$AV$95)</f>
        <v>986.05</v>
      </c>
      <c r="AX7" s="753"/>
      <c r="AY7" s="753">
        <f t="shared" si="11"/>
        <v>2975.07</v>
      </c>
      <c r="AZ7" s="758"/>
      <c r="BA7" s="676">
        <f>+SUMIF(WRM!$C$7:$C$95,$D7,WRM!$AZ$7:$AZ$95)</f>
        <v>0</v>
      </c>
      <c r="BB7" s="758"/>
      <c r="BC7" s="3509">
        <f t="shared" si="12"/>
        <v>986.05</v>
      </c>
      <c r="BD7" s="3605"/>
      <c r="BE7" s="1461">
        <f t="shared" si="13"/>
        <v>2975.07</v>
      </c>
      <c r="BF7" s="753"/>
      <c r="BG7" s="753">
        <f t="shared" si="14"/>
        <v>2975.07</v>
      </c>
    </row>
    <row r="8" spans="3:59" x14ac:dyDescent="0.3">
      <c r="C8" s="675" t="s">
        <v>17</v>
      </c>
      <c r="D8" s="2207" t="s">
        <v>1482</v>
      </c>
      <c r="E8" s="6452"/>
      <c r="F8" s="675"/>
      <c r="G8" s="676">
        <f>+SUMIF(WRM!$C$7:$C$95,$D8,WRM!$F$7:$F$95)</f>
        <v>317.75</v>
      </c>
      <c r="H8" s="676"/>
      <c r="I8" s="676">
        <f>+SUMIF(WRM!$C$7:$C$95,$D8,WRM!$H$7:$H$95)</f>
        <v>0</v>
      </c>
      <c r="J8" s="753"/>
      <c r="K8" s="753">
        <f t="shared" si="0"/>
        <v>317.75</v>
      </c>
      <c r="L8" s="676"/>
      <c r="M8" s="676">
        <f>+SUMIF(WRM!$C$7:$C$95,$D8,WRM!$L$7:$L$95)</f>
        <v>0</v>
      </c>
      <c r="N8" s="758"/>
      <c r="O8" s="758">
        <f t="shared" si="1"/>
        <v>317.75</v>
      </c>
      <c r="P8" s="676"/>
      <c r="Q8" s="676">
        <f>+SUMIF(WRM!$C$7:$C$95,$D8,WRM!$P$7:$P$95)</f>
        <v>0</v>
      </c>
      <c r="R8" s="758"/>
      <c r="S8" s="758">
        <f t="shared" si="2"/>
        <v>317.75</v>
      </c>
      <c r="T8" s="676"/>
      <c r="U8" s="676">
        <f>+SUMIF(WRM!$C$7:$C$95,$D8,WRM!$T$7:$T$95)</f>
        <v>0</v>
      </c>
      <c r="V8" s="758"/>
      <c r="W8" s="758">
        <f t="shared" si="3"/>
        <v>317.75</v>
      </c>
      <c r="X8" s="758"/>
      <c r="Y8" s="676">
        <f>+SUMIF(WRM!$C$7:$C$95,$D8,WRM!$X$7:$X$95)</f>
        <v>0</v>
      </c>
      <c r="Z8" s="758"/>
      <c r="AA8" s="3509">
        <f t="shared" si="4"/>
        <v>0</v>
      </c>
      <c r="AB8" s="3605"/>
      <c r="AC8" s="1461">
        <f t="shared" si="5"/>
        <v>317.75</v>
      </c>
      <c r="AD8" s="758"/>
      <c r="AE8" s="676">
        <f>+SUMIF(WRM!$C$7:$C$95,$D8,WRM!$AD$7:$AD$95)</f>
        <v>0</v>
      </c>
      <c r="AF8" s="758"/>
      <c r="AG8" s="758">
        <f t="shared" si="6"/>
        <v>317.75</v>
      </c>
      <c r="AH8" s="758"/>
      <c r="AI8" s="676">
        <f>+SUMIF(WRM!$C$7:$C$95,$D8,WRM!$AH$7:$AH$95)</f>
        <v>0</v>
      </c>
      <c r="AJ8" s="753"/>
      <c r="AK8" s="753">
        <f t="shared" si="7"/>
        <v>317.75</v>
      </c>
      <c r="AL8" s="758"/>
      <c r="AM8" s="676">
        <f>+SUMIF(WRM!$C$7:$C$95,$D8,WRM!$AL$7:$AL$95)</f>
        <v>0</v>
      </c>
      <c r="AN8" s="758"/>
      <c r="AO8" s="3509">
        <f t="shared" si="8"/>
        <v>0</v>
      </c>
      <c r="AP8" s="753"/>
      <c r="AQ8" s="753">
        <f t="shared" si="9"/>
        <v>317.75</v>
      </c>
      <c r="AR8" s="758"/>
      <c r="AS8" s="676">
        <f>+SUMIF(WRM!$C$7:$C$95,$D8,WRM!$AR$7:$AR$95)</f>
        <v>0</v>
      </c>
      <c r="AT8" s="753"/>
      <c r="AU8" s="753">
        <f t="shared" si="10"/>
        <v>317.75</v>
      </c>
      <c r="AV8" s="758"/>
      <c r="AW8" s="676">
        <f>+SUMIF(WRM!$C$7:$C$95,$D8,WRM!$AV$7:$AV$95)</f>
        <v>102.5</v>
      </c>
      <c r="AX8" s="753"/>
      <c r="AY8" s="753">
        <f t="shared" si="11"/>
        <v>420.25</v>
      </c>
      <c r="AZ8" s="758"/>
      <c r="BA8" s="676">
        <f>+SUMIF(WRM!$C$7:$C$95,$D8,WRM!$AZ$7:$AZ$95)</f>
        <v>0</v>
      </c>
      <c r="BB8" s="758"/>
      <c r="BC8" s="3509">
        <f t="shared" si="12"/>
        <v>102.5</v>
      </c>
      <c r="BD8" s="3605"/>
      <c r="BE8" s="1461">
        <f t="shared" si="13"/>
        <v>420.25</v>
      </c>
      <c r="BF8" s="753"/>
      <c r="BG8" s="753">
        <f t="shared" si="14"/>
        <v>420.25</v>
      </c>
    </row>
    <row r="9" spans="3:59" x14ac:dyDescent="0.3">
      <c r="C9" s="675" t="s">
        <v>17</v>
      </c>
      <c r="D9" s="2207" t="s">
        <v>905</v>
      </c>
      <c r="E9" s="6452"/>
      <c r="F9" s="675"/>
      <c r="G9" s="676">
        <f>+SUMIF(WRM!$C$7:$C$95,$D9,WRM!$F$7:$F$95)</f>
        <v>5014.3</v>
      </c>
      <c r="H9" s="676"/>
      <c r="I9" s="676">
        <f>+SUMIF(WRM!$C$7:$C$95,$D9,WRM!$H$7:$H$95)</f>
        <v>5469.4000000000015</v>
      </c>
      <c r="J9" s="753"/>
      <c r="K9" s="753">
        <f t="shared" si="0"/>
        <v>10483.700000000001</v>
      </c>
      <c r="L9" s="676"/>
      <c r="M9" s="676">
        <f>+SUMIF(WRM!$C$7:$C$95,$D9,WRM!$L$7:$L$95)</f>
        <v>4751.9000000000005</v>
      </c>
      <c r="N9" s="758"/>
      <c r="O9" s="758">
        <f t="shared" si="1"/>
        <v>15235.600000000002</v>
      </c>
      <c r="P9" s="676"/>
      <c r="Q9" s="676">
        <f>+SUMIF(WRM!$C$7:$C$95,$D9,WRM!$P$7:$P$95)</f>
        <v>4829.62</v>
      </c>
      <c r="R9" s="758"/>
      <c r="S9" s="758">
        <f t="shared" si="2"/>
        <v>20065.22</v>
      </c>
      <c r="T9" s="676"/>
      <c r="U9" s="676">
        <f>+SUMIF(WRM!$C$7:$C$95,$D9,WRM!$T$7:$T$95)</f>
        <v>4862.6000000000022</v>
      </c>
      <c r="V9" s="758"/>
      <c r="W9" s="758">
        <f t="shared" si="3"/>
        <v>24927.820000000003</v>
      </c>
      <c r="X9" s="758"/>
      <c r="Y9" s="676">
        <f>+SUMIF(WRM!$C$7:$C$95,$D9,WRM!$X$7:$X$95)</f>
        <v>4626.8500000000004</v>
      </c>
      <c r="Z9" s="758"/>
      <c r="AA9" s="3509">
        <f t="shared" si="4"/>
        <v>14319.070000000002</v>
      </c>
      <c r="AB9" s="3605"/>
      <c r="AC9" s="1461">
        <f t="shared" si="5"/>
        <v>29554.670000000006</v>
      </c>
      <c r="AD9" s="758"/>
      <c r="AE9" s="676">
        <f>+SUMIF(WRM!$C$7:$C$95,$D9,WRM!$AD$7:$AD$95)</f>
        <v>5873.25</v>
      </c>
      <c r="AF9" s="758"/>
      <c r="AG9" s="758">
        <f t="shared" si="6"/>
        <v>35427.920000000006</v>
      </c>
      <c r="AH9" s="758"/>
      <c r="AI9" s="676">
        <f>+SUMIF(WRM!$C$7:$C$95,$D9,WRM!$AH$7:$AH$95)</f>
        <v>5906.050000000002</v>
      </c>
      <c r="AJ9" s="753"/>
      <c r="AK9" s="753">
        <f t="shared" si="7"/>
        <v>41333.970000000008</v>
      </c>
      <c r="AL9" s="758"/>
      <c r="AM9" s="676">
        <f>+SUMIF(WRM!$C$7:$C$95,$D9,WRM!$AL$7:$AL$95)</f>
        <v>7371.7999999999993</v>
      </c>
      <c r="AN9" s="758"/>
      <c r="AO9" s="3509">
        <f t="shared" si="8"/>
        <v>19151.100000000002</v>
      </c>
      <c r="AP9" s="753"/>
      <c r="AQ9" s="753">
        <f t="shared" si="9"/>
        <v>48705.770000000004</v>
      </c>
      <c r="AR9" s="758"/>
      <c r="AS9" s="676">
        <f>+SUMIF(WRM!$C$7:$C$95,$D9,WRM!$AR$7:$AR$95)</f>
        <v>5701.0499999999984</v>
      </c>
      <c r="AT9" s="753"/>
      <c r="AU9" s="753">
        <f t="shared" si="10"/>
        <v>54406.82</v>
      </c>
      <c r="AV9" s="758"/>
      <c r="AW9" s="676">
        <f>+SUMIF(WRM!$C$7:$C$95,$D9,WRM!$AV$7:$AV$95)</f>
        <v>5875.3000000000011</v>
      </c>
      <c r="AX9" s="753"/>
      <c r="AY9" s="753">
        <f t="shared" si="11"/>
        <v>60282.12</v>
      </c>
      <c r="AZ9" s="758"/>
      <c r="BA9" s="676">
        <f>+SUMIF(WRM!$C$7:$C$95,$D9,WRM!$AZ$7:$AZ$95)</f>
        <v>6209.45</v>
      </c>
      <c r="BB9" s="758"/>
      <c r="BC9" s="3509">
        <f t="shared" si="12"/>
        <v>17785.8</v>
      </c>
      <c r="BD9" s="3605"/>
      <c r="BE9" s="1461">
        <f t="shared" si="13"/>
        <v>66491.570000000007</v>
      </c>
      <c r="BF9" s="753"/>
      <c r="BG9" s="753">
        <f t="shared" si="14"/>
        <v>66491.570000000007</v>
      </c>
    </row>
    <row r="10" spans="3:59" x14ac:dyDescent="0.3">
      <c r="C10" s="675" t="s">
        <v>17</v>
      </c>
      <c r="D10" s="2207" t="s">
        <v>908</v>
      </c>
      <c r="E10" s="6452"/>
      <c r="F10" s="675"/>
      <c r="G10" s="676">
        <f>+SUMIF(WRM!$C$7:$C$95,$D10,WRM!$F$7:$F$95)</f>
        <v>0</v>
      </c>
      <c r="H10" s="676"/>
      <c r="I10" s="676">
        <f>+SUMIF(WRM!$C$7:$C$95,$D10,WRM!$H$7:$H$95)</f>
        <v>4725.25</v>
      </c>
      <c r="J10" s="753"/>
      <c r="K10" s="753">
        <f t="shared" si="0"/>
        <v>4725.25</v>
      </c>
      <c r="L10" s="676"/>
      <c r="M10" s="676">
        <f>+SUMIF(WRM!$C$7:$C$95,$D10,WRM!$L$7:$L$95)</f>
        <v>0</v>
      </c>
      <c r="N10" s="758"/>
      <c r="O10" s="758">
        <f t="shared" si="1"/>
        <v>4725.25</v>
      </c>
      <c r="P10" s="676"/>
      <c r="Q10" s="676">
        <f>+SUMIF(WRM!$C$7:$C$95,$D10,WRM!$P$7:$P$95)</f>
        <v>0</v>
      </c>
      <c r="R10" s="758"/>
      <c r="S10" s="758">
        <f t="shared" si="2"/>
        <v>4725.25</v>
      </c>
      <c r="T10" s="676"/>
      <c r="U10" s="676">
        <f>+SUMIF(WRM!$C$7:$C$95,$D10,WRM!$T$7:$T$95)</f>
        <v>0</v>
      </c>
      <c r="V10" s="758"/>
      <c r="W10" s="758">
        <f t="shared" si="3"/>
        <v>4725.25</v>
      </c>
      <c r="X10" s="758"/>
      <c r="Y10" s="676">
        <f>+SUMIF(WRM!$C$7:$C$95,$D10,WRM!$X$7:$X$95)</f>
        <v>0</v>
      </c>
      <c r="Z10" s="758"/>
      <c r="AA10" s="3509">
        <f t="shared" si="4"/>
        <v>0</v>
      </c>
      <c r="AB10" s="3605"/>
      <c r="AC10" s="1461">
        <f t="shared" si="5"/>
        <v>4725.25</v>
      </c>
      <c r="AD10" s="758"/>
      <c r="AE10" s="676">
        <f>+SUMIF(WRM!$C$7:$C$95,$D10,WRM!$AD$7:$AD$95)</f>
        <v>0</v>
      </c>
      <c r="AF10" s="758"/>
      <c r="AG10" s="758">
        <f t="shared" si="6"/>
        <v>4725.25</v>
      </c>
      <c r="AH10" s="758"/>
      <c r="AI10" s="676">
        <f>+SUMIF(WRM!$C$7:$C$95,$D10,WRM!$AH$7:$AH$95)</f>
        <v>0</v>
      </c>
      <c r="AJ10" s="753"/>
      <c r="AK10" s="753">
        <f t="shared" si="7"/>
        <v>4725.25</v>
      </c>
      <c r="AL10" s="758"/>
      <c r="AM10" s="676">
        <f>+SUMIF(WRM!$C$7:$C$95,$D10,WRM!$AL$7:$AL$95)</f>
        <v>0</v>
      </c>
      <c r="AN10" s="758"/>
      <c r="AO10" s="3509">
        <f t="shared" si="8"/>
        <v>0</v>
      </c>
      <c r="AP10" s="753"/>
      <c r="AQ10" s="753">
        <f t="shared" si="9"/>
        <v>4725.25</v>
      </c>
      <c r="AR10" s="758"/>
      <c r="AS10" s="676">
        <f>+SUMIF(WRM!$C$7:$C$95,$D10,WRM!$AR$7:$AR$95)</f>
        <v>0</v>
      </c>
      <c r="AT10" s="753"/>
      <c r="AU10" s="753">
        <f t="shared" si="10"/>
        <v>4725.25</v>
      </c>
      <c r="AV10" s="758"/>
      <c r="AW10" s="676">
        <f>+SUMIF(WRM!$C$7:$C$95,$D10,WRM!$AV$7:$AV$95)</f>
        <v>0</v>
      </c>
      <c r="AX10" s="753"/>
      <c r="AY10" s="753">
        <f t="shared" si="11"/>
        <v>4725.25</v>
      </c>
      <c r="AZ10" s="758"/>
      <c r="BA10" s="676">
        <f>+SUMIF(WRM!$C$7:$C$95,$D10,WRM!$AZ$7:$AZ$95)</f>
        <v>0</v>
      </c>
      <c r="BB10" s="758"/>
      <c r="BC10" s="3509">
        <f t="shared" si="12"/>
        <v>0</v>
      </c>
      <c r="BD10" s="3605"/>
      <c r="BE10" s="1461">
        <f t="shared" si="13"/>
        <v>4725.25</v>
      </c>
      <c r="BF10" s="753"/>
      <c r="BG10" s="753">
        <f t="shared" si="14"/>
        <v>4725.25</v>
      </c>
    </row>
    <row r="11" spans="3:59" x14ac:dyDescent="0.3">
      <c r="C11" s="675" t="s">
        <v>17</v>
      </c>
      <c r="D11" s="2207" t="s">
        <v>1338</v>
      </c>
      <c r="E11" s="6452"/>
      <c r="F11" s="675"/>
      <c r="G11" s="676">
        <f>+SUMIF(WRM!$C$7:$C$95,$D11,WRM!$F$7:$F$95)</f>
        <v>0</v>
      </c>
      <c r="H11" s="676"/>
      <c r="I11" s="676">
        <f>+SUMIF(WRM!$C$7:$C$95,$D11,WRM!$H$7:$H$95)</f>
        <v>2000.7999999999995</v>
      </c>
      <c r="J11" s="753"/>
      <c r="K11" s="753">
        <f t="shared" si="0"/>
        <v>2000.7999999999995</v>
      </c>
      <c r="L11" s="676"/>
      <c r="M11" s="676">
        <f>+SUMIF(WRM!$C$7:$C$95,$D11,WRM!$L$7:$L$95)</f>
        <v>0</v>
      </c>
      <c r="N11" s="758"/>
      <c r="O11" s="758">
        <f t="shared" si="1"/>
        <v>2000.7999999999995</v>
      </c>
      <c r="P11" s="676"/>
      <c r="Q11" s="676">
        <f>+SUMIF(WRM!$C$7:$C$95,$D11,WRM!$P$7:$P$95)</f>
        <v>0</v>
      </c>
      <c r="R11" s="758"/>
      <c r="S11" s="758">
        <f t="shared" si="2"/>
        <v>2000.7999999999995</v>
      </c>
      <c r="T11" s="676"/>
      <c r="U11" s="676">
        <f>+SUMIF(WRM!$C$7:$C$95,$D11,WRM!$T$7:$T$95)</f>
        <v>0</v>
      </c>
      <c r="V11" s="758"/>
      <c r="W11" s="758">
        <f t="shared" si="3"/>
        <v>2000.7999999999995</v>
      </c>
      <c r="X11" s="758"/>
      <c r="Y11" s="676">
        <f>+SUMIF(WRM!$C$7:$C$95,$D11,WRM!$X$7:$X$95)</f>
        <v>0</v>
      </c>
      <c r="Z11" s="758"/>
      <c r="AA11" s="3509">
        <f t="shared" si="4"/>
        <v>0</v>
      </c>
      <c r="AB11" s="3605"/>
      <c r="AC11" s="1461">
        <f t="shared" si="5"/>
        <v>2000.7999999999995</v>
      </c>
      <c r="AD11" s="758"/>
      <c r="AE11" s="676">
        <f>+SUMIF(WRM!$C$7:$C$95,$D11,WRM!$AD$7:$AD$95)</f>
        <v>0</v>
      </c>
      <c r="AF11" s="758"/>
      <c r="AG11" s="758">
        <f t="shared" si="6"/>
        <v>2000.7999999999995</v>
      </c>
      <c r="AH11" s="758"/>
      <c r="AI11" s="676">
        <f>+SUMIF(WRM!$C$7:$C$95,$D11,WRM!$AH$7:$AH$95)</f>
        <v>0</v>
      </c>
      <c r="AJ11" s="753"/>
      <c r="AK11" s="753">
        <f t="shared" si="7"/>
        <v>2000.7999999999995</v>
      </c>
      <c r="AL11" s="758"/>
      <c r="AM11" s="676">
        <f>+SUMIF(WRM!$C$7:$C$95,$D11,WRM!$AL$7:$AL$95)</f>
        <v>0</v>
      </c>
      <c r="AN11" s="758"/>
      <c r="AO11" s="3509">
        <f t="shared" si="8"/>
        <v>0</v>
      </c>
      <c r="AP11" s="753"/>
      <c r="AQ11" s="753">
        <f t="shared" si="9"/>
        <v>2000.7999999999995</v>
      </c>
      <c r="AR11" s="758"/>
      <c r="AS11" s="676">
        <f>+SUMIF(WRM!$C$7:$C$95,$D11,WRM!$AR$7:$AR$95)</f>
        <v>0</v>
      </c>
      <c r="AT11" s="753"/>
      <c r="AU11" s="753">
        <f t="shared" si="10"/>
        <v>2000.7999999999995</v>
      </c>
      <c r="AV11" s="758"/>
      <c r="AW11" s="676">
        <f>+SUMIF(WRM!$C$7:$C$95,$D11,WRM!$AV$7:$AV$95)</f>
        <v>0</v>
      </c>
      <c r="AX11" s="753"/>
      <c r="AY11" s="753">
        <f t="shared" si="11"/>
        <v>2000.7999999999995</v>
      </c>
      <c r="AZ11" s="758"/>
      <c r="BA11" s="676">
        <f>+SUMIF(WRM!$C$7:$C$95,$D11,WRM!$AZ$7:$AZ$95)</f>
        <v>0</v>
      </c>
      <c r="BB11" s="758"/>
      <c r="BC11" s="3509">
        <f t="shared" si="12"/>
        <v>0</v>
      </c>
      <c r="BD11" s="3605"/>
      <c r="BE11" s="1461">
        <f t="shared" si="13"/>
        <v>2000.7999999999995</v>
      </c>
      <c r="BF11" s="753"/>
      <c r="BG11" s="753">
        <f t="shared" si="14"/>
        <v>2000.7999999999995</v>
      </c>
    </row>
    <row r="12" spans="3:59" x14ac:dyDescent="0.3">
      <c r="C12" s="675" t="s">
        <v>17</v>
      </c>
      <c r="D12" s="2207" t="s">
        <v>1017</v>
      </c>
      <c r="E12" s="6452"/>
      <c r="F12" s="675"/>
      <c r="G12" s="676">
        <f>+SUMIF(WRM!$C$7:$C$95,$D12,WRM!$F$7:$F$95)</f>
        <v>442.8</v>
      </c>
      <c r="H12" s="676"/>
      <c r="I12" s="676">
        <f>+SUMIF(WRM!$C$7:$C$95,$D12,WRM!$H$7:$H$95)</f>
        <v>0</v>
      </c>
      <c r="J12" s="753"/>
      <c r="K12" s="753">
        <f t="shared" si="0"/>
        <v>442.8</v>
      </c>
      <c r="L12" s="676"/>
      <c r="M12" s="676">
        <f>+SUMIF(WRM!$C$7:$C$95,$D12,WRM!$L$7:$L$95)</f>
        <v>0</v>
      </c>
      <c r="N12" s="758"/>
      <c r="O12" s="758">
        <f t="shared" si="1"/>
        <v>442.8</v>
      </c>
      <c r="P12" s="676"/>
      <c r="Q12" s="676">
        <f>+SUMIF(WRM!$C$7:$C$95,$D12,WRM!$P$7:$P$95)</f>
        <v>502.25000000000011</v>
      </c>
      <c r="R12" s="758"/>
      <c r="S12" s="758">
        <f t="shared" si="2"/>
        <v>945.05000000000018</v>
      </c>
      <c r="T12" s="676"/>
      <c r="U12" s="676">
        <f>+SUMIF(WRM!$C$7:$C$95,$D12,WRM!$T$7:$T$95)</f>
        <v>0</v>
      </c>
      <c r="V12" s="758"/>
      <c r="W12" s="758">
        <f t="shared" si="3"/>
        <v>945.05000000000018</v>
      </c>
      <c r="X12" s="758"/>
      <c r="Y12" s="676">
        <f>+SUMIF(WRM!$C$7:$C$95,$D12,WRM!$X$7:$X$95)</f>
        <v>145.55000000000001</v>
      </c>
      <c r="Z12" s="758"/>
      <c r="AA12" s="3509">
        <f t="shared" si="4"/>
        <v>647.80000000000018</v>
      </c>
      <c r="AB12" s="3605"/>
      <c r="AC12" s="1461">
        <f t="shared" si="5"/>
        <v>1090.6000000000001</v>
      </c>
      <c r="AD12" s="758"/>
      <c r="AE12" s="676">
        <f>+SUMIF(WRM!$C$7:$C$95,$D12,WRM!$AD$7:$AD$95)</f>
        <v>848.69999999999993</v>
      </c>
      <c r="AF12" s="758"/>
      <c r="AG12" s="758">
        <f t="shared" si="6"/>
        <v>1939.3000000000002</v>
      </c>
      <c r="AH12" s="758"/>
      <c r="AI12" s="676">
        <f>+SUMIF(WRM!$C$7:$C$95,$D12,WRM!$AH$7:$AH$95)</f>
        <v>217.29999999999998</v>
      </c>
      <c r="AJ12" s="753"/>
      <c r="AK12" s="753">
        <f t="shared" si="7"/>
        <v>2156.6000000000004</v>
      </c>
      <c r="AL12" s="758"/>
      <c r="AM12" s="676">
        <f>+SUMIF(WRM!$C$7:$C$95,$D12,WRM!$AL$7:$AL$95)</f>
        <v>407.95000000000005</v>
      </c>
      <c r="AN12" s="758"/>
      <c r="AO12" s="3509">
        <f t="shared" si="8"/>
        <v>1473.95</v>
      </c>
      <c r="AP12" s="753"/>
      <c r="AQ12" s="753">
        <f t="shared" si="9"/>
        <v>2564.5500000000002</v>
      </c>
      <c r="AR12" s="758"/>
      <c r="AS12" s="676">
        <f>+SUMIF(WRM!$C$7:$C$95,$D12,WRM!$AR$7:$AR$95)</f>
        <v>504.30000000000007</v>
      </c>
      <c r="AT12" s="753"/>
      <c r="AU12" s="753">
        <f t="shared" si="10"/>
        <v>3068.8500000000004</v>
      </c>
      <c r="AV12" s="758"/>
      <c r="AW12" s="676">
        <f>+SUMIF(WRM!$C$7:$C$95,$D12,WRM!$AV$7:$AV$95)</f>
        <v>483.80000000000013</v>
      </c>
      <c r="AX12" s="753"/>
      <c r="AY12" s="753">
        <f t="shared" si="11"/>
        <v>3552.6500000000005</v>
      </c>
      <c r="AZ12" s="758"/>
      <c r="BA12" s="676">
        <f>+SUMIF(WRM!$C$7:$C$95,$D12,WRM!$AZ$7:$AZ$95)</f>
        <v>557.6</v>
      </c>
      <c r="BB12" s="758"/>
      <c r="BC12" s="3509">
        <f t="shared" si="12"/>
        <v>1545.7000000000003</v>
      </c>
      <c r="BD12" s="3605"/>
      <c r="BE12" s="1461">
        <f t="shared" si="13"/>
        <v>4110.25</v>
      </c>
      <c r="BF12" s="753"/>
      <c r="BG12" s="753">
        <f t="shared" si="14"/>
        <v>4110.2500000000009</v>
      </c>
    </row>
    <row r="13" spans="3:59" s="4136" customFormat="1" x14ac:dyDescent="0.3">
      <c r="C13" s="675" t="s">
        <v>17</v>
      </c>
      <c r="D13" s="2207" t="s">
        <v>1833</v>
      </c>
      <c r="E13" s="6452"/>
      <c r="F13" s="675"/>
      <c r="G13" s="676"/>
      <c r="H13" s="676"/>
      <c r="I13" s="676"/>
      <c r="J13" s="753"/>
      <c r="K13" s="753"/>
      <c r="L13" s="676"/>
      <c r="M13" s="676"/>
      <c r="N13" s="758"/>
      <c r="O13" s="758"/>
      <c r="P13" s="676"/>
      <c r="Q13" s="676"/>
      <c r="R13" s="758"/>
      <c r="S13" s="758"/>
      <c r="T13" s="676"/>
      <c r="U13" s="676"/>
      <c r="V13" s="758"/>
      <c r="W13" s="758"/>
      <c r="X13" s="758"/>
      <c r="Y13" s="676"/>
      <c r="Z13" s="758"/>
      <c r="AA13" s="3509">
        <f t="shared" si="4"/>
        <v>0</v>
      </c>
      <c r="AB13" s="3605"/>
      <c r="AC13" s="1461">
        <f t="shared" si="5"/>
        <v>0</v>
      </c>
      <c r="AD13" s="758"/>
      <c r="AE13" s="676">
        <f>+SUMIF(WRM!$C$7:$C$95,$D13,WRM!$AD$7:$AD$95)</f>
        <v>114.8</v>
      </c>
      <c r="AF13" s="758"/>
      <c r="AG13" s="758">
        <f t="shared" si="6"/>
        <v>114.8</v>
      </c>
      <c r="AH13" s="758"/>
      <c r="AI13" s="676">
        <f>+SUMIF(WRM!$C$7:$C$95,$D13,WRM!$AH$7:$AH$95)</f>
        <v>0</v>
      </c>
      <c r="AJ13" s="753"/>
      <c r="AK13" s="753">
        <f t="shared" si="7"/>
        <v>114.8</v>
      </c>
      <c r="AL13" s="758"/>
      <c r="AM13" s="676">
        <f>+SUMIF(WRM!$C$7:$C$95,$D13,WRM!$AL$7:$AL$95)</f>
        <v>0</v>
      </c>
      <c r="AN13" s="758"/>
      <c r="AO13" s="3509">
        <f t="shared" si="8"/>
        <v>114.8</v>
      </c>
      <c r="AP13" s="753"/>
      <c r="AQ13" s="753">
        <f t="shared" si="9"/>
        <v>114.8</v>
      </c>
      <c r="AR13" s="758"/>
      <c r="AS13" s="676">
        <f>+SUMIF(WRM!$C$7:$C$95,$D13,WRM!$AR$7:$AR$95)</f>
        <v>0</v>
      </c>
      <c r="AT13" s="753"/>
      <c r="AU13" s="753">
        <f t="shared" si="10"/>
        <v>114.8</v>
      </c>
      <c r="AV13" s="758"/>
      <c r="AW13" s="676">
        <f>+SUMIF(WRM!$C$7:$C$95,$D13,WRM!$AV$7:$AV$95)</f>
        <v>0</v>
      </c>
      <c r="AX13" s="753"/>
      <c r="AY13" s="753">
        <f t="shared" si="11"/>
        <v>114.8</v>
      </c>
      <c r="AZ13" s="758"/>
      <c r="BA13" s="676">
        <f>+SUMIF(WRM!$C$7:$C$95,$D13,WRM!$AZ$7:$AZ$95)</f>
        <v>0</v>
      </c>
      <c r="BB13" s="758"/>
      <c r="BC13" s="3509">
        <f t="shared" si="12"/>
        <v>0</v>
      </c>
      <c r="BD13" s="3605"/>
      <c r="BE13" s="1461">
        <f t="shared" si="13"/>
        <v>114.8</v>
      </c>
      <c r="BF13" s="753"/>
      <c r="BG13" s="753">
        <f t="shared" si="14"/>
        <v>114.8</v>
      </c>
    </row>
    <row r="14" spans="3:59" x14ac:dyDescent="0.3">
      <c r="C14" s="675" t="s">
        <v>17</v>
      </c>
      <c r="D14" s="2207" t="s">
        <v>1019</v>
      </c>
      <c r="E14" s="6452"/>
      <c r="F14" s="675"/>
      <c r="G14" s="676">
        <f>+SUMIF(WRM!$C$7:$C$95,$D14,WRM!$F$7:$F$95)</f>
        <v>506.35</v>
      </c>
      <c r="H14" s="676"/>
      <c r="I14" s="676">
        <f>+SUMIF(WRM!$C$7:$C$95,$D14,WRM!$H$7:$H$95)</f>
        <v>110.7</v>
      </c>
      <c r="J14" s="753"/>
      <c r="K14" s="753">
        <f t="shared" si="0"/>
        <v>617.05000000000007</v>
      </c>
      <c r="L14" s="676"/>
      <c r="M14" s="676">
        <f>+SUMIF(WRM!$C$7:$C$95,$D14,WRM!$L$7:$L$95)</f>
        <v>0</v>
      </c>
      <c r="N14" s="758"/>
      <c r="O14" s="758">
        <f t="shared" si="1"/>
        <v>617.05000000000007</v>
      </c>
      <c r="P14" s="676"/>
      <c r="Q14" s="676">
        <f>+SUMIF(WRM!$C$7:$C$95,$D14,WRM!$P$7:$P$95)</f>
        <v>514.54999999999995</v>
      </c>
      <c r="R14" s="758"/>
      <c r="S14" s="758">
        <f t="shared" si="2"/>
        <v>1131.5999999999999</v>
      </c>
      <c r="T14" s="676"/>
      <c r="U14" s="676">
        <f>+SUMIF(WRM!$C$7:$C$95,$D14,WRM!$T$7:$T$95)</f>
        <v>0</v>
      </c>
      <c r="V14" s="758"/>
      <c r="W14" s="758">
        <f t="shared" si="3"/>
        <v>1131.5999999999999</v>
      </c>
      <c r="X14" s="758"/>
      <c r="Y14" s="676">
        <f>+SUMIF(WRM!$C$7:$C$95,$D14,WRM!$X$7:$X$95)</f>
        <v>412.05</v>
      </c>
      <c r="Z14" s="758"/>
      <c r="AA14" s="3509">
        <f t="shared" si="4"/>
        <v>926.59999999999991</v>
      </c>
      <c r="AB14" s="3605"/>
      <c r="AC14" s="1461">
        <f t="shared" si="5"/>
        <v>1543.65</v>
      </c>
      <c r="AD14" s="758"/>
      <c r="AE14" s="676">
        <f>+SUMIF(WRM!$C$7:$C$95,$D14,WRM!$AD$7:$AD$95)</f>
        <v>526.84999999999991</v>
      </c>
      <c r="AF14" s="758"/>
      <c r="AG14" s="758">
        <f t="shared" si="6"/>
        <v>2070.5</v>
      </c>
      <c r="AH14" s="758"/>
      <c r="AI14" s="676">
        <f>+SUMIF(WRM!$C$7:$C$95,$D14,WRM!$AH$7:$AH$95)</f>
        <v>674.45</v>
      </c>
      <c r="AJ14" s="753"/>
      <c r="AK14" s="753">
        <f t="shared" si="7"/>
        <v>2744.95</v>
      </c>
      <c r="AL14" s="758"/>
      <c r="AM14" s="676">
        <f>+SUMIF(WRM!$C$7:$C$95,$D14,WRM!$AL$7:$AL$95)</f>
        <v>500.2</v>
      </c>
      <c r="AN14" s="758"/>
      <c r="AO14" s="3509">
        <f t="shared" si="8"/>
        <v>1701.5</v>
      </c>
      <c r="AP14" s="753"/>
      <c r="AQ14" s="753">
        <f t="shared" si="9"/>
        <v>3245.1499999999996</v>
      </c>
      <c r="AR14" s="758"/>
      <c r="AS14" s="676">
        <f>+SUMIF(WRM!$C$7:$C$95,$D14,WRM!$AR$7:$AR$95)</f>
        <v>307.5</v>
      </c>
      <c r="AT14" s="753"/>
      <c r="AU14" s="753">
        <f t="shared" si="10"/>
        <v>3552.6499999999996</v>
      </c>
      <c r="AV14" s="758"/>
      <c r="AW14" s="676">
        <f>+SUMIF(WRM!$C$7:$C$95,$D14,WRM!$AV$7:$AV$95)</f>
        <v>598.59999999999991</v>
      </c>
      <c r="AX14" s="753"/>
      <c r="AY14" s="753">
        <f t="shared" si="11"/>
        <v>4151.25</v>
      </c>
      <c r="AZ14" s="758"/>
      <c r="BA14" s="676">
        <f>+SUMIF(WRM!$C$7:$C$95,$D14,WRM!$AZ$7:$AZ$95)</f>
        <v>625.25</v>
      </c>
      <c r="BB14" s="758"/>
      <c r="BC14" s="3509">
        <f t="shared" si="12"/>
        <v>1531.35</v>
      </c>
      <c r="BD14" s="3605"/>
      <c r="BE14" s="1461">
        <f t="shared" si="13"/>
        <v>4776.5</v>
      </c>
      <c r="BF14" s="753"/>
      <c r="BG14" s="753">
        <f t="shared" si="14"/>
        <v>4776.5</v>
      </c>
    </row>
    <row r="15" spans="3:59" x14ac:dyDescent="0.3">
      <c r="C15" s="675" t="s">
        <v>17</v>
      </c>
      <c r="D15" s="2207" t="s">
        <v>1188</v>
      </c>
      <c r="E15" s="6452"/>
      <c r="F15" s="675"/>
      <c r="G15" s="676">
        <f>+SUMIF(WRM!$C$7:$C$95,$D15,WRM!$F$7:$F$95)</f>
        <v>207.05</v>
      </c>
      <c r="H15" s="676"/>
      <c r="I15" s="676">
        <f>+SUMIF(WRM!$C$7:$C$95,$D15,WRM!$H$7:$H$95)</f>
        <v>0</v>
      </c>
      <c r="J15" s="753"/>
      <c r="K15" s="753">
        <f t="shared" si="0"/>
        <v>207.05</v>
      </c>
      <c r="L15" s="676"/>
      <c r="M15" s="676">
        <f>+SUMIF(WRM!$C$7:$C$95,$D15,WRM!$L$7:$L$95)</f>
        <v>0</v>
      </c>
      <c r="N15" s="758"/>
      <c r="O15" s="758">
        <f t="shared" si="1"/>
        <v>207.05</v>
      </c>
      <c r="P15" s="676"/>
      <c r="Q15" s="676">
        <f>+SUMIF(WRM!$C$7:$C$95,$D15,WRM!$P$7:$P$95)</f>
        <v>96.35</v>
      </c>
      <c r="R15" s="758"/>
      <c r="S15" s="758">
        <f t="shared" si="2"/>
        <v>303.39999999999998</v>
      </c>
      <c r="T15" s="676"/>
      <c r="U15" s="676">
        <f>+SUMIF(WRM!$C$7:$C$95,$D15,WRM!$T$7:$T$95)</f>
        <v>0</v>
      </c>
      <c r="V15" s="758"/>
      <c r="W15" s="758">
        <f t="shared" si="3"/>
        <v>303.39999999999998</v>
      </c>
      <c r="X15" s="758"/>
      <c r="Y15" s="676">
        <f>+SUMIF(WRM!$C$7:$C$95,$D15,WRM!$X$7:$X$95)</f>
        <v>0</v>
      </c>
      <c r="Z15" s="758"/>
      <c r="AA15" s="3509">
        <f t="shared" si="4"/>
        <v>96.35</v>
      </c>
      <c r="AB15" s="3605"/>
      <c r="AC15" s="1461">
        <f t="shared" si="5"/>
        <v>303.39999999999998</v>
      </c>
      <c r="AD15" s="758"/>
      <c r="AE15" s="676">
        <f>+SUMIF(WRM!$C$7:$C$95,$D15,WRM!$AD$7:$AD$95)</f>
        <v>0</v>
      </c>
      <c r="AF15" s="758"/>
      <c r="AG15" s="758">
        <f t="shared" si="6"/>
        <v>303.39999999999998</v>
      </c>
      <c r="AH15" s="758"/>
      <c r="AI15" s="676">
        <f>+SUMIF(WRM!$C$7:$C$95,$D15,WRM!$AH$7:$AH$95)</f>
        <v>0</v>
      </c>
      <c r="AJ15" s="753"/>
      <c r="AK15" s="753">
        <f t="shared" si="7"/>
        <v>303.39999999999998</v>
      </c>
      <c r="AL15" s="758"/>
      <c r="AM15" s="676">
        <f>+SUMIF(WRM!$C$7:$C$95,$D15,WRM!$AL$7:$AL$95)</f>
        <v>0</v>
      </c>
      <c r="AN15" s="758"/>
      <c r="AO15" s="3509">
        <f t="shared" si="8"/>
        <v>0</v>
      </c>
      <c r="AP15" s="753"/>
      <c r="AQ15" s="753">
        <f t="shared" si="9"/>
        <v>303.39999999999998</v>
      </c>
      <c r="AR15" s="758"/>
      <c r="AS15" s="676">
        <f>+SUMIF(WRM!$C$7:$C$95,$D15,WRM!$AR$7:$AR$95)</f>
        <v>0</v>
      </c>
      <c r="AT15" s="753"/>
      <c r="AU15" s="753">
        <f t="shared" si="10"/>
        <v>303.39999999999998</v>
      </c>
      <c r="AV15" s="758"/>
      <c r="AW15" s="676">
        <f>+SUMIF(WRM!$C$7:$C$95,$D15,WRM!$AV$7:$AV$95)</f>
        <v>0</v>
      </c>
      <c r="AX15" s="753"/>
      <c r="AY15" s="753">
        <f t="shared" si="11"/>
        <v>303.39999999999998</v>
      </c>
      <c r="AZ15" s="758"/>
      <c r="BA15" s="676">
        <f>+SUMIF(WRM!$C$7:$C$95,$D15,WRM!$AZ$7:$AZ$95)</f>
        <v>0</v>
      </c>
      <c r="BB15" s="758"/>
      <c r="BC15" s="3509">
        <f t="shared" si="12"/>
        <v>0</v>
      </c>
      <c r="BD15" s="3605"/>
      <c r="BE15" s="1461">
        <f t="shared" si="13"/>
        <v>303.39999999999998</v>
      </c>
      <c r="BF15" s="753"/>
      <c r="BG15" s="753">
        <f t="shared" si="14"/>
        <v>303.39999999999998</v>
      </c>
    </row>
    <row r="16" spans="3:59" x14ac:dyDescent="0.3">
      <c r="C16" s="675" t="s">
        <v>17</v>
      </c>
      <c r="D16" s="2207" t="s">
        <v>1021</v>
      </c>
      <c r="E16" s="6452"/>
      <c r="F16" s="675"/>
      <c r="G16" s="676">
        <f>+SUMIF(WRM!$C$7:$C$95,$D16,WRM!$F$7:$F$95)</f>
        <v>904.05000000000007</v>
      </c>
      <c r="H16" s="676"/>
      <c r="I16" s="676">
        <f>+SUMIF(WRM!$C$7:$C$95,$D16,WRM!$H$7:$H$95)</f>
        <v>157.85</v>
      </c>
      <c r="J16" s="753"/>
      <c r="K16" s="753">
        <f t="shared" si="0"/>
        <v>1061.9000000000001</v>
      </c>
      <c r="L16" s="676"/>
      <c r="M16" s="676">
        <f>+SUMIF(WRM!$C$7:$C$95,$D16,WRM!$L$7:$L$95)</f>
        <v>0</v>
      </c>
      <c r="N16" s="758"/>
      <c r="O16" s="758">
        <f t="shared" si="1"/>
        <v>1061.9000000000001</v>
      </c>
      <c r="P16" s="676"/>
      <c r="Q16" s="676">
        <f>+SUMIF(WRM!$C$7:$C$95,$D16,WRM!$P$7:$P$95)</f>
        <v>643.69999999999993</v>
      </c>
      <c r="R16" s="758"/>
      <c r="S16" s="758">
        <f t="shared" si="2"/>
        <v>1705.6</v>
      </c>
      <c r="T16" s="676"/>
      <c r="U16" s="676">
        <f>+SUMIF(WRM!$C$7:$C$95,$D16,WRM!$T$7:$T$95)</f>
        <v>0</v>
      </c>
      <c r="V16" s="758"/>
      <c r="W16" s="758">
        <f t="shared" si="3"/>
        <v>1705.6</v>
      </c>
      <c r="X16" s="758"/>
      <c r="Y16" s="676">
        <f>+SUMIF(WRM!$C$7:$C$95,$D16,WRM!$X$7:$X$95)</f>
        <v>487.90000000000003</v>
      </c>
      <c r="Z16" s="758"/>
      <c r="AA16" s="3509">
        <f t="shared" si="4"/>
        <v>1131.5999999999999</v>
      </c>
      <c r="AB16" s="3605"/>
      <c r="AC16" s="1461">
        <f t="shared" si="5"/>
        <v>2193.5</v>
      </c>
      <c r="AD16" s="758"/>
      <c r="AE16" s="676">
        <f>+SUMIF(WRM!$C$7:$C$95,$D16,WRM!$AD$7:$AD$95)</f>
        <v>707.25</v>
      </c>
      <c r="AF16" s="758"/>
      <c r="AG16" s="758">
        <f t="shared" si="6"/>
        <v>2900.75</v>
      </c>
      <c r="AH16" s="758"/>
      <c r="AI16" s="676">
        <f>+SUMIF(WRM!$C$7:$C$95,$D16,WRM!$AH$7:$AH$95)</f>
        <v>877.40000000000009</v>
      </c>
      <c r="AJ16" s="753"/>
      <c r="AK16" s="753">
        <f t="shared" si="7"/>
        <v>3778.15</v>
      </c>
      <c r="AL16" s="758"/>
      <c r="AM16" s="676">
        <f>+SUMIF(WRM!$C$7:$C$95,$D16,WRM!$AL$7:$AL$95)</f>
        <v>510.45</v>
      </c>
      <c r="AN16" s="758"/>
      <c r="AO16" s="3509">
        <f t="shared" si="8"/>
        <v>2095.1</v>
      </c>
      <c r="AP16" s="753"/>
      <c r="AQ16" s="753">
        <f t="shared" si="9"/>
        <v>4288.6000000000004</v>
      </c>
      <c r="AR16" s="758"/>
      <c r="AS16" s="676">
        <f>+SUMIF(WRM!$C$7:$C$95,$D16,WRM!$AR$7:$AR$95)</f>
        <v>387.45</v>
      </c>
      <c r="AT16" s="753"/>
      <c r="AU16" s="753">
        <f t="shared" si="10"/>
        <v>4676.05</v>
      </c>
      <c r="AV16" s="758"/>
      <c r="AW16" s="676">
        <f>+SUMIF(WRM!$C$7:$C$95,$D16,WRM!$AV$7:$AV$95)</f>
        <v>660.09999999999991</v>
      </c>
      <c r="AX16" s="753"/>
      <c r="AY16" s="753">
        <f t="shared" si="11"/>
        <v>5336.15</v>
      </c>
      <c r="AZ16" s="758"/>
      <c r="BA16" s="676">
        <f>+SUMIF(WRM!$C$7:$C$95,$D16,WRM!$AZ$7:$AZ$95)</f>
        <v>707.25</v>
      </c>
      <c r="BB16" s="758"/>
      <c r="BC16" s="3509">
        <f t="shared" si="12"/>
        <v>1754.8</v>
      </c>
      <c r="BD16" s="3605"/>
      <c r="BE16" s="1461">
        <f t="shared" si="13"/>
        <v>6043.4000000000005</v>
      </c>
      <c r="BF16" s="753"/>
      <c r="BG16" s="753">
        <f t="shared" si="14"/>
        <v>6043.4</v>
      </c>
    </row>
    <row r="17" spans="3:59" x14ac:dyDescent="0.3">
      <c r="C17" s="675" t="s">
        <v>17</v>
      </c>
      <c r="D17" s="2207" t="s">
        <v>1195</v>
      </c>
      <c r="E17" s="6452"/>
      <c r="F17" s="675"/>
      <c r="G17" s="676">
        <f>+SUMIF(WRM!$C$7:$C$95,$D17,WRM!$F$7:$F$95)</f>
        <v>51.25</v>
      </c>
      <c r="H17" s="676"/>
      <c r="I17" s="676">
        <f>+SUMIF(WRM!$C$7:$C$95,$D17,WRM!$H$7:$H$95)</f>
        <v>86.1</v>
      </c>
      <c r="J17" s="753"/>
      <c r="K17" s="753">
        <f t="shared" si="0"/>
        <v>137.35</v>
      </c>
      <c r="L17" s="676"/>
      <c r="M17" s="676">
        <f>+SUMIF(WRM!$C$7:$C$95,$D17,WRM!$L$7:$L$95)</f>
        <v>53.3</v>
      </c>
      <c r="N17" s="758"/>
      <c r="O17" s="758">
        <f t="shared" si="1"/>
        <v>190.64999999999998</v>
      </c>
      <c r="P17" s="676"/>
      <c r="Q17" s="676">
        <f>+SUMIF(WRM!$C$7:$C$95,$D17,WRM!$P$7:$P$95)</f>
        <v>111.05</v>
      </c>
      <c r="R17" s="758"/>
      <c r="S17" s="758">
        <f t="shared" si="2"/>
        <v>301.7</v>
      </c>
      <c r="T17" s="676"/>
      <c r="U17" s="676">
        <f>+SUMIF(WRM!$C$7:$C$95,$D17,WRM!$T$7:$T$95)</f>
        <v>2.0499999999999998</v>
      </c>
      <c r="V17" s="758"/>
      <c r="W17" s="758">
        <f t="shared" si="3"/>
        <v>303.75</v>
      </c>
      <c r="X17" s="758"/>
      <c r="Y17" s="676">
        <f>+SUMIF(WRM!$C$7:$C$95,$D17,WRM!$X$7:$X$95)</f>
        <v>47.15</v>
      </c>
      <c r="Z17" s="758"/>
      <c r="AA17" s="3509">
        <f t="shared" si="4"/>
        <v>160.25</v>
      </c>
      <c r="AB17" s="3605"/>
      <c r="AC17" s="1461">
        <f t="shared" si="5"/>
        <v>350.9</v>
      </c>
      <c r="AD17" s="758"/>
      <c r="AE17" s="676">
        <f>+SUMIF(WRM!$C$7:$C$95,$D17,WRM!$AD$7:$AD$95)</f>
        <v>539.15</v>
      </c>
      <c r="AF17" s="758"/>
      <c r="AG17" s="758">
        <f t="shared" si="6"/>
        <v>890.05</v>
      </c>
      <c r="AH17" s="758"/>
      <c r="AI17" s="676">
        <f>+SUMIF(WRM!$C$7:$C$95,$D17,WRM!$AH$7:$AH$95)</f>
        <v>457.15</v>
      </c>
      <c r="AJ17" s="753"/>
      <c r="AK17" s="753">
        <f t="shared" si="7"/>
        <v>1347.1999999999998</v>
      </c>
      <c r="AL17" s="758"/>
      <c r="AM17" s="676">
        <f>+SUMIF(WRM!$C$7:$C$95,$D17,WRM!$AL$7:$AL$95)</f>
        <v>14.35</v>
      </c>
      <c r="AN17" s="758"/>
      <c r="AO17" s="3509">
        <f t="shared" si="8"/>
        <v>1010.65</v>
      </c>
      <c r="AP17" s="753"/>
      <c r="AQ17" s="753">
        <f t="shared" si="9"/>
        <v>1361.5499999999997</v>
      </c>
      <c r="AR17" s="758"/>
      <c r="AS17" s="676">
        <f>+SUMIF(WRM!$C$7:$C$95,$D17,WRM!$AR$7:$AR$95)</f>
        <v>75.849999999999994</v>
      </c>
      <c r="AT17" s="753"/>
      <c r="AU17" s="753">
        <f t="shared" si="10"/>
        <v>1437.3999999999996</v>
      </c>
      <c r="AV17" s="758"/>
      <c r="AW17" s="676">
        <f>+SUMIF(WRM!$C$7:$C$95,$D17,WRM!$AV$7:$AV$95)</f>
        <v>196.8</v>
      </c>
      <c r="AX17" s="753"/>
      <c r="AY17" s="753">
        <f t="shared" si="11"/>
        <v>1634.1999999999996</v>
      </c>
      <c r="AZ17" s="758"/>
      <c r="BA17" s="676">
        <f>+SUMIF(WRM!$C$7:$C$95,$D17,WRM!$AZ$7:$AZ$95)</f>
        <v>789.25</v>
      </c>
      <c r="BB17" s="758"/>
      <c r="BC17" s="3509">
        <f t="shared" si="12"/>
        <v>1061.9000000000001</v>
      </c>
      <c r="BD17" s="3605"/>
      <c r="BE17" s="1461">
        <f t="shared" si="13"/>
        <v>2423.4499999999998</v>
      </c>
      <c r="BF17" s="753"/>
      <c r="BG17" s="753">
        <f t="shared" si="14"/>
        <v>2423.4499999999998</v>
      </c>
    </row>
    <row r="18" spans="3:59" s="4213" customFormat="1" x14ac:dyDescent="0.3">
      <c r="C18" s="675" t="s">
        <v>17</v>
      </c>
      <c r="D18" s="2207" t="s">
        <v>1022</v>
      </c>
      <c r="E18" s="6452"/>
      <c r="F18" s="675"/>
      <c r="G18" s="676">
        <f>+SUMIF(WRM!$C$7:$C$95,$D18,WRM!$F$7:$F$95)</f>
        <v>0</v>
      </c>
      <c r="H18" s="676"/>
      <c r="I18" s="676">
        <f>+SUMIF(WRM!$C$7:$C$95,$D18,WRM!$H$7:$H$95)</f>
        <v>0</v>
      </c>
      <c r="J18" s="753"/>
      <c r="K18" s="753"/>
      <c r="L18" s="676"/>
      <c r="M18" s="676">
        <f>+SUMIF(WRM!$C$7:$C$95,$D18,WRM!$L$7:$L$95)</f>
        <v>0</v>
      </c>
      <c r="N18" s="758"/>
      <c r="O18" s="758">
        <f t="shared" si="1"/>
        <v>0</v>
      </c>
      <c r="P18" s="676"/>
      <c r="Q18" s="676">
        <f>+SUMIF(WRM!$C$7:$C$95,$D18,WRM!$P$7:$P$95)</f>
        <v>0</v>
      </c>
      <c r="R18" s="758"/>
      <c r="S18" s="758"/>
      <c r="T18" s="676"/>
      <c r="U18" s="676">
        <f>+SUMIF(WRM!$C$7:$C$95,$D18,WRM!$T$7:$T$95)</f>
        <v>0</v>
      </c>
      <c r="V18" s="758"/>
      <c r="W18" s="758">
        <f t="shared" si="3"/>
        <v>0</v>
      </c>
      <c r="X18" s="758"/>
      <c r="Y18" s="676">
        <f>+SUMIF(WRM!$C$7:$C$95,$D18,WRM!$X$7:$X$95)</f>
        <v>0</v>
      </c>
      <c r="Z18" s="758"/>
      <c r="AA18" s="3509">
        <f t="shared" si="4"/>
        <v>0</v>
      </c>
      <c r="AB18" s="3605"/>
      <c r="AC18" s="1461">
        <f t="shared" si="5"/>
        <v>0</v>
      </c>
      <c r="AD18" s="758"/>
      <c r="AE18" s="676">
        <f>+SUMIF(WRM!$C$7:$C$95,$D18,WRM!$AD$7:$AD$95)</f>
        <v>0</v>
      </c>
      <c r="AF18" s="758"/>
      <c r="AG18" s="758">
        <f t="shared" si="6"/>
        <v>0</v>
      </c>
      <c r="AH18" s="758"/>
      <c r="AI18" s="676">
        <f>+SUMIF(WRM!$C$7:$C$95,$D18,WRM!$AH$7:$AH$95)</f>
        <v>65.599999999999994</v>
      </c>
      <c r="AJ18" s="753"/>
      <c r="AK18" s="753">
        <f t="shared" si="7"/>
        <v>65.599999999999994</v>
      </c>
      <c r="AL18" s="758"/>
      <c r="AM18" s="676">
        <f>+SUMIF(WRM!$C$7:$C$95,$D18,WRM!$AL$7:$AL$95)</f>
        <v>0</v>
      </c>
      <c r="AN18" s="758"/>
      <c r="AO18" s="3509">
        <f t="shared" si="8"/>
        <v>65.599999999999994</v>
      </c>
      <c r="AP18" s="753"/>
      <c r="AQ18" s="753">
        <f t="shared" si="9"/>
        <v>65.599999999999994</v>
      </c>
      <c r="AR18" s="758"/>
      <c r="AS18" s="676">
        <f>+SUMIF(WRM!$C$7:$C$95,$D18,WRM!$AR$7:$AR$95)</f>
        <v>0</v>
      </c>
      <c r="AT18" s="753"/>
      <c r="AU18" s="753">
        <f t="shared" si="10"/>
        <v>65.599999999999994</v>
      </c>
      <c r="AV18" s="758"/>
      <c r="AW18" s="676">
        <f>+SUMIF(WRM!$C$7:$C$95,$D18,WRM!$AV$7:$AV$95)</f>
        <v>0</v>
      </c>
      <c r="AX18" s="753"/>
      <c r="AY18" s="753">
        <f t="shared" si="11"/>
        <v>65.599999999999994</v>
      </c>
      <c r="AZ18" s="758"/>
      <c r="BA18" s="676">
        <f>+SUMIF(WRM!$C$7:$C$95,$D18,WRM!$AZ$7:$AZ$95)</f>
        <v>0</v>
      </c>
      <c r="BB18" s="758"/>
      <c r="BC18" s="3509">
        <f t="shared" si="12"/>
        <v>0</v>
      </c>
      <c r="BD18" s="3605"/>
      <c r="BE18" s="1461">
        <f t="shared" si="13"/>
        <v>65.599999999999994</v>
      </c>
      <c r="BF18" s="753"/>
      <c r="BG18" s="753">
        <f t="shared" si="14"/>
        <v>65.599999999999994</v>
      </c>
    </row>
    <row r="19" spans="3:59" x14ac:dyDescent="0.3">
      <c r="C19" s="675" t="s">
        <v>17</v>
      </c>
      <c r="D19" s="2207" t="s">
        <v>1196</v>
      </c>
      <c r="E19" s="6452"/>
      <c r="F19" s="675"/>
      <c r="G19" s="676">
        <f>+SUMIF(WRM!$C$7:$C$95,$D19,WRM!$F$7:$F$95)</f>
        <v>4797</v>
      </c>
      <c r="H19" s="676"/>
      <c r="I19" s="676">
        <f>+SUMIF(WRM!$C$7:$C$95,$D19,WRM!$H$7:$H$95)</f>
        <v>2947.9</v>
      </c>
      <c r="J19" s="753"/>
      <c r="K19" s="753">
        <f t="shared" si="0"/>
        <v>7744.9</v>
      </c>
      <c r="L19" s="676"/>
      <c r="M19" s="676">
        <f>+SUMIF(WRM!$C$7:$C$95,$D19,WRM!$L$7:$L$95)</f>
        <v>5005.5</v>
      </c>
      <c r="N19" s="758"/>
      <c r="O19" s="758">
        <f t="shared" si="1"/>
        <v>12750.4</v>
      </c>
      <c r="P19" s="676"/>
      <c r="Q19" s="676">
        <f>+SUMIF(WRM!$C$7:$C$95,$D19,WRM!$P$7:$P$95)</f>
        <v>5036.24</v>
      </c>
      <c r="R19" s="758"/>
      <c r="S19" s="758">
        <f t="shared" si="2"/>
        <v>17786.64</v>
      </c>
      <c r="T19" s="676"/>
      <c r="U19" s="676">
        <f>+SUMIF(WRM!$C$7:$C$95,$D19,WRM!$T$7:$T$95)</f>
        <v>8546.450000000008</v>
      </c>
      <c r="V19" s="758"/>
      <c r="W19" s="758">
        <f t="shared" si="3"/>
        <v>26333.090000000007</v>
      </c>
      <c r="X19" s="758"/>
      <c r="Y19" s="676">
        <f>+SUMIF(WRM!$C$7:$C$95,$D19,WRM!$X$7:$X$95)</f>
        <v>11612.225</v>
      </c>
      <c r="Z19" s="758"/>
      <c r="AA19" s="3509">
        <f t="shared" si="4"/>
        <v>25194.915000000008</v>
      </c>
      <c r="AB19" s="3605"/>
      <c r="AC19" s="1461">
        <f t="shared" si="5"/>
        <v>37945.31500000001</v>
      </c>
      <c r="AD19" s="758"/>
      <c r="AE19" s="676">
        <f>+SUMIF(WRM!$C$7:$C$95,$D19,WRM!$AD$7:$AD$95)</f>
        <v>11092.55</v>
      </c>
      <c r="AF19" s="758"/>
      <c r="AG19" s="758">
        <f t="shared" si="6"/>
        <v>49037.865000000005</v>
      </c>
      <c r="AH19" s="758"/>
      <c r="AI19" s="676">
        <f>+SUMIF(WRM!$C$7:$C$95,$D19,WRM!$AH$7:$AH$95)</f>
        <v>6430.85</v>
      </c>
      <c r="AJ19" s="753"/>
      <c r="AK19" s="753">
        <f t="shared" ref="AK19:AK30" si="15">AG19+AI19</f>
        <v>55468.715000000004</v>
      </c>
      <c r="AL19" s="758"/>
      <c r="AM19" s="676">
        <f>+SUMIF(WRM!$C$7:$C$95,$D19,WRM!$AL$7:$AL$95)</f>
        <v>4827.7499999999991</v>
      </c>
      <c r="AN19" s="758"/>
      <c r="AO19" s="3509">
        <f t="shared" si="8"/>
        <v>22351.15</v>
      </c>
      <c r="AP19" s="753"/>
      <c r="AQ19" s="753">
        <f t="shared" si="9"/>
        <v>60296.465000000004</v>
      </c>
      <c r="AR19" s="758"/>
      <c r="AS19" s="676">
        <f>+SUMIF(WRM!$C$7:$C$95,$D19,WRM!$AR$7:$AR$95)</f>
        <v>6112.6</v>
      </c>
      <c r="AT19" s="753"/>
      <c r="AU19" s="753">
        <f t="shared" si="10"/>
        <v>66409.065000000002</v>
      </c>
      <c r="AV19" s="758"/>
      <c r="AW19" s="676">
        <f>+SUMIF(WRM!$C$7:$C$95,$D19,WRM!$AV$7:$AV$95)</f>
        <v>7863.8000000000029</v>
      </c>
      <c r="AX19" s="753"/>
      <c r="AY19" s="753">
        <f t="shared" si="11"/>
        <v>74272.865000000005</v>
      </c>
      <c r="AZ19" s="758"/>
      <c r="BA19" s="676">
        <f>+SUMIF(WRM!$C$7:$C$95,$D19,WRM!$AZ$7:$AZ$95)</f>
        <v>12566.5</v>
      </c>
      <c r="BB19" s="758"/>
      <c r="BC19" s="3509">
        <f t="shared" si="12"/>
        <v>26542.9</v>
      </c>
      <c r="BD19" s="3605"/>
      <c r="BE19" s="1461">
        <f t="shared" si="13"/>
        <v>86839.365000000005</v>
      </c>
      <c r="BF19" s="753"/>
      <c r="BG19" s="753">
        <f t="shared" si="14"/>
        <v>86839.365000000005</v>
      </c>
    </row>
    <row r="20" spans="3:59" x14ac:dyDescent="0.3">
      <c r="C20" s="675" t="s">
        <v>17</v>
      </c>
      <c r="D20" s="2207" t="s">
        <v>906</v>
      </c>
      <c r="E20" s="6452"/>
      <c r="F20" s="675"/>
      <c r="G20" s="676">
        <f>+SUMIF(WRM!$C$7:$C$95,$D20,WRM!$F$7:$F$95)</f>
        <v>2072.5499999999997</v>
      </c>
      <c r="H20" s="676"/>
      <c r="I20" s="676">
        <f>+SUMIF(WRM!$C$7:$C$95,$D20,WRM!$H$7:$H$95)</f>
        <v>947.1</v>
      </c>
      <c r="J20" s="753"/>
      <c r="K20" s="753">
        <f t="shared" si="0"/>
        <v>3019.6499999999996</v>
      </c>
      <c r="L20" s="676"/>
      <c r="M20" s="676">
        <f>+SUMIF(WRM!$C$7:$C$95,$D20,WRM!$L$7:$L$95)</f>
        <v>596.54999999999995</v>
      </c>
      <c r="N20" s="758"/>
      <c r="O20" s="758">
        <f t="shared" si="1"/>
        <v>3616.2</v>
      </c>
      <c r="P20" s="676"/>
      <c r="Q20" s="676">
        <f>+SUMIF(WRM!$C$7:$C$95,$D20,WRM!$P$7:$P$95)</f>
        <v>1828.6000000000001</v>
      </c>
      <c r="R20" s="758"/>
      <c r="S20" s="758">
        <f t="shared" si="2"/>
        <v>5444.8</v>
      </c>
      <c r="T20" s="676"/>
      <c r="U20" s="676">
        <f>+SUMIF(WRM!$C$7:$C$95,$D20,WRM!$T$7:$T$95)</f>
        <v>1314.05</v>
      </c>
      <c r="V20" s="758"/>
      <c r="W20" s="758">
        <f t="shared" si="3"/>
        <v>6758.85</v>
      </c>
      <c r="X20" s="758"/>
      <c r="Y20" s="676">
        <f>+SUMIF(WRM!$C$7:$C$95,$D20,WRM!$X$7:$X$95)</f>
        <v>0</v>
      </c>
      <c r="Z20" s="758"/>
      <c r="AA20" s="3509">
        <f t="shared" si="4"/>
        <v>3142.65</v>
      </c>
      <c r="AB20" s="3605"/>
      <c r="AC20" s="1461">
        <f t="shared" si="5"/>
        <v>6758.85</v>
      </c>
      <c r="AD20" s="758"/>
      <c r="AE20" s="676">
        <f>+SUMIF(WRM!$C$7:$C$95,$D20,WRM!$AD$7:$AD$95)</f>
        <v>1639.9999999999995</v>
      </c>
      <c r="AF20" s="758"/>
      <c r="AG20" s="758">
        <f t="shared" si="6"/>
        <v>8398.85</v>
      </c>
      <c r="AH20" s="758"/>
      <c r="AI20" s="676">
        <f>+SUMIF(WRM!$C$7:$C$95,$D20,WRM!$AH$7:$AH$95)</f>
        <v>1119.3</v>
      </c>
      <c r="AJ20" s="753"/>
      <c r="AK20" s="753">
        <f t="shared" si="15"/>
        <v>9518.15</v>
      </c>
      <c r="AL20" s="758"/>
      <c r="AM20" s="676">
        <f>+SUMIF(WRM!$C$7:$C$95,$D20,WRM!$AL$7:$AL$95)</f>
        <v>1221.8</v>
      </c>
      <c r="AN20" s="758"/>
      <c r="AO20" s="3509">
        <f t="shared" si="8"/>
        <v>3981.0999999999995</v>
      </c>
      <c r="AP20" s="753"/>
      <c r="AQ20" s="753">
        <f t="shared" si="9"/>
        <v>10739.949999999999</v>
      </c>
      <c r="AR20" s="758"/>
      <c r="AS20" s="676">
        <f>+SUMIF(WRM!$C$7:$C$95,$D20,WRM!$AR$7:$AR$95)</f>
        <v>596.54999999999995</v>
      </c>
      <c r="AT20" s="753"/>
      <c r="AU20" s="753">
        <f t="shared" si="10"/>
        <v>11336.499999999998</v>
      </c>
      <c r="AV20" s="758"/>
      <c r="AW20" s="676">
        <f>+SUMIF(WRM!$C$7:$C$95,$D20,WRM!$AV$7:$AV$95)</f>
        <v>2006.9499999999991</v>
      </c>
      <c r="AX20" s="753"/>
      <c r="AY20" s="753">
        <f t="shared" si="11"/>
        <v>13343.449999999997</v>
      </c>
      <c r="AZ20" s="758"/>
      <c r="BA20" s="676">
        <f>+SUMIF(WRM!$C$7:$C$95,$D20,WRM!$AZ$7:$AZ$95)</f>
        <v>110.7</v>
      </c>
      <c r="BB20" s="758"/>
      <c r="BC20" s="3509">
        <f t="shared" si="12"/>
        <v>2714.1999999999989</v>
      </c>
      <c r="BD20" s="3605"/>
      <c r="BE20" s="1461">
        <f t="shared" si="13"/>
        <v>13454.149999999998</v>
      </c>
      <c r="BF20" s="753"/>
      <c r="BG20" s="753">
        <f t="shared" si="14"/>
        <v>13454.149999999998</v>
      </c>
    </row>
    <row r="21" spans="3:59" x14ac:dyDescent="0.3">
      <c r="C21" s="675" t="s">
        <v>17</v>
      </c>
      <c r="D21" s="2207" t="s">
        <v>1016</v>
      </c>
      <c r="E21" s="6452"/>
      <c r="F21" s="675"/>
      <c r="G21" s="676">
        <f>+SUMIF(WRM!$C$7:$C$95,$D21,WRM!$F$7:$F$95)</f>
        <v>6047.5</v>
      </c>
      <c r="H21" s="676"/>
      <c r="I21" s="676">
        <f>+SUMIF(WRM!$C$7:$C$95,$D21,WRM!$H$7:$H$95)</f>
        <v>1240.2499999999998</v>
      </c>
      <c r="J21" s="753"/>
      <c r="K21" s="753">
        <f t="shared" si="0"/>
        <v>7287.75</v>
      </c>
      <c r="L21" s="676"/>
      <c r="M21" s="676">
        <f>+SUMIF(WRM!$C$7:$C$95,$D21,WRM!$L$7:$L$95)</f>
        <v>3800.7000000000003</v>
      </c>
      <c r="N21" s="758"/>
      <c r="O21" s="758">
        <f t="shared" si="1"/>
        <v>11088.45</v>
      </c>
      <c r="P21" s="676"/>
      <c r="Q21" s="676">
        <f>+SUMIF(WRM!$C$7:$C$95,$D21,WRM!$P$7:$P$95)</f>
        <v>1589.21</v>
      </c>
      <c r="R21" s="758"/>
      <c r="S21" s="758">
        <f t="shared" si="2"/>
        <v>12677.66</v>
      </c>
      <c r="T21" s="676"/>
      <c r="U21" s="676">
        <f>+SUMIF(WRM!$C$7:$C$95,$D21,WRM!$T$7:$T$95)</f>
        <v>2394.4</v>
      </c>
      <c r="V21" s="758"/>
      <c r="W21" s="758">
        <f t="shared" si="3"/>
        <v>15072.06</v>
      </c>
      <c r="X21" s="758"/>
      <c r="Y21" s="676">
        <f>+SUMIF(WRM!$C$7:$C$95,$D21,WRM!$X$7:$X$95)</f>
        <v>2689.6</v>
      </c>
      <c r="Z21" s="758"/>
      <c r="AA21" s="3509">
        <f t="shared" si="4"/>
        <v>6673.21</v>
      </c>
      <c r="AB21" s="3605"/>
      <c r="AC21" s="1461">
        <f t="shared" si="5"/>
        <v>17761.66</v>
      </c>
      <c r="AD21" s="758"/>
      <c r="AE21" s="676">
        <f>+SUMIF(WRM!$C$7:$C$95,$D21,WRM!$AD$7:$AD$95)</f>
        <v>2351.35</v>
      </c>
      <c r="AF21" s="758"/>
      <c r="AG21" s="758">
        <f t="shared" si="6"/>
        <v>20113.009999999998</v>
      </c>
      <c r="AH21" s="758"/>
      <c r="AI21" s="676">
        <f>+SUMIF(WRM!$C$7:$C$95,$D21,WRM!$AH$7:$AH$95)</f>
        <v>4015.9500000000025</v>
      </c>
      <c r="AJ21" s="753"/>
      <c r="AK21" s="753">
        <f t="shared" si="15"/>
        <v>24128.959999999999</v>
      </c>
      <c r="AL21" s="758"/>
      <c r="AM21" s="676">
        <f>+SUMIF(WRM!$C$7:$C$95,$D21,WRM!$AL$7:$AL$95)</f>
        <v>3751.5</v>
      </c>
      <c r="AN21" s="758"/>
      <c r="AO21" s="3509">
        <f t="shared" si="8"/>
        <v>10118.800000000003</v>
      </c>
      <c r="AP21" s="753"/>
      <c r="AQ21" s="753">
        <f t="shared" si="9"/>
        <v>27880.46</v>
      </c>
      <c r="AR21" s="758"/>
      <c r="AS21" s="676">
        <f>+SUMIF(WRM!$C$7:$C$95,$D21,WRM!$AR$7:$AR$95)</f>
        <v>5102.45</v>
      </c>
      <c r="AT21" s="753"/>
      <c r="AU21" s="753">
        <f t="shared" si="10"/>
        <v>32982.909999999996</v>
      </c>
      <c r="AV21" s="758"/>
      <c r="AW21" s="676">
        <f>+SUMIF(WRM!$C$7:$C$95,$D21,WRM!$AV$7:$AV$95)</f>
        <v>2537.9</v>
      </c>
      <c r="AX21" s="753"/>
      <c r="AY21" s="753">
        <f t="shared" si="11"/>
        <v>35520.81</v>
      </c>
      <c r="AZ21" s="758"/>
      <c r="BA21" s="676">
        <f>+SUMIF(WRM!$C$7:$C$95,$D21,WRM!$AZ$7:$AZ$95)</f>
        <v>6320.1499999999987</v>
      </c>
      <c r="BB21" s="758"/>
      <c r="BC21" s="3509">
        <f t="shared" si="12"/>
        <v>13960.5</v>
      </c>
      <c r="BD21" s="3605"/>
      <c r="BE21" s="1461">
        <f t="shared" si="13"/>
        <v>41840.959999999999</v>
      </c>
      <c r="BF21" s="753"/>
      <c r="BG21" s="753">
        <f t="shared" si="14"/>
        <v>41840.959999999999</v>
      </c>
    </row>
    <row r="22" spans="3:59" x14ac:dyDescent="0.3">
      <c r="C22" s="675" t="s">
        <v>17</v>
      </c>
      <c r="D22" s="2207" t="s">
        <v>1018</v>
      </c>
      <c r="E22" s="6452"/>
      <c r="F22" s="675"/>
      <c r="G22" s="676">
        <f>+SUMIF(WRM!$C$7:$C$95,$D22,WRM!$F$7:$F$95)</f>
        <v>5286.95</v>
      </c>
      <c r="H22" s="676"/>
      <c r="I22" s="676">
        <f>+SUMIF(WRM!$C$7:$C$95,$D22,WRM!$H$7:$H$95)</f>
        <v>7361.55</v>
      </c>
      <c r="J22" s="753"/>
      <c r="K22" s="753">
        <f t="shared" si="0"/>
        <v>12648.5</v>
      </c>
      <c r="L22" s="676"/>
      <c r="M22" s="676">
        <f>+SUMIF(WRM!$C$7:$C$95,$D22,WRM!$L$7:$L$95)</f>
        <v>6217.65</v>
      </c>
      <c r="N22" s="758"/>
      <c r="O22" s="758">
        <f t="shared" si="1"/>
        <v>18866.150000000001</v>
      </c>
      <c r="P22" s="676"/>
      <c r="Q22" s="676">
        <f>+SUMIF(WRM!$C$7:$C$95,$D22,WRM!$P$7:$P$95)</f>
        <v>9192.3799999999992</v>
      </c>
      <c r="R22" s="758"/>
      <c r="S22" s="758">
        <f t="shared" si="2"/>
        <v>28058.53</v>
      </c>
      <c r="T22" s="676"/>
      <c r="U22" s="676">
        <f>+SUMIF(WRM!$C$7:$C$95,$D22,WRM!$T$7:$T$95)</f>
        <v>4653.5000000000027</v>
      </c>
      <c r="V22" s="758"/>
      <c r="W22" s="758">
        <f t="shared" si="3"/>
        <v>32712.030000000002</v>
      </c>
      <c r="X22" s="758"/>
      <c r="Y22" s="676">
        <f>+SUMIF(WRM!$C$7:$C$95,$D22,WRM!$X$7:$X$95)</f>
        <v>9991.7000000000025</v>
      </c>
      <c r="Z22" s="758"/>
      <c r="AA22" s="3509">
        <f t="shared" si="4"/>
        <v>23837.58</v>
      </c>
      <c r="AB22" s="3605"/>
      <c r="AC22" s="1461">
        <f t="shared" si="5"/>
        <v>42703.73</v>
      </c>
      <c r="AD22" s="758"/>
      <c r="AE22" s="676">
        <f>+SUMIF(WRM!$C$7:$C$95,$D22,WRM!$AD$7:$AD$95)</f>
        <v>8591.5499999999993</v>
      </c>
      <c r="AF22" s="758"/>
      <c r="AG22" s="758">
        <f t="shared" si="6"/>
        <v>51295.28</v>
      </c>
      <c r="AH22" s="758"/>
      <c r="AI22" s="676">
        <f>+SUMIF(WRM!$C$7:$C$95,$D22,WRM!$AH$7:$AH$95)</f>
        <v>6439.0499999999993</v>
      </c>
      <c r="AJ22" s="753"/>
      <c r="AK22" s="753">
        <f t="shared" si="15"/>
        <v>57734.33</v>
      </c>
      <c r="AL22" s="758"/>
      <c r="AM22" s="676">
        <f>+SUMIF(WRM!$C$7:$C$95,$D22,WRM!$AL$7:$AL$95)</f>
        <v>6076.2</v>
      </c>
      <c r="AN22" s="758"/>
      <c r="AO22" s="3509">
        <f t="shared" si="8"/>
        <v>21106.799999999999</v>
      </c>
      <c r="AP22" s="753"/>
      <c r="AQ22" s="753">
        <f t="shared" si="9"/>
        <v>63810.53</v>
      </c>
      <c r="AR22" s="758"/>
      <c r="AS22" s="676">
        <f>+SUMIF(WRM!$C$7:$C$95,$D22,WRM!$AR$7:$AR$95)</f>
        <v>8050.35</v>
      </c>
      <c r="AT22" s="753"/>
      <c r="AU22" s="753">
        <f t="shared" si="10"/>
        <v>71860.88</v>
      </c>
      <c r="AV22" s="758"/>
      <c r="AW22" s="676">
        <f>+SUMIF(WRM!$C$7:$C$95,$D22,WRM!$AV$7:$AV$95)</f>
        <v>2287.8000000000002</v>
      </c>
      <c r="AX22" s="753"/>
      <c r="AY22" s="753">
        <f t="shared" si="11"/>
        <v>74148.680000000008</v>
      </c>
      <c r="AZ22" s="758"/>
      <c r="BA22" s="676">
        <f>+SUMIF(WRM!$C$7:$C$95,$D22,WRM!$AZ$7:$AZ$95)</f>
        <v>5186.5</v>
      </c>
      <c r="BB22" s="758"/>
      <c r="BC22" s="3509">
        <f t="shared" si="12"/>
        <v>15524.650000000001</v>
      </c>
      <c r="BD22" s="3605"/>
      <c r="BE22" s="1461">
        <f t="shared" si="13"/>
        <v>79335.179999999993</v>
      </c>
      <c r="BF22" s="753"/>
      <c r="BG22" s="753">
        <f t="shared" si="14"/>
        <v>79335.180000000008</v>
      </c>
    </row>
    <row r="23" spans="3:59" x14ac:dyDescent="0.3">
      <c r="C23" s="675" t="s">
        <v>17</v>
      </c>
      <c r="D23" s="2207" t="s">
        <v>1174</v>
      </c>
      <c r="E23" s="6452"/>
      <c r="F23" s="675"/>
      <c r="G23" s="676">
        <f>+SUMIF(WRM!$C$7:$C$95,$D23,WRM!$F$7:$F$95)</f>
        <v>151.69999999999999</v>
      </c>
      <c r="H23" s="676"/>
      <c r="I23" s="676">
        <f>+SUMIF(WRM!$C$7:$C$95,$D23,WRM!$H$7:$H$95)</f>
        <v>0</v>
      </c>
      <c r="J23" s="753"/>
      <c r="K23" s="753">
        <f t="shared" si="0"/>
        <v>151.69999999999999</v>
      </c>
      <c r="L23" s="676"/>
      <c r="M23" s="676">
        <f>+SUMIF(WRM!$C$7:$C$95,$D23,WRM!$L$7:$L$95)</f>
        <v>1232.05</v>
      </c>
      <c r="N23" s="758"/>
      <c r="O23" s="758">
        <f t="shared" si="1"/>
        <v>1383.75</v>
      </c>
      <c r="P23" s="676"/>
      <c r="Q23" s="676">
        <f>+SUMIF(WRM!$C$7:$C$95,$D23,WRM!$P$7:$P$95)</f>
        <v>0</v>
      </c>
      <c r="R23" s="758"/>
      <c r="S23" s="758">
        <f t="shared" si="2"/>
        <v>1383.75</v>
      </c>
      <c r="T23" s="676"/>
      <c r="U23" s="676">
        <f>+SUMIF(WRM!$C$7:$C$95,$D23,WRM!$T$7:$T$95)</f>
        <v>799.49999999999989</v>
      </c>
      <c r="V23" s="758"/>
      <c r="W23" s="758">
        <f t="shared" si="3"/>
        <v>2183.25</v>
      </c>
      <c r="X23" s="758"/>
      <c r="Y23" s="676">
        <f>+SUMIF(WRM!$C$7:$C$95,$D23,WRM!$X$7:$X$95)</f>
        <v>1324.2999999999997</v>
      </c>
      <c r="Z23" s="758"/>
      <c r="AA23" s="3509">
        <f t="shared" si="4"/>
        <v>2123.7999999999997</v>
      </c>
      <c r="AB23" s="3605"/>
      <c r="AC23" s="1461">
        <f t="shared" si="5"/>
        <v>3507.5499999999997</v>
      </c>
      <c r="AD23" s="758"/>
      <c r="AE23" s="676">
        <f>+SUMIF(WRM!$C$7:$C$95,$D23,WRM!$AD$7:$AD$95)</f>
        <v>0</v>
      </c>
      <c r="AF23" s="758"/>
      <c r="AG23" s="758">
        <f t="shared" si="6"/>
        <v>3507.5499999999997</v>
      </c>
      <c r="AH23" s="758"/>
      <c r="AI23" s="676">
        <f>+SUMIF(WRM!$C$7:$C$95,$D23,WRM!$AH$7:$AH$95)</f>
        <v>0</v>
      </c>
      <c r="AJ23" s="753"/>
      <c r="AK23" s="753">
        <f t="shared" si="15"/>
        <v>3507.5499999999997</v>
      </c>
      <c r="AL23" s="758"/>
      <c r="AM23" s="676">
        <f>+SUMIF(WRM!$C$7:$C$95,$D23,WRM!$AL$7:$AL$95)</f>
        <v>0</v>
      </c>
      <c r="AN23" s="758"/>
      <c r="AO23" s="3509">
        <f t="shared" si="8"/>
        <v>0</v>
      </c>
      <c r="AP23" s="753"/>
      <c r="AQ23" s="753">
        <f t="shared" si="9"/>
        <v>3507.5499999999997</v>
      </c>
      <c r="AR23" s="758"/>
      <c r="AS23" s="676">
        <f>+SUMIF(WRM!$C$7:$C$95,$D23,WRM!$AR$7:$AR$95)</f>
        <v>430.50000000000006</v>
      </c>
      <c r="AT23" s="753"/>
      <c r="AU23" s="753">
        <f t="shared" si="10"/>
        <v>3938.0499999999997</v>
      </c>
      <c r="AV23" s="758"/>
      <c r="AW23" s="676">
        <f>+SUMIF(WRM!$C$7:$C$95,$D23,WRM!$AV$7:$AV$95)</f>
        <v>1022.95</v>
      </c>
      <c r="AX23" s="753"/>
      <c r="AY23" s="753">
        <f t="shared" si="11"/>
        <v>4961</v>
      </c>
      <c r="AZ23" s="758"/>
      <c r="BA23" s="676">
        <f>+SUMIF(WRM!$C$7:$C$95,$D23,WRM!$AZ$7:$AZ$95)</f>
        <v>920.45</v>
      </c>
      <c r="BB23" s="758"/>
      <c r="BC23" s="3509">
        <f t="shared" si="12"/>
        <v>2373.9</v>
      </c>
      <c r="BD23" s="3605"/>
      <c r="BE23" s="1461">
        <f t="shared" si="13"/>
        <v>5881.45</v>
      </c>
      <c r="BF23" s="753"/>
      <c r="BG23" s="753">
        <f t="shared" si="14"/>
        <v>5881.45</v>
      </c>
    </row>
    <row r="24" spans="3:59" x14ac:dyDescent="0.3">
      <c r="C24" s="675" t="s">
        <v>17</v>
      </c>
      <c r="D24" s="2207" t="s">
        <v>1085</v>
      </c>
      <c r="E24" s="6452"/>
      <c r="F24" s="675"/>
      <c r="G24" s="676">
        <f>+SUMIF(WRM!$C$7:$C$95,$D24,WRM!$F$7:$F$95)</f>
        <v>2035.65</v>
      </c>
      <c r="H24" s="676"/>
      <c r="I24" s="676">
        <f>+SUMIF(WRM!$C$7:$C$95,$D24,WRM!$H$7:$H$95)</f>
        <v>514.55000000000007</v>
      </c>
      <c r="J24" s="753"/>
      <c r="K24" s="753">
        <f t="shared" si="0"/>
        <v>2550.2000000000003</v>
      </c>
      <c r="L24" s="676"/>
      <c r="M24" s="676">
        <f>+SUMIF(WRM!$C$7:$C$95,$D24,WRM!$L$7:$L$95)</f>
        <v>241.9</v>
      </c>
      <c r="N24" s="758"/>
      <c r="O24" s="758">
        <f t="shared" si="1"/>
        <v>2792.1000000000004</v>
      </c>
      <c r="P24" s="676"/>
      <c r="Q24" s="676">
        <f>+SUMIF(WRM!$C$7:$C$95,$D24,WRM!$P$7:$P$95)</f>
        <v>2783.8999999999996</v>
      </c>
      <c r="R24" s="758"/>
      <c r="S24" s="758">
        <f t="shared" si="2"/>
        <v>5576</v>
      </c>
      <c r="T24" s="676"/>
      <c r="U24" s="676">
        <f>+SUMIF(WRM!$C$7:$C$95,$D24,WRM!$T$7:$T$95)</f>
        <v>586.29999999999984</v>
      </c>
      <c r="V24" s="758"/>
      <c r="W24" s="758">
        <f t="shared" si="3"/>
        <v>6162.3</v>
      </c>
      <c r="X24" s="758"/>
      <c r="Y24" s="676">
        <f>+SUMIF(WRM!$C$7:$C$95,$D24,WRM!$X$7:$X$95)</f>
        <v>1178.75</v>
      </c>
      <c r="Z24" s="758"/>
      <c r="AA24" s="3509">
        <f t="shared" si="4"/>
        <v>4548.9499999999989</v>
      </c>
      <c r="AB24" s="3605"/>
      <c r="AC24" s="1461">
        <f t="shared" si="5"/>
        <v>7341.0499999999993</v>
      </c>
      <c r="AD24" s="758"/>
      <c r="AE24" s="676">
        <f>+SUMIF(WRM!$C$7:$C$95,$D24,WRM!$AD$7:$AD$95)</f>
        <v>2790</v>
      </c>
      <c r="AF24" s="758"/>
      <c r="AG24" s="758">
        <f t="shared" si="6"/>
        <v>10131.049999999999</v>
      </c>
      <c r="AH24" s="758"/>
      <c r="AI24" s="676">
        <f>+SUMIF(WRM!$C$7:$C$95,$D24,WRM!$AH$7:$AH$95)</f>
        <v>416.15</v>
      </c>
      <c r="AJ24" s="753"/>
      <c r="AK24" s="753">
        <f t="shared" si="15"/>
        <v>10547.199999999999</v>
      </c>
      <c r="AL24" s="758"/>
      <c r="AM24" s="676">
        <f>+SUMIF(WRM!$C$7:$C$95,$D24,WRM!$AL$7:$AL$95)</f>
        <v>3726.9</v>
      </c>
      <c r="AN24" s="758"/>
      <c r="AO24" s="3509">
        <f t="shared" si="8"/>
        <v>6933.05</v>
      </c>
      <c r="AP24" s="753"/>
      <c r="AQ24" s="753">
        <f t="shared" si="9"/>
        <v>14274.099999999999</v>
      </c>
      <c r="AR24" s="758"/>
      <c r="AS24" s="676">
        <f>+SUMIF(WRM!$C$7:$C$95,$D24,WRM!$AR$7:$AR$95)</f>
        <v>889.7</v>
      </c>
      <c r="AT24" s="753"/>
      <c r="AU24" s="753">
        <f t="shared" si="10"/>
        <v>15163.8</v>
      </c>
      <c r="AV24" s="758"/>
      <c r="AW24" s="676">
        <f>+SUMIF(WRM!$C$7:$C$95,$D24,WRM!$AV$7:$AV$95)</f>
        <v>2064.3499999999995</v>
      </c>
      <c r="AX24" s="753"/>
      <c r="AY24" s="753">
        <f t="shared" si="11"/>
        <v>17228.149999999998</v>
      </c>
      <c r="AZ24" s="758"/>
      <c r="BA24" s="676">
        <f>+SUMIF(WRM!$C$7:$C$95,$D24,WRM!$AZ$7:$AZ$95)</f>
        <v>0</v>
      </c>
      <c r="BB24" s="758"/>
      <c r="BC24" s="3509">
        <f t="shared" si="12"/>
        <v>2954.0499999999993</v>
      </c>
      <c r="BD24" s="3605"/>
      <c r="BE24" s="1461">
        <f t="shared" si="13"/>
        <v>17228.149999999998</v>
      </c>
      <c r="BF24" s="753"/>
      <c r="BG24" s="753">
        <f t="shared" si="14"/>
        <v>17228.149999999998</v>
      </c>
    </row>
    <row r="25" spans="3:59" x14ac:dyDescent="0.3">
      <c r="C25" s="675" t="s">
        <v>17</v>
      </c>
      <c r="D25" s="2207" t="s">
        <v>1086</v>
      </c>
      <c r="E25" s="6452"/>
      <c r="F25" s="675"/>
      <c r="G25" s="676">
        <f>+SUMIF(WRM!$C$7:$C$95,$D25,WRM!$F$7:$F$95)</f>
        <v>3987.25</v>
      </c>
      <c r="H25" s="676"/>
      <c r="I25" s="676">
        <f>+SUMIF(WRM!$C$7:$C$95,$D25,WRM!$H$7:$H$95)</f>
        <v>539.15</v>
      </c>
      <c r="J25" s="753"/>
      <c r="K25" s="753">
        <f t="shared" si="0"/>
        <v>4526.3999999999996</v>
      </c>
      <c r="L25" s="676"/>
      <c r="M25" s="676">
        <f>+SUMIF(WRM!$C$7:$C$95,$D25,WRM!$L$7:$L$95)</f>
        <v>1693.3000000000002</v>
      </c>
      <c r="N25" s="758"/>
      <c r="O25" s="758">
        <f t="shared" si="1"/>
        <v>6219.7</v>
      </c>
      <c r="P25" s="676"/>
      <c r="Q25" s="676">
        <f>+SUMIF(WRM!$C$7:$C$95,$D25,WRM!$P$7:$P$95)</f>
        <v>1859.35</v>
      </c>
      <c r="R25" s="758"/>
      <c r="S25" s="758">
        <f t="shared" si="2"/>
        <v>8079.0499999999993</v>
      </c>
      <c r="T25" s="676"/>
      <c r="U25" s="676">
        <f>+SUMIF(WRM!$C$7:$C$95,$D25,WRM!$T$7:$T$95)</f>
        <v>2904.8499999999995</v>
      </c>
      <c r="V25" s="758"/>
      <c r="W25" s="758">
        <f t="shared" si="3"/>
        <v>10983.899999999998</v>
      </c>
      <c r="X25" s="758"/>
      <c r="Y25" s="676">
        <f>+SUMIF(WRM!$C$7:$C$95,$D25,WRM!$X$7:$X$95)</f>
        <v>3001.2</v>
      </c>
      <c r="Z25" s="758"/>
      <c r="AA25" s="3509">
        <f t="shared" si="4"/>
        <v>7765.3999999999987</v>
      </c>
      <c r="AB25" s="3605"/>
      <c r="AC25" s="1461">
        <f t="shared" si="5"/>
        <v>13985.099999999999</v>
      </c>
      <c r="AD25" s="758"/>
      <c r="AE25" s="676">
        <f>+SUMIF(WRM!$C$7:$C$95,$D25,WRM!$AD$7:$AD$95)</f>
        <v>817.95</v>
      </c>
      <c r="AF25" s="758"/>
      <c r="AG25" s="758">
        <f t="shared" si="6"/>
        <v>14803.05</v>
      </c>
      <c r="AH25" s="758"/>
      <c r="AI25" s="676">
        <f>+SUMIF(WRM!$C$7:$C$95,$D25,WRM!$AH$7:$AH$95)</f>
        <v>1845</v>
      </c>
      <c r="AJ25" s="753"/>
      <c r="AK25" s="753">
        <f t="shared" si="15"/>
        <v>16648.05</v>
      </c>
      <c r="AL25" s="758"/>
      <c r="AM25" s="676">
        <f>+SUMIF(WRM!$C$7:$C$95,$D25,WRM!$AL$7:$AL$95)</f>
        <v>4136.9000000000005</v>
      </c>
      <c r="AN25" s="758"/>
      <c r="AO25" s="3509">
        <f t="shared" si="8"/>
        <v>6799.85</v>
      </c>
      <c r="AP25" s="753"/>
      <c r="AQ25" s="753">
        <f t="shared" si="9"/>
        <v>20784.95</v>
      </c>
      <c r="AR25" s="758"/>
      <c r="AS25" s="676">
        <f>+SUMIF(WRM!$C$7:$C$95,$D25,WRM!$AR$7:$AR$95)</f>
        <v>2191.4500000000003</v>
      </c>
      <c r="AT25" s="753"/>
      <c r="AU25" s="753">
        <f t="shared" si="10"/>
        <v>22976.400000000001</v>
      </c>
      <c r="AV25" s="758"/>
      <c r="AW25" s="676">
        <f>+SUMIF(WRM!$C$7:$C$95,$D25,WRM!$AV$7:$AV$95)</f>
        <v>1976.1999999999998</v>
      </c>
      <c r="AX25" s="753"/>
      <c r="AY25" s="753">
        <f t="shared" si="11"/>
        <v>24952.600000000002</v>
      </c>
      <c r="AZ25" s="758"/>
      <c r="BA25" s="676">
        <f>+SUMIF(WRM!$C$7:$C$95,$D25,WRM!$AZ$7:$AZ$95)</f>
        <v>0</v>
      </c>
      <c r="BB25" s="758"/>
      <c r="BC25" s="3509">
        <f t="shared" si="12"/>
        <v>4167.6499999999996</v>
      </c>
      <c r="BD25" s="3605"/>
      <c r="BE25" s="1461">
        <f t="shared" si="13"/>
        <v>24952.6</v>
      </c>
      <c r="BF25" s="753"/>
      <c r="BG25" s="753">
        <f t="shared" si="14"/>
        <v>24952.600000000002</v>
      </c>
    </row>
    <row r="26" spans="3:59" x14ac:dyDescent="0.3">
      <c r="C26" s="675" t="s">
        <v>17</v>
      </c>
      <c r="D26" s="2207" t="s">
        <v>1799</v>
      </c>
      <c r="E26" s="6452"/>
      <c r="F26" s="675"/>
      <c r="G26" s="676">
        <f>+SUMIF(WRM!$C$7:$C$95,$D26,WRM!$F$7:$F$95)</f>
        <v>100.45</v>
      </c>
      <c r="H26" s="676"/>
      <c r="I26" s="676">
        <f>+SUMIF(WRM!$C$7:$C$95,$D26,WRM!$H$7:$H$95)</f>
        <v>0</v>
      </c>
      <c r="J26" s="753"/>
      <c r="K26" s="753">
        <f t="shared" si="0"/>
        <v>100.45</v>
      </c>
      <c r="L26" s="676"/>
      <c r="M26" s="676">
        <f>+SUMIF(WRM!$C$7:$C$95,$D26,WRM!$L$7:$L$95)</f>
        <v>0</v>
      </c>
      <c r="N26" s="758"/>
      <c r="O26" s="758">
        <f t="shared" si="1"/>
        <v>100.45</v>
      </c>
      <c r="P26" s="676"/>
      <c r="Q26" s="676">
        <f>+SUMIF(WRM!$C$7:$C$95,$D26,WRM!$P$7:$P$95)</f>
        <v>0</v>
      </c>
      <c r="R26" s="758"/>
      <c r="S26" s="758">
        <f t="shared" si="2"/>
        <v>100.45</v>
      </c>
      <c r="T26" s="676"/>
      <c r="U26" s="676">
        <f>+SUMIF(WRM!$C$7:$C$95,$D26,WRM!$T$7:$T$95)</f>
        <v>0</v>
      </c>
      <c r="V26" s="758"/>
      <c r="W26" s="758">
        <f t="shared" si="3"/>
        <v>100.45</v>
      </c>
      <c r="X26" s="758"/>
      <c r="Y26" s="676">
        <f>+SUMIF(WRM!$C$7:$C$95,$D26,WRM!$X$7:$X$95)</f>
        <v>0</v>
      </c>
      <c r="Z26" s="758"/>
      <c r="AA26" s="3509">
        <f t="shared" si="4"/>
        <v>0</v>
      </c>
      <c r="AB26" s="3605"/>
      <c r="AC26" s="1461">
        <f t="shared" si="5"/>
        <v>100.45</v>
      </c>
      <c r="AD26" s="758"/>
      <c r="AE26" s="676">
        <f>+SUMIF(WRM!$C$7:$C$95,$D26,WRM!$AD$7:$AD$95)</f>
        <v>0</v>
      </c>
      <c r="AF26" s="758"/>
      <c r="AG26" s="758">
        <f t="shared" si="6"/>
        <v>100.45</v>
      </c>
      <c r="AH26" s="758"/>
      <c r="AI26" s="676">
        <f>+SUMIF(WRM!$C$7:$C$95,$D26,WRM!$AH$7:$AH$95)</f>
        <v>0</v>
      </c>
      <c r="AJ26" s="753"/>
      <c r="AK26" s="753">
        <f t="shared" si="15"/>
        <v>100.45</v>
      </c>
      <c r="AL26" s="758"/>
      <c r="AM26" s="676">
        <f>+SUMIF(WRM!$C$7:$C$95,$D26,WRM!$AL$7:$AL$95)</f>
        <v>0</v>
      </c>
      <c r="AN26" s="758"/>
      <c r="AO26" s="3509">
        <f t="shared" si="8"/>
        <v>0</v>
      </c>
      <c r="AP26" s="753"/>
      <c r="AQ26" s="753">
        <f t="shared" si="9"/>
        <v>100.45</v>
      </c>
      <c r="AR26" s="758"/>
      <c r="AS26" s="676">
        <f>+SUMIF(WRM!$C$7:$C$95,$D26,WRM!$AR$7:$AR$95)</f>
        <v>0</v>
      </c>
      <c r="AT26" s="753"/>
      <c r="AU26" s="753">
        <f t="shared" si="10"/>
        <v>100.45</v>
      </c>
      <c r="AV26" s="758"/>
      <c r="AW26" s="676">
        <f>+SUMIF(WRM!$C$7:$C$95,$D26,WRM!$AV$7:$AV$95)</f>
        <v>0</v>
      </c>
      <c r="AX26" s="753"/>
      <c r="AY26" s="753">
        <f t="shared" si="11"/>
        <v>100.45</v>
      </c>
      <c r="AZ26" s="758"/>
      <c r="BA26" s="676">
        <f>+SUMIF(WRM!$C$7:$C$95,$D26,WRM!$AZ$7:$AZ$95)</f>
        <v>0</v>
      </c>
      <c r="BB26" s="758"/>
      <c r="BC26" s="3509">
        <f t="shared" si="12"/>
        <v>0</v>
      </c>
      <c r="BD26" s="3605"/>
      <c r="BE26" s="1461">
        <f t="shared" si="13"/>
        <v>100.45</v>
      </c>
      <c r="BF26" s="753"/>
      <c r="BG26" s="753">
        <f t="shared" si="14"/>
        <v>100.45</v>
      </c>
    </row>
    <row r="27" spans="3:59" x14ac:dyDescent="0.3">
      <c r="C27" s="675" t="s">
        <v>17</v>
      </c>
      <c r="D27" s="2207" t="s">
        <v>1529</v>
      </c>
      <c r="E27" s="6452"/>
      <c r="F27" s="675"/>
      <c r="G27" s="676">
        <f>+SUMIF(WRM!$C$7:$C$95,$D27,WRM!$F$7:$F$95)</f>
        <v>0</v>
      </c>
      <c r="H27" s="676"/>
      <c r="I27" s="676">
        <f>+SUMIF(WRM!$C$7:$C$95,$D27,WRM!$H$7:$H$95)</f>
        <v>67.650000000000006</v>
      </c>
      <c r="J27" s="753"/>
      <c r="K27" s="753">
        <f t="shared" si="0"/>
        <v>67.650000000000006</v>
      </c>
      <c r="L27" s="676"/>
      <c r="M27" s="676">
        <f>+SUMIF(WRM!$C$7:$C$95,$D27,WRM!$L$7:$L$95)</f>
        <v>0</v>
      </c>
      <c r="N27" s="758"/>
      <c r="O27" s="758">
        <f t="shared" si="1"/>
        <v>67.650000000000006</v>
      </c>
      <c r="P27" s="676"/>
      <c r="Q27" s="676">
        <f>+SUMIF(WRM!$C$7:$C$95,$D27,WRM!$P$7:$P$95)</f>
        <v>0</v>
      </c>
      <c r="R27" s="758"/>
      <c r="S27" s="758">
        <f t="shared" si="2"/>
        <v>67.650000000000006</v>
      </c>
      <c r="T27" s="676"/>
      <c r="U27" s="676">
        <f>+SUMIF(WRM!$C$7:$C$95,$D27,WRM!$T$7:$T$95)</f>
        <v>0</v>
      </c>
      <c r="V27" s="758"/>
      <c r="W27" s="758">
        <f t="shared" si="3"/>
        <v>67.650000000000006</v>
      </c>
      <c r="X27" s="758"/>
      <c r="Y27" s="676">
        <f>+SUMIF(WRM!$C$7:$C$95,$D27,WRM!$X$7:$X$95)</f>
        <v>0</v>
      </c>
      <c r="Z27" s="758"/>
      <c r="AA27" s="3509">
        <f t="shared" si="4"/>
        <v>0</v>
      </c>
      <c r="AB27" s="3605"/>
      <c r="AC27" s="1461">
        <f t="shared" si="5"/>
        <v>67.650000000000006</v>
      </c>
      <c r="AD27" s="758"/>
      <c r="AE27" s="676">
        <f>+SUMIF(WRM!$C$7:$C$95,$D27,WRM!$AD$7:$AD$95)</f>
        <v>0</v>
      </c>
      <c r="AF27" s="758"/>
      <c r="AG27" s="758">
        <f t="shared" si="6"/>
        <v>67.650000000000006</v>
      </c>
      <c r="AH27" s="758"/>
      <c r="AI27" s="676">
        <f>+SUMIF(WRM!$C$7:$C$95,$D27,WRM!$AH$7:$AH$95)</f>
        <v>0</v>
      </c>
      <c r="AJ27" s="753"/>
      <c r="AK27" s="753">
        <f t="shared" si="15"/>
        <v>67.650000000000006</v>
      </c>
      <c r="AL27" s="758"/>
      <c r="AM27" s="676">
        <f>+SUMIF(WRM!$C$7:$C$95,$D27,WRM!$AL$7:$AL$95)</f>
        <v>0</v>
      </c>
      <c r="AN27" s="758"/>
      <c r="AO27" s="3509">
        <f t="shared" si="8"/>
        <v>0</v>
      </c>
      <c r="AP27" s="753"/>
      <c r="AQ27" s="753">
        <f t="shared" si="9"/>
        <v>67.650000000000006</v>
      </c>
      <c r="AR27" s="758"/>
      <c r="AS27" s="676">
        <f>+SUMIF(WRM!$C$7:$C$95,$D27,WRM!$AR$7:$AR$95)</f>
        <v>0</v>
      </c>
      <c r="AT27" s="753"/>
      <c r="AU27" s="753">
        <f t="shared" si="10"/>
        <v>67.650000000000006</v>
      </c>
      <c r="AV27" s="758"/>
      <c r="AW27" s="676">
        <f>+SUMIF(WRM!$C$7:$C$95,$D27,WRM!$AV$7:$AV$95)</f>
        <v>0</v>
      </c>
      <c r="AX27" s="753"/>
      <c r="AY27" s="753">
        <f t="shared" si="11"/>
        <v>67.650000000000006</v>
      </c>
      <c r="AZ27" s="758"/>
      <c r="BA27" s="676">
        <f>+SUMIF(WRM!$C$7:$C$95,$D27,WRM!$AZ$7:$AZ$95)</f>
        <v>0</v>
      </c>
      <c r="BB27" s="758"/>
      <c r="BC27" s="3509">
        <f t="shared" si="12"/>
        <v>0</v>
      </c>
      <c r="BD27" s="3605"/>
      <c r="BE27" s="1461">
        <f t="shared" si="13"/>
        <v>67.650000000000006</v>
      </c>
      <c r="BF27" s="753"/>
      <c r="BG27" s="753">
        <f t="shared" si="14"/>
        <v>67.650000000000006</v>
      </c>
    </row>
    <row r="28" spans="3:59" x14ac:dyDescent="0.3">
      <c r="C28" s="675" t="s">
        <v>17</v>
      </c>
      <c r="D28" s="2207" t="s">
        <v>1624</v>
      </c>
      <c r="E28" s="6452"/>
      <c r="F28" s="675"/>
      <c r="G28" s="676">
        <f>+SUMIF(WRM!$C$7:$C$95,$D28,WRM!$F$7:$F$95)</f>
        <v>0</v>
      </c>
      <c r="H28" s="676"/>
      <c r="I28" s="676">
        <f>+SUMIF(WRM!$C$7:$C$95,$D28,WRM!$H$7:$H$95)</f>
        <v>0</v>
      </c>
      <c r="J28" s="753"/>
      <c r="K28" s="753">
        <f t="shared" si="0"/>
        <v>0</v>
      </c>
      <c r="L28" s="676"/>
      <c r="M28" s="676">
        <f>+SUMIF(WRM!$C$7:$C$95,$D28,WRM!$L$7:$L$95)</f>
        <v>305.45</v>
      </c>
      <c r="N28" s="758"/>
      <c r="O28" s="758">
        <f t="shared" si="1"/>
        <v>305.45</v>
      </c>
      <c r="P28" s="676"/>
      <c r="Q28" s="676">
        <f>+SUMIF(WRM!$C$7:$C$95,$D28,WRM!$P$7:$P$95)</f>
        <v>337.34999999999997</v>
      </c>
      <c r="R28" s="758"/>
      <c r="S28" s="758">
        <f t="shared" si="2"/>
        <v>642.79999999999995</v>
      </c>
      <c r="T28" s="676"/>
      <c r="U28" s="676">
        <f>+SUMIF(WRM!$C$7:$C$95,$D28,WRM!$T$7:$T$95)</f>
        <v>1539.55</v>
      </c>
      <c r="V28" s="758"/>
      <c r="W28" s="758">
        <f t="shared" si="3"/>
        <v>2182.35</v>
      </c>
      <c r="X28" s="758"/>
      <c r="Y28" s="676">
        <f>+SUMIF(WRM!$C$7:$C$95,$D28,WRM!$X$7:$X$95)</f>
        <v>514.54999999999995</v>
      </c>
      <c r="Z28" s="758"/>
      <c r="AA28" s="3509">
        <f t="shared" si="4"/>
        <v>2391.4499999999998</v>
      </c>
      <c r="AB28" s="3605"/>
      <c r="AC28" s="1461">
        <f t="shared" si="5"/>
        <v>2696.8999999999996</v>
      </c>
      <c r="AD28" s="758"/>
      <c r="AE28" s="676">
        <f>+SUMIF(WRM!$C$7:$C$95,$D28,WRM!$AD$7:$AD$95)</f>
        <v>0</v>
      </c>
      <c r="AF28" s="758"/>
      <c r="AG28" s="758">
        <f t="shared" si="6"/>
        <v>2696.8999999999996</v>
      </c>
      <c r="AH28" s="758"/>
      <c r="AI28" s="676">
        <f>+SUMIF(WRM!$C$7:$C$95,$D28,WRM!$AH$7:$AH$95)</f>
        <v>1719.9499999999998</v>
      </c>
      <c r="AJ28" s="753"/>
      <c r="AK28" s="753">
        <f t="shared" si="15"/>
        <v>4416.8499999999995</v>
      </c>
      <c r="AL28" s="758"/>
      <c r="AM28" s="676">
        <f>+SUMIF(WRM!$C$7:$C$95,$D28,WRM!$AL$7:$AL$95)</f>
        <v>688.8</v>
      </c>
      <c r="AN28" s="758"/>
      <c r="AO28" s="3509">
        <f t="shared" si="8"/>
        <v>2408.75</v>
      </c>
      <c r="AP28" s="753"/>
      <c r="AQ28" s="753">
        <f t="shared" si="9"/>
        <v>5105.6499999999996</v>
      </c>
      <c r="AR28" s="758"/>
      <c r="AS28" s="676">
        <f>+SUMIF(WRM!$C$7:$C$95,$D28,WRM!$AR$7:$AR$95)</f>
        <v>243.95</v>
      </c>
      <c r="AT28" s="753"/>
      <c r="AU28" s="753">
        <f t="shared" si="10"/>
        <v>5349.5999999999995</v>
      </c>
      <c r="AV28" s="758"/>
      <c r="AW28" s="676">
        <f>+SUMIF(WRM!$C$7:$C$95,$D28,WRM!$AV$7:$AV$95)</f>
        <v>86.1</v>
      </c>
      <c r="AX28" s="753"/>
      <c r="AY28" s="753">
        <f t="shared" si="11"/>
        <v>5435.7</v>
      </c>
      <c r="AZ28" s="758"/>
      <c r="BA28" s="676">
        <f>+SUMIF(WRM!$C$7:$C$95,$D28,WRM!$AZ$7:$AZ$95)</f>
        <v>0</v>
      </c>
      <c r="BB28" s="758"/>
      <c r="BC28" s="3509">
        <f t="shared" si="12"/>
        <v>330.04999999999995</v>
      </c>
      <c r="BD28" s="3605"/>
      <c r="BE28" s="1461">
        <f t="shared" si="13"/>
        <v>5435.7</v>
      </c>
      <c r="BF28" s="753"/>
      <c r="BG28" s="753">
        <f t="shared" si="14"/>
        <v>5435.7</v>
      </c>
    </row>
    <row r="29" spans="3:59" s="2455" customFormat="1" x14ac:dyDescent="0.3">
      <c r="C29" s="675" t="s">
        <v>17</v>
      </c>
      <c r="D29" s="2207" t="s">
        <v>1694</v>
      </c>
      <c r="E29" s="6452"/>
      <c r="F29" s="675"/>
      <c r="G29" s="676">
        <f>+SUMIF(WRM!$C$7:$C$95,$D29,WRM!$F$7:$F$95)</f>
        <v>0</v>
      </c>
      <c r="H29" s="676"/>
      <c r="I29" s="676">
        <f>+SUMIF(WRM!$C$7:$C$95,$D29,WRM!$H$7:$H$95)</f>
        <v>0</v>
      </c>
      <c r="J29" s="753"/>
      <c r="K29" s="753">
        <f t="shared" si="0"/>
        <v>0</v>
      </c>
      <c r="L29" s="676"/>
      <c r="M29" s="676">
        <f>+SUMIF(WRM!$C$7:$C$95,$D29,WRM!$L$7:$L$95)</f>
        <v>0</v>
      </c>
      <c r="N29" s="758"/>
      <c r="O29" s="758">
        <f t="shared" si="1"/>
        <v>0</v>
      </c>
      <c r="P29" s="676"/>
      <c r="Q29" s="676">
        <f>+SUMIF(WRM!$C$7:$C$95,$D29,WRM!$P$7:$P$95)</f>
        <v>277.47000000000003</v>
      </c>
      <c r="R29" s="758"/>
      <c r="S29" s="758">
        <f t="shared" si="2"/>
        <v>277.47000000000003</v>
      </c>
      <c r="T29" s="676"/>
      <c r="U29" s="676">
        <f>+SUMIF(WRM!$C$7:$C$95,$D29,WRM!$T$7:$T$95)</f>
        <v>0</v>
      </c>
      <c r="V29" s="758"/>
      <c r="W29" s="758">
        <f t="shared" si="3"/>
        <v>277.47000000000003</v>
      </c>
      <c r="X29" s="758"/>
      <c r="Y29" s="676">
        <f>+SUMIF(WRM!$C$7:$C$95,$D29,WRM!$X$7:$X$95)</f>
        <v>0</v>
      </c>
      <c r="Z29" s="758"/>
      <c r="AA29" s="3509">
        <f t="shared" si="4"/>
        <v>277.47000000000003</v>
      </c>
      <c r="AB29" s="3605"/>
      <c r="AC29" s="1461">
        <f t="shared" si="5"/>
        <v>277.47000000000003</v>
      </c>
      <c r="AD29" s="758"/>
      <c r="AE29" s="676">
        <f>+SUMIF(WRM!$C$7:$C$95,$D29,WRM!$AD$7:$AD$95)</f>
        <v>0</v>
      </c>
      <c r="AF29" s="758"/>
      <c r="AG29" s="758">
        <f t="shared" si="6"/>
        <v>277.47000000000003</v>
      </c>
      <c r="AH29" s="758"/>
      <c r="AI29" s="676">
        <f>+SUMIF(WRM!$C$7:$C$95,$D29,WRM!$AH$7:$AH$95)</f>
        <v>0</v>
      </c>
      <c r="AJ29" s="753"/>
      <c r="AK29" s="753">
        <f t="shared" si="15"/>
        <v>277.47000000000003</v>
      </c>
      <c r="AL29" s="758"/>
      <c r="AM29" s="676">
        <f>+SUMIF(WRM!$C$7:$C$95,$D29,WRM!$AL$7:$AL$95)</f>
        <v>0</v>
      </c>
      <c r="AN29" s="758"/>
      <c r="AO29" s="3509">
        <f t="shared" si="8"/>
        <v>0</v>
      </c>
      <c r="AP29" s="753"/>
      <c r="AQ29" s="753">
        <f t="shared" si="9"/>
        <v>277.47000000000003</v>
      </c>
      <c r="AR29" s="758"/>
      <c r="AS29" s="676">
        <f>+SUMIF(WRM!$C$7:$C$95,$D29,WRM!$AR$7:$AR$95)</f>
        <v>0</v>
      </c>
      <c r="AT29" s="753"/>
      <c r="AU29" s="753">
        <f t="shared" si="10"/>
        <v>277.47000000000003</v>
      </c>
      <c r="AV29" s="758"/>
      <c r="AW29" s="676">
        <f>+SUMIF(WRM!$C$7:$C$95,$D29,WRM!$AV$7:$AV$95)</f>
        <v>0</v>
      </c>
      <c r="AX29" s="753"/>
      <c r="AY29" s="753">
        <f t="shared" si="11"/>
        <v>277.47000000000003</v>
      </c>
      <c r="AZ29" s="758"/>
      <c r="BA29" s="676">
        <f>+SUMIF(WRM!$C$7:$C$95,$D29,WRM!$AZ$7:$AZ$95)</f>
        <v>0</v>
      </c>
      <c r="BB29" s="758"/>
      <c r="BC29" s="3509">
        <f t="shared" si="12"/>
        <v>0</v>
      </c>
      <c r="BD29" s="3605"/>
      <c r="BE29" s="1461">
        <f t="shared" si="13"/>
        <v>277.47000000000003</v>
      </c>
      <c r="BF29" s="753"/>
      <c r="BG29" s="753">
        <f t="shared" si="14"/>
        <v>277.47000000000003</v>
      </c>
    </row>
    <row r="30" spans="3:59" x14ac:dyDescent="0.3">
      <c r="C30" s="675" t="s">
        <v>17</v>
      </c>
      <c r="D30" s="2207" t="s">
        <v>1626</v>
      </c>
      <c r="E30" s="6452"/>
      <c r="F30" s="675"/>
      <c r="G30" s="676">
        <f>+SUMIF(WRM!$C$7:$C$95,$D30,WRM!$F$7:$F$95)</f>
        <v>0</v>
      </c>
      <c r="H30" s="676"/>
      <c r="I30" s="676">
        <f>+SUMIF(WRM!$C$7:$C$95,$D30,WRM!$H$7:$H$95)</f>
        <v>0</v>
      </c>
      <c r="J30" s="753"/>
      <c r="K30" s="753">
        <f t="shared" si="0"/>
        <v>0</v>
      </c>
      <c r="L30" s="676"/>
      <c r="M30" s="676">
        <f>+SUMIF(WRM!$C$7:$C$95,$D30,WRM!$L$7:$L$95)</f>
        <v>241.9</v>
      </c>
      <c r="N30" s="758"/>
      <c r="O30" s="758">
        <f t="shared" si="1"/>
        <v>241.9</v>
      </c>
      <c r="P30" s="676"/>
      <c r="Q30" s="676">
        <f>+SUMIF(WRM!$C$7:$C$95,$D30,WRM!$P$7:$P$95)</f>
        <v>1298.3599999999999</v>
      </c>
      <c r="R30" s="758"/>
      <c r="S30" s="758">
        <f t="shared" si="2"/>
        <v>1540.26</v>
      </c>
      <c r="T30" s="676"/>
      <c r="U30" s="676">
        <f>+SUMIF(WRM!$C$7:$C$95,$D30,WRM!$T$7:$T$95)</f>
        <v>1309.95</v>
      </c>
      <c r="V30" s="758"/>
      <c r="W30" s="758">
        <f t="shared" si="3"/>
        <v>2850.21</v>
      </c>
      <c r="X30" s="758"/>
      <c r="Y30" s="676">
        <f>+SUMIF(WRM!$C$7:$C$95,$D30,WRM!$X$7:$X$95)</f>
        <v>1301.75</v>
      </c>
      <c r="Z30" s="758"/>
      <c r="AA30" s="3509">
        <f t="shared" si="4"/>
        <v>3910.06</v>
      </c>
      <c r="AB30" s="3605"/>
      <c r="AC30" s="1461">
        <f t="shared" si="5"/>
        <v>4151.96</v>
      </c>
      <c r="AD30" s="758"/>
      <c r="AE30" s="676">
        <f>+SUMIF(WRM!$C$7:$C$95,$D30,WRM!$AD$7:$AD$95)</f>
        <v>1603.1</v>
      </c>
      <c r="AF30" s="758"/>
      <c r="AG30" s="758">
        <f t="shared" si="6"/>
        <v>5755.0599999999995</v>
      </c>
      <c r="AH30" s="758"/>
      <c r="AI30" s="676">
        <f>+SUMIF(WRM!$C$7:$C$95,$D30,WRM!$AH$7:$AH$95)</f>
        <v>725.7</v>
      </c>
      <c r="AJ30" s="753"/>
      <c r="AK30" s="753">
        <f t="shared" si="15"/>
        <v>6480.7599999999993</v>
      </c>
      <c r="AL30" s="758"/>
      <c r="AM30" s="676">
        <f>+SUMIF(WRM!$C$7:$C$95,$D30,WRM!$AL$7:$AL$95)</f>
        <v>981.95</v>
      </c>
      <c r="AN30" s="758"/>
      <c r="AO30" s="3509">
        <f t="shared" si="8"/>
        <v>3310.75</v>
      </c>
      <c r="AP30" s="753"/>
      <c r="AQ30" s="753">
        <f t="shared" si="9"/>
        <v>7462.7099999999991</v>
      </c>
      <c r="AR30" s="758"/>
      <c r="AS30" s="676">
        <f>+SUMIF(WRM!$C$7:$C$95,$D30,WRM!$AR$7:$AR$95)</f>
        <v>1215.6500000000001</v>
      </c>
      <c r="AT30" s="753"/>
      <c r="AU30" s="753">
        <f t="shared" si="10"/>
        <v>8678.3599999999988</v>
      </c>
      <c r="AV30" s="758"/>
      <c r="AW30" s="676">
        <f>+SUMIF(WRM!$C$7:$C$95,$D30,WRM!$AV$7:$AV$95)</f>
        <v>1939.3000000000002</v>
      </c>
      <c r="AX30" s="753"/>
      <c r="AY30" s="753">
        <f t="shared" si="11"/>
        <v>10617.66</v>
      </c>
      <c r="AZ30" s="758"/>
      <c r="BA30" s="676">
        <f>+SUMIF(WRM!$C$7:$C$95,$D30,WRM!$AZ$7:$AZ$95)</f>
        <v>0</v>
      </c>
      <c r="BB30" s="758"/>
      <c r="BC30" s="3509">
        <f t="shared" si="12"/>
        <v>3154.9500000000003</v>
      </c>
      <c r="BD30" s="3605"/>
      <c r="BE30" s="1461">
        <f t="shared" si="13"/>
        <v>10617.66</v>
      </c>
      <c r="BF30" s="753"/>
      <c r="BG30" s="753">
        <f t="shared" si="14"/>
        <v>10617.66</v>
      </c>
    </row>
    <row r="31" spans="3:59" x14ac:dyDescent="0.3">
      <c r="C31" s="6445" t="s">
        <v>1013</v>
      </c>
      <c r="D31" s="6445"/>
      <c r="E31" s="6452"/>
      <c r="F31" s="763"/>
      <c r="G31" s="764">
        <f>SUM(G4:G30)</f>
        <v>35881.149999999994</v>
      </c>
      <c r="H31" s="764"/>
      <c r="I31" s="764">
        <f>SUM(I4:I30)</f>
        <v>27746.750000000004</v>
      </c>
      <c r="J31" s="764"/>
      <c r="K31" s="765">
        <f>SUM(K4:K30)</f>
        <v>63627.899999999994</v>
      </c>
      <c r="L31" s="764"/>
      <c r="M31" s="764">
        <f>SUM(M4:M30)</f>
        <v>27188.55</v>
      </c>
      <c r="N31" s="764"/>
      <c r="O31" s="764">
        <f>SUM(O4:O30)</f>
        <v>90816.45</v>
      </c>
      <c r="P31" s="764"/>
      <c r="Q31" s="764">
        <f>SUM(Q4:Q30)</f>
        <v>33179.229999999996</v>
      </c>
      <c r="R31" s="764"/>
      <c r="S31" s="764">
        <f>SUM(S4:S30)</f>
        <v>123995.68</v>
      </c>
      <c r="T31" s="764"/>
      <c r="U31" s="764">
        <f>SUM(U4:U30)</f>
        <v>31781.150000000012</v>
      </c>
      <c r="V31" s="764"/>
      <c r="W31" s="764">
        <f>SUM(W4:W30)</f>
        <v>155776.82999999999</v>
      </c>
      <c r="X31" s="764"/>
      <c r="Y31" s="764">
        <f>SUM(Y4:Y30)</f>
        <v>39219.575000000004</v>
      </c>
      <c r="Z31" s="764"/>
      <c r="AA31" s="3510">
        <f>SUM(AA4:AA30)</f>
        <v>104179.955</v>
      </c>
      <c r="AB31" s="3605"/>
      <c r="AC31" s="3510">
        <f t="shared" si="5"/>
        <v>194996.405</v>
      </c>
      <c r="AD31" s="764"/>
      <c r="AE31" s="764">
        <f>SUM(AE4:AE30)</f>
        <v>40518.19999999999</v>
      </c>
      <c r="AF31" s="764"/>
      <c r="AG31" s="764">
        <f>SUM(AG4:AG30)</f>
        <v>235514.60499999998</v>
      </c>
      <c r="AH31" s="764"/>
      <c r="AI31" s="764">
        <f>SUM(AI4:AI30)</f>
        <v>33751.200000000004</v>
      </c>
      <c r="AJ31" s="764"/>
      <c r="AK31" s="764">
        <f>SUM(AK4:AK30)</f>
        <v>269265.80499999999</v>
      </c>
      <c r="AL31" s="764"/>
      <c r="AM31" s="764">
        <f>SUM(AM4:AM30)</f>
        <v>38548.200000000004</v>
      </c>
      <c r="AN31" s="764"/>
      <c r="AO31" s="3510">
        <f>SUM(AO4:AO30)</f>
        <v>112817.60000000001</v>
      </c>
      <c r="AP31" s="764"/>
      <c r="AQ31" s="764">
        <f>SUM(AQ4:AQ30)</f>
        <v>307814.00500000006</v>
      </c>
      <c r="AR31" s="764"/>
      <c r="AS31" s="764">
        <f>SUM(AS4:AS30)</f>
        <v>36417.75</v>
      </c>
      <c r="AT31" s="764"/>
      <c r="AU31" s="764">
        <f>SUM(AU4:AU30)</f>
        <v>344231.75499999995</v>
      </c>
      <c r="AV31" s="764"/>
      <c r="AW31" s="764">
        <f>SUM(AW4:AW30)</f>
        <v>31666.350000000002</v>
      </c>
      <c r="AX31" s="764"/>
      <c r="AY31" s="764">
        <f>SUM(AY4:AY30)</f>
        <v>375898.10499999998</v>
      </c>
      <c r="AZ31" s="764"/>
      <c r="BA31" s="764">
        <f>SUM(BA4:BA30)</f>
        <v>36106.649999999994</v>
      </c>
      <c r="BB31" s="764"/>
      <c r="BC31" s="3510">
        <f>SUM(BC4:BC30)</f>
        <v>104190.74999999999</v>
      </c>
      <c r="BD31" s="3605"/>
      <c r="BE31" s="3510">
        <f t="shared" si="13"/>
        <v>412004.75500000006</v>
      </c>
      <c r="BF31" s="764"/>
      <c r="BG31" s="764">
        <f>SUM(BG4:BG30)</f>
        <v>412004.755</v>
      </c>
    </row>
    <row r="32" spans="3:59" x14ac:dyDescent="0.3">
      <c r="C32" s="675" t="s">
        <v>93</v>
      </c>
      <c r="D32" s="675" t="s">
        <v>1090</v>
      </c>
      <c r="E32" s="6452"/>
      <c r="F32" s="675"/>
      <c r="G32" s="676">
        <f>+SUMIF(BM!$C$7:$C$39,$D32,BM!$F$7:$F$39)</f>
        <v>37130.228999999999</v>
      </c>
      <c r="H32" s="676"/>
      <c r="I32" s="676">
        <f>+SUMIF(BM!$C$7:$C$39,$D32,BM!$H$7:$H$39)</f>
        <v>22538.695000000011</v>
      </c>
      <c r="J32" s="753"/>
      <c r="K32" s="753">
        <f t="shared" ref="K32:K68" si="16">+G32+I32</f>
        <v>59668.924000000014</v>
      </c>
      <c r="L32" s="676"/>
      <c r="M32" s="676">
        <f>+SUMIF(BM!$C$7:$C$39,$D32,BM!$L$7:$L$39)</f>
        <v>24558.83400000001</v>
      </c>
      <c r="N32" s="758"/>
      <c r="O32" s="758">
        <f t="shared" ref="O32:O68" si="17">+G32+I32+M32</f>
        <v>84227.758000000031</v>
      </c>
      <c r="P32" s="676"/>
      <c r="Q32" s="676">
        <f>+SUMIF(BM!$C$7:$C$39,$D32,BM!$P$7:$P$39)</f>
        <v>40526.991000000067</v>
      </c>
      <c r="R32" s="758"/>
      <c r="S32" s="758">
        <f t="shared" si="2"/>
        <v>124754.7490000001</v>
      </c>
      <c r="T32" s="676"/>
      <c r="U32" s="676">
        <f>+SUMIF(BM!$C$7:$C$39,$D32,BM!$T$7:$T$39)</f>
        <v>41160.722000000016</v>
      </c>
      <c r="V32" s="758"/>
      <c r="W32" s="758">
        <f t="shared" ref="W32:W37" si="18">S32+U32</f>
        <v>165915.47100000011</v>
      </c>
      <c r="X32" s="758"/>
      <c r="Y32" s="676">
        <f>+SUMIF(BM!$C$7:$C$39,$D32,BM!$X$7:$X$39)</f>
        <v>28836.472000000031</v>
      </c>
      <c r="Z32" s="758"/>
      <c r="AA32" s="3509">
        <f>Q32+U32+Y32</f>
        <v>110524.18500000011</v>
      </c>
      <c r="AB32" s="3605"/>
      <c r="AC32" s="1461">
        <f t="shared" si="5"/>
        <v>194751.94300000014</v>
      </c>
      <c r="AD32" s="758"/>
      <c r="AE32" s="676">
        <f>+SUMIF(BM!$C$7:$C$39,$D32,BM!$AD$7:$AD$39)</f>
        <v>31215.88700000005</v>
      </c>
      <c r="AF32" s="758"/>
      <c r="AG32" s="758">
        <f t="shared" ref="AG32:AG37" si="19">AC32+AE32</f>
        <v>225967.83000000019</v>
      </c>
      <c r="AH32" s="758"/>
      <c r="AI32" s="676">
        <f>+SUMIF(BM!$C$7:$C$39,$D32,BM!$AH$7:$AH$39)</f>
        <v>33702.55100000005</v>
      </c>
      <c r="AJ32" s="758"/>
      <c r="AK32" s="753">
        <f t="shared" ref="AK32:AK37" si="20">AG32+AI32</f>
        <v>259670.38100000023</v>
      </c>
      <c r="AL32" s="758"/>
      <c r="AM32" s="676">
        <f>+SUMIF(BM!$C$7:$C$39,$D32,BM!$AL$7:$AL$39)</f>
        <v>27825.399000000001</v>
      </c>
      <c r="AN32" s="758"/>
      <c r="AO32" s="3509">
        <f>AE32+AI32+AM32</f>
        <v>92743.837000000101</v>
      </c>
      <c r="AP32" s="758"/>
      <c r="AQ32" s="753">
        <f t="shared" ref="AQ32:AQ37" si="21">AK32+AM32</f>
        <v>287495.7800000002</v>
      </c>
      <c r="AR32" s="758"/>
      <c r="AS32" s="676">
        <f>+SUMIF(BM!$C$7:$C$39,$D32,BM!$AR$7:$AR$39)</f>
        <v>30912.701000000034</v>
      </c>
      <c r="AT32" s="758"/>
      <c r="AU32" s="753">
        <f t="shared" ref="AU32:AU37" si="22">AQ32+AS32</f>
        <v>318408.48100000026</v>
      </c>
      <c r="AV32" s="758"/>
      <c r="AW32" s="676">
        <f>+SUMIF(BM!$C$7:$C$39,$D32,BM!$AV$7:$AV$39)</f>
        <v>28971.495000000043</v>
      </c>
      <c r="AX32" s="758"/>
      <c r="AY32" s="753">
        <f t="shared" ref="AY32:AY37" si="23">AU32+AW32</f>
        <v>347379.97600000032</v>
      </c>
      <c r="AZ32" s="758"/>
      <c r="BA32" s="676">
        <f>+SUMIF(BM!$C$7:$C$39,$D32,BM!$AZ$7:$AZ$39)</f>
        <v>30013.135000000013</v>
      </c>
      <c r="BB32" s="758"/>
      <c r="BC32" s="3509">
        <f>AS32+AW32+BA32</f>
        <v>89897.331000000093</v>
      </c>
      <c r="BD32" s="3605"/>
      <c r="BE32" s="1461">
        <f t="shared" si="13"/>
        <v>377393.11100000027</v>
      </c>
      <c r="BF32" s="758"/>
      <c r="BG32" s="753">
        <f t="shared" ref="BG32:BG37" si="24">AY32+BA32</f>
        <v>377393.11100000032</v>
      </c>
    </row>
    <row r="33" spans="3:59" x14ac:dyDescent="0.3">
      <c r="C33" s="675" t="s">
        <v>93</v>
      </c>
      <c r="D33" s="675" t="s">
        <v>1091</v>
      </c>
      <c r="E33" s="6452"/>
      <c r="F33" s="675"/>
      <c r="G33" s="676">
        <f>+SUMIF(BM!$C$7:$C$39,$D33,BM!$F$7:$F$39)</f>
        <v>14872.779999999999</v>
      </c>
      <c r="H33" s="676"/>
      <c r="I33" s="676">
        <f>+SUMIF(BM!$C$7:$C$39,$D33,BM!$H$7:$H$39)</f>
        <v>13948.264000000006</v>
      </c>
      <c r="J33" s="753"/>
      <c r="K33" s="753">
        <f t="shared" si="16"/>
        <v>28821.044000000005</v>
      </c>
      <c r="L33" s="676"/>
      <c r="M33" s="676">
        <f>+SUMIF(BM!$C$7:$C$39,$D33,BM!$L$7:$L$39)</f>
        <v>8272.3510000000024</v>
      </c>
      <c r="N33" s="758"/>
      <c r="O33" s="758">
        <f t="shared" si="17"/>
        <v>37093.395000000004</v>
      </c>
      <c r="P33" s="676"/>
      <c r="Q33" s="676">
        <f>+SUMIF(BM!$C$7:$C$39,$D33,BM!$P$7:$P$39)</f>
        <v>14876.690999999999</v>
      </c>
      <c r="R33" s="758"/>
      <c r="S33" s="758">
        <f t="shared" si="2"/>
        <v>51970.086000000003</v>
      </c>
      <c r="T33" s="676"/>
      <c r="U33" s="676">
        <f>+SUMIF(BM!$C$7:$C$39,$D33,BM!$T$7:$T$39)</f>
        <v>16348.530999999997</v>
      </c>
      <c r="V33" s="758"/>
      <c r="W33" s="758">
        <f t="shared" si="18"/>
        <v>68318.616999999998</v>
      </c>
      <c r="X33" s="758"/>
      <c r="Y33" s="676">
        <f>+SUMIF(BM!$C$7:$C$39,$D33,BM!$X$7:$X$39)</f>
        <v>8244.1290000000008</v>
      </c>
      <c r="Z33" s="758"/>
      <c r="AA33" s="3509">
        <f t="shared" ref="AA33:AA37" si="25">Q33+U33+Y33</f>
        <v>39469.350999999995</v>
      </c>
      <c r="AB33" s="3605"/>
      <c r="AC33" s="1461">
        <f t="shared" si="5"/>
        <v>76562.745999999999</v>
      </c>
      <c r="AD33" s="758"/>
      <c r="AE33" s="676">
        <f>+SUMIF(BM!$C$7:$C$39,$D33,BM!$AD$7:$AD$39)</f>
        <v>9063.5109999999986</v>
      </c>
      <c r="AF33" s="758"/>
      <c r="AG33" s="758">
        <f t="shared" si="19"/>
        <v>85626.256999999998</v>
      </c>
      <c r="AH33" s="758"/>
      <c r="AI33" s="676">
        <f>+SUMIF(BM!$C$7:$C$39,$D33,BM!$AH$7:$AH$39)</f>
        <v>16719.905999999999</v>
      </c>
      <c r="AJ33" s="758"/>
      <c r="AK33" s="753">
        <f t="shared" si="20"/>
        <v>102346.163</v>
      </c>
      <c r="AL33" s="758"/>
      <c r="AM33" s="676">
        <f>+SUMIF(BM!$C$7:$C$39,$D33,BM!$AL$7:$AL$39)</f>
        <v>16204.579999999998</v>
      </c>
      <c r="AN33" s="758"/>
      <c r="AO33" s="3509">
        <f t="shared" ref="AO33:AO37" si="26">AE33+AI33+AM33</f>
        <v>41987.996999999996</v>
      </c>
      <c r="AP33" s="758"/>
      <c r="AQ33" s="753">
        <f t="shared" si="21"/>
        <v>118550.743</v>
      </c>
      <c r="AR33" s="758"/>
      <c r="AS33" s="676">
        <f>+SUMIF(BM!$C$7:$C$39,$D33,BM!$AR$7:$AR$39)</f>
        <v>16289.030000000017</v>
      </c>
      <c r="AT33" s="758"/>
      <c r="AU33" s="753">
        <f t="shared" si="22"/>
        <v>134839.77300000002</v>
      </c>
      <c r="AV33" s="758"/>
      <c r="AW33" s="676">
        <f>+SUMIF(BM!$C$7:$C$39,$D33,BM!$AV$7:$AV$39)</f>
        <v>10589.052999999998</v>
      </c>
      <c r="AX33" s="758"/>
      <c r="AY33" s="753">
        <f t="shared" si="23"/>
        <v>145428.826</v>
      </c>
      <c r="AZ33" s="758"/>
      <c r="BA33" s="676">
        <f>+SUMIF(BM!$C$7:$C$39,$D33,BM!$AZ$7:$AZ$39)</f>
        <v>6615.5750000000016</v>
      </c>
      <c r="BB33" s="758"/>
      <c r="BC33" s="3509">
        <f t="shared" ref="BC33:BC37" si="27">AS33+AW33+BA33</f>
        <v>33493.658000000018</v>
      </c>
      <c r="BD33" s="3605"/>
      <c r="BE33" s="1461">
        <f t="shared" si="13"/>
        <v>152044.40100000001</v>
      </c>
      <c r="BF33" s="758"/>
      <c r="BG33" s="753">
        <f t="shared" si="24"/>
        <v>152044.40100000001</v>
      </c>
    </row>
    <row r="34" spans="3:59" x14ac:dyDescent="0.3">
      <c r="C34" s="675" t="s">
        <v>93</v>
      </c>
      <c r="D34" s="675" t="s">
        <v>1202</v>
      </c>
      <c r="E34" s="6452"/>
      <c r="F34" s="675"/>
      <c r="G34" s="676">
        <f>+SUMIF(BM!$C$7:$C$39,$D34,BM!$F$7:$F$39)</f>
        <v>14314.286</v>
      </c>
      <c r="H34" s="676"/>
      <c r="I34" s="676">
        <f>+SUMIF(BM!$C$7:$C$39,$D34,BM!$H$7:$H$39)</f>
        <v>17071.612000000008</v>
      </c>
      <c r="J34" s="753"/>
      <c r="K34" s="753">
        <f t="shared" si="16"/>
        <v>31385.898000000008</v>
      </c>
      <c r="L34" s="676"/>
      <c r="M34" s="676">
        <f>+SUMIF(BM!$C$7:$C$39,$D34,BM!$L$7:$L$39)</f>
        <v>18328.427000000007</v>
      </c>
      <c r="N34" s="758"/>
      <c r="O34" s="758">
        <f t="shared" si="17"/>
        <v>49714.325000000012</v>
      </c>
      <c r="P34" s="676"/>
      <c r="Q34" s="676">
        <f>+SUMIF(BM!$C$7:$C$39,$D34,BM!$P$7:$P$39)</f>
        <v>15533.971000000005</v>
      </c>
      <c r="R34" s="758"/>
      <c r="S34" s="758">
        <f t="shared" si="2"/>
        <v>65248.296000000017</v>
      </c>
      <c r="T34" s="676"/>
      <c r="U34" s="676">
        <f>+SUMIF(BM!$C$7:$C$39,$D34,BM!$T$7:$T$39)</f>
        <v>24041.448000000029</v>
      </c>
      <c r="V34" s="758"/>
      <c r="W34" s="758">
        <f t="shared" si="18"/>
        <v>89289.74400000005</v>
      </c>
      <c r="X34" s="758"/>
      <c r="Y34" s="676">
        <f>+SUMIF(BM!$C$7:$C$39,$D34,BM!$X$7:$X$39)</f>
        <v>29090.187000000053</v>
      </c>
      <c r="Z34" s="758"/>
      <c r="AA34" s="3509">
        <f t="shared" si="25"/>
        <v>68665.606000000087</v>
      </c>
      <c r="AB34" s="3605"/>
      <c r="AC34" s="1461">
        <f t="shared" si="5"/>
        <v>118379.9310000001</v>
      </c>
      <c r="AD34" s="758"/>
      <c r="AE34" s="676">
        <f>+SUMIF(BM!$C$7:$C$39,$D34,BM!$AD$7:$AD$39)</f>
        <v>20126.477000000021</v>
      </c>
      <c r="AF34" s="758"/>
      <c r="AG34" s="758">
        <f t="shared" si="19"/>
        <v>138506.40800000011</v>
      </c>
      <c r="AH34" s="758"/>
      <c r="AI34" s="676">
        <f>+SUMIF(BM!$C$7:$C$39,$D34,BM!$AH$7:$AH$39)</f>
        <v>6366.0849999999982</v>
      </c>
      <c r="AJ34" s="758"/>
      <c r="AK34" s="753">
        <f t="shared" si="20"/>
        <v>144872.4930000001</v>
      </c>
      <c r="AL34" s="758"/>
      <c r="AM34" s="676">
        <f>+SUMIF(BM!$C$7:$C$39,$D34,BM!$AL$7:$AL$39)</f>
        <v>20282.457999999999</v>
      </c>
      <c r="AN34" s="758"/>
      <c r="AO34" s="3509">
        <f t="shared" si="26"/>
        <v>46775.020000000019</v>
      </c>
      <c r="AP34" s="758"/>
      <c r="AQ34" s="753">
        <f t="shared" si="21"/>
        <v>165154.95100000012</v>
      </c>
      <c r="AR34" s="758"/>
      <c r="AS34" s="676">
        <f>+SUMIF(BM!$C$7:$C$39,$D34,BM!$AR$7:$AR$39)</f>
        <v>22580.890000000014</v>
      </c>
      <c r="AT34" s="758"/>
      <c r="AU34" s="753">
        <f t="shared" si="22"/>
        <v>187735.84100000013</v>
      </c>
      <c r="AV34" s="758"/>
      <c r="AW34" s="676">
        <f>+SUMIF(BM!$C$7:$C$39,$D34,BM!$AV$7:$AV$39)</f>
        <v>24343.687000000024</v>
      </c>
      <c r="AX34" s="758"/>
      <c r="AY34" s="753">
        <f t="shared" si="23"/>
        <v>212079.52800000017</v>
      </c>
      <c r="AZ34" s="758"/>
      <c r="BA34" s="676">
        <f>+SUMIF(BM!$C$7:$C$39,$D34,BM!$AZ$7:$AZ$39)</f>
        <v>32930.635000000075</v>
      </c>
      <c r="BB34" s="758"/>
      <c r="BC34" s="3509">
        <f t="shared" si="27"/>
        <v>79855.212000000116</v>
      </c>
      <c r="BD34" s="3605"/>
      <c r="BE34" s="1461">
        <f t="shared" si="13"/>
        <v>245010.16300000023</v>
      </c>
      <c r="BF34" s="758"/>
      <c r="BG34" s="753">
        <f t="shared" si="24"/>
        <v>245010.16300000023</v>
      </c>
    </row>
    <row r="35" spans="3:59" x14ac:dyDescent="0.3">
      <c r="C35" s="675" t="s">
        <v>93</v>
      </c>
      <c r="D35" s="675" t="s">
        <v>1177</v>
      </c>
      <c r="E35" s="6452"/>
      <c r="F35" s="675"/>
      <c r="G35" s="676">
        <f>+SUMIF(BM!$C$7:$C$39,$D35,BM!$F$7:$F$39)</f>
        <v>989.01099999999997</v>
      </c>
      <c r="H35" s="676"/>
      <c r="I35" s="676">
        <f>+SUMIF(BM!$C$7:$C$39,$D35,BM!$H$7:$H$39)</f>
        <v>0</v>
      </c>
      <c r="J35" s="753"/>
      <c r="K35" s="753">
        <f t="shared" si="16"/>
        <v>989.01099999999997</v>
      </c>
      <c r="L35" s="676"/>
      <c r="M35" s="676">
        <f>+SUMIF(BM!$C$7:$C$39,$D35,BM!$L$7:$L$39)</f>
        <v>0</v>
      </c>
      <c r="N35" s="758"/>
      <c r="O35" s="758">
        <f t="shared" si="17"/>
        <v>989.01099999999997</v>
      </c>
      <c r="P35" s="676"/>
      <c r="Q35" s="676">
        <f>+SUMIF(BM!$C$7:$C$39,$D35,BM!$P$7:$P$39)</f>
        <v>0</v>
      </c>
      <c r="R35" s="758"/>
      <c r="S35" s="758">
        <f t="shared" si="2"/>
        <v>989.01099999999997</v>
      </c>
      <c r="T35" s="676"/>
      <c r="U35" s="676">
        <f>+SUMIF(BM!$C$7:$C$39,$D35,BM!$T$7:$T$39)</f>
        <v>0</v>
      </c>
      <c r="V35" s="758"/>
      <c r="W35" s="758">
        <f t="shared" si="18"/>
        <v>989.01099999999997</v>
      </c>
      <c r="X35" s="758"/>
      <c r="Y35" s="676">
        <f>+SUMIF(BM!$C$7:$C$39,$D35,BM!$X$7:$X$39)</f>
        <v>0</v>
      </c>
      <c r="Z35" s="758"/>
      <c r="AA35" s="3509">
        <f t="shared" si="25"/>
        <v>0</v>
      </c>
      <c r="AB35" s="3605"/>
      <c r="AC35" s="1461">
        <f t="shared" si="5"/>
        <v>989.01099999999997</v>
      </c>
      <c r="AD35" s="758"/>
      <c r="AE35" s="676">
        <f>+SUMIF(BM!$C$7:$C$39,$D35,BM!$AD$7:$AD$39)</f>
        <v>0</v>
      </c>
      <c r="AF35" s="758"/>
      <c r="AG35" s="758">
        <f t="shared" si="19"/>
        <v>989.01099999999997</v>
      </c>
      <c r="AH35" s="758"/>
      <c r="AI35" s="676">
        <f>+SUMIF(BM!$C$7:$C$39,$D35,BM!$AH$7:$AH$39)</f>
        <v>640.08499999999992</v>
      </c>
      <c r="AJ35" s="758"/>
      <c r="AK35" s="753">
        <f t="shared" si="20"/>
        <v>1629.096</v>
      </c>
      <c r="AL35" s="758"/>
      <c r="AM35" s="676">
        <f>+SUMIF(BM!$C$7:$C$39,$D35,BM!$AL$7:$AL$39)</f>
        <v>3232.0349999999999</v>
      </c>
      <c r="AN35" s="758"/>
      <c r="AO35" s="3509">
        <f t="shared" si="26"/>
        <v>3872.12</v>
      </c>
      <c r="AP35" s="758"/>
      <c r="AQ35" s="753">
        <f t="shared" si="21"/>
        <v>4861.1309999999994</v>
      </c>
      <c r="AR35" s="758"/>
      <c r="AS35" s="676">
        <f>+SUMIF(BM!$C$7:$C$39,$D35,BM!$AR$7:$AR$39)</f>
        <v>509.20499999999993</v>
      </c>
      <c r="AT35" s="758"/>
      <c r="AU35" s="753">
        <f t="shared" si="22"/>
        <v>5370.3359999999993</v>
      </c>
      <c r="AV35" s="758"/>
      <c r="AW35" s="676">
        <f>+SUMIF(BM!$C$7:$C$39,$D35,BM!$AV$7:$AV$39)</f>
        <v>507.16</v>
      </c>
      <c r="AX35" s="758"/>
      <c r="AY35" s="753">
        <f t="shared" si="23"/>
        <v>5877.4959999999992</v>
      </c>
      <c r="AZ35" s="758"/>
      <c r="BA35" s="676">
        <f>+SUMIF(BM!$C$7:$C$39,$D35,BM!$AZ$7:$AZ$39)</f>
        <v>0</v>
      </c>
      <c r="BB35" s="758"/>
      <c r="BC35" s="3509">
        <f t="shared" si="27"/>
        <v>1016.365</v>
      </c>
      <c r="BD35" s="3605"/>
      <c r="BE35" s="1461">
        <f t="shared" si="13"/>
        <v>5877.4959999999992</v>
      </c>
      <c r="BF35" s="758"/>
      <c r="BG35" s="753">
        <f t="shared" si="24"/>
        <v>5877.4959999999992</v>
      </c>
    </row>
    <row r="36" spans="3:59" x14ac:dyDescent="0.3">
      <c r="C36" s="675" t="s">
        <v>93</v>
      </c>
      <c r="D36" s="675" t="s">
        <v>1092</v>
      </c>
      <c r="E36" s="6452"/>
      <c r="F36" s="675"/>
      <c r="G36" s="676">
        <f>+SUMIF(BM!$C$7:$C$39,$D36,BM!$F$7:$F$39)</f>
        <v>2738.4489999999996</v>
      </c>
      <c r="H36" s="676"/>
      <c r="I36" s="676">
        <f>+SUMIF(BM!$C$7:$C$39,$D36,BM!$H$7:$H$39)</f>
        <v>0</v>
      </c>
      <c r="J36" s="753"/>
      <c r="K36" s="753">
        <f t="shared" si="16"/>
        <v>2738.4489999999996</v>
      </c>
      <c r="L36" s="676"/>
      <c r="M36" s="676">
        <f>+SUMIF(BM!$C$7:$C$39,$D36,BM!$L$7:$L$39)</f>
        <v>2036.82</v>
      </c>
      <c r="N36" s="758"/>
      <c r="O36" s="758">
        <f t="shared" si="17"/>
        <v>4775.2689999999993</v>
      </c>
      <c r="P36" s="676"/>
      <c r="Q36" s="676">
        <f>+SUMIF(BM!$C$7:$C$39,$D36,BM!$P$7:$P$39)</f>
        <v>1018.4100000000001</v>
      </c>
      <c r="R36" s="758"/>
      <c r="S36" s="758">
        <f t="shared" si="2"/>
        <v>5793.6789999999992</v>
      </c>
      <c r="T36" s="676"/>
      <c r="U36" s="676">
        <f>+SUMIF(BM!$C$7:$C$39,$D36,BM!$T$7:$T$39)</f>
        <v>0</v>
      </c>
      <c r="V36" s="758"/>
      <c r="W36" s="758">
        <f t="shared" si="18"/>
        <v>5793.6789999999992</v>
      </c>
      <c r="X36" s="758"/>
      <c r="Y36" s="676">
        <f>+SUMIF(BM!$C$7:$C$39,$D36,BM!$X$7:$X$39)</f>
        <v>0</v>
      </c>
      <c r="Z36" s="758"/>
      <c r="AA36" s="3509">
        <f t="shared" si="25"/>
        <v>1018.4100000000001</v>
      </c>
      <c r="AB36" s="3605"/>
      <c r="AC36" s="1461">
        <f t="shared" si="5"/>
        <v>5793.6789999999992</v>
      </c>
      <c r="AD36" s="758"/>
      <c r="AE36" s="676">
        <f>+SUMIF(BM!$C$7:$C$39,$D36,BM!$AD$7:$AD$39)</f>
        <v>604.35500000000013</v>
      </c>
      <c r="AF36" s="758"/>
      <c r="AG36" s="758">
        <f t="shared" si="19"/>
        <v>6398.0339999999997</v>
      </c>
      <c r="AH36" s="758"/>
      <c r="AI36" s="676">
        <f>+SUMIF(BM!$C$7:$C$39,$D36,BM!$AH$7:$AH$39)</f>
        <v>1625.7750000000001</v>
      </c>
      <c r="AJ36" s="758"/>
      <c r="AK36" s="753">
        <f t="shared" si="20"/>
        <v>8023.8089999999993</v>
      </c>
      <c r="AL36" s="758"/>
      <c r="AM36" s="676">
        <f>+SUMIF(BM!$C$7:$C$39,$D36,BM!$AL$7:$AL$39)</f>
        <v>0</v>
      </c>
      <c r="AN36" s="758"/>
      <c r="AO36" s="3509">
        <f t="shared" si="26"/>
        <v>2230.13</v>
      </c>
      <c r="AP36" s="758"/>
      <c r="AQ36" s="753">
        <f t="shared" si="21"/>
        <v>8023.8089999999993</v>
      </c>
      <c r="AR36" s="758"/>
      <c r="AS36" s="676">
        <f>+SUMIF(BM!$C$7:$C$39,$D36,BM!$AR$7:$AR$39)</f>
        <v>0</v>
      </c>
      <c r="AT36" s="758"/>
      <c r="AU36" s="753">
        <f t="shared" si="22"/>
        <v>8023.8089999999993</v>
      </c>
      <c r="AV36" s="758"/>
      <c r="AW36" s="676">
        <f>+SUMIF(BM!$C$7:$C$39,$D36,BM!$AV$7:$AV$39)</f>
        <v>0</v>
      </c>
      <c r="AX36" s="758"/>
      <c r="AY36" s="753">
        <f t="shared" si="23"/>
        <v>8023.8089999999993</v>
      </c>
      <c r="AZ36" s="758"/>
      <c r="BA36" s="676">
        <f>+SUMIF(BM!$C$7:$C$39,$D36,BM!$AZ$7:$AZ$39)</f>
        <v>0</v>
      </c>
      <c r="BB36" s="758"/>
      <c r="BC36" s="3509">
        <f t="shared" si="27"/>
        <v>0</v>
      </c>
      <c r="BD36" s="3605"/>
      <c r="BE36" s="1461">
        <f t="shared" si="13"/>
        <v>8023.8089999999993</v>
      </c>
      <c r="BF36" s="758"/>
      <c r="BG36" s="753">
        <f t="shared" si="24"/>
        <v>8023.8089999999993</v>
      </c>
    </row>
    <row r="37" spans="3:59" x14ac:dyDescent="0.3">
      <c r="C37" s="675" t="s">
        <v>93</v>
      </c>
      <c r="D37" s="675" t="s">
        <v>1060</v>
      </c>
      <c r="E37" s="6452"/>
      <c r="F37" s="675"/>
      <c r="G37" s="676">
        <f>+SUMIF(BM!$C$7:$C$39,$D37,BM!$F$7:$F$39)</f>
        <v>0</v>
      </c>
      <c r="H37" s="676"/>
      <c r="I37" s="676">
        <f>+SUMIF(BM!$C$7:$C$39,$D37,BM!$H$7:$H$39)</f>
        <v>2502.9250000000002</v>
      </c>
      <c r="J37" s="753"/>
      <c r="K37" s="753">
        <f t="shared" si="16"/>
        <v>2502.9250000000002</v>
      </c>
      <c r="L37" s="676"/>
      <c r="M37" s="676">
        <f>+SUMIF(BM!$C$7:$C$39,$D37,BM!$L$7:$L$39)</f>
        <v>995.91499999999996</v>
      </c>
      <c r="N37" s="758"/>
      <c r="O37" s="758">
        <f t="shared" si="17"/>
        <v>3498.84</v>
      </c>
      <c r="P37" s="676"/>
      <c r="Q37" s="676">
        <f>+SUMIF(BM!$C$7:$C$39,$D37,BM!$P$7:$P$39)</f>
        <v>1889.58</v>
      </c>
      <c r="R37" s="758"/>
      <c r="S37" s="758">
        <f t="shared" si="2"/>
        <v>5388.42</v>
      </c>
      <c r="T37" s="676"/>
      <c r="U37" s="676">
        <f>+SUMIF(BM!$C$7:$C$39,$D37,BM!$T$7:$T$39)</f>
        <v>0</v>
      </c>
      <c r="V37" s="758"/>
      <c r="W37" s="758">
        <f t="shared" si="18"/>
        <v>5388.42</v>
      </c>
      <c r="X37" s="758"/>
      <c r="Y37" s="676">
        <f>+SUMIF(BM!$C$7:$C$39,$D37,BM!$X$7:$X$39)</f>
        <v>0</v>
      </c>
      <c r="Z37" s="758"/>
      <c r="AA37" s="3509">
        <f t="shared" si="25"/>
        <v>1889.58</v>
      </c>
      <c r="AB37" s="3605"/>
      <c r="AC37" s="1461">
        <f t="shared" si="5"/>
        <v>5388.42</v>
      </c>
      <c r="AD37" s="758"/>
      <c r="AE37" s="676">
        <f>+SUMIF(BM!$C$7:$C$39,$D37,BM!$AD$7:$AD$39)</f>
        <v>0</v>
      </c>
      <c r="AF37" s="758"/>
      <c r="AG37" s="758">
        <f t="shared" si="19"/>
        <v>5388.42</v>
      </c>
      <c r="AH37" s="758"/>
      <c r="AI37" s="676">
        <f>+SUMIF(BM!$C$7:$C$39,$D37,BM!$AH$7:$AH$39)</f>
        <v>0</v>
      </c>
      <c r="AJ37" s="758"/>
      <c r="AK37" s="753">
        <f t="shared" si="20"/>
        <v>5388.42</v>
      </c>
      <c r="AL37" s="758"/>
      <c r="AM37" s="676">
        <f>+SUMIF(BM!$C$7:$C$39,$D37,BM!$AL$7:$AL$39)</f>
        <v>0</v>
      </c>
      <c r="AN37" s="758"/>
      <c r="AO37" s="3509">
        <f t="shared" si="26"/>
        <v>0</v>
      </c>
      <c r="AP37" s="758"/>
      <c r="AQ37" s="753">
        <f t="shared" si="21"/>
        <v>5388.42</v>
      </c>
      <c r="AR37" s="758"/>
      <c r="AS37" s="676">
        <f>+SUMIF(BM!$C$7:$C$39,$D37,BM!$AR$7:$AR$39)</f>
        <v>613.5</v>
      </c>
      <c r="AT37" s="758"/>
      <c r="AU37" s="753">
        <f t="shared" si="22"/>
        <v>6001.92</v>
      </c>
      <c r="AV37" s="758"/>
      <c r="AW37" s="676">
        <f>+SUMIF(BM!$C$7:$C$39,$D37,BM!$AV$7:$AV$39)</f>
        <v>820.04499999999996</v>
      </c>
      <c r="AX37" s="758"/>
      <c r="AY37" s="753">
        <f t="shared" si="23"/>
        <v>6821.9650000000001</v>
      </c>
      <c r="AZ37" s="758"/>
      <c r="BA37" s="676">
        <f>+SUMIF(BM!$C$7:$C$39,$D37,BM!$AZ$7:$AZ$39)</f>
        <v>0</v>
      </c>
      <c r="BB37" s="758"/>
      <c r="BC37" s="3509">
        <f t="shared" si="27"/>
        <v>1433.5450000000001</v>
      </c>
      <c r="BD37" s="3605"/>
      <c r="BE37" s="1461">
        <f t="shared" si="13"/>
        <v>6821.9650000000001</v>
      </c>
      <c r="BF37" s="758"/>
      <c r="BG37" s="753">
        <f t="shared" si="24"/>
        <v>6821.9650000000001</v>
      </c>
    </row>
    <row r="38" spans="3:59" x14ac:dyDescent="0.3">
      <c r="C38" s="6445" t="s">
        <v>1014</v>
      </c>
      <c r="D38" s="6445"/>
      <c r="E38" s="6452"/>
      <c r="F38" s="763"/>
      <c r="G38" s="764">
        <f>SUM(G32:G37)</f>
        <v>70044.75499999999</v>
      </c>
      <c r="H38" s="764"/>
      <c r="I38" s="764">
        <f>SUM(I32:I37)</f>
        <v>56061.496000000028</v>
      </c>
      <c r="J38" s="764"/>
      <c r="K38" s="765">
        <f>SUM(K32:K37)</f>
        <v>126106.25100000003</v>
      </c>
      <c r="L38" s="764"/>
      <c r="M38" s="764">
        <f>SUM(M32:M37)</f>
        <v>54192.347000000023</v>
      </c>
      <c r="N38" s="764"/>
      <c r="O38" s="764">
        <f>SUM(O32:O37)</f>
        <v>180298.59800000006</v>
      </c>
      <c r="P38" s="764"/>
      <c r="Q38" s="764">
        <f>SUM(Q32:Q37)</f>
        <v>73845.643000000084</v>
      </c>
      <c r="R38" s="764"/>
      <c r="S38" s="764">
        <f>SUM(S32:S37)</f>
        <v>254144.24100000013</v>
      </c>
      <c r="T38" s="764"/>
      <c r="U38" s="764">
        <f>SUM(U32:U37)</f>
        <v>81550.701000000045</v>
      </c>
      <c r="V38" s="764"/>
      <c r="W38" s="764">
        <f>SUM(W32:W37)</f>
        <v>335694.94200000016</v>
      </c>
      <c r="X38" s="764"/>
      <c r="Y38" s="764">
        <f>SUM(Y32:Y37)</f>
        <v>66170.788000000088</v>
      </c>
      <c r="Z38" s="764"/>
      <c r="AA38" s="3510">
        <f>SUM(AA32:AA37)</f>
        <v>221567.13200000019</v>
      </c>
      <c r="AB38" s="3605"/>
      <c r="AC38" s="3510">
        <f t="shared" si="5"/>
        <v>401865.73000000021</v>
      </c>
      <c r="AD38" s="764"/>
      <c r="AE38" s="764">
        <f>SUM(AE32:AE37)</f>
        <v>61010.230000000069</v>
      </c>
      <c r="AF38" s="764"/>
      <c r="AG38" s="764">
        <f>SUM(AG32:AG37)</f>
        <v>462875.96000000025</v>
      </c>
      <c r="AH38" s="764"/>
      <c r="AI38" s="764">
        <f>SUM(AI32:AI37)</f>
        <v>59054.402000000053</v>
      </c>
      <c r="AJ38" s="764"/>
      <c r="AK38" s="764">
        <f>SUM(AK32:AK37)</f>
        <v>521930.36200000037</v>
      </c>
      <c r="AL38" s="764"/>
      <c r="AM38" s="764">
        <f>SUM(AM32:AM37)</f>
        <v>67544.471999999994</v>
      </c>
      <c r="AN38" s="764"/>
      <c r="AO38" s="3510">
        <f>SUM(AO32:AO37)</f>
        <v>187609.10400000011</v>
      </c>
      <c r="AP38" s="764"/>
      <c r="AQ38" s="764">
        <f>SUM(AQ32:AQ37)</f>
        <v>589474.8340000005</v>
      </c>
      <c r="AR38" s="764"/>
      <c r="AS38" s="764">
        <f>SUM(AS32:AS37)</f>
        <v>70905.326000000074</v>
      </c>
      <c r="AT38" s="764"/>
      <c r="AU38" s="764">
        <f>SUM(AU32:AU37)</f>
        <v>660380.1600000005</v>
      </c>
      <c r="AV38" s="764"/>
      <c r="AW38" s="764">
        <f>SUM(AW32:AW37)</f>
        <v>65231.440000000061</v>
      </c>
      <c r="AX38" s="764"/>
      <c r="AY38" s="764">
        <f>SUM(AY32:AY37)</f>
        <v>725611.60000000056</v>
      </c>
      <c r="AZ38" s="764"/>
      <c r="BA38" s="764">
        <f>SUM(BA32:BA37)</f>
        <v>69559.345000000088</v>
      </c>
      <c r="BB38" s="764"/>
      <c r="BC38" s="3510">
        <f>SUM(BC32:BC37)</f>
        <v>205696.11100000024</v>
      </c>
      <c r="BD38" s="3605"/>
      <c r="BE38" s="3510">
        <f t="shared" si="13"/>
        <v>795170.94500000076</v>
      </c>
      <c r="BF38" s="764"/>
      <c r="BG38" s="764">
        <f>SUM(BG32:BG37)</f>
        <v>795170.94500000053</v>
      </c>
    </row>
    <row r="39" spans="3:59" x14ac:dyDescent="0.3">
      <c r="C39" s="675" t="s">
        <v>112</v>
      </c>
      <c r="D39" s="675" t="s">
        <v>992</v>
      </c>
      <c r="E39" s="6452"/>
      <c r="F39" s="675"/>
      <c r="G39" s="676">
        <f>SUMIF(USM!$C$6:$C$58,$D39,USM!$G$6:$G$58)</f>
        <v>14878.199999999999</v>
      </c>
      <c r="H39" s="676"/>
      <c r="I39" s="676">
        <f>SUMIF(USM!$C$6:$C$58,$D39,USM!$I$6:$I$58)</f>
        <v>15117.103000000003</v>
      </c>
      <c r="J39" s="753"/>
      <c r="K39" s="753">
        <f t="shared" si="16"/>
        <v>29995.303</v>
      </c>
      <c r="L39" s="676"/>
      <c r="M39" s="676">
        <f>SUMIF(USM!$C$6:$C$58,$D39,USM!$M$6:$M$58)</f>
        <v>15377.061999999996</v>
      </c>
      <c r="N39" s="758"/>
      <c r="O39" s="758">
        <f t="shared" si="17"/>
        <v>45372.364999999998</v>
      </c>
      <c r="P39" s="676"/>
      <c r="Q39" s="676">
        <f>SUMIF(USM!$C$6:$C$58,$D39,USM!$Q$6:$Q$58)</f>
        <v>14361.878000000001</v>
      </c>
      <c r="R39" s="758"/>
      <c r="S39" s="758">
        <f t="shared" si="2"/>
        <v>59734.243000000002</v>
      </c>
      <c r="T39" s="676"/>
      <c r="U39" s="676">
        <f>SUMIF(USM!$C$6:$C$58,$D39,USM!$U$6:$U$58)</f>
        <v>17335.869000000002</v>
      </c>
      <c r="V39" s="758"/>
      <c r="W39" s="758">
        <f t="shared" ref="W39:W41" si="28">S39+U39</f>
        <v>77070.112000000008</v>
      </c>
      <c r="X39" s="758"/>
      <c r="Y39" s="676">
        <f>SUMIF(USM!$C$6:$C$58,$D39,USM!$Y$6:$Y$58)</f>
        <v>16909.89</v>
      </c>
      <c r="Z39" s="758"/>
      <c r="AA39" s="3509">
        <f>Q39+U39+Y39</f>
        <v>48607.637000000002</v>
      </c>
      <c r="AB39" s="3605"/>
      <c r="AC39" s="1461">
        <f t="shared" si="5"/>
        <v>93980.002000000008</v>
      </c>
      <c r="AD39" s="758"/>
      <c r="AE39" s="676">
        <f>SUMIF(USM!$C$6:$C$58,$D39,USM!$AE$6:$AE$58)</f>
        <v>19690.958999999999</v>
      </c>
      <c r="AF39" s="758"/>
      <c r="AG39" s="758">
        <f t="shared" ref="AG39:AG41" si="29">AC39+AE39</f>
        <v>113670.96100000001</v>
      </c>
      <c r="AH39" s="758"/>
      <c r="AI39" s="676">
        <f>SUMIF(USM!$C$6:$C$58,$D39,USM!$AI$6:$AI$58)</f>
        <v>23034.220720000001</v>
      </c>
      <c r="AJ39" s="758"/>
      <c r="AK39" s="753">
        <f t="shared" ref="AK39:AK41" si="30">AG39+AI39</f>
        <v>136705.18172000002</v>
      </c>
      <c r="AL39" s="758"/>
      <c r="AM39" s="676">
        <f>SUMIF(USM!$C$6:$C$58,$D39,USM!$AM$6:$AM$58)</f>
        <v>11110.331</v>
      </c>
      <c r="AN39" s="758"/>
      <c r="AO39" s="3509">
        <f>AE39+AI39+AM39</f>
        <v>53835.510719999998</v>
      </c>
      <c r="AP39" s="758"/>
      <c r="AQ39" s="753">
        <f t="shared" ref="AQ39:AQ41" si="31">AK39+AM39</f>
        <v>147815.51272000003</v>
      </c>
      <c r="AR39" s="758"/>
      <c r="AS39" s="676">
        <f>SUMIF(USM!$C$6:$C$58,$D39,USM!$AS$6:$AS$58)</f>
        <v>10405.336000000003</v>
      </c>
      <c r="AT39" s="758"/>
      <c r="AU39" s="753">
        <f t="shared" ref="AU39:AU41" si="32">AQ39+AS39</f>
        <v>158220.84872000004</v>
      </c>
      <c r="AV39" s="758"/>
      <c r="AW39" s="676">
        <f>SUMIF(USM!$C$6:$C$58,$D39,USM!$AW$6:$AW$58)</f>
        <v>14327.296</v>
      </c>
      <c r="AX39" s="758"/>
      <c r="AY39" s="753">
        <f t="shared" ref="AY39:AY41" si="33">AU39+AW39</f>
        <v>172548.14472000004</v>
      </c>
      <c r="AZ39" s="758"/>
      <c r="BA39" s="676">
        <f>SUMIF(USM!$C$6:$C$58,$D39,USM!$BA$6:$BA$58)</f>
        <v>13959.727999999999</v>
      </c>
      <c r="BB39" s="758"/>
      <c r="BC39" s="3509">
        <f>AS39+AW39+BA39</f>
        <v>38692.36</v>
      </c>
      <c r="BD39" s="3605"/>
      <c r="BE39" s="1461">
        <f t="shared" si="13"/>
        <v>186507.87272000004</v>
      </c>
      <c r="BF39" s="758"/>
      <c r="BG39" s="753">
        <f t="shared" ref="BG39:BG41" si="34">AY39+BA39</f>
        <v>186507.87272000004</v>
      </c>
    </row>
    <row r="40" spans="3:59" s="4136" customFormat="1" x14ac:dyDescent="0.3">
      <c r="C40" s="675" t="s">
        <v>112</v>
      </c>
      <c r="D40" s="675" t="s">
        <v>1835</v>
      </c>
      <c r="E40" s="6452"/>
      <c r="F40" s="675"/>
      <c r="G40" s="676"/>
      <c r="H40" s="676"/>
      <c r="I40" s="676"/>
      <c r="J40" s="753"/>
      <c r="K40" s="753"/>
      <c r="L40" s="676"/>
      <c r="M40" s="676"/>
      <c r="N40" s="758"/>
      <c r="O40" s="758"/>
      <c r="P40" s="676"/>
      <c r="Q40" s="676"/>
      <c r="R40" s="758"/>
      <c r="S40" s="758"/>
      <c r="T40" s="676"/>
      <c r="U40" s="676"/>
      <c r="V40" s="758"/>
      <c r="W40" s="758">
        <f t="shared" si="28"/>
        <v>0</v>
      </c>
      <c r="X40" s="758"/>
      <c r="Y40" s="676"/>
      <c r="Z40" s="758"/>
      <c r="AA40" s="3509">
        <f>Q40+U40+Y40</f>
        <v>0</v>
      </c>
      <c r="AB40" s="3605"/>
      <c r="AC40" s="1461">
        <f t="shared" si="5"/>
        <v>0</v>
      </c>
      <c r="AD40" s="758"/>
      <c r="AE40" s="676">
        <f>SUMIF(USM!$C$6:$C$58,$D40,USM!$AE$6:$AE$58)</f>
        <v>628.61199999999997</v>
      </c>
      <c r="AF40" s="758"/>
      <c r="AG40" s="758">
        <f t="shared" si="29"/>
        <v>628.61199999999997</v>
      </c>
      <c r="AH40" s="758"/>
      <c r="AI40" s="676">
        <f>SUMIF(USM!$C$6:$C$58,$D40,USM!$AI$6:$AI$58)</f>
        <v>101.32599999999999</v>
      </c>
      <c r="AJ40" s="758"/>
      <c r="AK40" s="753">
        <f t="shared" si="30"/>
        <v>729.93799999999999</v>
      </c>
      <c r="AL40" s="758"/>
      <c r="AM40" s="676">
        <f>SUMIF(USM!$C$6:$C$58,$D40,USM!$AM$6:$AM$58)</f>
        <v>0</v>
      </c>
      <c r="AN40" s="758"/>
      <c r="AO40" s="3509">
        <f>AE40+AI40+AM40</f>
        <v>729.93799999999999</v>
      </c>
      <c r="AP40" s="758"/>
      <c r="AQ40" s="753">
        <f t="shared" si="31"/>
        <v>729.93799999999999</v>
      </c>
      <c r="AR40" s="758"/>
      <c r="AS40" s="676">
        <f>SUMIF(USM!$C$6:$C$58,$D40,USM!$AS$6:$AS$58)</f>
        <v>0</v>
      </c>
      <c r="AT40" s="758"/>
      <c r="AU40" s="753">
        <f t="shared" si="32"/>
        <v>729.93799999999999</v>
      </c>
      <c r="AV40" s="758"/>
      <c r="AW40" s="676">
        <f>SUMIF(USM!$C$6:$C$58,$D40,USM!$AW$6:$AW$58)</f>
        <v>737.22399999999993</v>
      </c>
      <c r="AX40" s="758"/>
      <c r="AY40" s="753">
        <f t="shared" si="33"/>
        <v>1467.1619999999998</v>
      </c>
      <c r="AZ40" s="758"/>
      <c r="BA40" s="676">
        <f>SUMIF(USM!$C$6:$C$58,$D40,USM!$BA$6:$BA$58)</f>
        <v>0</v>
      </c>
      <c r="BB40" s="758"/>
      <c r="BC40" s="3509">
        <f>AS40+AW40+BA40</f>
        <v>737.22399999999993</v>
      </c>
      <c r="BD40" s="3605"/>
      <c r="BE40" s="1461">
        <f t="shared" si="13"/>
        <v>1467.1619999999998</v>
      </c>
      <c r="BF40" s="758"/>
      <c r="BG40" s="753">
        <f t="shared" si="34"/>
        <v>1467.1619999999998</v>
      </c>
    </row>
    <row r="41" spans="3:59" s="4008" customFormat="1" x14ac:dyDescent="0.3">
      <c r="C41" s="675" t="s">
        <v>112</v>
      </c>
      <c r="D41" s="675" t="s">
        <v>1809</v>
      </c>
      <c r="E41" s="6452"/>
      <c r="F41" s="675"/>
      <c r="G41" s="676"/>
      <c r="H41" s="676"/>
      <c r="I41" s="676"/>
      <c r="J41" s="753"/>
      <c r="K41" s="753"/>
      <c r="L41" s="676"/>
      <c r="M41" s="676"/>
      <c r="N41" s="758"/>
      <c r="O41" s="758"/>
      <c r="P41" s="676"/>
      <c r="Q41" s="676"/>
      <c r="R41" s="758"/>
      <c r="S41" s="758"/>
      <c r="T41" s="676"/>
      <c r="U41" s="676"/>
      <c r="V41" s="758"/>
      <c r="W41" s="758">
        <f t="shared" si="28"/>
        <v>0</v>
      </c>
      <c r="X41" s="758"/>
      <c r="Y41" s="676">
        <f>SUMIF(USM!$C$6:$C$58,$D41,USM!$Y$6:$Y$58)</f>
        <v>622.11599999999999</v>
      </c>
      <c r="Z41" s="758"/>
      <c r="AA41" s="3509">
        <f>Q41+U41+Y41</f>
        <v>622.11599999999999</v>
      </c>
      <c r="AB41" s="3605"/>
      <c r="AC41" s="1461">
        <f t="shared" si="5"/>
        <v>622.11599999999999</v>
      </c>
      <c r="AD41" s="758"/>
      <c r="AE41" s="676">
        <f>SUMIF(USM!$C$6:$C$58,$D41,USM!$AE$6:$AE$58)</f>
        <v>0</v>
      </c>
      <c r="AF41" s="758"/>
      <c r="AG41" s="758">
        <f t="shared" si="29"/>
        <v>622.11599999999999</v>
      </c>
      <c r="AH41" s="758"/>
      <c r="AI41" s="676">
        <f>SUMIF(USM!$C$6:$C$58,$D41,USM!$AI$6:$AI$58)</f>
        <v>0</v>
      </c>
      <c r="AJ41" s="758"/>
      <c r="AK41" s="753">
        <f t="shared" si="30"/>
        <v>622.11599999999999</v>
      </c>
      <c r="AL41" s="758"/>
      <c r="AM41" s="676">
        <f>SUMIF(USM!$C$6:$C$58,$D41,USM!$AM$6:$AM$58)</f>
        <v>451.67500000000001</v>
      </c>
      <c r="AN41" s="758"/>
      <c r="AO41" s="3509">
        <f>AE41+AI41+AM41</f>
        <v>451.67500000000001</v>
      </c>
      <c r="AP41" s="758"/>
      <c r="AQ41" s="753">
        <f t="shared" si="31"/>
        <v>1073.7909999999999</v>
      </c>
      <c r="AR41" s="758"/>
      <c r="AS41" s="676">
        <f>SUMIF(USM!$C$6:$C$58,$D41,USM!$AS$6:$AS$58)</f>
        <v>0</v>
      </c>
      <c r="AT41" s="758"/>
      <c r="AU41" s="753">
        <f t="shared" si="32"/>
        <v>1073.7909999999999</v>
      </c>
      <c r="AV41" s="758"/>
      <c r="AW41" s="676">
        <f>SUMIF(USM!$C$6:$C$58,$D41,USM!$AW$6:$AW$58)</f>
        <v>640.81500000000005</v>
      </c>
      <c r="AX41" s="758"/>
      <c r="AY41" s="753">
        <f t="shared" si="33"/>
        <v>1714.606</v>
      </c>
      <c r="AZ41" s="758"/>
      <c r="BA41" s="676">
        <f>SUMIF(USM!$C$6:$C$58,$D41,USM!$BA$6:$BA$58)</f>
        <v>1167.4950000000001</v>
      </c>
      <c r="BB41" s="758"/>
      <c r="BC41" s="3509">
        <f>AS41+AW41+BA41</f>
        <v>1808.3100000000002</v>
      </c>
      <c r="BD41" s="3605"/>
      <c r="BE41" s="1461">
        <f t="shared" si="13"/>
        <v>2882.1010000000001</v>
      </c>
      <c r="BF41" s="758"/>
      <c r="BG41" s="753">
        <f t="shared" si="34"/>
        <v>2882.1010000000001</v>
      </c>
    </row>
    <row r="42" spans="3:59" x14ac:dyDescent="0.3">
      <c r="C42" s="6445" t="s">
        <v>1015</v>
      </c>
      <c r="D42" s="6445"/>
      <c r="E42" s="6452"/>
      <c r="F42" s="763"/>
      <c r="G42" s="764">
        <f>SUM(G39:G41)</f>
        <v>14878.199999999999</v>
      </c>
      <c r="H42" s="764"/>
      <c r="I42" s="764">
        <f>SUM(I39:I41)</f>
        <v>15117.103000000003</v>
      </c>
      <c r="J42" s="764"/>
      <c r="K42" s="765">
        <f>SUM(K39:K39)</f>
        <v>29995.303</v>
      </c>
      <c r="L42" s="764"/>
      <c r="M42" s="764">
        <f>SUM(M39:M41)</f>
        <v>15377.061999999996</v>
      </c>
      <c r="N42" s="764"/>
      <c r="O42" s="764">
        <f>SUM(O39:O41)</f>
        <v>45372.364999999998</v>
      </c>
      <c r="P42" s="764"/>
      <c r="Q42" s="764">
        <f>SUM(Q39:Q41)</f>
        <v>14361.878000000001</v>
      </c>
      <c r="R42" s="764"/>
      <c r="S42" s="764">
        <f>SUM(S39:S39)</f>
        <v>59734.243000000002</v>
      </c>
      <c r="T42" s="764"/>
      <c r="U42" s="764">
        <f>SUM(U39:U41)</f>
        <v>17335.869000000002</v>
      </c>
      <c r="V42" s="764"/>
      <c r="W42" s="764">
        <f>SUM(W39:W39)</f>
        <v>77070.112000000008</v>
      </c>
      <c r="X42" s="764"/>
      <c r="Y42" s="764">
        <f>SUM(Y39:Y41)</f>
        <v>17532.006000000001</v>
      </c>
      <c r="Z42" s="764"/>
      <c r="AA42" s="3510">
        <f>SUM(AA39:AA41)</f>
        <v>49229.753000000004</v>
      </c>
      <c r="AB42" s="3605"/>
      <c r="AC42" s="3510">
        <f>SUM(AC39:AC41)</f>
        <v>94602.118000000002</v>
      </c>
      <c r="AD42" s="764"/>
      <c r="AE42" s="764">
        <f>SUM(AE39:AE41)</f>
        <v>20319.571</v>
      </c>
      <c r="AF42" s="764"/>
      <c r="AG42" s="764">
        <f>SUM(AG39:AG39)</f>
        <v>113670.96100000001</v>
      </c>
      <c r="AH42" s="764"/>
      <c r="AI42" s="764">
        <f>SUM(AI39:AI41)</f>
        <v>23135.546720000002</v>
      </c>
      <c r="AJ42" s="764"/>
      <c r="AK42" s="764">
        <f>SUM(AK39:AK39)</f>
        <v>136705.18172000002</v>
      </c>
      <c r="AL42" s="764"/>
      <c r="AM42" s="764">
        <f>SUM(AM39:AM41)</f>
        <v>11562.005999999999</v>
      </c>
      <c r="AN42" s="764"/>
      <c r="AO42" s="3510">
        <f>SUM(AO39:AO41)</f>
        <v>55017.123720000003</v>
      </c>
      <c r="AP42" s="764"/>
      <c r="AQ42" s="764">
        <f>SUM(AQ39:AQ39)</f>
        <v>147815.51272000003</v>
      </c>
      <c r="AR42" s="764"/>
      <c r="AS42" s="764">
        <f>SUM(AS39:AS41)</f>
        <v>10405.336000000003</v>
      </c>
      <c r="AT42" s="764"/>
      <c r="AU42" s="764">
        <f>SUM(AU39:AU39)</f>
        <v>158220.84872000004</v>
      </c>
      <c r="AV42" s="764"/>
      <c r="AW42" s="764">
        <f>SUM(AW39:AW41)</f>
        <v>15705.335000000001</v>
      </c>
      <c r="AX42" s="764"/>
      <c r="AY42" s="764">
        <f>SUM(AY39:AY39)</f>
        <v>172548.14472000004</v>
      </c>
      <c r="AZ42" s="764"/>
      <c r="BA42" s="764">
        <f>SUM(BA39:BA41)</f>
        <v>15127.223</v>
      </c>
      <c r="BB42" s="764"/>
      <c r="BC42" s="3510">
        <f>SUM(BC39:BC41)</f>
        <v>41237.894</v>
      </c>
      <c r="BD42" s="3605"/>
      <c r="BE42" s="3510">
        <f>SUM(BE39:BE41)</f>
        <v>190857.13572000005</v>
      </c>
      <c r="BF42" s="764"/>
      <c r="BG42" s="764">
        <f>SUM(BG39:BG39)</f>
        <v>186507.87272000004</v>
      </c>
    </row>
    <row r="43" spans="3:59" x14ac:dyDescent="0.3">
      <c r="C43" s="675" t="s">
        <v>1024</v>
      </c>
      <c r="D43" s="675" t="s">
        <v>990</v>
      </c>
      <c r="E43" s="6452"/>
      <c r="F43" s="675"/>
      <c r="G43" s="703">
        <v>721.81999999999994</v>
      </c>
      <c r="H43" s="703"/>
      <c r="I43" s="703">
        <v>588.07100000000003</v>
      </c>
      <c r="J43" s="753"/>
      <c r="K43" s="753">
        <f t="shared" si="16"/>
        <v>1309.8910000000001</v>
      </c>
      <c r="L43" s="703"/>
      <c r="M43" s="703">
        <v>1180.3880000000001</v>
      </c>
      <c r="N43" s="758"/>
      <c r="O43" s="758">
        <f t="shared" si="17"/>
        <v>2490.2790000000005</v>
      </c>
      <c r="P43" s="703"/>
      <c r="Q43" s="703">
        <v>568.66599999999994</v>
      </c>
      <c r="R43" s="758"/>
      <c r="S43" s="758">
        <f t="shared" si="2"/>
        <v>3058.9450000000006</v>
      </c>
      <c r="T43" s="703"/>
      <c r="U43" s="703">
        <f>SUMIF('Special -Value added steel '!$D$48:$D$66,'Special steel '!$D43,'Special -Value added steel '!$U$48:$U$66)</f>
        <v>0</v>
      </c>
      <c r="V43" s="758"/>
      <c r="W43" s="758">
        <f t="shared" ref="W43:W57" si="35">S43+U43</f>
        <v>3058.9450000000006</v>
      </c>
      <c r="X43" s="758"/>
      <c r="Y43" s="703">
        <f>SUMIF('Special -Value added steel '!$D$48:$D$66,'Special steel '!$D43,'Special -Value added steel '!$Y$48:$Y$66)</f>
        <v>0</v>
      </c>
      <c r="Z43" s="758"/>
      <c r="AA43" s="3509">
        <f>Q43+U43+Y43</f>
        <v>568.66599999999994</v>
      </c>
      <c r="AB43" s="3605"/>
      <c r="AC43" s="1461">
        <f t="shared" si="5"/>
        <v>3058.9450000000006</v>
      </c>
      <c r="AD43" s="758"/>
      <c r="AE43" s="703">
        <f>SUMIF('Special -Value added steel '!$D$48:$D$66,'Special steel '!$D43,'Special -Value added steel '!$AE$48:$AE$66)</f>
        <v>124.726</v>
      </c>
      <c r="AF43" s="758"/>
      <c r="AG43" s="758">
        <f t="shared" ref="AG43:AG57" si="36">AC43+AE43</f>
        <v>3183.6710000000007</v>
      </c>
      <c r="AH43" s="758"/>
      <c r="AI43" s="703">
        <f>SUMIF('Special -Value added steel '!$D$48:$D$66,'Special steel '!$D43,'Special -Value added steel '!$AI$48:$AI$66)</f>
        <v>0</v>
      </c>
      <c r="AJ43" s="758"/>
      <c r="AK43" s="753">
        <f t="shared" ref="AK43:AK57" si="37">AG43+AI43</f>
        <v>3183.6710000000007</v>
      </c>
      <c r="AL43" s="758"/>
      <c r="AM43" s="703">
        <f>SUMIF('Special -Value added steel '!$D$48:$D$66,'Special steel '!$D43,'Special -Value added steel '!$AM$48:$AM$66)</f>
        <v>0</v>
      </c>
      <c r="AN43" s="758"/>
      <c r="AO43" s="3509">
        <f>AE43+AI43+AM43</f>
        <v>124.726</v>
      </c>
      <c r="AP43" s="758"/>
      <c r="AQ43" s="753">
        <f t="shared" ref="AQ43:AQ57" si="38">AK43+AM43</f>
        <v>3183.6710000000007</v>
      </c>
      <c r="AR43" s="758"/>
      <c r="AS43" s="703">
        <f>SUMIF('Special -Value added steel '!$D$48:$D$66,'Special steel '!$D43,'Special -Value added steel '!$AS$48:$AS$66)</f>
        <v>0</v>
      </c>
      <c r="AT43" s="758"/>
      <c r="AU43" s="753">
        <f t="shared" ref="AU43:AU57" si="39">AQ43+AS43</f>
        <v>3183.6710000000007</v>
      </c>
      <c r="AV43" s="758"/>
      <c r="AW43" s="703">
        <f>SUMIF('Special -Value added steel '!$D$48:$D$66,'Special steel '!$D43,'Special -Value added steel '!$AW$48:$AW$66)</f>
        <v>566.55200000000002</v>
      </c>
      <c r="AX43" s="758"/>
      <c r="AY43" s="753">
        <f t="shared" ref="AY43:AY57" si="40">AU43+AW43</f>
        <v>3750.2230000000009</v>
      </c>
      <c r="AZ43" s="758"/>
      <c r="BA43" s="703">
        <f>SUMIF('Special -Value added steel '!$D$48:$D$66,'Special steel '!$D43,'Special -Value added steel '!$BA$48:$BA$66)</f>
        <v>0</v>
      </c>
      <c r="BB43" s="758"/>
      <c r="BC43" s="3509">
        <f>AS43+AW43+BA43</f>
        <v>566.55200000000002</v>
      </c>
      <c r="BD43" s="3605"/>
      <c r="BE43" s="1461">
        <f t="shared" ref="BE43:BE67" si="41">AQ43+BC43</f>
        <v>3750.2230000000009</v>
      </c>
      <c r="BF43" s="758"/>
      <c r="BG43" s="753">
        <f t="shared" ref="BG43:BG57" si="42">AY43+BA43</f>
        <v>3750.2230000000009</v>
      </c>
    </row>
    <row r="44" spans="3:59" x14ac:dyDescent="0.3">
      <c r="C44" s="675" t="s">
        <v>1024</v>
      </c>
      <c r="D44" s="675" t="s">
        <v>1345</v>
      </c>
      <c r="E44" s="6452"/>
      <c r="F44" s="675"/>
      <c r="G44" s="703"/>
      <c r="H44" s="703"/>
      <c r="I44" s="703"/>
      <c r="J44" s="753"/>
      <c r="K44" s="753">
        <f t="shared" si="16"/>
        <v>0</v>
      </c>
      <c r="L44" s="703"/>
      <c r="M44" s="703"/>
      <c r="N44" s="758"/>
      <c r="O44" s="758">
        <f t="shared" si="17"/>
        <v>0</v>
      </c>
      <c r="P44" s="703"/>
      <c r="Q44" s="703"/>
      <c r="R44" s="758"/>
      <c r="S44" s="758">
        <f t="shared" si="2"/>
        <v>0</v>
      </c>
      <c r="T44" s="703"/>
      <c r="U44" s="703">
        <f>SUMIF('Special -Value added steel '!$D$48:$D$66,'Special steel '!$D44,'Special -Value added steel '!$U$48:$U$66)</f>
        <v>0</v>
      </c>
      <c r="V44" s="758"/>
      <c r="W44" s="758">
        <f t="shared" si="35"/>
        <v>0</v>
      </c>
      <c r="X44" s="758"/>
      <c r="Y44" s="703">
        <f>SUMIF('Special -Value added steel '!$D$48:$D$66,'Special steel '!$D44,'Special -Value added steel '!$Y$48:$Y$66)</f>
        <v>0</v>
      </c>
      <c r="Z44" s="758"/>
      <c r="AA44" s="3509">
        <f t="shared" ref="AA44:AA57" si="43">Q44+U44+Y44</f>
        <v>0</v>
      </c>
      <c r="AB44" s="3605"/>
      <c r="AC44" s="1461">
        <f t="shared" si="5"/>
        <v>0</v>
      </c>
      <c r="AD44" s="758"/>
      <c r="AE44" s="703">
        <f>SUMIF('Special -Value added steel '!$D$48:$D$66,'Special steel '!$D44,'Special -Value added steel '!$AE$48:$AE$66)</f>
        <v>0</v>
      </c>
      <c r="AF44" s="758"/>
      <c r="AG44" s="758">
        <f t="shared" si="36"/>
        <v>0</v>
      </c>
      <c r="AH44" s="758"/>
      <c r="AI44" s="703">
        <f>SUMIF('Special -Value added steel '!$D$48:$D$66,'Special steel '!$D44,'Special -Value added steel '!$AI$48:$AI$66)</f>
        <v>0</v>
      </c>
      <c r="AJ44" s="758"/>
      <c r="AK44" s="753">
        <f t="shared" si="37"/>
        <v>0</v>
      </c>
      <c r="AL44" s="758"/>
      <c r="AM44" s="703">
        <f>SUMIF('Special -Value added steel '!$D$48:$D$66,'Special steel '!$D44,'Special -Value added steel '!$AM$48:$AM$66)</f>
        <v>0</v>
      </c>
      <c r="AN44" s="758"/>
      <c r="AO44" s="3509">
        <f t="shared" ref="AO44:AO57" si="44">AE44+AI44+AM44</f>
        <v>0</v>
      </c>
      <c r="AP44" s="758"/>
      <c r="AQ44" s="753">
        <f t="shared" si="38"/>
        <v>0</v>
      </c>
      <c r="AR44" s="758"/>
      <c r="AS44" s="703">
        <f>SUMIF('Special -Value added steel '!$D$48:$D$66,'Special steel '!$D44,'Special -Value added steel '!$AS$48:$AS$66)</f>
        <v>0</v>
      </c>
      <c r="AT44" s="758"/>
      <c r="AU44" s="753">
        <f t="shared" si="39"/>
        <v>0</v>
      </c>
      <c r="AV44" s="758"/>
      <c r="AW44" s="703">
        <f>SUMIF('Special -Value added steel '!$D$48:$D$66,'Special steel '!$D44,'Special -Value added steel '!$AW$48:$AW$66)</f>
        <v>0</v>
      </c>
      <c r="AX44" s="758"/>
      <c r="AY44" s="753">
        <f t="shared" si="40"/>
        <v>0</v>
      </c>
      <c r="AZ44" s="758"/>
      <c r="BA44" s="703">
        <f>SUMIF('Special -Value added steel '!$D$48:$D$66,'Special steel '!$D44,'Special -Value added steel '!$BA$48:$BA$66)</f>
        <v>0</v>
      </c>
      <c r="BB44" s="758"/>
      <c r="BC44" s="3509">
        <f t="shared" ref="BC44:BC57" si="45">AS44+AW44+BA44</f>
        <v>0</v>
      </c>
      <c r="BD44" s="3605"/>
      <c r="BE44" s="1461">
        <f t="shared" si="41"/>
        <v>0</v>
      </c>
      <c r="BF44" s="758"/>
      <c r="BG44" s="753">
        <f t="shared" si="42"/>
        <v>0</v>
      </c>
    </row>
    <row r="45" spans="3:59" x14ac:dyDescent="0.3">
      <c r="C45" s="675" t="s">
        <v>1024</v>
      </c>
      <c r="D45" s="675" t="s">
        <v>1157</v>
      </c>
      <c r="E45" s="6452"/>
      <c r="F45" s="675"/>
      <c r="G45" s="703">
        <v>607.17800000000011</v>
      </c>
      <c r="H45" s="703"/>
      <c r="I45" s="703">
        <v>0</v>
      </c>
      <c r="J45" s="753"/>
      <c r="K45" s="753">
        <f t="shared" si="16"/>
        <v>607.17800000000011</v>
      </c>
      <c r="L45" s="703"/>
      <c r="M45" s="703">
        <v>0</v>
      </c>
      <c r="N45" s="758"/>
      <c r="O45" s="758">
        <f t="shared" si="17"/>
        <v>607.17800000000011</v>
      </c>
      <c r="P45" s="703"/>
      <c r="Q45" s="703">
        <v>150.09399999999999</v>
      </c>
      <c r="R45" s="758"/>
      <c r="S45" s="758">
        <f t="shared" si="2"/>
        <v>757.27200000000016</v>
      </c>
      <c r="T45" s="703"/>
      <c r="U45" s="703">
        <f>SUMIF('Special -Value added steel '!$D$48:$D$66,'Special steel '!$D45,'Special -Value added steel '!$U$48:$U$66)</f>
        <v>0</v>
      </c>
      <c r="V45" s="758"/>
      <c r="W45" s="758">
        <f t="shared" si="35"/>
        <v>757.27200000000016</v>
      </c>
      <c r="X45" s="758"/>
      <c r="Y45" s="703">
        <f>SUMIF('Special -Value added steel '!$D$48:$D$66,'Special steel '!$D45,'Special -Value added steel '!$Y$48:$Y$66)</f>
        <v>0</v>
      </c>
      <c r="Z45" s="758"/>
      <c r="AA45" s="3509">
        <f t="shared" si="43"/>
        <v>150.09399999999999</v>
      </c>
      <c r="AB45" s="3605"/>
      <c r="AC45" s="1461">
        <f t="shared" si="5"/>
        <v>757.27200000000016</v>
      </c>
      <c r="AD45" s="758"/>
      <c r="AE45" s="703">
        <f>SUMIF('Special -Value added steel '!$D$48:$D$66,'Special steel '!$D45,'Special -Value added steel '!$AE$48:$AE$66)</f>
        <v>0</v>
      </c>
      <c r="AF45" s="758"/>
      <c r="AG45" s="758">
        <f t="shared" si="36"/>
        <v>757.27200000000016</v>
      </c>
      <c r="AH45" s="758"/>
      <c r="AI45" s="703">
        <f>SUMIF('Special -Value added steel '!$D$48:$D$66,'Special steel '!$D45,'Special -Value added steel '!$AI$48:$AI$66)</f>
        <v>131</v>
      </c>
      <c r="AJ45" s="758"/>
      <c r="AK45" s="753">
        <f t="shared" si="37"/>
        <v>888.27200000000016</v>
      </c>
      <c r="AL45" s="758"/>
      <c r="AM45" s="703">
        <f>SUMIF('Special -Value added steel '!$D$48:$D$66,'Special steel '!$D45,'Special -Value added steel '!$AM$48:$AM$66)</f>
        <v>0</v>
      </c>
      <c r="AN45" s="758"/>
      <c r="AO45" s="3509">
        <f t="shared" si="44"/>
        <v>131</v>
      </c>
      <c r="AP45" s="758"/>
      <c r="AQ45" s="753">
        <f t="shared" si="38"/>
        <v>888.27200000000016</v>
      </c>
      <c r="AR45" s="758"/>
      <c r="AS45" s="703">
        <f>SUMIF('Special -Value added steel '!$D$48:$D$66,'Special steel '!$D45,'Special -Value added steel '!$AS$48:$AS$66)</f>
        <v>0</v>
      </c>
      <c r="AT45" s="758"/>
      <c r="AU45" s="753">
        <f t="shared" si="39"/>
        <v>888.27200000000016</v>
      </c>
      <c r="AV45" s="758"/>
      <c r="AW45" s="703">
        <f>SUMIF('Special -Value added steel '!$D$48:$D$66,'Special steel '!$D45,'Special -Value added steel '!$AW$48:$AW$66)</f>
        <v>0</v>
      </c>
      <c r="AX45" s="758"/>
      <c r="AY45" s="753">
        <f t="shared" si="40"/>
        <v>888.27200000000016</v>
      </c>
      <c r="AZ45" s="758"/>
      <c r="BA45" s="703">
        <f>SUMIF('Special -Value added steel '!$D$48:$D$66,'Special steel '!$D45,'Special -Value added steel '!$BA$48:$BA$66)</f>
        <v>0</v>
      </c>
      <c r="BB45" s="758"/>
      <c r="BC45" s="3509">
        <f t="shared" si="45"/>
        <v>0</v>
      </c>
      <c r="BD45" s="3605"/>
      <c r="BE45" s="1461">
        <f t="shared" si="41"/>
        <v>888.27200000000016</v>
      </c>
      <c r="BF45" s="758"/>
      <c r="BG45" s="753">
        <f t="shared" si="42"/>
        <v>888.27200000000016</v>
      </c>
    </row>
    <row r="46" spans="3:59" x14ac:dyDescent="0.3">
      <c r="C46" s="675" t="s">
        <v>1024</v>
      </c>
      <c r="D46" s="675" t="s">
        <v>1151</v>
      </c>
      <c r="E46" s="6452"/>
      <c r="F46" s="675"/>
      <c r="G46" s="703"/>
      <c r="H46" s="703"/>
      <c r="I46" s="703"/>
      <c r="J46" s="753"/>
      <c r="K46" s="753">
        <f t="shared" si="16"/>
        <v>0</v>
      </c>
      <c r="L46" s="703"/>
      <c r="M46" s="703"/>
      <c r="N46" s="758"/>
      <c r="O46" s="758">
        <f t="shared" si="17"/>
        <v>0</v>
      </c>
      <c r="P46" s="703"/>
      <c r="Q46" s="703"/>
      <c r="R46" s="758"/>
      <c r="S46" s="758">
        <f t="shared" si="2"/>
        <v>0</v>
      </c>
      <c r="T46" s="703"/>
      <c r="U46" s="703">
        <f>SUMIF('Special -Value added steel '!$D$48:$D$66,'Special steel '!$D46,'Special -Value added steel '!$U$48:$U$66)</f>
        <v>0</v>
      </c>
      <c r="V46" s="758"/>
      <c r="W46" s="758">
        <f t="shared" si="35"/>
        <v>0</v>
      </c>
      <c r="X46" s="758"/>
      <c r="Y46" s="703">
        <f>SUMIF('Special -Value added steel '!$D$48:$D$66,'Special steel '!$D46,'Special -Value added steel '!$Y$48:$Y$66)</f>
        <v>0</v>
      </c>
      <c r="Z46" s="758"/>
      <c r="AA46" s="3509">
        <f t="shared" si="43"/>
        <v>0</v>
      </c>
      <c r="AB46" s="3605"/>
      <c r="AC46" s="1461">
        <f t="shared" si="5"/>
        <v>0</v>
      </c>
      <c r="AD46" s="758"/>
      <c r="AE46" s="703">
        <f>SUMIF('Special -Value added steel '!$D$48:$D$66,'Special steel '!$D46,'Special -Value added steel '!$AE$48:$AE$66)</f>
        <v>0</v>
      </c>
      <c r="AF46" s="758"/>
      <c r="AG46" s="758">
        <f t="shared" si="36"/>
        <v>0</v>
      </c>
      <c r="AH46" s="758"/>
      <c r="AI46" s="703">
        <f>SUMIF('Special -Value added steel '!$D$48:$D$66,'Special steel '!$D46,'Special -Value added steel '!$AI$48:$AI$66)</f>
        <v>0</v>
      </c>
      <c r="AJ46" s="758"/>
      <c r="AK46" s="753">
        <f t="shared" si="37"/>
        <v>0</v>
      </c>
      <c r="AL46" s="758"/>
      <c r="AM46" s="703">
        <f>SUMIF('Special -Value added steel '!$D$48:$D$66,'Special steel '!$D46,'Special -Value added steel '!$AM$48:$AM$66)</f>
        <v>0</v>
      </c>
      <c r="AN46" s="758"/>
      <c r="AO46" s="3509">
        <f t="shared" si="44"/>
        <v>0</v>
      </c>
      <c r="AP46" s="758"/>
      <c r="AQ46" s="753">
        <f t="shared" si="38"/>
        <v>0</v>
      </c>
      <c r="AR46" s="758"/>
      <c r="AS46" s="703">
        <f>SUMIF('Special -Value added steel '!$D$48:$D$66,'Special steel '!$D46,'Special -Value added steel '!$AS$48:$AS$66)</f>
        <v>0</v>
      </c>
      <c r="AT46" s="758"/>
      <c r="AU46" s="753">
        <f t="shared" si="39"/>
        <v>0</v>
      </c>
      <c r="AV46" s="758"/>
      <c r="AW46" s="703">
        <f>SUMIF('Special -Value added steel '!$D$48:$D$66,'Special steel '!$D46,'Special -Value added steel '!$AW$48:$AW$66)</f>
        <v>0</v>
      </c>
      <c r="AX46" s="758"/>
      <c r="AY46" s="753">
        <f t="shared" si="40"/>
        <v>0</v>
      </c>
      <c r="AZ46" s="758"/>
      <c r="BA46" s="703">
        <f>SUMIF('Special -Value added steel '!$D$48:$D$66,'Special steel '!$D46,'Special -Value added steel '!$BA$48:$BA$66)</f>
        <v>0</v>
      </c>
      <c r="BB46" s="758"/>
      <c r="BC46" s="3509">
        <f t="shared" si="45"/>
        <v>0</v>
      </c>
      <c r="BD46" s="3605"/>
      <c r="BE46" s="1461">
        <f t="shared" si="41"/>
        <v>0</v>
      </c>
      <c r="BF46" s="758"/>
      <c r="BG46" s="753">
        <f t="shared" si="42"/>
        <v>0</v>
      </c>
    </row>
    <row r="47" spans="3:59" x14ac:dyDescent="0.3">
      <c r="C47" s="675" t="s">
        <v>1024</v>
      </c>
      <c r="D47" s="675" t="s">
        <v>1123</v>
      </c>
      <c r="E47" s="6452"/>
      <c r="F47" s="675"/>
      <c r="G47" s="703">
        <v>1689.9079999999999</v>
      </c>
      <c r="H47" s="703"/>
      <c r="I47" s="703">
        <v>269.62099999999998</v>
      </c>
      <c r="J47" s="753"/>
      <c r="K47" s="753">
        <f t="shared" si="16"/>
        <v>1959.529</v>
      </c>
      <c r="L47" s="703"/>
      <c r="M47" s="703">
        <v>1195.249</v>
      </c>
      <c r="N47" s="758"/>
      <c r="O47" s="758">
        <f t="shared" si="17"/>
        <v>3154.7780000000002</v>
      </c>
      <c r="P47" s="703"/>
      <c r="Q47" s="703">
        <v>3688.9300000000012</v>
      </c>
      <c r="R47" s="758"/>
      <c r="S47" s="758">
        <f t="shared" si="2"/>
        <v>6843.7080000000014</v>
      </c>
      <c r="T47" s="703"/>
      <c r="U47" s="703">
        <f>SUMIF('Special -Value added steel '!$D$48:$D$66,'Special steel '!$D47,'Special -Value added steel '!$U$48:$U$66)</f>
        <v>1333.9340000000002</v>
      </c>
      <c r="V47" s="758"/>
      <c r="W47" s="758">
        <f t="shared" si="35"/>
        <v>8177.6420000000016</v>
      </c>
      <c r="X47" s="758"/>
      <c r="Y47" s="703">
        <f>SUMIF('Special -Value added steel '!$D$48:$D$66,'Special steel '!$D47,'Special -Value added steel '!$Y$48:$Y$66)</f>
        <v>1067.5700000000002</v>
      </c>
      <c r="Z47" s="758"/>
      <c r="AA47" s="3509">
        <f t="shared" si="43"/>
        <v>6090.4340000000011</v>
      </c>
      <c r="AB47" s="3605"/>
      <c r="AC47" s="1461">
        <f t="shared" si="5"/>
        <v>9245.2120000000014</v>
      </c>
      <c r="AD47" s="758"/>
      <c r="AE47" s="703">
        <f>SUMIF('Special -Value added steel '!$D$48:$D$66,'Special steel '!$D47,'Special -Value added steel '!$AE$48:$AE$66)</f>
        <v>2101.3159999999998</v>
      </c>
      <c r="AF47" s="758"/>
      <c r="AG47" s="758">
        <f t="shared" si="36"/>
        <v>11346.528000000002</v>
      </c>
      <c r="AH47" s="758"/>
      <c r="AI47" s="703">
        <f>SUMIF('Special -Value added steel '!$D$48:$D$66,'Special steel '!$D47,'Special -Value added steel '!$AI$48:$AI$66)</f>
        <v>0</v>
      </c>
      <c r="AJ47" s="758"/>
      <c r="AK47" s="753">
        <f t="shared" si="37"/>
        <v>11346.528000000002</v>
      </c>
      <c r="AL47" s="758"/>
      <c r="AM47" s="703">
        <f>SUMIF('Special -Value added steel '!$D$48:$D$66,'Special steel '!$D47,'Special -Value added steel '!$AM$48:$AM$66)</f>
        <v>4697</v>
      </c>
      <c r="AN47" s="758"/>
      <c r="AO47" s="3509">
        <f t="shared" si="44"/>
        <v>6798.3159999999998</v>
      </c>
      <c r="AP47" s="758"/>
      <c r="AQ47" s="753">
        <f t="shared" si="38"/>
        <v>16043.528000000002</v>
      </c>
      <c r="AR47" s="758"/>
      <c r="AS47" s="703">
        <f>SUMIF('Special -Value added steel '!$D$48:$D$66,'Special steel '!$D47,'Special -Value added steel '!$AS$48:$AS$66)</f>
        <v>3232</v>
      </c>
      <c r="AT47" s="758"/>
      <c r="AU47" s="753">
        <f t="shared" si="39"/>
        <v>19275.528000000002</v>
      </c>
      <c r="AV47" s="758"/>
      <c r="AW47" s="703">
        <f>SUMIF('Special -Value added steel '!$D$48:$D$66,'Special steel '!$D47,'Special -Value added steel '!$AW$48:$AW$66)</f>
        <v>4488.021999999999</v>
      </c>
      <c r="AX47" s="758"/>
      <c r="AY47" s="753">
        <f t="shared" si="40"/>
        <v>23763.550000000003</v>
      </c>
      <c r="AZ47" s="758"/>
      <c r="BA47" s="703">
        <f>SUMIF('Special -Value added steel '!$D$48:$D$66,'Special steel '!$D47,'Special -Value added steel '!$BA$48:$BA$66)</f>
        <v>2287</v>
      </c>
      <c r="BB47" s="758"/>
      <c r="BC47" s="3509">
        <f t="shared" si="45"/>
        <v>10007.021999999999</v>
      </c>
      <c r="BD47" s="3605"/>
      <c r="BE47" s="1461">
        <f t="shared" si="41"/>
        <v>26050.550000000003</v>
      </c>
      <c r="BF47" s="758"/>
      <c r="BG47" s="753">
        <f t="shared" si="42"/>
        <v>26050.550000000003</v>
      </c>
    </row>
    <row r="48" spans="3:59" s="4225" customFormat="1" x14ac:dyDescent="0.3">
      <c r="C48" s="675" t="s">
        <v>1024</v>
      </c>
      <c r="D48" s="675" t="s">
        <v>1869</v>
      </c>
      <c r="E48" s="6452"/>
      <c r="F48" s="675"/>
      <c r="G48" s="703"/>
      <c r="H48" s="703"/>
      <c r="I48" s="703"/>
      <c r="J48" s="753"/>
      <c r="K48" s="753"/>
      <c r="L48" s="703"/>
      <c r="M48" s="703"/>
      <c r="N48" s="758"/>
      <c r="O48" s="758">
        <f t="shared" si="17"/>
        <v>0</v>
      </c>
      <c r="P48" s="703"/>
      <c r="Q48" s="703"/>
      <c r="R48" s="758"/>
      <c r="S48" s="758"/>
      <c r="T48" s="703"/>
      <c r="U48" s="703"/>
      <c r="V48" s="758"/>
      <c r="W48" s="758">
        <f t="shared" si="35"/>
        <v>0</v>
      </c>
      <c r="X48" s="758"/>
      <c r="Y48" s="703"/>
      <c r="Z48" s="758"/>
      <c r="AA48" s="3509">
        <f t="shared" si="43"/>
        <v>0</v>
      </c>
      <c r="AB48" s="3605"/>
      <c r="AC48" s="1461">
        <f t="shared" si="5"/>
        <v>0</v>
      </c>
      <c r="AD48" s="758"/>
      <c r="AE48" s="703"/>
      <c r="AF48" s="758"/>
      <c r="AG48" s="758">
        <f t="shared" si="36"/>
        <v>0</v>
      </c>
      <c r="AH48" s="758"/>
      <c r="AI48" s="703">
        <f>SUMIF('Special -Value added steel '!$D$48:$D$66,'Special steel '!$D48,'Special -Value added steel '!$AI$48:$AI$66)</f>
        <v>1492</v>
      </c>
      <c r="AJ48" s="758"/>
      <c r="AK48" s="753">
        <f t="shared" si="37"/>
        <v>1492</v>
      </c>
      <c r="AL48" s="758"/>
      <c r="AM48" s="703">
        <f>SUMIF('Special -Value added steel '!$D$48:$D$66,'Special steel '!$D48,'Special -Value added steel '!$AM$48:$AM$66)</f>
        <v>0</v>
      </c>
      <c r="AN48" s="758"/>
      <c r="AO48" s="3509">
        <f t="shared" si="44"/>
        <v>1492</v>
      </c>
      <c r="AP48" s="758"/>
      <c r="AQ48" s="753">
        <f t="shared" si="38"/>
        <v>1492</v>
      </c>
      <c r="AR48" s="758"/>
      <c r="AS48" s="703">
        <f>SUMIF('Special -Value added steel '!$D$48:$D$66,'Special steel '!$D48,'Special -Value added steel '!$AS$48:$AS$66)</f>
        <v>0</v>
      </c>
      <c r="AT48" s="758"/>
      <c r="AU48" s="753">
        <f t="shared" si="39"/>
        <v>1492</v>
      </c>
      <c r="AV48" s="758"/>
      <c r="AW48" s="703">
        <f>SUMIF('Special -Value added steel '!$D$48:$D$66,'Special steel '!$D48,'Special -Value added steel '!$AW$48:$AW$66)</f>
        <v>0</v>
      </c>
      <c r="AX48" s="758"/>
      <c r="AY48" s="753">
        <f t="shared" si="40"/>
        <v>1492</v>
      </c>
      <c r="AZ48" s="758"/>
      <c r="BA48" s="703">
        <f>SUMIF('Special -Value added steel '!$D$48:$D$66,'Special steel '!$D48,'Special -Value added steel '!$BA$48:$BA$66)</f>
        <v>0</v>
      </c>
      <c r="BB48" s="758"/>
      <c r="BC48" s="3509">
        <f t="shared" si="45"/>
        <v>0</v>
      </c>
      <c r="BD48" s="3605"/>
      <c r="BE48" s="1461">
        <f t="shared" si="41"/>
        <v>1492</v>
      </c>
      <c r="BF48" s="758"/>
      <c r="BG48" s="753">
        <f t="shared" si="42"/>
        <v>1492</v>
      </c>
    </row>
    <row r="49" spans="3:59" s="4225" customFormat="1" x14ac:dyDescent="0.3">
      <c r="C49" s="675" t="s">
        <v>1024</v>
      </c>
      <c r="D49" s="675" t="s">
        <v>1870</v>
      </c>
      <c r="E49" s="6452"/>
      <c r="F49" s="675"/>
      <c r="G49" s="703"/>
      <c r="H49" s="703"/>
      <c r="I49" s="703"/>
      <c r="J49" s="753"/>
      <c r="K49" s="753"/>
      <c r="L49" s="703"/>
      <c r="M49" s="703"/>
      <c r="N49" s="758"/>
      <c r="O49" s="758">
        <f t="shared" si="17"/>
        <v>0</v>
      </c>
      <c r="P49" s="703"/>
      <c r="Q49" s="703"/>
      <c r="R49" s="758"/>
      <c r="S49" s="758"/>
      <c r="T49" s="703"/>
      <c r="U49" s="703"/>
      <c r="V49" s="758"/>
      <c r="W49" s="758">
        <f t="shared" si="35"/>
        <v>0</v>
      </c>
      <c r="X49" s="758"/>
      <c r="Y49" s="703"/>
      <c r="Z49" s="758"/>
      <c r="AA49" s="3509">
        <f t="shared" si="43"/>
        <v>0</v>
      </c>
      <c r="AB49" s="3605"/>
      <c r="AC49" s="1461">
        <f t="shared" si="5"/>
        <v>0</v>
      </c>
      <c r="AD49" s="758"/>
      <c r="AE49" s="703"/>
      <c r="AF49" s="758"/>
      <c r="AG49" s="758">
        <f t="shared" si="36"/>
        <v>0</v>
      </c>
      <c r="AH49" s="758"/>
      <c r="AI49" s="703">
        <f>SUMIF('Special -Value added steel '!$D$48:$D$66,'Special steel '!$D49,'Special -Value added steel '!$AI$48:$AI$66)</f>
        <v>729</v>
      </c>
      <c r="AJ49" s="758"/>
      <c r="AK49" s="753">
        <f t="shared" si="37"/>
        <v>729</v>
      </c>
      <c r="AL49" s="758"/>
      <c r="AM49" s="703">
        <f>SUMIF('Special -Value added steel '!$D$48:$D$66,'Special steel '!$D49,'Special -Value added steel '!$AM$48:$AM$66)</f>
        <v>0</v>
      </c>
      <c r="AN49" s="758"/>
      <c r="AO49" s="3509">
        <f t="shared" si="44"/>
        <v>729</v>
      </c>
      <c r="AP49" s="758"/>
      <c r="AQ49" s="753">
        <f t="shared" si="38"/>
        <v>729</v>
      </c>
      <c r="AR49" s="758"/>
      <c r="AS49" s="703">
        <f>SUMIF('Special -Value added steel '!$D$48:$D$66,'Special steel '!$D49,'Special -Value added steel '!$AS$48:$AS$66)</f>
        <v>0</v>
      </c>
      <c r="AT49" s="758"/>
      <c r="AU49" s="753">
        <f t="shared" si="39"/>
        <v>729</v>
      </c>
      <c r="AV49" s="758"/>
      <c r="AW49" s="703">
        <f>SUMIF('Special -Value added steel '!$D$48:$D$66,'Special steel '!$D49,'Special -Value added steel '!$AW$48:$AW$66)</f>
        <v>528.5</v>
      </c>
      <c r="AX49" s="758"/>
      <c r="AY49" s="753">
        <f t="shared" si="40"/>
        <v>1257.5</v>
      </c>
      <c r="AZ49" s="758"/>
      <c r="BA49" s="703">
        <f>SUMIF('Special -Value added steel '!$D$48:$D$66,'Special steel '!$D49,'Special -Value added steel '!$BA$48:$BA$66)</f>
        <v>573</v>
      </c>
      <c r="BB49" s="758"/>
      <c r="BC49" s="3509">
        <f t="shared" si="45"/>
        <v>1101.5</v>
      </c>
      <c r="BD49" s="3605"/>
      <c r="BE49" s="1461">
        <f t="shared" si="41"/>
        <v>1830.5</v>
      </c>
      <c r="BF49" s="758"/>
      <c r="BG49" s="753">
        <f t="shared" si="42"/>
        <v>1830.5</v>
      </c>
    </row>
    <row r="50" spans="3:59" s="4152" customFormat="1" x14ac:dyDescent="0.3">
      <c r="C50" s="675" t="s">
        <v>1024</v>
      </c>
      <c r="D50" s="675" t="s">
        <v>1710</v>
      </c>
      <c r="E50" s="6452"/>
      <c r="F50" s="675"/>
      <c r="G50" s="703"/>
      <c r="H50" s="703"/>
      <c r="I50" s="703"/>
      <c r="J50" s="753"/>
      <c r="K50" s="753"/>
      <c r="L50" s="703"/>
      <c r="M50" s="703"/>
      <c r="N50" s="758"/>
      <c r="O50" s="758">
        <f t="shared" si="17"/>
        <v>0</v>
      </c>
      <c r="P50" s="703"/>
      <c r="Q50" s="703">
        <v>313</v>
      </c>
      <c r="R50" s="758"/>
      <c r="S50" s="758">
        <f t="shared" si="2"/>
        <v>313</v>
      </c>
      <c r="T50" s="703"/>
      <c r="U50" s="703">
        <f>SUMIF('Special -Value added steel '!$D$48:$D$66,'Special steel '!$D50,'Special -Value added steel '!$U$48:$U$66)</f>
        <v>0</v>
      </c>
      <c r="V50" s="758"/>
      <c r="W50" s="758">
        <f t="shared" si="35"/>
        <v>313</v>
      </c>
      <c r="X50" s="758"/>
      <c r="Y50" s="703">
        <f>SUMIF('Special -Value added steel '!$D$48:$D$66,'Special steel '!$D50,'Special -Value added steel '!$Y$48:$Y$66)</f>
        <v>131</v>
      </c>
      <c r="Z50" s="758"/>
      <c r="AA50" s="3509">
        <f t="shared" ref="AA50" si="46">Q50+U50+Y50</f>
        <v>444</v>
      </c>
      <c r="AB50" s="3605"/>
      <c r="AC50" s="1461">
        <f t="shared" si="5"/>
        <v>444</v>
      </c>
      <c r="AD50" s="758"/>
      <c r="AE50" s="703">
        <f>SUMIF('Special -Value added steel '!$D$48:$D$66,'Special steel '!$D50,'Special -Value added steel '!$AE$48:$AE$66)</f>
        <v>989.35199999999998</v>
      </c>
      <c r="AF50" s="758"/>
      <c r="AG50" s="758">
        <f t="shared" si="36"/>
        <v>1433.3519999999999</v>
      </c>
      <c r="AH50" s="758"/>
      <c r="AI50" s="703">
        <f>SUMIF('Special -Value added steel '!$D$48:$D$66,'Special steel '!$D50,'Special -Value added steel '!$AI$48:$AI$66)</f>
        <v>710</v>
      </c>
      <c r="AJ50" s="758"/>
      <c r="AK50" s="753">
        <f t="shared" si="37"/>
        <v>2143.3519999999999</v>
      </c>
      <c r="AL50" s="758"/>
      <c r="AM50" s="703">
        <f>SUMIF('Special -Value added steel '!$D$48:$D$66,'Special steel '!$D50,'Special -Value added steel '!$AM$48:$AM$66)</f>
        <v>0</v>
      </c>
      <c r="AN50" s="758"/>
      <c r="AO50" s="3509">
        <f t="shared" si="44"/>
        <v>1699.3519999999999</v>
      </c>
      <c r="AP50" s="758"/>
      <c r="AQ50" s="753">
        <f t="shared" si="38"/>
        <v>2143.3519999999999</v>
      </c>
      <c r="AR50" s="758"/>
      <c r="AS50" s="703">
        <f>SUMIF('Special -Value added steel '!$D$48:$D$66,'Special steel '!$D50,'Special -Value added steel '!$AS$48:$AS$66)</f>
        <v>0</v>
      </c>
      <c r="AT50" s="758"/>
      <c r="AU50" s="753">
        <f t="shared" si="39"/>
        <v>2143.3519999999999</v>
      </c>
      <c r="AV50" s="758"/>
      <c r="AW50" s="703">
        <f>SUMIF('Special -Value added steel '!$D$48:$D$66,'Special steel '!$D50,'Special -Value added steel '!$AW$48:$AW$66)</f>
        <v>0</v>
      </c>
      <c r="AX50" s="758"/>
      <c r="AY50" s="753">
        <f t="shared" si="40"/>
        <v>2143.3519999999999</v>
      </c>
      <c r="AZ50" s="758"/>
      <c r="BA50" s="703">
        <f>SUMIF('Special -Value added steel '!$D$48:$D$66,'Special steel '!$D50,'Special -Value added steel '!$BA$48:$BA$66)</f>
        <v>0</v>
      </c>
      <c r="BB50" s="758"/>
      <c r="BC50" s="3509">
        <f t="shared" si="45"/>
        <v>0</v>
      </c>
      <c r="BD50" s="3605"/>
      <c r="BE50" s="1461">
        <f t="shared" si="41"/>
        <v>2143.3519999999999</v>
      </c>
      <c r="BF50" s="758"/>
      <c r="BG50" s="753">
        <f t="shared" si="42"/>
        <v>2143.3519999999999</v>
      </c>
    </row>
    <row r="51" spans="3:59" x14ac:dyDescent="0.3">
      <c r="C51" s="675" t="s">
        <v>1024</v>
      </c>
      <c r="D51" s="675" t="s">
        <v>1124</v>
      </c>
      <c r="E51" s="6452"/>
      <c r="F51" s="675"/>
      <c r="G51" s="703"/>
      <c r="H51" s="703"/>
      <c r="I51" s="703"/>
      <c r="J51" s="753"/>
      <c r="K51" s="753">
        <f t="shared" si="16"/>
        <v>0</v>
      </c>
      <c r="L51" s="703"/>
      <c r="M51" s="703"/>
      <c r="N51" s="758"/>
      <c r="O51" s="758">
        <f t="shared" si="17"/>
        <v>0</v>
      </c>
      <c r="P51" s="703"/>
      <c r="Q51" s="703"/>
      <c r="R51" s="758"/>
      <c r="S51" s="758">
        <f t="shared" si="2"/>
        <v>0</v>
      </c>
      <c r="T51" s="703"/>
      <c r="U51" s="703">
        <f>SUMIF('Special -Value added steel '!$D$48:$D$66,'Special steel '!$D51,'Special -Value added steel '!$U$48:$U$66)</f>
        <v>0</v>
      </c>
      <c r="V51" s="758"/>
      <c r="W51" s="758">
        <f t="shared" si="35"/>
        <v>0</v>
      </c>
      <c r="X51" s="758"/>
      <c r="Y51" s="703">
        <f>SUMIF('Special -Value added steel '!$D$48:$D$66,'Special steel '!$D51,'Special -Value added steel '!$Y$48:$Y$66)</f>
        <v>0</v>
      </c>
      <c r="Z51" s="758"/>
      <c r="AA51" s="3509">
        <f t="shared" si="43"/>
        <v>0</v>
      </c>
      <c r="AB51" s="3605"/>
      <c r="AC51" s="1461">
        <f t="shared" si="5"/>
        <v>0</v>
      </c>
      <c r="AD51" s="758"/>
      <c r="AE51" s="703">
        <f>SUMIF('Special -Value added steel '!$D$48:$D$66,'Special steel '!$D51,'Special -Value added steel '!$AE$48:$AE$66)</f>
        <v>1959.3679999999999</v>
      </c>
      <c r="AF51" s="758"/>
      <c r="AG51" s="758">
        <f t="shared" si="36"/>
        <v>1959.3679999999999</v>
      </c>
      <c r="AH51" s="758"/>
      <c r="AI51" s="703">
        <f>SUMIF('Special -Value added steel '!$D$48:$D$66,'Special steel '!$D51,'Special -Value added steel '!$AI$48:$AI$66)</f>
        <v>0</v>
      </c>
      <c r="AJ51" s="758"/>
      <c r="AK51" s="753">
        <f t="shared" si="37"/>
        <v>1959.3679999999999</v>
      </c>
      <c r="AL51" s="758"/>
      <c r="AM51" s="703">
        <f>SUMIF('Special -Value added steel '!$D$48:$D$66,'Special steel '!$D51,'Special -Value added steel '!$AM$48:$AM$66)</f>
        <v>397</v>
      </c>
      <c r="AN51" s="758"/>
      <c r="AO51" s="3509">
        <f t="shared" si="44"/>
        <v>2356.3679999999999</v>
      </c>
      <c r="AP51" s="758"/>
      <c r="AQ51" s="753">
        <f t="shared" si="38"/>
        <v>2356.3679999999999</v>
      </c>
      <c r="AR51" s="758"/>
      <c r="AS51" s="703">
        <f>SUMIF('Special -Value added steel '!$D$48:$D$66,'Special steel '!$D51,'Special -Value added steel '!$AS$48:$AS$66)</f>
        <v>560</v>
      </c>
      <c r="AT51" s="758"/>
      <c r="AU51" s="753">
        <f t="shared" si="39"/>
        <v>2916.3679999999999</v>
      </c>
      <c r="AV51" s="758"/>
      <c r="AW51" s="703">
        <f>SUMIF('Special -Value added steel '!$D$48:$D$66,'Special steel '!$D51,'Special -Value added steel '!$AW$48:$AW$66)</f>
        <v>0</v>
      </c>
      <c r="AX51" s="758"/>
      <c r="AY51" s="753">
        <f t="shared" si="40"/>
        <v>2916.3679999999999</v>
      </c>
      <c r="AZ51" s="758"/>
      <c r="BA51" s="703">
        <f>SUMIF('Special -Value added steel '!$D$48:$D$66,'Special steel '!$D51,'Special -Value added steel '!$BA$48:$BA$66)</f>
        <v>0</v>
      </c>
      <c r="BB51" s="758"/>
      <c r="BC51" s="3509">
        <f t="shared" si="45"/>
        <v>560</v>
      </c>
      <c r="BD51" s="3605"/>
      <c r="BE51" s="1461">
        <f t="shared" si="41"/>
        <v>2916.3679999999999</v>
      </c>
      <c r="BF51" s="758"/>
      <c r="BG51" s="753">
        <f t="shared" si="42"/>
        <v>2916.3679999999999</v>
      </c>
    </row>
    <row r="52" spans="3:59" x14ac:dyDescent="0.3">
      <c r="C52" s="675" t="s">
        <v>1024</v>
      </c>
      <c r="D52" s="675" t="s">
        <v>1459</v>
      </c>
      <c r="E52" s="6452"/>
      <c r="F52" s="675"/>
      <c r="G52" s="703"/>
      <c r="H52" s="703"/>
      <c r="I52" s="703"/>
      <c r="J52" s="753"/>
      <c r="K52" s="753">
        <f t="shared" si="16"/>
        <v>0</v>
      </c>
      <c r="L52" s="703"/>
      <c r="M52" s="703"/>
      <c r="N52" s="758"/>
      <c r="O52" s="758">
        <f t="shared" si="17"/>
        <v>0</v>
      </c>
      <c r="P52" s="703"/>
      <c r="Q52" s="703"/>
      <c r="R52" s="758"/>
      <c r="S52" s="758">
        <f t="shared" si="2"/>
        <v>0</v>
      </c>
      <c r="T52" s="703"/>
      <c r="U52" s="703">
        <f>SUMIF('Special -Value added steel '!$D$48:$D$66,'Special steel '!$D52,'Special -Value added steel '!$U$48:$U$66)</f>
        <v>0</v>
      </c>
      <c r="V52" s="758"/>
      <c r="W52" s="758">
        <f t="shared" si="35"/>
        <v>0</v>
      </c>
      <c r="X52" s="758"/>
      <c r="Y52" s="703">
        <f>SUMIF('Special -Value added steel '!$D$48:$D$66,'Special steel '!$D52,'Special -Value added steel '!$Y$48:$Y$66)</f>
        <v>0</v>
      </c>
      <c r="Z52" s="758"/>
      <c r="AA52" s="3509">
        <f t="shared" si="43"/>
        <v>0</v>
      </c>
      <c r="AB52" s="3605"/>
      <c r="AC52" s="1461">
        <f t="shared" si="5"/>
        <v>0</v>
      </c>
      <c r="AD52" s="758"/>
      <c r="AE52" s="703">
        <f>SUMIF('Special -Value added steel '!$D$48:$D$66,'Special steel '!$D52,'Special -Value added steel '!$AE$48:$AE$66)</f>
        <v>0</v>
      </c>
      <c r="AF52" s="758"/>
      <c r="AG52" s="758">
        <f t="shared" si="36"/>
        <v>0</v>
      </c>
      <c r="AH52" s="758"/>
      <c r="AI52" s="703">
        <f>SUMIF('Special -Value added steel '!$D$48:$D$66,'Special steel '!$D52,'Special -Value added steel '!$AI$48:$AI$66)</f>
        <v>0</v>
      </c>
      <c r="AJ52" s="758"/>
      <c r="AK52" s="753">
        <f t="shared" si="37"/>
        <v>0</v>
      </c>
      <c r="AL52" s="758"/>
      <c r="AM52" s="703">
        <f>SUMIF('Special -Value added steel '!$D$48:$D$66,'Special steel '!$D52,'Special -Value added steel '!$AM$48:$AM$66)</f>
        <v>171</v>
      </c>
      <c r="AN52" s="758"/>
      <c r="AO52" s="3509">
        <f t="shared" si="44"/>
        <v>171</v>
      </c>
      <c r="AP52" s="758"/>
      <c r="AQ52" s="753">
        <f t="shared" si="38"/>
        <v>171</v>
      </c>
      <c r="AR52" s="758"/>
      <c r="AS52" s="703">
        <f>SUMIF('Special -Value added steel '!$D$48:$D$66,'Special steel '!$D52,'Special -Value added steel '!$AS$48:$AS$66)</f>
        <v>0</v>
      </c>
      <c r="AT52" s="758"/>
      <c r="AU52" s="753">
        <f t="shared" si="39"/>
        <v>171</v>
      </c>
      <c r="AV52" s="758"/>
      <c r="AW52" s="703">
        <f>SUMIF('Special -Value added steel '!$D$48:$D$66,'Special steel '!$D52,'Special -Value added steel '!$AW$48:$AW$66)</f>
        <v>207.172</v>
      </c>
      <c r="AX52" s="758"/>
      <c r="AY52" s="753">
        <f t="shared" si="40"/>
        <v>378.17200000000003</v>
      </c>
      <c r="AZ52" s="758"/>
      <c r="BA52" s="703">
        <f>SUMIF('Special -Value added steel '!$D$48:$D$66,'Special steel '!$D52,'Special -Value added steel '!$BA$48:$BA$66)</f>
        <v>228</v>
      </c>
      <c r="BB52" s="758"/>
      <c r="BC52" s="3509">
        <f t="shared" si="45"/>
        <v>435.17200000000003</v>
      </c>
      <c r="BD52" s="3605"/>
      <c r="BE52" s="1461">
        <f t="shared" si="41"/>
        <v>606.17200000000003</v>
      </c>
      <c r="BF52" s="758"/>
      <c r="BG52" s="753">
        <f t="shared" si="42"/>
        <v>606.17200000000003</v>
      </c>
    </row>
    <row r="53" spans="3:59" s="4234" customFormat="1" x14ac:dyDescent="0.3">
      <c r="C53" s="675" t="s">
        <v>1024</v>
      </c>
      <c r="D53" s="675" t="s">
        <v>1752</v>
      </c>
      <c r="E53" s="6452"/>
      <c r="F53" s="675"/>
      <c r="G53" s="703"/>
      <c r="H53" s="703"/>
      <c r="I53" s="703"/>
      <c r="J53" s="753"/>
      <c r="K53" s="753"/>
      <c r="L53" s="703"/>
      <c r="M53" s="703"/>
      <c r="N53" s="758"/>
      <c r="O53" s="758"/>
      <c r="P53" s="703"/>
      <c r="Q53" s="703"/>
      <c r="R53" s="758"/>
      <c r="S53" s="758"/>
      <c r="T53" s="703"/>
      <c r="U53" s="703">
        <f>SUMIF('Special -Value added steel '!$D$48:$D$66,'Special steel '!$D53,'Special -Value added steel '!$U$48:$U$66)</f>
        <v>849.8280000000002</v>
      </c>
      <c r="V53" s="758"/>
      <c r="W53" s="758"/>
      <c r="X53" s="758"/>
      <c r="Y53" s="703">
        <f>SUMIF('Special -Value added steel '!$D$48:$D$66,'Special steel '!$D53,'Special -Value added steel '!$Y$48:$Y$66)</f>
        <v>769.49599999999998</v>
      </c>
      <c r="Z53" s="758"/>
      <c r="AA53" s="3509">
        <f t="shared" si="43"/>
        <v>1619.3240000000001</v>
      </c>
      <c r="AB53" s="3605"/>
      <c r="AC53" s="1461">
        <f t="shared" si="5"/>
        <v>1619.3240000000001</v>
      </c>
      <c r="AD53" s="758"/>
      <c r="AE53" s="703">
        <f>SUMIF('Special -Value added steel '!$D$48:$D$66,'Special steel '!$D53,'Special -Value added steel '!$AE$48:$AE$66)</f>
        <v>2272.5499999999997</v>
      </c>
      <c r="AF53" s="758"/>
      <c r="AG53" s="758">
        <f t="shared" si="36"/>
        <v>3891.8739999999998</v>
      </c>
      <c r="AH53" s="758"/>
      <c r="AI53" s="703">
        <f>SUMIF('Special -Value added steel '!$D$48:$D$66,'Special steel '!$D53,'Special -Value added steel '!$AI$48:$AI$66)</f>
        <v>1201</v>
      </c>
      <c r="AJ53" s="758"/>
      <c r="AK53" s="753">
        <f t="shared" si="37"/>
        <v>5092.8739999999998</v>
      </c>
      <c r="AL53" s="758"/>
      <c r="AM53" s="703">
        <f>SUMIF('Special -Value added steel '!$D$48:$D$66,'Special steel '!$D53,'Special -Value added steel '!$AM$48:$AM$66)</f>
        <v>865</v>
      </c>
      <c r="AN53" s="758"/>
      <c r="AO53" s="3509">
        <f t="shared" si="44"/>
        <v>4338.5499999999993</v>
      </c>
      <c r="AP53" s="758"/>
      <c r="AQ53" s="753">
        <f t="shared" si="38"/>
        <v>5957.8739999999998</v>
      </c>
      <c r="AR53" s="758"/>
      <c r="AS53" s="703">
        <f>SUMIF('Special -Value added steel '!$D$48:$D$66,'Special steel '!$D53,'Special -Value added steel '!$AS$48:$AS$66)</f>
        <v>243</v>
      </c>
      <c r="AT53" s="758"/>
      <c r="AU53" s="753">
        <f t="shared" si="39"/>
        <v>6200.8739999999998</v>
      </c>
      <c r="AV53" s="758"/>
      <c r="AW53" s="703">
        <f>SUMIF('Special -Value added steel '!$D$48:$D$66,'Special steel '!$D53,'Special -Value added steel '!$AW$48:$AW$66)</f>
        <v>1325.4780000000001</v>
      </c>
      <c r="AX53" s="758"/>
      <c r="AY53" s="753">
        <f t="shared" si="40"/>
        <v>7526.3519999999999</v>
      </c>
      <c r="AZ53" s="758"/>
      <c r="BA53" s="703">
        <f>SUMIF('Special -Value added steel '!$D$48:$D$66,'Special steel '!$D53,'Special -Value added steel '!$BA$48:$BA$66)</f>
        <v>839</v>
      </c>
      <c r="BB53" s="758"/>
      <c r="BC53" s="3509">
        <f t="shared" si="45"/>
        <v>2407.4780000000001</v>
      </c>
      <c r="BD53" s="3605"/>
      <c r="BE53" s="1461">
        <f t="shared" si="41"/>
        <v>8365.351999999999</v>
      </c>
      <c r="BF53" s="758"/>
      <c r="BG53" s="753">
        <f t="shared" si="42"/>
        <v>8365.351999999999</v>
      </c>
    </row>
    <row r="54" spans="3:59" x14ac:dyDescent="0.3">
      <c r="C54" s="675" t="s">
        <v>1024</v>
      </c>
      <c r="D54" s="675" t="s">
        <v>1346</v>
      </c>
      <c r="E54" s="6452"/>
      <c r="F54" s="675"/>
      <c r="G54" s="703">
        <v>0</v>
      </c>
      <c r="H54" s="703"/>
      <c r="I54" s="703">
        <v>0</v>
      </c>
      <c r="J54" s="753"/>
      <c r="K54" s="753">
        <f t="shared" si="16"/>
        <v>0</v>
      </c>
      <c r="L54" s="703"/>
      <c r="M54" s="703">
        <v>713.32800000000009</v>
      </c>
      <c r="N54" s="758"/>
      <c r="O54" s="758">
        <f t="shared" si="17"/>
        <v>713.32800000000009</v>
      </c>
      <c r="P54" s="703"/>
      <c r="Q54" s="703">
        <v>0</v>
      </c>
      <c r="R54" s="758"/>
      <c r="S54" s="758">
        <f t="shared" si="2"/>
        <v>713.32800000000009</v>
      </c>
      <c r="T54" s="703"/>
      <c r="U54" s="703">
        <f>SUMIF('Special -Value added steel '!$D$48:$D$66,'Special steel '!$D54,'Special -Value added steel '!$U$48:$U$66)</f>
        <v>0</v>
      </c>
      <c r="V54" s="758"/>
      <c r="W54" s="758">
        <f t="shared" si="35"/>
        <v>713.32800000000009</v>
      </c>
      <c r="X54" s="758"/>
      <c r="Y54" s="703">
        <f>SUMIF('Special -Value added steel '!$D$48:$D$66,'Special steel '!$D54,'Special -Value added steel '!$Y$48:$Y$66)</f>
        <v>0</v>
      </c>
      <c r="Z54" s="758"/>
      <c r="AA54" s="3509">
        <f t="shared" si="43"/>
        <v>0</v>
      </c>
      <c r="AB54" s="3605"/>
      <c r="AC54" s="1461">
        <f t="shared" si="5"/>
        <v>713.32800000000009</v>
      </c>
      <c r="AD54" s="758"/>
      <c r="AE54" s="703">
        <f>SUMIF('Special -Value added steel '!$D$48:$D$66,'Special steel '!$D54,'Special -Value added steel '!$AE$48:$AE$66)</f>
        <v>0</v>
      </c>
      <c r="AF54" s="758"/>
      <c r="AG54" s="758">
        <f t="shared" si="36"/>
        <v>713.32800000000009</v>
      </c>
      <c r="AH54" s="758"/>
      <c r="AI54" s="703">
        <f>SUMIF('Special -Value added steel '!$D$48:$D$66,'Special steel '!$D54,'Special -Value added steel '!$AI$48:$AI$66)</f>
        <v>0</v>
      </c>
      <c r="AJ54" s="758"/>
      <c r="AK54" s="753">
        <f t="shared" si="37"/>
        <v>713.32800000000009</v>
      </c>
      <c r="AL54" s="758"/>
      <c r="AM54" s="703">
        <f>SUMIF('Special -Value added steel '!$D$48:$D$66,'Special steel '!$D54,'Special -Value added steel '!$AM$48:$AM$66)</f>
        <v>0</v>
      </c>
      <c r="AN54" s="758"/>
      <c r="AO54" s="3509">
        <f t="shared" si="44"/>
        <v>0</v>
      </c>
      <c r="AP54" s="758"/>
      <c r="AQ54" s="753">
        <f t="shared" si="38"/>
        <v>713.32800000000009</v>
      </c>
      <c r="AR54" s="758"/>
      <c r="AS54" s="703">
        <f>SUMIF('Special -Value added steel '!$D$48:$D$66,'Special steel '!$D54,'Special -Value added steel '!$AS$48:$AS$66)</f>
        <v>0</v>
      </c>
      <c r="AT54" s="758"/>
      <c r="AU54" s="753">
        <f t="shared" si="39"/>
        <v>713.32800000000009</v>
      </c>
      <c r="AV54" s="758"/>
      <c r="AW54" s="703">
        <f>SUMIF('Special -Value added steel '!$D$48:$D$66,'Special steel '!$D54,'Special -Value added steel '!$AW$48:$AW$66)</f>
        <v>0</v>
      </c>
      <c r="AX54" s="758"/>
      <c r="AY54" s="753">
        <f t="shared" si="40"/>
        <v>713.32800000000009</v>
      </c>
      <c r="AZ54" s="758"/>
      <c r="BA54" s="703">
        <f>SUMIF('Special -Value added steel '!$D$48:$D$66,'Special steel '!$D54,'Special -Value added steel '!$BA$48:$BA$66)</f>
        <v>0</v>
      </c>
      <c r="BB54" s="758"/>
      <c r="BC54" s="3509">
        <f t="shared" si="45"/>
        <v>0</v>
      </c>
      <c r="BD54" s="3605"/>
      <c r="BE54" s="1461">
        <f t="shared" si="41"/>
        <v>713.32800000000009</v>
      </c>
      <c r="BF54" s="758"/>
      <c r="BG54" s="753">
        <f t="shared" si="42"/>
        <v>713.32800000000009</v>
      </c>
    </row>
    <row r="55" spans="3:59" x14ac:dyDescent="0.3">
      <c r="C55" s="675" t="s">
        <v>1024</v>
      </c>
      <c r="D55" s="675" t="s">
        <v>1332</v>
      </c>
      <c r="E55" s="6452"/>
      <c r="F55" s="675"/>
      <c r="G55" s="703"/>
      <c r="H55" s="703"/>
      <c r="I55" s="703"/>
      <c r="J55" s="753"/>
      <c r="K55" s="753">
        <f t="shared" si="16"/>
        <v>0</v>
      </c>
      <c r="L55" s="703"/>
      <c r="M55" s="703"/>
      <c r="N55" s="758"/>
      <c r="O55" s="758">
        <f t="shared" si="17"/>
        <v>0</v>
      </c>
      <c r="P55" s="703"/>
      <c r="Q55" s="703"/>
      <c r="R55" s="758"/>
      <c r="S55" s="758">
        <f t="shared" si="2"/>
        <v>0</v>
      </c>
      <c r="T55" s="703"/>
      <c r="U55" s="703">
        <f>SUMIF('Special -Value added steel '!$D$48:$D$66,'Special steel '!$D55,'Special -Value added steel '!$U$48:$U$66)</f>
        <v>99.358000000000004</v>
      </c>
      <c r="V55" s="758"/>
      <c r="W55" s="758">
        <f t="shared" si="35"/>
        <v>99.358000000000004</v>
      </c>
      <c r="X55" s="758"/>
      <c r="Y55" s="703">
        <f>SUMIF('Special -Value added steel '!$D$48:$D$66,'Special steel '!$D55,'Special -Value added steel '!$Y$48:$Y$66)</f>
        <v>298.07399999999996</v>
      </c>
      <c r="Z55" s="758"/>
      <c r="AA55" s="3509">
        <f t="shared" si="43"/>
        <v>397.43199999999996</v>
      </c>
      <c r="AB55" s="3605"/>
      <c r="AC55" s="1461">
        <f t="shared" si="5"/>
        <v>397.43199999999996</v>
      </c>
      <c r="AD55" s="758"/>
      <c r="AE55" s="703">
        <f>SUMIF('Special -Value added steel '!$D$48:$D$66,'Special steel '!$D55,'Special -Value added steel '!$AE$48:$AE$66)</f>
        <v>0</v>
      </c>
      <c r="AF55" s="758"/>
      <c r="AG55" s="758">
        <f t="shared" si="36"/>
        <v>397.43199999999996</v>
      </c>
      <c r="AH55" s="758"/>
      <c r="AI55" s="703">
        <f>SUMIF('Special -Value added steel '!$D$48:$D$66,'Special steel '!$D55,'Special -Value added steel '!$AI$48:$AI$66)</f>
        <v>0</v>
      </c>
      <c r="AJ55" s="758"/>
      <c r="AK55" s="753">
        <f t="shared" si="37"/>
        <v>397.43199999999996</v>
      </c>
      <c r="AL55" s="758"/>
      <c r="AM55" s="703">
        <f>SUMIF('Special -Value added steel '!$D$48:$D$66,'Special steel '!$D55,'Special -Value added steel '!$AM$48:$AM$66)</f>
        <v>0</v>
      </c>
      <c r="AN55" s="758"/>
      <c r="AO55" s="3509">
        <f t="shared" si="44"/>
        <v>0</v>
      </c>
      <c r="AP55" s="758"/>
      <c r="AQ55" s="753">
        <f t="shared" si="38"/>
        <v>397.43199999999996</v>
      </c>
      <c r="AR55" s="758"/>
      <c r="AS55" s="703">
        <f>SUMIF('Special -Value added steel '!$D$48:$D$66,'Special steel '!$D55,'Special -Value added steel '!$AS$48:$AS$66)</f>
        <v>0</v>
      </c>
      <c r="AT55" s="758"/>
      <c r="AU55" s="753">
        <f t="shared" si="39"/>
        <v>397.43199999999996</v>
      </c>
      <c r="AV55" s="758"/>
      <c r="AW55" s="703">
        <f>SUMIF('Special -Value added steel '!$D$48:$D$66,'Special steel '!$D55,'Special -Value added steel '!$AW$48:$AW$66)</f>
        <v>120.498</v>
      </c>
      <c r="AX55" s="758"/>
      <c r="AY55" s="753">
        <f t="shared" si="40"/>
        <v>517.92999999999995</v>
      </c>
      <c r="AZ55" s="758"/>
      <c r="BA55" s="703">
        <f>SUMIF('Special -Value added steel '!$D$48:$D$66,'Special steel '!$D55,'Special -Value added steel '!$BA$48:$BA$66)</f>
        <v>0</v>
      </c>
      <c r="BB55" s="758"/>
      <c r="BC55" s="3509">
        <f t="shared" si="45"/>
        <v>120.498</v>
      </c>
      <c r="BD55" s="3605"/>
      <c r="BE55" s="1461">
        <f t="shared" si="41"/>
        <v>517.92999999999995</v>
      </c>
      <c r="BF55" s="758"/>
      <c r="BG55" s="753">
        <f t="shared" si="42"/>
        <v>517.92999999999995</v>
      </c>
    </row>
    <row r="56" spans="3:59" x14ac:dyDescent="0.3">
      <c r="C56" s="675" t="s">
        <v>1024</v>
      </c>
      <c r="D56" s="675" t="s">
        <v>1185</v>
      </c>
      <c r="E56" s="6452"/>
      <c r="F56" s="675"/>
      <c r="G56" s="703">
        <v>630.53099999999995</v>
      </c>
      <c r="H56" s="703"/>
      <c r="I56" s="703">
        <v>0</v>
      </c>
      <c r="J56" s="753"/>
      <c r="K56" s="753">
        <f t="shared" si="16"/>
        <v>630.53099999999995</v>
      </c>
      <c r="L56" s="703"/>
      <c r="M56" s="703">
        <v>0</v>
      </c>
      <c r="N56" s="758"/>
      <c r="O56" s="758">
        <f t="shared" si="17"/>
        <v>630.53099999999995</v>
      </c>
      <c r="P56" s="703"/>
      <c r="Q56" s="703">
        <v>913.24800000000005</v>
      </c>
      <c r="R56" s="758"/>
      <c r="S56" s="758">
        <f t="shared" si="2"/>
        <v>1543.779</v>
      </c>
      <c r="T56" s="703"/>
      <c r="U56" s="703">
        <f>SUMIF('Special -Value added steel '!$D$48:$D$66,'Special steel '!$D56,'Special -Value added steel '!$U$48:$U$66)</f>
        <v>587.69200000000012</v>
      </c>
      <c r="V56" s="758"/>
      <c r="W56" s="758">
        <f t="shared" si="35"/>
        <v>2131.471</v>
      </c>
      <c r="X56" s="758"/>
      <c r="Y56" s="703">
        <f>SUMIF('Special -Value added steel '!$D$48:$D$66,'Special steel '!$D56,'Special -Value added steel '!$Y$48:$Y$66)</f>
        <v>1143.674</v>
      </c>
      <c r="Z56" s="758"/>
      <c r="AA56" s="3509">
        <f t="shared" si="43"/>
        <v>2644.614</v>
      </c>
      <c r="AB56" s="3605"/>
      <c r="AC56" s="1461">
        <f t="shared" si="5"/>
        <v>3275.145</v>
      </c>
      <c r="AD56" s="758"/>
      <c r="AE56" s="703">
        <f>SUMIF('Special -Value added steel '!$D$48:$D$66,'Special steel '!$D56,'Special -Value added steel '!$AE$48:$AE$66)</f>
        <v>0</v>
      </c>
      <c r="AF56" s="758"/>
      <c r="AG56" s="758">
        <f t="shared" si="36"/>
        <v>3275.145</v>
      </c>
      <c r="AH56" s="758"/>
      <c r="AI56" s="703">
        <f>SUMIF('Special -Value added steel '!$D$48:$D$66,'Special steel '!$D56,'Special -Value added steel '!$AI$48:$AI$66)</f>
        <v>127</v>
      </c>
      <c r="AJ56" s="758"/>
      <c r="AK56" s="753">
        <f t="shared" si="37"/>
        <v>3402.145</v>
      </c>
      <c r="AL56" s="758"/>
      <c r="AM56" s="703">
        <f>SUMIF('Special -Value added steel '!$D$48:$D$66,'Special steel '!$D56,'Special -Value added steel '!$AM$48:$AM$66)</f>
        <v>0</v>
      </c>
      <c r="AN56" s="758"/>
      <c r="AO56" s="3509">
        <f t="shared" si="44"/>
        <v>127</v>
      </c>
      <c r="AP56" s="758"/>
      <c r="AQ56" s="753">
        <f t="shared" si="38"/>
        <v>3402.145</v>
      </c>
      <c r="AR56" s="758"/>
      <c r="AS56" s="703">
        <f>SUMIF('Special -Value added steel '!$D$48:$D$66,'Special steel '!$D56,'Special -Value added steel '!$AS$48:$AS$66)</f>
        <v>0</v>
      </c>
      <c r="AT56" s="758"/>
      <c r="AU56" s="753">
        <f t="shared" si="39"/>
        <v>3402.145</v>
      </c>
      <c r="AV56" s="758"/>
      <c r="AW56" s="703">
        <f>SUMIF('Special -Value added steel '!$D$48:$D$66,'Special steel '!$D56,'Special -Value added steel '!$AW$48:$AW$66)</f>
        <v>255.79400000000001</v>
      </c>
      <c r="AX56" s="758"/>
      <c r="AY56" s="753">
        <f t="shared" si="40"/>
        <v>3657.9389999999999</v>
      </c>
      <c r="AZ56" s="758"/>
      <c r="BA56" s="703">
        <f>SUMIF('Special -Value added steel '!$D$48:$D$66,'Special steel '!$D56,'Special -Value added steel '!$BA$48:$BA$66)</f>
        <v>345</v>
      </c>
      <c r="BB56" s="758"/>
      <c r="BC56" s="3509">
        <f t="shared" si="45"/>
        <v>600.79399999999998</v>
      </c>
      <c r="BD56" s="3605"/>
      <c r="BE56" s="1461">
        <f t="shared" si="41"/>
        <v>4002.9389999999999</v>
      </c>
      <c r="BF56" s="758"/>
      <c r="BG56" s="753">
        <f t="shared" si="42"/>
        <v>4002.9389999999999</v>
      </c>
    </row>
    <row r="57" spans="3:59" x14ac:dyDescent="0.3">
      <c r="C57" s="675" t="s">
        <v>1024</v>
      </c>
      <c r="D57" s="675" t="s">
        <v>1037</v>
      </c>
      <c r="E57" s="6452"/>
      <c r="F57" s="675"/>
      <c r="G57" s="703">
        <v>11770</v>
      </c>
      <c r="H57" s="702"/>
      <c r="I57" s="703">
        <v>5433</v>
      </c>
      <c r="J57" s="755"/>
      <c r="K57" s="753">
        <f t="shared" si="16"/>
        <v>17203</v>
      </c>
      <c r="L57" s="702"/>
      <c r="M57" s="703">
        <v>8619.3799999999992</v>
      </c>
      <c r="N57" s="760"/>
      <c r="O57" s="758">
        <f t="shared" si="17"/>
        <v>25822.379999999997</v>
      </c>
      <c r="P57" s="702"/>
      <c r="Q57" s="703">
        <v>10630</v>
      </c>
      <c r="R57" s="760"/>
      <c r="S57" s="758">
        <f t="shared" si="2"/>
        <v>36452.379999999997</v>
      </c>
      <c r="T57" s="702"/>
      <c r="U57" s="703">
        <f>SUMIF('Special -Value added steel '!$D$48:$D$66,'Special steel '!$D57,'Special -Value added steel '!$U$48:$U$66)</f>
        <v>12119.561999999996</v>
      </c>
      <c r="V57" s="760"/>
      <c r="W57" s="758">
        <f t="shared" si="35"/>
        <v>48571.941999999995</v>
      </c>
      <c r="X57" s="758"/>
      <c r="Y57" s="703">
        <f>SUMIF('Special -Value added steel '!$D$48:$D$66,'Special steel '!$D57,'Special -Value added steel '!$Y$48:$Y$66)</f>
        <v>6111.5740000000014</v>
      </c>
      <c r="Z57" s="760"/>
      <c r="AA57" s="3509">
        <f t="shared" si="43"/>
        <v>28861.135999999999</v>
      </c>
      <c r="AB57" s="3605"/>
      <c r="AC57" s="1461">
        <f t="shared" si="5"/>
        <v>54683.515999999996</v>
      </c>
      <c r="AD57" s="758"/>
      <c r="AE57" s="703">
        <f>SUMIF('Special -Value added steel '!$D$48:$D$66,'Special steel '!$D57,'Special -Value added steel '!$AE$48:$AE$66)</f>
        <v>9584.8759999999984</v>
      </c>
      <c r="AF57" s="760"/>
      <c r="AG57" s="758">
        <f t="shared" si="36"/>
        <v>64268.391999999993</v>
      </c>
      <c r="AH57" s="758"/>
      <c r="AI57" s="703">
        <f>SUMIF('Special -Value added steel '!$D$48:$D$66,'Special steel '!$D57,'Special -Value added steel '!$AI$48:$AI$66)</f>
        <v>11382</v>
      </c>
      <c r="AJ57" s="760"/>
      <c r="AK57" s="753">
        <f t="shared" si="37"/>
        <v>75650.391999999993</v>
      </c>
      <c r="AL57" s="758"/>
      <c r="AM57" s="703">
        <f>SUMIF('Special -Value added steel '!$D$48:$D$66,'Special steel '!$D57,'Special -Value added steel '!$AM$48:$AM$66)</f>
        <v>13698</v>
      </c>
      <c r="AN57" s="760"/>
      <c r="AO57" s="3509">
        <f t="shared" si="44"/>
        <v>34664.875999999997</v>
      </c>
      <c r="AP57" s="760"/>
      <c r="AQ57" s="753">
        <f t="shared" si="38"/>
        <v>89348.391999999993</v>
      </c>
      <c r="AR57" s="758"/>
      <c r="AS57" s="703">
        <f>SUMIF('Special -Value added steel '!$D$48:$D$66,'Special steel '!$D57,'Special -Value added steel '!$AS$48:$AS$66)</f>
        <v>13040</v>
      </c>
      <c r="AT57" s="760"/>
      <c r="AU57" s="753">
        <f t="shared" si="39"/>
        <v>102388.39199999999</v>
      </c>
      <c r="AV57" s="758"/>
      <c r="AW57" s="703">
        <f>SUMIF('Special -Value added steel '!$D$48:$D$66,'Special steel '!$D57,'Special -Value added steel '!$AW$48:$AW$66)</f>
        <v>11221</v>
      </c>
      <c r="AX57" s="760"/>
      <c r="AY57" s="753">
        <f t="shared" si="40"/>
        <v>113609.39199999999</v>
      </c>
      <c r="AZ57" s="758"/>
      <c r="BA57" s="703">
        <f>SUMIF('Special -Value added steel '!$D$48:$D$66,'Special steel '!$D57,'Special -Value added steel '!$BA$48:$BA$66)</f>
        <v>13420</v>
      </c>
      <c r="BB57" s="760"/>
      <c r="BC57" s="3509">
        <f t="shared" si="45"/>
        <v>37681</v>
      </c>
      <c r="BD57" s="3605"/>
      <c r="BE57" s="1461">
        <f t="shared" si="41"/>
        <v>127029.39199999999</v>
      </c>
      <c r="BF57" s="760"/>
      <c r="BG57" s="753">
        <f t="shared" si="42"/>
        <v>127029.39199999999</v>
      </c>
    </row>
    <row r="58" spans="3:59" x14ac:dyDescent="0.3">
      <c r="C58" s="6445" t="s">
        <v>1088</v>
      </c>
      <c r="D58" s="6445"/>
      <c r="E58" s="6452"/>
      <c r="F58" s="763"/>
      <c r="G58" s="764">
        <f>SUM(G43:G57)</f>
        <v>15419.437</v>
      </c>
      <c r="H58" s="764"/>
      <c r="I58" s="764">
        <f>SUM(I43:I57)</f>
        <v>6290.692</v>
      </c>
      <c r="J58" s="764"/>
      <c r="K58" s="765">
        <f>SUM(K43:K57)</f>
        <v>21710.129000000001</v>
      </c>
      <c r="L58" s="764"/>
      <c r="M58" s="764">
        <f>SUM(M43:M57)</f>
        <v>11708.344999999999</v>
      </c>
      <c r="N58" s="764"/>
      <c r="O58" s="764">
        <f>SUM(O43:O57)</f>
        <v>33418.474000000002</v>
      </c>
      <c r="P58" s="764"/>
      <c r="Q58" s="764">
        <f>SUM(Q43:Q57)</f>
        <v>16263.938000000002</v>
      </c>
      <c r="R58" s="764"/>
      <c r="S58" s="764">
        <f>SUM(S43:S57)</f>
        <v>49682.411999999997</v>
      </c>
      <c r="T58" s="764"/>
      <c r="U58" s="764">
        <f>SUM(U43:U57)</f>
        <v>14990.373999999996</v>
      </c>
      <c r="V58" s="764"/>
      <c r="W58" s="764">
        <f>SUM(W43:W57)</f>
        <v>63822.957999999999</v>
      </c>
      <c r="X58" s="764"/>
      <c r="Y58" s="764">
        <f>SUM(Y43:Y57)</f>
        <v>9521.3880000000026</v>
      </c>
      <c r="Z58" s="764"/>
      <c r="AA58" s="3510">
        <f>SUM(AA43:AA57)</f>
        <v>40775.699999999997</v>
      </c>
      <c r="AB58" s="3605"/>
      <c r="AC58" s="3510">
        <f t="shared" si="5"/>
        <v>74194.173999999999</v>
      </c>
      <c r="AD58" s="764"/>
      <c r="AE58" s="764">
        <f>SUM(AE43:AE57)</f>
        <v>17032.187999999998</v>
      </c>
      <c r="AF58" s="764"/>
      <c r="AG58" s="764">
        <f>SUM(AG43:AG57)</f>
        <v>91226.361999999994</v>
      </c>
      <c r="AH58" s="764"/>
      <c r="AI58" s="764">
        <f>SUM(AI43:AI57)</f>
        <v>15772</v>
      </c>
      <c r="AJ58" s="764"/>
      <c r="AK58" s="764">
        <f>SUM(AK43:AK57)</f>
        <v>106998.36199999999</v>
      </c>
      <c r="AL58" s="764"/>
      <c r="AM58" s="764">
        <f>SUM(AM43:AM57)</f>
        <v>19828</v>
      </c>
      <c r="AN58" s="764"/>
      <c r="AO58" s="3510">
        <f>SUM(AO43:AO57)</f>
        <v>52632.187999999995</v>
      </c>
      <c r="AP58" s="764"/>
      <c r="AQ58" s="764">
        <f>SUM(AQ43:AQ57)</f>
        <v>126826.36199999999</v>
      </c>
      <c r="AR58" s="764"/>
      <c r="AS58" s="764">
        <f>SUM(AS43:AS57)</f>
        <v>17075</v>
      </c>
      <c r="AT58" s="764"/>
      <c r="AU58" s="764">
        <f>SUM(AU43:AU57)</f>
        <v>143901.36199999999</v>
      </c>
      <c r="AV58" s="764"/>
      <c r="AW58" s="764">
        <f>SUM(AW43:AW57)</f>
        <v>18713.015999999996</v>
      </c>
      <c r="AX58" s="764"/>
      <c r="AY58" s="764">
        <f>SUM(AY43:AY57)</f>
        <v>162614.378</v>
      </c>
      <c r="AZ58" s="764"/>
      <c r="BA58" s="764">
        <f>SUM(BA43:BA57)</f>
        <v>17692</v>
      </c>
      <c r="BB58" s="764"/>
      <c r="BC58" s="3510">
        <f>SUM(BC43:BC57)</f>
        <v>53480.015999999996</v>
      </c>
      <c r="BD58" s="3605"/>
      <c r="BE58" s="3510">
        <f t="shared" si="41"/>
        <v>180306.378</v>
      </c>
      <c r="BF58" s="764"/>
      <c r="BG58" s="764">
        <f>SUM(BG43:BG57)</f>
        <v>180306.378</v>
      </c>
    </row>
    <row r="59" spans="3:59" x14ac:dyDescent="0.3">
      <c r="C59" s="675" t="s">
        <v>1025</v>
      </c>
      <c r="D59" s="675" t="s">
        <v>1038</v>
      </c>
      <c r="E59" s="6452"/>
      <c r="F59" s="675"/>
      <c r="G59" s="1520"/>
      <c r="H59" s="1361"/>
      <c r="I59" s="676"/>
      <c r="J59" s="755"/>
      <c r="K59" s="753">
        <f t="shared" si="16"/>
        <v>0</v>
      </c>
      <c r="L59" s="1361"/>
      <c r="M59" s="676"/>
      <c r="N59" s="760"/>
      <c r="O59" s="758">
        <f t="shared" si="17"/>
        <v>0</v>
      </c>
      <c r="P59" s="2453"/>
      <c r="Q59" s="676">
        <v>0</v>
      </c>
      <c r="R59" s="760"/>
      <c r="S59" s="758">
        <f t="shared" ref="S59:S66" si="47">+K59+M59+Q59</f>
        <v>0</v>
      </c>
      <c r="T59" s="2768"/>
      <c r="U59" s="676">
        <f>SUMIF('Special -Value added steel '!$D$68:$D$78,$D59,'Special -Value added steel '!$U$68:$U$78)</f>
        <v>0</v>
      </c>
      <c r="V59" s="760"/>
      <c r="W59" s="758">
        <f t="shared" ref="W59" si="48">+O59+Q59+U59</f>
        <v>0</v>
      </c>
      <c r="X59" s="758"/>
      <c r="Y59" s="676">
        <f>SUMIF('Special -Value added steel '!$D$68:$D$78,$D59,'Special -Value added steel '!$Y$68:$Y$78)</f>
        <v>0</v>
      </c>
      <c r="Z59" s="760"/>
      <c r="AA59" s="3509">
        <f>Q59+U59+Y59</f>
        <v>0</v>
      </c>
      <c r="AB59" s="3605"/>
      <c r="AC59" s="1461">
        <f t="shared" si="5"/>
        <v>0</v>
      </c>
      <c r="AD59" s="758"/>
      <c r="AE59" s="676">
        <f>SUMIF('Special -Value added steel '!$D$68:$D$78,$D59,'Special -Value added steel '!$AE$68:$AE$78)</f>
        <v>0</v>
      </c>
      <c r="AF59" s="760"/>
      <c r="AG59" s="758">
        <f t="shared" ref="AG59:AG66" si="49">+Y59+AA59+AE59</f>
        <v>0</v>
      </c>
      <c r="AH59" s="758"/>
      <c r="AI59" s="676">
        <f>SUMIF('Special -Value added steel '!$D$68:$D$78,$D59,'Special -Value added steel '!$AI$68:$AI$78)</f>
        <v>0</v>
      </c>
      <c r="AJ59" s="760"/>
      <c r="AK59" s="753">
        <f t="shared" ref="AK59:AK66" si="50">+AC59+AE59+AI59</f>
        <v>0</v>
      </c>
      <c r="AL59" s="758"/>
      <c r="AM59" s="676">
        <f>SUMIF('Special -Value added steel '!$D$68:$D$78,$D59,'Special -Value added steel '!$AM$68:$AM$78)</f>
        <v>0</v>
      </c>
      <c r="AN59" s="760"/>
      <c r="AO59" s="3509">
        <f>AE59+AI59+AM59</f>
        <v>0</v>
      </c>
      <c r="AP59" s="760"/>
      <c r="AQ59" s="753">
        <f t="shared" ref="AQ59:AQ66" si="51">+AG59+AI59+AM59</f>
        <v>0</v>
      </c>
      <c r="AR59" s="758"/>
      <c r="AS59" s="676">
        <f>SUMIF('Special -Value added steel '!$D$68:$D$78,$D59,'Special -Value added steel '!$AS$68:$AS$78)</f>
        <v>0</v>
      </c>
      <c r="AT59" s="760"/>
      <c r="AU59" s="753">
        <f t="shared" ref="AU59:AU66" si="52">+AM59+AO59+AS59</f>
        <v>0</v>
      </c>
      <c r="AV59" s="758"/>
      <c r="AW59" s="676">
        <f>SUMIF('Special -Value added steel '!$D$68:$D$78,$D59,'Special -Value added steel '!$AW$68:$AW$78)</f>
        <v>0</v>
      </c>
      <c r="AX59" s="760"/>
      <c r="AY59" s="753">
        <f t="shared" ref="AY59:AY66" si="53">+AQ59+AS59+AW59</f>
        <v>0</v>
      </c>
      <c r="AZ59" s="758"/>
      <c r="BA59" s="676">
        <f>SUMIF('Special -Value added steel '!$D$68:$D$78,$D59,'Special -Value added steel '!$BA$68:$BA$78)</f>
        <v>0</v>
      </c>
      <c r="BB59" s="760"/>
      <c r="BC59" s="3509">
        <f>AS59+AW59+BA59</f>
        <v>0</v>
      </c>
      <c r="BD59" s="3605"/>
      <c r="BE59" s="1461">
        <f t="shared" si="41"/>
        <v>0</v>
      </c>
      <c r="BF59" s="760"/>
      <c r="BG59" s="753">
        <f t="shared" ref="BG59:BG66" si="54">+AU59+AW59+BA59</f>
        <v>0</v>
      </c>
    </row>
    <row r="60" spans="3:59" s="3452" customFormat="1" x14ac:dyDescent="0.3">
      <c r="C60" s="675" t="s">
        <v>1025</v>
      </c>
      <c r="D60" s="675" t="s">
        <v>1821</v>
      </c>
      <c r="E60" s="6452"/>
      <c r="F60" s="675"/>
      <c r="G60" s="1520"/>
      <c r="H60" s="3455"/>
      <c r="I60" s="676"/>
      <c r="J60" s="755"/>
      <c r="K60" s="753"/>
      <c r="L60" s="3455"/>
      <c r="M60" s="676"/>
      <c r="N60" s="760"/>
      <c r="O60" s="758"/>
      <c r="P60" s="3455"/>
      <c r="Q60" s="676"/>
      <c r="R60" s="760"/>
      <c r="S60" s="758"/>
      <c r="T60" s="3455"/>
      <c r="U60" s="676"/>
      <c r="V60" s="760"/>
      <c r="W60" s="758"/>
      <c r="X60" s="758"/>
      <c r="Y60" s="676">
        <f>SUMIF('Special -Value added steel '!$D$68:$D$78,$D60,'Special -Value added steel '!$Y$68:$Y$78)</f>
        <v>783.66600000000005</v>
      </c>
      <c r="Z60" s="760"/>
      <c r="AA60" s="3509">
        <f t="shared" ref="AA60:AA66" si="55">Q60+U60+Y60</f>
        <v>783.66600000000005</v>
      </c>
      <c r="AB60" s="3605"/>
      <c r="AC60" s="1461">
        <f t="shared" si="5"/>
        <v>783.66600000000005</v>
      </c>
      <c r="AD60" s="758"/>
      <c r="AE60" s="676">
        <f>SUMIF('Special -Value added steel '!$D$68:$D$78,$D60,'Special -Value added steel '!$AE$68:$AE$78)</f>
        <v>0</v>
      </c>
      <c r="AF60" s="760"/>
      <c r="AG60" s="758">
        <f t="shared" si="49"/>
        <v>1567.3320000000001</v>
      </c>
      <c r="AH60" s="758"/>
      <c r="AI60" s="676">
        <f>SUMIF('Special -Value added steel '!$D$68:$D$78,$D60,'Special -Value added steel '!$AI$68:$AI$78)</f>
        <v>0</v>
      </c>
      <c r="AJ60" s="760"/>
      <c r="AK60" s="753">
        <f t="shared" si="50"/>
        <v>783.66600000000005</v>
      </c>
      <c r="AL60" s="758"/>
      <c r="AM60" s="676">
        <f>SUMIF('Special -Value added steel '!$D$68:$D$78,$D60,'Special -Value added steel '!$AM$68:$AM$78)</f>
        <v>0</v>
      </c>
      <c r="AN60" s="760"/>
      <c r="AO60" s="3509">
        <f t="shared" ref="AO60:AO66" si="56">AE60+AI60+AM60</f>
        <v>0</v>
      </c>
      <c r="AP60" s="760"/>
      <c r="AQ60" s="753">
        <f t="shared" si="51"/>
        <v>1567.3320000000001</v>
      </c>
      <c r="AR60" s="758"/>
      <c r="AS60" s="676">
        <f>SUMIF('Special -Value added steel '!$D$68:$D$78,$D60,'Special -Value added steel '!$AS$68:$AS$78)</f>
        <v>0</v>
      </c>
      <c r="AT60" s="760"/>
      <c r="AU60" s="753">
        <f t="shared" si="52"/>
        <v>0</v>
      </c>
      <c r="AV60" s="758"/>
      <c r="AW60" s="676">
        <f>SUMIF('Special -Value added steel '!$D$68:$D$78,$D60,'Special -Value added steel '!$AW$68:$AW$78)</f>
        <v>0</v>
      </c>
      <c r="AX60" s="760"/>
      <c r="AY60" s="753">
        <f t="shared" si="53"/>
        <v>1567.3320000000001</v>
      </c>
      <c r="AZ60" s="758"/>
      <c r="BA60" s="676">
        <f>SUMIF('Special -Value added steel '!$D$68:$D$78,$D60,'Special -Value added steel '!$BA$68:$BA$78)</f>
        <v>0</v>
      </c>
      <c r="BB60" s="760"/>
      <c r="BC60" s="3509">
        <f t="shared" ref="BC60:BC66" si="57">AS60+AW60+BA60</f>
        <v>0</v>
      </c>
      <c r="BD60" s="3605"/>
      <c r="BE60" s="1461">
        <f t="shared" si="41"/>
        <v>1567.3320000000001</v>
      </c>
      <c r="BF60" s="760"/>
      <c r="BG60" s="753">
        <f t="shared" si="54"/>
        <v>0</v>
      </c>
    </row>
    <row r="61" spans="3:59" x14ac:dyDescent="0.3">
      <c r="C61" s="675" t="s">
        <v>1025</v>
      </c>
      <c r="D61" s="675" t="s">
        <v>698</v>
      </c>
      <c r="E61" s="6452"/>
      <c r="F61" s="675"/>
      <c r="G61" s="703">
        <v>2518.0739999999996</v>
      </c>
      <c r="H61" s="1361"/>
      <c r="I61" s="676">
        <v>1078.0379999999998</v>
      </c>
      <c r="J61" s="755"/>
      <c r="K61" s="753">
        <f t="shared" si="16"/>
        <v>3596.1119999999992</v>
      </c>
      <c r="L61" s="1361"/>
      <c r="M61" s="676">
        <v>433.60199999999998</v>
      </c>
      <c r="N61" s="760"/>
      <c r="O61" s="758">
        <f t="shared" si="17"/>
        <v>4029.713999999999</v>
      </c>
      <c r="P61" s="2453"/>
      <c r="Q61" s="676">
        <v>0</v>
      </c>
      <c r="R61" s="760"/>
      <c r="S61" s="758">
        <f t="shared" ref="S61:S63" si="58">O61+Q61</f>
        <v>4029.713999999999</v>
      </c>
      <c r="T61" s="2768"/>
      <c r="U61" s="676">
        <f>SUMIF('Special -Value added steel '!$D$68:$D$78,$D61,'Special -Value added steel '!$U$68:$U$78)</f>
        <v>119.34</v>
      </c>
      <c r="V61" s="760"/>
      <c r="W61" s="758">
        <f t="shared" ref="W61:W63" si="59">S61+U61</f>
        <v>4149.0539999999992</v>
      </c>
      <c r="X61" s="758"/>
      <c r="Y61" s="676">
        <f>SUMIF('Special -Value added steel '!$D$68:$D$78,$D61,'Special -Value added steel '!$Y$68:$Y$78)</f>
        <v>1988.9999999999998</v>
      </c>
      <c r="Z61" s="760"/>
      <c r="AA61" s="3509">
        <f t="shared" si="55"/>
        <v>2108.3399999999997</v>
      </c>
      <c r="AB61" s="3605"/>
      <c r="AC61" s="1461">
        <f t="shared" si="5"/>
        <v>6138.0539999999983</v>
      </c>
      <c r="AD61" s="758"/>
      <c r="AE61" s="676">
        <f>SUMIF('Special -Value added steel '!$D$68:$D$78,$D61,'Special -Value added steel '!$AE$68:$AE$78)</f>
        <v>4749.7319999999991</v>
      </c>
      <c r="AF61" s="760"/>
      <c r="AG61" s="758">
        <f t="shared" si="49"/>
        <v>8847.0719999999983</v>
      </c>
      <c r="AH61" s="758"/>
      <c r="AI61" s="676">
        <f>SUMIF('Special -Value added steel '!$D$68:$D$78,$D61,'Special -Value added steel '!$AI$68:$AI$78)</f>
        <v>0</v>
      </c>
      <c r="AJ61" s="760"/>
      <c r="AK61" s="753">
        <f t="shared" si="50"/>
        <v>10887.785999999996</v>
      </c>
      <c r="AL61" s="758"/>
      <c r="AM61" s="676">
        <f>SUMIF('Special -Value added steel '!$D$68:$D$78,$D61,'Special -Value added steel '!$AM$68:$AM$78)</f>
        <v>5860</v>
      </c>
      <c r="AN61" s="760"/>
      <c r="AO61" s="3509">
        <f t="shared" si="56"/>
        <v>10609.732</v>
      </c>
      <c r="AP61" s="760"/>
      <c r="AQ61" s="753">
        <f t="shared" si="51"/>
        <v>14707.071999999998</v>
      </c>
      <c r="AR61" s="758"/>
      <c r="AS61" s="676">
        <f>SUMIF('Special -Value added steel '!$D$68:$D$78,$D61,'Special -Value added steel '!$AS$68:$AS$78)</f>
        <v>4583</v>
      </c>
      <c r="AT61" s="760"/>
      <c r="AU61" s="753">
        <f t="shared" si="52"/>
        <v>21052.732</v>
      </c>
      <c r="AV61" s="758"/>
      <c r="AW61" s="676">
        <f>SUMIF('Special -Value added steel '!$D$68:$D$78,$D61,'Special -Value added steel '!$AW$68:$AW$78)</f>
        <v>2927.808</v>
      </c>
      <c r="AX61" s="760"/>
      <c r="AY61" s="753">
        <f t="shared" si="53"/>
        <v>22217.88</v>
      </c>
      <c r="AZ61" s="758"/>
      <c r="BA61" s="676">
        <f>SUMIF('Special -Value added steel '!$D$68:$D$78,$D61,'Special -Value added steel '!$BA$68:$BA$78)</f>
        <v>2375</v>
      </c>
      <c r="BB61" s="760"/>
      <c r="BC61" s="3509">
        <f t="shared" si="57"/>
        <v>9885.8080000000009</v>
      </c>
      <c r="BD61" s="3605"/>
      <c r="BE61" s="1461">
        <f t="shared" si="41"/>
        <v>24592.879999999997</v>
      </c>
      <c r="BF61" s="760"/>
      <c r="BG61" s="753">
        <f t="shared" si="54"/>
        <v>26355.54</v>
      </c>
    </row>
    <row r="62" spans="3:59" x14ac:dyDescent="0.3">
      <c r="C62" s="675" t="s">
        <v>1025</v>
      </c>
      <c r="D62" s="675" t="s">
        <v>1173</v>
      </c>
      <c r="E62" s="6452"/>
      <c r="F62" s="675"/>
      <c r="G62" s="703"/>
      <c r="H62" s="1361"/>
      <c r="I62" s="1361"/>
      <c r="J62" s="755"/>
      <c r="K62" s="753">
        <f t="shared" si="16"/>
        <v>0</v>
      </c>
      <c r="L62" s="1361"/>
      <c r="M62" s="1361"/>
      <c r="N62" s="760"/>
      <c r="O62" s="758">
        <f t="shared" si="17"/>
        <v>0</v>
      </c>
      <c r="P62" s="2453"/>
      <c r="Q62" s="676">
        <v>0</v>
      </c>
      <c r="R62" s="760"/>
      <c r="S62" s="758">
        <f t="shared" si="58"/>
        <v>0</v>
      </c>
      <c r="T62" s="2768"/>
      <c r="U62" s="676">
        <f>SUMIF('Special -Value added steel '!$D$68:$D$78,$D62,'Special -Value added steel '!$U$68:$U$78)</f>
        <v>0</v>
      </c>
      <c r="V62" s="760"/>
      <c r="W62" s="758">
        <f t="shared" si="59"/>
        <v>0</v>
      </c>
      <c r="X62" s="758"/>
      <c r="Y62" s="676">
        <f>SUMIF('Special -Value added steel '!$D$68:$D$78,$D62,'Special -Value added steel '!$Y$68:$Y$78)</f>
        <v>0</v>
      </c>
      <c r="Z62" s="760"/>
      <c r="AA62" s="3509">
        <f t="shared" si="55"/>
        <v>0</v>
      </c>
      <c r="AB62" s="3605"/>
      <c r="AC62" s="1461">
        <f t="shared" si="5"/>
        <v>0</v>
      </c>
      <c r="AD62" s="758"/>
      <c r="AE62" s="676">
        <f>SUMIF('Special -Value added steel '!$D$68:$D$78,$D62,'Special -Value added steel '!$AE$68:$AE$78)</f>
        <v>0</v>
      </c>
      <c r="AF62" s="760"/>
      <c r="AG62" s="758">
        <f t="shared" si="49"/>
        <v>0</v>
      </c>
      <c r="AH62" s="758"/>
      <c r="AI62" s="676">
        <f>SUMIF('Special -Value added steel '!$D$68:$D$78,$D62,'Special -Value added steel '!$AI$68:$AI$78)</f>
        <v>0</v>
      </c>
      <c r="AJ62" s="760"/>
      <c r="AK62" s="753">
        <f t="shared" si="50"/>
        <v>0</v>
      </c>
      <c r="AL62" s="758"/>
      <c r="AM62" s="676">
        <f>SUMIF('Special -Value added steel '!$D$68:$D$78,$D62,'Special -Value added steel '!$AM$68:$AM$78)</f>
        <v>0</v>
      </c>
      <c r="AN62" s="760"/>
      <c r="AO62" s="3509">
        <f t="shared" si="56"/>
        <v>0</v>
      </c>
      <c r="AP62" s="760"/>
      <c r="AQ62" s="753">
        <f t="shared" si="51"/>
        <v>0</v>
      </c>
      <c r="AR62" s="758"/>
      <c r="AS62" s="676">
        <f>SUMIF('Special -Value added steel '!$D$68:$D$78,$D62,'Special -Value added steel '!$AS$68:$AS$78)</f>
        <v>0</v>
      </c>
      <c r="AT62" s="760"/>
      <c r="AU62" s="753">
        <f t="shared" si="52"/>
        <v>0</v>
      </c>
      <c r="AV62" s="758"/>
      <c r="AW62" s="676">
        <f>SUMIF('Special -Value added steel '!$D$68:$D$78,$D62,'Special -Value added steel '!$AW$68:$AW$78)</f>
        <v>0</v>
      </c>
      <c r="AX62" s="760"/>
      <c r="AY62" s="753">
        <f t="shared" si="53"/>
        <v>0</v>
      </c>
      <c r="AZ62" s="758"/>
      <c r="BA62" s="676">
        <f>SUMIF('Special -Value added steel '!$D$68:$D$78,$D62,'Special -Value added steel '!$BA$68:$BA$78)</f>
        <v>0</v>
      </c>
      <c r="BB62" s="760"/>
      <c r="BC62" s="3509">
        <f t="shared" si="57"/>
        <v>0</v>
      </c>
      <c r="BD62" s="3605"/>
      <c r="BE62" s="1461">
        <f t="shared" si="41"/>
        <v>0</v>
      </c>
      <c r="BF62" s="760"/>
      <c r="BG62" s="753">
        <f t="shared" si="54"/>
        <v>0</v>
      </c>
    </row>
    <row r="63" spans="3:59" x14ac:dyDescent="0.3">
      <c r="C63" s="675" t="s">
        <v>1025</v>
      </c>
      <c r="D63" s="675" t="s">
        <v>697</v>
      </c>
      <c r="E63" s="6452"/>
      <c r="F63" s="675"/>
      <c r="G63" s="703">
        <v>417.69</v>
      </c>
      <c r="H63" s="1361"/>
      <c r="I63" s="676">
        <v>0</v>
      </c>
      <c r="J63" s="755"/>
      <c r="K63" s="753">
        <f t="shared" si="16"/>
        <v>417.69</v>
      </c>
      <c r="L63" s="1361"/>
      <c r="M63" s="676">
        <v>0</v>
      </c>
      <c r="N63" s="760"/>
      <c r="O63" s="758">
        <f t="shared" si="17"/>
        <v>417.69</v>
      </c>
      <c r="P63" s="2453"/>
      <c r="Q63" s="676">
        <v>0</v>
      </c>
      <c r="R63" s="760"/>
      <c r="S63" s="758">
        <f t="shared" si="58"/>
        <v>417.69</v>
      </c>
      <c r="T63" s="2768"/>
      <c r="U63" s="676">
        <f>SUMIF('Special -Value added steel '!$D$68:$D$78,$D63,'Special -Value added steel '!$U$68:$U$78)</f>
        <v>250.614</v>
      </c>
      <c r="V63" s="760"/>
      <c r="W63" s="758">
        <f t="shared" si="59"/>
        <v>668.30399999999997</v>
      </c>
      <c r="X63" s="758"/>
      <c r="Y63" s="676">
        <f>SUMIF('Special -Value added steel '!$D$68:$D$78,$D63,'Special -Value added steel '!$Y$68:$Y$78)</f>
        <v>0</v>
      </c>
      <c r="Z63" s="760"/>
      <c r="AA63" s="3509">
        <f t="shared" si="55"/>
        <v>250.614</v>
      </c>
      <c r="AB63" s="3605"/>
      <c r="AC63" s="1461">
        <f t="shared" si="5"/>
        <v>668.30399999999997</v>
      </c>
      <c r="AD63" s="758"/>
      <c r="AE63" s="676">
        <f>SUMIF('Special -Value added steel '!$D$68:$D$78,$D63,'Special -Value added steel '!$AE$68:$AE$78)</f>
        <v>0</v>
      </c>
      <c r="AF63" s="760"/>
      <c r="AG63" s="758">
        <f t="shared" si="49"/>
        <v>250.614</v>
      </c>
      <c r="AH63" s="758"/>
      <c r="AI63" s="676">
        <f>SUMIF('Special -Value added steel '!$D$68:$D$78,$D63,'Special -Value added steel '!$AI$68:$AI$78)</f>
        <v>0</v>
      </c>
      <c r="AJ63" s="760"/>
      <c r="AK63" s="753">
        <f t="shared" si="50"/>
        <v>668.30399999999997</v>
      </c>
      <c r="AL63" s="758"/>
      <c r="AM63" s="676">
        <f>SUMIF('Special -Value added steel '!$D$68:$D$78,$D63,'Special -Value added steel '!$AM$68:$AM$78)</f>
        <v>32</v>
      </c>
      <c r="AN63" s="760"/>
      <c r="AO63" s="3509">
        <f t="shared" si="56"/>
        <v>32</v>
      </c>
      <c r="AP63" s="760"/>
      <c r="AQ63" s="753">
        <f t="shared" si="51"/>
        <v>282.61400000000003</v>
      </c>
      <c r="AR63" s="758"/>
      <c r="AS63" s="676">
        <f>SUMIF('Special -Value added steel '!$D$68:$D$78,$D63,'Special -Value added steel '!$AS$68:$AS$78)</f>
        <v>0</v>
      </c>
      <c r="AT63" s="760"/>
      <c r="AU63" s="753">
        <f t="shared" si="52"/>
        <v>64</v>
      </c>
      <c r="AV63" s="758"/>
      <c r="AW63" s="676">
        <f>SUMIF('Special -Value added steel '!$D$68:$D$78,$D63,'Special -Value added steel '!$AW$68:$AW$78)</f>
        <v>0</v>
      </c>
      <c r="AX63" s="760"/>
      <c r="AY63" s="753">
        <f t="shared" si="53"/>
        <v>282.61400000000003</v>
      </c>
      <c r="AZ63" s="758"/>
      <c r="BA63" s="676">
        <f>SUMIF('Special -Value added steel '!$D$68:$D$78,$D63,'Special -Value added steel '!$BA$68:$BA$78)</f>
        <v>0</v>
      </c>
      <c r="BB63" s="760"/>
      <c r="BC63" s="3509">
        <f t="shared" si="57"/>
        <v>0</v>
      </c>
      <c r="BD63" s="3605"/>
      <c r="BE63" s="1461">
        <f t="shared" si="41"/>
        <v>282.61400000000003</v>
      </c>
      <c r="BF63" s="760"/>
      <c r="BG63" s="753">
        <f t="shared" si="54"/>
        <v>64</v>
      </c>
    </row>
    <row r="64" spans="3:59" x14ac:dyDescent="0.3">
      <c r="C64" s="675" t="s">
        <v>1025</v>
      </c>
      <c r="D64" s="675" t="s">
        <v>1126</v>
      </c>
      <c r="E64" s="6452"/>
      <c r="F64" s="675"/>
      <c r="G64" s="703"/>
      <c r="H64" s="1361"/>
      <c r="I64" s="1361"/>
      <c r="J64" s="755"/>
      <c r="K64" s="753">
        <f t="shared" si="16"/>
        <v>0</v>
      </c>
      <c r="L64" s="1361"/>
      <c r="M64" s="676"/>
      <c r="N64" s="760"/>
      <c r="O64" s="758">
        <f t="shared" si="17"/>
        <v>0</v>
      </c>
      <c r="P64" s="2453"/>
      <c r="Q64" s="676">
        <v>0</v>
      </c>
      <c r="R64" s="760"/>
      <c r="S64" s="758">
        <f t="shared" si="47"/>
        <v>0</v>
      </c>
      <c r="T64" s="2768"/>
      <c r="U64" s="676">
        <f>SUMIF('Special -Value added steel '!$D$68:$D$78,$D64,'Special -Value added steel '!$U$68:$U$78)</f>
        <v>0</v>
      </c>
      <c r="V64" s="760"/>
      <c r="W64" s="758">
        <f t="shared" ref="W64:W66" si="60">+O64+Q64+U64</f>
        <v>0</v>
      </c>
      <c r="X64" s="758"/>
      <c r="Y64" s="676">
        <f>SUMIF('Special -Value added steel '!$D$68:$D$78,$D64,'Special -Value added steel '!$Y$68:$Y$78)</f>
        <v>735.93000000000006</v>
      </c>
      <c r="Z64" s="760"/>
      <c r="AA64" s="3509">
        <f t="shared" si="55"/>
        <v>735.93000000000006</v>
      </c>
      <c r="AB64" s="3605"/>
      <c r="AC64" s="1461">
        <f t="shared" si="5"/>
        <v>735.93000000000006</v>
      </c>
      <c r="AD64" s="758"/>
      <c r="AE64" s="676">
        <f>SUMIF('Special -Value added steel '!$D$68:$D$78,$D64,'Special -Value added steel '!$AE$68:$AE$78)</f>
        <v>0</v>
      </c>
      <c r="AF64" s="760"/>
      <c r="AG64" s="758">
        <f t="shared" si="49"/>
        <v>1471.8600000000001</v>
      </c>
      <c r="AH64" s="758"/>
      <c r="AI64" s="676">
        <f>SUMIF('Special -Value added steel '!$D$68:$D$78,$D64,'Special -Value added steel '!$AI$68:$AI$78)</f>
        <v>0</v>
      </c>
      <c r="AJ64" s="760"/>
      <c r="AK64" s="753">
        <f t="shared" si="50"/>
        <v>735.93000000000006</v>
      </c>
      <c r="AL64" s="758"/>
      <c r="AM64" s="676">
        <f>SUMIF('Special -Value added steel '!$D$68:$D$78,$D64,'Special -Value added steel '!$AM$68:$AM$78)</f>
        <v>306</v>
      </c>
      <c r="AN64" s="760"/>
      <c r="AO64" s="3509">
        <f t="shared" si="56"/>
        <v>306</v>
      </c>
      <c r="AP64" s="760"/>
      <c r="AQ64" s="753">
        <f t="shared" si="51"/>
        <v>1777.8600000000001</v>
      </c>
      <c r="AR64" s="758"/>
      <c r="AS64" s="676">
        <f>SUMIF('Special -Value added steel '!$D$68:$D$78,$D64,'Special -Value added steel '!$AS$68:$AS$78)</f>
        <v>0</v>
      </c>
      <c r="AT64" s="760"/>
      <c r="AU64" s="753">
        <f t="shared" si="52"/>
        <v>612</v>
      </c>
      <c r="AV64" s="758"/>
      <c r="AW64" s="676">
        <f>SUMIF('Special -Value added steel '!$D$68:$D$78,$D64,'Special -Value added steel '!$AW$68:$AW$78)</f>
        <v>0</v>
      </c>
      <c r="AX64" s="760"/>
      <c r="AY64" s="753">
        <f t="shared" si="53"/>
        <v>1777.8600000000001</v>
      </c>
      <c r="AZ64" s="758"/>
      <c r="BA64" s="676">
        <f>SUMIF('Special -Value added steel '!$D$68:$D$78,$D64,'Special -Value added steel '!$BA$68:$BA$78)</f>
        <v>0</v>
      </c>
      <c r="BB64" s="760"/>
      <c r="BC64" s="3509">
        <f t="shared" si="57"/>
        <v>0</v>
      </c>
      <c r="BD64" s="3605"/>
      <c r="BE64" s="1461">
        <f t="shared" si="41"/>
        <v>1777.8600000000001</v>
      </c>
      <c r="BF64" s="760"/>
      <c r="BG64" s="753">
        <f t="shared" si="54"/>
        <v>612</v>
      </c>
    </row>
    <row r="65" spans="1:16238" x14ac:dyDescent="0.3">
      <c r="A65" s="768"/>
      <c r="B65" s="768"/>
      <c r="C65" s="675" t="s">
        <v>1025</v>
      </c>
      <c r="D65" s="675" t="s">
        <v>1072</v>
      </c>
      <c r="E65" s="6452"/>
      <c r="F65" s="675"/>
      <c r="G65" s="703"/>
      <c r="H65" s="1361"/>
      <c r="I65" s="1361"/>
      <c r="J65" s="755"/>
      <c r="K65" s="753">
        <f t="shared" si="16"/>
        <v>0</v>
      </c>
      <c r="L65" s="1361"/>
      <c r="M65" s="1361"/>
      <c r="N65" s="760"/>
      <c r="O65" s="758">
        <f t="shared" si="17"/>
        <v>0</v>
      </c>
      <c r="P65" s="2453"/>
      <c r="Q65" s="676">
        <v>0</v>
      </c>
      <c r="R65" s="760"/>
      <c r="S65" s="758">
        <f t="shared" si="47"/>
        <v>0</v>
      </c>
      <c r="T65" s="2768"/>
      <c r="U65" s="676">
        <f>SUMIF('Special -Value added steel '!$D$68:$D$78,$D65,'Special -Value added steel '!$U$68:$U$78)</f>
        <v>0</v>
      </c>
      <c r="V65" s="760"/>
      <c r="W65" s="758">
        <f t="shared" si="60"/>
        <v>0</v>
      </c>
      <c r="X65" s="758"/>
      <c r="Y65" s="676">
        <f>SUMIF('Special -Value added steel '!$D$68:$D$78,$D65,'Special -Value added steel '!$Y$68:$Y$78)</f>
        <v>0</v>
      </c>
      <c r="Z65" s="760"/>
      <c r="AA65" s="3509">
        <f t="shared" si="55"/>
        <v>0</v>
      </c>
      <c r="AB65" s="3605"/>
      <c r="AC65" s="1461">
        <f t="shared" si="5"/>
        <v>0</v>
      </c>
      <c r="AD65" s="758"/>
      <c r="AE65" s="676">
        <f>SUMIF('Special -Value added steel '!$D$68:$D$78,$D65,'Special -Value added steel '!$AE$68:$AE$78)</f>
        <v>0</v>
      </c>
      <c r="AF65" s="760"/>
      <c r="AG65" s="758">
        <f t="shared" si="49"/>
        <v>0</v>
      </c>
      <c r="AH65" s="758"/>
      <c r="AI65" s="676">
        <f>SUMIF('Special -Value added steel '!$D$68:$D$78,$D65,'Special -Value added steel '!$AI$68:$AI$78)</f>
        <v>0</v>
      </c>
      <c r="AJ65" s="760"/>
      <c r="AK65" s="753">
        <f t="shared" si="50"/>
        <v>0</v>
      </c>
      <c r="AL65" s="758"/>
      <c r="AM65" s="676">
        <f>SUMIF('Special -Value added steel '!$D$68:$D$78,$D65,'Special -Value added steel '!$AM$68:$AM$78)</f>
        <v>0</v>
      </c>
      <c r="AN65" s="760"/>
      <c r="AO65" s="3509">
        <f t="shared" si="56"/>
        <v>0</v>
      </c>
      <c r="AP65" s="760"/>
      <c r="AQ65" s="753">
        <f t="shared" si="51"/>
        <v>0</v>
      </c>
      <c r="AR65" s="758"/>
      <c r="AS65" s="676">
        <f>SUMIF('Special -Value added steel '!$D$68:$D$78,$D65,'Special -Value added steel '!$AS$68:$AS$78)</f>
        <v>0</v>
      </c>
      <c r="AT65" s="760"/>
      <c r="AU65" s="753">
        <f t="shared" si="52"/>
        <v>0</v>
      </c>
      <c r="AV65" s="758"/>
      <c r="AW65" s="676">
        <f>SUMIF('Special -Value added steel '!$D$68:$D$78,$D65,'Special -Value added steel '!$AW$68:$AW$78)</f>
        <v>0</v>
      </c>
      <c r="AX65" s="760"/>
      <c r="AY65" s="753">
        <f t="shared" si="53"/>
        <v>0</v>
      </c>
      <c r="AZ65" s="758"/>
      <c r="BA65" s="676">
        <f>SUMIF('Special -Value added steel '!$D$68:$D$78,$D65,'Special -Value added steel '!$BA$68:$BA$78)</f>
        <v>0</v>
      </c>
      <c r="BB65" s="760"/>
      <c r="BC65" s="3509">
        <f t="shared" si="57"/>
        <v>0</v>
      </c>
      <c r="BD65" s="3605"/>
      <c r="BE65" s="1461">
        <f t="shared" si="41"/>
        <v>0</v>
      </c>
      <c r="BF65" s="760"/>
      <c r="BG65" s="753">
        <f t="shared" si="54"/>
        <v>0</v>
      </c>
      <c r="BN65" s="277" t="s">
        <v>1072</v>
      </c>
      <c r="BO65" s="277" t="s">
        <v>1072</v>
      </c>
      <c r="BP65" s="277" t="s">
        <v>1072</v>
      </c>
      <c r="BQ65" s="277" t="s">
        <v>1072</v>
      </c>
      <c r="BR65" s="277" t="s">
        <v>1072</v>
      </c>
      <c r="BS65" s="277" t="s">
        <v>1072</v>
      </c>
      <c r="BT65" s="277" t="s">
        <v>1072</v>
      </c>
      <c r="BU65" s="277" t="s">
        <v>1072</v>
      </c>
      <c r="BV65" s="277" t="s">
        <v>1072</v>
      </c>
      <c r="BW65" s="277" t="s">
        <v>1072</v>
      </c>
      <c r="BX65" s="277" t="s">
        <v>1072</v>
      </c>
      <c r="BY65" s="277" t="s">
        <v>1072</v>
      </c>
      <c r="BZ65" s="277" t="s">
        <v>1072</v>
      </c>
      <c r="CA65" s="277" t="s">
        <v>1072</v>
      </c>
      <c r="CB65" s="277" t="s">
        <v>1072</v>
      </c>
      <c r="CC65" s="277" t="s">
        <v>1072</v>
      </c>
      <c r="CD65" s="277" t="s">
        <v>1072</v>
      </c>
      <c r="CE65" s="277" t="s">
        <v>1072</v>
      </c>
      <c r="CF65" s="277" t="s">
        <v>1072</v>
      </c>
      <c r="CG65" s="277" t="s">
        <v>1072</v>
      </c>
      <c r="CH65" s="277" t="s">
        <v>1072</v>
      </c>
      <c r="CI65" s="277" t="s">
        <v>1072</v>
      </c>
      <c r="CJ65" s="277" t="s">
        <v>1072</v>
      </c>
      <c r="CK65" s="277" t="s">
        <v>1072</v>
      </c>
      <c r="CL65" s="277" t="s">
        <v>1072</v>
      </c>
      <c r="CM65" s="277" t="s">
        <v>1072</v>
      </c>
      <c r="CN65" s="277" t="s">
        <v>1072</v>
      </c>
      <c r="CO65" s="277" t="s">
        <v>1072</v>
      </c>
      <c r="CP65" s="277" t="s">
        <v>1072</v>
      </c>
      <c r="CQ65" s="277" t="s">
        <v>1072</v>
      </c>
      <c r="CR65" s="277" t="s">
        <v>1072</v>
      </c>
      <c r="CS65" s="277" t="s">
        <v>1072</v>
      </c>
      <c r="CT65" s="277" t="s">
        <v>1072</v>
      </c>
      <c r="CU65" s="277" t="s">
        <v>1072</v>
      </c>
      <c r="CV65" s="277" t="s">
        <v>1072</v>
      </c>
      <c r="CW65" s="277" t="s">
        <v>1072</v>
      </c>
      <c r="CX65" s="277" t="s">
        <v>1072</v>
      </c>
      <c r="CY65" s="277" t="s">
        <v>1072</v>
      </c>
      <c r="CZ65" s="277" t="s">
        <v>1072</v>
      </c>
      <c r="DA65" s="277" t="s">
        <v>1072</v>
      </c>
      <c r="DB65" s="277" t="s">
        <v>1072</v>
      </c>
      <c r="DC65" s="277" t="s">
        <v>1072</v>
      </c>
      <c r="DD65" s="277" t="s">
        <v>1072</v>
      </c>
      <c r="DE65" s="277" t="s">
        <v>1072</v>
      </c>
      <c r="DF65" s="277" t="s">
        <v>1072</v>
      </c>
      <c r="DG65" s="277" t="s">
        <v>1072</v>
      </c>
      <c r="DH65" s="277" t="s">
        <v>1072</v>
      </c>
      <c r="DI65" s="277" t="s">
        <v>1072</v>
      </c>
      <c r="DJ65" s="277" t="s">
        <v>1072</v>
      </c>
      <c r="DK65" s="277" t="s">
        <v>1072</v>
      </c>
      <c r="DL65" s="277" t="s">
        <v>1072</v>
      </c>
      <c r="DM65" s="277" t="s">
        <v>1072</v>
      </c>
      <c r="DN65" s="277" t="s">
        <v>1072</v>
      </c>
      <c r="DO65" s="277" t="s">
        <v>1072</v>
      </c>
      <c r="DP65" s="277" t="s">
        <v>1072</v>
      </c>
      <c r="DQ65" s="277" t="s">
        <v>1072</v>
      </c>
      <c r="DR65" s="277" t="s">
        <v>1072</v>
      </c>
      <c r="DS65" s="277" t="s">
        <v>1072</v>
      </c>
      <c r="DT65" s="277" t="s">
        <v>1072</v>
      </c>
      <c r="DU65" s="277" t="s">
        <v>1072</v>
      </c>
      <c r="DV65" s="277" t="s">
        <v>1072</v>
      </c>
      <c r="DW65" s="277" t="s">
        <v>1072</v>
      </c>
      <c r="DX65" s="277" t="s">
        <v>1072</v>
      </c>
      <c r="DY65" s="277" t="s">
        <v>1072</v>
      </c>
      <c r="DZ65" s="277" t="s">
        <v>1072</v>
      </c>
      <c r="EA65" s="277" t="s">
        <v>1072</v>
      </c>
      <c r="EB65" s="277" t="s">
        <v>1072</v>
      </c>
      <c r="EC65" s="277" t="s">
        <v>1072</v>
      </c>
      <c r="ED65" s="277" t="s">
        <v>1072</v>
      </c>
      <c r="EE65" s="277" t="s">
        <v>1072</v>
      </c>
      <c r="EF65" s="277" t="s">
        <v>1072</v>
      </c>
      <c r="EG65" s="277" t="s">
        <v>1072</v>
      </c>
      <c r="EH65" s="277" t="s">
        <v>1072</v>
      </c>
      <c r="EI65" s="277" t="s">
        <v>1072</v>
      </c>
      <c r="EJ65" s="277" t="s">
        <v>1072</v>
      </c>
      <c r="EK65" s="277" t="s">
        <v>1072</v>
      </c>
      <c r="EL65" s="277" t="s">
        <v>1072</v>
      </c>
      <c r="EM65" s="277" t="s">
        <v>1072</v>
      </c>
      <c r="EN65" s="277" t="s">
        <v>1072</v>
      </c>
      <c r="EO65" s="277" t="s">
        <v>1072</v>
      </c>
      <c r="EP65" s="277" t="s">
        <v>1072</v>
      </c>
      <c r="EQ65" s="277" t="s">
        <v>1072</v>
      </c>
      <c r="ER65" s="277" t="s">
        <v>1072</v>
      </c>
      <c r="ES65" s="277" t="s">
        <v>1072</v>
      </c>
      <c r="ET65" s="277" t="s">
        <v>1072</v>
      </c>
      <c r="EU65" s="277" t="s">
        <v>1072</v>
      </c>
      <c r="EV65" s="277" t="s">
        <v>1072</v>
      </c>
      <c r="EW65" s="277" t="s">
        <v>1072</v>
      </c>
      <c r="EX65" s="277" t="s">
        <v>1072</v>
      </c>
      <c r="EY65" s="277" t="s">
        <v>1072</v>
      </c>
      <c r="EZ65" s="277" t="s">
        <v>1072</v>
      </c>
      <c r="FA65" s="277" t="s">
        <v>1072</v>
      </c>
      <c r="FB65" s="277" t="s">
        <v>1072</v>
      </c>
      <c r="FC65" s="277" t="s">
        <v>1072</v>
      </c>
      <c r="FD65" s="277" t="s">
        <v>1072</v>
      </c>
      <c r="FE65" s="277" t="s">
        <v>1072</v>
      </c>
      <c r="FF65" s="277" t="s">
        <v>1072</v>
      </c>
      <c r="FG65" s="277" t="s">
        <v>1072</v>
      </c>
      <c r="FH65" s="277" t="s">
        <v>1072</v>
      </c>
      <c r="FI65" s="277" t="s">
        <v>1072</v>
      </c>
      <c r="FJ65" s="277" t="s">
        <v>1072</v>
      </c>
      <c r="FK65" s="277" t="s">
        <v>1072</v>
      </c>
      <c r="FL65" s="277" t="s">
        <v>1072</v>
      </c>
      <c r="FM65" s="277" t="s">
        <v>1072</v>
      </c>
      <c r="FN65" s="277" t="s">
        <v>1072</v>
      </c>
      <c r="FO65" s="277" t="s">
        <v>1072</v>
      </c>
      <c r="FP65" s="277" t="s">
        <v>1072</v>
      </c>
      <c r="FQ65" s="277" t="s">
        <v>1072</v>
      </c>
      <c r="FR65" s="277" t="s">
        <v>1072</v>
      </c>
      <c r="FS65" s="277" t="s">
        <v>1072</v>
      </c>
      <c r="FT65" s="277" t="s">
        <v>1072</v>
      </c>
      <c r="FU65" s="277" t="s">
        <v>1072</v>
      </c>
      <c r="FV65" s="277" t="s">
        <v>1072</v>
      </c>
      <c r="FW65" s="277" t="s">
        <v>1072</v>
      </c>
      <c r="FX65" s="277" t="s">
        <v>1072</v>
      </c>
      <c r="FY65" s="277" t="s">
        <v>1072</v>
      </c>
      <c r="FZ65" s="277" t="s">
        <v>1072</v>
      </c>
      <c r="GA65" s="277" t="s">
        <v>1072</v>
      </c>
      <c r="GB65" s="277" t="s">
        <v>1072</v>
      </c>
      <c r="GC65" s="277" t="s">
        <v>1072</v>
      </c>
      <c r="GD65" s="277" t="s">
        <v>1072</v>
      </c>
      <c r="GE65" s="277" t="s">
        <v>1072</v>
      </c>
      <c r="GF65" s="277" t="s">
        <v>1072</v>
      </c>
      <c r="GG65" s="277" t="s">
        <v>1072</v>
      </c>
      <c r="GH65" s="277" t="s">
        <v>1072</v>
      </c>
      <c r="GI65" s="277" t="s">
        <v>1072</v>
      </c>
      <c r="GJ65" s="277" t="s">
        <v>1072</v>
      </c>
      <c r="GK65" s="277" t="s">
        <v>1072</v>
      </c>
      <c r="GL65" s="277" t="s">
        <v>1072</v>
      </c>
      <c r="GM65" s="277" t="s">
        <v>1072</v>
      </c>
      <c r="GN65" s="277" t="s">
        <v>1072</v>
      </c>
      <c r="GO65" s="277" t="s">
        <v>1072</v>
      </c>
      <c r="GP65" s="277" t="s">
        <v>1072</v>
      </c>
      <c r="GQ65" s="277" t="s">
        <v>1072</v>
      </c>
      <c r="GR65" s="277" t="s">
        <v>1072</v>
      </c>
      <c r="GS65" s="277" t="s">
        <v>1072</v>
      </c>
      <c r="GT65" s="277" t="s">
        <v>1072</v>
      </c>
      <c r="GU65" s="277" t="s">
        <v>1072</v>
      </c>
      <c r="GV65" s="277" t="s">
        <v>1072</v>
      </c>
      <c r="GW65" s="277" t="s">
        <v>1072</v>
      </c>
      <c r="GX65" s="277" t="s">
        <v>1072</v>
      </c>
      <c r="GY65" s="277" t="s">
        <v>1072</v>
      </c>
      <c r="GZ65" s="277" t="s">
        <v>1072</v>
      </c>
      <c r="HA65" s="277" t="s">
        <v>1072</v>
      </c>
      <c r="HB65" s="277" t="s">
        <v>1072</v>
      </c>
      <c r="HC65" s="277" t="s">
        <v>1072</v>
      </c>
      <c r="HD65" s="277" t="s">
        <v>1072</v>
      </c>
      <c r="HE65" s="277" t="s">
        <v>1072</v>
      </c>
      <c r="HF65" s="277" t="s">
        <v>1072</v>
      </c>
      <c r="HG65" s="277" t="s">
        <v>1072</v>
      </c>
      <c r="HH65" s="277" t="s">
        <v>1072</v>
      </c>
      <c r="HI65" s="277" t="s">
        <v>1072</v>
      </c>
      <c r="HJ65" s="277" t="s">
        <v>1072</v>
      </c>
      <c r="HK65" s="277" t="s">
        <v>1072</v>
      </c>
      <c r="HL65" s="277" t="s">
        <v>1072</v>
      </c>
      <c r="HM65" s="277" t="s">
        <v>1072</v>
      </c>
      <c r="HN65" s="277" t="s">
        <v>1072</v>
      </c>
      <c r="HO65" s="277" t="s">
        <v>1072</v>
      </c>
      <c r="HP65" s="277" t="s">
        <v>1072</v>
      </c>
      <c r="HQ65" s="277" t="s">
        <v>1072</v>
      </c>
      <c r="HR65" s="277" t="s">
        <v>1072</v>
      </c>
      <c r="HS65" s="277" t="s">
        <v>1072</v>
      </c>
      <c r="HT65" s="277" t="s">
        <v>1072</v>
      </c>
      <c r="HU65" s="277" t="s">
        <v>1072</v>
      </c>
      <c r="HV65" s="277" t="s">
        <v>1072</v>
      </c>
      <c r="HW65" s="277" t="s">
        <v>1072</v>
      </c>
      <c r="HX65" s="277" t="s">
        <v>1072</v>
      </c>
      <c r="HY65" s="277" t="s">
        <v>1072</v>
      </c>
      <c r="HZ65" s="277" t="s">
        <v>1072</v>
      </c>
      <c r="IA65" s="277" t="s">
        <v>1072</v>
      </c>
      <c r="IB65" s="277" t="s">
        <v>1072</v>
      </c>
      <c r="IC65" s="277" t="s">
        <v>1072</v>
      </c>
      <c r="ID65" s="277" t="s">
        <v>1072</v>
      </c>
      <c r="IE65" s="277" t="s">
        <v>1072</v>
      </c>
      <c r="IF65" s="277" t="s">
        <v>1072</v>
      </c>
      <c r="IG65" s="277" t="s">
        <v>1072</v>
      </c>
      <c r="IH65" s="277" t="s">
        <v>1072</v>
      </c>
      <c r="II65" s="277" t="s">
        <v>1072</v>
      </c>
      <c r="IJ65" s="277" t="s">
        <v>1072</v>
      </c>
      <c r="IK65" s="277" t="s">
        <v>1072</v>
      </c>
      <c r="IL65" s="277" t="s">
        <v>1072</v>
      </c>
      <c r="IM65" s="277" t="s">
        <v>1072</v>
      </c>
      <c r="IN65" s="277" t="s">
        <v>1072</v>
      </c>
      <c r="IO65" s="277" t="s">
        <v>1072</v>
      </c>
      <c r="IP65" s="277" t="s">
        <v>1072</v>
      </c>
      <c r="IQ65" s="277" t="s">
        <v>1072</v>
      </c>
      <c r="IR65" s="277" t="s">
        <v>1072</v>
      </c>
      <c r="IS65" s="277" t="s">
        <v>1072</v>
      </c>
      <c r="IT65" s="277" t="s">
        <v>1072</v>
      </c>
      <c r="IU65" s="277" t="s">
        <v>1072</v>
      </c>
      <c r="IV65" s="277" t="s">
        <v>1072</v>
      </c>
      <c r="IW65" s="277" t="s">
        <v>1072</v>
      </c>
      <c r="IX65" s="277" t="s">
        <v>1072</v>
      </c>
      <c r="IY65" s="277" t="s">
        <v>1072</v>
      </c>
      <c r="IZ65" s="277" t="s">
        <v>1072</v>
      </c>
      <c r="JA65" s="277" t="s">
        <v>1072</v>
      </c>
      <c r="JB65" s="277" t="s">
        <v>1072</v>
      </c>
      <c r="JC65" s="277" t="s">
        <v>1072</v>
      </c>
      <c r="JD65" s="277" t="s">
        <v>1072</v>
      </c>
      <c r="JE65" s="277" t="s">
        <v>1072</v>
      </c>
      <c r="JF65" s="277" t="s">
        <v>1072</v>
      </c>
      <c r="JG65" s="277" t="s">
        <v>1072</v>
      </c>
      <c r="JH65" s="277" t="s">
        <v>1072</v>
      </c>
      <c r="JI65" s="277" t="s">
        <v>1072</v>
      </c>
      <c r="JJ65" s="277" t="s">
        <v>1072</v>
      </c>
      <c r="JK65" s="277" t="s">
        <v>1072</v>
      </c>
      <c r="JL65" s="277" t="s">
        <v>1072</v>
      </c>
      <c r="JM65" s="277" t="s">
        <v>1072</v>
      </c>
      <c r="JN65" s="277" t="s">
        <v>1072</v>
      </c>
      <c r="JO65" s="277" t="s">
        <v>1072</v>
      </c>
      <c r="JP65" s="277" t="s">
        <v>1072</v>
      </c>
      <c r="JQ65" s="277" t="s">
        <v>1072</v>
      </c>
      <c r="JR65" s="277" t="s">
        <v>1072</v>
      </c>
      <c r="JS65" s="277" t="s">
        <v>1072</v>
      </c>
      <c r="JT65" s="277" t="s">
        <v>1072</v>
      </c>
      <c r="JU65" s="277" t="s">
        <v>1072</v>
      </c>
      <c r="JV65" s="277" t="s">
        <v>1072</v>
      </c>
      <c r="JW65" s="277" t="s">
        <v>1072</v>
      </c>
      <c r="JX65" s="277" t="s">
        <v>1072</v>
      </c>
      <c r="JY65" s="277" t="s">
        <v>1072</v>
      </c>
      <c r="JZ65" s="277" t="s">
        <v>1072</v>
      </c>
      <c r="KA65" s="277" t="s">
        <v>1072</v>
      </c>
      <c r="KB65" s="277" t="s">
        <v>1072</v>
      </c>
      <c r="KC65" s="277" t="s">
        <v>1072</v>
      </c>
      <c r="KD65" s="277" t="s">
        <v>1072</v>
      </c>
      <c r="KE65" s="277" t="s">
        <v>1072</v>
      </c>
      <c r="KF65" s="277" t="s">
        <v>1072</v>
      </c>
      <c r="KG65" s="277" t="s">
        <v>1072</v>
      </c>
      <c r="KH65" s="277" t="s">
        <v>1072</v>
      </c>
      <c r="KI65" s="277" t="s">
        <v>1072</v>
      </c>
      <c r="KJ65" s="277" t="s">
        <v>1072</v>
      </c>
      <c r="KK65" s="277" t="s">
        <v>1072</v>
      </c>
      <c r="KL65" s="277" t="s">
        <v>1072</v>
      </c>
      <c r="KM65" s="277" t="s">
        <v>1072</v>
      </c>
      <c r="KN65" s="277" t="s">
        <v>1072</v>
      </c>
      <c r="KO65" s="277" t="s">
        <v>1072</v>
      </c>
      <c r="KP65" s="277" t="s">
        <v>1072</v>
      </c>
      <c r="KQ65" s="277" t="s">
        <v>1072</v>
      </c>
      <c r="KR65" s="277" t="s">
        <v>1072</v>
      </c>
      <c r="KS65" s="277" t="s">
        <v>1072</v>
      </c>
      <c r="KT65" s="277" t="s">
        <v>1072</v>
      </c>
      <c r="KU65" s="277" t="s">
        <v>1072</v>
      </c>
      <c r="KV65" s="277" t="s">
        <v>1072</v>
      </c>
      <c r="KW65" s="277" t="s">
        <v>1072</v>
      </c>
      <c r="KX65" s="277" t="s">
        <v>1072</v>
      </c>
      <c r="KY65" s="277" t="s">
        <v>1072</v>
      </c>
      <c r="KZ65" s="277" t="s">
        <v>1072</v>
      </c>
      <c r="LA65" s="277" t="s">
        <v>1072</v>
      </c>
      <c r="LB65" s="277" t="s">
        <v>1072</v>
      </c>
      <c r="LC65" s="277" t="s">
        <v>1072</v>
      </c>
      <c r="LD65" s="277" t="s">
        <v>1072</v>
      </c>
      <c r="LE65" s="277" t="s">
        <v>1072</v>
      </c>
      <c r="LF65" s="277" t="s">
        <v>1072</v>
      </c>
      <c r="LG65" s="277" t="s">
        <v>1072</v>
      </c>
      <c r="LH65" s="277" t="s">
        <v>1072</v>
      </c>
      <c r="LI65" s="277" t="s">
        <v>1072</v>
      </c>
      <c r="LJ65" s="277" t="s">
        <v>1072</v>
      </c>
      <c r="LK65" s="277" t="s">
        <v>1072</v>
      </c>
      <c r="LL65" s="277" t="s">
        <v>1072</v>
      </c>
      <c r="LM65" s="277" t="s">
        <v>1072</v>
      </c>
      <c r="LN65" s="277" t="s">
        <v>1072</v>
      </c>
      <c r="LO65" s="277" t="s">
        <v>1072</v>
      </c>
      <c r="LP65" s="277" t="s">
        <v>1072</v>
      </c>
      <c r="LQ65" s="277" t="s">
        <v>1072</v>
      </c>
      <c r="LR65" s="277" t="s">
        <v>1072</v>
      </c>
      <c r="LS65" s="277" t="s">
        <v>1072</v>
      </c>
      <c r="LT65" s="277" t="s">
        <v>1072</v>
      </c>
      <c r="LU65" s="277" t="s">
        <v>1072</v>
      </c>
      <c r="LV65" s="277" t="s">
        <v>1072</v>
      </c>
      <c r="LW65" s="277" t="s">
        <v>1072</v>
      </c>
      <c r="LX65" s="277" t="s">
        <v>1072</v>
      </c>
      <c r="LY65" s="277" t="s">
        <v>1072</v>
      </c>
      <c r="LZ65" s="277" t="s">
        <v>1072</v>
      </c>
      <c r="MA65" s="277" t="s">
        <v>1072</v>
      </c>
      <c r="MB65" s="277" t="s">
        <v>1072</v>
      </c>
      <c r="MC65" s="277" t="s">
        <v>1072</v>
      </c>
      <c r="MD65" s="277" t="s">
        <v>1072</v>
      </c>
      <c r="ME65" s="277" t="s">
        <v>1072</v>
      </c>
      <c r="MF65" s="277" t="s">
        <v>1072</v>
      </c>
      <c r="MG65" s="277" t="s">
        <v>1072</v>
      </c>
      <c r="MH65" s="277" t="s">
        <v>1072</v>
      </c>
      <c r="MI65" s="277" t="s">
        <v>1072</v>
      </c>
      <c r="MJ65" s="277" t="s">
        <v>1072</v>
      </c>
      <c r="MK65" s="277" t="s">
        <v>1072</v>
      </c>
      <c r="ML65" s="277" t="s">
        <v>1072</v>
      </c>
      <c r="MM65" s="277" t="s">
        <v>1072</v>
      </c>
      <c r="MN65" s="277" t="s">
        <v>1072</v>
      </c>
      <c r="MO65" s="277" t="s">
        <v>1072</v>
      </c>
      <c r="MP65" s="277" t="s">
        <v>1072</v>
      </c>
      <c r="MQ65" s="277" t="s">
        <v>1072</v>
      </c>
      <c r="MR65" s="277" t="s">
        <v>1072</v>
      </c>
      <c r="MS65" s="277" t="s">
        <v>1072</v>
      </c>
      <c r="MT65" s="277" t="s">
        <v>1072</v>
      </c>
      <c r="MU65" s="277" t="s">
        <v>1072</v>
      </c>
      <c r="MV65" s="277" t="s">
        <v>1072</v>
      </c>
      <c r="MW65" s="277" t="s">
        <v>1072</v>
      </c>
      <c r="MX65" s="277" t="s">
        <v>1072</v>
      </c>
      <c r="MY65" s="277" t="s">
        <v>1072</v>
      </c>
      <c r="MZ65" s="277" t="s">
        <v>1072</v>
      </c>
      <c r="NA65" s="277" t="s">
        <v>1072</v>
      </c>
      <c r="NB65" s="277" t="s">
        <v>1072</v>
      </c>
      <c r="NC65" s="277" t="s">
        <v>1072</v>
      </c>
      <c r="ND65" s="277" t="s">
        <v>1072</v>
      </c>
      <c r="NE65" s="277" t="s">
        <v>1072</v>
      </c>
      <c r="NF65" s="277" t="s">
        <v>1072</v>
      </c>
      <c r="NG65" s="277" t="s">
        <v>1072</v>
      </c>
      <c r="NH65" s="277" t="s">
        <v>1072</v>
      </c>
      <c r="NI65" s="277" t="s">
        <v>1072</v>
      </c>
      <c r="NJ65" s="277" t="s">
        <v>1072</v>
      </c>
      <c r="NK65" s="277" t="s">
        <v>1072</v>
      </c>
      <c r="NL65" s="277" t="s">
        <v>1072</v>
      </c>
      <c r="NM65" s="277" t="s">
        <v>1072</v>
      </c>
      <c r="NN65" s="277" t="s">
        <v>1072</v>
      </c>
      <c r="NO65" s="277" t="s">
        <v>1072</v>
      </c>
      <c r="NP65" s="277" t="s">
        <v>1072</v>
      </c>
      <c r="NQ65" s="277" t="s">
        <v>1072</v>
      </c>
      <c r="NR65" s="277" t="s">
        <v>1072</v>
      </c>
      <c r="NS65" s="277" t="s">
        <v>1072</v>
      </c>
      <c r="NT65" s="277" t="s">
        <v>1072</v>
      </c>
      <c r="NU65" s="277" t="s">
        <v>1072</v>
      </c>
      <c r="NV65" s="277" t="s">
        <v>1072</v>
      </c>
      <c r="NW65" s="277" t="s">
        <v>1072</v>
      </c>
      <c r="NX65" s="277" t="s">
        <v>1072</v>
      </c>
      <c r="NY65" s="277" t="s">
        <v>1072</v>
      </c>
      <c r="NZ65" s="277" t="s">
        <v>1072</v>
      </c>
      <c r="OA65" s="277" t="s">
        <v>1072</v>
      </c>
      <c r="OB65" s="277" t="s">
        <v>1072</v>
      </c>
      <c r="OC65" s="277" t="s">
        <v>1072</v>
      </c>
      <c r="OD65" s="277" t="s">
        <v>1072</v>
      </c>
      <c r="OE65" s="277" t="s">
        <v>1072</v>
      </c>
      <c r="OF65" s="277" t="s">
        <v>1072</v>
      </c>
      <c r="OG65" s="277" t="s">
        <v>1072</v>
      </c>
      <c r="OH65" s="277" t="s">
        <v>1072</v>
      </c>
      <c r="OI65" s="277" t="s">
        <v>1072</v>
      </c>
      <c r="OJ65" s="277" t="s">
        <v>1072</v>
      </c>
      <c r="OK65" s="277" t="s">
        <v>1072</v>
      </c>
      <c r="OL65" s="277" t="s">
        <v>1072</v>
      </c>
      <c r="OM65" s="277" t="s">
        <v>1072</v>
      </c>
      <c r="ON65" s="277" t="s">
        <v>1072</v>
      </c>
      <c r="OO65" s="277" t="s">
        <v>1072</v>
      </c>
      <c r="OP65" s="277" t="s">
        <v>1072</v>
      </c>
      <c r="OQ65" s="277" t="s">
        <v>1072</v>
      </c>
      <c r="OR65" s="277" t="s">
        <v>1072</v>
      </c>
      <c r="OS65" s="277" t="s">
        <v>1072</v>
      </c>
      <c r="OT65" s="277" t="s">
        <v>1072</v>
      </c>
      <c r="OU65" s="277" t="s">
        <v>1072</v>
      </c>
      <c r="OV65" s="277" t="s">
        <v>1072</v>
      </c>
      <c r="OW65" s="277" t="s">
        <v>1072</v>
      </c>
      <c r="OX65" s="277" t="s">
        <v>1072</v>
      </c>
      <c r="OY65" s="277" t="s">
        <v>1072</v>
      </c>
      <c r="OZ65" s="277" t="s">
        <v>1072</v>
      </c>
      <c r="PA65" s="277" t="s">
        <v>1072</v>
      </c>
      <c r="PB65" s="277" t="s">
        <v>1072</v>
      </c>
      <c r="PC65" s="277" t="s">
        <v>1072</v>
      </c>
      <c r="PD65" s="277" t="s">
        <v>1072</v>
      </c>
      <c r="PE65" s="277" t="s">
        <v>1072</v>
      </c>
      <c r="PF65" s="277" t="s">
        <v>1072</v>
      </c>
      <c r="PG65" s="277" t="s">
        <v>1072</v>
      </c>
      <c r="PH65" s="277" t="s">
        <v>1072</v>
      </c>
      <c r="PI65" s="277" t="s">
        <v>1072</v>
      </c>
      <c r="PJ65" s="277" t="s">
        <v>1072</v>
      </c>
      <c r="PK65" s="277" t="s">
        <v>1072</v>
      </c>
      <c r="PL65" s="277" t="s">
        <v>1072</v>
      </c>
      <c r="PM65" s="277" t="s">
        <v>1072</v>
      </c>
      <c r="PN65" s="277" t="s">
        <v>1072</v>
      </c>
      <c r="PO65" s="277" t="s">
        <v>1072</v>
      </c>
      <c r="PP65" s="277" t="s">
        <v>1072</v>
      </c>
      <c r="PQ65" s="277" t="s">
        <v>1072</v>
      </c>
      <c r="PR65" s="277" t="s">
        <v>1072</v>
      </c>
      <c r="PS65" s="277" t="s">
        <v>1072</v>
      </c>
      <c r="PT65" s="277" t="s">
        <v>1072</v>
      </c>
      <c r="PU65" s="277" t="s">
        <v>1072</v>
      </c>
      <c r="PV65" s="277" t="s">
        <v>1072</v>
      </c>
      <c r="PW65" s="277" t="s">
        <v>1072</v>
      </c>
      <c r="PX65" s="277" t="s">
        <v>1072</v>
      </c>
      <c r="PY65" s="277" t="s">
        <v>1072</v>
      </c>
      <c r="PZ65" s="277" t="s">
        <v>1072</v>
      </c>
      <c r="QA65" s="277" t="s">
        <v>1072</v>
      </c>
      <c r="QB65" s="277" t="s">
        <v>1072</v>
      </c>
      <c r="QC65" s="277" t="s">
        <v>1072</v>
      </c>
      <c r="QD65" s="277" t="s">
        <v>1072</v>
      </c>
      <c r="QE65" s="277" t="s">
        <v>1072</v>
      </c>
      <c r="QF65" s="277" t="s">
        <v>1072</v>
      </c>
      <c r="QG65" s="277" t="s">
        <v>1072</v>
      </c>
      <c r="QH65" s="277" t="s">
        <v>1072</v>
      </c>
      <c r="QI65" s="277" t="s">
        <v>1072</v>
      </c>
      <c r="QJ65" s="277" t="s">
        <v>1072</v>
      </c>
      <c r="QK65" s="277" t="s">
        <v>1072</v>
      </c>
      <c r="QL65" s="277" t="s">
        <v>1072</v>
      </c>
      <c r="QM65" s="277" t="s">
        <v>1072</v>
      </c>
      <c r="QN65" s="277" t="s">
        <v>1072</v>
      </c>
      <c r="QO65" s="277" t="s">
        <v>1072</v>
      </c>
      <c r="QP65" s="277" t="s">
        <v>1072</v>
      </c>
      <c r="QQ65" s="277" t="s">
        <v>1072</v>
      </c>
      <c r="QR65" s="277" t="s">
        <v>1072</v>
      </c>
      <c r="QS65" s="277" t="s">
        <v>1072</v>
      </c>
      <c r="QT65" s="277" t="s">
        <v>1072</v>
      </c>
      <c r="QU65" s="277" t="s">
        <v>1072</v>
      </c>
      <c r="QV65" s="277" t="s">
        <v>1072</v>
      </c>
      <c r="QW65" s="277" t="s">
        <v>1072</v>
      </c>
      <c r="QX65" s="277" t="s">
        <v>1072</v>
      </c>
      <c r="QY65" s="277" t="s">
        <v>1072</v>
      </c>
      <c r="QZ65" s="277" t="s">
        <v>1072</v>
      </c>
      <c r="RA65" s="277" t="s">
        <v>1072</v>
      </c>
      <c r="RB65" s="277" t="s">
        <v>1072</v>
      </c>
      <c r="RC65" s="277" t="s">
        <v>1072</v>
      </c>
      <c r="RD65" s="277" t="s">
        <v>1072</v>
      </c>
      <c r="RE65" s="277" t="s">
        <v>1072</v>
      </c>
      <c r="RF65" s="277" t="s">
        <v>1072</v>
      </c>
      <c r="RG65" s="277" t="s">
        <v>1072</v>
      </c>
      <c r="RH65" s="277" t="s">
        <v>1072</v>
      </c>
      <c r="RI65" s="277" t="s">
        <v>1072</v>
      </c>
      <c r="RJ65" s="277" t="s">
        <v>1072</v>
      </c>
      <c r="RK65" s="277" t="s">
        <v>1072</v>
      </c>
      <c r="RL65" s="277" t="s">
        <v>1072</v>
      </c>
      <c r="RM65" s="277" t="s">
        <v>1072</v>
      </c>
      <c r="RN65" s="277" t="s">
        <v>1072</v>
      </c>
      <c r="RO65" s="277" t="s">
        <v>1072</v>
      </c>
      <c r="RP65" s="277" t="s">
        <v>1072</v>
      </c>
      <c r="RQ65" s="277" t="s">
        <v>1072</v>
      </c>
      <c r="RR65" s="277" t="s">
        <v>1072</v>
      </c>
      <c r="RS65" s="277" t="s">
        <v>1072</v>
      </c>
      <c r="RT65" s="277" t="s">
        <v>1072</v>
      </c>
      <c r="RU65" s="277" t="s">
        <v>1072</v>
      </c>
      <c r="RV65" s="277" t="s">
        <v>1072</v>
      </c>
      <c r="RW65" s="277" t="s">
        <v>1072</v>
      </c>
      <c r="RX65" s="277" t="s">
        <v>1072</v>
      </c>
      <c r="RY65" s="277" t="s">
        <v>1072</v>
      </c>
      <c r="RZ65" s="277" t="s">
        <v>1072</v>
      </c>
      <c r="SA65" s="277" t="s">
        <v>1072</v>
      </c>
      <c r="SB65" s="277" t="s">
        <v>1072</v>
      </c>
      <c r="SC65" s="277" t="s">
        <v>1072</v>
      </c>
      <c r="SD65" s="277" t="s">
        <v>1072</v>
      </c>
      <c r="SE65" s="277" t="s">
        <v>1072</v>
      </c>
      <c r="SF65" s="277" t="s">
        <v>1072</v>
      </c>
      <c r="SG65" s="277" t="s">
        <v>1072</v>
      </c>
      <c r="SH65" s="277" t="s">
        <v>1072</v>
      </c>
      <c r="SI65" s="277" t="s">
        <v>1072</v>
      </c>
      <c r="SJ65" s="277" t="s">
        <v>1072</v>
      </c>
      <c r="SK65" s="277" t="s">
        <v>1072</v>
      </c>
      <c r="SL65" s="277" t="s">
        <v>1072</v>
      </c>
      <c r="SM65" s="277" t="s">
        <v>1072</v>
      </c>
      <c r="SN65" s="277" t="s">
        <v>1072</v>
      </c>
      <c r="SO65" s="277" t="s">
        <v>1072</v>
      </c>
      <c r="SP65" s="277" t="s">
        <v>1072</v>
      </c>
      <c r="SQ65" s="277" t="s">
        <v>1072</v>
      </c>
      <c r="SR65" s="277" t="s">
        <v>1072</v>
      </c>
      <c r="SS65" s="277" t="s">
        <v>1072</v>
      </c>
      <c r="ST65" s="277" t="s">
        <v>1072</v>
      </c>
      <c r="SU65" s="277" t="s">
        <v>1072</v>
      </c>
      <c r="SV65" s="277" t="s">
        <v>1072</v>
      </c>
      <c r="SW65" s="277" t="s">
        <v>1072</v>
      </c>
      <c r="SX65" s="277" t="s">
        <v>1072</v>
      </c>
      <c r="SY65" s="277" t="s">
        <v>1072</v>
      </c>
      <c r="SZ65" s="277" t="s">
        <v>1072</v>
      </c>
      <c r="TA65" s="277" t="s">
        <v>1072</v>
      </c>
      <c r="TB65" s="277" t="s">
        <v>1072</v>
      </c>
      <c r="TC65" s="277" t="s">
        <v>1072</v>
      </c>
      <c r="TD65" s="277" t="s">
        <v>1072</v>
      </c>
      <c r="TE65" s="277" t="s">
        <v>1072</v>
      </c>
      <c r="TF65" s="277" t="s">
        <v>1072</v>
      </c>
      <c r="TG65" s="277" t="s">
        <v>1072</v>
      </c>
      <c r="TH65" s="277" t="s">
        <v>1072</v>
      </c>
      <c r="TI65" s="277" t="s">
        <v>1072</v>
      </c>
      <c r="TJ65" s="277" t="s">
        <v>1072</v>
      </c>
      <c r="TK65" s="277" t="s">
        <v>1072</v>
      </c>
      <c r="TL65" s="277" t="s">
        <v>1072</v>
      </c>
      <c r="TM65" s="277" t="s">
        <v>1072</v>
      </c>
      <c r="TN65" s="277" t="s">
        <v>1072</v>
      </c>
      <c r="TO65" s="277" t="s">
        <v>1072</v>
      </c>
      <c r="TP65" s="277" t="s">
        <v>1072</v>
      </c>
      <c r="TQ65" s="277" t="s">
        <v>1072</v>
      </c>
      <c r="TR65" s="277" t="s">
        <v>1072</v>
      </c>
      <c r="TS65" s="277" t="s">
        <v>1072</v>
      </c>
      <c r="TT65" s="277" t="s">
        <v>1072</v>
      </c>
      <c r="TU65" s="277" t="s">
        <v>1072</v>
      </c>
      <c r="TV65" s="277" t="s">
        <v>1072</v>
      </c>
      <c r="TW65" s="277" t="s">
        <v>1072</v>
      </c>
      <c r="TX65" s="277" t="s">
        <v>1072</v>
      </c>
      <c r="TY65" s="277" t="s">
        <v>1072</v>
      </c>
      <c r="TZ65" s="277" t="s">
        <v>1072</v>
      </c>
      <c r="UA65" s="277" t="s">
        <v>1072</v>
      </c>
      <c r="UB65" s="277" t="s">
        <v>1072</v>
      </c>
      <c r="UC65" s="277" t="s">
        <v>1072</v>
      </c>
      <c r="UD65" s="277" t="s">
        <v>1072</v>
      </c>
      <c r="UE65" s="277" t="s">
        <v>1072</v>
      </c>
      <c r="UF65" s="277" t="s">
        <v>1072</v>
      </c>
      <c r="UG65" s="277" t="s">
        <v>1072</v>
      </c>
      <c r="UH65" s="277" t="s">
        <v>1072</v>
      </c>
      <c r="UI65" s="277" t="s">
        <v>1072</v>
      </c>
      <c r="UJ65" s="277" t="s">
        <v>1072</v>
      </c>
      <c r="UK65" s="277" t="s">
        <v>1072</v>
      </c>
      <c r="UL65" s="277" t="s">
        <v>1072</v>
      </c>
      <c r="UM65" s="277" t="s">
        <v>1072</v>
      </c>
      <c r="UN65" s="277" t="s">
        <v>1072</v>
      </c>
      <c r="UO65" s="277" t="s">
        <v>1072</v>
      </c>
      <c r="UP65" s="277" t="s">
        <v>1072</v>
      </c>
      <c r="UQ65" s="277" t="s">
        <v>1072</v>
      </c>
      <c r="UR65" s="277" t="s">
        <v>1072</v>
      </c>
      <c r="US65" s="277" t="s">
        <v>1072</v>
      </c>
      <c r="UT65" s="277" t="s">
        <v>1072</v>
      </c>
      <c r="UU65" s="277" t="s">
        <v>1072</v>
      </c>
      <c r="UV65" s="277" t="s">
        <v>1072</v>
      </c>
      <c r="UW65" s="277" t="s">
        <v>1072</v>
      </c>
      <c r="UX65" s="277" t="s">
        <v>1072</v>
      </c>
      <c r="UY65" s="277" t="s">
        <v>1072</v>
      </c>
      <c r="UZ65" s="277" t="s">
        <v>1072</v>
      </c>
      <c r="VA65" s="277" t="s">
        <v>1072</v>
      </c>
      <c r="VB65" s="277" t="s">
        <v>1072</v>
      </c>
      <c r="VC65" s="277" t="s">
        <v>1072</v>
      </c>
      <c r="VD65" s="277" t="s">
        <v>1072</v>
      </c>
      <c r="VE65" s="277" t="s">
        <v>1072</v>
      </c>
      <c r="VF65" s="277" t="s">
        <v>1072</v>
      </c>
      <c r="VG65" s="277" t="s">
        <v>1072</v>
      </c>
      <c r="VH65" s="277" t="s">
        <v>1072</v>
      </c>
      <c r="VI65" s="277" t="s">
        <v>1072</v>
      </c>
      <c r="VJ65" s="277" t="s">
        <v>1072</v>
      </c>
      <c r="VK65" s="277" t="s">
        <v>1072</v>
      </c>
      <c r="VL65" s="277" t="s">
        <v>1072</v>
      </c>
      <c r="VM65" s="277" t="s">
        <v>1072</v>
      </c>
      <c r="VN65" s="277" t="s">
        <v>1072</v>
      </c>
      <c r="VO65" s="277" t="s">
        <v>1072</v>
      </c>
      <c r="VP65" s="277" t="s">
        <v>1072</v>
      </c>
      <c r="VQ65" s="277" t="s">
        <v>1072</v>
      </c>
      <c r="VR65" s="277" t="s">
        <v>1072</v>
      </c>
      <c r="VS65" s="277" t="s">
        <v>1072</v>
      </c>
      <c r="VT65" s="277" t="s">
        <v>1072</v>
      </c>
      <c r="VU65" s="277" t="s">
        <v>1072</v>
      </c>
      <c r="VV65" s="277" t="s">
        <v>1072</v>
      </c>
      <c r="VW65" s="277" t="s">
        <v>1072</v>
      </c>
      <c r="VX65" s="277" t="s">
        <v>1072</v>
      </c>
      <c r="VY65" s="277" t="s">
        <v>1072</v>
      </c>
      <c r="VZ65" s="277" t="s">
        <v>1072</v>
      </c>
      <c r="WA65" s="277" t="s">
        <v>1072</v>
      </c>
      <c r="WB65" s="277" t="s">
        <v>1072</v>
      </c>
      <c r="WC65" s="277" t="s">
        <v>1072</v>
      </c>
      <c r="WD65" s="277" t="s">
        <v>1072</v>
      </c>
      <c r="WE65" s="277" t="s">
        <v>1072</v>
      </c>
      <c r="WF65" s="277" t="s">
        <v>1072</v>
      </c>
      <c r="WG65" s="277" t="s">
        <v>1072</v>
      </c>
      <c r="WH65" s="277" t="s">
        <v>1072</v>
      </c>
      <c r="WI65" s="277" t="s">
        <v>1072</v>
      </c>
      <c r="WJ65" s="277" t="s">
        <v>1072</v>
      </c>
      <c r="WK65" s="277" t="s">
        <v>1072</v>
      </c>
      <c r="WL65" s="277" t="s">
        <v>1072</v>
      </c>
      <c r="WM65" s="277" t="s">
        <v>1072</v>
      </c>
      <c r="WN65" s="277" t="s">
        <v>1072</v>
      </c>
      <c r="WO65" s="277" t="s">
        <v>1072</v>
      </c>
      <c r="WP65" s="277" t="s">
        <v>1072</v>
      </c>
      <c r="WQ65" s="277" t="s">
        <v>1072</v>
      </c>
      <c r="WR65" s="277" t="s">
        <v>1072</v>
      </c>
      <c r="WS65" s="277" t="s">
        <v>1072</v>
      </c>
      <c r="WT65" s="277" t="s">
        <v>1072</v>
      </c>
      <c r="WU65" s="277" t="s">
        <v>1072</v>
      </c>
      <c r="WV65" s="277" t="s">
        <v>1072</v>
      </c>
      <c r="WW65" s="277" t="s">
        <v>1072</v>
      </c>
      <c r="WX65" s="277" t="s">
        <v>1072</v>
      </c>
      <c r="WY65" s="277" t="s">
        <v>1072</v>
      </c>
      <c r="WZ65" s="277" t="s">
        <v>1072</v>
      </c>
      <c r="XA65" s="277" t="s">
        <v>1072</v>
      </c>
      <c r="XB65" s="277" t="s">
        <v>1072</v>
      </c>
      <c r="XC65" s="277" t="s">
        <v>1072</v>
      </c>
      <c r="XD65" s="277" t="s">
        <v>1072</v>
      </c>
      <c r="XE65" s="277" t="s">
        <v>1072</v>
      </c>
      <c r="XF65" s="277" t="s">
        <v>1072</v>
      </c>
      <c r="XG65" s="277" t="s">
        <v>1072</v>
      </c>
      <c r="XH65" s="277" t="s">
        <v>1072</v>
      </c>
      <c r="XI65" s="277" t="s">
        <v>1072</v>
      </c>
      <c r="XJ65" s="277" t="s">
        <v>1072</v>
      </c>
      <c r="XK65" s="277" t="s">
        <v>1072</v>
      </c>
      <c r="XL65" s="277" t="s">
        <v>1072</v>
      </c>
      <c r="XM65" s="277" t="s">
        <v>1072</v>
      </c>
      <c r="XN65" s="277" t="s">
        <v>1072</v>
      </c>
      <c r="XO65" s="277" t="s">
        <v>1072</v>
      </c>
      <c r="XP65" s="277" t="s">
        <v>1072</v>
      </c>
      <c r="XQ65" s="277" t="s">
        <v>1072</v>
      </c>
      <c r="XR65" s="277" t="s">
        <v>1072</v>
      </c>
      <c r="XS65" s="277" t="s">
        <v>1072</v>
      </c>
      <c r="XT65" s="277" t="s">
        <v>1072</v>
      </c>
      <c r="XU65" s="277" t="s">
        <v>1072</v>
      </c>
      <c r="XV65" s="277" t="s">
        <v>1072</v>
      </c>
      <c r="XW65" s="277" t="s">
        <v>1072</v>
      </c>
      <c r="XX65" s="277" t="s">
        <v>1072</v>
      </c>
      <c r="XY65" s="277" t="s">
        <v>1072</v>
      </c>
      <c r="XZ65" s="277" t="s">
        <v>1072</v>
      </c>
      <c r="YA65" s="277" t="s">
        <v>1072</v>
      </c>
      <c r="YB65" s="277" t="s">
        <v>1072</v>
      </c>
      <c r="YC65" s="277" t="s">
        <v>1072</v>
      </c>
      <c r="YD65" s="277" t="s">
        <v>1072</v>
      </c>
      <c r="YE65" s="277" t="s">
        <v>1072</v>
      </c>
      <c r="YF65" s="277" t="s">
        <v>1072</v>
      </c>
      <c r="YG65" s="277" t="s">
        <v>1072</v>
      </c>
      <c r="YH65" s="277" t="s">
        <v>1072</v>
      </c>
      <c r="YI65" s="277" t="s">
        <v>1072</v>
      </c>
      <c r="YJ65" s="277" t="s">
        <v>1072</v>
      </c>
      <c r="YK65" s="277" t="s">
        <v>1072</v>
      </c>
      <c r="YL65" s="277" t="s">
        <v>1072</v>
      </c>
      <c r="YM65" s="277" t="s">
        <v>1072</v>
      </c>
      <c r="YN65" s="277" t="s">
        <v>1072</v>
      </c>
      <c r="YO65" s="277" t="s">
        <v>1072</v>
      </c>
      <c r="YP65" s="277" t="s">
        <v>1072</v>
      </c>
      <c r="YQ65" s="277" t="s">
        <v>1072</v>
      </c>
      <c r="YR65" s="277" t="s">
        <v>1072</v>
      </c>
      <c r="YS65" s="277" t="s">
        <v>1072</v>
      </c>
      <c r="YT65" s="277" t="s">
        <v>1072</v>
      </c>
      <c r="YU65" s="277" t="s">
        <v>1072</v>
      </c>
      <c r="YV65" s="277" t="s">
        <v>1072</v>
      </c>
      <c r="YW65" s="277" t="s">
        <v>1072</v>
      </c>
      <c r="YX65" s="277" t="s">
        <v>1072</v>
      </c>
      <c r="YY65" s="277" t="s">
        <v>1072</v>
      </c>
      <c r="YZ65" s="277" t="s">
        <v>1072</v>
      </c>
      <c r="ZA65" s="277" t="s">
        <v>1072</v>
      </c>
      <c r="ZB65" s="277" t="s">
        <v>1072</v>
      </c>
      <c r="ZC65" s="277" t="s">
        <v>1072</v>
      </c>
      <c r="ZD65" s="277" t="s">
        <v>1072</v>
      </c>
      <c r="ZE65" s="277" t="s">
        <v>1072</v>
      </c>
      <c r="ZF65" s="277" t="s">
        <v>1072</v>
      </c>
      <c r="ZG65" s="277" t="s">
        <v>1072</v>
      </c>
      <c r="ZH65" s="277" t="s">
        <v>1072</v>
      </c>
      <c r="ZI65" s="277" t="s">
        <v>1072</v>
      </c>
      <c r="ZJ65" s="277" t="s">
        <v>1072</v>
      </c>
      <c r="ZK65" s="277" t="s">
        <v>1072</v>
      </c>
      <c r="ZL65" s="277" t="s">
        <v>1072</v>
      </c>
      <c r="ZM65" s="277" t="s">
        <v>1072</v>
      </c>
      <c r="ZN65" s="277" t="s">
        <v>1072</v>
      </c>
      <c r="ZO65" s="277" t="s">
        <v>1072</v>
      </c>
      <c r="ZP65" s="277" t="s">
        <v>1072</v>
      </c>
      <c r="ZQ65" s="277" t="s">
        <v>1072</v>
      </c>
      <c r="ZR65" s="277" t="s">
        <v>1072</v>
      </c>
      <c r="ZS65" s="277" t="s">
        <v>1072</v>
      </c>
      <c r="ZT65" s="277" t="s">
        <v>1072</v>
      </c>
      <c r="ZU65" s="277" t="s">
        <v>1072</v>
      </c>
      <c r="ZV65" s="277" t="s">
        <v>1072</v>
      </c>
      <c r="ZW65" s="277" t="s">
        <v>1072</v>
      </c>
      <c r="ZX65" s="277" t="s">
        <v>1072</v>
      </c>
      <c r="ZY65" s="277" t="s">
        <v>1072</v>
      </c>
      <c r="ZZ65" s="277" t="s">
        <v>1072</v>
      </c>
      <c r="AAA65" s="277" t="s">
        <v>1072</v>
      </c>
      <c r="AAB65" s="277" t="s">
        <v>1072</v>
      </c>
      <c r="AAC65" s="277" t="s">
        <v>1072</v>
      </c>
      <c r="AAD65" s="277" t="s">
        <v>1072</v>
      </c>
      <c r="AAE65" s="277" t="s">
        <v>1072</v>
      </c>
      <c r="AAF65" s="277" t="s">
        <v>1072</v>
      </c>
      <c r="AAG65" s="277" t="s">
        <v>1072</v>
      </c>
      <c r="AAH65" s="277" t="s">
        <v>1072</v>
      </c>
      <c r="AAI65" s="277" t="s">
        <v>1072</v>
      </c>
      <c r="AAJ65" s="277" t="s">
        <v>1072</v>
      </c>
      <c r="AAK65" s="277" t="s">
        <v>1072</v>
      </c>
      <c r="AAL65" s="277" t="s">
        <v>1072</v>
      </c>
      <c r="AAM65" s="277" t="s">
        <v>1072</v>
      </c>
      <c r="AAN65" s="277" t="s">
        <v>1072</v>
      </c>
      <c r="AAO65" s="277" t="s">
        <v>1072</v>
      </c>
      <c r="AAP65" s="277" t="s">
        <v>1072</v>
      </c>
      <c r="AAQ65" s="277" t="s">
        <v>1072</v>
      </c>
      <c r="AAR65" s="277" t="s">
        <v>1072</v>
      </c>
      <c r="AAS65" s="277" t="s">
        <v>1072</v>
      </c>
      <c r="AAT65" s="277" t="s">
        <v>1072</v>
      </c>
      <c r="AAU65" s="277" t="s">
        <v>1072</v>
      </c>
      <c r="AAV65" s="277" t="s">
        <v>1072</v>
      </c>
      <c r="AAW65" s="277" t="s">
        <v>1072</v>
      </c>
      <c r="AAX65" s="277" t="s">
        <v>1072</v>
      </c>
      <c r="AAY65" s="277" t="s">
        <v>1072</v>
      </c>
      <c r="AAZ65" s="277" t="s">
        <v>1072</v>
      </c>
      <c r="ABA65" s="277" t="s">
        <v>1072</v>
      </c>
      <c r="ABB65" s="277" t="s">
        <v>1072</v>
      </c>
      <c r="ABC65" s="277" t="s">
        <v>1072</v>
      </c>
      <c r="ABD65" s="277" t="s">
        <v>1072</v>
      </c>
      <c r="ABE65" s="277" t="s">
        <v>1072</v>
      </c>
      <c r="ABF65" s="277" t="s">
        <v>1072</v>
      </c>
      <c r="ABG65" s="277" t="s">
        <v>1072</v>
      </c>
      <c r="ABH65" s="277" t="s">
        <v>1072</v>
      </c>
      <c r="ABI65" s="277" t="s">
        <v>1072</v>
      </c>
      <c r="ABJ65" s="277" t="s">
        <v>1072</v>
      </c>
      <c r="ABK65" s="277" t="s">
        <v>1072</v>
      </c>
      <c r="ABL65" s="277" t="s">
        <v>1072</v>
      </c>
      <c r="ABM65" s="277" t="s">
        <v>1072</v>
      </c>
      <c r="ABN65" s="277" t="s">
        <v>1072</v>
      </c>
      <c r="ABO65" s="277" t="s">
        <v>1072</v>
      </c>
      <c r="ABP65" s="277" t="s">
        <v>1072</v>
      </c>
      <c r="ABQ65" s="277" t="s">
        <v>1072</v>
      </c>
      <c r="ABR65" s="277" t="s">
        <v>1072</v>
      </c>
      <c r="ABS65" s="277" t="s">
        <v>1072</v>
      </c>
      <c r="ABT65" s="277" t="s">
        <v>1072</v>
      </c>
      <c r="ABU65" s="277" t="s">
        <v>1072</v>
      </c>
      <c r="ABV65" s="277" t="s">
        <v>1072</v>
      </c>
      <c r="ABW65" s="277" t="s">
        <v>1072</v>
      </c>
      <c r="ABX65" s="277" t="s">
        <v>1072</v>
      </c>
      <c r="ABY65" s="277" t="s">
        <v>1072</v>
      </c>
      <c r="ABZ65" s="277" t="s">
        <v>1072</v>
      </c>
      <c r="ACA65" s="277" t="s">
        <v>1072</v>
      </c>
      <c r="ACB65" s="277" t="s">
        <v>1072</v>
      </c>
      <c r="ACC65" s="277" t="s">
        <v>1072</v>
      </c>
      <c r="ACD65" s="277" t="s">
        <v>1072</v>
      </c>
      <c r="ACE65" s="277" t="s">
        <v>1072</v>
      </c>
      <c r="ACF65" s="277" t="s">
        <v>1072</v>
      </c>
      <c r="ACG65" s="277" t="s">
        <v>1072</v>
      </c>
      <c r="ACH65" s="277" t="s">
        <v>1072</v>
      </c>
      <c r="ACI65" s="277" t="s">
        <v>1072</v>
      </c>
      <c r="ACJ65" s="277" t="s">
        <v>1072</v>
      </c>
      <c r="ACK65" s="277" t="s">
        <v>1072</v>
      </c>
      <c r="ACL65" s="277" t="s">
        <v>1072</v>
      </c>
      <c r="ACM65" s="277" t="s">
        <v>1072</v>
      </c>
      <c r="ACN65" s="277" t="s">
        <v>1072</v>
      </c>
      <c r="ACO65" s="277" t="s">
        <v>1072</v>
      </c>
      <c r="ACP65" s="277" t="s">
        <v>1072</v>
      </c>
      <c r="ACQ65" s="277" t="s">
        <v>1072</v>
      </c>
      <c r="ACR65" s="277" t="s">
        <v>1072</v>
      </c>
      <c r="ACS65" s="277" t="s">
        <v>1072</v>
      </c>
      <c r="ACT65" s="277" t="s">
        <v>1072</v>
      </c>
      <c r="ACU65" s="277" t="s">
        <v>1072</v>
      </c>
      <c r="ACV65" s="277" t="s">
        <v>1072</v>
      </c>
      <c r="ACW65" s="277" t="s">
        <v>1072</v>
      </c>
      <c r="ACX65" s="277" t="s">
        <v>1072</v>
      </c>
      <c r="ACY65" s="277" t="s">
        <v>1072</v>
      </c>
      <c r="ACZ65" s="277" t="s">
        <v>1072</v>
      </c>
      <c r="ADA65" s="277" t="s">
        <v>1072</v>
      </c>
      <c r="ADB65" s="277" t="s">
        <v>1072</v>
      </c>
      <c r="ADC65" s="277" t="s">
        <v>1072</v>
      </c>
      <c r="ADD65" s="277" t="s">
        <v>1072</v>
      </c>
      <c r="ADE65" s="277" t="s">
        <v>1072</v>
      </c>
      <c r="ADF65" s="277" t="s">
        <v>1072</v>
      </c>
      <c r="ADG65" s="277" t="s">
        <v>1072</v>
      </c>
      <c r="ADH65" s="277" t="s">
        <v>1072</v>
      </c>
      <c r="ADI65" s="277" t="s">
        <v>1072</v>
      </c>
      <c r="ADJ65" s="277" t="s">
        <v>1072</v>
      </c>
      <c r="ADK65" s="277" t="s">
        <v>1072</v>
      </c>
      <c r="ADL65" s="277" t="s">
        <v>1072</v>
      </c>
      <c r="ADM65" s="277" t="s">
        <v>1072</v>
      </c>
      <c r="ADN65" s="277" t="s">
        <v>1072</v>
      </c>
      <c r="ADO65" s="277" t="s">
        <v>1072</v>
      </c>
      <c r="ADP65" s="277" t="s">
        <v>1072</v>
      </c>
      <c r="ADQ65" s="277" t="s">
        <v>1072</v>
      </c>
      <c r="ADR65" s="277" t="s">
        <v>1072</v>
      </c>
      <c r="ADS65" s="277" t="s">
        <v>1072</v>
      </c>
      <c r="ADT65" s="277" t="s">
        <v>1072</v>
      </c>
      <c r="ADU65" s="277" t="s">
        <v>1072</v>
      </c>
      <c r="ADV65" s="277" t="s">
        <v>1072</v>
      </c>
      <c r="ADW65" s="277" t="s">
        <v>1072</v>
      </c>
      <c r="ADX65" s="277" t="s">
        <v>1072</v>
      </c>
      <c r="ADY65" s="277" t="s">
        <v>1072</v>
      </c>
      <c r="ADZ65" s="277" t="s">
        <v>1072</v>
      </c>
      <c r="AEA65" s="277" t="s">
        <v>1072</v>
      </c>
      <c r="AEB65" s="277" t="s">
        <v>1072</v>
      </c>
      <c r="AEC65" s="277" t="s">
        <v>1072</v>
      </c>
      <c r="AED65" s="277" t="s">
        <v>1072</v>
      </c>
      <c r="AEE65" s="277" t="s">
        <v>1072</v>
      </c>
      <c r="AEF65" s="277" t="s">
        <v>1072</v>
      </c>
      <c r="AEG65" s="277" t="s">
        <v>1072</v>
      </c>
      <c r="AEH65" s="277" t="s">
        <v>1072</v>
      </c>
      <c r="AEI65" s="277" t="s">
        <v>1072</v>
      </c>
      <c r="AEJ65" s="277" t="s">
        <v>1072</v>
      </c>
      <c r="AEK65" s="277" t="s">
        <v>1072</v>
      </c>
      <c r="AEL65" s="277" t="s">
        <v>1072</v>
      </c>
      <c r="AEM65" s="277" t="s">
        <v>1072</v>
      </c>
      <c r="AEN65" s="277" t="s">
        <v>1072</v>
      </c>
      <c r="AEO65" s="277" t="s">
        <v>1072</v>
      </c>
      <c r="AEP65" s="277" t="s">
        <v>1072</v>
      </c>
      <c r="AEQ65" s="277" t="s">
        <v>1072</v>
      </c>
      <c r="AER65" s="277" t="s">
        <v>1072</v>
      </c>
      <c r="AES65" s="277" t="s">
        <v>1072</v>
      </c>
      <c r="AET65" s="277" t="s">
        <v>1072</v>
      </c>
      <c r="AEU65" s="277" t="s">
        <v>1072</v>
      </c>
      <c r="AEV65" s="277" t="s">
        <v>1072</v>
      </c>
      <c r="AEW65" s="277" t="s">
        <v>1072</v>
      </c>
      <c r="AEX65" s="277" t="s">
        <v>1072</v>
      </c>
      <c r="AEY65" s="277" t="s">
        <v>1072</v>
      </c>
      <c r="AEZ65" s="277" t="s">
        <v>1072</v>
      </c>
      <c r="AFA65" s="277" t="s">
        <v>1072</v>
      </c>
      <c r="AFB65" s="277" t="s">
        <v>1072</v>
      </c>
      <c r="AFC65" s="277" t="s">
        <v>1072</v>
      </c>
      <c r="AFD65" s="277" t="s">
        <v>1072</v>
      </c>
      <c r="AFE65" s="277" t="s">
        <v>1072</v>
      </c>
      <c r="AFF65" s="277" t="s">
        <v>1072</v>
      </c>
      <c r="AFG65" s="277" t="s">
        <v>1072</v>
      </c>
      <c r="AFH65" s="277" t="s">
        <v>1072</v>
      </c>
      <c r="AFI65" s="277" t="s">
        <v>1072</v>
      </c>
      <c r="AFJ65" s="277" t="s">
        <v>1072</v>
      </c>
      <c r="AFK65" s="277" t="s">
        <v>1072</v>
      </c>
      <c r="AFL65" s="277" t="s">
        <v>1072</v>
      </c>
      <c r="AFM65" s="277" t="s">
        <v>1072</v>
      </c>
      <c r="AFN65" s="277" t="s">
        <v>1072</v>
      </c>
      <c r="AFO65" s="277" t="s">
        <v>1072</v>
      </c>
      <c r="AFP65" s="277" t="s">
        <v>1072</v>
      </c>
      <c r="AFQ65" s="277" t="s">
        <v>1072</v>
      </c>
      <c r="AFR65" s="277" t="s">
        <v>1072</v>
      </c>
      <c r="AFS65" s="277" t="s">
        <v>1072</v>
      </c>
      <c r="AFT65" s="277" t="s">
        <v>1072</v>
      </c>
      <c r="AFU65" s="277" t="s">
        <v>1072</v>
      </c>
      <c r="AFV65" s="277" t="s">
        <v>1072</v>
      </c>
      <c r="AFW65" s="277" t="s">
        <v>1072</v>
      </c>
      <c r="AFX65" s="277" t="s">
        <v>1072</v>
      </c>
      <c r="AFY65" s="277" t="s">
        <v>1072</v>
      </c>
      <c r="AFZ65" s="277" t="s">
        <v>1072</v>
      </c>
      <c r="AGA65" s="277" t="s">
        <v>1072</v>
      </c>
      <c r="AGB65" s="277" t="s">
        <v>1072</v>
      </c>
      <c r="AGC65" s="277" t="s">
        <v>1072</v>
      </c>
      <c r="AGD65" s="277" t="s">
        <v>1072</v>
      </c>
      <c r="AGE65" s="277" t="s">
        <v>1072</v>
      </c>
      <c r="AGF65" s="277" t="s">
        <v>1072</v>
      </c>
      <c r="AGG65" s="277" t="s">
        <v>1072</v>
      </c>
      <c r="AGH65" s="277" t="s">
        <v>1072</v>
      </c>
      <c r="AGI65" s="277" t="s">
        <v>1072</v>
      </c>
      <c r="AGJ65" s="277" t="s">
        <v>1072</v>
      </c>
      <c r="AGK65" s="277" t="s">
        <v>1072</v>
      </c>
      <c r="AGL65" s="277" t="s">
        <v>1072</v>
      </c>
      <c r="AGM65" s="277" t="s">
        <v>1072</v>
      </c>
      <c r="AGN65" s="277" t="s">
        <v>1072</v>
      </c>
      <c r="AGO65" s="277" t="s">
        <v>1072</v>
      </c>
      <c r="AGP65" s="277" t="s">
        <v>1072</v>
      </c>
      <c r="AGQ65" s="277" t="s">
        <v>1072</v>
      </c>
      <c r="AGR65" s="277" t="s">
        <v>1072</v>
      </c>
      <c r="AGS65" s="277" t="s">
        <v>1072</v>
      </c>
      <c r="AGT65" s="277" t="s">
        <v>1072</v>
      </c>
      <c r="AGU65" s="277" t="s">
        <v>1072</v>
      </c>
      <c r="AGV65" s="277" t="s">
        <v>1072</v>
      </c>
      <c r="AGW65" s="277" t="s">
        <v>1072</v>
      </c>
      <c r="AGX65" s="277" t="s">
        <v>1072</v>
      </c>
      <c r="AGY65" s="277" t="s">
        <v>1072</v>
      </c>
      <c r="AGZ65" s="277" t="s">
        <v>1072</v>
      </c>
      <c r="AHA65" s="277" t="s">
        <v>1072</v>
      </c>
      <c r="AHB65" s="277" t="s">
        <v>1072</v>
      </c>
      <c r="AHC65" s="277" t="s">
        <v>1072</v>
      </c>
      <c r="AHD65" s="277" t="s">
        <v>1072</v>
      </c>
      <c r="AHE65" s="277" t="s">
        <v>1072</v>
      </c>
      <c r="AHF65" s="277" t="s">
        <v>1072</v>
      </c>
      <c r="AHG65" s="277" t="s">
        <v>1072</v>
      </c>
      <c r="AHH65" s="277" t="s">
        <v>1072</v>
      </c>
      <c r="AHI65" s="277" t="s">
        <v>1072</v>
      </c>
      <c r="AHJ65" s="277" t="s">
        <v>1072</v>
      </c>
      <c r="AHK65" s="277" t="s">
        <v>1072</v>
      </c>
      <c r="AHL65" s="277" t="s">
        <v>1072</v>
      </c>
      <c r="AHM65" s="277" t="s">
        <v>1072</v>
      </c>
      <c r="AHN65" s="277" t="s">
        <v>1072</v>
      </c>
      <c r="AHO65" s="277" t="s">
        <v>1072</v>
      </c>
      <c r="AHP65" s="277" t="s">
        <v>1072</v>
      </c>
      <c r="AHQ65" s="277" t="s">
        <v>1072</v>
      </c>
      <c r="AHR65" s="277" t="s">
        <v>1072</v>
      </c>
      <c r="AHS65" s="277" t="s">
        <v>1072</v>
      </c>
      <c r="AHT65" s="277" t="s">
        <v>1072</v>
      </c>
      <c r="AHU65" s="277" t="s">
        <v>1072</v>
      </c>
      <c r="AHV65" s="277" t="s">
        <v>1072</v>
      </c>
      <c r="AHW65" s="277" t="s">
        <v>1072</v>
      </c>
      <c r="AHX65" s="277" t="s">
        <v>1072</v>
      </c>
      <c r="AHY65" s="277" t="s">
        <v>1072</v>
      </c>
      <c r="AHZ65" s="277" t="s">
        <v>1072</v>
      </c>
      <c r="AIA65" s="277" t="s">
        <v>1072</v>
      </c>
      <c r="AIB65" s="277" t="s">
        <v>1072</v>
      </c>
      <c r="AIC65" s="277" t="s">
        <v>1072</v>
      </c>
      <c r="AID65" s="277" t="s">
        <v>1072</v>
      </c>
      <c r="AIE65" s="277" t="s">
        <v>1072</v>
      </c>
      <c r="AIF65" s="277" t="s">
        <v>1072</v>
      </c>
      <c r="AIG65" s="277" t="s">
        <v>1072</v>
      </c>
      <c r="AIH65" s="277" t="s">
        <v>1072</v>
      </c>
      <c r="AII65" s="277" t="s">
        <v>1072</v>
      </c>
      <c r="AIJ65" s="277" t="s">
        <v>1072</v>
      </c>
      <c r="AIK65" s="277" t="s">
        <v>1072</v>
      </c>
      <c r="AIL65" s="277" t="s">
        <v>1072</v>
      </c>
      <c r="AIM65" s="277" t="s">
        <v>1072</v>
      </c>
      <c r="AIN65" s="277" t="s">
        <v>1072</v>
      </c>
      <c r="AIO65" s="277" t="s">
        <v>1072</v>
      </c>
      <c r="AIP65" s="277" t="s">
        <v>1072</v>
      </c>
      <c r="AIQ65" s="277" t="s">
        <v>1072</v>
      </c>
      <c r="AIR65" s="277" t="s">
        <v>1072</v>
      </c>
      <c r="AIS65" s="277" t="s">
        <v>1072</v>
      </c>
      <c r="AIT65" s="277" t="s">
        <v>1072</v>
      </c>
      <c r="AIU65" s="277" t="s">
        <v>1072</v>
      </c>
      <c r="AIV65" s="277" t="s">
        <v>1072</v>
      </c>
      <c r="AIW65" s="277" t="s">
        <v>1072</v>
      </c>
      <c r="AIX65" s="277" t="s">
        <v>1072</v>
      </c>
      <c r="AIY65" s="277" t="s">
        <v>1072</v>
      </c>
      <c r="AIZ65" s="277" t="s">
        <v>1072</v>
      </c>
      <c r="AJA65" s="277" t="s">
        <v>1072</v>
      </c>
      <c r="AJB65" s="277" t="s">
        <v>1072</v>
      </c>
      <c r="AJC65" s="277" t="s">
        <v>1072</v>
      </c>
      <c r="AJD65" s="277" t="s">
        <v>1072</v>
      </c>
      <c r="AJE65" s="277" t="s">
        <v>1072</v>
      </c>
      <c r="AJF65" s="277" t="s">
        <v>1072</v>
      </c>
      <c r="AJG65" s="277" t="s">
        <v>1072</v>
      </c>
      <c r="AJH65" s="277" t="s">
        <v>1072</v>
      </c>
      <c r="AJI65" s="277" t="s">
        <v>1072</v>
      </c>
      <c r="AJJ65" s="277" t="s">
        <v>1072</v>
      </c>
      <c r="AJK65" s="277" t="s">
        <v>1072</v>
      </c>
      <c r="AJL65" s="277" t="s">
        <v>1072</v>
      </c>
      <c r="AJM65" s="277" t="s">
        <v>1072</v>
      </c>
      <c r="AJN65" s="277" t="s">
        <v>1072</v>
      </c>
      <c r="AJO65" s="277" t="s">
        <v>1072</v>
      </c>
      <c r="AJP65" s="277" t="s">
        <v>1072</v>
      </c>
      <c r="AJQ65" s="277" t="s">
        <v>1072</v>
      </c>
      <c r="AJR65" s="277" t="s">
        <v>1072</v>
      </c>
      <c r="AJS65" s="277" t="s">
        <v>1072</v>
      </c>
      <c r="AJT65" s="277" t="s">
        <v>1072</v>
      </c>
      <c r="AJU65" s="277" t="s">
        <v>1072</v>
      </c>
      <c r="AJV65" s="277" t="s">
        <v>1072</v>
      </c>
      <c r="AJW65" s="277" t="s">
        <v>1072</v>
      </c>
      <c r="AJX65" s="277" t="s">
        <v>1072</v>
      </c>
      <c r="AJY65" s="277" t="s">
        <v>1072</v>
      </c>
      <c r="AJZ65" s="277" t="s">
        <v>1072</v>
      </c>
      <c r="AKA65" s="277" t="s">
        <v>1072</v>
      </c>
      <c r="AKB65" s="277" t="s">
        <v>1072</v>
      </c>
      <c r="AKC65" s="277" t="s">
        <v>1072</v>
      </c>
      <c r="AKD65" s="277" t="s">
        <v>1072</v>
      </c>
      <c r="AKE65" s="277" t="s">
        <v>1072</v>
      </c>
      <c r="AKF65" s="277" t="s">
        <v>1072</v>
      </c>
      <c r="AKG65" s="277" t="s">
        <v>1072</v>
      </c>
      <c r="AKH65" s="277" t="s">
        <v>1072</v>
      </c>
      <c r="AKI65" s="277" t="s">
        <v>1072</v>
      </c>
      <c r="AKJ65" s="277" t="s">
        <v>1072</v>
      </c>
      <c r="AKK65" s="277" t="s">
        <v>1072</v>
      </c>
      <c r="AKL65" s="277" t="s">
        <v>1072</v>
      </c>
      <c r="AKM65" s="277" t="s">
        <v>1072</v>
      </c>
      <c r="AKN65" s="277" t="s">
        <v>1072</v>
      </c>
      <c r="AKO65" s="277" t="s">
        <v>1072</v>
      </c>
      <c r="AKP65" s="277" t="s">
        <v>1072</v>
      </c>
      <c r="AKQ65" s="277" t="s">
        <v>1072</v>
      </c>
      <c r="AKR65" s="277" t="s">
        <v>1072</v>
      </c>
      <c r="AKS65" s="277" t="s">
        <v>1072</v>
      </c>
      <c r="AKT65" s="277" t="s">
        <v>1072</v>
      </c>
      <c r="AKU65" s="277" t="s">
        <v>1072</v>
      </c>
      <c r="AKV65" s="277" t="s">
        <v>1072</v>
      </c>
      <c r="AKW65" s="277" t="s">
        <v>1072</v>
      </c>
      <c r="AKX65" s="277" t="s">
        <v>1072</v>
      </c>
      <c r="AKY65" s="277" t="s">
        <v>1072</v>
      </c>
      <c r="AKZ65" s="277" t="s">
        <v>1072</v>
      </c>
      <c r="ALA65" s="277" t="s">
        <v>1072</v>
      </c>
      <c r="ALB65" s="277" t="s">
        <v>1072</v>
      </c>
      <c r="ALC65" s="277" t="s">
        <v>1072</v>
      </c>
      <c r="ALD65" s="277" t="s">
        <v>1072</v>
      </c>
      <c r="ALE65" s="277" t="s">
        <v>1072</v>
      </c>
      <c r="ALF65" s="277" t="s">
        <v>1072</v>
      </c>
      <c r="ALG65" s="277" t="s">
        <v>1072</v>
      </c>
      <c r="ALH65" s="277" t="s">
        <v>1072</v>
      </c>
      <c r="ALI65" s="277" t="s">
        <v>1072</v>
      </c>
      <c r="ALJ65" s="277" t="s">
        <v>1072</v>
      </c>
      <c r="ALK65" s="277" t="s">
        <v>1072</v>
      </c>
      <c r="ALL65" s="277" t="s">
        <v>1072</v>
      </c>
      <c r="ALM65" s="277" t="s">
        <v>1072</v>
      </c>
      <c r="ALN65" s="277" t="s">
        <v>1072</v>
      </c>
      <c r="ALO65" s="277" t="s">
        <v>1072</v>
      </c>
      <c r="ALP65" s="277" t="s">
        <v>1072</v>
      </c>
      <c r="ALQ65" s="277" t="s">
        <v>1072</v>
      </c>
      <c r="ALR65" s="277" t="s">
        <v>1072</v>
      </c>
      <c r="ALS65" s="277" t="s">
        <v>1072</v>
      </c>
      <c r="ALT65" s="277" t="s">
        <v>1072</v>
      </c>
      <c r="ALU65" s="277" t="s">
        <v>1072</v>
      </c>
      <c r="ALV65" s="277" t="s">
        <v>1072</v>
      </c>
      <c r="ALW65" s="277" t="s">
        <v>1072</v>
      </c>
      <c r="ALX65" s="277" t="s">
        <v>1072</v>
      </c>
      <c r="ALY65" s="277" t="s">
        <v>1072</v>
      </c>
      <c r="ALZ65" s="277" t="s">
        <v>1072</v>
      </c>
      <c r="AMA65" s="277" t="s">
        <v>1072</v>
      </c>
      <c r="AMB65" s="277" t="s">
        <v>1072</v>
      </c>
      <c r="AMC65" s="277" t="s">
        <v>1072</v>
      </c>
      <c r="AMD65" s="277" t="s">
        <v>1072</v>
      </c>
      <c r="AME65" s="277" t="s">
        <v>1072</v>
      </c>
      <c r="AMF65" s="277" t="s">
        <v>1072</v>
      </c>
      <c r="AMG65" s="277" t="s">
        <v>1072</v>
      </c>
      <c r="AMH65" s="277" t="s">
        <v>1072</v>
      </c>
      <c r="AMI65" s="277" t="s">
        <v>1072</v>
      </c>
      <c r="AMJ65" s="277" t="s">
        <v>1072</v>
      </c>
      <c r="AMK65" s="277" t="s">
        <v>1072</v>
      </c>
      <c r="AML65" s="277" t="s">
        <v>1072</v>
      </c>
      <c r="AMM65" s="277" t="s">
        <v>1072</v>
      </c>
      <c r="AMN65" s="277" t="s">
        <v>1072</v>
      </c>
      <c r="AMO65" s="277" t="s">
        <v>1072</v>
      </c>
      <c r="AMP65" s="277" t="s">
        <v>1072</v>
      </c>
      <c r="AMQ65" s="277" t="s">
        <v>1072</v>
      </c>
      <c r="AMR65" s="277" t="s">
        <v>1072</v>
      </c>
      <c r="AMS65" s="277" t="s">
        <v>1072</v>
      </c>
      <c r="AMT65" s="277" t="s">
        <v>1072</v>
      </c>
      <c r="AMU65" s="277" t="s">
        <v>1072</v>
      </c>
      <c r="AMV65" s="277" t="s">
        <v>1072</v>
      </c>
      <c r="AMW65" s="277" t="s">
        <v>1072</v>
      </c>
      <c r="AMX65" s="277" t="s">
        <v>1072</v>
      </c>
      <c r="AMY65" s="277" t="s">
        <v>1072</v>
      </c>
      <c r="AMZ65" s="277" t="s">
        <v>1072</v>
      </c>
      <c r="ANA65" s="277" t="s">
        <v>1072</v>
      </c>
      <c r="ANB65" s="277" t="s">
        <v>1072</v>
      </c>
      <c r="ANC65" s="277" t="s">
        <v>1072</v>
      </c>
      <c r="AND65" s="277" t="s">
        <v>1072</v>
      </c>
      <c r="ANE65" s="277" t="s">
        <v>1072</v>
      </c>
      <c r="ANF65" s="277" t="s">
        <v>1072</v>
      </c>
      <c r="ANG65" s="277" t="s">
        <v>1072</v>
      </c>
      <c r="ANH65" s="277" t="s">
        <v>1072</v>
      </c>
      <c r="ANI65" s="277" t="s">
        <v>1072</v>
      </c>
      <c r="ANJ65" s="277" t="s">
        <v>1072</v>
      </c>
      <c r="ANK65" s="277" t="s">
        <v>1072</v>
      </c>
      <c r="ANL65" s="277" t="s">
        <v>1072</v>
      </c>
      <c r="ANM65" s="277" t="s">
        <v>1072</v>
      </c>
      <c r="ANN65" s="277" t="s">
        <v>1072</v>
      </c>
      <c r="ANO65" s="277" t="s">
        <v>1072</v>
      </c>
      <c r="ANP65" s="277" t="s">
        <v>1072</v>
      </c>
      <c r="ANQ65" s="277" t="s">
        <v>1072</v>
      </c>
      <c r="ANR65" s="277" t="s">
        <v>1072</v>
      </c>
      <c r="ANS65" s="277" t="s">
        <v>1072</v>
      </c>
      <c r="ANT65" s="277" t="s">
        <v>1072</v>
      </c>
      <c r="ANU65" s="277" t="s">
        <v>1072</v>
      </c>
      <c r="ANV65" s="277" t="s">
        <v>1072</v>
      </c>
      <c r="ANW65" s="277" t="s">
        <v>1072</v>
      </c>
      <c r="ANX65" s="277" t="s">
        <v>1072</v>
      </c>
      <c r="ANY65" s="277" t="s">
        <v>1072</v>
      </c>
      <c r="ANZ65" s="277" t="s">
        <v>1072</v>
      </c>
      <c r="AOA65" s="277" t="s">
        <v>1072</v>
      </c>
      <c r="AOB65" s="277" t="s">
        <v>1072</v>
      </c>
      <c r="AOC65" s="277" t="s">
        <v>1072</v>
      </c>
      <c r="AOD65" s="277" t="s">
        <v>1072</v>
      </c>
      <c r="AOE65" s="277" t="s">
        <v>1072</v>
      </c>
      <c r="AOF65" s="277" t="s">
        <v>1072</v>
      </c>
      <c r="AOG65" s="277" t="s">
        <v>1072</v>
      </c>
      <c r="AOH65" s="277" t="s">
        <v>1072</v>
      </c>
      <c r="AOI65" s="277" t="s">
        <v>1072</v>
      </c>
      <c r="AOJ65" s="277" t="s">
        <v>1072</v>
      </c>
      <c r="AOK65" s="277" t="s">
        <v>1072</v>
      </c>
      <c r="AOL65" s="277" t="s">
        <v>1072</v>
      </c>
      <c r="AOM65" s="277" t="s">
        <v>1072</v>
      </c>
      <c r="AON65" s="277" t="s">
        <v>1072</v>
      </c>
      <c r="AOO65" s="277" t="s">
        <v>1072</v>
      </c>
      <c r="AOP65" s="277" t="s">
        <v>1072</v>
      </c>
      <c r="AOQ65" s="277" t="s">
        <v>1072</v>
      </c>
      <c r="AOR65" s="277" t="s">
        <v>1072</v>
      </c>
      <c r="AOS65" s="277" t="s">
        <v>1072</v>
      </c>
      <c r="AOT65" s="277" t="s">
        <v>1072</v>
      </c>
      <c r="AOU65" s="277" t="s">
        <v>1072</v>
      </c>
      <c r="AOV65" s="277" t="s">
        <v>1072</v>
      </c>
      <c r="AOW65" s="277" t="s">
        <v>1072</v>
      </c>
      <c r="AOX65" s="277" t="s">
        <v>1072</v>
      </c>
      <c r="AOY65" s="277" t="s">
        <v>1072</v>
      </c>
      <c r="AOZ65" s="277" t="s">
        <v>1072</v>
      </c>
      <c r="APA65" s="277" t="s">
        <v>1072</v>
      </c>
      <c r="APB65" s="277" t="s">
        <v>1072</v>
      </c>
      <c r="APC65" s="277" t="s">
        <v>1072</v>
      </c>
      <c r="APD65" s="277" t="s">
        <v>1072</v>
      </c>
      <c r="APE65" s="277" t="s">
        <v>1072</v>
      </c>
      <c r="APF65" s="277" t="s">
        <v>1072</v>
      </c>
      <c r="APG65" s="277" t="s">
        <v>1072</v>
      </c>
      <c r="APH65" s="277" t="s">
        <v>1072</v>
      </c>
      <c r="API65" s="277" t="s">
        <v>1072</v>
      </c>
      <c r="APJ65" s="277" t="s">
        <v>1072</v>
      </c>
      <c r="APK65" s="277" t="s">
        <v>1072</v>
      </c>
      <c r="APL65" s="277" t="s">
        <v>1072</v>
      </c>
      <c r="APM65" s="277" t="s">
        <v>1072</v>
      </c>
      <c r="APN65" s="277" t="s">
        <v>1072</v>
      </c>
      <c r="APO65" s="277" t="s">
        <v>1072</v>
      </c>
      <c r="APP65" s="277" t="s">
        <v>1072</v>
      </c>
      <c r="APQ65" s="277" t="s">
        <v>1072</v>
      </c>
      <c r="APR65" s="277" t="s">
        <v>1072</v>
      </c>
      <c r="APS65" s="277" t="s">
        <v>1072</v>
      </c>
      <c r="APT65" s="277" t="s">
        <v>1072</v>
      </c>
      <c r="APU65" s="277" t="s">
        <v>1072</v>
      </c>
      <c r="APV65" s="277" t="s">
        <v>1072</v>
      </c>
      <c r="APW65" s="277" t="s">
        <v>1072</v>
      </c>
      <c r="APX65" s="277" t="s">
        <v>1072</v>
      </c>
      <c r="APY65" s="277" t="s">
        <v>1072</v>
      </c>
      <c r="APZ65" s="277" t="s">
        <v>1072</v>
      </c>
      <c r="AQA65" s="277" t="s">
        <v>1072</v>
      </c>
      <c r="AQB65" s="277" t="s">
        <v>1072</v>
      </c>
      <c r="AQC65" s="277" t="s">
        <v>1072</v>
      </c>
      <c r="AQD65" s="277" t="s">
        <v>1072</v>
      </c>
      <c r="AQE65" s="277" t="s">
        <v>1072</v>
      </c>
      <c r="AQF65" s="277" t="s">
        <v>1072</v>
      </c>
      <c r="AQG65" s="277" t="s">
        <v>1072</v>
      </c>
      <c r="AQH65" s="277" t="s">
        <v>1072</v>
      </c>
      <c r="AQI65" s="277" t="s">
        <v>1072</v>
      </c>
      <c r="AQJ65" s="277" t="s">
        <v>1072</v>
      </c>
      <c r="AQK65" s="277" t="s">
        <v>1072</v>
      </c>
      <c r="AQL65" s="277" t="s">
        <v>1072</v>
      </c>
      <c r="AQM65" s="277" t="s">
        <v>1072</v>
      </c>
      <c r="AQN65" s="277" t="s">
        <v>1072</v>
      </c>
      <c r="AQO65" s="277" t="s">
        <v>1072</v>
      </c>
      <c r="AQP65" s="277" t="s">
        <v>1072</v>
      </c>
      <c r="AQQ65" s="277" t="s">
        <v>1072</v>
      </c>
      <c r="AQR65" s="277" t="s">
        <v>1072</v>
      </c>
      <c r="AQS65" s="277" t="s">
        <v>1072</v>
      </c>
      <c r="AQT65" s="277" t="s">
        <v>1072</v>
      </c>
      <c r="AQU65" s="277" t="s">
        <v>1072</v>
      </c>
      <c r="AQV65" s="277" t="s">
        <v>1072</v>
      </c>
      <c r="AQW65" s="277" t="s">
        <v>1072</v>
      </c>
      <c r="AQX65" s="277" t="s">
        <v>1072</v>
      </c>
      <c r="AQY65" s="277" t="s">
        <v>1072</v>
      </c>
      <c r="AQZ65" s="277" t="s">
        <v>1072</v>
      </c>
      <c r="ARA65" s="277" t="s">
        <v>1072</v>
      </c>
      <c r="ARB65" s="277" t="s">
        <v>1072</v>
      </c>
      <c r="ARC65" s="277" t="s">
        <v>1072</v>
      </c>
      <c r="ARD65" s="277" t="s">
        <v>1072</v>
      </c>
      <c r="ARE65" s="277" t="s">
        <v>1072</v>
      </c>
      <c r="ARF65" s="277" t="s">
        <v>1072</v>
      </c>
      <c r="ARG65" s="277" t="s">
        <v>1072</v>
      </c>
      <c r="ARH65" s="277" t="s">
        <v>1072</v>
      </c>
      <c r="ARI65" s="277" t="s">
        <v>1072</v>
      </c>
      <c r="ARJ65" s="277" t="s">
        <v>1072</v>
      </c>
      <c r="ARK65" s="277" t="s">
        <v>1072</v>
      </c>
      <c r="ARL65" s="277" t="s">
        <v>1072</v>
      </c>
      <c r="ARM65" s="277" t="s">
        <v>1072</v>
      </c>
      <c r="ARN65" s="277" t="s">
        <v>1072</v>
      </c>
      <c r="ARO65" s="277" t="s">
        <v>1072</v>
      </c>
      <c r="ARP65" s="277" t="s">
        <v>1072</v>
      </c>
      <c r="ARQ65" s="277" t="s">
        <v>1072</v>
      </c>
      <c r="ARR65" s="277" t="s">
        <v>1072</v>
      </c>
      <c r="ARS65" s="277" t="s">
        <v>1072</v>
      </c>
      <c r="ART65" s="277" t="s">
        <v>1072</v>
      </c>
      <c r="ARU65" s="277" t="s">
        <v>1072</v>
      </c>
      <c r="ARV65" s="277" t="s">
        <v>1072</v>
      </c>
      <c r="ARW65" s="277" t="s">
        <v>1072</v>
      </c>
      <c r="ARX65" s="277" t="s">
        <v>1072</v>
      </c>
      <c r="ARY65" s="277" t="s">
        <v>1072</v>
      </c>
      <c r="ARZ65" s="277" t="s">
        <v>1072</v>
      </c>
      <c r="ASA65" s="277" t="s">
        <v>1072</v>
      </c>
      <c r="ASB65" s="277" t="s">
        <v>1072</v>
      </c>
      <c r="ASC65" s="277" t="s">
        <v>1072</v>
      </c>
      <c r="ASD65" s="277" t="s">
        <v>1072</v>
      </c>
      <c r="ASE65" s="277" t="s">
        <v>1072</v>
      </c>
      <c r="ASF65" s="277" t="s">
        <v>1072</v>
      </c>
      <c r="ASG65" s="277" t="s">
        <v>1072</v>
      </c>
      <c r="ASH65" s="277" t="s">
        <v>1072</v>
      </c>
      <c r="ASI65" s="277" t="s">
        <v>1072</v>
      </c>
      <c r="ASJ65" s="277" t="s">
        <v>1072</v>
      </c>
      <c r="ASK65" s="277" t="s">
        <v>1072</v>
      </c>
      <c r="ASL65" s="277" t="s">
        <v>1072</v>
      </c>
      <c r="ASM65" s="277" t="s">
        <v>1072</v>
      </c>
      <c r="ASN65" s="277" t="s">
        <v>1072</v>
      </c>
      <c r="ASO65" s="277" t="s">
        <v>1072</v>
      </c>
      <c r="ASP65" s="277" t="s">
        <v>1072</v>
      </c>
      <c r="ASQ65" s="277" t="s">
        <v>1072</v>
      </c>
      <c r="ASR65" s="277" t="s">
        <v>1072</v>
      </c>
      <c r="ASS65" s="277" t="s">
        <v>1072</v>
      </c>
      <c r="AST65" s="277" t="s">
        <v>1072</v>
      </c>
      <c r="ASU65" s="277" t="s">
        <v>1072</v>
      </c>
      <c r="ASV65" s="277" t="s">
        <v>1072</v>
      </c>
      <c r="ASW65" s="277" t="s">
        <v>1072</v>
      </c>
      <c r="ASX65" s="277" t="s">
        <v>1072</v>
      </c>
      <c r="ASY65" s="277" t="s">
        <v>1072</v>
      </c>
      <c r="ASZ65" s="277" t="s">
        <v>1072</v>
      </c>
      <c r="ATA65" s="277" t="s">
        <v>1072</v>
      </c>
      <c r="ATB65" s="277" t="s">
        <v>1072</v>
      </c>
      <c r="ATC65" s="277" t="s">
        <v>1072</v>
      </c>
      <c r="ATD65" s="277" t="s">
        <v>1072</v>
      </c>
      <c r="ATE65" s="277" t="s">
        <v>1072</v>
      </c>
      <c r="ATF65" s="277" t="s">
        <v>1072</v>
      </c>
      <c r="ATG65" s="277" t="s">
        <v>1072</v>
      </c>
      <c r="ATH65" s="277" t="s">
        <v>1072</v>
      </c>
      <c r="ATI65" s="277" t="s">
        <v>1072</v>
      </c>
      <c r="ATJ65" s="277" t="s">
        <v>1072</v>
      </c>
      <c r="ATK65" s="277" t="s">
        <v>1072</v>
      </c>
      <c r="ATL65" s="277" t="s">
        <v>1072</v>
      </c>
      <c r="ATM65" s="277" t="s">
        <v>1072</v>
      </c>
      <c r="ATN65" s="277" t="s">
        <v>1072</v>
      </c>
      <c r="ATO65" s="277" t="s">
        <v>1072</v>
      </c>
      <c r="ATP65" s="277" t="s">
        <v>1072</v>
      </c>
      <c r="ATQ65" s="277" t="s">
        <v>1072</v>
      </c>
      <c r="ATR65" s="277" t="s">
        <v>1072</v>
      </c>
      <c r="ATS65" s="277" t="s">
        <v>1072</v>
      </c>
      <c r="ATT65" s="277" t="s">
        <v>1072</v>
      </c>
      <c r="ATU65" s="277" t="s">
        <v>1072</v>
      </c>
      <c r="ATV65" s="277" t="s">
        <v>1072</v>
      </c>
      <c r="ATW65" s="277" t="s">
        <v>1072</v>
      </c>
      <c r="ATX65" s="277" t="s">
        <v>1072</v>
      </c>
      <c r="ATY65" s="277" t="s">
        <v>1072</v>
      </c>
      <c r="ATZ65" s="277" t="s">
        <v>1072</v>
      </c>
      <c r="AUA65" s="277" t="s">
        <v>1072</v>
      </c>
      <c r="AUB65" s="277" t="s">
        <v>1072</v>
      </c>
      <c r="AUC65" s="277" t="s">
        <v>1072</v>
      </c>
      <c r="AUD65" s="277" t="s">
        <v>1072</v>
      </c>
      <c r="AUE65" s="277" t="s">
        <v>1072</v>
      </c>
      <c r="AUF65" s="277" t="s">
        <v>1072</v>
      </c>
      <c r="AUG65" s="277" t="s">
        <v>1072</v>
      </c>
      <c r="AUH65" s="277" t="s">
        <v>1072</v>
      </c>
      <c r="AUI65" s="277" t="s">
        <v>1072</v>
      </c>
      <c r="AUJ65" s="277" t="s">
        <v>1072</v>
      </c>
      <c r="AUK65" s="277" t="s">
        <v>1072</v>
      </c>
      <c r="AUL65" s="277" t="s">
        <v>1072</v>
      </c>
      <c r="AUM65" s="277" t="s">
        <v>1072</v>
      </c>
      <c r="AUN65" s="277" t="s">
        <v>1072</v>
      </c>
      <c r="AUO65" s="277" t="s">
        <v>1072</v>
      </c>
      <c r="AUP65" s="277" t="s">
        <v>1072</v>
      </c>
      <c r="AUQ65" s="277" t="s">
        <v>1072</v>
      </c>
      <c r="AUR65" s="277" t="s">
        <v>1072</v>
      </c>
      <c r="AUS65" s="277" t="s">
        <v>1072</v>
      </c>
      <c r="AUT65" s="277" t="s">
        <v>1072</v>
      </c>
      <c r="AUU65" s="277" t="s">
        <v>1072</v>
      </c>
      <c r="AUV65" s="277" t="s">
        <v>1072</v>
      </c>
      <c r="AUW65" s="277" t="s">
        <v>1072</v>
      </c>
      <c r="AUX65" s="277" t="s">
        <v>1072</v>
      </c>
      <c r="AUY65" s="277" t="s">
        <v>1072</v>
      </c>
      <c r="AUZ65" s="277" t="s">
        <v>1072</v>
      </c>
      <c r="AVA65" s="277" t="s">
        <v>1072</v>
      </c>
      <c r="AVB65" s="277" t="s">
        <v>1072</v>
      </c>
      <c r="AVC65" s="277" t="s">
        <v>1072</v>
      </c>
      <c r="AVD65" s="277" t="s">
        <v>1072</v>
      </c>
      <c r="AVE65" s="277" t="s">
        <v>1072</v>
      </c>
      <c r="AVF65" s="277" t="s">
        <v>1072</v>
      </c>
      <c r="AVG65" s="277" t="s">
        <v>1072</v>
      </c>
      <c r="AVH65" s="277" t="s">
        <v>1072</v>
      </c>
      <c r="AVI65" s="277" t="s">
        <v>1072</v>
      </c>
      <c r="AVJ65" s="277" t="s">
        <v>1072</v>
      </c>
      <c r="AVK65" s="277" t="s">
        <v>1072</v>
      </c>
      <c r="AVL65" s="277" t="s">
        <v>1072</v>
      </c>
      <c r="AVM65" s="277" t="s">
        <v>1072</v>
      </c>
      <c r="AVN65" s="277" t="s">
        <v>1072</v>
      </c>
      <c r="AVO65" s="277" t="s">
        <v>1072</v>
      </c>
      <c r="AVP65" s="277" t="s">
        <v>1072</v>
      </c>
      <c r="AVQ65" s="277" t="s">
        <v>1072</v>
      </c>
      <c r="AVR65" s="277" t="s">
        <v>1072</v>
      </c>
      <c r="AVS65" s="277" t="s">
        <v>1072</v>
      </c>
      <c r="AVT65" s="277" t="s">
        <v>1072</v>
      </c>
      <c r="AVU65" s="277" t="s">
        <v>1072</v>
      </c>
      <c r="AVV65" s="277" t="s">
        <v>1072</v>
      </c>
      <c r="AVW65" s="277" t="s">
        <v>1072</v>
      </c>
      <c r="AVX65" s="277" t="s">
        <v>1072</v>
      </c>
      <c r="AVY65" s="277" t="s">
        <v>1072</v>
      </c>
      <c r="AVZ65" s="277" t="s">
        <v>1072</v>
      </c>
      <c r="AWA65" s="277" t="s">
        <v>1072</v>
      </c>
      <c r="AWB65" s="277" t="s">
        <v>1072</v>
      </c>
      <c r="AWC65" s="277" t="s">
        <v>1072</v>
      </c>
      <c r="AWD65" s="277" t="s">
        <v>1072</v>
      </c>
      <c r="AWE65" s="277" t="s">
        <v>1072</v>
      </c>
      <c r="AWF65" s="277" t="s">
        <v>1072</v>
      </c>
      <c r="AWG65" s="277" t="s">
        <v>1072</v>
      </c>
      <c r="AWH65" s="277" t="s">
        <v>1072</v>
      </c>
      <c r="AWI65" s="277" t="s">
        <v>1072</v>
      </c>
      <c r="AWJ65" s="277" t="s">
        <v>1072</v>
      </c>
      <c r="AWK65" s="277" t="s">
        <v>1072</v>
      </c>
      <c r="AWL65" s="277" t="s">
        <v>1072</v>
      </c>
      <c r="AWM65" s="277" t="s">
        <v>1072</v>
      </c>
      <c r="AWN65" s="277" t="s">
        <v>1072</v>
      </c>
      <c r="AWO65" s="277" t="s">
        <v>1072</v>
      </c>
      <c r="AWP65" s="277" t="s">
        <v>1072</v>
      </c>
      <c r="AWQ65" s="277" t="s">
        <v>1072</v>
      </c>
      <c r="AWR65" s="277" t="s">
        <v>1072</v>
      </c>
      <c r="AWS65" s="277" t="s">
        <v>1072</v>
      </c>
      <c r="AWT65" s="277" t="s">
        <v>1072</v>
      </c>
      <c r="AWU65" s="277" t="s">
        <v>1072</v>
      </c>
      <c r="AWV65" s="277" t="s">
        <v>1072</v>
      </c>
      <c r="AWW65" s="277" t="s">
        <v>1072</v>
      </c>
      <c r="AWX65" s="277" t="s">
        <v>1072</v>
      </c>
      <c r="AWY65" s="277" t="s">
        <v>1072</v>
      </c>
      <c r="AWZ65" s="277" t="s">
        <v>1072</v>
      </c>
      <c r="AXA65" s="277" t="s">
        <v>1072</v>
      </c>
      <c r="AXB65" s="277" t="s">
        <v>1072</v>
      </c>
      <c r="AXC65" s="277" t="s">
        <v>1072</v>
      </c>
      <c r="AXD65" s="277" t="s">
        <v>1072</v>
      </c>
      <c r="AXE65" s="277" t="s">
        <v>1072</v>
      </c>
      <c r="AXF65" s="277" t="s">
        <v>1072</v>
      </c>
      <c r="AXG65" s="277" t="s">
        <v>1072</v>
      </c>
      <c r="AXH65" s="277" t="s">
        <v>1072</v>
      </c>
      <c r="AXI65" s="277" t="s">
        <v>1072</v>
      </c>
      <c r="AXJ65" s="277" t="s">
        <v>1072</v>
      </c>
      <c r="AXK65" s="277" t="s">
        <v>1072</v>
      </c>
      <c r="AXL65" s="277" t="s">
        <v>1072</v>
      </c>
      <c r="AXM65" s="277" t="s">
        <v>1072</v>
      </c>
      <c r="AXN65" s="277" t="s">
        <v>1072</v>
      </c>
      <c r="AXO65" s="277" t="s">
        <v>1072</v>
      </c>
      <c r="AXP65" s="277" t="s">
        <v>1072</v>
      </c>
      <c r="AXQ65" s="277" t="s">
        <v>1072</v>
      </c>
      <c r="AXR65" s="277" t="s">
        <v>1072</v>
      </c>
      <c r="AXS65" s="277" t="s">
        <v>1072</v>
      </c>
      <c r="AXT65" s="277" t="s">
        <v>1072</v>
      </c>
      <c r="AXU65" s="277" t="s">
        <v>1072</v>
      </c>
      <c r="AXV65" s="277" t="s">
        <v>1072</v>
      </c>
      <c r="AXW65" s="277" t="s">
        <v>1072</v>
      </c>
      <c r="AXX65" s="277" t="s">
        <v>1072</v>
      </c>
      <c r="AXY65" s="277" t="s">
        <v>1072</v>
      </c>
      <c r="AXZ65" s="277" t="s">
        <v>1072</v>
      </c>
      <c r="AYA65" s="277" t="s">
        <v>1072</v>
      </c>
      <c r="AYB65" s="277" t="s">
        <v>1072</v>
      </c>
      <c r="AYC65" s="277" t="s">
        <v>1072</v>
      </c>
      <c r="AYD65" s="277" t="s">
        <v>1072</v>
      </c>
      <c r="AYE65" s="277" t="s">
        <v>1072</v>
      </c>
      <c r="AYF65" s="277" t="s">
        <v>1072</v>
      </c>
      <c r="AYG65" s="277" t="s">
        <v>1072</v>
      </c>
      <c r="AYH65" s="277" t="s">
        <v>1072</v>
      </c>
      <c r="AYI65" s="277" t="s">
        <v>1072</v>
      </c>
      <c r="AYJ65" s="277" t="s">
        <v>1072</v>
      </c>
      <c r="AYK65" s="277" t="s">
        <v>1072</v>
      </c>
      <c r="AYL65" s="277" t="s">
        <v>1072</v>
      </c>
      <c r="AYM65" s="277" t="s">
        <v>1072</v>
      </c>
      <c r="AYN65" s="277" t="s">
        <v>1072</v>
      </c>
      <c r="AYO65" s="277" t="s">
        <v>1072</v>
      </c>
      <c r="AYP65" s="277" t="s">
        <v>1072</v>
      </c>
      <c r="AYQ65" s="277" t="s">
        <v>1072</v>
      </c>
      <c r="AYR65" s="277" t="s">
        <v>1072</v>
      </c>
      <c r="AYS65" s="277" t="s">
        <v>1072</v>
      </c>
      <c r="AYT65" s="277" t="s">
        <v>1072</v>
      </c>
      <c r="AYU65" s="277" t="s">
        <v>1072</v>
      </c>
      <c r="AYV65" s="277" t="s">
        <v>1072</v>
      </c>
      <c r="AYW65" s="277" t="s">
        <v>1072</v>
      </c>
      <c r="AYX65" s="277" t="s">
        <v>1072</v>
      </c>
      <c r="AYY65" s="277" t="s">
        <v>1072</v>
      </c>
      <c r="AYZ65" s="277" t="s">
        <v>1072</v>
      </c>
      <c r="AZA65" s="277" t="s">
        <v>1072</v>
      </c>
      <c r="AZB65" s="277" t="s">
        <v>1072</v>
      </c>
      <c r="AZC65" s="277" t="s">
        <v>1072</v>
      </c>
      <c r="AZD65" s="277" t="s">
        <v>1072</v>
      </c>
      <c r="AZE65" s="277" t="s">
        <v>1072</v>
      </c>
      <c r="AZF65" s="277" t="s">
        <v>1072</v>
      </c>
      <c r="AZG65" s="277" t="s">
        <v>1072</v>
      </c>
      <c r="AZH65" s="277" t="s">
        <v>1072</v>
      </c>
      <c r="AZI65" s="277" t="s">
        <v>1072</v>
      </c>
      <c r="AZJ65" s="277" t="s">
        <v>1072</v>
      </c>
      <c r="AZK65" s="277" t="s">
        <v>1072</v>
      </c>
      <c r="AZL65" s="277" t="s">
        <v>1072</v>
      </c>
      <c r="AZM65" s="277" t="s">
        <v>1072</v>
      </c>
      <c r="AZN65" s="277" t="s">
        <v>1072</v>
      </c>
      <c r="AZO65" s="277" t="s">
        <v>1072</v>
      </c>
      <c r="AZP65" s="277" t="s">
        <v>1072</v>
      </c>
      <c r="AZQ65" s="277" t="s">
        <v>1072</v>
      </c>
      <c r="AZR65" s="277" t="s">
        <v>1072</v>
      </c>
      <c r="AZS65" s="277" t="s">
        <v>1072</v>
      </c>
      <c r="AZT65" s="277" t="s">
        <v>1072</v>
      </c>
      <c r="AZU65" s="277" t="s">
        <v>1072</v>
      </c>
      <c r="AZV65" s="277" t="s">
        <v>1072</v>
      </c>
      <c r="AZW65" s="277" t="s">
        <v>1072</v>
      </c>
      <c r="AZX65" s="277" t="s">
        <v>1072</v>
      </c>
      <c r="AZY65" s="277" t="s">
        <v>1072</v>
      </c>
      <c r="AZZ65" s="277" t="s">
        <v>1072</v>
      </c>
      <c r="BAA65" s="277" t="s">
        <v>1072</v>
      </c>
      <c r="BAB65" s="277" t="s">
        <v>1072</v>
      </c>
      <c r="BAC65" s="277" t="s">
        <v>1072</v>
      </c>
      <c r="BAD65" s="277" t="s">
        <v>1072</v>
      </c>
      <c r="BAE65" s="277" t="s">
        <v>1072</v>
      </c>
      <c r="BAF65" s="277" t="s">
        <v>1072</v>
      </c>
      <c r="BAG65" s="277" t="s">
        <v>1072</v>
      </c>
      <c r="BAH65" s="277" t="s">
        <v>1072</v>
      </c>
      <c r="BAI65" s="277" t="s">
        <v>1072</v>
      </c>
      <c r="BAJ65" s="277" t="s">
        <v>1072</v>
      </c>
      <c r="BAK65" s="277" t="s">
        <v>1072</v>
      </c>
      <c r="BAL65" s="277" t="s">
        <v>1072</v>
      </c>
      <c r="BAM65" s="277" t="s">
        <v>1072</v>
      </c>
      <c r="BAN65" s="277" t="s">
        <v>1072</v>
      </c>
      <c r="BAO65" s="277" t="s">
        <v>1072</v>
      </c>
      <c r="BAP65" s="277" t="s">
        <v>1072</v>
      </c>
      <c r="BAQ65" s="277" t="s">
        <v>1072</v>
      </c>
      <c r="BAR65" s="277" t="s">
        <v>1072</v>
      </c>
      <c r="BAS65" s="277" t="s">
        <v>1072</v>
      </c>
      <c r="BAT65" s="277" t="s">
        <v>1072</v>
      </c>
      <c r="BAU65" s="277" t="s">
        <v>1072</v>
      </c>
      <c r="BAV65" s="277" t="s">
        <v>1072</v>
      </c>
      <c r="BAW65" s="277" t="s">
        <v>1072</v>
      </c>
      <c r="BAX65" s="277" t="s">
        <v>1072</v>
      </c>
      <c r="BAY65" s="277" t="s">
        <v>1072</v>
      </c>
      <c r="BAZ65" s="277" t="s">
        <v>1072</v>
      </c>
      <c r="BBA65" s="277" t="s">
        <v>1072</v>
      </c>
      <c r="BBB65" s="277" t="s">
        <v>1072</v>
      </c>
      <c r="BBC65" s="277" t="s">
        <v>1072</v>
      </c>
      <c r="BBD65" s="277" t="s">
        <v>1072</v>
      </c>
      <c r="BBE65" s="277" t="s">
        <v>1072</v>
      </c>
      <c r="BBF65" s="277" t="s">
        <v>1072</v>
      </c>
      <c r="BBG65" s="277" t="s">
        <v>1072</v>
      </c>
      <c r="BBH65" s="277" t="s">
        <v>1072</v>
      </c>
      <c r="BBI65" s="277" t="s">
        <v>1072</v>
      </c>
      <c r="BBJ65" s="277" t="s">
        <v>1072</v>
      </c>
      <c r="BBK65" s="277" t="s">
        <v>1072</v>
      </c>
      <c r="BBL65" s="277" t="s">
        <v>1072</v>
      </c>
      <c r="BBM65" s="277" t="s">
        <v>1072</v>
      </c>
      <c r="BBN65" s="277" t="s">
        <v>1072</v>
      </c>
      <c r="BBO65" s="277" t="s">
        <v>1072</v>
      </c>
      <c r="BBP65" s="277" t="s">
        <v>1072</v>
      </c>
      <c r="BBQ65" s="277" t="s">
        <v>1072</v>
      </c>
      <c r="BBR65" s="277" t="s">
        <v>1072</v>
      </c>
      <c r="BBS65" s="277" t="s">
        <v>1072</v>
      </c>
      <c r="BBT65" s="277" t="s">
        <v>1072</v>
      </c>
      <c r="BBU65" s="277" t="s">
        <v>1072</v>
      </c>
      <c r="BBV65" s="277" t="s">
        <v>1072</v>
      </c>
      <c r="BBW65" s="277" t="s">
        <v>1072</v>
      </c>
      <c r="BBX65" s="277" t="s">
        <v>1072</v>
      </c>
      <c r="BBY65" s="277" t="s">
        <v>1072</v>
      </c>
      <c r="BBZ65" s="277" t="s">
        <v>1072</v>
      </c>
      <c r="BCA65" s="277" t="s">
        <v>1072</v>
      </c>
      <c r="BCB65" s="277" t="s">
        <v>1072</v>
      </c>
      <c r="BCC65" s="277" t="s">
        <v>1072</v>
      </c>
      <c r="BCD65" s="277" t="s">
        <v>1072</v>
      </c>
      <c r="BCE65" s="277" t="s">
        <v>1072</v>
      </c>
      <c r="BCF65" s="277" t="s">
        <v>1072</v>
      </c>
      <c r="BCG65" s="277" t="s">
        <v>1072</v>
      </c>
      <c r="BCH65" s="277" t="s">
        <v>1072</v>
      </c>
      <c r="BCI65" s="277" t="s">
        <v>1072</v>
      </c>
      <c r="BCJ65" s="277" t="s">
        <v>1072</v>
      </c>
      <c r="BCK65" s="277" t="s">
        <v>1072</v>
      </c>
      <c r="BCL65" s="277" t="s">
        <v>1072</v>
      </c>
      <c r="BCM65" s="277" t="s">
        <v>1072</v>
      </c>
      <c r="BCN65" s="277" t="s">
        <v>1072</v>
      </c>
      <c r="BCO65" s="277" t="s">
        <v>1072</v>
      </c>
      <c r="BCP65" s="277" t="s">
        <v>1072</v>
      </c>
      <c r="BCQ65" s="277" t="s">
        <v>1072</v>
      </c>
      <c r="BCR65" s="277" t="s">
        <v>1072</v>
      </c>
      <c r="BCS65" s="277" t="s">
        <v>1072</v>
      </c>
      <c r="BCT65" s="277" t="s">
        <v>1072</v>
      </c>
      <c r="BCU65" s="277" t="s">
        <v>1072</v>
      </c>
      <c r="BCV65" s="277" t="s">
        <v>1072</v>
      </c>
      <c r="BCW65" s="277" t="s">
        <v>1072</v>
      </c>
      <c r="BCX65" s="277" t="s">
        <v>1072</v>
      </c>
      <c r="BCY65" s="277" t="s">
        <v>1072</v>
      </c>
      <c r="BCZ65" s="277" t="s">
        <v>1072</v>
      </c>
      <c r="BDA65" s="277" t="s">
        <v>1072</v>
      </c>
      <c r="BDB65" s="277" t="s">
        <v>1072</v>
      </c>
      <c r="BDC65" s="277" t="s">
        <v>1072</v>
      </c>
      <c r="BDD65" s="277" t="s">
        <v>1072</v>
      </c>
      <c r="BDE65" s="277" t="s">
        <v>1072</v>
      </c>
      <c r="BDF65" s="277" t="s">
        <v>1072</v>
      </c>
      <c r="BDG65" s="277" t="s">
        <v>1072</v>
      </c>
      <c r="BDH65" s="277" t="s">
        <v>1072</v>
      </c>
      <c r="BDI65" s="277" t="s">
        <v>1072</v>
      </c>
      <c r="BDJ65" s="277" t="s">
        <v>1072</v>
      </c>
      <c r="BDK65" s="277" t="s">
        <v>1072</v>
      </c>
      <c r="BDL65" s="277" t="s">
        <v>1072</v>
      </c>
      <c r="BDM65" s="277" t="s">
        <v>1072</v>
      </c>
      <c r="BDN65" s="277" t="s">
        <v>1072</v>
      </c>
      <c r="BDO65" s="277" t="s">
        <v>1072</v>
      </c>
      <c r="BDP65" s="277" t="s">
        <v>1072</v>
      </c>
      <c r="BDQ65" s="277" t="s">
        <v>1072</v>
      </c>
      <c r="BDR65" s="277" t="s">
        <v>1072</v>
      </c>
      <c r="BDS65" s="277" t="s">
        <v>1072</v>
      </c>
      <c r="BDT65" s="277" t="s">
        <v>1072</v>
      </c>
      <c r="BDU65" s="277" t="s">
        <v>1072</v>
      </c>
      <c r="BDV65" s="277" t="s">
        <v>1072</v>
      </c>
      <c r="BDW65" s="277" t="s">
        <v>1072</v>
      </c>
      <c r="BDX65" s="277" t="s">
        <v>1072</v>
      </c>
      <c r="BDY65" s="277" t="s">
        <v>1072</v>
      </c>
      <c r="BDZ65" s="277" t="s">
        <v>1072</v>
      </c>
      <c r="BEA65" s="277" t="s">
        <v>1072</v>
      </c>
      <c r="BEB65" s="277" t="s">
        <v>1072</v>
      </c>
      <c r="BEC65" s="277" t="s">
        <v>1072</v>
      </c>
      <c r="BED65" s="277" t="s">
        <v>1072</v>
      </c>
      <c r="BEE65" s="277" t="s">
        <v>1072</v>
      </c>
      <c r="BEF65" s="277" t="s">
        <v>1072</v>
      </c>
      <c r="BEG65" s="277" t="s">
        <v>1072</v>
      </c>
      <c r="BEH65" s="277" t="s">
        <v>1072</v>
      </c>
      <c r="BEI65" s="277" t="s">
        <v>1072</v>
      </c>
      <c r="BEJ65" s="277" t="s">
        <v>1072</v>
      </c>
      <c r="BEK65" s="277" t="s">
        <v>1072</v>
      </c>
      <c r="BEL65" s="277" t="s">
        <v>1072</v>
      </c>
      <c r="BEM65" s="277" t="s">
        <v>1072</v>
      </c>
      <c r="BEN65" s="277" t="s">
        <v>1072</v>
      </c>
      <c r="BEO65" s="277" t="s">
        <v>1072</v>
      </c>
      <c r="BEP65" s="277" t="s">
        <v>1072</v>
      </c>
      <c r="BEQ65" s="277" t="s">
        <v>1072</v>
      </c>
      <c r="BER65" s="277" t="s">
        <v>1072</v>
      </c>
      <c r="BES65" s="277" t="s">
        <v>1072</v>
      </c>
      <c r="BET65" s="277" t="s">
        <v>1072</v>
      </c>
      <c r="BEU65" s="277" t="s">
        <v>1072</v>
      </c>
      <c r="BEV65" s="277" t="s">
        <v>1072</v>
      </c>
      <c r="BEW65" s="277" t="s">
        <v>1072</v>
      </c>
      <c r="BEX65" s="277" t="s">
        <v>1072</v>
      </c>
      <c r="BEY65" s="277" t="s">
        <v>1072</v>
      </c>
      <c r="BEZ65" s="277" t="s">
        <v>1072</v>
      </c>
      <c r="BFA65" s="277" t="s">
        <v>1072</v>
      </c>
      <c r="BFB65" s="277" t="s">
        <v>1072</v>
      </c>
      <c r="BFC65" s="277" t="s">
        <v>1072</v>
      </c>
      <c r="BFD65" s="277" t="s">
        <v>1072</v>
      </c>
      <c r="BFE65" s="277" t="s">
        <v>1072</v>
      </c>
      <c r="BFF65" s="277" t="s">
        <v>1072</v>
      </c>
      <c r="BFG65" s="277" t="s">
        <v>1072</v>
      </c>
      <c r="BFH65" s="277" t="s">
        <v>1072</v>
      </c>
      <c r="BFI65" s="277" t="s">
        <v>1072</v>
      </c>
      <c r="BFJ65" s="277" t="s">
        <v>1072</v>
      </c>
      <c r="BFK65" s="277" t="s">
        <v>1072</v>
      </c>
      <c r="BFL65" s="277" t="s">
        <v>1072</v>
      </c>
      <c r="BFM65" s="277" t="s">
        <v>1072</v>
      </c>
      <c r="BFN65" s="277" t="s">
        <v>1072</v>
      </c>
      <c r="BFO65" s="277" t="s">
        <v>1072</v>
      </c>
      <c r="BFP65" s="277" t="s">
        <v>1072</v>
      </c>
      <c r="BFQ65" s="277" t="s">
        <v>1072</v>
      </c>
      <c r="BFR65" s="277" t="s">
        <v>1072</v>
      </c>
      <c r="BFS65" s="277" t="s">
        <v>1072</v>
      </c>
      <c r="BFT65" s="277" t="s">
        <v>1072</v>
      </c>
      <c r="BFU65" s="277" t="s">
        <v>1072</v>
      </c>
      <c r="BFV65" s="277" t="s">
        <v>1072</v>
      </c>
      <c r="BFW65" s="277" t="s">
        <v>1072</v>
      </c>
      <c r="BFX65" s="277" t="s">
        <v>1072</v>
      </c>
      <c r="BFY65" s="277" t="s">
        <v>1072</v>
      </c>
      <c r="BFZ65" s="277" t="s">
        <v>1072</v>
      </c>
      <c r="BGA65" s="277" t="s">
        <v>1072</v>
      </c>
      <c r="BGB65" s="277" t="s">
        <v>1072</v>
      </c>
      <c r="BGC65" s="277" t="s">
        <v>1072</v>
      </c>
      <c r="BGD65" s="277" t="s">
        <v>1072</v>
      </c>
      <c r="BGE65" s="277" t="s">
        <v>1072</v>
      </c>
      <c r="BGF65" s="277" t="s">
        <v>1072</v>
      </c>
      <c r="BGG65" s="277" t="s">
        <v>1072</v>
      </c>
      <c r="BGH65" s="277" t="s">
        <v>1072</v>
      </c>
      <c r="BGI65" s="277" t="s">
        <v>1072</v>
      </c>
      <c r="BGJ65" s="277" t="s">
        <v>1072</v>
      </c>
      <c r="BGK65" s="277" t="s">
        <v>1072</v>
      </c>
      <c r="BGL65" s="277" t="s">
        <v>1072</v>
      </c>
      <c r="BGM65" s="277" t="s">
        <v>1072</v>
      </c>
      <c r="BGN65" s="277" t="s">
        <v>1072</v>
      </c>
      <c r="BGO65" s="277" t="s">
        <v>1072</v>
      </c>
      <c r="BGP65" s="277" t="s">
        <v>1072</v>
      </c>
      <c r="BGQ65" s="277" t="s">
        <v>1072</v>
      </c>
      <c r="BGR65" s="277" t="s">
        <v>1072</v>
      </c>
      <c r="BGS65" s="277" t="s">
        <v>1072</v>
      </c>
      <c r="BGT65" s="277" t="s">
        <v>1072</v>
      </c>
      <c r="BGU65" s="277" t="s">
        <v>1072</v>
      </c>
      <c r="BGV65" s="277" t="s">
        <v>1072</v>
      </c>
      <c r="BGW65" s="277" t="s">
        <v>1072</v>
      </c>
      <c r="BGX65" s="277" t="s">
        <v>1072</v>
      </c>
      <c r="BGY65" s="277" t="s">
        <v>1072</v>
      </c>
      <c r="BGZ65" s="277" t="s">
        <v>1072</v>
      </c>
      <c r="BHA65" s="277" t="s">
        <v>1072</v>
      </c>
      <c r="BHB65" s="277" t="s">
        <v>1072</v>
      </c>
      <c r="BHC65" s="277" t="s">
        <v>1072</v>
      </c>
      <c r="BHD65" s="277" t="s">
        <v>1072</v>
      </c>
      <c r="BHE65" s="277" t="s">
        <v>1072</v>
      </c>
      <c r="BHF65" s="277" t="s">
        <v>1072</v>
      </c>
      <c r="BHG65" s="277" t="s">
        <v>1072</v>
      </c>
      <c r="BHH65" s="277" t="s">
        <v>1072</v>
      </c>
      <c r="BHI65" s="277" t="s">
        <v>1072</v>
      </c>
      <c r="BHJ65" s="277" t="s">
        <v>1072</v>
      </c>
      <c r="BHK65" s="277" t="s">
        <v>1072</v>
      </c>
      <c r="BHL65" s="277" t="s">
        <v>1072</v>
      </c>
      <c r="BHM65" s="277" t="s">
        <v>1072</v>
      </c>
      <c r="BHN65" s="277" t="s">
        <v>1072</v>
      </c>
      <c r="BHO65" s="277" t="s">
        <v>1072</v>
      </c>
      <c r="BHP65" s="277" t="s">
        <v>1072</v>
      </c>
      <c r="BHQ65" s="277" t="s">
        <v>1072</v>
      </c>
      <c r="BHR65" s="277" t="s">
        <v>1072</v>
      </c>
      <c r="BHS65" s="277" t="s">
        <v>1072</v>
      </c>
      <c r="BHT65" s="277" t="s">
        <v>1072</v>
      </c>
      <c r="BHU65" s="277" t="s">
        <v>1072</v>
      </c>
      <c r="BHV65" s="277" t="s">
        <v>1072</v>
      </c>
      <c r="BHW65" s="277" t="s">
        <v>1072</v>
      </c>
      <c r="BHX65" s="277" t="s">
        <v>1072</v>
      </c>
      <c r="BHY65" s="277" t="s">
        <v>1072</v>
      </c>
      <c r="BHZ65" s="277" t="s">
        <v>1072</v>
      </c>
      <c r="BIA65" s="277" t="s">
        <v>1072</v>
      </c>
      <c r="BIB65" s="277" t="s">
        <v>1072</v>
      </c>
      <c r="BIC65" s="277" t="s">
        <v>1072</v>
      </c>
      <c r="BID65" s="277" t="s">
        <v>1072</v>
      </c>
      <c r="BIE65" s="277" t="s">
        <v>1072</v>
      </c>
      <c r="BIF65" s="277" t="s">
        <v>1072</v>
      </c>
      <c r="BIG65" s="277" t="s">
        <v>1072</v>
      </c>
      <c r="BIH65" s="277" t="s">
        <v>1072</v>
      </c>
      <c r="BII65" s="277" t="s">
        <v>1072</v>
      </c>
      <c r="BIJ65" s="277" t="s">
        <v>1072</v>
      </c>
      <c r="BIK65" s="277" t="s">
        <v>1072</v>
      </c>
      <c r="BIL65" s="277" t="s">
        <v>1072</v>
      </c>
      <c r="BIM65" s="277" t="s">
        <v>1072</v>
      </c>
      <c r="BIN65" s="277" t="s">
        <v>1072</v>
      </c>
      <c r="BIO65" s="277" t="s">
        <v>1072</v>
      </c>
      <c r="BIP65" s="277" t="s">
        <v>1072</v>
      </c>
      <c r="BIQ65" s="277" t="s">
        <v>1072</v>
      </c>
      <c r="BIR65" s="277" t="s">
        <v>1072</v>
      </c>
      <c r="BIS65" s="277" t="s">
        <v>1072</v>
      </c>
      <c r="BIT65" s="277" t="s">
        <v>1072</v>
      </c>
      <c r="BIU65" s="277" t="s">
        <v>1072</v>
      </c>
      <c r="BIV65" s="277" t="s">
        <v>1072</v>
      </c>
      <c r="BIW65" s="277" t="s">
        <v>1072</v>
      </c>
      <c r="BIX65" s="277" t="s">
        <v>1072</v>
      </c>
      <c r="BIY65" s="277" t="s">
        <v>1072</v>
      </c>
      <c r="BIZ65" s="277" t="s">
        <v>1072</v>
      </c>
      <c r="BJA65" s="277" t="s">
        <v>1072</v>
      </c>
      <c r="BJB65" s="277" t="s">
        <v>1072</v>
      </c>
      <c r="BJC65" s="277" t="s">
        <v>1072</v>
      </c>
      <c r="BJD65" s="277" t="s">
        <v>1072</v>
      </c>
      <c r="BJE65" s="277" t="s">
        <v>1072</v>
      </c>
      <c r="BJF65" s="277" t="s">
        <v>1072</v>
      </c>
      <c r="BJG65" s="277" t="s">
        <v>1072</v>
      </c>
      <c r="BJH65" s="277" t="s">
        <v>1072</v>
      </c>
      <c r="BJI65" s="277" t="s">
        <v>1072</v>
      </c>
      <c r="BJJ65" s="277" t="s">
        <v>1072</v>
      </c>
      <c r="BJK65" s="277" t="s">
        <v>1072</v>
      </c>
      <c r="BJL65" s="277" t="s">
        <v>1072</v>
      </c>
      <c r="BJM65" s="277" t="s">
        <v>1072</v>
      </c>
      <c r="BJN65" s="277" t="s">
        <v>1072</v>
      </c>
      <c r="BJO65" s="277" t="s">
        <v>1072</v>
      </c>
      <c r="BJP65" s="277" t="s">
        <v>1072</v>
      </c>
      <c r="BJQ65" s="277" t="s">
        <v>1072</v>
      </c>
      <c r="BJR65" s="277" t="s">
        <v>1072</v>
      </c>
      <c r="BJS65" s="277" t="s">
        <v>1072</v>
      </c>
      <c r="BJT65" s="277" t="s">
        <v>1072</v>
      </c>
      <c r="BJU65" s="277" t="s">
        <v>1072</v>
      </c>
      <c r="BJV65" s="277" t="s">
        <v>1072</v>
      </c>
      <c r="BJW65" s="277" t="s">
        <v>1072</v>
      </c>
      <c r="BJX65" s="277" t="s">
        <v>1072</v>
      </c>
      <c r="BJY65" s="277" t="s">
        <v>1072</v>
      </c>
      <c r="BJZ65" s="277" t="s">
        <v>1072</v>
      </c>
      <c r="BKA65" s="277" t="s">
        <v>1072</v>
      </c>
      <c r="BKB65" s="277" t="s">
        <v>1072</v>
      </c>
      <c r="BKC65" s="277" t="s">
        <v>1072</v>
      </c>
      <c r="BKD65" s="277" t="s">
        <v>1072</v>
      </c>
      <c r="BKE65" s="277" t="s">
        <v>1072</v>
      </c>
      <c r="BKF65" s="277" t="s">
        <v>1072</v>
      </c>
      <c r="BKG65" s="277" t="s">
        <v>1072</v>
      </c>
      <c r="BKH65" s="277" t="s">
        <v>1072</v>
      </c>
      <c r="BKI65" s="277" t="s">
        <v>1072</v>
      </c>
      <c r="BKJ65" s="277" t="s">
        <v>1072</v>
      </c>
      <c r="BKK65" s="277" t="s">
        <v>1072</v>
      </c>
      <c r="BKL65" s="277" t="s">
        <v>1072</v>
      </c>
      <c r="BKM65" s="277" t="s">
        <v>1072</v>
      </c>
      <c r="BKN65" s="277" t="s">
        <v>1072</v>
      </c>
      <c r="BKO65" s="277" t="s">
        <v>1072</v>
      </c>
      <c r="BKP65" s="277" t="s">
        <v>1072</v>
      </c>
      <c r="BKQ65" s="277" t="s">
        <v>1072</v>
      </c>
      <c r="BKR65" s="277" t="s">
        <v>1072</v>
      </c>
      <c r="BKS65" s="277" t="s">
        <v>1072</v>
      </c>
      <c r="BKT65" s="277" t="s">
        <v>1072</v>
      </c>
      <c r="BKU65" s="277" t="s">
        <v>1072</v>
      </c>
      <c r="BKV65" s="277" t="s">
        <v>1072</v>
      </c>
      <c r="BKW65" s="277" t="s">
        <v>1072</v>
      </c>
      <c r="BKX65" s="277" t="s">
        <v>1072</v>
      </c>
      <c r="BKY65" s="277" t="s">
        <v>1072</v>
      </c>
      <c r="BKZ65" s="277" t="s">
        <v>1072</v>
      </c>
      <c r="BLA65" s="277" t="s">
        <v>1072</v>
      </c>
      <c r="BLB65" s="277" t="s">
        <v>1072</v>
      </c>
      <c r="BLC65" s="277" t="s">
        <v>1072</v>
      </c>
      <c r="BLD65" s="277" t="s">
        <v>1072</v>
      </c>
      <c r="BLE65" s="277" t="s">
        <v>1072</v>
      </c>
      <c r="BLF65" s="277" t="s">
        <v>1072</v>
      </c>
      <c r="BLG65" s="277" t="s">
        <v>1072</v>
      </c>
      <c r="BLH65" s="277" t="s">
        <v>1072</v>
      </c>
      <c r="BLI65" s="277" t="s">
        <v>1072</v>
      </c>
      <c r="BLJ65" s="277" t="s">
        <v>1072</v>
      </c>
      <c r="BLK65" s="277" t="s">
        <v>1072</v>
      </c>
      <c r="BLL65" s="277" t="s">
        <v>1072</v>
      </c>
      <c r="BLM65" s="277" t="s">
        <v>1072</v>
      </c>
      <c r="BLN65" s="277" t="s">
        <v>1072</v>
      </c>
      <c r="BLO65" s="277" t="s">
        <v>1072</v>
      </c>
      <c r="BLP65" s="277" t="s">
        <v>1072</v>
      </c>
      <c r="BLQ65" s="277" t="s">
        <v>1072</v>
      </c>
      <c r="BLR65" s="277" t="s">
        <v>1072</v>
      </c>
      <c r="BLS65" s="277" t="s">
        <v>1072</v>
      </c>
      <c r="BLT65" s="277" t="s">
        <v>1072</v>
      </c>
      <c r="BLU65" s="277" t="s">
        <v>1072</v>
      </c>
      <c r="BLV65" s="277" t="s">
        <v>1072</v>
      </c>
      <c r="BLW65" s="277" t="s">
        <v>1072</v>
      </c>
      <c r="BLX65" s="277" t="s">
        <v>1072</v>
      </c>
      <c r="BLY65" s="277" t="s">
        <v>1072</v>
      </c>
      <c r="BLZ65" s="277" t="s">
        <v>1072</v>
      </c>
      <c r="BMA65" s="277" t="s">
        <v>1072</v>
      </c>
      <c r="BMB65" s="277" t="s">
        <v>1072</v>
      </c>
      <c r="BMC65" s="277" t="s">
        <v>1072</v>
      </c>
      <c r="BMD65" s="277" t="s">
        <v>1072</v>
      </c>
      <c r="BME65" s="277" t="s">
        <v>1072</v>
      </c>
      <c r="BMF65" s="277" t="s">
        <v>1072</v>
      </c>
      <c r="BMG65" s="277" t="s">
        <v>1072</v>
      </c>
      <c r="BMH65" s="277" t="s">
        <v>1072</v>
      </c>
      <c r="BMI65" s="277" t="s">
        <v>1072</v>
      </c>
      <c r="BMJ65" s="277" t="s">
        <v>1072</v>
      </c>
      <c r="BMK65" s="277" t="s">
        <v>1072</v>
      </c>
      <c r="BML65" s="277" t="s">
        <v>1072</v>
      </c>
      <c r="BMM65" s="277" t="s">
        <v>1072</v>
      </c>
      <c r="BMN65" s="277" t="s">
        <v>1072</v>
      </c>
      <c r="BMO65" s="277" t="s">
        <v>1072</v>
      </c>
      <c r="BMP65" s="277" t="s">
        <v>1072</v>
      </c>
      <c r="BMQ65" s="277" t="s">
        <v>1072</v>
      </c>
      <c r="BMR65" s="277" t="s">
        <v>1072</v>
      </c>
      <c r="BMS65" s="277" t="s">
        <v>1072</v>
      </c>
      <c r="BMT65" s="277" t="s">
        <v>1072</v>
      </c>
      <c r="BMU65" s="277" t="s">
        <v>1072</v>
      </c>
      <c r="BMV65" s="277" t="s">
        <v>1072</v>
      </c>
      <c r="BMW65" s="277" t="s">
        <v>1072</v>
      </c>
      <c r="BMX65" s="277" t="s">
        <v>1072</v>
      </c>
      <c r="BMY65" s="277" t="s">
        <v>1072</v>
      </c>
      <c r="BMZ65" s="277" t="s">
        <v>1072</v>
      </c>
      <c r="BNA65" s="277" t="s">
        <v>1072</v>
      </c>
      <c r="BNB65" s="277" t="s">
        <v>1072</v>
      </c>
      <c r="BNC65" s="277" t="s">
        <v>1072</v>
      </c>
      <c r="BND65" s="277" t="s">
        <v>1072</v>
      </c>
      <c r="BNE65" s="277" t="s">
        <v>1072</v>
      </c>
      <c r="BNF65" s="277" t="s">
        <v>1072</v>
      </c>
      <c r="BNG65" s="277" t="s">
        <v>1072</v>
      </c>
      <c r="BNH65" s="277" t="s">
        <v>1072</v>
      </c>
      <c r="BNI65" s="277" t="s">
        <v>1072</v>
      </c>
      <c r="BNJ65" s="277" t="s">
        <v>1072</v>
      </c>
      <c r="BNK65" s="277" t="s">
        <v>1072</v>
      </c>
      <c r="BNL65" s="277" t="s">
        <v>1072</v>
      </c>
      <c r="BNM65" s="277" t="s">
        <v>1072</v>
      </c>
      <c r="BNN65" s="277" t="s">
        <v>1072</v>
      </c>
      <c r="BNO65" s="277" t="s">
        <v>1072</v>
      </c>
      <c r="BNP65" s="277" t="s">
        <v>1072</v>
      </c>
      <c r="BNQ65" s="277" t="s">
        <v>1072</v>
      </c>
      <c r="BNR65" s="277" t="s">
        <v>1072</v>
      </c>
      <c r="BNS65" s="277" t="s">
        <v>1072</v>
      </c>
      <c r="BNT65" s="277" t="s">
        <v>1072</v>
      </c>
      <c r="BNU65" s="277" t="s">
        <v>1072</v>
      </c>
      <c r="BNV65" s="277" t="s">
        <v>1072</v>
      </c>
      <c r="BNW65" s="277" t="s">
        <v>1072</v>
      </c>
      <c r="BNX65" s="277" t="s">
        <v>1072</v>
      </c>
      <c r="BNY65" s="277" t="s">
        <v>1072</v>
      </c>
      <c r="BNZ65" s="277" t="s">
        <v>1072</v>
      </c>
      <c r="BOA65" s="277" t="s">
        <v>1072</v>
      </c>
      <c r="BOB65" s="277" t="s">
        <v>1072</v>
      </c>
      <c r="BOC65" s="277" t="s">
        <v>1072</v>
      </c>
      <c r="BOD65" s="277" t="s">
        <v>1072</v>
      </c>
      <c r="BOE65" s="277" t="s">
        <v>1072</v>
      </c>
      <c r="BOF65" s="277" t="s">
        <v>1072</v>
      </c>
      <c r="BOG65" s="277" t="s">
        <v>1072</v>
      </c>
      <c r="BOH65" s="277" t="s">
        <v>1072</v>
      </c>
      <c r="BOI65" s="277" t="s">
        <v>1072</v>
      </c>
      <c r="BOJ65" s="277" t="s">
        <v>1072</v>
      </c>
      <c r="BOK65" s="277" t="s">
        <v>1072</v>
      </c>
      <c r="BOL65" s="277" t="s">
        <v>1072</v>
      </c>
      <c r="BOM65" s="277" t="s">
        <v>1072</v>
      </c>
      <c r="BON65" s="277" t="s">
        <v>1072</v>
      </c>
      <c r="BOO65" s="277" t="s">
        <v>1072</v>
      </c>
      <c r="BOP65" s="277" t="s">
        <v>1072</v>
      </c>
      <c r="BOQ65" s="277" t="s">
        <v>1072</v>
      </c>
      <c r="BOR65" s="277" t="s">
        <v>1072</v>
      </c>
      <c r="BOS65" s="277" t="s">
        <v>1072</v>
      </c>
      <c r="BOT65" s="277" t="s">
        <v>1072</v>
      </c>
      <c r="BOU65" s="277" t="s">
        <v>1072</v>
      </c>
      <c r="BOV65" s="277" t="s">
        <v>1072</v>
      </c>
      <c r="BOW65" s="277" t="s">
        <v>1072</v>
      </c>
      <c r="BOX65" s="277" t="s">
        <v>1072</v>
      </c>
      <c r="BOY65" s="277" t="s">
        <v>1072</v>
      </c>
      <c r="BOZ65" s="277" t="s">
        <v>1072</v>
      </c>
      <c r="BPA65" s="277" t="s">
        <v>1072</v>
      </c>
      <c r="BPB65" s="277" t="s">
        <v>1072</v>
      </c>
      <c r="BPC65" s="277" t="s">
        <v>1072</v>
      </c>
      <c r="BPD65" s="277" t="s">
        <v>1072</v>
      </c>
      <c r="BPE65" s="277" t="s">
        <v>1072</v>
      </c>
      <c r="BPF65" s="277" t="s">
        <v>1072</v>
      </c>
      <c r="BPG65" s="277" t="s">
        <v>1072</v>
      </c>
      <c r="BPH65" s="277" t="s">
        <v>1072</v>
      </c>
      <c r="BPI65" s="277" t="s">
        <v>1072</v>
      </c>
      <c r="BPJ65" s="277" t="s">
        <v>1072</v>
      </c>
      <c r="BPK65" s="277" t="s">
        <v>1072</v>
      </c>
      <c r="BPL65" s="277" t="s">
        <v>1072</v>
      </c>
      <c r="BPM65" s="277" t="s">
        <v>1072</v>
      </c>
      <c r="BPN65" s="277" t="s">
        <v>1072</v>
      </c>
      <c r="BPO65" s="277" t="s">
        <v>1072</v>
      </c>
      <c r="BPP65" s="277" t="s">
        <v>1072</v>
      </c>
      <c r="BPQ65" s="277" t="s">
        <v>1072</v>
      </c>
      <c r="BPR65" s="277" t="s">
        <v>1072</v>
      </c>
      <c r="BPS65" s="277" t="s">
        <v>1072</v>
      </c>
      <c r="BPT65" s="277" t="s">
        <v>1072</v>
      </c>
      <c r="BPU65" s="277" t="s">
        <v>1072</v>
      </c>
      <c r="BPV65" s="277" t="s">
        <v>1072</v>
      </c>
      <c r="BPW65" s="277" t="s">
        <v>1072</v>
      </c>
      <c r="BPX65" s="277" t="s">
        <v>1072</v>
      </c>
      <c r="BPY65" s="277" t="s">
        <v>1072</v>
      </c>
      <c r="BPZ65" s="277" t="s">
        <v>1072</v>
      </c>
      <c r="BQA65" s="277" t="s">
        <v>1072</v>
      </c>
      <c r="BQB65" s="277" t="s">
        <v>1072</v>
      </c>
      <c r="BQC65" s="277" t="s">
        <v>1072</v>
      </c>
      <c r="BQD65" s="277" t="s">
        <v>1072</v>
      </c>
      <c r="BQE65" s="277" t="s">
        <v>1072</v>
      </c>
      <c r="BQF65" s="277" t="s">
        <v>1072</v>
      </c>
      <c r="BQG65" s="277" t="s">
        <v>1072</v>
      </c>
      <c r="BQH65" s="277" t="s">
        <v>1072</v>
      </c>
      <c r="BQI65" s="277" t="s">
        <v>1072</v>
      </c>
      <c r="BQJ65" s="277" t="s">
        <v>1072</v>
      </c>
      <c r="BQK65" s="277" t="s">
        <v>1072</v>
      </c>
      <c r="BQL65" s="277" t="s">
        <v>1072</v>
      </c>
      <c r="BQM65" s="277" t="s">
        <v>1072</v>
      </c>
      <c r="BQN65" s="277" t="s">
        <v>1072</v>
      </c>
      <c r="BQO65" s="277" t="s">
        <v>1072</v>
      </c>
      <c r="BQP65" s="277" t="s">
        <v>1072</v>
      </c>
      <c r="BQQ65" s="277" t="s">
        <v>1072</v>
      </c>
      <c r="BQR65" s="277" t="s">
        <v>1072</v>
      </c>
      <c r="BQS65" s="277" t="s">
        <v>1072</v>
      </c>
      <c r="BQT65" s="277" t="s">
        <v>1072</v>
      </c>
      <c r="BQU65" s="277" t="s">
        <v>1072</v>
      </c>
      <c r="BQV65" s="277" t="s">
        <v>1072</v>
      </c>
      <c r="BQW65" s="277" t="s">
        <v>1072</v>
      </c>
      <c r="BQX65" s="277" t="s">
        <v>1072</v>
      </c>
      <c r="BQY65" s="277" t="s">
        <v>1072</v>
      </c>
      <c r="BQZ65" s="277" t="s">
        <v>1072</v>
      </c>
      <c r="BRA65" s="277" t="s">
        <v>1072</v>
      </c>
      <c r="BRB65" s="277" t="s">
        <v>1072</v>
      </c>
      <c r="BRC65" s="277" t="s">
        <v>1072</v>
      </c>
      <c r="BRD65" s="277" t="s">
        <v>1072</v>
      </c>
      <c r="BRE65" s="277" t="s">
        <v>1072</v>
      </c>
      <c r="BRF65" s="277" t="s">
        <v>1072</v>
      </c>
      <c r="BRG65" s="277" t="s">
        <v>1072</v>
      </c>
      <c r="BRH65" s="277" t="s">
        <v>1072</v>
      </c>
      <c r="BRI65" s="277" t="s">
        <v>1072</v>
      </c>
      <c r="BRJ65" s="277" t="s">
        <v>1072</v>
      </c>
      <c r="BRK65" s="277" t="s">
        <v>1072</v>
      </c>
      <c r="BRL65" s="277" t="s">
        <v>1072</v>
      </c>
      <c r="BRM65" s="277" t="s">
        <v>1072</v>
      </c>
      <c r="BRN65" s="277" t="s">
        <v>1072</v>
      </c>
      <c r="BRO65" s="277" t="s">
        <v>1072</v>
      </c>
      <c r="BRP65" s="277" t="s">
        <v>1072</v>
      </c>
      <c r="BRQ65" s="277" t="s">
        <v>1072</v>
      </c>
      <c r="BRR65" s="277" t="s">
        <v>1072</v>
      </c>
      <c r="BRS65" s="277" t="s">
        <v>1072</v>
      </c>
      <c r="BRT65" s="277" t="s">
        <v>1072</v>
      </c>
      <c r="BRU65" s="277" t="s">
        <v>1072</v>
      </c>
      <c r="BRV65" s="277" t="s">
        <v>1072</v>
      </c>
      <c r="BRW65" s="277" t="s">
        <v>1072</v>
      </c>
      <c r="BRX65" s="277" t="s">
        <v>1072</v>
      </c>
      <c r="BRY65" s="277" t="s">
        <v>1072</v>
      </c>
      <c r="BRZ65" s="277" t="s">
        <v>1072</v>
      </c>
      <c r="BSA65" s="277" t="s">
        <v>1072</v>
      </c>
      <c r="BSB65" s="277" t="s">
        <v>1072</v>
      </c>
      <c r="BSC65" s="277" t="s">
        <v>1072</v>
      </c>
      <c r="BSD65" s="277" t="s">
        <v>1072</v>
      </c>
      <c r="BSE65" s="277" t="s">
        <v>1072</v>
      </c>
      <c r="BSF65" s="277" t="s">
        <v>1072</v>
      </c>
      <c r="BSG65" s="277" t="s">
        <v>1072</v>
      </c>
      <c r="BSH65" s="277" t="s">
        <v>1072</v>
      </c>
      <c r="BSI65" s="277" t="s">
        <v>1072</v>
      </c>
      <c r="BSJ65" s="277" t="s">
        <v>1072</v>
      </c>
      <c r="BSK65" s="277" t="s">
        <v>1072</v>
      </c>
      <c r="BSL65" s="277" t="s">
        <v>1072</v>
      </c>
      <c r="BSM65" s="277" t="s">
        <v>1072</v>
      </c>
      <c r="BSN65" s="277" t="s">
        <v>1072</v>
      </c>
      <c r="BSO65" s="277" t="s">
        <v>1072</v>
      </c>
      <c r="BSP65" s="277" t="s">
        <v>1072</v>
      </c>
      <c r="BSQ65" s="277" t="s">
        <v>1072</v>
      </c>
      <c r="BSR65" s="277" t="s">
        <v>1072</v>
      </c>
      <c r="BSS65" s="277" t="s">
        <v>1072</v>
      </c>
      <c r="BST65" s="277" t="s">
        <v>1072</v>
      </c>
      <c r="BSU65" s="277" t="s">
        <v>1072</v>
      </c>
      <c r="BSV65" s="277" t="s">
        <v>1072</v>
      </c>
      <c r="BSW65" s="277" t="s">
        <v>1072</v>
      </c>
      <c r="BSX65" s="277" t="s">
        <v>1072</v>
      </c>
      <c r="BSY65" s="277" t="s">
        <v>1072</v>
      </c>
      <c r="BSZ65" s="277" t="s">
        <v>1072</v>
      </c>
      <c r="BTA65" s="277" t="s">
        <v>1072</v>
      </c>
      <c r="BTB65" s="277" t="s">
        <v>1072</v>
      </c>
      <c r="BTC65" s="277" t="s">
        <v>1072</v>
      </c>
      <c r="BTD65" s="277" t="s">
        <v>1072</v>
      </c>
      <c r="BTE65" s="277" t="s">
        <v>1072</v>
      </c>
      <c r="BTF65" s="277" t="s">
        <v>1072</v>
      </c>
      <c r="BTG65" s="277" t="s">
        <v>1072</v>
      </c>
      <c r="BTH65" s="277" t="s">
        <v>1072</v>
      </c>
      <c r="BTI65" s="277" t="s">
        <v>1072</v>
      </c>
      <c r="BTJ65" s="277" t="s">
        <v>1072</v>
      </c>
      <c r="BTK65" s="277" t="s">
        <v>1072</v>
      </c>
      <c r="BTL65" s="277" t="s">
        <v>1072</v>
      </c>
      <c r="BTM65" s="277" t="s">
        <v>1072</v>
      </c>
      <c r="BTN65" s="277" t="s">
        <v>1072</v>
      </c>
      <c r="BTO65" s="277" t="s">
        <v>1072</v>
      </c>
      <c r="BTP65" s="277" t="s">
        <v>1072</v>
      </c>
      <c r="BTQ65" s="277" t="s">
        <v>1072</v>
      </c>
      <c r="BTR65" s="277" t="s">
        <v>1072</v>
      </c>
      <c r="BTS65" s="277" t="s">
        <v>1072</v>
      </c>
      <c r="BTT65" s="277" t="s">
        <v>1072</v>
      </c>
      <c r="BTU65" s="277" t="s">
        <v>1072</v>
      </c>
      <c r="BTV65" s="277" t="s">
        <v>1072</v>
      </c>
      <c r="BTW65" s="277" t="s">
        <v>1072</v>
      </c>
      <c r="BTX65" s="277" t="s">
        <v>1072</v>
      </c>
      <c r="BTY65" s="277" t="s">
        <v>1072</v>
      </c>
      <c r="BTZ65" s="277" t="s">
        <v>1072</v>
      </c>
      <c r="BUA65" s="277" t="s">
        <v>1072</v>
      </c>
      <c r="BUB65" s="277" t="s">
        <v>1072</v>
      </c>
      <c r="BUC65" s="277" t="s">
        <v>1072</v>
      </c>
      <c r="BUD65" s="277" t="s">
        <v>1072</v>
      </c>
      <c r="BUE65" s="277" t="s">
        <v>1072</v>
      </c>
      <c r="BUF65" s="277" t="s">
        <v>1072</v>
      </c>
      <c r="BUG65" s="277" t="s">
        <v>1072</v>
      </c>
      <c r="BUH65" s="277" t="s">
        <v>1072</v>
      </c>
      <c r="BUI65" s="277" t="s">
        <v>1072</v>
      </c>
      <c r="BUJ65" s="277" t="s">
        <v>1072</v>
      </c>
      <c r="BUK65" s="277" t="s">
        <v>1072</v>
      </c>
      <c r="BUL65" s="277" t="s">
        <v>1072</v>
      </c>
      <c r="BUM65" s="277" t="s">
        <v>1072</v>
      </c>
      <c r="BUN65" s="277" t="s">
        <v>1072</v>
      </c>
      <c r="BUO65" s="277" t="s">
        <v>1072</v>
      </c>
      <c r="BUP65" s="277" t="s">
        <v>1072</v>
      </c>
      <c r="BUQ65" s="277" t="s">
        <v>1072</v>
      </c>
      <c r="BUR65" s="277" t="s">
        <v>1072</v>
      </c>
      <c r="BUS65" s="277" t="s">
        <v>1072</v>
      </c>
      <c r="BUT65" s="277" t="s">
        <v>1072</v>
      </c>
      <c r="BUU65" s="277" t="s">
        <v>1072</v>
      </c>
      <c r="BUV65" s="277" t="s">
        <v>1072</v>
      </c>
      <c r="BUW65" s="277" t="s">
        <v>1072</v>
      </c>
      <c r="BUX65" s="277" t="s">
        <v>1072</v>
      </c>
      <c r="BUY65" s="277" t="s">
        <v>1072</v>
      </c>
      <c r="BUZ65" s="277" t="s">
        <v>1072</v>
      </c>
      <c r="BVA65" s="277" t="s">
        <v>1072</v>
      </c>
      <c r="BVB65" s="277" t="s">
        <v>1072</v>
      </c>
      <c r="BVC65" s="277" t="s">
        <v>1072</v>
      </c>
      <c r="BVD65" s="277" t="s">
        <v>1072</v>
      </c>
      <c r="BVE65" s="277" t="s">
        <v>1072</v>
      </c>
      <c r="BVF65" s="277" t="s">
        <v>1072</v>
      </c>
      <c r="BVG65" s="277" t="s">
        <v>1072</v>
      </c>
      <c r="BVH65" s="277" t="s">
        <v>1072</v>
      </c>
      <c r="BVI65" s="277" t="s">
        <v>1072</v>
      </c>
      <c r="BVJ65" s="277" t="s">
        <v>1072</v>
      </c>
      <c r="BVK65" s="277" t="s">
        <v>1072</v>
      </c>
      <c r="BVL65" s="277" t="s">
        <v>1072</v>
      </c>
      <c r="BVM65" s="277" t="s">
        <v>1072</v>
      </c>
      <c r="BVN65" s="277" t="s">
        <v>1072</v>
      </c>
      <c r="BVO65" s="277" t="s">
        <v>1072</v>
      </c>
      <c r="BVP65" s="277" t="s">
        <v>1072</v>
      </c>
      <c r="BVQ65" s="277" t="s">
        <v>1072</v>
      </c>
      <c r="BVR65" s="277" t="s">
        <v>1072</v>
      </c>
      <c r="BVS65" s="277" t="s">
        <v>1072</v>
      </c>
      <c r="BVT65" s="277" t="s">
        <v>1072</v>
      </c>
      <c r="BVU65" s="277" t="s">
        <v>1072</v>
      </c>
      <c r="BVV65" s="277" t="s">
        <v>1072</v>
      </c>
      <c r="BVW65" s="277" t="s">
        <v>1072</v>
      </c>
      <c r="BVX65" s="277" t="s">
        <v>1072</v>
      </c>
      <c r="BVY65" s="277" t="s">
        <v>1072</v>
      </c>
      <c r="BVZ65" s="277" t="s">
        <v>1072</v>
      </c>
      <c r="BWA65" s="277" t="s">
        <v>1072</v>
      </c>
      <c r="BWB65" s="277" t="s">
        <v>1072</v>
      </c>
      <c r="BWC65" s="277" t="s">
        <v>1072</v>
      </c>
      <c r="BWD65" s="277" t="s">
        <v>1072</v>
      </c>
      <c r="BWE65" s="277" t="s">
        <v>1072</v>
      </c>
      <c r="BWF65" s="277" t="s">
        <v>1072</v>
      </c>
      <c r="BWG65" s="277" t="s">
        <v>1072</v>
      </c>
      <c r="BWH65" s="277" t="s">
        <v>1072</v>
      </c>
      <c r="BWI65" s="277" t="s">
        <v>1072</v>
      </c>
      <c r="BWJ65" s="277" t="s">
        <v>1072</v>
      </c>
      <c r="BWK65" s="277" t="s">
        <v>1072</v>
      </c>
      <c r="BWL65" s="277" t="s">
        <v>1072</v>
      </c>
      <c r="BWM65" s="277" t="s">
        <v>1072</v>
      </c>
      <c r="BWN65" s="277" t="s">
        <v>1072</v>
      </c>
      <c r="BWO65" s="277" t="s">
        <v>1072</v>
      </c>
      <c r="BWP65" s="277" t="s">
        <v>1072</v>
      </c>
      <c r="BWQ65" s="277" t="s">
        <v>1072</v>
      </c>
      <c r="BWR65" s="277" t="s">
        <v>1072</v>
      </c>
      <c r="BWS65" s="277" t="s">
        <v>1072</v>
      </c>
      <c r="BWT65" s="277" t="s">
        <v>1072</v>
      </c>
      <c r="BWU65" s="277" t="s">
        <v>1072</v>
      </c>
      <c r="BWV65" s="277" t="s">
        <v>1072</v>
      </c>
      <c r="BWW65" s="277" t="s">
        <v>1072</v>
      </c>
      <c r="BWX65" s="277" t="s">
        <v>1072</v>
      </c>
      <c r="BWY65" s="277" t="s">
        <v>1072</v>
      </c>
      <c r="BWZ65" s="277" t="s">
        <v>1072</v>
      </c>
      <c r="BXA65" s="277" t="s">
        <v>1072</v>
      </c>
      <c r="BXB65" s="277" t="s">
        <v>1072</v>
      </c>
      <c r="BXC65" s="277" t="s">
        <v>1072</v>
      </c>
      <c r="BXD65" s="277" t="s">
        <v>1072</v>
      </c>
      <c r="BXE65" s="277" t="s">
        <v>1072</v>
      </c>
      <c r="BXF65" s="277" t="s">
        <v>1072</v>
      </c>
      <c r="BXG65" s="277" t="s">
        <v>1072</v>
      </c>
      <c r="BXH65" s="277" t="s">
        <v>1072</v>
      </c>
      <c r="BXI65" s="277" t="s">
        <v>1072</v>
      </c>
      <c r="BXJ65" s="277" t="s">
        <v>1072</v>
      </c>
      <c r="BXK65" s="277" t="s">
        <v>1072</v>
      </c>
      <c r="BXL65" s="277" t="s">
        <v>1072</v>
      </c>
      <c r="BXM65" s="277" t="s">
        <v>1072</v>
      </c>
      <c r="BXN65" s="277" t="s">
        <v>1072</v>
      </c>
      <c r="BXO65" s="277" t="s">
        <v>1072</v>
      </c>
      <c r="BXP65" s="277" t="s">
        <v>1072</v>
      </c>
      <c r="BXQ65" s="277" t="s">
        <v>1072</v>
      </c>
      <c r="BXR65" s="277" t="s">
        <v>1072</v>
      </c>
      <c r="BXS65" s="277" t="s">
        <v>1072</v>
      </c>
      <c r="BXT65" s="277" t="s">
        <v>1072</v>
      </c>
      <c r="BXU65" s="277" t="s">
        <v>1072</v>
      </c>
      <c r="BXV65" s="277" t="s">
        <v>1072</v>
      </c>
      <c r="BXW65" s="277" t="s">
        <v>1072</v>
      </c>
      <c r="BXX65" s="277" t="s">
        <v>1072</v>
      </c>
      <c r="BXY65" s="277" t="s">
        <v>1072</v>
      </c>
      <c r="BXZ65" s="277" t="s">
        <v>1072</v>
      </c>
      <c r="BYA65" s="277" t="s">
        <v>1072</v>
      </c>
      <c r="BYB65" s="277" t="s">
        <v>1072</v>
      </c>
      <c r="BYC65" s="277" t="s">
        <v>1072</v>
      </c>
      <c r="BYD65" s="277" t="s">
        <v>1072</v>
      </c>
      <c r="BYE65" s="277" t="s">
        <v>1072</v>
      </c>
      <c r="BYF65" s="277" t="s">
        <v>1072</v>
      </c>
      <c r="BYG65" s="277" t="s">
        <v>1072</v>
      </c>
      <c r="BYH65" s="277" t="s">
        <v>1072</v>
      </c>
      <c r="BYI65" s="277" t="s">
        <v>1072</v>
      </c>
      <c r="BYJ65" s="277" t="s">
        <v>1072</v>
      </c>
      <c r="BYK65" s="277" t="s">
        <v>1072</v>
      </c>
      <c r="BYL65" s="277" t="s">
        <v>1072</v>
      </c>
      <c r="BYM65" s="277" t="s">
        <v>1072</v>
      </c>
      <c r="BYN65" s="277" t="s">
        <v>1072</v>
      </c>
      <c r="BYO65" s="277" t="s">
        <v>1072</v>
      </c>
      <c r="BYP65" s="277" t="s">
        <v>1072</v>
      </c>
      <c r="BYQ65" s="277" t="s">
        <v>1072</v>
      </c>
      <c r="BYR65" s="277" t="s">
        <v>1072</v>
      </c>
      <c r="BYS65" s="277" t="s">
        <v>1072</v>
      </c>
      <c r="BYT65" s="277" t="s">
        <v>1072</v>
      </c>
      <c r="BYU65" s="277" t="s">
        <v>1072</v>
      </c>
      <c r="BYV65" s="277" t="s">
        <v>1072</v>
      </c>
      <c r="BYW65" s="277" t="s">
        <v>1072</v>
      </c>
      <c r="BYX65" s="277" t="s">
        <v>1072</v>
      </c>
      <c r="BYY65" s="277" t="s">
        <v>1072</v>
      </c>
      <c r="BYZ65" s="277" t="s">
        <v>1072</v>
      </c>
      <c r="BZA65" s="277" t="s">
        <v>1072</v>
      </c>
      <c r="BZB65" s="277" t="s">
        <v>1072</v>
      </c>
      <c r="BZC65" s="277" t="s">
        <v>1072</v>
      </c>
      <c r="BZD65" s="277" t="s">
        <v>1072</v>
      </c>
      <c r="BZE65" s="277" t="s">
        <v>1072</v>
      </c>
      <c r="BZF65" s="277" t="s">
        <v>1072</v>
      </c>
      <c r="BZG65" s="277" t="s">
        <v>1072</v>
      </c>
      <c r="BZH65" s="277" t="s">
        <v>1072</v>
      </c>
      <c r="BZI65" s="277" t="s">
        <v>1072</v>
      </c>
      <c r="BZJ65" s="277" t="s">
        <v>1072</v>
      </c>
      <c r="BZK65" s="277" t="s">
        <v>1072</v>
      </c>
      <c r="BZL65" s="277" t="s">
        <v>1072</v>
      </c>
      <c r="BZM65" s="277" t="s">
        <v>1072</v>
      </c>
      <c r="BZN65" s="277" t="s">
        <v>1072</v>
      </c>
      <c r="BZO65" s="277" t="s">
        <v>1072</v>
      </c>
      <c r="BZP65" s="277" t="s">
        <v>1072</v>
      </c>
      <c r="BZQ65" s="277" t="s">
        <v>1072</v>
      </c>
      <c r="BZR65" s="277" t="s">
        <v>1072</v>
      </c>
      <c r="BZS65" s="277" t="s">
        <v>1072</v>
      </c>
      <c r="BZT65" s="277" t="s">
        <v>1072</v>
      </c>
      <c r="BZU65" s="277" t="s">
        <v>1072</v>
      </c>
      <c r="BZV65" s="277" t="s">
        <v>1072</v>
      </c>
      <c r="BZW65" s="277" t="s">
        <v>1072</v>
      </c>
      <c r="BZX65" s="277" t="s">
        <v>1072</v>
      </c>
      <c r="BZY65" s="277" t="s">
        <v>1072</v>
      </c>
      <c r="BZZ65" s="277" t="s">
        <v>1072</v>
      </c>
      <c r="CAA65" s="277" t="s">
        <v>1072</v>
      </c>
      <c r="CAB65" s="277" t="s">
        <v>1072</v>
      </c>
      <c r="CAC65" s="277" t="s">
        <v>1072</v>
      </c>
      <c r="CAD65" s="277" t="s">
        <v>1072</v>
      </c>
      <c r="CAE65" s="277" t="s">
        <v>1072</v>
      </c>
      <c r="CAF65" s="277" t="s">
        <v>1072</v>
      </c>
      <c r="CAG65" s="277" t="s">
        <v>1072</v>
      </c>
      <c r="CAH65" s="277" t="s">
        <v>1072</v>
      </c>
      <c r="CAI65" s="277" t="s">
        <v>1072</v>
      </c>
      <c r="CAJ65" s="277" t="s">
        <v>1072</v>
      </c>
      <c r="CAK65" s="277" t="s">
        <v>1072</v>
      </c>
      <c r="CAL65" s="277" t="s">
        <v>1072</v>
      </c>
      <c r="CAM65" s="277" t="s">
        <v>1072</v>
      </c>
      <c r="CAN65" s="277" t="s">
        <v>1072</v>
      </c>
      <c r="CAO65" s="277" t="s">
        <v>1072</v>
      </c>
      <c r="CAP65" s="277" t="s">
        <v>1072</v>
      </c>
      <c r="CAQ65" s="277" t="s">
        <v>1072</v>
      </c>
      <c r="CAR65" s="277" t="s">
        <v>1072</v>
      </c>
      <c r="CAS65" s="277" t="s">
        <v>1072</v>
      </c>
      <c r="CAT65" s="277" t="s">
        <v>1072</v>
      </c>
      <c r="CAU65" s="277" t="s">
        <v>1072</v>
      </c>
      <c r="CAV65" s="277" t="s">
        <v>1072</v>
      </c>
      <c r="CAW65" s="277" t="s">
        <v>1072</v>
      </c>
      <c r="CAX65" s="277" t="s">
        <v>1072</v>
      </c>
      <c r="CAY65" s="277" t="s">
        <v>1072</v>
      </c>
      <c r="CAZ65" s="277" t="s">
        <v>1072</v>
      </c>
      <c r="CBA65" s="277" t="s">
        <v>1072</v>
      </c>
      <c r="CBB65" s="277" t="s">
        <v>1072</v>
      </c>
      <c r="CBC65" s="277" t="s">
        <v>1072</v>
      </c>
      <c r="CBD65" s="277" t="s">
        <v>1072</v>
      </c>
      <c r="CBE65" s="277" t="s">
        <v>1072</v>
      </c>
      <c r="CBF65" s="277" t="s">
        <v>1072</v>
      </c>
      <c r="CBG65" s="277" t="s">
        <v>1072</v>
      </c>
      <c r="CBH65" s="277" t="s">
        <v>1072</v>
      </c>
      <c r="CBI65" s="277" t="s">
        <v>1072</v>
      </c>
      <c r="CBJ65" s="277" t="s">
        <v>1072</v>
      </c>
      <c r="CBK65" s="277" t="s">
        <v>1072</v>
      </c>
      <c r="CBL65" s="277" t="s">
        <v>1072</v>
      </c>
      <c r="CBM65" s="277" t="s">
        <v>1072</v>
      </c>
      <c r="CBN65" s="277" t="s">
        <v>1072</v>
      </c>
      <c r="CBO65" s="277" t="s">
        <v>1072</v>
      </c>
      <c r="CBP65" s="277" t="s">
        <v>1072</v>
      </c>
      <c r="CBQ65" s="277" t="s">
        <v>1072</v>
      </c>
      <c r="CBR65" s="277" t="s">
        <v>1072</v>
      </c>
      <c r="CBS65" s="277" t="s">
        <v>1072</v>
      </c>
      <c r="CBT65" s="277" t="s">
        <v>1072</v>
      </c>
      <c r="CBU65" s="277" t="s">
        <v>1072</v>
      </c>
      <c r="CBV65" s="277" t="s">
        <v>1072</v>
      </c>
      <c r="CBW65" s="277" t="s">
        <v>1072</v>
      </c>
      <c r="CBX65" s="277" t="s">
        <v>1072</v>
      </c>
      <c r="CBY65" s="277" t="s">
        <v>1072</v>
      </c>
      <c r="CBZ65" s="277" t="s">
        <v>1072</v>
      </c>
      <c r="CCA65" s="277" t="s">
        <v>1072</v>
      </c>
      <c r="CCB65" s="277" t="s">
        <v>1072</v>
      </c>
      <c r="CCC65" s="277" t="s">
        <v>1072</v>
      </c>
      <c r="CCD65" s="277" t="s">
        <v>1072</v>
      </c>
      <c r="CCE65" s="277" t="s">
        <v>1072</v>
      </c>
      <c r="CCF65" s="277" t="s">
        <v>1072</v>
      </c>
      <c r="CCG65" s="277" t="s">
        <v>1072</v>
      </c>
      <c r="CCH65" s="277" t="s">
        <v>1072</v>
      </c>
      <c r="CCI65" s="277" t="s">
        <v>1072</v>
      </c>
      <c r="CCJ65" s="277" t="s">
        <v>1072</v>
      </c>
      <c r="CCK65" s="277" t="s">
        <v>1072</v>
      </c>
      <c r="CCL65" s="277" t="s">
        <v>1072</v>
      </c>
      <c r="CCM65" s="277" t="s">
        <v>1072</v>
      </c>
      <c r="CCN65" s="277" t="s">
        <v>1072</v>
      </c>
      <c r="CCO65" s="277" t="s">
        <v>1072</v>
      </c>
      <c r="CCP65" s="277" t="s">
        <v>1072</v>
      </c>
      <c r="CCQ65" s="277" t="s">
        <v>1072</v>
      </c>
      <c r="CCR65" s="277" t="s">
        <v>1072</v>
      </c>
      <c r="CCS65" s="277" t="s">
        <v>1072</v>
      </c>
      <c r="CCT65" s="277" t="s">
        <v>1072</v>
      </c>
      <c r="CCU65" s="277" t="s">
        <v>1072</v>
      </c>
      <c r="CCV65" s="277" t="s">
        <v>1072</v>
      </c>
      <c r="CCW65" s="277" t="s">
        <v>1072</v>
      </c>
      <c r="CCX65" s="277" t="s">
        <v>1072</v>
      </c>
      <c r="CCY65" s="277" t="s">
        <v>1072</v>
      </c>
      <c r="CCZ65" s="277" t="s">
        <v>1072</v>
      </c>
      <c r="CDA65" s="277" t="s">
        <v>1072</v>
      </c>
      <c r="CDB65" s="277" t="s">
        <v>1072</v>
      </c>
      <c r="CDC65" s="277" t="s">
        <v>1072</v>
      </c>
      <c r="CDD65" s="277" t="s">
        <v>1072</v>
      </c>
      <c r="CDE65" s="277" t="s">
        <v>1072</v>
      </c>
      <c r="CDF65" s="277" t="s">
        <v>1072</v>
      </c>
      <c r="CDG65" s="277" t="s">
        <v>1072</v>
      </c>
      <c r="CDH65" s="277" t="s">
        <v>1072</v>
      </c>
      <c r="CDI65" s="277" t="s">
        <v>1072</v>
      </c>
      <c r="CDJ65" s="277" t="s">
        <v>1072</v>
      </c>
      <c r="CDK65" s="277" t="s">
        <v>1072</v>
      </c>
      <c r="CDL65" s="277" t="s">
        <v>1072</v>
      </c>
      <c r="CDM65" s="277" t="s">
        <v>1072</v>
      </c>
      <c r="CDN65" s="277" t="s">
        <v>1072</v>
      </c>
      <c r="CDO65" s="277" t="s">
        <v>1072</v>
      </c>
      <c r="CDP65" s="277" t="s">
        <v>1072</v>
      </c>
      <c r="CDQ65" s="277" t="s">
        <v>1072</v>
      </c>
      <c r="CDR65" s="277" t="s">
        <v>1072</v>
      </c>
      <c r="CDS65" s="277" t="s">
        <v>1072</v>
      </c>
      <c r="CDT65" s="277" t="s">
        <v>1072</v>
      </c>
      <c r="CDU65" s="277" t="s">
        <v>1072</v>
      </c>
      <c r="CDV65" s="277" t="s">
        <v>1072</v>
      </c>
      <c r="CDW65" s="277" t="s">
        <v>1072</v>
      </c>
      <c r="CDX65" s="277" t="s">
        <v>1072</v>
      </c>
      <c r="CDY65" s="277" t="s">
        <v>1072</v>
      </c>
      <c r="CDZ65" s="277" t="s">
        <v>1072</v>
      </c>
      <c r="CEA65" s="277" t="s">
        <v>1072</v>
      </c>
      <c r="CEB65" s="277" t="s">
        <v>1072</v>
      </c>
      <c r="CEC65" s="277" t="s">
        <v>1072</v>
      </c>
      <c r="CED65" s="277" t="s">
        <v>1072</v>
      </c>
      <c r="CEE65" s="277" t="s">
        <v>1072</v>
      </c>
      <c r="CEF65" s="277" t="s">
        <v>1072</v>
      </c>
      <c r="CEG65" s="277" t="s">
        <v>1072</v>
      </c>
      <c r="CEH65" s="277" t="s">
        <v>1072</v>
      </c>
      <c r="CEI65" s="277" t="s">
        <v>1072</v>
      </c>
      <c r="CEJ65" s="277" t="s">
        <v>1072</v>
      </c>
      <c r="CEK65" s="277" t="s">
        <v>1072</v>
      </c>
      <c r="CEL65" s="277" t="s">
        <v>1072</v>
      </c>
      <c r="CEM65" s="277" t="s">
        <v>1072</v>
      </c>
      <c r="CEN65" s="277" t="s">
        <v>1072</v>
      </c>
      <c r="CEO65" s="277" t="s">
        <v>1072</v>
      </c>
      <c r="CEP65" s="277" t="s">
        <v>1072</v>
      </c>
      <c r="CEQ65" s="277" t="s">
        <v>1072</v>
      </c>
      <c r="CER65" s="277" t="s">
        <v>1072</v>
      </c>
      <c r="CES65" s="277" t="s">
        <v>1072</v>
      </c>
      <c r="CET65" s="277" t="s">
        <v>1072</v>
      </c>
      <c r="CEU65" s="277" t="s">
        <v>1072</v>
      </c>
      <c r="CEV65" s="277" t="s">
        <v>1072</v>
      </c>
      <c r="CEW65" s="277" t="s">
        <v>1072</v>
      </c>
      <c r="CEX65" s="277" t="s">
        <v>1072</v>
      </c>
      <c r="CEY65" s="277" t="s">
        <v>1072</v>
      </c>
      <c r="CEZ65" s="277" t="s">
        <v>1072</v>
      </c>
      <c r="CFA65" s="277" t="s">
        <v>1072</v>
      </c>
      <c r="CFB65" s="277" t="s">
        <v>1072</v>
      </c>
      <c r="CFC65" s="277" t="s">
        <v>1072</v>
      </c>
      <c r="CFD65" s="277" t="s">
        <v>1072</v>
      </c>
      <c r="CFE65" s="277" t="s">
        <v>1072</v>
      </c>
      <c r="CFF65" s="277" t="s">
        <v>1072</v>
      </c>
      <c r="CFG65" s="277" t="s">
        <v>1072</v>
      </c>
      <c r="CFH65" s="277" t="s">
        <v>1072</v>
      </c>
      <c r="CFI65" s="277" t="s">
        <v>1072</v>
      </c>
      <c r="CFJ65" s="277" t="s">
        <v>1072</v>
      </c>
      <c r="CFK65" s="277" t="s">
        <v>1072</v>
      </c>
      <c r="CFL65" s="277" t="s">
        <v>1072</v>
      </c>
      <c r="CFM65" s="277" t="s">
        <v>1072</v>
      </c>
      <c r="CFN65" s="277" t="s">
        <v>1072</v>
      </c>
      <c r="CFO65" s="277" t="s">
        <v>1072</v>
      </c>
      <c r="CFP65" s="277" t="s">
        <v>1072</v>
      </c>
      <c r="CFQ65" s="277" t="s">
        <v>1072</v>
      </c>
      <c r="CFR65" s="277" t="s">
        <v>1072</v>
      </c>
      <c r="CFS65" s="277" t="s">
        <v>1072</v>
      </c>
      <c r="CFT65" s="277" t="s">
        <v>1072</v>
      </c>
      <c r="CFU65" s="277" t="s">
        <v>1072</v>
      </c>
      <c r="CFV65" s="277" t="s">
        <v>1072</v>
      </c>
      <c r="CFW65" s="277" t="s">
        <v>1072</v>
      </c>
      <c r="CFX65" s="277" t="s">
        <v>1072</v>
      </c>
      <c r="CFY65" s="277" t="s">
        <v>1072</v>
      </c>
      <c r="CFZ65" s="277" t="s">
        <v>1072</v>
      </c>
      <c r="CGA65" s="277" t="s">
        <v>1072</v>
      </c>
      <c r="CGB65" s="277" t="s">
        <v>1072</v>
      </c>
      <c r="CGC65" s="277" t="s">
        <v>1072</v>
      </c>
      <c r="CGD65" s="277" t="s">
        <v>1072</v>
      </c>
      <c r="CGE65" s="277" t="s">
        <v>1072</v>
      </c>
      <c r="CGF65" s="277" t="s">
        <v>1072</v>
      </c>
      <c r="CGG65" s="277" t="s">
        <v>1072</v>
      </c>
      <c r="CGH65" s="277" t="s">
        <v>1072</v>
      </c>
      <c r="CGI65" s="277" t="s">
        <v>1072</v>
      </c>
      <c r="CGJ65" s="277" t="s">
        <v>1072</v>
      </c>
      <c r="CGK65" s="277" t="s">
        <v>1072</v>
      </c>
      <c r="CGL65" s="277" t="s">
        <v>1072</v>
      </c>
      <c r="CGM65" s="277" t="s">
        <v>1072</v>
      </c>
      <c r="CGN65" s="277" t="s">
        <v>1072</v>
      </c>
      <c r="CGO65" s="277" t="s">
        <v>1072</v>
      </c>
      <c r="CGP65" s="277" t="s">
        <v>1072</v>
      </c>
      <c r="CGQ65" s="277" t="s">
        <v>1072</v>
      </c>
      <c r="CGR65" s="277" t="s">
        <v>1072</v>
      </c>
      <c r="CGS65" s="277" t="s">
        <v>1072</v>
      </c>
      <c r="CGT65" s="277" t="s">
        <v>1072</v>
      </c>
      <c r="CGU65" s="277" t="s">
        <v>1072</v>
      </c>
      <c r="CGV65" s="277" t="s">
        <v>1072</v>
      </c>
      <c r="CGW65" s="277" t="s">
        <v>1072</v>
      </c>
      <c r="CGX65" s="277" t="s">
        <v>1072</v>
      </c>
      <c r="CGY65" s="277" t="s">
        <v>1072</v>
      </c>
      <c r="CGZ65" s="277" t="s">
        <v>1072</v>
      </c>
      <c r="CHA65" s="277" t="s">
        <v>1072</v>
      </c>
      <c r="CHB65" s="277" t="s">
        <v>1072</v>
      </c>
      <c r="CHC65" s="277" t="s">
        <v>1072</v>
      </c>
      <c r="CHD65" s="277" t="s">
        <v>1072</v>
      </c>
      <c r="CHE65" s="277" t="s">
        <v>1072</v>
      </c>
      <c r="CHF65" s="277" t="s">
        <v>1072</v>
      </c>
      <c r="CHG65" s="277" t="s">
        <v>1072</v>
      </c>
      <c r="CHH65" s="277" t="s">
        <v>1072</v>
      </c>
      <c r="CHI65" s="277" t="s">
        <v>1072</v>
      </c>
      <c r="CHJ65" s="277" t="s">
        <v>1072</v>
      </c>
      <c r="CHK65" s="277" t="s">
        <v>1072</v>
      </c>
      <c r="CHL65" s="277" t="s">
        <v>1072</v>
      </c>
      <c r="CHM65" s="277" t="s">
        <v>1072</v>
      </c>
      <c r="CHN65" s="277" t="s">
        <v>1072</v>
      </c>
      <c r="CHO65" s="277" t="s">
        <v>1072</v>
      </c>
      <c r="CHP65" s="277" t="s">
        <v>1072</v>
      </c>
      <c r="CHQ65" s="277" t="s">
        <v>1072</v>
      </c>
      <c r="CHR65" s="277" t="s">
        <v>1072</v>
      </c>
      <c r="CHS65" s="277" t="s">
        <v>1072</v>
      </c>
      <c r="CHT65" s="277" t="s">
        <v>1072</v>
      </c>
      <c r="CHU65" s="277" t="s">
        <v>1072</v>
      </c>
      <c r="CHV65" s="277" t="s">
        <v>1072</v>
      </c>
      <c r="CHW65" s="277" t="s">
        <v>1072</v>
      </c>
      <c r="CHX65" s="277" t="s">
        <v>1072</v>
      </c>
      <c r="CHY65" s="277" t="s">
        <v>1072</v>
      </c>
      <c r="CHZ65" s="277" t="s">
        <v>1072</v>
      </c>
      <c r="CIA65" s="277" t="s">
        <v>1072</v>
      </c>
      <c r="CIB65" s="277" t="s">
        <v>1072</v>
      </c>
      <c r="CIC65" s="277" t="s">
        <v>1072</v>
      </c>
      <c r="CID65" s="277" t="s">
        <v>1072</v>
      </c>
      <c r="CIE65" s="277" t="s">
        <v>1072</v>
      </c>
      <c r="CIF65" s="277" t="s">
        <v>1072</v>
      </c>
      <c r="CIG65" s="277" t="s">
        <v>1072</v>
      </c>
      <c r="CIH65" s="277" t="s">
        <v>1072</v>
      </c>
      <c r="CII65" s="277" t="s">
        <v>1072</v>
      </c>
      <c r="CIJ65" s="277" t="s">
        <v>1072</v>
      </c>
      <c r="CIK65" s="277" t="s">
        <v>1072</v>
      </c>
      <c r="CIL65" s="277" t="s">
        <v>1072</v>
      </c>
      <c r="CIM65" s="277" t="s">
        <v>1072</v>
      </c>
      <c r="CIN65" s="277" t="s">
        <v>1072</v>
      </c>
      <c r="CIO65" s="277" t="s">
        <v>1072</v>
      </c>
      <c r="CIP65" s="277" t="s">
        <v>1072</v>
      </c>
      <c r="CIQ65" s="277" t="s">
        <v>1072</v>
      </c>
      <c r="CIR65" s="277" t="s">
        <v>1072</v>
      </c>
      <c r="CIS65" s="277" t="s">
        <v>1072</v>
      </c>
      <c r="CIT65" s="277" t="s">
        <v>1072</v>
      </c>
      <c r="CIU65" s="277" t="s">
        <v>1072</v>
      </c>
      <c r="CIV65" s="277" t="s">
        <v>1072</v>
      </c>
      <c r="CIW65" s="277" t="s">
        <v>1072</v>
      </c>
      <c r="CIX65" s="277" t="s">
        <v>1072</v>
      </c>
      <c r="CIY65" s="277" t="s">
        <v>1072</v>
      </c>
      <c r="CIZ65" s="277" t="s">
        <v>1072</v>
      </c>
      <c r="CJA65" s="277" t="s">
        <v>1072</v>
      </c>
      <c r="CJB65" s="277" t="s">
        <v>1072</v>
      </c>
      <c r="CJC65" s="277" t="s">
        <v>1072</v>
      </c>
      <c r="CJD65" s="277" t="s">
        <v>1072</v>
      </c>
      <c r="CJE65" s="277" t="s">
        <v>1072</v>
      </c>
      <c r="CJF65" s="277" t="s">
        <v>1072</v>
      </c>
      <c r="CJG65" s="277" t="s">
        <v>1072</v>
      </c>
      <c r="CJH65" s="277" t="s">
        <v>1072</v>
      </c>
      <c r="CJI65" s="277" t="s">
        <v>1072</v>
      </c>
      <c r="CJJ65" s="277" t="s">
        <v>1072</v>
      </c>
      <c r="CJK65" s="277" t="s">
        <v>1072</v>
      </c>
      <c r="CJL65" s="277" t="s">
        <v>1072</v>
      </c>
      <c r="CJM65" s="277" t="s">
        <v>1072</v>
      </c>
      <c r="CJN65" s="277" t="s">
        <v>1072</v>
      </c>
      <c r="CJO65" s="277" t="s">
        <v>1072</v>
      </c>
      <c r="CJP65" s="277" t="s">
        <v>1072</v>
      </c>
      <c r="CJQ65" s="277" t="s">
        <v>1072</v>
      </c>
      <c r="CJR65" s="277" t="s">
        <v>1072</v>
      </c>
      <c r="CJS65" s="277" t="s">
        <v>1072</v>
      </c>
      <c r="CJT65" s="277" t="s">
        <v>1072</v>
      </c>
      <c r="CJU65" s="277" t="s">
        <v>1072</v>
      </c>
      <c r="CJV65" s="277" t="s">
        <v>1072</v>
      </c>
      <c r="CJW65" s="277" t="s">
        <v>1072</v>
      </c>
      <c r="CJX65" s="277" t="s">
        <v>1072</v>
      </c>
      <c r="CJY65" s="277" t="s">
        <v>1072</v>
      </c>
      <c r="CJZ65" s="277" t="s">
        <v>1072</v>
      </c>
      <c r="CKA65" s="277" t="s">
        <v>1072</v>
      </c>
      <c r="CKB65" s="277" t="s">
        <v>1072</v>
      </c>
      <c r="CKC65" s="277" t="s">
        <v>1072</v>
      </c>
      <c r="CKD65" s="277" t="s">
        <v>1072</v>
      </c>
      <c r="CKE65" s="277" t="s">
        <v>1072</v>
      </c>
      <c r="CKF65" s="277" t="s">
        <v>1072</v>
      </c>
      <c r="CKG65" s="277" t="s">
        <v>1072</v>
      </c>
      <c r="CKH65" s="277" t="s">
        <v>1072</v>
      </c>
      <c r="CKI65" s="277" t="s">
        <v>1072</v>
      </c>
      <c r="CKJ65" s="277" t="s">
        <v>1072</v>
      </c>
      <c r="CKK65" s="277" t="s">
        <v>1072</v>
      </c>
      <c r="CKL65" s="277" t="s">
        <v>1072</v>
      </c>
      <c r="CKM65" s="277" t="s">
        <v>1072</v>
      </c>
      <c r="CKN65" s="277" t="s">
        <v>1072</v>
      </c>
      <c r="CKO65" s="277" t="s">
        <v>1072</v>
      </c>
      <c r="CKP65" s="277" t="s">
        <v>1072</v>
      </c>
      <c r="CKQ65" s="277" t="s">
        <v>1072</v>
      </c>
      <c r="CKR65" s="277" t="s">
        <v>1072</v>
      </c>
      <c r="CKS65" s="277" t="s">
        <v>1072</v>
      </c>
      <c r="CKT65" s="277" t="s">
        <v>1072</v>
      </c>
      <c r="CKU65" s="277" t="s">
        <v>1072</v>
      </c>
      <c r="CKV65" s="277" t="s">
        <v>1072</v>
      </c>
      <c r="CKW65" s="277" t="s">
        <v>1072</v>
      </c>
      <c r="CKX65" s="277" t="s">
        <v>1072</v>
      </c>
      <c r="CKY65" s="277" t="s">
        <v>1072</v>
      </c>
      <c r="CKZ65" s="277" t="s">
        <v>1072</v>
      </c>
      <c r="CLA65" s="277" t="s">
        <v>1072</v>
      </c>
      <c r="CLB65" s="277" t="s">
        <v>1072</v>
      </c>
      <c r="CLC65" s="277" t="s">
        <v>1072</v>
      </c>
      <c r="CLD65" s="277" t="s">
        <v>1072</v>
      </c>
      <c r="CLE65" s="277" t="s">
        <v>1072</v>
      </c>
      <c r="CLF65" s="277" t="s">
        <v>1072</v>
      </c>
      <c r="CLG65" s="277" t="s">
        <v>1072</v>
      </c>
      <c r="CLH65" s="277" t="s">
        <v>1072</v>
      </c>
      <c r="CLI65" s="277" t="s">
        <v>1072</v>
      </c>
      <c r="CLJ65" s="277" t="s">
        <v>1072</v>
      </c>
      <c r="CLK65" s="277" t="s">
        <v>1072</v>
      </c>
      <c r="CLL65" s="277" t="s">
        <v>1072</v>
      </c>
      <c r="CLM65" s="277" t="s">
        <v>1072</v>
      </c>
      <c r="CLN65" s="277" t="s">
        <v>1072</v>
      </c>
      <c r="CLO65" s="277" t="s">
        <v>1072</v>
      </c>
      <c r="CLP65" s="277" t="s">
        <v>1072</v>
      </c>
      <c r="CLQ65" s="277" t="s">
        <v>1072</v>
      </c>
      <c r="CLR65" s="277" t="s">
        <v>1072</v>
      </c>
      <c r="CLS65" s="277" t="s">
        <v>1072</v>
      </c>
      <c r="CLT65" s="277" t="s">
        <v>1072</v>
      </c>
      <c r="CLU65" s="277" t="s">
        <v>1072</v>
      </c>
      <c r="CLV65" s="277" t="s">
        <v>1072</v>
      </c>
      <c r="CLW65" s="277" t="s">
        <v>1072</v>
      </c>
      <c r="CLX65" s="277" t="s">
        <v>1072</v>
      </c>
      <c r="CLY65" s="277" t="s">
        <v>1072</v>
      </c>
      <c r="CLZ65" s="277" t="s">
        <v>1072</v>
      </c>
      <c r="CMA65" s="277" t="s">
        <v>1072</v>
      </c>
      <c r="CMB65" s="277" t="s">
        <v>1072</v>
      </c>
      <c r="CMC65" s="277" t="s">
        <v>1072</v>
      </c>
      <c r="CMD65" s="277" t="s">
        <v>1072</v>
      </c>
      <c r="CME65" s="277" t="s">
        <v>1072</v>
      </c>
      <c r="CMF65" s="277" t="s">
        <v>1072</v>
      </c>
      <c r="CMG65" s="277" t="s">
        <v>1072</v>
      </c>
      <c r="CMH65" s="277" t="s">
        <v>1072</v>
      </c>
      <c r="CMI65" s="277" t="s">
        <v>1072</v>
      </c>
      <c r="CMJ65" s="277" t="s">
        <v>1072</v>
      </c>
      <c r="CMK65" s="277" t="s">
        <v>1072</v>
      </c>
      <c r="CML65" s="277" t="s">
        <v>1072</v>
      </c>
      <c r="CMM65" s="277" t="s">
        <v>1072</v>
      </c>
      <c r="CMN65" s="277" t="s">
        <v>1072</v>
      </c>
      <c r="CMO65" s="277" t="s">
        <v>1072</v>
      </c>
      <c r="CMP65" s="277" t="s">
        <v>1072</v>
      </c>
      <c r="CMQ65" s="277" t="s">
        <v>1072</v>
      </c>
      <c r="CMR65" s="277" t="s">
        <v>1072</v>
      </c>
      <c r="CMS65" s="277" t="s">
        <v>1072</v>
      </c>
      <c r="CMT65" s="277" t="s">
        <v>1072</v>
      </c>
      <c r="CMU65" s="277" t="s">
        <v>1072</v>
      </c>
      <c r="CMV65" s="277" t="s">
        <v>1072</v>
      </c>
      <c r="CMW65" s="277" t="s">
        <v>1072</v>
      </c>
      <c r="CMX65" s="277" t="s">
        <v>1072</v>
      </c>
      <c r="CMY65" s="277" t="s">
        <v>1072</v>
      </c>
      <c r="CMZ65" s="277" t="s">
        <v>1072</v>
      </c>
      <c r="CNA65" s="277" t="s">
        <v>1072</v>
      </c>
      <c r="CNB65" s="277" t="s">
        <v>1072</v>
      </c>
      <c r="CNC65" s="277" t="s">
        <v>1072</v>
      </c>
      <c r="CND65" s="277" t="s">
        <v>1072</v>
      </c>
      <c r="CNE65" s="277" t="s">
        <v>1072</v>
      </c>
      <c r="CNF65" s="277" t="s">
        <v>1072</v>
      </c>
      <c r="CNG65" s="277" t="s">
        <v>1072</v>
      </c>
      <c r="CNH65" s="277" t="s">
        <v>1072</v>
      </c>
      <c r="CNI65" s="277" t="s">
        <v>1072</v>
      </c>
      <c r="CNJ65" s="277" t="s">
        <v>1072</v>
      </c>
      <c r="CNK65" s="277" t="s">
        <v>1072</v>
      </c>
      <c r="CNL65" s="277" t="s">
        <v>1072</v>
      </c>
      <c r="CNM65" s="277" t="s">
        <v>1072</v>
      </c>
      <c r="CNN65" s="277" t="s">
        <v>1072</v>
      </c>
      <c r="CNO65" s="277" t="s">
        <v>1072</v>
      </c>
      <c r="CNP65" s="277" t="s">
        <v>1072</v>
      </c>
      <c r="CNQ65" s="277" t="s">
        <v>1072</v>
      </c>
      <c r="CNR65" s="277" t="s">
        <v>1072</v>
      </c>
      <c r="CNS65" s="277" t="s">
        <v>1072</v>
      </c>
      <c r="CNT65" s="277" t="s">
        <v>1072</v>
      </c>
      <c r="CNU65" s="277" t="s">
        <v>1072</v>
      </c>
      <c r="CNV65" s="277" t="s">
        <v>1072</v>
      </c>
      <c r="CNW65" s="277" t="s">
        <v>1072</v>
      </c>
      <c r="CNX65" s="277" t="s">
        <v>1072</v>
      </c>
      <c r="CNY65" s="277" t="s">
        <v>1072</v>
      </c>
      <c r="CNZ65" s="277" t="s">
        <v>1072</v>
      </c>
      <c r="COA65" s="277" t="s">
        <v>1072</v>
      </c>
      <c r="COB65" s="277" t="s">
        <v>1072</v>
      </c>
      <c r="COC65" s="277" t="s">
        <v>1072</v>
      </c>
      <c r="COD65" s="277" t="s">
        <v>1072</v>
      </c>
      <c r="COE65" s="277" t="s">
        <v>1072</v>
      </c>
      <c r="COF65" s="277" t="s">
        <v>1072</v>
      </c>
      <c r="COG65" s="277" t="s">
        <v>1072</v>
      </c>
      <c r="COH65" s="277" t="s">
        <v>1072</v>
      </c>
      <c r="COI65" s="277" t="s">
        <v>1072</v>
      </c>
      <c r="COJ65" s="277" t="s">
        <v>1072</v>
      </c>
      <c r="COK65" s="277" t="s">
        <v>1072</v>
      </c>
      <c r="COL65" s="277" t="s">
        <v>1072</v>
      </c>
      <c r="COM65" s="277" t="s">
        <v>1072</v>
      </c>
      <c r="CON65" s="277" t="s">
        <v>1072</v>
      </c>
      <c r="COO65" s="277" t="s">
        <v>1072</v>
      </c>
      <c r="COP65" s="277" t="s">
        <v>1072</v>
      </c>
      <c r="COQ65" s="277" t="s">
        <v>1072</v>
      </c>
      <c r="COR65" s="277" t="s">
        <v>1072</v>
      </c>
      <c r="COS65" s="277" t="s">
        <v>1072</v>
      </c>
      <c r="COT65" s="277" t="s">
        <v>1072</v>
      </c>
      <c r="COU65" s="277" t="s">
        <v>1072</v>
      </c>
      <c r="COV65" s="277" t="s">
        <v>1072</v>
      </c>
      <c r="COW65" s="277" t="s">
        <v>1072</v>
      </c>
      <c r="COX65" s="277" t="s">
        <v>1072</v>
      </c>
      <c r="COY65" s="277" t="s">
        <v>1072</v>
      </c>
      <c r="COZ65" s="277" t="s">
        <v>1072</v>
      </c>
      <c r="CPA65" s="277" t="s">
        <v>1072</v>
      </c>
      <c r="CPB65" s="277" t="s">
        <v>1072</v>
      </c>
      <c r="CPC65" s="277" t="s">
        <v>1072</v>
      </c>
      <c r="CPD65" s="277" t="s">
        <v>1072</v>
      </c>
      <c r="CPE65" s="277" t="s">
        <v>1072</v>
      </c>
      <c r="CPF65" s="277" t="s">
        <v>1072</v>
      </c>
      <c r="CPG65" s="277" t="s">
        <v>1072</v>
      </c>
      <c r="CPH65" s="277" t="s">
        <v>1072</v>
      </c>
      <c r="CPI65" s="277" t="s">
        <v>1072</v>
      </c>
      <c r="CPJ65" s="277" t="s">
        <v>1072</v>
      </c>
      <c r="CPK65" s="277" t="s">
        <v>1072</v>
      </c>
      <c r="CPL65" s="277" t="s">
        <v>1072</v>
      </c>
      <c r="CPM65" s="277" t="s">
        <v>1072</v>
      </c>
      <c r="CPN65" s="277" t="s">
        <v>1072</v>
      </c>
      <c r="CPO65" s="277" t="s">
        <v>1072</v>
      </c>
      <c r="CPP65" s="277" t="s">
        <v>1072</v>
      </c>
      <c r="CPQ65" s="277" t="s">
        <v>1072</v>
      </c>
      <c r="CPR65" s="277" t="s">
        <v>1072</v>
      </c>
      <c r="CPS65" s="277" t="s">
        <v>1072</v>
      </c>
      <c r="CPT65" s="277" t="s">
        <v>1072</v>
      </c>
      <c r="CPU65" s="277" t="s">
        <v>1072</v>
      </c>
      <c r="CPV65" s="277" t="s">
        <v>1072</v>
      </c>
      <c r="CPW65" s="277" t="s">
        <v>1072</v>
      </c>
      <c r="CPX65" s="277" t="s">
        <v>1072</v>
      </c>
      <c r="CPY65" s="277" t="s">
        <v>1072</v>
      </c>
      <c r="CPZ65" s="277" t="s">
        <v>1072</v>
      </c>
      <c r="CQA65" s="277" t="s">
        <v>1072</v>
      </c>
      <c r="CQB65" s="277" t="s">
        <v>1072</v>
      </c>
      <c r="CQC65" s="277" t="s">
        <v>1072</v>
      </c>
      <c r="CQD65" s="277" t="s">
        <v>1072</v>
      </c>
      <c r="CQE65" s="277" t="s">
        <v>1072</v>
      </c>
      <c r="CQF65" s="277" t="s">
        <v>1072</v>
      </c>
      <c r="CQG65" s="277" t="s">
        <v>1072</v>
      </c>
      <c r="CQH65" s="277" t="s">
        <v>1072</v>
      </c>
      <c r="CQI65" s="277" t="s">
        <v>1072</v>
      </c>
      <c r="CQJ65" s="277" t="s">
        <v>1072</v>
      </c>
      <c r="CQK65" s="277" t="s">
        <v>1072</v>
      </c>
      <c r="CQL65" s="277" t="s">
        <v>1072</v>
      </c>
      <c r="CQM65" s="277" t="s">
        <v>1072</v>
      </c>
      <c r="CQN65" s="277" t="s">
        <v>1072</v>
      </c>
      <c r="CQO65" s="277" t="s">
        <v>1072</v>
      </c>
      <c r="CQP65" s="277" t="s">
        <v>1072</v>
      </c>
      <c r="CQQ65" s="277" t="s">
        <v>1072</v>
      </c>
      <c r="CQR65" s="277" t="s">
        <v>1072</v>
      </c>
      <c r="CQS65" s="277" t="s">
        <v>1072</v>
      </c>
      <c r="CQT65" s="277" t="s">
        <v>1072</v>
      </c>
      <c r="CQU65" s="277" t="s">
        <v>1072</v>
      </c>
      <c r="CQV65" s="277" t="s">
        <v>1072</v>
      </c>
      <c r="CQW65" s="277" t="s">
        <v>1072</v>
      </c>
      <c r="CQX65" s="277" t="s">
        <v>1072</v>
      </c>
      <c r="CQY65" s="277" t="s">
        <v>1072</v>
      </c>
      <c r="CQZ65" s="277" t="s">
        <v>1072</v>
      </c>
      <c r="CRA65" s="277" t="s">
        <v>1072</v>
      </c>
      <c r="CRB65" s="277" t="s">
        <v>1072</v>
      </c>
      <c r="CRC65" s="277" t="s">
        <v>1072</v>
      </c>
      <c r="CRD65" s="277" t="s">
        <v>1072</v>
      </c>
      <c r="CRE65" s="277" t="s">
        <v>1072</v>
      </c>
      <c r="CRF65" s="277" t="s">
        <v>1072</v>
      </c>
      <c r="CRG65" s="277" t="s">
        <v>1072</v>
      </c>
      <c r="CRH65" s="277" t="s">
        <v>1072</v>
      </c>
      <c r="CRI65" s="277" t="s">
        <v>1072</v>
      </c>
      <c r="CRJ65" s="277" t="s">
        <v>1072</v>
      </c>
      <c r="CRK65" s="277" t="s">
        <v>1072</v>
      </c>
      <c r="CRL65" s="277" t="s">
        <v>1072</v>
      </c>
      <c r="CRM65" s="277" t="s">
        <v>1072</v>
      </c>
      <c r="CRN65" s="277" t="s">
        <v>1072</v>
      </c>
      <c r="CRO65" s="277" t="s">
        <v>1072</v>
      </c>
      <c r="CRP65" s="277" t="s">
        <v>1072</v>
      </c>
      <c r="CRQ65" s="277" t="s">
        <v>1072</v>
      </c>
      <c r="CRR65" s="277" t="s">
        <v>1072</v>
      </c>
      <c r="CRS65" s="277" t="s">
        <v>1072</v>
      </c>
      <c r="CRT65" s="277" t="s">
        <v>1072</v>
      </c>
      <c r="CRU65" s="277" t="s">
        <v>1072</v>
      </c>
      <c r="CRV65" s="277" t="s">
        <v>1072</v>
      </c>
      <c r="CRW65" s="277" t="s">
        <v>1072</v>
      </c>
      <c r="CRX65" s="277" t="s">
        <v>1072</v>
      </c>
      <c r="CRY65" s="277" t="s">
        <v>1072</v>
      </c>
      <c r="CRZ65" s="277" t="s">
        <v>1072</v>
      </c>
      <c r="CSA65" s="277" t="s">
        <v>1072</v>
      </c>
      <c r="CSB65" s="277" t="s">
        <v>1072</v>
      </c>
      <c r="CSC65" s="277" t="s">
        <v>1072</v>
      </c>
      <c r="CSD65" s="277" t="s">
        <v>1072</v>
      </c>
      <c r="CSE65" s="277" t="s">
        <v>1072</v>
      </c>
      <c r="CSF65" s="277" t="s">
        <v>1072</v>
      </c>
      <c r="CSG65" s="277" t="s">
        <v>1072</v>
      </c>
      <c r="CSH65" s="277" t="s">
        <v>1072</v>
      </c>
      <c r="CSI65" s="277" t="s">
        <v>1072</v>
      </c>
      <c r="CSJ65" s="277" t="s">
        <v>1072</v>
      </c>
      <c r="CSK65" s="277" t="s">
        <v>1072</v>
      </c>
      <c r="CSL65" s="277" t="s">
        <v>1072</v>
      </c>
      <c r="CSM65" s="277" t="s">
        <v>1072</v>
      </c>
      <c r="CSN65" s="277" t="s">
        <v>1072</v>
      </c>
      <c r="CSO65" s="277" t="s">
        <v>1072</v>
      </c>
      <c r="CSP65" s="277" t="s">
        <v>1072</v>
      </c>
      <c r="CSQ65" s="277" t="s">
        <v>1072</v>
      </c>
      <c r="CSR65" s="277" t="s">
        <v>1072</v>
      </c>
      <c r="CSS65" s="277" t="s">
        <v>1072</v>
      </c>
      <c r="CST65" s="277" t="s">
        <v>1072</v>
      </c>
      <c r="CSU65" s="277" t="s">
        <v>1072</v>
      </c>
      <c r="CSV65" s="277" t="s">
        <v>1072</v>
      </c>
      <c r="CSW65" s="277" t="s">
        <v>1072</v>
      </c>
      <c r="CSX65" s="277" t="s">
        <v>1072</v>
      </c>
      <c r="CSY65" s="277" t="s">
        <v>1072</v>
      </c>
      <c r="CSZ65" s="277" t="s">
        <v>1072</v>
      </c>
      <c r="CTA65" s="277" t="s">
        <v>1072</v>
      </c>
      <c r="CTB65" s="277" t="s">
        <v>1072</v>
      </c>
      <c r="CTC65" s="277" t="s">
        <v>1072</v>
      </c>
      <c r="CTD65" s="277" t="s">
        <v>1072</v>
      </c>
      <c r="CTE65" s="277" t="s">
        <v>1072</v>
      </c>
      <c r="CTF65" s="277" t="s">
        <v>1072</v>
      </c>
      <c r="CTG65" s="277" t="s">
        <v>1072</v>
      </c>
      <c r="CTH65" s="277" t="s">
        <v>1072</v>
      </c>
      <c r="CTI65" s="277" t="s">
        <v>1072</v>
      </c>
      <c r="CTJ65" s="277" t="s">
        <v>1072</v>
      </c>
      <c r="CTK65" s="277" t="s">
        <v>1072</v>
      </c>
      <c r="CTL65" s="277" t="s">
        <v>1072</v>
      </c>
      <c r="CTM65" s="277" t="s">
        <v>1072</v>
      </c>
      <c r="CTN65" s="277" t="s">
        <v>1072</v>
      </c>
      <c r="CTO65" s="277" t="s">
        <v>1072</v>
      </c>
      <c r="CTP65" s="277" t="s">
        <v>1072</v>
      </c>
      <c r="CTQ65" s="277" t="s">
        <v>1072</v>
      </c>
      <c r="CTR65" s="277" t="s">
        <v>1072</v>
      </c>
      <c r="CTS65" s="277" t="s">
        <v>1072</v>
      </c>
      <c r="CTT65" s="277" t="s">
        <v>1072</v>
      </c>
      <c r="CTU65" s="277" t="s">
        <v>1072</v>
      </c>
      <c r="CTV65" s="277" t="s">
        <v>1072</v>
      </c>
      <c r="CTW65" s="277" t="s">
        <v>1072</v>
      </c>
      <c r="CTX65" s="277" t="s">
        <v>1072</v>
      </c>
      <c r="CTY65" s="277" t="s">
        <v>1072</v>
      </c>
      <c r="CTZ65" s="277" t="s">
        <v>1072</v>
      </c>
      <c r="CUA65" s="277" t="s">
        <v>1072</v>
      </c>
      <c r="CUB65" s="277" t="s">
        <v>1072</v>
      </c>
      <c r="CUC65" s="277" t="s">
        <v>1072</v>
      </c>
      <c r="CUD65" s="277" t="s">
        <v>1072</v>
      </c>
      <c r="CUE65" s="277" t="s">
        <v>1072</v>
      </c>
      <c r="CUF65" s="277" t="s">
        <v>1072</v>
      </c>
      <c r="CUG65" s="277" t="s">
        <v>1072</v>
      </c>
      <c r="CUH65" s="277" t="s">
        <v>1072</v>
      </c>
      <c r="CUI65" s="277" t="s">
        <v>1072</v>
      </c>
      <c r="CUJ65" s="277" t="s">
        <v>1072</v>
      </c>
      <c r="CUK65" s="277" t="s">
        <v>1072</v>
      </c>
      <c r="CUL65" s="277" t="s">
        <v>1072</v>
      </c>
      <c r="CUM65" s="277" t="s">
        <v>1072</v>
      </c>
      <c r="CUN65" s="277" t="s">
        <v>1072</v>
      </c>
      <c r="CUO65" s="277" t="s">
        <v>1072</v>
      </c>
      <c r="CUP65" s="277" t="s">
        <v>1072</v>
      </c>
      <c r="CUQ65" s="277" t="s">
        <v>1072</v>
      </c>
      <c r="CUR65" s="277" t="s">
        <v>1072</v>
      </c>
      <c r="CUS65" s="277" t="s">
        <v>1072</v>
      </c>
      <c r="CUT65" s="277" t="s">
        <v>1072</v>
      </c>
      <c r="CUU65" s="277" t="s">
        <v>1072</v>
      </c>
      <c r="CUV65" s="277" t="s">
        <v>1072</v>
      </c>
      <c r="CUW65" s="277" t="s">
        <v>1072</v>
      </c>
      <c r="CUX65" s="277" t="s">
        <v>1072</v>
      </c>
      <c r="CUY65" s="277" t="s">
        <v>1072</v>
      </c>
      <c r="CUZ65" s="277" t="s">
        <v>1072</v>
      </c>
      <c r="CVA65" s="277" t="s">
        <v>1072</v>
      </c>
      <c r="CVB65" s="277" t="s">
        <v>1072</v>
      </c>
      <c r="CVC65" s="277" t="s">
        <v>1072</v>
      </c>
      <c r="CVD65" s="277" t="s">
        <v>1072</v>
      </c>
      <c r="CVE65" s="277" t="s">
        <v>1072</v>
      </c>
      <c r="CVF65" s="277" t="s">
        <v>1072</v>
      </c>
      <c r="CVG65" s="277" t="s">
        <v>1072</v>
      </c>
      <c r="CVH65" s="277" t="s">
        <v>1072</v>
      </c>
      <c r="CVI65" s="277" t="s">
        <v>1072</v>
      </c>
      <c r="CVJ65" s="277" t="s">
        <v>1072</v>
      </c>
      <c r="CVK65" s="277" t="s">
        <v>1072</v>
      </c>
      <c r="CVL65" s="277" t="s">
        <v>1072</v>
      </c>
      <c r="CVM65" s="277" t="s">
        <v>1072</v>
      </c>
      <c r="CVN65" s="277" t="s">
        <v>1072</v>
      </c>
      <c r="CVO65" s="277" t="s">
        <v>1072</v>
      </c>
      <c r="CVP65" s="277" t="s">
        <v>1072</v>
      </c>
      <c r="CVQ65" s="277" t="s">
        <v>1072</v>
      </c>
      <c r="CVR65" s="277" t="s">
        <v>1072</v>
      </c>
      <c r="CVS65" s="277" t="s">
        <v>1072</v>
      </c>
      <c r="CVT65" s="277" t="s">
        <v>1072</v>
      </c>
      <c r="CVU65" s="277" t="s">
        <v>1072</v>
      </c>
      <c r="CVV65" s="277" t="s">
        <v>1072</v>
      </c>
      <c r="CVW65" s="277" t="s">
        <v>1072</v>
      </c>
      <c r="CVX65" s="277" t="s">
        <v>1072</v>
      </c>
      <c r="CVY65" s="277" t="s">
        <v>1072</v>
      </c>
      <c r="CVZ65" s="277" t="s">
        <v>1072</v>
      </c>
      <c r="CWA65" s="277" t="s">
        <v>1072</v>
      </c>
      <c r="CWB65" s="277" t="s">
        <v>1072</v>
      </c>
      <c r="CWC65" s="277" t="s">
        <v>1072</v>
      </c>
      <c r="CWD65" s="277" t="s">
        <v>1072</v>
      </c>
      <c r="CWE65" s="277" t="s">
        <v>1072</v>
      </c>
      <c r="CWF65" s="277" t="s">
        <v>1072</v>
      </c>
      <c r="CWG65" s="277" t="s">
        <v>1072</v>
      </c>
      <c r="CWH65" s="277" t="s">
        <v>1072</v>
      </c>
      <c r="CWI65" s="277" t="s">
        <v>1072</v>
      </c>
      <c r="CWJ65" s="277" t="s">
        <v>1072</v>
      </c>
      <c r="CWK65" s="277" t="s">
        <v>1072</v>
      </c>
      <c r="CWL65" s="277" t="s">
        <v>1072</v>
      </c>
      <c r="CWM65" s="277" t="s">
        <v>1072</v>
      </c>
      <c r="CWN65" s="277" t="s">
        <v>1072</v>
      </c>
      <c r="CWO65" s="277" t="s">
        <v>1072</v>
      </c>
      <c r="CWP65" s="277" t="s">
        <v>1072</v>
      </c>
      <c r="CWQ65" s="277" t="s">
        <v>1072</v>
      </c>
      <c r="CWR65" s="277" t="s">
        <v>1072</v>
      </c>
      <c r="CWS65" s="277" t="s">
        <v>1072</v>
      </c>
      <c r="CWT65" s="277" t="s">
        <v>1072</v>
      </c>
      <c r="CWU65" s="277" t="s">
        <v>1072</v>
      </c>
      <c r="CWV65" s="277" t="s">
        <v>1072</v>
      </c>
      <c r="CWW65" s="277" t="s">
        <v>1072</v>
      </c>
      <c r="CWX65" s="277" t="s">
        <v>1072</v>
      </c>
      <c r="CWY65" s="277" t="s">
        <v>1072</v>
      </c>
      <c r="CWZ65" s="277" t="s">
        <v>1072</v>
      </c>
      <c r="CXA65" s="277" t="s">
        <v>1072</v>
      </c>
      <c r="CXB65" s="277" t="s">
        <v>1072</v>
      </c>
      <c r="CXC65" s="277" t="s">
        <v>1072</v>
      </c>
      <c r="CXD65" s="277" t="s">
        <v>1072</v>
      </c>
      <c r="CXE65" s="277" t="s">
        <v>1072</v>
      </c>
      <c r="CXF65" s="277" t="s">
        <v>1072</v>
      </c>
      <c r="CXG65" s="277" t="s">
        <v>1072</v>
      </c>
      <c r="CXH65" s="277" t="s">
        <v>1072</v>
      </c>
      <c r="CXI65" s="277" t="s">
        <v>1072</v>
      </c>
      <c r="CXJ65" s="277" t="s">
        <v>1072</v>
      </c>
      <c r="CXK65" s="277" t="s">
        <v>1072</v>
      </c>
      <c r="CXL65" s="277" t="s">
        <v>1072</v>
      </c>
      <c r="CXM65" s="277" t="s">
        <v>1072</v>
      </c>
      <c r="CXN65" s="277" t="s">
        <v>1072</v>
      </c>
      <c r="CXO65" s="277" t="s">
        <v>1072</v>
      </c>
      <c r="CXP65" s="277" t="s">
        <v>1072</v>
      </c>
      <c r="CXQ65" s="277" t="s">
        <v>1072</v>
      </c>
      <c r="CXR65" s="277" t="s">
        <v>1072</v>
      </c>
      <c r="CXS65" s="277" t="s">
        <v>1072</v>
      </c>
      <c r="CXT65" s="277" t="s">
        <v>1072</v>
      </c>
      <c r="CXU65" s="277" t="s">
        <v>1072</v>
      </c>
      <c r="CXV65" s="277" t="s">
        <v>1072</v>
      </c>
      <c r="CXW65" s="277" t="s">
        <v>1072</v>
      </c>
      <c r="CXX65" s="277" t="s">
        <v>1072</v>
      </c>
      <c r="CXY65" s="277" t="s">
        <v>1072</v>
      </c>
      <c r="CXZ65" s="277" t="s">
        <v>1072</v>
      </c>
      <c r="CYA65" s="277" t="s">
        <v>1072</v>
      </c>
      <c r="CYB65" s="277" t="s">
        <v>1072</v>
      </c>
      <c r="CYC65" s="277" t="s">
        <v>1072</v>
      </c>
      <c r="CYD65" s="277" t="s">
        <v>1072</v>
      </c>
      <c r="CYE65" s="277" t="s">
        <v>1072</v>
      </c>
      <c r="CYF65" s="277" t="s">
        <v>1072</v>
      </c>
      <c r="CYG65" s="277" t="s">
        <v>1072</v>
      </c>
      <c r="CYH65" s="277" t="s">
        <v>1072</v>
      </c>
      <c r="CYI65" s="277" t="s">
        <v>1072</v>
      </c>
      <c r="CYJ65" s="277" t="s">
        <v>1072</v>
      </c>
      <c r="CYK65" s="277" t="s">
        <v>1072</v>
      </c>
      <c r="CYL65" s="277" t="s">
        <v>1072</v>
      </c>
      <c r="CYM65" s="277" t="s">
        <v>1072</v>
      </c>
      <c r="CYN65" s="277" t="s">
        <v>1072</v>
      </c>
      <c r="CYO65" s="277" t="s">
        <v>1072</v>
      </c>
      <c r="CYP65" s="277" t="s">
        <v>1072</v>
      </c>
      <c r="CYQ65" s="277" t="s">
        <v>1072</v>
      </c>
      <c r="CYR65" s="277" t="s">
        <v>1072</v>
      </c>
      <c r="CYS65" s="277" t="s">
        <v>1072</v>
      </c>
      <c r="CYT65" s="277" t="s">
        <v>1072</v>
      </c>
      <c r="CYU65" s="277" t="s">
        <v>1072</v>
      </c>
      <c r="CYV65" s="277" t="s">
        <v>1072</v>
      </c>
      <c r="CYW65" s="277" t="s">
        <v>1072</v>
      </c>
      <c r="CYX65" s="277" t="s">
        <v>1072</v>
      </c>
      <c r="CYY65" s="277" t="s">
        <v>1072</v>
      </c>
      <c r="CYZ65" s="277" t="s">
        <v>1072</v>
      </c>
      <c r="CZA65" s="277" t="s">
        <v>1072</v>
      </c>
      <c r="CZB65" s="277" t="s">
        <v>1072</v>
      </c>
      <c r="CZC65" s="277" t="s">
        <v>1072</v>
      </c>
      <c r="CZD65" s="277" t="s">
        <v>1072</v>
      </c>
      <c r="CZE65" s="277" t="s">
        <v>1072</v>
      </c>
      <c r="CZF65" s="277" t="s">
        <v>1072</v>
      </c>
      <c r="CZG65" s="277" t="s">
        <v>1072</v>
      </c>
      <c r="CZH65" s="277" t="s">
        <v>1072</v>
      </c>
      <c r="CZI65" s="277" t="s">
        <v>1072</v>
      </c>
      <c r="CZJ65" s="277" t="s">
        <v>1072</v>
      </c>
      <c r="CZK65" s="277" t="s">
        <v>1072</v>
      </c>
      <c r="CZL65" s="277" t="s">
        <v>1072</v>
      </c>
      <c r="CZM65" s="277" t="s">
        <v>1072</v>
      </c>
      <c r="CZN65" s="277" t="s">
        <v>1072</v>
      </c>
      <c r="CZO65" s="277" t="s">
        <v>1072</v>
      </c>
      <c r="CZP65" s="277" t="s">
        <v>1072</v>
      </c>
      <c r="CZQ65" s="277" t="s">
        <v>1072</v>
      </c>
      <c r="CZR65" s="277" t="s">
        <v>1072</v>
      </c>
      <c r="CZS65" s="277" t="s">
        <v>1072</v>
      </c>
      <c r="CZT65" s="277" t="s">
        <v>1072</v>
      </c>
      <c r="CZU65" s="277" t="s">
        <v>1072</v>
      </c>
      <c r="CZV65" s="277" t="s">
        <v>1072</v>
      </c>
      <c r="CZW65" s="277" t="s">
        <v>1072</v>
      </c>
      <c r="CZX65" s="277" t="s">
        <v>1072</v>
      </c>
      <c r="CZY65" s="277" t="s">
        <v>1072</v>
      </c>
      <c r="CZZ65" s="277" t="s">
        <v>1072</v>
      </c>
      <c r="DAA65" s="277" t="s">
        <v>1072</v>
      </c>
      <c r="DAB65" s="277" t="s">
        <v>1072</v>
      </c>
      <c r="DAC65" s="277" t="s">
        <v>1072</v>
      </c>
      <c r="DAD65" s="277" t="s">
        <v>1072</v>
      </c>
      <c r="DAE65" s="277" t="s">
        <v>1072</v>
      </c>
      <c r="DAF65" s="277" t="s">
        <v>1072</v>
      </c>
      <c r="DAG65" s="277" t="s">
        <v>1072</v>
      </c>
      <c r="DAH65" s="277" t="s">
        <v>1072</v>
      </c>
      <c r="DAI65" s="277" t="s">
        <v>1072</v>
      </c>
      <c r="DAJ65" s="277" t="s">
        <v>1072</v>
      </c>
      <c r="DAK65" s="277" t="s">
        <v>1072</v>
      </c>
      <c r="DAL65" s="277" t="s">
        <v>1072</v>
      </c>
      <c r="DAM65" s="277" t="s">
        <v>1072</v>
      </c>
      <c r="DAN65" s="277" t="s">
        <v>1072</v>
      </c>
      <c r="DAO65" s="277" t="s">
        <v>1072</v>
      </c>
      <c r="DAP65" s="277" t="s">
        <v>1072</v>
      </c>
      <c r="DAQ65" s="277" t="s">
        <v>1072</v>
      </c>
      <c r="DAR65" s="277" t="s">
        <v>1072</v>
      </c>
      <c r="DAS65" s="277" t="s">
        <v>1072</v>
      </c>
      <c r="DAT65" s="277" t="s">
        <v>1072</v>
      </c>
      <c r="DAU65" s="277" t="s">
        <v>1072</v>
      </c>
      <c r="DAV65" s="277" t="s">
        <v>1072</v>
      </c>
      <c r="DAW65" s="277" t="s">
        <v>1072</v>
      </c>
      <c r="DAX65" s="277" t="s">
        <v>1072</v>
      </c>
      <c r="DAY65" s="277" t="s">
        <v>1072</v>
      </c>
      <c r="DAZ65" s="277" t="s">
        <v>1072</v>
      </c>
      <c r="DBA65" s="277" t="s">
        <v>1072</v>
      </c>
      <c r="DBB65" s="277" t="s">
        <v>1072</v>
      </c>
      <c r="DBC65" s="277" t="s">
        <v>1072</v>
      </c>
      <c r="DBD65" s="277" t="s">
        <v>1072</v>
      </c>
      <c r="DBE65" s="277" t="s">
        <v>1072</v>
      </c>
      <c r="DBF65" s="277" t="s">
        <v>1072</v>
      </c>
      <c r="DBG65" s="277" t="s">
        <v>1072</v>
      </c>
      <c r="DBH65" s="277" t="s">
        <v>1072</v>
      </c>
      <c r="DBI65" s="277" t="s">
        <v>1072</v>
      </c>
      <c r="DBJ65" s="277" t="s">
        <v>1072</v>
      </c>
      <c r="DBK65" s="277" t="s">
        <v>1072</v>
      </c>
      <c r="DBL65" s="277" t="s">
        <v>1072</v>
      </c>
      <c r="DBM65" s="277" t="s">
        <v>1072</v>
      </c>
      <c r="DBN65" s="277" t="s">
        <v>1072</v>
      </c>
      <c r="DBO65" s="277" t="s">
        <v>1072</v>
      </c>
      <c r="DBP65" s="277" t="s">
        <v>1072</v>
      </c>
      <c r="DBQ65" s="277" t="s">
        <v>1072</v>
      </c>
      <c r="DBR65" s="277" t="s">
        <v>1072</v>
      </c>
      <c r="DBS65" s="277" t="s">
        <v>1072</v>
      </c>
      <c r="DBT65" s="277" t="s">
        <v>1072</v>
      </c>
      <c r="DBU65" s="277" t="s">
        <v>1072</v>
      </c>
      <c r="DBV65" s="277" t="s">
        <v>1072</v>
      </c>
      <c r="DBW65" s="277" t="s">
        <v>1072</v>
      </c>
      <c r="DBX65" s="277" t="s">
        <v>1072</v>
      </c>
      <c r="DBY65" s="277" t="s">
        <v>1072</v>
      </c>
      <c r="DBZ65" s="277" t="s">
        <v>1072</v>
      </c>
      <c r="DCA65" s="277" t="s">
        <v>1072</v>
      </c>
      <c r="DCB65" s="277" t="s">
        <v>1072</v>
      </c>
      <c r="DCC65" s="277" t="s">
        <v>1072</v>
      </c>
      <c r="DCD65" s="277" t="s">
        <v>1072</v>
      </c>
      <c r="DCE65" s="277" t="s">
        <v>1072</v>
      </c>
      <c r="DCF65" s="277" t="s">
        <v>1072</v>
      </c>
      <c r="DCG65" s="277" t="s">
        <v>1072</v>
      </c>
      <c r="DCH65" s="277" t="s">
        <v>1072</v>
      </c>
      <c r="DCI65" s="277" t="s">
        <v>1072</v>
      </c>
      <c r="DCJ65" s="277" t="s">
        <v>1072</v>
      </c>
      <c r="DCK65" s="277" t="s">
        <v>1072</v>
      </c>
      <c r="DCL65" s="277" t="s">
        <v>1072</v>
      </c>
      <c r="DCM65" s="277" t="s">
        <v>1072</v>
      </c>
      <c r="DCN65" s="277" t="s">
        <v>1072</v>
      </c>
      <c r="DCO65" s="277" t="s">
        <v>1072</v>
      </c>
      <c r="DCP65" s="277" t="s">
        <v>1072</v>
      </c>
      <c r="DCQ65" s="277" t="s">
        <v>1072</v>
      </c>
      <c r="DCR65" s="277" t="s">
        <v>1072</v>
      </c>
      <c r="DCS65" s="277" t="s">
        <v>1072</v>
      </c>
      <c r="DCT65" s="277" t="s">
        <v>1072</v>
      </c>
      <c r="DCU65" s="277" t="s">
        <v>1072</v>
      </c>
      <c r="DCV65" s="277" t="s">
        <v>1072</v>
      </c>
      <c r="DCW65" s="277" t="s">
        <v>1072</v>
      </c>
      <c r="DCX65" s="277" t="s">
        <v>1072</v>
      </c>
      <c r="DCY65" s="277" t="s">
        <v>1072</v>
      </c>
      <c r="DCZ65" s="277" t="s">
        <v>1072</v>
      </c>
      <c r="DDA65" s="277" t="s">
        <v>1072</v>
      </c>
      <c r="DDB65" s="277" t="s">
        <v>1072</v>
      </c>
      <c r="DDC65" s="277" t="s">
        <v>1072</v>
      </c>
      <c r="DDD65" s="277" t="s">
        <v>1072</v>
      </c>
      <c r="DDE65" s="277" t="s">
        <v>1072</v>
      </c>
      <c r="DDF65" s="277" t="s">
        <v>1072</v>
      </c>
      <c r="DDG65" s="277" t="s">
        <v>1072</v>
      </c>
      <c r="DDH65" s="277" t="s">
        <v>1072</v>
      </c>
      <c r="DDI65" s="277" t="s">
        <v>1072</v>
      </c>
      <c r="DDJ65" s="277" t="s">
        <v>1072</v>
      </c>
      <c r="DDK65" s="277" t="s">
        <v>1072</v>
      </c>
      <c r="DDL65" s="277" t="s">
        <v>1072</v>
      </c>
      <c r="DDM65" s="277" t="s">
        <v>1072</v>
      </c>
      <c r="DDN65" s="277" t="s">
        <v>1072</v>
      </c>
      <c r="DDO65" s="277" t="s">
        <v>1072</v>
      </c>
      <c r="DDP65" s="277" t="s">
        <v>1072</v>
      </c>
      <c r="DDQ65" s="277" t="s">
        <v>1072</v>
      </c>
      <c r="DDR65" s="277" t="s">
        <v>1072</v>
      </c>
      <c r="DDS65" s="277" t="s">
        <v>1072</v>
      </c>
      <c r="DDT65" s="277" t="s">
        <v>1072</v>
      </c>
      <c r="DDU65" s="277" t="s">
        <v>1072</v>
      </c>
      <c r="DDV65" s="277" t="s">
        <v>1072</v>
      </c>
      <c r="DDW65" s="277" t="s">
        <v>1072</v>
      </c>
      <c r="DDX65" s="277" t="s">
        <v>1072</v>
      </c>
      <c r="DDY65" s="277" t="s">
        <v>1072</v>
      </c>
      <c r="DDZ65" s="277" t="s">
        <v>1072</v>
      </c>
      <c r="DEA65" s="277" t="s">
        <v>1072</v>
      </c>
      <c r="DEB65" s="277" t="s">
        <v>1072</v>
      </c>
      <c r="DEC65" s="277" t="s">
        <v>1072</v>
      </c>
      <c r="DED65" s="277" t="s">
        <v>1072</v>
      </c>
      <c r="DEE65" s="277" t="s">
        <v>1072</v>
      </c>
      <c r="DEF65" s="277" t="s">
        <v>1072</v>
      </c>
      <c r="DEG65" s="277" t="s">
        <v>1072</v>
      </c>
      <c r="DEH65" s="277" t="s">
        <v>1072</v>
      </c>
      <c r="DEI65" s="277" t="s">
        <v>1072</v>
      </c>
      <c r="DEJ65" s="277" t="s">
        <v>1072</v>
      </c>
      <c r="DEK65" s="277" t="s">
        <v>1072</v>
      </c>
      <c r="DEL65" s="277" t="s">
        <v>1072</v>
      </c>
      <c r="DEM65" s="277" t="s">
        <v>1072</v>
      </c>
      <c r="DEN65" s="277" t="s">
        <v>1072</v>
      </c>
      <c r="DEO65" s="277" t="s">
        <v>1072</v>
      </c>
      <c r="DEP65" s="277" t="s">
        <v>1072</v>
      </c>
      <c r="DEQ65" s="277" t="s">
        <v>1072</v>
      </c>
      <c r="DER65" s="277" t="s">
        <v>1072</v>
      </c>
      <c r="DES65" s="277" t="s">
        <v>1072</v>
      </c>
      <c r="DET65" s="277" t="s">
        <v>1072</v>
      </c>
      <c r="DEU65" s="277" t="s">
        <v>1072</v>
      </c>
      <c r="DEV65" s="277" t="s">
        <v>1072</v>
      </c>
      <c r="DEW65" s="277" t="s">
        <v>1072</v>
      </c>
      <c r="DEX65" s="277" t="s">
        <v>1072</v>
      </c>
      <c r="DEY65" s="277" t="s">
        <v>1072</v>
      </c>
      <c r="DEZ65" s="277" t="s">
        <v>1072</v>
      </c>
      <c r="DFA65" s="277" t="s">
        <v>1072</v>
      </c>
      <c r="DFB65" s="277" t="s">
        <v>1072</v>
      </c>
      <c r="DFC65" s="277" t="s">
        <v>1072</v>
      </c>
      <c r="DFD65" s="277" t="s">
        <v>1072</v>
      </c>
      <c r="DFE65" s="277" t="s">
        <v>1072</v>
      </c>
      <c r="DFF65" s="277" t="s">
        <v>1072</v>
      </c>
      <c r="DFG65" s="277" t="s">
        <v>1072</v>
      </c>
      <c r="DFH65" s="277" t="s">
        <v>1072</v>
      </c>
      <c r="DFI65" s="277" t="s">
        <v>1072</v>
      </c>
      <c r="DFJ65" s="277" t="s">
        <v>1072</v>
      </c>
      <c r="DFK65" s="277" t="s">
        <v>1072</v>
      </c>
      <c r="DFL65" s="277" t="s">
        <v>1072</v>
      </c>
      <c r="DFM65" s="277" t="s">
        <v>1072</v>
      </c>
      <c r="DFN65" s="277" t="s">
        <v>1072</v>
      </c>
      <c r="DFO65" s="277" t="s">
        <v>1072</v>
      </c>
      <c r="DFP65" s="277" t="s">
        <v>1072</v>
      </c>
      <c r="DFQ65" s="277" t="s">
        <v>1072</v>
      </c>
      <c r="DFR65" s="277" t="s">
        <v>1072</v>
      </c>
      <c r="DFS65" s="277" t="s">
        <v>1072</v>
      </c>
      <c r="DFT65" s="277" t="s">
        <v>1072</v>
      </c>
      <c r="DFU65" s="277" t="s">
        <v>1072</v>
      </c>
      <c r="DFV65" s="277" t="s">
        <v>1072</v>
      </c>
      <c r="DFW65" s="277" t="s">
        <v>1072</v>
      </c>
      <c r="DFX65" s="277" t="s">
        <v>1072</v>
      </c>
      <c r="DFY65" s="277" t="s">
        <v>1072</v>
      </c>
      <c r="DFZ65" s="277" t="s">
        <v>1072</v>
      </c>
      <c r="DGA65" s="277" t="s">
        <v>1072</v>
      </c>
      <c r="DGB65" s="277" t="s">
        <v>1072</v>
      </c>
      <c r="DGC65" s="277" t="s">
        <v>1072</v>
      </c>
      <c r="DGD65" s="277" t="s">
        <v>1072</v>
      </c>
      <c r="DGE65" s="277" t="s">
        <v>1072</v>
      </c>
      <c r="DGF65" s="277" t="s">
        <v>1072</v>
      </c>
      <c r="DGG65" s="277" t="s">
        <v>1072</v>
      </c>
      <c r="DGH65" s="277" t="s">
        <v>1072</v>
      </c>
      <c r="DGI65" s="277" t="s">
        <v>1072</v>
      </c>
      <c r="DGJ65" s="277" t="s">
        <v>1072</v>
      </c>
      <c r="DGK65" s="277" t="s">
        <v>1072</v>
      </c>
      <c r="DGL65" s="277" t="s">
        <v>1072</v>
      </c>
      <c r="DGM65" s="277" t="s">
        <v>1072</v>
      </c>
      <c r="DGN65" s="277" t="s">
        <v>1072</v>
      </c>
      <c r="DGO65" s="277" t="s">
        <v>1072</v>
      </c>
      <c r="DGP65" s="277" t="s">
        <v>1072</v>
      </c>
      <c r="DGQ65" s="277" t="s">
        <v>1072</v>
      </c>
      <c r="DGR65" s="277" t="s">
        <v>1072</v>
      </c>
      <c r="DGS65" s="277" t="s">
        <v>1072</v>
      </c>
      <c r="DGT65" s="277" t="s">
        <v>1072</v>
      </c>
      <c r="DGU65" s="277" t="s">
        <v>1072</v>
      </c>
      <c r="DGV65" s="277" t="s">
        <v>1072</v>
      </c>
      <c r="DGW65" s="277" t="s">
        <v>1072</v>
      </c>
      <c r="DGX65" s="277" t="s">
        <v>1072</v>
      </c>
      <c r="DGY65" s="277" t="s">
        <v>1072</v>
      </c>
      <c r="DGZ65" s="277" t="s">
        <v>1072</v>
      </c>
      <c r="DHA65" s="277" t="s">
        <v>1072</v>
      </c>
      <c r="DHB65" s="277" t="s">
        <v>1072</v>
      </c>
      <c r="DHC65" s="277" t="s">
        <v>1072</v>
      </c>
      <c r="DHD65" s="277" t="s">
        <v>1072</v>
      </c>
      <c r="DHE65" s="277" t="s">
        <v>1072</v>
      </c>
      <c r="DHF65" s="277" t="s">
        <v>1072</v>
      </c>
      <c r="DHG65" s="277" t="s">
        <v>1072</v>
      </c>
      <c r="DHH65" s="277" t="s">
        <v>1072</v>
      </c>
      <c r="DHI65" s="277" t="s">
        <v>1072</v>
      </c>
      <c r="DHJ65" s="277" t="s">
        <v>1072</v>
      </c>
      <c r="DHK65" s="277" t="s">
        <v>1072</v>
      </c>
      <c r="DHL65" s="277" t="s">
        <v>1072</v>
      </c>
      <c r="DHM65" s="277" t="s">
        <v>1072</v>
      </c>
      <c r="DHN65" s="277" t="s">
        <v>1072</v>
      </c>
      <c r="DHO65" s="277" t="s">
        <v>1072</v>
      </c>
      <c r="DHP65" s="277" t="s">
        <v>1072</v>
      </c>
      <c r="DHQ65" s="277" t="s">
        <v>1072</v>
      </c>
      <c r="DHR65" s="277" t="s">
        <v>1072</v>
      </c>
      <c r="DHS65" s="277" t="s">
        <v>1072</v>
      </c>
      <c r="DHT65" s="277" t="s">
        <v>1072</v>
      </c>
      <c r="DHU65" s="277" t="s">
        <v>1072</v>
      </c>
      <c r="DHV65" s="277" t="s">
        <v>1072</v>
      </c>
      <c r="DHW65" s="277" t="s">
        <v>1072</v>
      </c>
      <c r="DHX65" s="277" t="s">
        <v>1072</v>
      </c>
      <c r="DHY65" s="277" t="s">
        <v>1072</v>
      </c>
      <c r="DHZ65" s="277" t="s">
        <v>1072</v>
      </c>
      <c r="DIA65" s="277" t="s">
        <v>1072</v>
      </c>
      <c r="DIB65" s="277" t="s">
        <v>1072</v>
      </c>
      <c r="DIC65" s="277" t="s">
        <v>1072</v>
      </c>
      <c r="DID65" s="277" t="s">
        <v>1072</v>
      </c>
      <c r="DIE65" s="277" t="s">
        <v>1072</v>
      </c>
      <c r="DIF65" s="277" t="s">
        <v>1072</v>
      </c>
      <c r="DIG65" s="277" t="s">
        <v>1072</v>
      </c>
      <c r="DIH65" s="277" t="s">
        <v>1072</v>
      </c>
      <c r="DII65" s="277" t="s">
        <v>1072</v>
      </c>
      <c r="DIJ65" s="277" t="s">
        <v>1072</v>
      </c>
      <c r="DIK65" s="277" t="s">
        <v>1072</v>
      </c>
      <c r="DIL65" s="277" t="s">
        <v>1072</v>
      </c>
      <c r="DIM65" s="277" t="s">
        <v>1072</v>
      </c>
      <c r="DIN65" s="277" t="s">
        <v>1072</v>
      </c>
      <c r="DIO65" s="277" t="s">
        <v>1072</v>
      </c>
      <c r="DIP65" s="277" t="s">
        <v>1072</v>
      </c>
      <c r="DIQ65" s="277" t="s">
        <v>1072</v>
      </c>
      <c r="DIR65" s="277" t="s">
        <v>1072</v>
      </c>
      <c r="DIS65" s="277" t="s">
        <v>1072</v>
      </c>
      <c r="DIT65" s="277" t="s">
        <v>1072</v>
      </c>
      <c r="DIU65" s="277" t="s">
        <v>1072</v>
      </c>
      <c r="DIV65" s="277" t="s">
        <v>1072</v>
      </c>
      <c r="DIW65" s="277" t="s">
        <v>1072</v>
      </c>
      <c r="DIX65" s="277" t="s">
        <v>1072</v>
      </c>
      <c r="DIY65" s="277" t="s">
        <v>1072</v>
      </c>
      <c r="DIZ65" s="277" t="s">
        <v>1072</v>
      </c>
      <c r="DJA65" s="277" t="s">
        <v>1072</v>
      </c>
      <c r="DJB65" s="277" t="s">
        <v>1072</v>
      </c>
      <c r="DJC65" s="277" t="s">
        <v>1072</v>
      </c>
      <c r="DJD65" s="277" t="s">
        <v>1072</v>
      </c>
      <c r="DJE65" s="277" t="s">
        <v>1072</v>
      </c>
      <c r="DJF65" s="277" t="s">
        <v>1072</v>
      </c>
      <c r="DJG65" s="277" t="s">
        <v>1072</v>
      </c>
      <c r="DJH65" s="277" t="s">
        <v>1072</v>
      </c>
      <c r="DJI65" s="277" t="s">
        <v>1072</v>
      </c>
      <c r="DJJ65" s="277" t="s">
        <v>1072</v>
      </c>
      <c r="DJK65" s="277" t="s">
        <v>1072</v>
      </c>
      <c r="DJL65" s="277" t="s">
        <v>1072</v>
      </c>
      <c r="DJM65" s="277" t="s">
        <v>1072</v>
      </c>
      <c r="DJN65" s="277" t="s">
        <v>1072</v>
      </c>
      <c r="DJO65" s="277" t="s">
        <v>1072</v>
      </c>
      <c r="DJP65" s="277" t="s">
        <v>1072</v>
      </c>
      <c r="DJQ65" s="277" t="s">
        <v>1072</v>
      </c>
      <c r="DJR65" s="277" t="s">
        <v>1072</v>
      </c>
      <c r="DJS65" s="277" t="s">
        <v>1072</v>
      </c>
      <c r="DJT65" s="277" t="s">
        <v>1072</v>
      </c>
      <c r="DJU65" s="277" t="s">
        <v>1072</v>
      </c>
      <c r="DJV65" s="277" t="s">
        <v>1072</v>
      </c>
      <c r="DJW65" s="277" t="s">
        <v>1072</v>
      </c>
      <c r="DJX65" s="277" t="s">
        <v>1072</v>
      </c>
      <c r="DJY65" s="277" t="s">
        <v>1072</v>
      </c>
      <c r="DJZ65" s="277" t="s">
        <v>1072</v>
      </c>
      <c r="DKA65" s="277" t="s">
        <v>1072</v>
      </c>
      <c r="DKB65" s="277" t="s">
        <v>1072</v>
      </c>
      <c r="DKC65" s="277" t="s">
        <v>1072</v>
      </c>
      <c r="DKD65" s="277" t="s">
        <v>1072</v>
      </c>
      <c r="DKE65" s="277" t="s">
        <v>1072</v>
      </c>
      <c r="DKF65" s="277" t="s">
        <v>1072</v>
      </c>
      <c r="DKG65" s="277" t="s">
        <v>1072</v>
      </c>
      <c r="DKH65" s="277" t="s">
        <v>1072</v>
      </c>
      <c r="DKI65" s="277" t="s">
        <v>1072</v>
      </c>
      <c r="DKJ65" s="277" t="s">
        <v>1072</v>
      </c>
      <c r="DKK65" s="277" t="s">
        <v>1072</v>
      </c>
      <c r="DKL65" s="277" t="s">
        <v>1072</v>
      </c>
      <c r="DKM65" s="277" t="s">
        <v>1072</v>
      </c>
      <c r="DKN65" s="277" t="s">
        <v>1072</v>
      </c>
      <c r="DKO65" s="277" t="s">
        <v>1072</v>
      </c>
      <c r="DKP65" s="277" t="s">
        <v>1072</v>
      </c>
      <c r="DKQ65" s="277" t="s">
        <v>1072</v>
      </c>
      <c r="DKR65" s="277" t="s">
        <v>1072</v>
      </c>
      <c r="DKS65" s="277" t="s">
        <v>1072</v>
      </c>
      <c r="DKT65" s="277" t="s">
        <v>1072</v>
      </c>
      <c r="DKU65" s="277" t="s">
        <v>1072</v>
      </c>
      <c r="DKV65" s="277" t="s">
        <v>1072</v>
      </c>
      <c r="DKW65" s="277" t="s">
        <v>1072</v>
      </c>
      <c r="DKX65" s="277" t="s">
        <v>1072</v>
      </c>
      <c r="DKY65" s="277" t="s">
        <v>1072</v>
      </c>
      <c r="DKZ65" s="277" t="s">
        <v>1072</v>
      </c>
      <c r="DLA65" s="277" t="s">
        <v>1072</v>
      </c>
      <c r="DLB65" s="277" t="s">
        <v>1072</v>
      </c>
      <c r="DLC65" s="277" t="s">
        <v>1072</v>
      </c>
      <c r="DLD65" s="277" t="s">
        <v>1072</v>
      </c>
      <c r="DLE65" s="277" t="s">
        <v>1072</v>
      </c>
      <c r="DLF65" s="277" t="s">
        <v>1072</v>
      </c>
      <c r="DLG65" s="277" t="s">
        <v>1072</v>
      </c>
      <c r="DLH65" s="277" t="s">
        <v>1072</v>
      </c>
      <c r="DLI65" s="277" t="s">
        <v>1072</v>
      </c>
      <c r="DLJ65" s="277" t="s">
        <v>1072</v>
      </c>
      <c r="DLK65" s="277" t="s">
        <v>1072</v>
      </c>
      <c r="DLL65" s="277" t="s">
        <v>1072</v>
      </c>
      <c r="DLM65" s="277" t="s">
        <v>1072</v>
      </c>
      <c r="DLN65" s="277" t="s">
        <v>1072</v>
      </c>
      <c r="DLO65" s="277" t="s">
        <v>1072</v>
      </c>
      <c r="DLP65" s="277" t="s">
        <v>1072</v>
      </c>
      <c r="DLQ65" s="277" t="s">
        <v>1072</v>
      </c>
      <c r="DLR65" s="277" t="s">
        <v>1072</v>
      </c>
      <c r="DLS65" s="277" t="s">
        <v>1072</v>
      </c>
      <c r="DLT65" s="277" t="s">
        <v>1072</v>
      </c>
      <c r="DLU65" s="277" t="s">
        <v>1072</v>
      </c>
      <c r="DLV65" s="277" t="s">
        <v>1072</v>
      </c>
      <c r="DLW65" s="277" t="s">
        <v>1072</v>
      </c>
      <c r="DLX65" s="277" t="s">
        <v>1072</v>
      </c>
      <c r="DLY65" s="277" t="s">
        <v>1072</v>
      </c>
      <c r="DLZ65" s="277" t="s">
        <v>1072</v>
      </c>
      <c r="DMA65" s="277" t="s">
        <v>1072</v>
      </c>
      <c r="DMB65" s="277" t="s">
        <v>1072</v>
      </c>
      <c r="DMC65" s="277" t="s">
        <v>1072</v>
      </c>
      <c r="DMD65" s="277" t="s">
        <v>1072</v>
      </c>
      <c r="DME65" s="277" t="s">
        <v>1072</v>
      </c>
      <c r="DMF65" s="277" t="s">
        <v>1072</v>
      </c>
      <c r="DMG65" s="277" t="s">
        <v>1072</v>
      </c>
      <c r="DMH65" s="277" t="s">
        <v>1072</v>
      </c>
      <c r="DMI65" s="277" t="s">
        <v>1072</v>
      </c>
      <c r="DMJ65" s="277" t="s">
        <v>1072</v>
      </c>
      <c r="DMK65" s="277" t="s">
        <v>1072</v>
      </c>
      <c r="DML65" s="277" t="s">
        <v>1072</v>
      </c>
      <c r="DMM65" s="277" t="s">
        <v>1072</v>
      </c>
      <c r="DMN65" s="277" t="s">
        <v>1072</v>
      </c>
      <c r="DMO65" s="277" t="s">
        <v>1072</v>
      </c>
      <c r="DMP65" s="277" t="s">
        <v>1072</v>
      </c>
      <c r="DMQ65" s="277" t="s">
        <v>1072</v>
      </c>
      <c r="DMR65" s="277" t="s">
        <v>1072</v>
      </c>
      <c r="DMS65" s="277" t="s">
        <v>1072</v>
      </c>
      <c r="DMT65" s="277" t="s">
        <v>1072</v>
      </c>
      <c r="DMU65" s="277" t="s">
        <v>1072</v>
      </c>
      <c r="DMV65" s="277" t="s">
        <v>1072</v>
      </c>
      <c r="DMW65" s="277" t="s">
        <v>1072</v>
      </c>
      <c r="DMX65" s="277" t="s">
        <v>1072</v>
      </c>
      <c r="DMY65" s="277" t="s">
        <v>1072</v>
      </c>
      <c r="DMZ65" s="277" t="s">
        <v>1072</v>
      </c>
      <c r="DNA65" s="277" t="s">
        <v>1072</v>
      </c>
      <c r="DNB65" s="277" t="s">
        <v>1072</v>
      </c>
      <c r="DNC65" s="277" t="s">
        <v>1072</v>
      </c>
      <c r="DND65" s="277" t="s">
        <v>1072</v>
      </c>
      <c r="DNE65" s="277" t="s">
        <v>1072</v>
      </c>
      <c r="DNF65" s="277" t="s">
        <v>1072</v>
      </c>
      <c r="DNG65" s="277" t="s">
        <v>1072</v>
      </c>
      <c r="DNH65" s="277" t="s">
        <v>1072</v>
      </c>
      <c r="DNI65" s="277" t="s">
        <v>1072</v>
      </c>
      <c r="DNJ65" s="277" t="s">
        <v>1072</v>
      </c>
      <c r="DNK65" s="277" t="s">
        <v>1072</v>
      </c>
      <c r="DNL65" s="277" t="s">
        <v>1072</v>
      </c>
      <c r="DNM65" s="277" t="s">
        <v>1072</v>
      </c>
      <c r="DNN65" s="277" t="s">
        <v>1072</v>
      </c>
      <c r="DNO65" s="277" t="s">
        <v>1072</v>
      </c>
      <c r="DNP65" s="277" t="s">
        <v>1072</v>
      </c>
      <c r="DNQ65" s="277" t="s">
        <v>1072</v>
      </c>
      <c r="DNR65" s="277" t="s">
        <v>1072</v>
      </c>
      <c r="DNS65" s="277" t="s">
        <v>1072</v>
      </c>
      <c r="DNT65" s="277" t="s">
        <v>1072</v>
      </c>
      <c r="DNU65" s="277" t="s">
        <v>1072</v>
      </c>
      <c r="DNV65" s="277" t="s">
        <v>1072</v>
      </c>
      <c r="DNW65" s="277" t="s">
        <v>1072</v>
      </c>
      <c r="DNX65" s="277" t="s">
        <v>1072</v>
      </c>
      <c r="DNY65" s="277" t="s">
        <v>1072</v>
      </c>
      <c r="DNZ65" s="277" t="s">
        <v>1072</v>
      </c>
      <c r="DOA65" s="277" t="s">
        <v>1072</v>
      </c>
      <c r="DOB65" s="277" t="s">
        <v>1072</v>
      </c>
      <c r="DOC65" s="277" t="s">
        <v>1072</v>
      </c>
      <c r="DOD65" s="277" t="s">
        <v>1072</v>
      </c>
      <c r="DOE65" s="277" t="s">
        <v>1072</v>
      </c>
      <c r="DOF65" s="277" t="s">
        <v>1072</v>
      </c>
      <c r="DOG65" s="277" t="s">
        <v>1072</v>
      </c>
      <c r="DOH65" s="277" t="s">
        <v>1072</v>
      </c>
      <c r="DOI65" s="277" t="s">
        <v>1072</v>
      </c>
      <c r="DOJ65" s="277" t="s">
        <v>1072</v>
      </c>
      <c r="DOK65" s="277" t="s">
        <v>1072</v>
      </c>
      <c r="DOL65" s="277" t="s">
        <v>1072</v>
      </c>
      <c r="DOM65" s="277" t="s">
        <v>1072</v>
      </c>
      <c r="DON65" s="277" t="s">
        <v>1072</v>
      </c>
      <c r="DOO65" s="277" t="s">
        <v>1072</v>
      </c>
      <c r="DOP65" s="277" t="s">
        <v>1072</v>
      </c>
      <c r="DOQ65" s="277" t="s">
        <v>1072</v>
      </c>
      <c r="DOR65" s="277" t="s">
        <v>1072</v>
      </c>
      <c r="DOS65" s="277" t="s">
        <v>1072</v>
      </c>
      <c r="DOT65" s="277" t="s">
        <v>1072</v>
      </c>
      <c r="DOU65" s="277" t="s">
        <v>1072</v>
      </c>
      <c r="DOV65" s="277" t="s">
        <v>1072</v>
      </c>
      <c r="DOW65" s="277" t="s">
        <v>1072</v>
      </c>
      <c r="DOX65" s="277" t="s">
        <v>1072</v>
      </c>
      <c r="DOY65" s="277" t="s">
        <v>1072</v>
      </c>
      <c r="DOZ65" s="277" t="s">
        <v>1072</v>
      </c>
      <c r="DPA65" s="277" t="s">
        <v>1072</v>
      </c>
      <c r="DPB65" s="277" t="s">
        <v>1072</v>
      </c>
      <c r="DPC65" s="277" t="s">
        <v>1072</v>
      </c>
      <c r="DPD65" s="277" t="s">
        <v>1072</v>
      </c>
      <c r="DPE65" s="277" t="s">
        <v>1072</v>
      </c>
      <c r="DPF65" s="277" t="s">
        <v>1072</v>
      </c>
      <c r="DPG65" s="277" t="s">
        <v>1072</v>
      </c>
      <c r="DPH65" s="277" t="s">
        <v>1072</v>
      </c>
      <c r="DPI65" s="277" t="s">
        <v>1072</v>
      </c>
      <c r="DPJ65" s="277" t="s">
        <v>1072</v>
      </c>
      <c r="DPK65" s="277" t="s">
        <v>1072</v>
      </c>
      <c r="DPL65" s="277" t="s">
        <v>1072</v>
      </c>
      <c r="DPM65" s="277" t="s">
        <v>1072</v>
      </c>
      <c r="DPN65" s="277" t="s">
        <v>1072</v>
      </c>
      <c r="DPO65" s="277" t="s">
        <v>1072</v>
      </c>
      <c r="DPP65" s="277" t="s">
        <v>1072</v>
      </c>
      <c r="DPQ65" s="277" t="s">
        <v>1072</v>
      </c>
      <c r="DPR65" s="277" t="s">
        <v>1072</v>
      </c>
      <c r="DPS65" s="277" t="s">
        <v>1072</v>
      </c>
      <c r="DPT65" s="277" t="s">
        <v>1072</v>
      </c>
      <c r="DPU65" s="277" t="s">
        <v>1072</v>
      </c>
      <c r="DPV65" s="277" t="s">
        <v>1072</v>
      </c>
      <c r="DPW65" s="277" t="s">
        <v>1072</v>
      </c>
      <c r="DPX65" s="277" t="s">
        <v>1072</v>
      </c>
      <c r="DPY65" s="277" t="s">
        <v>1072</v>
      </c>
      <c r="DPZ65" s="277" t="s">
        <v>1072</v>
      </c>
      <c r="DQA65" s="277" t="s">
        <v>1072</v>
      </c>
      <c r="DQB65" s="277" t="s">
        <v>1072</v>
      </c>
      <c r="DQC65" s="277" t="s">
        <v>1072</v>
      </c>
      <c r="DQD65" s="277" t="s">
        <v>1072</v>
      </c>
      <c r="DQE65" s="277" t="s">
        <v>1072</v>
      </c>
      <c r="DQF65" s="277" t="s">
        <v>1072</v>
      </c>
      <c r="DQG65" s="277" t="s">
        <v>1072</v>
      </c>
      <c r="DQH65" s="277" t="s">
        <v>1072</v>
      </c>
      <c r="DQI65" s="277" t="s">
        <v>1072</v>
      </c>
      <c r="DQJ65" s="277" t="s">
        <v>1072</v>
      </c>
      <c r="DQK65" s="277" t="s">
        <v>1072</v>
      </c>
      <c r="DQL65" s="277" t="s">
        <v>1072</v>
      </c>
      <c r="DQM65" s="277" t="s">
        <v>1072</v>
      </c>
      <c r="DQN65" s="277" t="s">
        <v>1072</v>
      </c>
      <c r="DQO65" s="277" t="s">
        <v>1072</v>
      </c>
      <c r="DQP65" s="277" t="s">
        <v>1072</v>
      </c>
      <c r="DQQ65" s="277" t="s">
        <v>1072</v>
      </c>
      <c r="DQR65" s="277" t="s">
        <v>1072</v>
      </c>
      <c r="DQS65" s="277" t="s">
        <v>1072</v>
      </c>
      <c r="DQT65" s="277" t="s">
        <v>1072</v>
      </c>
      <c r="DQU65" s="277" t="s">
        <v>1072</v>
      </c>
      <c r="DQV65" s="277" t="s">
        <v>1072</v>
      </c>
      <c r="DQW65" s="277" t="s">
        <v>1072</v>
      </c>
      <c r="DQX65" s="277" t="s">
        <v>1072</v>
      </c>
      <c r="DQY65" s="277" t="s">
        <v>1072</v>
      </c>
      <c r="DQZ65" s="277" t="s">
        <v>1072</v>
      </c>
      <c r="DRA65" s="277" t="s">
        <v>1072</v>
      </c>
      <c r="DRB65" s="277" t="s">
        <v>1072</v>
      </c>
      <c r="DRC65" s="277" t="s">
        <v>1072</v>
      </c>
      <c r="DRD65" s="277" t="s">
        <v>1072</v>
      </c>
      <c r="DRE65" s="277" t="s">
        <v>1072</v>
      </c>
      <c r="DRF65" s="277" t="s">
        <v>1072</v>
      </c>
      <c r="DRG65" s="277" t="s">
        <v>1072</v>
      </c>
      <c r="DRH65" s="277" t="s">
        <v>1072</v>
      </c>
      <c r="DRI65" s="277" t="s">
        <v>1072</v>
      </c>
      <c r="DRJ65" s="277" t="s">
        <v>1072</v>
      </c>
      <c r="DRK65" s="277" t="s">
        <v>1072</v>
      </c>
      <c r="DRL65" s="277" t="s">
        <v>1072</v>
      </c>
      <c r="DRM65" s="277" t="s">
        <v>1072</v>
      </c>
      <c r="DRN65" s="277" t="s">
        <v>1072</v>
      </c>
      <c r="DRO65" s="277" t="s">
        <v>1072</v>
      </c>
      <c r="DRP65" s="277" t="s">
        <v>1072</v>
      </c>
      <c r="DRQ65" s="277" t="s">
        <v>1072</v>
      </c>
      <c r="DRR65" s="277" t="s">
        <v>1072</v>
      </c>
      <c r="DRS65" s="277" t="s">
        <v>1072</v>
      </c>
      <c r="DRT65" s="277" t="s">
        <v>1072</v>
      </c>
      <c r="DRU65" s="277" t="s">
        <v>1072</v>
      </c>
      <c r="DRV65" s="277" t="s">
        <v>1072</v>
      </c>
      <c r="DRW65" s="277" t="s">
        <v>1072</v>
      </c>
      <c r="DRX65" s="277" t="s">
        <v>1072</v>
      </c>
      <c r="DRY65" s="277" t="s">
        <v>1072</v>
      </c>
      <c r="DRZ65" s="277" t="s">
        <v>1072</v>
      </c>
      <c r="DSA65" s="277" t="s">
        <v>1072</v>
      </c>
      <c r="DSB65" s="277" t="s">
        <v>1072</v>
      </c>
      <c r="DSC65" s="277" t="s">
        <v>1072</v>
      </c>
      <c r="DSD65" s="277" t="s">
        <v>1072</v>
      </c>
      <c r="DSE65" s="277" t="s">
        <v>1072</v>
      </c>
      <c r="DSF65" s="277" t="s">
        <v>1072</v>
      </c>
      <c r="DSG65" s="277" t="s">
        <v>1072</v>
      </c>
      <c r="DSH65" s="277" t="s">
        <v>1072</v>
      </c>
      <c r="DSI65" s="277" t="s">
        <v>1072</v>
      </c>
      <c r="DSJ65" s="277" t="s">
        <v>1072</v>
      </c>
      <c r="DSK65" s="277" t="s">
        <v>1072</v>
      </c>
      <c r="DSL65" s="277" t="s">
        <v>1072</v>
      </c>
      <c r="DSM65" s="277" t="s">
        <v>1072</v>
      </c>
      <c r="DSN65" s="277" t="s">
        <v>1072</v>
      </c>
      <c r="DSO65" s="277" t="s">
        <v>1072</v>
      </c>
      <c r="DSP65" s="277" t="s">
        <v>1072</v>
      </c>
      <c r="DSQ65" s="277" t="s">
        <v>1072</v>
      </c>
      <c r="DSR65" s="277" t="s">
        <v>1072</v>
      </c>
      <c r="DSS65" s="277" t="s">
        <v>1072</v>
      </c>
      <c r="DST65" s="277" t="s">
        <v>1072</v>
      </c>
      <c r="DSU65" s="277" t="s">
        <v>1072</v>
      </c>
      <c r="DSV65" s="277" t="s">
        <v>1072</v>
      </c>
      <c r="DSW65" s="277" t="s">
        <v>1072</v>
      </c>
      <c r="DSX65" s="277" t="s">
        <v>1072</v>
      </c>
      <c r="DSY65" s="277" t="s">
        <v>1072</v>
      </c>
      <c r="DSZ65" s="277" t="s">
        <v>1072</v>
      </c>
      <c r="DTA65" s="277" t="s">
        <v>1072</v>
      </c>
      <c r="DTB65" s="277" t="s">
        <v>1072</v>
      </c>
      <c r="DTC65" s="277" t="s">
        <v>1072</v>
      </c>
      <c r="DTD65" s="277" t="s">
        <v>1072</v>
      </c>
      <c r="DTE65" s="277" t="s">
        <v>1072</v>
      </c>
      <c r="DTF65" s="277" t="s">
        <v>1072</v>
      </c>
      <c r="DTG65" s="277" t="s">
        <v>1072</v>
      </c>
      <c r="DTH65" s="277" t="s">
        <v>1072</v>
      </c>
      <c r="DTI65" s="277" t="s">
        <v>1072</v>
      </c>
      <c r="DTJ65" s="277" t="s">
        <v>1072</v>
      </c>
      <c r="DTK65" s="277" t="s">
        <v>1072</v>
      </c>
      <c r="DTL65" s="277" t="s">
        <v>1072</v>
      </c>
      <c r="DTM65" s="277" t="s">
        <v>1072</v>
      </c>
      <c r="DTN65" s="277" t="s">
        <v>1072</v>
      </c>
      <c r="DTO65" s="277" t="s">
        <v>1072</v>
      </c>
      <c r="DTP65" s="277" t="s">
        <v>1072</v>
      </c>
      <c r="DTQ65" s="277" t="s">
        <v>1072</v>
      </c>
      <c r="DTR65" s="277" t="s">
        <v>1072</v>
      </c>
      <c r="DTS65" s="277" t="s">
        <v>1072</v>
      </c>
      <c r="DTT65" s="277" t="s">
        <v>1072</v>
      </c>
      <c r="DTU65" s="277" t="s">
        <v>1072</v>
      </c>
      <c r="DTV65" s="277" t="s">
        <v>1072</v>
      </c>
      <c r="DTW65" s="277" t="s">
        <v>1072</v>
      </c>
      <c r="DTX65" s="277" t="s">
        <v>1072</v>
      </c>
      <c r="DTY65" s="277" t="s">
        <v>1072</v>
      </c>
      <c r="DTZ65" s="277" t="s">
        <v>1072</v>
      </c>
      <c r="DUA65" s="277" t="s">
        <v>1072</v>
      </c>
      <c r="DUB65" s="277" t="s">
        <v>1072</v>
      </c>
      <c r="DUC65" s="277" t="s">
        <v>1072</v>
      </c>
      <c r="DUD65" s="277" t="s">
        <v>1072</v>
      </c>
      <c r="DUE65" s="277" t="s">
        <v>1072</v>
      </c>
      <c r="DUF65" s="277" t="s">
        <v>1072</v>
      </c>
      <c r="DUG65" s="277" t="s">
        <v>1072</v>
      </c>
      <c r="DUH65" s="277" t="s">
        <v>1072</v>
      </c>
      <c r="DUI65" s="277" t="s">
        <v>1072</v>
      </c>
      <c r="DUJ65" s="277" t="s">
        <v>1072</v>
      </c>
      <c r="DUK65" s="277" t="s">
        <v>1072</v>
      </c>
      <c r="DUL65" s="277" t="s">
        <v>1072</v>
      </c>
      <c r="DUM65" s="277" t="s">
        <v>1072</v>
      </c>
      <c r="DUN65" s="277" t="s">
        <v>1072</v>
      </c>
      <c r="DUO65" s="277" t="s">
        <v>1072</v>
      </c>
      <c r="DUP65" s="277" t="s">
        <v>1072</v>
      </c>
      <c r="DUQ65" s="277" t="s">
        <v>1072</v>
      </c>
      <c r="DUR65" s="277" t="s">
        <v>1072</v>
      </c>
      <c r="DUS65" s="277" t="s">
        <v>1072</v>
      </c>
      <c r="DUT65" s="277" t="s">
        <v>1072</v>
      </c>
      <c r="DUU65" s="277" t="s">
        <v>1072</v>
      </c>
      <c r="DUV65" s="277" t="s">
        <v>1072</v>
      </c>
      <c r="DUW65" s="277" t="s">
        <v>1072</v>
      </c>
      <c r="DUX65" s="277" t="s">
        <v>1072</v>
      </c>
      <c r="DUY65" s="277" t="s">
        <v>1072</v>
      </c>
      <c r="DUZ65" s="277" t="s">
        <v>1072</v>
      </c>
      <c r="DVA65" s="277" t="s">
        <v>1072</v>
      </c>
      <c r="DVB65" s="277" t="s">
        <v>1072</v>
      </c>
      <c r="DVC65" s="277" t="s">
        <v>1072</v>
      </c>
      <c r="DVD65" s="277" t="s">
        <v>1072</v>
      </c>
      <c r="DVE65" s="277" t="s">
        <v>1072</v>
      </c>
      <c r="DVF65" s="277" t="s">
        <v>1072</v>
      </c>
      <c r="DVG65" s="277" t="s">
        <v>1072</v>
      </c>
      <c r="DVH65" s="277" t="s">
        <v>1072</v>
      </c>
      <c r="DVI65" s="277" t="s">
        <v>1072</v>
      </c>
      <c r="DVJ65" s="277" t="s">
        <v>1072</v>
      </c>
      <c r="DVK65" s="277" t="s">
        <v>1072</v>
      </c>
      <c r="DVL65" s="277" t="s">
        <v>1072</v>
      </c>
      <c r="DVM65" s="277" t="s">
        <v>1072</v>
      </c>
      <c r="DVN65" s="277" t="s">
        <v>1072</v>
      </c>
      <c r="DVO65" s="277" t="s">
        <v>1072</v>
      </c>
      <c r="DVP65" s="277" t="s">
        <v>1072</v>
      </c>
      <c r="DVQ65" s="277" t="s">
        <v>1072</v>
      </c>
      <c r="DVR65" s="277" t="s">
        <v>1072</v>
      </c>
      <c r="DVS65" s="277" t="s">
        <v>1072</v>
      </c>
      <c r="DVT65" s="277" t="s">
        <v>1072</v>
      </c>
      <c r="DVU65" s="277" t="s">
        <v>1072</v>
      </c>
      <c r="DVV65" s="277" t="s">
        <v>1072</v>
      </c>
      <c r="DVW65" s="277" t="s">
        <v>1072</v>
      </c>
      <c r="DVX65" s="277" t="s">
        <v>1072</v>
      </c>
      <c r="DVY65" s="277" t="s">
        <v>1072</v>
      </c>
      <c r="DVZ65" s="277" t="s">
        <v>1072</v>
      </c>
      <c r="DWA65" s="277" t="s">
        <v>1072</v>
      </c>
      <c r="DWB65" s="277" t="s">
        <v>1072</v>
      </c>
      <c r="DWC65" s="277" t="s">
        <v>1072</v>
      </c>
      <c r="DWD65" s="277" t="s">
        <v>1072</v>
      </c>
      <c r="DWE65" s="277" t="s">
        <v>1072</v>
      </c>
      <c r="DWF65" s="277" t="s">
        <v>1072</v>
      </c>
      <c r="DWG65" s="277" t="s">
        <v>1072</v>
      </c>
      <c r="DWH65" s="277" t="s">
        <v>1072</v>
      </c>
      <c r="DWI65" s="277" t="s">
        <v>1072</v>
      </c>
      <c r="DWJ65" s="277" t="s">
        <v>1072</v>
      </c>
      <c r="DWK65" s="277" t="s">
        <v>1072</v>
      </c>
      <c r="DWL65" s="277" t="s">
        <v>1072</v>
      </c>
      <c r="DWM65" s="277" t="s">
        <v>1072</v>
      </c>
      <c r="DWN65" s="277" t="s">
        <v>1072</v>
      </c>
      <c r="DWO65" s="277" t="s">
        <v>1072</v>
      </c>
      <c r="DWP65" s="277" t="s">
        <v>1072</v>
      </c>
      <c r="DWQ65" s="277" t="s">
        <v>1072</v>
      </c>
      <c r="DWR65" s="277" t="s">
        <v>1072</v>
      </c>
      <c r="DWS65" s="277" t="s">
        <v>1072</v>
      </c>
      <c r="DWT65" s="277" t="s">
        <v>1072</v>
      </c>
      <c r="DWU65" s="277" t="s">
        <v>1072</v>
      </c>
      <c r="DWV65" s="277" t="s">
        <v>1072</v>
      </c>
      <c r="DWW65" s="277" t="s">
        <v>1072</v>
      </c>
      <c r="DWX65" s="277" t="s">
        <v>1072</v>
      </c>
      <c r="DWY65" s="277" t="s">
        <v>1072</v>
      </c>
      <c r="DWZ65" s="277" t="s">
        <v>1072</v>
      </c>
      <c r="DXA65" s="277" t="s">
        <v>1072</v>
      </c>
      <c r="DXB65" s="277" t="s">
        <v>1072</v>
      </c>
      <c r="DXC65" s="277" t="s">
        <v>1072</v>
      </c>
      <c r="DXD65" s="277" t="s">
        <v>1072</v>
      </c>
      <c r="DXE65" s="277" t="s">
        <v>1072</v>
      </c>
      <c r="DXF65" s="277" t="s">
        <v>1072</v>
      </c>
      <c r="DXG65" s="277" t="s">
        <v>1072</v>
      </c>
      <c r="DXH65" s="277" t="s">
        <v>1072</v>
      </c>
      <c r="DXI65" s="277" t="s">
        <v>1072</v>
      </c>
      <c r="DXJ65" s="277" t="s">
        <v>1072</v>
      </c>
      <c r="DXK65" s="277" t="s">
        <v>1072</v>
      </c>
      <c r="DXL65" s="277" t="s">
        <v>1072</v>
      </c>
      <c r="DXM65" s="277" t="s">
        <v>1072</v>
      </c>
      <c r="DXN65" s="277" t="s">
        <v>1072</v>
      </c>
      <c r="DXO65" s="277" t="s">
        <v>1072</v>
      </c>
      <c r="DXP65" s="277" t="s">
        <v>1072</v>
      </c>
      <c r="DXQ65" s="277" t="s">
        <v>1072</v>
      </c>
      <c r="DXR65" s="277" t="s">
        <v>1072</v>
      </c>
      <c r="DXS65" s="277" t="s">
        <v>1072</v>
      </c>
      <c r="DXT65" s="277" t="s">
        <v>1072</v>
      </c>
      <c r="DXU65" s="277" t="s">
        <v>1072</v>
      </c>
      <c r="DXV65" s="277" t="s">
        <v>1072</v>
      </c>
      <c r="DXW65" s="277" t="s">
        <v>1072</v>
      </c>
      <c r="DXX65" s="277" t="s">
        <v>1072</v>
      </c>
      <c r="DXY65" s="277" t="s">
        <v>1072</v>
      </c>
      <c r="DXZ65" s="277" t="s">
        <v>1072</v>
      </c>
      <c r="DYA65" s="277" t="s">
        <v>1072</v>
      </c>
      <c r="DYB65" s="277" t="s">
        <v>1072</v>
      </c>
      <c r="DYC65" s="277" t="s">
        <v>1072</v>
      </c>
      <c r="DYD65" s="277" t="s">
        <v>1072</v>
      </c>
      <c r="DYE65" s="277" t="s">
        <v>1072</v>
      </c>
      <c r="DYF65" s="277" t="s">
        <v>1072</v>
      </c>
      <c r="DYG65" s="277" t="s">
        <v>1072</v>
      </c>
      <c r="DYH65" s="277" t="s">
        <v>1072</v>
      </c>
      <c r="DYI65" s="277" t="s">
        <v>1072</v>
      </c>
      <c r="DYJ65" s="277" t="s">
        <v>1072</v>
      </c>
      <c r="DYK65" s="277" t="s">
        <v>1072</v>
      </c>
      <c r="DYL65" s="277" t="s">
        <v>1072</v>
      </c>
      <c r="DYM65" s="277" t="s">
        <v>1072</v>
      </c>
      <c r="DYN65" s="277" t="s">
        <v>1072</v>
      </c>
      <c r="DYO65" s="277" t="s">
        <v>1072</v>
      </c>
      <c r="DYP65" s="277" t="s">
        <v>1072</v>
      </c>
      <c r="DYQ65" s="277" t="s">
        <v>1072</v>
      </c>
      <c r="DYR65" s="277" t="s">
        <v>1072</v>
      </c>
      <c r="DYS65" s="277" t="s">
        <v>1072</v>
      </c>
      <c r="DYT65" s="277" t="s">
        <v>1072</v>
      </c>
      <c r="DYU65" s="277" t="s">
        <v>1072</v>
      </c>
      <c r="DYV65" s="277" t="s">
        <v>1072</v>
      </c>
      <c r="DYW65" s="277" t="s">
        <v>1072</v>
      </c>
      <c r="DYX65" s="277" t="s">
        <v>1072</v>
      </c>
      <c r="DYY65" s="277" t="s">
        <v>1072</v>
      </c>
      <c r="DYZ65" s="277" t="s">
        <v>1072</v>
      </c>
      <c r="DZA65" s="277" t="s">
        <v>1072</v>
      </c>
      <c r="DZB65" s="277" t="s">
        <v>1072</v>
      </c>
      <c r="DZC65" s="277" t="s">
        <v>1072</v>
      </c>
      <c r="DZD65" s="277" t="s">
        <v>1072</v>
      </c>
      <c r="DZE65" s="277" t="s">
        <v>1072</v>
      </c>
      <c r="DZF65" s="277" t="s">
        <v>1072</v>
      </c>
      <c r="DZG65" s="277" t="s">
        <v>1072</v>
      </c>
      <c r="DZH65" s="277" t="s">
        <v>1072</v>
      </c>
      <c r="DZI65" s="277" t="s">
        <v>1072</v>
      </c>
      <c r="DZJ65" s="277" t="s">
        <v>1072</v>
      </c>
      <c r="DZK65" s="277" t="s">
        <v>1072</v>
      </c>
      <c r="DZL65" s="277" t="s">
        <v>1072</v>
      </c>
      <c r="DZM65" s="277" t="s">
        <v>1072</v>
      </c>
      <c r="DZN65" s="277" t="s">
        <v>1072</v>
      </c>
      <c r="DZO65" s="277" t="s">
        <v>1072</v>
      </c>
      <c r="DZP65" s="277" t="s">
        <v>1072</v>
      </c>
      <c r="DZQ65" s="277" t="s">
        <v>1072</v>
      </c>
      <c r="DZR65" s="277" t="s">
        <v>1072</v>
      </c>
      <c r="DZS65" s="277" t="s">
        <v>1072</v>
      </c>
      <c r="DZT65" s="277" t="s">
        <v>1072</v>
      </c>
      <c r="DZU65" s="277" t="s">
        <v>1072</v>
      </c>
      <c r="DZV65" s="277" t="s">
        <v>1072</v>
      </c>
      <c r="DZW65" s="277" t="s">
        <v>1072</v>
      </c>
      <c r="DZX65" s="277" t="s">
        <v>1072</v>
      </c>
      <c r="DZY65" s="277" t="s">
        <v>1072</v>
      </c>
      <c r="DZZ65" s="277" t="s">
        <v>1072</v>
      </c>
      <c r="EAA65" s="277" t="s">
        <v>1072</v>
      </c>
      <c r="EAB65" s="277" t="s">
        <v>1072</v>
      </c>
      <c r="EAC65" s="277" t="s">
        <v>1072</v>
      </c>
      <c r="EAD65" s="277" t="s">
        <v>1072</v>
      </c>
      <c r="EAE65" s="277" t="s">
        <v>1072</v>
      </c>
      <c r="EAF65" s="277" t="s">
        <v>1072</v>
      </c>
      <c r="EAG65" s="277" t="s">
        <v>1072</v>
      </c>
      <c r="EAH65" s="277" t="s">
        <v>1072</v>
      </c>
      <c r="EAI65" s="277" t="s">
        <v>1072</v>
      </c>
      <c r="EAJ65" s="277" t="s">
        <v>1072</v>
      </c>
      <c r="EAK65" s="277" t="s">
        <v>1072</v>
      </c>
      <c r="EAL65" s="277" t="s">
        <v>1072</v>
      </c>
      <c r="EAM65" s="277" t="s">
        <v>1072</v>
      </c>
      <c r="EAN65" s="277" t="s">
        <v>1072</v>
      </c>
      <c r="EAO65" s="277" t="s">
        <v>1072</v>
      </c>
      <c r="EAP65" s="277" t="s">
        <v>1072</v>
      </c>
      <c r="EAQ65" s="277" t="s">
        <v>1072</v>
      </c>
      <c r="EAR65" s="277" t="s">
        <v>1072</v>
      </c>
      <c r="EAS65" s="277" t="s">
        <v>1072</v>
      </c>
      <c r="EAT65" s="277" t="s">
        <v>1072</v>
      </c>
      <c r="EAU65" s="277" t="s">
        <v>1072</v>
      </c>
      <c r="EAV65" s="277" t="s">
        <v>1072</v>
      </c>
      <c r="EAW65" s="277" t="s">
        <v>1072</v>
      </c>
      <c r="EAX65" s="277" t="s">
        <v>1072</v>
      </c>
      <c r="EAY65" s="277" t="s">
        <v>1072</v>
      </c>
      <c r="EAZ65" s="277" t="s">
        <v>1072</v>
      </c>
      <c r="EBA65" s="277" t="s">
        <v>1072</v>
      </c>
      <c r="EBB65" s="277" t="s">
        <v>1072</v>
      </c>
      <c r="EBC65" s="277" t="s">
        <v>1072</v>
      </c>
      <c r="EBD65" s="277" t="s">
        <v>1072</v>
      </c>
      <c r="EBE65" s="277" t="s">
        <v>1072</v>
      </c>
      <c r="EBF65" s="277" t="s">
        <v>1072</v>
      </c>
      <c r="EBG65" s="277" t="s">
        <v>1072</v>
      </c>
      <c r="EBH65" s="277" t="s">
        <v>1072</v>
      </c>
      <c r="EBI65" s="277" t="s">
        <v>1072</v>
      </c>
      <c r="EBJ65" s="277" t="s">
        <v>1072</v>
      </c>
      <c r="EBK65" s="277" t="s">
        <v>1072</v>
      </c>
      <c r="EBL65" s="277" t="s">
        <v>1072</v>
      </c>
      <c r="EBM65" s="277" t="s">
        <v>1072</v>
      </c>
      <c r="EBN65" s="277" t="s">
        <v>1072</v>
      </c>
      <c r="EBO65" s="277" t="s">
        <v>1072</v>
      </c>
      <c r="EBP65" s="277" t="s">
        <v>1072</v>
      </c>
      <c r="EBQ65" s="277" t="s">
        <v>1072</v>
      </c>
      <c r="EBR65" s="277" t="s">
        <v>1072</v>
      </c>
      <c r="EBS65" s="277" t="s">
        <v>1072</v>
      </c>
      <c r="EBT65" s="277" t="s">
        <v>1072</v>
      </c>
      <c r="EBU65" s="277" t="s">
        <v>1072</v>
      </c>
      <c r="EBV65" s="277" t="s">
        <v>1072</v>
      </c>
      <c r="EBW65" s="277" t="s">
        <v>1072</v>
      </c>
      <c r="EBX65" s="277" t="s">
        <v>1072</v>
      </c>
      <c r="EBY65" s="277" t="s">
        <v>1072</v>
      </c>
      <c r="EBZ65" s="277" t="s">
        <v>1072</v>
      </c>
      <c r="ECA65" s="277" t="s">
        <v>1072</v>
      </c>
      <c r="ECB65" s="277" t="s">
        <v>1072</v>
      </c>
      <c r="ECC65" s="277" t="s">
        <v>1072</v>
      </c>
      <c r="ECD65" s="277" t="s">
        <v>1072</v>
      </c>
      <c r="ECE65" s="277" t="s">
        <v>1072</v>
      </c>
      <c r="ECF65" s="277" t="s">
        <v>1072</v>
      </c>
      <c r="ECG65" s="277" t="s">
        <v>1072</v>
      </c>
      <c r="ECH65" s="277" t="s">
        <v>1072</v>
      </c>
      <c r="ECI65" s="277" t="s">
        <v>1072</v>
      </c>
      <c r="ECJ65" s="277" t="s">
        <v>1072</v>
      </c>
      <c r="ECK65" s="277" t="s">
        <v>1072</v>
      </c>
      <c r="ECL65" s="277" t="s">
        <v>1072</v>
      </c>
      <c r="ECM65" s="277" t="s">
        <v>1072</v>
      </c>
      <c r="ECN65" s="277" t="s">
        <v>1072</v>
      </c>
      <c r="ECO65" s="277" t="s">
        <v>1072</v>
      </c>
      <c r="ECP65" s="277" t="s">
        <v>1072</v>
      </c>
      <c r="ECQ65" s="277" t="s">
        <v>1072</v>
      </c>
      <c r="ECR65" s="277" t="s">
        <v>1072</v>
      </c>
      <c r="ECS65" s="277" t="s">
        <v>1072</v>
      </c>
      <c r="ECT65" s="277" t="s">
        <v>1072</v>
      </c>
      <c r="ECU65" s="277" t="s">
        <v>1072</v>
      </c>
      <c r="ECV65" s="277" t="s">
        <v>1072</v>
      </c>
      <c r="ECW65" s="277" t="s">
        <v>1072</v>
      </c>
      <c r="ECX65" s="277" t="s">
        <v>1072</v>
      </c>
      <c r="ECY65" s="277" t="s">
        <v>1072</v>
      </c>
      <c r="ECZ65" s="277" t="s">
        <v>1072</v>
      </c>
      <c r="EDA65" s="277" t="s">
        <v>1072</v>
      </c>
      <c r="EDB65" s="277" t="s">
        <v>1072</v>
      </c>
      <c r="EDC65" s="277" t="s">
        <v>1072</v>
      </c>
      <c r="EDD65" s="277" t="s">
        <v>1072</v>
      </c>
      <c r="EDE65" s="277" t="s">
        <v>1072</v>
      </c>
      <c r="EDF65" s="277" t="s">
        <v>1072</v>
      </c>
      <c r="EDG65" s="277" t="s">
        <v>1072</v>
      </c>
      <c r="EDH65" s="277" t="s">
        <v>1072</v>
      </c>
      <c r="EDI65" s="277" t="s">
        <v>1072</v>
      </c>
      <c r="EDJ65" s="277" t="s">
        <v>1072</v>
      </c>
      <c r="EDK65" s="277" t="s">
        <v>1072</v>
      </c>
      <c r="EDL65" s="277" t="s">
        <v>1072</v>
      </c>
      <c r="EDM65" s="277" t="s">
        <v>1072</v>
      </c>
      <c r="EDN65" s="277" t="s">
        <v>1072</v>
      </c>
      <c r="EDO65" s="277" t="s">
        <v>1072</v>
      </c>
      <c r="EDP65" s="277" t="s">
        <v>1072</v>
      </c>
      <c r="EDQ65" s="277" t="s">
        <v>1072</v>
      </c>
      <c r="EDR65" s="277" t="s">
        <v>1072</v>
      </c>
      <c r="EDS65" s="277" t="s">
        <v>1072</v>
      </c>
      <c r="EDT65" s="277" t="s">
        <v>1072</v>
      </c>
      <c r="EDU65" s="277" t="s">
        <v>1072</v>
      </c>
      <c r="EDV65" s="277" t="s">
        <v>1072</v>
      </c>
      <c r="EDW65" s="277" t="s">
        <v>1072</v>
      </c>
      <c r="EDX65" s="277" t="s">
        <v>1072</v>
      </c>
      <c r="EDY65" s="277" t="s">
        <v>1072</v>
      </c>
      <c r="EDZ65" s="277" t="s">
        <v>1072</v>
      </c>
      <c r="EEA65" s="277" t="s">
        <v>1072</v>
      </c>
      <c r="EEB65" s="277" t="s">
        <v>1072</v>
      </c>
      <c r="EEC65" s="277" t="s">
        <v>1072</v>
      </c>
      <c r="EED65" s="277" t="s">
        <v>1072</v>
      </c>
      <c r="EEE65" s="277" t="s">
        <v>1072</v>
      </c>
      <c r="EEF65" s="277" t="s">
        <v>1072</v>
      </c>
      <c r="EEG65" s="277" t="s">
        <v>1072</v>
      </c>
      <c r="EEH65" s="277" t="s">
        <v>1072</v>
      </c>
      <c r="EEI65" s="277" t="s">
        <v>1072</v>
      </c>
      <c r="EEJ65" s="277" t="s">
        <v>1072</v>
      </c>
      <c r="EEK65" s="277" t="s">
        <v>1072</v>
      </c>
      <c r="EEL65" s="277" t="s">
        <v>1072</v>
      </c>
      <c r="EEM65" s="277" t="s">
        <v>1072</v>
      </c>
      <c r="EEN65" s="277" t="s">
        <v>1072</v>
      </c>
      <c r="EEO65" s="277" t="s">
        <v>1072</v>
      </c>
      <c r="EEP65" s="277" t="s">
        <v>1072</v>
      </c>
      <c r="EEQ65" s="277" t="s">
        <v>1072</v>
      </c>
      <c r="EER65" s="277" t="s">
        <v>1072</v>
      </c>
      <c r="EES65" s="277" t="s">
        <v>1072</v>
      </c>
      <c r="EET65" s="277" t="s">
        <v>1072</v>
      </c>
      <c r="EEU65" s="277" t="s">
        <v>1072</v>
      </c>
      <c r="EEV65" s="277" t="s">
        <v>1072</v>
      </c>
      <c r="EEW65" s="277" t="s">
        <v>1072</v>
      </c>
      <c r="EEX65" s="277" t="s">
        <v>1072</v>
      </c>
      <c r="EEY65" s="277" t="s">
        <v>1072</v>
      </c>
      <c r="EEZ65" s="277" t="s">
        <v>1072</v>
      </c>
      <c r="EFA65" s="277" t="s">
        <v>1072</v>
      </c>
      <c r="EFB65" s="277" t="s">
        <v>1072</v>
      </c>
      <c r="EFC65" s="277" t="s">
        <v>1072</v>
      </c>
      <c r="EFD65" s="277" t="s">
        <v>1072</v>
      </c>
      <c r="EFE65" s="277" t="s">
        <v>1072</v>
      </c>
      <c r="EFF65" s="277" t="s">
        <v>1072</v>
      </c>
      <c r="EFG65" s="277" t="s">
        <v>1072</v>
      </c>
      <c r="EFH65" s="277" t="s">
        <v>1072</v>
      </c>
      <c r="EFI65" s="277" t="s">
        <v>1072</v>
      </c>
      <c r="EFJ65" s="277" t="s">
        <v>1072</v>
      </c>
      <c r="EFK65" s="277" t="s">
        <v>1072</v>
      </c>
      <c r="EFL65" s="277" t="s">
        <v>1072</v>
      </c>
      <c r="EFM65" s="277" t="s">
        <v>1072</v>
      </c>
      <c r="EFN65" s="277" t="s">
        <v>1072</v>
      </c>
      <c r="EFO65" s="277" t="s">
        <v>1072</v>
      </c>
      <c r="EFP65" s="277" t="s">
        <v>1072</v>
      </c>
      <c r="EFQ65" s="277" t="s">
        <v>1072</v>
      </c>
      <c r="EFR65" s="277" t="s">
        <v>1072</v>
      </c>
      <c r="EFS65" s="277" t="s">
        <v>1072</v>
      </c>
      <c r="EFT65" s="277" t="s">
        <v>1072</v>
      </c>
      <c r="EFU65" s="277" t="s">
        <v>1072</v>
      </c>
      <c r="EFV65" s="277" t="s">
        <v>1072</v>
      </c>
      <c r="EFW65" s="277" t="s">
        <v>1072</v>
      </c>
      <c r="EFX65" s="277" t="s">
        <v>1072</v>
      </c>
      <c r="EFY65" s="277" t="s">
        <v>1072</v>
      </c>
      <c r="EFZ65" s="277" t="s">
        <v>1072</v>
      </c>
      <c r="EGA65" s="277" t="s">
        <v>1072</v>
      </c>
      <c r="EGB65" s="277" t="s">
        <v>1072</v>
      </c>
      <c r="EGC65" s="277" t="s">
        <v>1072</v>
      </c>
      <c r="EGD65" s="277" t="s">
        <v>1072</v>
      </c>
      <c r="EGE65" s="277" t="s">
        <v>1072</v>
      </c>
      <c r="EGF65" s="277" t="s">
        <v>1072</v>
      </c>
      <c r="EGG65" s="277" t="s">
        <v>1072</v>
      </c>
      <c r="EGH65" s="277" t="s">
        <v>1072</v>
      </c>
      <c r="EGI65" s="277" t="s">
        <v>1072</v>
      </c>
      <c r="EGJ65" s="277" t="s">
        <v>1072</v>
      </c>
      <c r="EGK65" s="277" t="s">
        <v>1072</v>
      </c>
      <c r="EGL65" s="277" t="s">
        <v>1072</v>
      </c>
      <c r="EGM65" s="277" t="s">
        <v>1072</v>
      </c>
      <c r="EGN65" s="277" t="s">
        <v>1072</v>
      </c>
      <c r="EGO65" s="277" t="s">
        <v>1072</v>
      </c>
      <c r="EGP65" s="277" t="s">
        <v>1072</v>
      </c>
      <c r="EGQ65" s="277" t="s">
        <v>1072</v>
      </c>
      <c r="EGR65" s="277" t="s">
        <v>1072</v>
      </c>
      <c r="EGS65" s="277" t="s">
        <v>1072</v>
      </c>
      <c r="EGT65" s="277" t="s">
        <v>1072</v>
      </c>
      <c r="EGU65" s="277" t="s">
        <v>1072</v>
      </c>
      <c r="EGV65" s="277" t="s">
        <v>1072</v>
      </c>
      <c r="EGW65" s="277" t="s">
        <v>1072</v>
      </c>
      <c r="EGX65" s="277" t="s">
        <v>1072</v>
      </c>
      <c r="EGY65" s="277" t="s">
        <v>1072</v>
      </c>
      <c r="EGZ65" s="277" t="s">
        <v>1072</v>
      </c>
      <c r="EHA65" s="277" t="s">
        <v>1072</v>
      </c>
      <c r="EHB65" s="277" t="s">
        <v>1072</v>
      </c>
      <c r="EHC65" s="277" t="s">
        <v>1072</v>
      </c>
      <c r="EHD65" s="277" t="s">
        <v>1072</v>
      </c>
      <c r="EHE65" s="277" t="s">
        <v>1072</v>
      </c>
      <c r="EHF65" s="277" t="s">
        <v>1072</v>
      </c>
      <c r="EHG65" s="277" t="s">
        <v>1072</v>
      </c>
      <c r="EHH65" s="277" t="s">
        <v>1072</v>
      </c>
      <c r="EHI65" s="277" t="s">
        <v>1072</v>
      </c>
      <c r="EHJ65" s="277" t="s">
        <v>1072</v>
      </c>
      <c r="EHK65" s="277" t="s">
        <v>1072</v>
      </c>
      <c r="EHL65" s="277" t="s">
        <v>1072</v>
      </c>
      <c r="EHM65" s="277" t="s">
        <v>1072</v>
      </c>
      <c r="EHN65" s="277" t="s">
        <v>1072</v>
      </c>
      <c r="EHO65" s="277" t="s">
        <v>1072</v>
      </c>
      <c r="EHP65" s="277" t="s">
        <v>1072</v>
      </c>
      <c r="EHQ65" s="277" t="s">
        <v>1072</v>
      </c>
      <c r="EHR65" s="277" t="s">
        <v>1072</v>
      </c>
      <c r="EHS65" s="277" t="s">
        <v>1072</v>
      </c>
      <c r="EHT65" s="277" t="s">
        <v>1072</v>
      </c>
      <c r="EHU65" s="277" t="s">
        <v>1072</v>
      </c>
      <c r="EHV65" s="277" t="s">
        <v>1072</v>
      </c>
      <c r="EHW65" s="277" t="s">
        <v>1072</v>
      </c>
      <c r="EHX65" s="277" t="s">
        <v>1072</v>
      </c>
      <c r="EHY65" s="277" t="s">
        <v>1072</v>
      </c>
      <c r="EHZ65" s="277" t="s">
        <v>1072</v>
      </c>
      <c r="EIA65" s="277" t="s">
        <v>1072</v>
      </c>
      <c r="EIB65" s="277" t="s">
        <v>1072</v>
      </c>
      <c r="EIC65" s="277" t="s">
        <v>1072</v>
      </c>
      <c r="EID65" s="277" t="s">
        <v>1072</v>
      </c>
      <c r="EIE65" s="277" t="s">
        <v>1072</v>
      </c>
      <c r="EIF65" s="277" t="s">
        <v>1072</v>
      </c>
      <c r="EIG65" s="277" t="s">
        <v>1072</v>
      </c>
      <c r="EIH65" s="277" t="s">
        <v>1072</v>
      </c>
      <c r="EII65" s="277" t="s">
        <v>1072</v>
      </c>
      <c r="EIJ65" s="277" t="s">
        <v>1072</v>
      </c>
      <c r="EIK65" s="277" t="s">
        <v>1072</v>
      </c>
      <c r="EIL65" s="277" t="s">
        <v>1072</v>
      </c>
      <c r="EIM65" s="277" t="s">
        <v>1072</v>
      </c>
      <c r="EIN65" s="277" t="s">
        <v>1072</v>
      </c>
      <c r="EIO65" s="277" t="s">
        <v>1072</v>
      </c>
      <c r="EIP65" s="277" t="s">
        <v>1072</v>
      </c>
      <c r="EIQ65" s="277" t="s">
        <v>1072</v>
      </c>
      <c r="EIR65" s="277" t="s">
        <v>1072</v>
      </c>
      <c r="EIS65" s="277" t="s">
        <v>1072</v>
      </c>
      <c r="EIT65" s="277" t="s">
        <v>1072</v>
      </c>
      <c r="EIU65" s="277" t="s">
        <v>1072</v>
      </c>
      <c r="EIV65" s="277" t="s">
        <v>1072</v>
      </c>
      <c r="EIW65" s="277" t="s">
        <v>1072</v>
      </c>
      <c r="EIX65" s="277" t="s">
        <v>1072</v>
      </c>
      <c r="EIY65" s="277" t="s">
        <v>1072</v>
      </c>
      <c r="EIZ65" s="277" t="s">
        <v>1072</v>
      </c>
      <c r="EJA65" s="277" t="s">
        <v>1072</v>
      </c>
      <c r="EJB65" s="277" t="s">
        <v>1072</v>
      </c>
      <c r="EJC65" s="277" t="s">
        <v>1072</v>
      </c>
      <c r="EJD65" s="277" t="s">
        <v>1072</v>
      </c>
      <c r="EJE65" s="277" t="s">
        <v>1072</v>
      </c>
      <c r="EJF65" s="277" t="s">
        <v>1072</v>
      </c>
      <c r="EJG65" s="277" t="s">
        <v>1072</v>
      </c>
      <c r="EJH65" s="277" t="s">
        <v>1072</v>
      </c>
      <c r="EJI65" s="277" t="s">
        <v>1072</v>
      </c>
      <c r="EJJ65" s="277" t="s">
        <v>1072</v>
      </c>
      <c r="EJK65" s="277" t="s">
        <v>1072</v>
      </c>
      <c r="EJL65" s="277" t="s">
        <v>1072</v>
      </c>
      <c r="EJM65" s="277" t="s">
        <v>1072</v>
      </c>
      <c r="EJN65" s="277" t="s">
        <v>1072</v>
      </c>
      <c r="EJO65" s="277" t="s">
        <v>1072</v>
      </c>
      <c r="EJP65" s="277" t="s">
        <v>1072</v>
      </c>
      <c r="EJQ65" s="277" t="s">
        <v>1072</v>
      </c>
      <c r="EJR65" s="277" t="s">
        <v>1072</v>
      </c>
      <c r="EJS65" s="277" t="s">
        <v>1072</v>
      </c>
      <c r="EJT65" s="277" t="s">
        <v>1072</v>
      </c>
      <c r="EJU65" s="277" t="s">
        <v>1072</v>
      </c>
      <c r="EJV65" s="277" t="s">
        <v>1072</v>
      </c>
      <c r="EJW65" s="277" t="s">
        <v>1072</v>
      </c>
      <c r="EJX65" s="277" t="s">
        <v>1072</v>
      </c>
      <c r="EJY65" s="277" t="s">
        <v>1072</v>
      </c>
      <c r="EJZ65" s="277" t="s">
        <v>1072</v>
      </c>
      <c r="EKA65" s="277" t="s">
        <v>1072</v>
      </c>
      <c r="EKB65" s="277" t="s">
        <v>1072</v>
      </c>
      <c r="EKC65" s="277" t="s">
        <v>1072</v>
      </c>
      <c r="EKD65" s="277" t="s">
        <v>1072</v>
      </c>
      <c r="EKE65" s="277" t="s">
        <v>1072</v>
      </c>
      <c r="EKF65" s="277" t="s">
        <v>1072</v>
      </c>
      <c r="EKG65" s="277" t="s">
        <v>1072</v>
      </c>
      <c r="EKH65" s="277" t="s">
        <v>1072</v>
      </c>
      <c r="EKI65" s="277" t="s">
        <v>1072</v>
      </c>
      <c r="EKJ65" s="277" t="s">
        <v>1072</v>
      </c>
      <c r="EKK65" s="277" t="s">
        <v>1072</v>
      </c>
      <c r="EKL65" s="277" t="s">
        <v>1072</v>
      </c>
      <c r="EKM65" s="277" t="s">
        <v>1072</v>
      </c>
      <c r="EKN65" s="277" t="s">
        <v>1072</v>
      </c>
      <c r="EKO65" s="277" t="s">
        <v>1072</v>
      </c>
      <c r="EKP65" s="277" t="s">
        <v>1072</v>
      </c>
      <c r="EKQ65" s="277" t="s">
        <v>1072</v>
      </c>
      <c r="EKR65" s="277" t="s">
        <v>1072</v>
      </c>
      <c r="EKS65" s="277" t="s">
        <v>1072</v>
      </c>
      <c r="EKT65" s="277" t="s">
        <v>1072</v>
      </c>
      <c r="EKU65" s="277" t="s">
        <v>1072</v>
      </c>
      <c r="EKV65" s="277" t="s">
        <v>1072</v>
      </c>
      <c r="EKW65" s="277" t="s">
        <v>1072</v>
      </c>
      <c r="EKX65" s="277" t="s">
        <v>1072</v>
      </c>
      <c r="EKY65" s="277" t="s">
        <v>1072</v>
      </c>
      <c r="EKZ65" s="277" t="s">
        <v>1072</v>
      </c>
      <c r="ELA65" s="277" t="s">
        <v>1072</v>
      </c>
      <c r="ELB65" s="277" t="s">
        <v>1072</v>
      </c>
      <c r="ELC65" s="277" t="s">
        <v>1072</v>
      </c>
      <c r="ELD65" s="277" t="s">
        <v>1072</v>
      </c>
      <c r="ELE65" s="277" t="s">
        <v>1072</v>
      </c>
      <c r="ELF65" s="277" t="s">
        <v>1072</v>
      </c>
      <c r="ELG65" s="277" t="s">
        <v>1072</v>
      </c>
      <c r="ELH65" s="277" t="s">
        <v>1072</v>
      </c>
      <c r="ELI65" s="277" t="s">
        <v>1072</v>
      </c>
      <c r="ELJ65" s="277" t="s">
        <v>1072</v>
      </c>
      <c r="ELK65" s="277" t="s">
        <v>1072</v>
      </c>
      <c r="ELL65" s="277" t="s">
        <v>1072</v>
      </c>
      <c r="ELM65" s="277" t="s">
        <v>1072</v>
      </c>
      <c r="ELN65" s="277" t="s">
        <v>1072</v>
      </c>
      <c r="ELO65" s="277" t="s">
        <v>1072</v>
      </c>
      <c r="ELP65" s="277" t="s">
        <v>1072</v>
      </c>
      <c r="ELQ65" s="277" t="s">
        <v>1072</v>
      </c>
      <c r="ELR65" s="277" t="s">
        <v>1072</v>
      </c>
      <c r="ELS65" s="277" t="s">
        <v>1072</v>
      </c>
      <c r="ELT65" s="277" t="s">
        <v>1072</v>
      </c>
      <c r="ELU65" s="277" t="s">
        <v>1072</v>
      </c>
      <c r="ELV65" s="277" t="s">
        <v>1072</v>
      </c>
      <c r="ELW65" s="277" t="s">
        <v>1072</v>
      </c>
      <c r="ELX65" s="277" t="s">
        <v>1072</v>
      </c>
      <c r="ELY65" s="277" t="s">
        <v>1072</v>
      </c>
      <c r="ELZ65" s="277" t="s">
        <v>1072</v>
      </c>
      <c r="EMA65" s="277" t="s">
        <v>1072</v>
      </c>
      <c r="EMB65" s="277" t="s">
        <v>1072</v>
      </c>
      <c r="EMC65" s="277" t="s">
        <v>1072</v>
      </c>
      <c r="EMD65" s="277" t="s">
        <v>1072</v>
      </c>
      <c r="EME65" s="277" t="s">
        <v>1072</v>
      </c>
      <c r="EMF65" s="277" t="s">
        <v>1072</v>
      </c>
      <c r="EMG65" s="277" t="s">
        <v>1072</v>
      </c>
      <c r="EMH65" s="277" t="s">
        <v>1072</v>
      </c>
      <c r="EMI65" s="277" t="s">
        <v>1072</v>
      </c>
      <c r="EMJ65" s="277" t="s">
        <v>1072</v>
      </c>
      <c r="EMK65" s="277" t="s">
        <v>1072</v>
      </c>
      <c r="EML65" s="277" t="s">
        <v>1072</v>
      </c>
      <c r="EMM65" s="277" t="s">
        <v>1072</v>
      </c>
      <c r="EMN65" s="277" t="s">
        <v>1072</v>
      </c>
      <c r="EMO65" s="277" t="s">
        <v>1072</v>
      </c>
      <c r="EMP65" s="277" t="s">
        <v>1072</v>
      </c>
      <c r="EMQ65" s="277" t="s">
        <v>1072</v>
      </c>
      <c r="EMR65" s="277" t="s">
        <v>1072</v>
      </c>
      <c r="EMS65" s="277" t="s">
        <v>1072</v>
      </c>
      <c r="EMT65" s="277" t="s">
        <v>1072</v>
      </c>
      <c r="EMU65" s="277" t="s">
        <v>1072</v>
      </c>
      <c r="EMV65" s="277" t="s">
        <v>1072</v>
      </c>
      <c r="EMW65" s="277" t="s">
        <v>1072</v>
      </c>
      <c r="EMX65" s="277" t="s">
        <v>1072</v>
      </c>
      <c r="EMY65" s="277" t="s">
        <v>1072</v>
      </c>
      <c r="EMZ65" s="277" t="s">
        <v>1072</v>
      </c>
      <c r="ENA65" s="277" t="s">
        <v>1072</v>
      </c>
      <c r="ENB65" s="277" t="s">
        <v>1072</v>
      </c>
      <c r="ENC65" s="277" t="s">
        <v>1072</v>
      </c>
      <c r="END65" s="277" t="s">
        <v>1072</v>
      </c>
      <c r="ENE65" s="277" t="s">
        <v>1072</v>
      </c>
      <c r="ENF65" s="277" t="s">
        <v>1072</v>
      </c>
      <c r="ENG65" s="277" t="s">
        <v>1072</v>
      </c>
      <c r="ENH65" s="277" t="s">
        <v>1072</v>
      </c>
      <c r="ENI65" s="277" t="s">
        <v>1072</v>
      </c>
      <c r="ENJ65" s="277" t="s">
        <v>1072</v>
      </c>
      <c r="ENK65" s="277" t="s">
        <v>1072</v>
      </c>
      <c r="ENL65" s="277" t="s">
        <v>1072</v>
      </c>
      <c r="ENM65" s="277" t="s">
        <v>1072</v>
      </c>
      <c r="ENN65" s="277" t="s">
        <v>1072</v>
      </c>
      <c r="ENO65" s="277" t="s">
        <v>1072</v>
      </c>
      <c r="ENP65" s="277" t="s">
        <v>1072</v>
      </c>
      <c r="ENQ65" s="277" t="s">
        <v>1072</v>
      </c>
      <c r="ENR65" s="277" t="s">
        <v>1072</v>
      </c>
      <c r="ENS65" s="277" t="s">
        <v>1072</v>
      </c>
      <c r="ENT65" s="277" t="s">
        <v>1072</v>
      </c>
      <c r="ENU65" s="277" t="s">
        <v>1072</v>
      </c>
      <c r="ENV65" s="277" t="s">
        <v>1072</v>
      </c>
      <c r="ENW65" s="277" t="s">
        <v>1072</v>
      </c>
      <c r="ENX65" s="277" t="s">
        <v>1072</v>
      </c>
      <c r="ENY65" s="277" t="s">
        <v>1072</v>
      </c>
      <c r="ENZ65" s="277" t="s">
        <v>1072</v>
      </c>
      <c r="EOA65" s="277" t="s">
        <v>1072</v>
      </c>
      <c r="EOB65" s="277" t="s">
        <v>1072</v>
      </c>
      <c r="EOC65" s="277" t="s">
        <v>1072</v>
      </c>
      <c r="EOD65" s="277" t="s">
        <v>1072</v>
      </c>
      <c r="EOE65" s="277" t="s">
        <v>1072</v>
      </c>
      <c r="EOF65" s="277" t="s">
        <v>1072</v>
      </c>
      <c r="EOG65" s="277" t="s">
        <v>1072</v>
      </c>
      <c r="EOH65" s="277" t="s">
        <v>1072</v>
      </c>
      <c r="EOI65" s="277" t="s">
        <v>1072</v>
      </c>
      <c r="EOJ65" s="277" t="s">
        <v>1072</v>
      </c>
      <c r="EOK65" s="277" t="s">
        <v>1072</v>
      </c>
      <c r="EOL65" s="277" t="s">
        <v>1072</v>
      </c>
      <c r="EOM65" s="277" t="s">
        <v>1072</v>
      </c>
      <c r="EON65" s="277" t="s">
        <v>1072</v>
      </c>
      <c r="EOO65" s="277" t="s">
        <v>1072</v>
      </c>
      <c r="EOP65" s="277" t="s">
        <v>1072</v>
      </c>
      <c r="EOQ65" s="277" t="s">
        <v>1072</v>
      </c>
      <c r="EOR65" s="277" t="s">
        <v>1072</v>
      </c>
      <c r="EOS65" s="277" t="s">
        <v>1072</v>
      </c>
      <c r="EOT65" s="277" t="s">
        <v>1072</v>
      </c>
      <c r="EOU65" s="277" t="s">
        <v>1072</v>
      </c>
      <c r="EOV65" s="277" t="s">
        <v>1072</v>
      </c>
      <c r="EOW65" s="277" t="s">
        <v>1072</v>
      </c>
      <c r="EOX65" s="277" t="s">
        <v>1072</v>
      </c>
      <c r="EOY65" s="277" t="s">
        <v>1072</v>
      </c>
      <c r="EOZ65" s="277" t="s">
        <v>1072</v>
      </c>
      <c r="EPA65" s="277" t="s">
        <v>1072</v>
      </c>
      <c r="EPB65" s="277" t="s">
        <v>1072</v>
      </c>
      <c r="EPC65" s="277" t="s">
        <v>1072</v>
      </c>
      <c r="EPD65" s="277" t="s">
        <v>1072</v>
      </c>
      <c r="EPE65" s="277" t="s">
        <v>1072</v>
      </c>
      <c r="EPF65" s="277" t="s">
        <v>1072</v>
      </c>
      <c r="EPG65" s="277" t="s">
        <v>1072</v>
      </c>
      <c r="EPH65" s="277" t="s">
        <v>1072</v>
      </c>
      <c r="EPI65" s="277" t="s">
        <v>1072</v>
      </c>
      <c r="EPJ65" s="277" t="s">
        <v>1072</v>
      </c>
      <c r="EPK65" s="277" t="s">
        <v>1072</v>
      </c>
      <c r="EPL65" s="277" t="s">
        <v>1072</v>
      </c>
      <c r="EPM65" s="277" t="s">
        <v>1072</v>
      </c>
      <c r="EPN65" s="277" t="s">
        <v>1072</v>
      </c>
      <c r="EPO65" s="277" t="s">
        <v>1072</v>
      </c>
      <c r="EPP65" s="277" t="s">
        <v>1072</v>
      </c>
      <c r="EPQ65" s="277" t="s">
        <v>1072</v>
      </c>
      <c r="EPR65" s="277" t="s">
        <v>1072</v>
      </c>
      <c r="EPS65" s="277" t="s">
        <v>1072</v>
      </c>
      <c r="EPT65" s="277" t="s">
        <v>1072</v>
      </c>
      <c r="EPU65" s="277" t="s">
        <v>1072</v>
      </c>
      <c r="EPV65" s="277" t="s">
        <v>1072</v>
      </c>
      <c r="EPW65" s="277" t="s">
        <v>1072</v>
      </c>
      <c r="EPX65" s="277" t="s">
        <v>1072</v>
      </c>
      <c r="EPY65" s="277" t="s">
        <v>1072</v>
      </c>
      <c r="EPZ65" s="277" t="s">
        <v>1072</v>
      </c>
      <c r="EQA65" s="277" t="s">
        <v>1072</v>
      </c>
      <c r="EQB65" s="277" t="s">
        <v>1072</v>
      </c>
      <c r="EQC65" s="277" t="s">
        <v>1072</v>
      </c>
      <c r="EQD65" s="277" t="s">
        <v>1072</v>
      </c>
      <c r="EQE65" s="277" t="s">
        <v>1072</v>
      </c>
      <c r="EQF65" s="277" t="s">
        <v>1072</v>
      </c>
      <c r="EQG65" s="277" t="s">
        <v>1072</v>
      </c>
      <c r="EQH65" s="277" t="s">
        <v>1072</v>
      </c>
      <c r="EQI65" s="277" t="s">
        <v>1072</v>
      </c>
      <c r="EQJ65" s="277" t="s">
        <v>1072</v>
      </c>
      <c r="EQK65" s="277" t="s">
        <v>1072</v>
      </c>
      <c r="EQL65" s="277" t="s">
        <v>1072</v>
      </c>
      <c r="EQM65" s="277" t="s">
        <v>1072</v>
      </c>
      <c r="EQN65" s="277" t="s">
        <v>1072</v>
      </c>
      <c r="EQO65" s="277" t="s">
        <v>1072</v>
      </c>
      <c r="EQP65" s="277" t="s">
        <v>1072</v>
      </c>
      <c r="EQQ65" s="277" t="s">
        <v>1072</v>
      </c>
      <c r="EQR65" s="277" t="s">
        <v>1072</v>
      </c>
      <c r="EQS65" s="277" t="s">
        <v>1072</v>
      </c>
      <c r="EQT65" s="277" t="s">
        <v>1072</v>
      </c>
      <c r="EQU65" s="277" t="s">
        <v>1072</v>
      </c>
      <c r="EQV65" s="277" t="s">
        <v>1072</v>
      </c>
      <c r="EQW65" s="277" t="s">
        <v>1072</v>
      </c>
      <c r="EQX65" s="277" t="s">
        <v>1072</v>
      </c>
      <c r="EQY65" s="277" t="s">
        <v>1072</v>
      </c>
      <c r="EQZ65" s="277" t="s">
        <v>1072</v>
      </c>
      <c r="ERA65" s="277" t="s">
        <v>1072</v>
      </c>
      <c r="ERB65" s="277" t="s">
        <v>1072</v>
      </c>
      <c r="ERC65" s="277" t="s">
        <v>1072</v>
      </c>
      <c r="ERD65" s="277" t="s">
        <v>1072</v>
      </c>
      <c r="ERE65" s="277" t="s">
        <v>1072</v>
      </c>
      <c r="ERF65" s="277" t="s">
        <v>1072</v>
      </c>
      <c r="ERG65" s="277" t="s">
        <v>1072</v>
      </c>
      <c r="ERH65" s="277" t="s">
        <v>1072</v>
      </c>
      <c r="ERI65" s="277" t="s">
        <v>1072</v>
      </c>
      <c r="ERJ65" s="277" t="s">
        <v>1072</v>
      </c>
      <c r="ERK65" s="277" t="s">
        <v>1072</v>
      </c>
      <c r="ERL65" s="277" t="s">
        <v>1072</v>
      </c>
      <c r="ERM65" s="277" t="s">
        <v>1072</v>
      </c>
      <c r="ERN65" s="277" t="s">
        <v>1072</v>
      </c>
      <c r="ERO65" s="277" t="s">
        <v>1072</v>
      </c>
      <c r="ERP65" s="277" t="s">
        <v>1072</v>
      </c>
      <c r="ERQ65" s="277" t="s">
        <v>1072</v>
      </c>
      <c r="ERR65" s="277" t="s">
        <v>1072</v>
      </c>
      <c r="ERS65" s="277" t="s">
        <v>1072</v>
      </c>
      <c r="ERT65" s="277" t="s">
        <v>1072</v>
      </c>
      <c r="ERU65" s="277" t="s">
        <v>1072</v>
      </c>
      <c r="ERV65" s="277" t="s">
        <v>1072</v>
      </c>
      <c r="ERW65" s="277" t="s">
        <v>1072</v>
      </c>
      <c r="ERX65" s="277" t="s">
        <v>1072</v>
      </c>
      <c r="ERY65" s="277" t="s">
        <v>1072</v>
      </c>
      <c r="ERZ65" s="277" t="s">
        <v>1072</v>
      </c>
      <c r="ESA65" s="277" t="s">
        <v>1072</v>
      </c>
      <c r="ESB65" s="277" t="s">
        <v>1072</v>
      </c>
      <c r="ESC65" s="277" t="s">
        <v>1072</v>
      </c>
      <c r="ESD65" s="277" t="s">
        <v>1072</v>
      </c>
      <c r="ESE65" s="277" t="s">
        <v>1072</v>
      </c>
      <c r="ESF65" s="277" t="s">
        <v>1072</v>
      </c>
      <c r="ESG65" s="277" t="s">
        <v>1072</v>
      </c>
      <c r="ESH65" s="277" t="s">
        <v>1072</v>
      </c>
      <c r="ESI65" s="277" t="s">
        <v>1072</v>
      </c>
      <c r="ESJ65" s="277" t="s">
        <v>1072</v>
      </c>
      <c r="ESK65" s="277" t="s">
        <v>1072</v>
      </c>
      <c r="ESL65" s="277" t="s">
        <v>1072</v>
      </c>
      <c r="ESM65" s="277" t="s">
        <v>1072</v>
      </c>
      <c r="ESN65" s="277" t="s">
        <v>1072</v>
      </c>
      <c r="ESO65" s="277" t="s">
        <v>1072</v>
      </c>
      <c r="ESP65" s="277" t="s">
        <v>1072</v>
      </c>
      <c r="ESQ65" s="277" t="s">
        <v>1072</v>
      </c>
      <c r="ESR65" s="277" t="s">
        <v>1072</v>
      </c>
      <c r="ESS65" s="277" t="s">
        <v>1072</v>
      </c>
      <c r="EST65" s="277" t="s">
        <v>1072</v>
      </c>
      <c r="ESU65" s="277" t="s">
        <v>1072</v>
      </c>
      <c r="ESV65" s="277" t="s">
        <v>1072</v>
      </c>
      <c r="ESW65" s="277" t="s">
        <v>1072</v>
      </c>
      <c r="ESX65" s="277" t="s">
        <v>1072</v>
      </c>
      <c r="ESY65" s="277" t="s">
        <v>1072</v>
      </c>
      <c r="ESZ65" s="277" t="s">
        <v>1072</v>
      </c>
      <c r="ETA65" s="277" t="s">
        <v>1072</v>
      </c>
      <c r="ETB65" s="277" t="s">
        <v>1072</v>
      </c>
      <c r="ETC65" s="277" t="s">
        <v>1072</v>
      </c>
      <c r="ETD65" s="277" t="s">
        <v>1072</v>
      </c>
      <c r="ETE65" s="277" t="s">
        <v>1072</v>
      </c>
      <c r="ETF65" s="277" t="s">
        <v>1072</v>
      </c>
      <c r="ETG65" s="277" t="s">
        <v>1072</v>
      </c>
      <c r="ETH65" s="277" t="s">
        <v>1072</v>
      </c>
      <c r="ETI65" s="277" t="s">
        <v>1072</v>
      </c>
      <c r="ETJ65" s="277" t="s">
        <v>1072</v>
      </c>
      <c r="ETK65" s="277" t="s">
        <v>1072</v>
      </c>
      <c r="ETL65" s="277" t="s">
        <v>1072</v>
      </c>
      <c r="ETM65" s="277" t="s">
        <v>1072</v>
      </c>
      <c r="ETN65" s="277" t="s">
        <v>1072</v>
      </c>
      <c r="ETO65" s="277" t="s">
        <v>1072</v>
      </c>
      <c r="ETP65" s="277" t="s">
        <v>1072</v>
      </c>
      <c r="ETQ65" s="277" t="s">
        <v>1072</v>
      </c>
      <c r="ETR65" s="277" t="s">
        <v>1072</v>
      </c>
      <c r="ETS65" s="277" t="s">
        <v>1072</v>
      </c>
      <c r="ETT65" s="277" t="s">
        <v>1072</v>
      </c>
      <c r="ETU65" s="277" t="s">
        <v>1072</v>
      </c>
      <c r="ETV65" s="277" t="s">
        <v>1072</v>
      </c>
      <c r="ETW65" s="277" t="s">
        <v>1072</v>
      </c>
      <c r="ETX65" s="277" t="s">
        <v>1072</v>
      </c>
      <c r="ETY65" s="277" t="s">
        <v>1072</v>
      </c>
      <c r="ETZ65" s="277" t="s">
        <v>1072</v>
      </c>
      <c r="EUA65" s="277" t="s">
        <v>1072</v>
      </c>
      <c r="EUB65" s="277" t="s">
        <v>1072</v>
      </c>
      <c r="EUC65" s="277" t="s">
        <v>1072</v>
      </c>
      <c r="EUD65" s="277" t="s">
        <v>1072</v>
      </c>
      <c r="EUE65" s="277" t="s">
        <v>1072</v>
      </c>
      <c r="EUF65" s="277" t="s">
        <v>1072</v>
      </c>
      <c r="EUG65" s="277" t="s">
        <v>1072</v>
      </c>
      <c r="EUH65" s="277" t="s">
        <v>1072</v>
      </c>
      <c r="EUI65" s="277" t="s">
        <v>1072</v>
      </c>
      <c r="EUJ65" s="277" t="s">
        <v>1072</v>
      </c>
      <c r="EUK65" s="277" t="s">
        <v>1072</v>
      </c>
      <c r="EUL65" s="277" t="s">
        <v>1072</v>
      </c>
      <c r="EUM65" s="277" t="s">
        <v>1072</v>
      </c>
      <c r="EUN65" s="277" t="s">
        <v>1072</v>
      </c>
      <c r="EUO65" s="277" t="s">
        <v>1072</v>
      </c>
      <c r="EUP65" s="277" t="s">
        <v>1072</v>
      </c>
      <c r="EUQ65" s="277" t="s">
        <v>1072</v>
      </c>
      <c r="EUR65" s="277" t="s">
        <v>1072</v>
      </c>
      <c r="EUS65" s="277" t="s">
        <v>1072</v>
      </c>
      <c r="EUT65" s="277" t="s">
        <v>1072</v>
      </c>
      <c r="EUU65" s="277" t="s">
        <v>1072</v>
      </c>
      <c r="EUV65" s="277" t="s">
        <v>1072</v>
      </c>
      <c r="EUW65" s="277" t="s">
        <v>1072</v>
      </c>
      <c r="EUX65" s="277" t="s">
        <v>1072</v>
      </c>
      <c r="EUY65" s="277" t="s">
        <v>1072</v>
      </c>
      <c r="EUZ65" s="277" t="s">
        <v>1072</v>
      </c>
      <c r="EVA65" s="277" t="s">
        <v>1072</v>
      </c>
      <c r="EVB65" s="277" t="s">
        <v>1072</v>
      </c>
      <c r="EVC65" s="277" t="s">
        <v>1072</v>
      </c>
      <c r="EVD65" s="277" t="s">
        <v>1072</v>
      </c>
      <c r="EVE65" s="277" t="s">
        <v>1072</v>
      </c>
      <c r="EVF65" s="277" t="s">
        <v>1072</v>
      </c>
      <c r="EVG65" s="277" t="s">
        <v>1072</v>
      </c>
      <c r="EVH65" s="277" t="s">
        <v>1072</v>
      </c>
      <c r="EVI65" s="277" t="s">
        <v>1072</v>
      </c>
      <c r="EVJ65" s="277" t="s">
        <v>1072</v>
      </c>
      <c r="EVK65" s="277" t="s">
        <v>1072</v>
      </c>
      <c r="EVL65" s="277" t="s">
        <v>1072</v>
      </c>
      <c r="EVM65" s="277" t="s">
        <v>1072</v>
      </c>
      <c r="EVN65" s="277" t="s">
        <v>1072</v>
      </c>
      <c r="EVO65" s="277" t="s">
        <v>1072</v>
      </c>
      <c r="EVP65" s="277" t="s">
        <v>1072</v>
      </c>
      <c r="EVQ65" s="277" t="s">
        <v>1072</v>
      </c>
      <c r="EVR65" s="277" t="s">
        <v>1072</v>
      </c>
      <c r="EVS65" s="277" t="s">
        <v>1072</v>
      </c>
      <c r="EVT65" s="277" t="s">
        <v>1072</v>
      </c>
      <c r="EVU65" s="277" t="s">
        <v>1072</v>
      </c>
      <c r="EVV65" s="277" t="s">
        <v>1072</v>
      </c>
      <c r="EVW65" s="277" t="s">
        <v>1072</v>
      </c>
      <c r="EVX65" s="277" t="s">
        <v>1072</v>
      </c>
      <c r="EVY65" s="277" t="s">
        <v>1072</v>
      </c>
      <c r="EVZ65" s="277" t="s">
        <v>1072</v>
      </c>
      <c r="EWA65" s="277" t="s">
        <v>1072</v>
      </c>
      <c r="EWB65" s="277" t="s">
        <v>1072</v>
      </c>
      <c r="EWC65" s="277" t="s">
        <v>1072</v>
      </c>
      <c r="EWD65" s="277" t="s">
        <v>1072</v>
      </c>
      <c r="EWE65" s="277" t="s">
        <v>1072</v>
      </c>
      <c r="EWF65" s="277" t="s">
        <v>1072</v>
      </c>
      <c r="EWG65" s="277" t="s">
        <v>1072</v>
      </c>
      <c r="EWH65" s="277" t="s">
        <v>1072</v>
      </c>
      <c r="EWI65" s="277" t="s">
        <v>1072</v>
      </c>
      <c r="EWJ65" s="277" t="s">
        <v>1072</v>
      </c>
      <c r="EWK65" s="277" t="s">
        <v>1072</v>
      </c>
      <c r="EWL65" s="277" t="s">
        <v>1072</v>
      </c>
      <c r="EWM65" s="277" t="s">
        <v>1072</v>
      </c>
      <c r="EWN65" s="277" t="s">
        <v>1072</v>
      </c>
      <c r="EWO65" s="277" t="s">
        <v>1072</v>
      </c>
      <c r="EWP65" s="277" t="s">
        <v>1072</v>
      </c>
      <c r="EWQ65" s="277" t="s">
        <v>1072</v>
      </c>
      <c r="EWR65" s="277" t="s">
        <v>1072</v>
      </c>
      <c r="EWS65" s="277" t="s">
        <v>1072</v>
      </c>
      <c r="EWT65" s="277" t="s">
        <v>1072</v>
      </c>
      <c r="EWU65" s="277" t="s">
        <v>1072</v>
      </c>
      <c r="EWV65" s="277" t="s">
        <v>1072</v>
      </c>
      <c r="EWW65" s="277" t="s">
        <v>1072</v>
      </c>
      <c r="EWX65" s="277" t="s">
        <v>1072</v>
      </c>
      <c r="EWY65" s="277" t="s">
        <v>1072</v>
      </c>
      <c r="EWZ65" s="277" t="s">
        <v>1072</v>
      </c>
      <c r="EXA65" s="277" t="s">
        <v>1072</v>
      </c>
      <c r="EXB65" s="277" t="s">
        <v>1072</v>
      </c>
      <c r="EXC65" s="277" t="s">
        <v>1072</v>
      </c>
      <c r="EXD65" s="277" t="s">
        <v>1072</v>
      </c>
      <c r="EXE65" s="277" t="s">
        <v>1072</v>
      </c>
      <c r="EXF65" s="277" t="s">
        <v>1072</v>
      </c>
      <c r="EXG65" s="277" t="s">
        <v>1072</v>
      </c>
      <c r="EXH65" s="277" t="s">
        <v>1072</v>
      </c>
      <c r="EXI65" s="277" t="s">
        <v>1072</v>
      </c>
      <c r="EXJ65" s="277" t="s">
        <v>1072</v>
      </c>
      <c r="EXK65" s="277" t="s">
        <v>1072</v>
      </c>
      <c r="EXL65" s="277" t="s">
        <v>1072</v>
      </c>
      <c r="EXM65" s="277" t="s">
        <v>1072</v>
      </c>
      <c r="EXN65" s="277" t="s">
        <v>1072</v>
      </c>
      <c r="EXO65" s="277" t="s">
        <v>1072</v>
      </c>
      <c r="EXP65" s="277" t="s">
        <v>1072</v>
      </c>
      <c r="EXQ65" s="277" t="s">
        <v>1072</v>
      </c>
      <c r="EXR65" s="277" t="s">
        <v>1072</v>
      </c>
      <c r="EXS65" s="277" t="s">
        <v>1072</v>
      </c>
      <c r="EXT65" s="277" t="s">
        <v>1072</v>
      </c>
      <c r="EXU65" s="277" t="s">
        <v>1072</v>
      </c>
      <c r="EXV65" s="277" t="s">
        <v>1072</v>
      </c>
      <c r="EXW65" s="277" t="s">
        <v>1072</v>
      </c>
      <c r="EXX65" s="277" t="s">
        <v>1072</v>
      </c>
      <c r="EXY65" s="277" t="s">
        <v>1072</v>
      </c>
      <c r="EXZ65" s="277" t="s">
        <v>1072</v>
      </c>
      <c r="EYA65" s="277" t="s">
        <v>1072</v>
      </c>
      <c r="EYB65" s="277" t="s">
        <v>1072</v>
      </c>
      <c r="EYC65" s="277" t="s">
        <v>1072</v>
      </c>
      <c r="EYD65" s="277" t="s">
        <v>1072</v>
      </c>
      <c r="EYE65" s="277" t="s">
        <v>1072</v>
      </c>
      <c r="EYF65" s="277" t="s">
        <v>1072</v>
      </c>
      <c r="EYG65" s="277" t="s">
        <v>1072</v>
      </c>
      <c r="EYH65" s="277" t="s">
        <v>1072</v>
      </c>
      <c r="EYI65" s="277" t="s">
        <v>1072</v>
      </c>
      <c r="EYJ65" s="277" t="s">
        <v>1072</v>
      </c>
      <c r="EYK65" s="277" t="s">
        <v>1072</v>
      </c>
      <c r="EYL65" s="277" t="s">
        <v>1072</v>
      </c>
      <c r="EYM65" s="277" t="s">
        <v>1072</v>
      </c>
      <c r="EYN65" s="277" t="s">
        <v>1072</v>
      </c>
      <c r="EYO65" s="277" t="s">
        <v>1072</v>
      </c>
      <c r="EYP65" s="277" t="s">
        <v>1072</v>
      </c>
      <c r="EYQ65" s="277" t="s">
        <v>1072</v>
      </c>
      <c r="EYR65" s="277" t="s">
        <v>1072</v>
      </c>
      <c r="EYS65" s="277" t="s">
        <v>1072</v>
      </c>
      <c r="EYT65" s="277" t="s">
        <v>1072</v>
      </c>
      <c r="EYU65" s="277" t="s">
        <v>1072</v>
      </c>
      <c r="EYV65" s="277" t="s">
        <v>1072</v>
      </c>
      <c r="EYW65" s="277" t="s">
        <v>1072</v>
      </c>
      <c r="EYX65" s="277" t="s">
        <v>1072</v>
      </c>
      <c r="EYY65" s="277" t="s">
        <v>1072</v>
      </c>
      <c r="EYZ65" s="277" t="s">
        <v>1072</v>
      </c>
      <c r="EZA65" s="277" t="s">
        <v>1072</v>
      </c>
      <c r="EZB65" s="277" t="s">
        <v>1072</v>
      </c>
      <c r="EZC65" s="277" t="s">
        <v>1072</v>
      </c>
      <c r="EZD65" s="277" t="s">
        <v>1072</v>
      </c>
      <c r="EZE65" s="277" t="s">
        <v>1072</v>
      </c>
      <c r="EZF65" s="277" t="s">
        <v>1072</v>
      </c>
      <c r="EZG65" s="277" t="s">
        <v>1072</v>
      </c>
      <c r="EZH65" s="277" t="s">
        <v>1072</v>
      </c>
      <c r="EZI65" s="277" t="s">
        <v>1072</v>
      </c>
      <c r="EZJ65" s="277" t="s">
        <v>1072</v>
      </c>
      <c r="EZK65" s="277" t="s">
        <v>1072</v>
      </c>
      <c r="EZL65" s="277" t="s">
        <v>1072</v>
      </c>
      <c r="EZM65" s="277" t="s">
        <v>1072</v>
      </c>
      <c r="EZN65" s="277" t="s">
        <v>1072</v>
      </c>
      <c r="EZO65" s="277" t="s">
        <v>1072</v>
      </c>
      <c r="EZP65" s="277" t="s">
        <v>1072</v>
      </c>
      <c r="EZQ65" s="277" t="s">
        <v>1072</v>
      </c>
      <c r="EZR65" s="277" t="s">
        <v>1072</v>
      </c>
      <c r="EZS65" s="277" t="s">
        <v>1072</v>
      </c>
      <c r="EZT65" s="277" t="s">
        <v>1072</v>
      </c>
      <c r="EZU65" s="277" t="s">
        <v>1072</v>
      </c>
      <c r="EZV65" s="277" t="s">
        <v>1072</v>
      </c>
      <c r="EZW65" s="277" t="s">
        <v>1072</v>
      </c>
      <c r="EZX65" s="277" t="s">
        <v>1072</v>
      </c>
      <c r="EZY65" s="277" t="s">
        <v>1072</v>
      </c>
      <c r="EZZ65" s="277" t="s">
        <v>1072</v>
      </c>
      <c r="FAA65" s="277" t="s">
        <v>1072</v>
      </c>
      <c r="FAB65" s="277" t="s">
        <v>1072</v>
      </c>
      <c r="FAC65" s="277" t="s">
        <v>1072</v>
      </c>
      <c r="FAD65" s="277" t="s">
        <v>1072</v>
      </c>
      <c r="FAE65" s="277" t="s">
        <v>1072</v>
      </c>
      <c r="FAF65" s="277" t="s">
        <v>1072</v>
      </c>
      <c r="FAG65" s="277" t="s">
        <v>1072</v>
      </c>
      <c r="FAH65" s="277" t="s">
        <v>1072</v>
      </c>
      <c r="FAI65" s="277" t="s">
        <v>1072</v>
      </c>
      <c r="FAJ65" s="277" t="s">
        <v>1072</v>
      </c>
      <c r="FAK65" s="277" t="s">
        <v>1072</v>
      </c>
      <c r="FAL65" s="277" t="s">
        <v>1072</v>
      </c>
      <c r="FAM65" s="277" t="s">
        <v>1072</v>
      </c>
      <c r="FAN65" s="277" t="s">
        <v>1072</v>
      </c>
      <c r="FAO65" s="277" t="s">
        <v>1072</v>
      </c>
      <c r="FAP65" s="277" t="s">
        <v>1072</v>
      </c>
      <c r="FAQ65" s="277" t="s">
        <v>1072</v>
      </c>
      <c r="FAR65" s="277" t="s">
        <v>1072</v>
      </c>
      <c r="FAS65" s="277" t="s">
        <v>1072</v>
      </c>
      <c r="FAT65" s="277" t="s">
        <v>1072</v>
      </c>
      <c r="FAU65" s="277" t="s">
        <v>1072</v>
      </c>
      <c r="FAV65" s="277" t="s">
        <v>1072</v>
      </c>
      <c r="FAW65" s="277" t="s">
        <v>1072</v>
      </c>
      <c r="FAX65" s="277" t="s">
        <v>1072</v>
      </c>
      <c r="FAY65" s="277" t="s">
        <v>1072</v>
      </c>
      <c r="FAZ65" s="277" t="s">
        <v>1072</v>
      </c>
      <c r="FBA65" s="277" t="s">
        <v>1072</v>
      </c>
      <c r="FBB65" s="277" t="s">
        <v>1072</v>
      </c>
      <c r="FBC65" s="277" t="s">
        <v>1072</v>
      </c>
      <c r="FBD65" s="277" t="s">
        <v>1072</v>
      </c>
      <c r="FBE65" s="277" t="s">
        <v>1072</v>
      </c>
      <c r="FBF65" s="277" t="s">
        <v>1072</v>
      </c>
      <c r="FBG65" s="277" t="s">
        <v>1072</v>
      </c>
      <c r="FBH65" s="277" t="s">
        <v>1072</v>
      </c>
      <c r="FBI65" s="277" t="s">
        <v>1072</v>
      </c>
      <c r="FBJ65" s="277" t="s">
        <v>1072</v>
      </c>
      <c r="FBK65" s="277" t="s">
        <v>1072</v>
      </c>
      <c r="FBL65" s="277" t="s">
        <v>1072</v>
      </c>
      <c r="FBM65" s="277" t="s">
        <v>1072</v>
      </c>
      <c r="FBN65" s="277" t="s">
        <v>1072</v>
      </c>
      <c r="FBO65" s="277" t="s">
        <v>1072</v>
      </c>
      <c r="FBP65" s="277" t="s">
        <v>1072</v>
      </c>
      <c r="FBQ65" s="277" t="s">
        <v>1072</v>
      </c>
      <c r="FBR65" s="277" t="s">
        <v>1072</v>
      </c>
      <c r="FBS65" s="277" t="s">
        <v>1072</v>
      </c>
      <c r="FBT65" s="277" t="s">
        <v>1072</v>
      </c>
      <c r="FBU65" s="277" t="s">
        <v>1072</v>
      </c>
      <c r="FBV65" s="277" t="s">
        <v>1072</v>
      </c>
      <c r="FBW65" s="277" t="s">
        <v>1072</v>
      </c>
      <c r="FBX65" s="277" t="s">
        <v>1072</v>
      </c>
      <c r="FBY65" s="277" t="s">
        <v>1072</v>
      </c>
      <c r="FBZ65" s="277" t="s">
        <v>1072</v>
      </c>
      <c r="FCA65" s="277" t="s">
        <v>1072</v>
      </c>
      <c r="FCB65" s="277" t="s">
        <v>1072</v>
      </c>
      <c r="FCC65" s="277" t="s">
        <v>1072</v>
      </c>
      <c r="FCD65" s="277" t="s">
        <v>1072</v>
      </c>
      <c r="FCE65" s="277" t="s">
        <v>1072</v>
      </c>
      <c r="FCF65" s="277" t="s">
        <v>1072</v>
      </c>
      <c r="FCG65" s="277" t="s">
        <v>1072</v>
      </c>
      <c r="FCH65" s="277" t="s">
        <v>1072</v>
      </c>
      <c r="FCI65" s="277" t="s">
        <v>1072</v>
      </c>
      <c r="FCJ65" s="277" t="s">
        <v>1072</v>
      </c>
      <c r="FCK65" s="277" t="s">
        <v>1072</v>
      </c>
      <c r="FCL65" s="277" t="s">
        <v>1072</v>
      </c>
      <c r="FCM65" s="277" t="s">
        <v>1072</v>
      </c>
      <c r="FCN65" s="277" t="s">
        <v>1072</v>
      </c>
      <c r="FCO65" s="277" t="s">
        <v>1072</v>
      </c>
      <c r="FCP65" s="277" t="s">
        <v>1072</v>
      </c>
      <c r="FCQ65" s="277" t="s">
        <v>1072</v>
      </c>
      <c r="FCR65" s="277" t="s">
        <v>1072</v>
      </c>
      <c r="FCS65" s="277" t="s">
        <v>1072</v>
      </c>
      <c r="FCT65" s="277" t="s">
        <v>1072</v>
      </c>
      <c r="FCU65" s="277" t="s">
        <v>1072</v>
      </c>
      <c r="FCV65" s="277" t="s">
        <v>1072</v>
      </c>
      <c r="FCW65" s="277" t="s">
        <v>1072</v>
      </c>
      <c r="FCX65" s="277" t="s">
        <v>1072</v>
      </c>
      <c r="FCY65" s="277" t="s">
        <v>1072</v>
      </c>
      <c r="FCZ65" s="277" t="s">
        <v>1072</v>
      </c>
      <c r="FDA65" s="277" t="s">
        <v>1072</v>
      </c>
      <c r="FDB65" s="277" t="s">
        <v>1072</v>
      </c>
      <c r="FDC65" s="277" t="s">
        <v>1072</v>
      </c>
      <c r="FDD65" s="277" t="s">
        <v>1072</v>
      </c>
      <c r="FDE65" s="277" t="s">
        <v>1072</v>
      </c>
      <c r="FDF65" s="277" t="s">
        <v>1072</v>
      </c>
      <c r="FDG65" s="277" t="s">
        <v>1072</v>
      </c>
      <c r="FDH65" s="277" t="s">
        <v>1072</v>
      </c>
      <c r="FDI65" s="277" t="s">
        <v>1072</v>
      </c>
      <c r="FDJ65" s="277" t="s">
        <v>1072</v>
      </c>
      <c r="FDK65" s="277" t="s">
        <v>1072</v>
      </c>
      <c r="FDL65" s="277" t="s">
        <v>1072</v>
      </c>
      <c r="FDM65" s="277" t="s">
        <v>1072</v>
      </c>
      <c r="FDN65" s="277" t="s">
        <v>1072</v>
      </c>
      <c r="FDO65" s="277" t="s">
        <v>1072</v>
      </c>
      <c r="FDP65" s="277" t="s">
        <v>1072</v>
      </c>
      <c r="FDQ65" s="277" t="s">
        <v>1072</v>
      </c>
      <c r="FDR65" s="277" t="s">
        <v>1072</v>
      </c>
      <c r="FDS65" s="277" t="s">
        <v>1072</v>
      </c>
      <c r="FDT65" s="277" t="s">
        <v>1072</v>
      </c>
      <c r="FDU65" s="277" t="s">
        <v>1072</v>
      </c>
      <c r="FDV65" s="277" t="s">
        <v>1072</v>
      </c>
      <c r="FDW65" s="277" t="s">
        <v>1072</v>
      </c>
      <c r="FDX65" s="277" t="s">
        <v>1072</v>
      </c>
      <c r="FDY65" s="277" t="s">
        <v>1072</v>
      </c>
      <c r="FDZ65" s="277" t="s">
        <v>1072</v>
      </c>
      <c r="FEA65" s="277" t="s">
        <v>1072</v>
      </c>
      <c r="FEB65" s="277" t="s">
        <v>1072</v>
      </c>
      <c r="FEC65" s="277" t="s">
        <v>1072</v>
      </c>
      <c r="FED65" s="277" t="s">
        <v>1072</v>
      </c>
      <c r="FEE65" s="277" t="s">
        <v>1072</v>
      </c>
      <c r="FEF65" s="277" t="s">
        <v>1072</v>
      </c>
      <c r="FEG65" s="277" t="s">
        <v>1072</v>
      </c>
      <c r="FEH65" s="277" t="s">
        <v>1072</v>
      </c>
      <c r="FEI65" s="277" t="s">
        <v>1072</v>
      </c>
      <c r="FEJ65" s="277" t="s">
        <v>1072</v>
      </c>
      <c r="FEK65" s="277" t="s">
        <v>1072</v>
      </c>
      <c r="FEL65" s="277" t="s">
        <v>1072</v>
      </c>
      <c r="FEM65" s="277" t="s">
        <v>1072</v>
      </c>
      <c r="FEN65" s="277" t="s">
        <v>1072</v>
      </c>
      <c r="FEO65" s="277" t="s">
        <v>1072</v>
      </c>
      <c r="FEP65" s="277" t="s">
        <v>1072</v>
      </c>
      <c r="FEQ65" s="277" t="s">
        <v>1072</v>
      </c>
      <c r="FER65" s="277" t="s">
        <v>1072</v>
      </c>
      <c r="FES65" s="277" t="s">
        <v>1072</v>
      </c>
      <c r="FET65" s="277" t="s">
        <v>1072</v>
      </c>
      <c r="FEU65" s="277" t="s">
        <v>1072</v>
      </c>
      <c r="FEV65" s="277" t="s">
        <v>1072</v>
      </c>
      <c r="FEW65" s="277" t="s">
        <v>1072</v>
      </c>
      <c r="FEX65" s="277" t="s">
        <v>1072</v>
      </c>
      <c r="FEY65" s="277" t="s">
        <v>1072</v>
      </c>
      <c r="FEZ65" s="277" t="s">
        <v>1072</v>
      </c>
      <c r="FFA65" s="277" t="s">
        <v>1072</v>
      </c>
      <c r="FFB65" s="277" t="s">
        <v>1072</v>
      </c>
      <c r="FFC65" s="277" t="s">
        <v>1072</v>
      </c>
      <c r="FFD65" s="277" t="s">
        <v>1072</v>
      </c>
      <c r="FFE65" s="277" t="s">
        <v>1072</v>
      </c>
      <c r="FFF65" s="277" t="s">
        <v>1072</v>
      </c>
      <c r="FFG65" s="277" t="s">
        <v>1072</v>
      </c>
      <c r="FFH65" s="277" t="s">
        <v>1072</v>
      </c>
      <c r="FFI65" s="277" t="s">
        <v>1072</v>
      </c>
      <c r="FFJ65" s="277" t="s">
        <v>1072</v>
      </c>
      <c r="FFK65" s="277" t="s">
        <v>1072</v>
      </c>
      <c r="FFL65" s="277" t="s">
        <v>1072</v>
      </c>
      <c r="FFM65" s="277" t="s">
        <v>1072</v>
      </c>
      <c r="FFN65" s="277" t="s">
        <v>1072</v>
      </c>
      <c r="FFO65" s="277" t="s">
        <v>1072</v>
      </c>
      <c r="FFP65" s="277" t="s">
        <v>1072</v>
      </c>
      <c r="FFQ65" s="277" t="s">
        <v>1072</v>
      </c>
      <c r="FFR65" s="277" t="s">
        <v>1072</v>
      </c>
      <c r="FFS65" s="277" t="s">
        <v>1072</v>
      </c>
      <c r="FFT65" s="277" t="s">
        <v>1072</v>
      </c>
      <c r="FFU65" s="277" t="s">
        <v>1072</v>
      </c>
      <c r="FFV65" s="277" t="s">
        <v>1072</v>
      </c>
      <c r="FFW65" s="277" t="s">
        <v>1072</v>
      </c>
      <c r="FFX65" s="277" t="s">
        <v>1072</v>
      </c>
      <c r="FFY65" s="277" t="s">
        <v>1072</v>
      </c>
      <c r="FFZ65" s="277" t="s">
        <v>1072</v>
      </c>
      <c r="FGA65" s="277" t="s">
        <v>1072</v>
      </c>
      <c r="FGB65" s="277" t="s">
        <v>1072</v>
      </c>
      <c r="FGC65" s="277" t="s">
        <v>1072</v>
      </c>
      <c r="FGD65" s="277" t="s">
        <v>1072</v>
      </c>
      <c r="FGE65" s="277" t="s">
        <v>1072</v>
      </c>
      <c r="FGF65" s="277" t="s">
        <v>1072</v>
      </c>
      <c r="FGG65" s="277" t="s">
        <v>1072</v>
      </c>
      <c r="FGH65" s="277" t="s">
        <v>1072</v>
      </c>
      <c r="FGI65" s="277" t="s">
        <v>1072</v>
      </c>
      <c r="FGJ65" s="277" t="s">
        <v>1072</v>
      </c>
      <c r="FGK65" s="277" t="s">
        <v>1072</v>
      </c>
      <c r="FGL65" s="277" t="s">
        <v>1072</v>
      </c>
      <c r="FGM65" s="277" t="s">
        <v>1072</v>
      </c>
      <c r="FGN65" s="277" t="s">
        <v>1072</v>
      </c>
      <c r="FGO65" s="277" t="s">
        <v>1072</v>
      </c>
      <c r="FGP65" s="277" t="s">
        <v>1072</v>
      </c>
      <c r="FGQ65" s="277" t="s">
        <v>1072</v>
      </c>
      <c r="FGR65" s="277" t="s">
        <v>1072</v>
      </c>
      <c r="FGS65" s="277" t="s">
        <v>1072</v>
      </c>
      <c r="FGT65" s="277" t="s">
        <v>1072</v>
      </c>
      <c r="FGU65" s="277" t="s">
        <v>1072</v>
      </c>
      <c r="FGV65" s="277" t="s">
        <v>1072</v>
      </c>
      <c r="FGW65" s="277" t="s">
        <v>1072</v>
      </c>
      <c r="FGX65" s="277" t="s">
        <v>1072</v>
      </c>
      <c r="FGY65" s="277" t="s">
        <v>1072</v>
      </c>
      <c r="FGZ65" s="277" t="s">
        <v>1072</v>
      </c>
      <c r="FHA65" s="277" t="s">
        <v>1072</v>
      </c>
      <c r="FHB65" s="277" t="s">
        <v>1072</v>
      </c>
      <c r="FHC65" s="277" t="s">
        <v>1072</v>
      </c>
      <c r="FHD65" s="277" t="s">
        <v>1072</v>
      </c>
      <c r="FHE65" s="277" t="s">
        <v>1072</v>
      </c>
      <c r="FHF65" s="277" t="s">
        <v>1072</v>
      </c>
      <c r="FHG65" s="277" t="s">
        <v>1072</v>
      </c>
      <c r="FHH65" s="277" t="s">
        <v>1072</v>
      </c>
      <c r="FHI65" s="277" t="s">
        <v>1072</v>
      </c>
      <c r="FHJ65" s="277" t="s">
        <v>1072</v>
      </c>
      <c r="FHK65" s="277" t="s">
        <v>1072</v>
      </c>
      <c r="FHL65" s="277" t="s">
        <v>1072</v>
      </c>
      <c r="FHM65" s="277" t="s">
        <v>1072</v>
      </c>
      <c r="FHN65" s="277" t="s">
        <v>1072</v>
      </c>
      <c r="FHO65" s="277" t="s">
        <v>1072</v>
      </c>
      <c r="FHP65" s="277" t="s">
        <v>1072</v>
      </c>
      <c r="FHQ65" s="277" t="s">
        <v>1072</v>
      </c>
      <c r="FHR65" s="277" t="s">
        <v>1072</v>
      </c>
      <c r="FHS65" s="277" t="s">
        <v>1072</v>
      </c>
      <c r="FHT65" s="277" t="s">
        <v>1072</v>
      </c>
      <c r="FHU65" s="277" t="s">
        <v>1072</v>
      </c>
      <c r="FHV65" s="277" t="s">
        <v>1072</v>
      </c>
      <c r="FHW65" s="277" t="s">
        <v>1072</v>
      </c>
      <c r="FHX65" s="277" t="s">
        <v>1072</v>
      </c>
      <c r="FHY65" s="277" t="s">
        <v>1072</v>
      </c>
      <c r="FHZ65" s="277" t="s">
        <v>1072</v>
      </c>
      <c r="FIA65" s="277" t="s">
        <v>1072</v>
      </c>
      <c r="FIB65" s="277" t="s">
        <v>1072</v>
      </c>
      <c r="FIC65" s="277" t="s">
        <v>1072</v>
      </c>
      <c r="FID65" s="277" t="s">
        <v>1072</v>
      </c>
      <c r="FIE65" s="277" t="s">
        <v>1072</v>
      </c>
      <c r="FIF65" s="277" t="s">
        <v>1072</v>
      </c>
      <c r="FIG65" s="277" t="s">
        <v>1072</v>
      </c>
      <c r="FIH65" s="277" t="s">
        <v>1072</v>
      </c>
      <c r="FII65" s="277" t="s">
        <v>1072</v>
      </c>
      <c r="FIJ65" s="277" t="s">
        <v>1072</v>
      </c>
      <c r="FIK65" s="277" t="s">
        <v>1072</v>
      </c>
      <c r="FIL65" s="277" t="s">
        <v>1072</v>
      </c>
      <c r="FIM65" s="277" t="s">
        <v>1072</v>
      </c>
      <c r="FIN65" s="277" t="s">
        <v>1072</v>
      </c>
      <c r="FIO65" s="277" t="s">
        <v>1072</v>
      </c>
      <c r="FIP65" s="277" t="s">
        <v>1072</v>
      </c>
      <c r="FIQ65" s="277" t="s">
        <v>1072</v>
      </c>
      <c r="FIR65" s="277" t="s">
        <v>1072</v>
      </c>
      <c r="FIS65" s="277" t="s">
        <v>1072</v>
      </c>
      <c r="FIT65" s="277" t="s">
        <v>1072</v>
      </c>
      <c r="FIU65" s="277" t="s">
        <v>1072</v>
      </c>
      <c r="FIV65" s="277" t="s">
        <v>1072</v>
      </c>
      <c r="FIW65" s="277" t="s">
        <v>1072</v>
      </c>
      <c r="FIX65" s="277" t="s">
        <v>1072</v>
      </c>
      <c r="FIY65" s="277" t="s">
        <v>1072</v>
      </c>
      <c r="FIZ65" s="277" t="s">
        <v>1072</v>
      </c>
      <c r="FJA65" s="277" t="s">
        <v>1072</v>
      </c>
      <c r="FJB65" s="277" t="s">
        <v>1072</v>
      </c>
      <c r="FJC65" s="277" t="s">
        <v>1072</v>
      </c>
      <c r="FJD65" s="277" t="s">
        <v>1072</v>
      </c>
      <c r="FJE65" s="277" t="s">
        <v>1072</v>
      </c>
      <c r="FJF65" s="277" t="s">
        <v>1072</v>
      </c>
      <c r="FJG65" s="277" t="s">
        <v>1072</v>
      </c>
      <c r="FJH65" s="277" t="s">
        <v>1072</v>
      </c>
      <c r="FJI65" s="277" t="s">
        <v>1072</v>
      </c>
      <c r="FJJ65" s="277" t="s">
        <v>1072</v>
      </c>
      <c r="FJK65" s="277" t="s">
        <v>1072</v>
      </c>
      <c r="FJL65" s="277" t="s">
        <v>1072</v>
      </c>
      <c r="FJM65" s="277" t="s">
        <v>1072</v>
      </c>
      <c r="FJN65" s="277" t="s">
        <v>1072</v>
      </c>
      <c r="FJO65" s="277" t="s">
        <v>1072</v>
      </c>
      <c r="FJP65" s="277" t="s">
        <v>1072</v>
      </c>
      <c r="FJQ65" s="277" t="s">
        <v>1072</v>
      </c>
      <c r="FJR65" s="277" t="s">
        <v>1072</v>
      </c>
      <c r="FJS65" s="277" t="s">
        <v>1072</v>
      </c>
      <c r="FJT65" s="277" t="s">
        <v>1072</v>
      </c>
      <c r="FJU65" s="277" t="s">
        <v>1072</v>
      </c>
      <c r="FJV65" s="277" t="s">
        <v>1072</v>
      </c>
      <c r="FJW65" s="277" t="s">
        <v>1072</v>
      </c>
      <c r="FJX65" s="277" t="s">
        <v>1072</v>
      </c>
      <c r="FJY65" s="277" t="s">
        <v>1072</v>
      </c>
      <c r="FJZ65" s="277" t="s">
        <v>1072</v>
      </c>
      <c r="FKA65" s="277" t="s">
        <v>1072</v>
      </c>
      <c r="FKB65" s="277" t="s">
        <v>1072</v>
      </c>
      <c r="FKC65" s="277" t="s">
        <v>1072</v>
      </c>
      <c r="FKD65" s="277" t="s">
        <v>1072</v>
      </c>
      <c r="FKE65" s="277" t="s">
        <v>1072</v>
      </c>
      <c r="FKF65" s="277" t="s">
        <v>1072</v>
      </c>
      <c r="FKG65" s="277" t="s">
        <v>1072</v>
      </c>
      <c r="FKH65" s="277" t="s">
        <v>1072</v>
      </c>
      <c r="FKI65" s="277" t="s">
        <v>1072</v>
      </c>
      <c r="FKJ65" s="277" t="s">
        <v>1072</v>
      </c>
      <c r="FKK65" s="277" t="s">
        <v>1072</v>
      </c>
      <c r="FKL65" s="277" t="s">
        <v>1072</v>
      </c>
      <c r="FKM65" s="277" t="s">
        <v>1072</v>
      </c>
      <c r="FKN65" s="277" t="s">
        <v>1072</v>
      </c>
      <c r="FKO65" s="277" t="s">
        <v>1072</v>
      </c>
      <c r="FKP65" s="277" t="s">
        <v>1072</v>
      </c>
      <c r="FKQ65" s="277" t="s">
        <v>1072</v>
      </c>
      <c r="FKR65" s="277" t="s">
        <v>1072</v>
      </c>
      <c r="FKS65" s="277" t="s">
        <v>1072</v>
      </c>
      <c r="FKT65" s="277" t="s">
        <v>1072</v>
      </c>
      <c r="FKU65" s="277" t="s">
        <v>1072</v>
      </c>
      <c r="FKV65" s="277" t="s">
        <v>1072</v>
      </c>
      <c r="FKW65" s="277" t="s">
        <v>1072</v>
      </c>
      <c r="FKX65" s="277" t="s">
        <v>1072</v>
      </c>
      <c r="FKY65" s="277" t="s">
        <v>1072</v>
      </c>
      <c r="FKZ65" s="277" t="s">
        <v>1072</v>
      </c>
      <c r="FLA65" s="277" t="s">
        <v>1072</v>
      </c>
      <c r="FLB65" s="277" t="s">
        <v>1072</v>
      </c>
      <c r="FLC65" s="277" t="s">
        <v>1072</v>
      </c>
      <c r="FLD65" s="277" t="s">
        <v>1072</v>
      </c>
      <c r="FLE65" s="277" t="s">
        <v>1072</v>
      </c>
      <c r="FLF65" s="277" t="s">
        <v>1072</v>
      </c>
      <c r="FLG65" s="277" t="s">
        <v>1072</v>
      </c>
      <c r="FLH65" s="277" t="s">
        <v>1072</v>
      </c>
      <c r="FLI65" s="277" t="s">
        <v>1072</v>
      </c>
      <c r="FLJ65" s="277" t="s">
        <v>1072</v>
      </c>
      <c r="FLK65" s="277" t="s">
        <v>1072</v>
      </c>
      <c r="FLL65" s="277" t="s">
        <v>1072</v>
      </c>
      <c r="FLM65" s="277" t="s">
        <v>1072</v>
      </c>
      <c r="FLN65" s="277" t="s">
        <v>1072</v>
      </c>
      <c r="FLO65" s="277" t="s">
        <v>1072</v>
      </c>
      <c r="FLP65" s="277" t="s">
        <v>1072</v>
      </c>
      <c r="FLQ65" s="277" t="s">
        <v>1072</v>
      </c>
      <c r="FLR65" s="277" t="s">
        <v>1072</v>
      </c>
      <c r="FLS65" s="277" t="s">
        <v>1072</v>
      </c>
      <c r="FLT65" s="277" t="s">
        <v>1072</v>
      </c>
      <c r="FLU65" s="277" t="s">
        <v>1072</v>
      </c>
      <c r="FLV65" s="277" t="s">
        <v>1072</v>
      </c>
      <c r="FLW65" s="277" t="s">
        <v>1072</v>
      </c>
      <c r="FLX65" s="277" t="s">
        <v>1072</v>
      </c>
      <c r="FLY65" s="277" t="s">
        <v>1072</v>
      </c>
      <c r="FLZ65" s="277" t="s">
        <v>1072</v>
      </c>
      <c r="FMA65" s="277" t="s">
        <v>1072</v>
      </c>
      <c r="FMB65" s="277" t="s">
        <v>1072</v>
      </c>
      <c r="FMC65" s="277" t="s">
        <v>1072</v>
      </c>
      <c r="FMD65" s="277" t="s">
        <v>1072</v>
      </c>
      <c r="FME65" s="277" t="s">
        <v>1072</v>
      </c>
      <c r="FMF65" s="277" t="s">
        <v>1072</v>
      </c>
      <c r="FMG65" s="277" t="s">
        <v>1072</v>
      </c>
      <c r="FMH65" s="277" t="s">
        <v>1072</v>
      </c>
      <c r="FMI65" s="277" t="s">
        <v>1072</v>
      </c>
      <c r="FMJ65" s="277" t="s">
        <v>1072</v>
      </c>
      <c r="FMK65" s="277" t="s">
        <v>1072</v>
      </c>
      <c r="FML65" s="277" t="s">
        <v>1072</v>
      </c>
      <c r="FMM65" s="277" t="s">
        <v>1072</v>
      </c>
      <c r="FMN65" s="277" t="s">
        <v>1072</v>
      </c>
      <c r="FMO65" s="277" t="s">
        <v>1072</v>
      </c>
      <c r="FMP65" s="277" t="s">
        <v>1072</v>
      </c>
      <c r="FMQ65" s="277" t="s">
        <v>1072</v>
      </c>
      <c r="FMR65" s="277" t="s">
        <v>1072</v>
      </c>
      <c r="FMS65" s="277" t="s">
        <v>1072</v>
      </c>
      <c r="FMT65" s="277" t="s">
        <v>1072</v>
      </c>
      <c r="FMU65" s="277" t="s">
        <v>1072</v>
      </c>
      <c r="FMV65" s="277" t="s">
        <v>1072</v>
      </c>
      <c r="FMW65" s="277" t="s">
        <v>1072</v>
      </c>
      <c r="FMX65" s="277" t="s">
        <v>1072</v>
      </c>
      <c r="FMY65" s="277" t="s">
        <v>1072</v>
      </c>
      <c r="FMZ65" s="277" t="s">
        <v>1072</v>
      </c>
      <c r="FNA65" s="277" t="s">
        <v>1072</v>
      </c>
      <c r="FNB65" s="277" t="s">
        <v>1072</v>
      </c>
      <c r="FNC65" s="277" t="s">
        <v>1072</v>
      </c>
      <c r="FND65" s="277" t="s">
        <v>1072</v>
      </c>
      <c r="FNE65" s="277" t="s">
        <v>1072</v>
      </c>
      <c r="FNF65" s="277" t="s">
        <v>1072</v>
      </c>
      <c r="FNG65" s="277" t="s">
        <v>1072</v>
      </c>
      <c r="FNH65" s="277" t="s">
        <v>1072</v>
      </c>
      <c r="FNI65" s="277" t="s">
        <v>1072</v>
      </c>
      <c r="FNJ65" s="277" t="s">
        <v>1072</v>
      </c>
      <c r="FNK65" s="277" t="s">
        <v>1072</v>
      </c>
      <c r="FNL65" s="277" t="s">
        <v>1072</v>
      </c>
      <c r="FNM65" s="277" t="s">
        <v>1072</v>
      </c>
      <c r="FNN65" s="277" t="s">
        <v>1072</v>
      </c>
      <c r="FNO65" s="277" t="s">
        <v>1072</v>
      </c>
      <c r="FNP65" s="277" t="s">
        <v>1072</v>
      </c>
      <c r="FNQ65" s="277" t="s">
        <v>1072</v>
      </c>
      <c r="FNR65" s="277" t="s">
        <v>1072</v>
      </c>
      <c r="FNS65" s="277" t="s">
        <v>1072</v>
      </c>
      <c r="FNT65" s="277" t="s">
        <v>1072</v>
      </c>
      <c r="FNU65" s="277" t="s">
        <v>1072</v>
      </c>
      <c r="FNV65" s="277" t="s">
        <v>1072</v>
      </c>
      <c r="FNW65" s="277" t="s">
        <v>1072</v>
      </c>
      <c r="FNX65" s="277" t="s">
        <v>1072</v>
      </c>
      <c r="FNY65" s="277" t="s">
        <v>1072</v>
      </c>
      <c r="FNZ65" s="277" t="s">
        <v>1072</v>
      </c>
      <c r="FOA65" s="277" t="s">
        <v>1072</v>
      </c>
      <c r="FOB65" s="277" t="s">
        <v>1072</v>
      </c>
      <c r="FOC65" s="277" t="s">
        <v>1072</v>
      </c>
      <c r="FOD65" s="277" t="s">
        <v>1072</v>
      </c>
      <c r="FOE65" s="277" t="s">
        <v>1072</v>
      </c>
      <c r="FOF65" s="277" t="s">
        <v>1072</v>
      </c>
      <c r="FOG65" s="277" t="s">
        <v>1072</v>
      </c>
      <c r="FOH65" s="277" t="s">
        <v>1072</v>
      </c>
      <c r="FOI65" s="277" t="s">
        <v>1072</v>
      </c>
      <c r="FOJ65" s="277" t="s">
        <v>1072</v>
      </c>
      <c r="FOK65" s="277" t="s">
        <v>1072</v>
      </c>
      <c r="FOL65" s="277" t="s">
        <v>1072</v>
      </c>
      <c r="FOM65" s="277" t="s">
        <v>1072</v>
      </c>
      <c r="FON65" s="277" t="s">
        <v>1072</v>
      </c>
      <c r="FOO65" s="277" t="s">
        <v>1072</v>
      </c>
      <c r="FOP65" s="277" t="s">
        <v>1072</v>
      </c>
      <c r="FOQ65" s="277" t="s">
        <v>1072</v>
      </c>
      <c r="FOR65" s="277" t="s">
        <v>1072</v>
      </c>
      <c r="FOS65" s="277" t="s">
        <v>1072</v>
      </c>
      <c r="FOT65" s="277" t="s">
        <v>1072</v>
      </c>
      <c r="FOU65" s="277" t="s">
        <v>1072</v>
      </c>
      <c r="FOV65" s="277" t="s">
        <v>1072</v>
      </c>
      <c r="FOW65" s="277" t="s">
        <v>1072</v>
      </c>
      <c r="FOX65" s="277" t="s">
        <v>1072</v>
      </c>
      <c r="FOY65" s="277" t="s">
        <v>1072</v>
      </c>
      <c r="FOZ65" s="277" t="s">
        <v>1072</v>
      </c>
      <c r="FPA65" s="277" t="s">
        <v>1072</v>
      </c>
      <c r="FPB65" s="277" t="s">
        <v>1072</v>
      </c>
      <c r="FPC65" s="277" t="s">
        <v>1072</v>
      </c>
      <c r="FPD65" s="277" t="s">
        <v>1072</v>
      </c>
      <c r="FPE65" s="277" t="s">
        <v>1072</v>
      </c>
      <c r="FPF65" s="277" t="s">
        <v>1072</v>
      </c>
      <c r="FPG65" s="277" t="s">
        <v>1072</v>
      </c>
      <c r="FPH65" s="277" t="s">
        <v>1072</v>
      </c>
      <c r="FPI65" s="277" t="s">
        <v>1072</v>
      </c>
      <c r="FPJ65" s="277" t="s">
        <v>1072</v>
      </c>
      <c r="FPK65" s="277" t="s">
        <v>1072</v>
      </c>
      <c r="FPL65" s="277" t="s">
        <v>1072</v>
      </c>
      <c r="FPM65" s="277" t="s">
        <v>1072</v>
      </c>
      <c r="FPN65" s="277" t="s">
        <v>1072</v>
      </c>
      <c r="FPO65" s="277" t="s">
        <v>1072</v>
      </c>
      <c r="FPP65" s="277" t="s">
        <v>1072</v>
      </c>
      <c r="FPQ65" s="277" t="s">
        <v>1072</v>
      </c>
      <c r="FPR65" s="277" t="s">
        <v>1072</v>
      </c>
      <c r="FPS65" s="277" t="s">
        <v>1072</v>
      </c>
      <c r="FPT65" s="277" t="s">
        <v>1072</v>
      </c>
      <c r="FPU65" s="277" t="s">
        <v>1072</v>
      </c>
      <c r="FPV65" s="277" t="s">
        <v>1072</v>
      </c>
      <c r="FPW65" s="277" t="s">
        <v>1072</v>
      </c>
      <c r="FPX65" s="277" t="s">
        <v>1072</v>
      </c>
      <c r="FPY65" s="277" t="s">
        <v>1072</v>
      </c>
      <c r="FPZ65" s="277" t="s">
        <v>1072</v>
      </c>
      <c r="FQA65" s="277" t="s">
        <v>1072</v>
      </c>
      <c r="FQB65" s="277" t="s">
        <v>1072</v>
      </c>
      <c r="FQC65" s="277" t="s">
        <v>1072</v>
      </c>
      <c r="FQD65" s="277" t="s">
        <v>1072</v>
      </c>
      <c r="FQE65" s="277" t="s">
        <v>1072</v>
      </c>
      <c r="FQF65" s="277" t="s">
        <v>1072</v>
      </c>
      <c r="FQG65" s="277" t="s">
        <v>1072</v>
      </c>
      <c r="FQH65" s="277" t="s">
        <v>1072</v>
      </c>
      <c r="FQI65" s="277" t="s">
        <v>1072</v>
      </c>
      <c r="FQJ65" s="277" t="s">
        <v>1072</v>
      </c>
      <c r="FQK65" s="277" t="s">
        <v>1072</v>
      </c>
      <c r="FQL65" s="277" t="s">
        <v>1072</v>
      </c>
      <c r="FQM65" s="277" t="s">
        <v>1072</v>
      </c>
      <c r="FQN65" s="277" t="s">
        <v>1072</v>
      </c>
      <c r="FQO65" s="277" t="s">
        <v>1072</v>
      </c>
      <c r="FQP65" s="277" t="s">
        <v>1072</v>
      </c>
      <c r="FQQ65" s="277" t="s">
        <v>1072</v>
      </c>
      <c r="FQR65" s="277" t="s">
        <v>1072</v>
      </c>
      <c r="FQS65" s="277" t="s">
        <v>1072</v>
      </c>
      <c r="FQT65" s="277" t="s">
        <v>1072</v>
      </c>
      <c r="FQU65" s="277" t="s">
        <v>1072</v>
      </c>
      <c r="FQV65" s="277" t="s">
        <v>1072</v>
      </c>
      <c r="FQW65" s="277" t="s">
        <v>1072</v>
      </c>
      <c r="FQX65" s="277" t="s">
        <v>1072</v>
      </c>
      <c r="FQY65" s="277" t="s">
        <v>1072</v>
      </c>
      <c r="FQZ65" s="277" t="s">
        <v>1072</v>
      </c>
      <c r="FRA65" s="277" t="s">
        <v>1072</v>
      </c>
      <c r="FRB65" s="277" t="s">
        <v>1072</v>
      </c>
      <c r="FRC65" s="277" t="s">
        <v>1072</v>
      </c>
      <c r="FRD65" s="277" t="s">
        <v>1072</v>
      </c>
      <c r="FRE65" s="277" t="s">
        <v>1072</v>
      </c>
      <c r="FRF65" s="277" t="s">
        <v>1072</v>
      </c>
      <c r="FRG65" s="277" t="s">
        <v>1072</v>
      </c>
      <c r="FRH65" s="277" t="s">
        <v>1072</v>
      </c>
      <c r="FRI65" s="277" t="s">
        <v>1072</v>
      </c>
      <c r="FRJ65" s="277" t="s">
        <v>1072</v>
      </c>
      <c r="FRK65" s="277" t="s">
        <v>1072</v>
      </c>
      <c r="FRL65" s="277" t="s">
        <v>1072</v>
      </c>
      <c r="FRM65" s="277" t="s">
        <v>1072</v>
      </c>
      <c r="FRN65" s="277" t="s">
        <v>1072</v>
      </c>
      <c r="FRO65" s="277" t="s">
        <v>1072</v>
      </c>
      <c r="FRP65" s="277" t="s">
        <v>1072</v>
      </c>
      <c r="FRQ65" s="277" t="s">
        <v>1072</v>
      </c>
      <c r="FRR65" s="277" t="s">
        <v>1072</v>
      </c>
      <c r="FRS65" s="277" t="s">
        <v>1072</v>
      </c>
      <c r="FRT65" s="277" t="s">
        <v>1072</v>
      </c>
      <c r="FRU65" s="277" t="s">
        <v>1072</v>
      </c>
      <c r="FRV65" s="277" t="s">
        <v>1072</v>
      </c>
      <c r="FRW65" s="277" t="s">
        <v>1072</v>
      </c>
      <c r="FRX65" s="277" t="s">
        <v>1072</v>
      </c>
      <c r="FRY65" s="277" t="s">
        <v>1072</v>
      </c>
      <c r="FRZ65" s="277" t="s">
        <v>1072</v>
      </c>
      <c r="FSA65" s="277" t="s">
        <v>1072</v>
      </c>
      <c r="FSB65" s="277" t="s">
        <v>1072</v>
      </c>
      <c r="FSC65" s="277" t="s">
        <v>1072</v>
      </c>
      <c r="FSD65" s="277" t="s">
        <v>1072</v>
      </c>
      <c r="FSE65" s="277" t="s">
        <v>1072</v>
      </c>
      <c r="FSF65" s="277" t="s">
        <v>1072</v>
      </c>
      <c r="FSG65" s="277" t="s">
        <v>1072</v>
      </c>
      <c r="FSH65" s="277" t="s">
        <v>1072</v>
      </c>
      <c r="FSI65" s="277" t="s">
        <v>1072</v>
      </c>
      <c r="FSJ65" s="277" t="s">
        <v>1072</v>
      </c>
      <c r="FSK65" s="277" t="s">
        <v>1072</v>
      </c>
      <c r="FSL65" s="277" t="s">
        <v>1072</v>
      </c>
      <c r="FSM65" s="277" t="s">
        <v>1072</v>
      </c>
      <c r="FSN65" s="277" t="s">
        <v>1072</v>
      </c>
      <c r="FSO65" s="277" t="s">
        <v>1072</v>
      </c>
      <c r="FSP65" s="277" t="s">
        <v>1072</v>
      </c>
      <c r="FSQ65" s="277" t="s">
        <v>1072</v>
      </c>
      <c r="FSR65" s="277" t="s">
        <v>1072</v>
      </c>
      <c r="FSS65" s="277" t="s">
        <v>1072</v>
      </c>
      <c r="FST65" s="277" t="s">
        <v>1072</v>
      </c>
      <c r="FSU65" s="277" t="s">
        <v>1072</v>
      </c>
      <c r="FSV65" s="277" t="s">
        <v>1072</v>
      </c>
      <c r="FSW65" s="277" t="s">
        <v>1072</v>
      </c>
      <c r="FSX65" s="277" t="s">
        <v>1072</v>
      </c>
      <c r="FSY65" s="277" t="s">
        <v>1072</v>
      </c>
      <c r="FSZ65" s="277" t="s">
        <v>1072</v>
      </c>
      <c r="FTA65" s="277" t="s">
        <v>1072</v>
      </c>
      <c r="FTB65" s="277" t="s">
        <v>1072</v>
      </c>
      <c r="FTC65" s="277" t="s">
        <v>1072</v>
      </c>
      <c r="FTD65" s="277" t="s">
        <v>1072</v>
      </c>
      <c r="FTE65" s="277" t="s">
        <v>1072</v>
      </c>
      <c r="FTF65" s="277" t="s">
        <v>1072</v>
      </c>
      <c r="FTG65" s="277" t="s">
        <v>1072</v>
      </c>
      <c r="FTH65" s="277" t="s">
        <v>1072</v>
      </c>
      <c r="FTI65" s="277" t="s">
        <v>1072</v>
      </c>
      <c r="FTJ65" s="277" t="s">
        <v>1072</v>
      </c>
      <c r="FTK65" s="277" t="s">
        <v>1072</v>
      </c>
      <c r="FTL65" s="277" t="s">
        <v>1072</v>
      </c>
      <c r="FTM65" s="277" t="s">
        <v>1072</v>
      </c>
      <c r="FTN65" s="277" t="s">
        <v>1072</v>
      </c>
      <c r="FTO65" s="277" t="s">
        <v>1072</v>
      </c>
      <c r="FTP65" s="277" t="s">
        <v>1072</v>
      </c>
      <c r="FTQ65" s="277" t="s">
        <v>1072</v>
      </c>
      <c r="FTR65" s="277" t="s">
        <v>1072</v>
      </c>
      <c r="FTS65" s="277" t="s">
        <v>1072</v>
      </c>
      <c r="FTT65" s="277" t="s">
        <v>1072</v>
      </c>
      <c r="FTU65" s="277" t="s">
        <v>1072</v>
      </c>
      <c r="FTV65" s="277" t="s">
        <v>1072</v>
      </c>
      <c r="FTW65" s="277" t="s">
        <v>1072</v>
      </c>
      <c r="FTX65" s="277" t="s">
        <v>1072</v>
      </c>
      <c r="FTY65" s="277" t="s">
        <v>1072</v>
      </c>
      <c r="FTZ65" s="277" t="s">
        <v>1072</v>
      </c>
      <c r="FUA65" s="277" t="s">
        <v>1072</v>
      </c>
      <c r="FUB65" s="277" t="s">
        <v>1072</v>
      </c>
      <c r="FUC65" s="277" t="s">
        <v>1072</v>
      </c>
      <c r="FUD65" s="277" t="s">
        <v>1072</v>
      </c>
      <c r="FUE65" s="277" t="s">
        <v>1072</v>
      </c>
      <c r="FUF65" s="277" t="s">
        <v>1072</v>
      </c>
      <c r="FUG65" s="277" t="s">
        <v>1072</v>
      </c>
      <c r="FUH65" s="277" t="s">
        <v>1072</v>
      </c>
      <c r="FUI65" s="277" t="s">
        <v>1072</v>
      </c>
      <c r="FUJ65" s="277" t="s">
        <v>1072</v>
      </c>
      <c r="FUK65" s="277" t="s">
        <v>1072</v>
      </c>
      <c r="FUL65" s="277" t="s">
        <v>1072</v>
      </c>
      <c r="FUM65" s="277" t="s">
        <v>1072</v>
      </c>
      <c r="FUN65" s="277" t="s">
        <v>1072</v>
      </c>
      <c r="FUO65" s="277" t="s">
        <v>1072</v>
      </c>
      <c r="FUP65" s="277" t="s">
        <v>1072</v>
      </c>
      <c r="FUQ65" s="277" t="s">
        <v>1072</v>
      </c>
      <c r="FUR65" s="277" t="s">
        <v>1072</v>
      </c>
      <c r="FUS65" s="277" t="s">
        <v>1072</v>
      </c>
      <c r="FUT65" s="277" t="s">
        <v>1072</v>
      </c>
      <c r="FUU65" s="277" t="s">
        <v>1072</v>
      </c>
      <c r="FUV65" s="277" t="s">
        <v>1072</v>
      </c>
      <c r="FUW65" s="277" t="s">
        <v>1072</v>
      </c>
      <c r="FUX65" s="277" t="s">
        <v>1072</v>
      </c>
      <c r="FUY65" s="277" t="s">
        <v>1072</v>
      </c>
      <c r="FUZ65" s="277" t="s">
        <v>1072</v>
      </c>
      <c r="FVA65" s="277" t="s">
        <v>1072</v>
      </c>
      <c r="FVB65" s="277" t="s">
        <v>1072</v>
      </c>
      <c r="FVC65" s="277" t="s">
        <v>1072</v>
      </c>
      <c r="FVD65" s="277" t="s">
        <v>1072</v>
      </c>
      <c r="FVE65" s="277" t="s">
        <v>1072</v>
      </c>
      <c r="FVF65" s="277" t="s">
        <v>1072</v>
      </c>
      <c r="FVG65" s="277" t="s">
        <v>1072</v>
      </c>
      <c r="FVH65" s="277" t="s">
        <v>1072</v>
      </c>
      <c r="FVI65" s="277" t="s">
        <v>1072</v>
      </c>
      <c r="FVJ65" s="277" t="s">
        <v>1072</v>
      </c>
      <c r="FVK65" s="277" t="s">
        <v>1072</v>
      </c>
      <c r="FVL65" s="277" t="s">
        <v>1072</v>
      </c>
      <c r="FVM65" s="277" t="s">
        <v>1072</v>
      </c>
      <c r="FVN65" s="277" t="s">
        <v>1072</v>
      </c>
      <c r="FVO65" s="277" t="s">
        <v>1072</v>
      </c>
      <c r="FVP65" s="277" t="s">
        <v>1072</v>
      </c>
      <c r="FVQ65" s="277" t="s">
        <v>1072</v>
      </c>
      <c r="FVR65" s="277" t="s">
        <v>1072</v>
      </c>
      <c r="FVS65" s="277" t="s">
        <v>1072</v>
      </c>
      <c r="FVT65" s="277" t="s">
        <v>1072</v>
      </c>
      <c r="FVU65" s="277" t="s">
        <v>1072</v>
      </c>
      <c r="FVV65" s="277" t="s">
        <v>1072</v>
      </c>
      <c r="FVW65" s="277" t="s">
        <v>1072</v>
      </c>
      <c r="FVX65" s="277" t="s">
        <v>1072</v>
      </c>
      <c r="FVY65" s="277" t="s">
        <v>1072</v>
      </c>
      <c r="FVZ65" s="277" t="s">
        <v>1072</v>
      </c>
      <c r="FWA65" s="277" t="s">
        <v>1072</v>
      </c>
      <c r="FWB65" s="277" t="s">
        <v>1072</v>
      </c>
      <c r="FWC65" s="277" t="s">
        <v>1072</v>
      </c>
      <c r="FWD65" s="277" t="s">
        <v>1072</v>
      </c>
      <c r="FWE65" s="277" t="s">
        <v>1072</v>
      </c>
      <c r="FWF65" s="277" t="s">
        <v>1072</v>
      </c>
      <c r="FWG65" s="277" t="s">
        <v>1072</v>
      </c>
      <c r="FWH65" s="277" t="s">
        <v>1072</v>
      </c>
      <c r="FWI65" s="277" t="s">
        <v>1072</v>
      </c>
      <c r="FWJ65" s="277" t="s">
        <v>1072</v>
      </c>
      <c r="FWK65" s="277" t="s">
        <v>1072</v>
      </c>
      <c r="FWL65" s="277" t="s">
        <v>1072</v>
      </c>
      <c r="FWM65" s="277" t="s">
        <v>1072</v>
      </c>
      <c r="FWN65" s="277" t="s">
        <v>1072</v>
      </c>
      <c r="FWO65" s="277" t="s">
        <v>1072</v>
      </c>
      <c r="FWP65" s="277" t="s">
        <v>1072</v>
      </c>
      <c r="FWQ65" s="277" t="s">
        <v>1072</v>
      </c>
      <c r="FWR65" s="277" t="s">
        <v>1072</v>
      </c>
      <c r="FWS65" s="277" t="s">
        <v>1072</v>
      </c>
      <c r="FWT65" s="277" t="s">
        <v>1072</v>
      </c>
      <c r="FWU65" s="277" t="s">
        <v>1072</v>
      </c>
      <c r="FWV65" s="277" t="s">
        <v>1072</v>
      </c>
      <c r="FWW65" s="277" t="s">
        <v>1072</v>
      </c>
      <c r="FWX65" s="277" t="s">
        <v>1072</v>
      </c>
      <c r="FWY65" s="277" t="s">
        <v>1072</v>
      </c>
      <c r="FWZ65" s="277" t="s">
        <v>1072</v>
      </c>
      <c r="FXA65" s="277" t="s">
        <v>1072</v>
      </c>
      <c r="FXB65" s="277" t="s">
        <v>1072</v>
      </c>
      <c r="FXC65" s="277" t="s">
        <v>1072</v>
      </c>
      <c r="FXD65" s="277" t="s">
        <v>1072</v>
      </c>
      <c r="FXE65" s="277" t="s">
        <v>1072</v>
      </c>
      <c r="FXF65" s="277" t="s">
        <v>1072</v>
      </c>
      <c r="FXG65" s="277" t="s">
        <v>1072</v>
      </c>
      <c r="FXH65" s="277" t="s">
        <v>1072</v>
      </c>
      <c r="FXI65" s="277" t="s">
        <v>1072</v>
      </c>
      <c r="FXJ65" s="277" t="s">
        <v>1072</v>
      </c>
      <c r="FXK65" s="277" t="s">
        <v>1072</v>
      </c>
      <c r="FXL65" s="277" t="s">
        <v>1072</v>
      </c>
      <c r="FXM65" s="277" t="s">
        <v>1072</v>
      </c>
      <c r="FXN65" s="277" t="s">
        <v>1072</v>
      </c>
      <c r="FXO65" s="277" t="s">
        <v>1072</v>
      </c>
      <c r="FXP65" s="277" t="s">
        <v>1072</v>
      </c>
      <c r="FXQ65" s="277" t="s">
        <v>1072</v>
      </c>
      <c r="FXR65" s="277" t="s">
        <v>1072</v>
      </c>
      <c r="FXS65" s="277" t="s">
        <v>1072</v>
      </c>
      <c r="FXT65" s="277" t="s">
        <v>1072</v>
      </c>
      <c r="FXU65" s="277" t="s">
        <v>1072</v>
      </c>
      <c r="FXV65" s="277" t="s">
        <v>1072</v>
      </c>
      <c r="FXW65" s="277" t="s">
        <v>1072</v>
      </c>
      <c r="FXX65" s="277" t="s">
        <v>1072</v>
      </c>
      <c r="FXY65" s="277" t="s">
        <v>1072</v>
      </c>
      <c r="FXZ65" s="277" t="s">
        <v>1072</v>
      </c>
      <c r="FYA65" s="277" t="s">
        <v>1072</v>
      </c>
      <c r="FYB65" s="277" t="s">
        <v>1072</v>
      </c>
      <c r="FYC65" s="277" t="s">
        <v>1072</v>
      </c>
      <c r="FYD65" s="277" t="s">
        <v>1072</v>
      </c>
      <c r="FYE65" s="277" t="s">
        <v>1072</v>
      </c>
      <c r="FYF65" s="277" t="s">
        <v>1072</v>
      </c>
      <c r="FYG65" s="277" t="s">
        <v>1072</v>
      </c>
      <c r="FYH65" s="277" t="s">
        <v>1072</v>
      </c>
      <c r="FYI65" s="277" t="s">
        <v>1072</v>
      </c>
      <c r="FYJ65" s="277" t="s">
        <v>1072</v>
      </c>
      <c r="FYK65" s="277" t="s">
        <v>1072</v>
      </c>
      <c r="FYL65" s="277" t="s">
        <v>1072</v>
      </c>
      <c r="FYM65" s="277" t="s">
        <v>1072</v>
      </c>
      <c r="FYN65" s="277" t="s">
        <v>1072</v>
      </c>
      <c r="FYO65" s="277" t="s">
        <v>1072</v>
      </c>
      <c r="FYP65" s="277" t="s">
        <v>1072</v>
      </c>
      <c r="FYQ65" s="277" t="s">
        <v>1072</v>
      </c>
      <c r="FYR65" s="277" t="s">
        <v>1072</v>
      </c>
      <c r="FYS65" s="277" t="s">
        <v>1072</v>
      </c>
      <c r="FYT65" s="277" t="s">
        <v>1072</v>
      </c>
      <c r="FYU65" s="277" t="s">
        <v>1072</v>
      </c>
      <c r="FYV65" s="277" t="s">
        <v>1072</v>
      </c>
      <c r="FYW65" s="277" t="s">
        <v>1072</v>
      </c>
      <c r="FYX65" s="277" t="s">
        <v>1072</v>
      </c>
      <c r="FYY65" s="277" t="s">
        <v>1072</v>
      </c>
      <c r="FYZ65" s="277" t="s">
        <v>1072</v>
      </c>
      <c r="FZA65" s="277" t="s">
        <v>1072</v>
      </c>
      <c r="FZB65" s="277" t="s">
        <v>1072</v>
      </c>
      <c r="FZC65" s="277" t="s">
        <v>1072</v>
      </c>
      <c r="FZD65" s="277" t="s">
        <v>1072</v>
      </c>
      <c r="FZE65" s="277" t="s">
        <v>1072</v>
      </c>
      <c r="FZF65" s="277" t="s">
        <v>1072</v>
      </c>
      <c r="FZG65" s="277" t="s">
        <v>1072</v>
      </c>
      <c r="FZH65" s="277" t="s">
        <v>1072</v>
      </c>
      <c r="FZI65" s="277" t="s">
        <v>1072</v>
      </c>
      <c r="FZJ65" s="277" t="s">
        <v>1072</v>
      </c>
      <c r="FZK65" s="277" t="s">
        <v>1072</v>
      </c>
      <c r="FZL65" s="277" t="s">
        <v>1072</v>
      </c>
      <c r="FZM65" s="277" t="s">
        <v>1072</v>
      </c>
      <c r="FZN65" s="277" t="s">
        <v>1072</v>
      </c>
      <c r="FZO65" s="277" t="s">
        <v>1072</v>
      </c>
      <c r="FZP65" s="277" t="s">
        <v>1072</v>
      </c>
      <c r="FZQ65" s="277" t="s">
        <v>1072</v>
      </c>
      <c r="FZR65" s="277" t="s">
        <v>1072</v>
      </c>
      <c r="FZS65" s="277" t="s">
        <v>1072</v>
      </c>
      <c r="FZT65" s="277" t="s">
        <v>1072</v>
      </c>
      <c r="FZU65" s="277" t="s">
        <v>1072</v>
      </c>
      <c r="FZV65" s="277" t="s">
        <v>1072</v>
      </c>
      <c r="FZW65" s="277" t="s">
        <v>1072</v>
      </c>
      <c r="FZX65" s="277" t="s">
        <v>1072</v>
      </c>
      <c r="FZY65" s="277" t="s">
        <v>1072</v>
      </c>
      <c r="FZZ65" s="277" t="s">
        <v>1072</v>
      </c>
      <c r="GAA65" s="277" t="s">
        <v>1072</v>
      </c>
      <c r="GAB65" s="277" t="s">
        <v>1072</v>
      </c>
      <c r="GAC65" s="277" t="s">
        <v>1072</v>
      </c>
      <c r="GAD65" s="277" t="s">
        <v>1072</v>
      </c>
      <c r="GAE65" s="277" t="s">
        <v>1072</v>
      </c>
      <c r="GAF65" s="277" t="s">
        <v>1072</v>
      </c>
      <c r="GAG65" s="277" t="s">
        <v>1072</v>
      </c>
      <c r="GAH65" s="277" t="s">
        <v>1072</v>
      </c>
      <c r="GAI65" s="277" t="s">
        <v>1072</v>
      </c>
      <c r="GAJ65" s="277" t="s">
        <v>1072</v>
      </c>
      <c r="GAK65" s="277" t="s">
        <v>1072</v>
      </c>
      <c r="GAL65" s="277" t="s">
        <v>1072</v>
      </c>
      <c r="GAM65" s="277" t="s">
        <v>1072</v>
      </c>
      <c r="GAN65" s="277" t="s">
        <v>1072</v>
      </c>
      <c r="GAO65" s="277" t="s">
        <v>1072</v>
      </c>
      <c r="GAP65" s="277" t="s">
        <v>1072</v>
      </c>
      <c r="GAQ65" s="277" t="s">
        <v>1072</v>
      </c>
      <c r="GAR65" s="277" t="s">
        <v>1072</v>
      </c>
      <c r="GAS65" s="277" t="s">
        <v>1072</v>
      </c>
      <c r="GAT65" s="277" t="s">
        <v>1072</v>
      </c>
      <c r="GAU65" s="277" t="s">
        <v>1072</v>
      </c>
      <c r="GAV65" s="277" t="s">
        <v>1072</v>
      </c>
      <c r="GAW65" s="277" t="s">
        <v>1072</v>
      </c>
      <c r="GAX65" s="277" t="s">
        <v>1072</v>
      </c>
      <c r="GAY65" s="277" t="s">
        <v>1072</v>
      </c>
      <c r="GAZ65" s="277" t="s">
        <v>1072</v>
      </c>
      <c r="GBA65" s="277" t="s">
        <v>1072</v>
      </c>
      <c r="GBB65" s="277" t="s">
        <v>1072</v>
      </c>
      <c r="GBC65" s="277" t="s">
        <v>1072</v>
      </c>
      <c r="GBD65" s="277" t="s">
        <v>1072</v>
      </c>
      <c r="GBE65" s="277" t="s">
        <v>1072</v>
      </c>
      <c r="GBF65" s="277" t="s">
        <v>1072</v>
      </c>
      <c r="GBG65" s="277" t="s">
        <v>1072</v>
      </c>
      <c r="GBH65" s="277" t="s">
        <v>1072</v>
      </c>
      <c r="GBI65" s="277" t="s">
        <v>1072</v>
      </c>
      <c r="GBJ65" s="277" t="s">
        <v>1072</v>
      </c>
      <c r="GBK65" s="277" t="s">
        <v>1072</v>
      </c>
      <c r="GBL65" s="277" t="s">
        <v>1072</v>
      </c>
      <c r="GBM65" s="277" t="s">
        <v>1072</v>
      </c>
      <c r="GBN65" s="277" t="s">
        <v>1072</v>
      </c>
      <c r="GBO65" s="277" t="s">
        <v>1072</v>
      </c>
      <c r="GBP65" s="277" t="s">
        <v>1072</v>
      </c>
      <c r="GBQ65" s="277" t="s">
        <v>1072</v>
      </c>
      <c r="GBR65" s="277" t="s">
        <v>1072</v>
      </c>
      <c r="GBS65" s="277" t="s">
        <v>1072</v>
      </c>
      <c r="GBT65" s="277" t="s">
        <v>1072</v>
      </c>
      <c r="GBU65" s="277" t="s">
        <v>1072</v>
      </c>
      <c r="GBV65" s="277" t="s">
        <v>1072</v>
      </c>
      <c r="GBW65" s="277" t="s">
        <v>1072</v>
      </c>
      <c r="GBX65" s="277" t="s">
        <v>1072</v>
      </c>
      <c r="GBY65" s="277" t="s">
        <v>1072</v>
      </c>
      <c r="GBZ65" s="277" t="s">
        <v>1072</v>
      </c>
      <c r="GCA65" s="277" t="s">
        <v>1072</v>
      </c>
      <c r="GCB65" s="277" t="s">
        <v>1072</v>
      </c>
      <c r="GCC65" s="277" t="s">
        <v>1072</v>
      </c>
      <c r="GCD65" s="277" t="s">
        <v>1072</v>
      </c>
      <c r="GCE65" s="277" t="s">
        <v>1072</v>
      </c>
      <c r="GCF65" s="277" t="s">
        <v>1072</v>
      </c>
      <c r="GCG65" s="277" t="s">
        <v>1072</v>
      </c>
      <c r="GCH65" s="277" t="s">
        <v>1072</v>
      </c>
      <c r="GCI65" s="277" t="s">
        <v>1072</v>
      </c>
      <c r="GCJ65" s="277" t="s">
        <v>1072</v>
      </c>
      <c r="GCK65" s="277" t="s">
        <v>1072</v>
      </c>
      <c r="GCL65" s="277" t="s">
        <v>1072</v>
      </c>
      <c r="GCM65" s="277" t="s">
        <v>1072</v>
      </c>
      <c r="GCN65" s="277" t="s">
        <v>1072</v>
      </c>
      <c r="GCO65" s="277" t="s">
        <v>1072</v>
      </c>
      <c r="GCP65" s="277" t="s">
        <v>1072</v>
      </c>
      <c r="GCQ65" s="277" t="s">
        <v>1072</v>
      </c>
      <c r="GCR65" s="277" t="s">
        <v>1072</v>
      </c>
      <c r="GCS65" s="277" t="s">
        <v>1072</v>
      </c>
      <c r="GCT65" s="277" t="s">
        <v>1072</v>
      </c>
      <c r="GCU65" s="277" t="s">
        <v>1072</v>
      </c>
      <c r="GCV65" s="277" t="s">
        <v>1072</v>
      </c>
      <c r="GCW65" s="277" t="s">
        <v>1072</v>
      </c>
      <c r="GCX65" s="277" t="s">
        <v>1072</v>
      </c>
      <c r="GCY65" s="277" t="s">
        <v>1072</v>
      </c>
      <c r="GCZ65" s="277" t="s">
        <v>1072</v>
      </c>
      <c r="GDA65" s="277" t="s">
        <v>1072</v>
      </c>
      <c r="GDB65" s="277" t="s">
        <v>1072</v>
      </c>
      <c r="GDC65" s="277" t="s">
        <v>1072</v>
      </c>
      <c r="GDD65" s="277" t="s">
        <v>1072</v>
      </c>
      <c r="GDE65" s="277" t="s">
        <v>1072</v>
      </c>
      <c r="GDF65" s="277" t="s">
        <v>1072</v>
      </c>
      <c r="GDG65" s="277" t="s">
        <v>1072</v>
      </c>
      <c r="GDH65" s="277" t="s">
        <v>1072</v>
      </c>
      <c r="GDI65" s="277" t="s">
        <v>1072</v>
      </c>
      <c r="GDJ65" s="277" t="s">
        <v>1072</v>
      </c>
      <c r="GDK65" s="277" t="s">
        <v>1072</v>
      </c>
      <c r="GDL65" s="277" t="s">
        <v>1072</v>
      </c>
      <c r="GDM65" s="277" t="s">
        <v>1072</v>
      </c>
      <c r="GDN65" s="277" t="s">
        <v>1072</v>
      </c>
      <c r="GDO65" s="277" t="s">
        <v>1072</v>
      </c>
      <c r="GDP65" s="277" t="s">
        <v>1072</v>
      </c>
      <c r="GDQ65" s="277" t="s">
        <v>1072</v>
      </c>
      <c r="GDR65" s="277" t="s">
        <v>1072</v>
      </c>
      <c r="GDS65" s="277" t="s">
        <v>1072</v>
      </c>
      <c r="GDT65" s="277" t="s">
        <v>1072</v>
      </c>
      <c r="GDU65" s="277" t="s">
        <v>1072</v>
      </c>
      <c r="GDV65" s="277" t="s">
        <v>1072</v>
      </c>
      <c r="GDW65" s="277" t="s">
        <v>1072</v>
      </c>
      <c r="GDX65" s="277" t="s">
        <v>1072</v>
      </c>
      <c r="GDY65" s="277" t="s">
        <v>1072</v>
      </c>
      <c r="GDZ65" s="277" t="s">
        <v>1072</v>
      </c>
      <c r="GEA65" s="277" t="s">
        <v>1072</v>
      </c>
      <c r="GEB65" s="277" t="s">
        <v>1072</v>
      </c>
      <c r="GEC65" s="277" t="s">
        <v>1072</v>
      </c>
      <c r="GED65" s="277" t="s">
        <v>1072</v>
      </c>
      <c r="GEE65" s="277" t="s">
        <v>1072</v>
      </c>
      <c r="GEF65" s="277" t="s">
        <v>1072</v>
      </c>
      <c r="GEG65" s="277" t="s">
        <v>1072</v>
      </c>
      <c r="GEH65" s="277" t="s">
        <v>1072</v>
      </c>
      <c r="GEI65" s="277" t="s">
        <v>1072</v>
      </c>
      <c r="GEJ65" s="277" t="s">
        <v>1072</v>
      </c>
      <c r="GEK65" s="277" t="s">
        <v>1072</v>
      </c>
      <c r="GEL65" s="277" t="s">
        <v>1072</v>
      </c>
      <c r="GEM65" s="277" t="s">
        <v>1072</v>
      </c>
      <c r="GEN65" s="277" t="s">
        <v>1072</v>
      </c>
      <c r="GEO65" s="277" t="s">
        <v>1072</v>
      </c>
      <c r="GEP65" s="277" t="s">
        <v>1072</v>
      </c>
      <c r="GEQ65" s="277" t="s">
        <v>1072</v>
      </c>
      <c r="GER65" s="277" t="s">
        <v>1072</v>
      </c>
      <c r="GES65" s="277" t="s">
        <v>1072</v>
      </c>
      <c r="GET65" s="277" t="s">
        <v>1072</v>
      </c>
      <c r="GEU65" s="277" t="s">
        <v>1072</v>
      </c>
      <c r="GEV65" s="277" t="s">
        <v>1072</v>
      </c>
      <c r="GEW65" s="277" t="s">
        <v>1072</v>
      </c>
      <c r="GEX65" s="277" t="s">
        <v>1072</v>
      </c>
      <c r="GEY65" s="277" t="s">
        <v>1072</v>
      </c>
      <c r="GEZ65" s="277" t="s">
        <v>1072</v>
      </c>
      <c r="GFA65" s="277" t="s">
        <v>1072</v>
      </c>
      <c r="GFB65" s="277" t="s">
        <v>1072</v>
      </c>
      <c r="GFC65" s="277" t="s">
        <v>1072</v>
      </c>
      <c r="GFD65" s="277" t="s">
        <v>1072</v>
      </c>
      <c r="GFE65" s="277" t="s">
        <v>1072</v>
      </c>
      <c r="GFF65" s="277" t="s">
        <v>1072</v>
      </c>
      <c r="GFG65" s="277" t="s">
        <v>1072</v>
      </c>
      <c r="GFH65" s="277" t="s">
        <v>1072</v>
      </c>
      <c r="GFI65" s="277" t="s">
        <v>1072</v>
      </c>
      <c r="GFJ65" s="277" t="s">
        <v>1072</v>
      </c>
      <c r="GFK65" s="277" t="s">
        <v>1072</v>
      </c>
      <c r="GFL65" s="277" t="s">
        <v>1072</v>
      </c>
      <c r="GFM65" s="277" t="s">
        <v>1072</v>
      </c>
      <c r="GFN65" s="277" t="s">
        <v>1072</v>
      </c>
      <c r="GFO65" s="277" t="s">
        <v>1072</v>
      </c>
      <c r="GFP65" s="277" t="s">
        <v>1072</v>
      </c>
      <c r="GFQ65" s="277" t="s">
        <v>1072</v>
      </c>
      <c r="GFR65" s="277" t="s">
        <v>1072</v>
      </c>
      <c r="GFS65" s="277" t="s">
        <v>1072</v>
      </c>
      <c r="GFT65" s="277" t="s">
        <v>1072</v>
      </c>
      <c r="GFU65" s="277" t="s">
        <v>1072</v>
      </c>
      <c r="GFV65" s="277" t="s">
        <v>1072</v>
      </c>
      <c r="GFW65" s="277" t="s">
        <v>1072</v>
      </c>
      <c r="GFX65" s="277" t="s">
        <v>1072</v>
      </c>
      <c r="GFY65" s="277" t="s">
        <v>1072</v>
      </c>
      <c r="GFZ65" s="277" t="s">
        <v>1072</v>
      </c>
      <c r="GGA65" s="277" t="s">
        <v>1072</v>
      </c>
      <c r="GGB65" s="277" t="s">
        <v>1072</v>
      </c>
      <c r="GGC65" s="277" t="s">
        <v>1072</v>
      </c>
      <c r="GGD65" s="277" t="s">
        <v>1072</v>
      </c>
      <c r="GGE65" s="277" t="s">
        <v>1072</v>
      </c>
      <c r="GGF65" s="277" t="s">
        <v>1072</v>
      </c>
      <c r="GGG65" s="277" t="s">
        <v>1072</v>
      </c>
      <c r="GGH65" s="277" t="s">
        <v>1072</v>
      </c>
      <c r="GGI65" s="277" t="s">
        <v>1072</v>
      </c>
      <c r="GGJ65" s="277" t="s">
        <v>1072</v>
      </c>
      <c r="GGK65" s="277" t="s">
        <v>1072</v>
      </c>
      <c r="GGL65" s="277" t="s">
        <v>1072</v>
      </c>
      <c r="GGM65" s="277" t="s">
        <v>1072</v>
      </c>
      <c r="GGN65" s="277" t="s">
        <v>1072</v>
      </c>
      <c r="GGO65" s="277" t="s">
        <v>1072</v>
      </c>
      <c r="GGP65" s="277" t="s">
        <v>1072</v>
      </c>
      <c r="GGQ65" s="277" t="s">
        <v>1072</v>
      </c>
      <c r="GGR65" s="277" t="s">
        <v>1072</v>
      </c>
      <c r="GGS65" s="277" t="s">
        <v>1072</v>
      </c>
      <c r="GGT65" s="277" t="s">
        <v>1072</v>
      </c>
      <c r="GGU65" s="277" t="s">
        <v>1072</v>
      </c>
      <c r="GGV65" s="277" t="s">
        <v>1072</v>
      </c>
      <c r="GGW65" s="277" t="s">
        <v>1072</v>
      </c>
      <c r="GGX65" s="277" t="s">
        <v>1072</v>
      </c>
      <c r="GGY65" s="277" t="s">
        <v>1072</v>
      </c>
      <c r="GGZ65" s="277" t="s">
        <v>1072</v>
      </c>
      <c r="GHA65" s="277" t="s">
        <v>1072</v>
      </c>
      <c r="GHB65" s="277" t="s">
        <v>1072</v>
      </c>
      <c r="GHC65" s="277" t="s">
        <v>1072</v>
      </c>
      <c r="GHD65" s="277" t="s">
        <v>1072</v>
      </c>
      <c r="GHE65" s="277" t="s">
        <v>1072</v>
      </c>
      <c r="GHF65" s="277" t="s">
        <v>1072</v>
      </c>
      <c r="GHG65" s="277" t="s">
        <v>1072</v>
      </c>
      <c r="GHH65" s="277" t="s">
        <v>1072</v>
      </c>
      <c r="GHI65" s="277" t="s">
        <v>1072</v>
      </c>
      <c r="GHJ65" s="277" t="s">
        <v>1072</v>
      </c>
      <c r="GHK65" s="277" t="s">
        <v>1072</v>
      </c>
      <c r="GHL65" s="277" t="s">
        <v>1072</v>
      </c>
      <c r="GHM65" s="277" t="s">
        <v>1072</v>
      </c>
      <c r="GHN65" s="277" t="s">
        <v>1072</v>
      </c>
      <c r="GHO65" s="277" t="s">
        <v>1072</v>
      </c>
      <c r="GHP65" s="277" t="s">
        <v>1072</v>
      </c>
      <c r="GHQ65" s="277" t="s">
        <v>1072</v>
      </c>
      <c r="GHR65" s="277" t="s">
        <v>1072</v>
      </c>
      <c r="GHS65" s="277" t="s">
        <v>1072</v>
      </c>
      <c r="GHT65" s="277" t="s">
        <v>1072</v>
      </c>
      <c r="GHU65" s="277" t="s">
        <v>1072</v>
      </c>
      <c r="GHV65" s="277" t="s">
        <v>1072</v>
      </c>
      <c r="GHW65" s="277" t="s">
        <v>1072</v>
      </c>
      <c r="GHX65" s="277" t="s">
        <v>1072</v>
      </c>
      <c r="GHY65" s="277" t="s">
        <v>1072</v>
      </c>
      <c r="GHZ65" s="277" t="s">
        <v>1072</v>
      </c>
      <c r="GIA65" s="277" t="s">
        <v>1072</v>
      </c>
      <c r="GIB65" s="277" t="s">
        <v>1072</v>
      </c>
      <c r="GIC65" s="277" t="s">
        <v>1072</v>
      </c>
      <c r="GID65" s="277" t="s">
        <v>1072</v>
      </c>
      <c r="GIE65" s="277" t="s">
        <v>1072</v>
      </c>
      <c r="GIF65" s="277" t="s">
        <v>1072</v>
      </c>
      <c r="GIG65" s="277" t="s">
        <v>1072</v>
      </c>
      <c r="GIH65" s="277" t="s">
        <v>1072</v>
      </c>
      <c r="GII65" s="277" t="s">
        <v>1072</v>
      </c>
      <c r="GIJ65" s="277" t="s">
        <v>1072</v>
      </c>
      <c r="GIK65" s="277" t="s">
        <v>1072</v>
      </c>
      <c r="GIL65" s="277" t="s">
        <v>1072</v>
      </c>
      <c r="GIM65" s="277" t="s">
        <v>1072</v>
      </c>
      <c r="GIN65" s="277" t="s">
        <v>1072</v>
      </c>
      <c r="GIO65" s="277" t="s">
        <v>1072</v>
      </c>
      <c r="GIP65" s="277" t="s">
        <v>1072</v>
      </c>
      <c r="GIQ65" s="277" t="s">
        <v>1072</v>
      </c>
      <c r="GIR65" s="277" t="s">
        <v>1072</v>
      </c>
      <c r="GIS65" s="277" t="s">
        <v>1072</v>
      </c>
      <c r="GIT65" s="277" t="s">
        <v>1072</v>
      </c>
      <c r="GIU65" s="277" t="s">
        <v>1072</v>
      </c>
      <c r="GIV65" s="277" t="s">
        <v>1072</v>
      </c>
      <c r="GIW65" s="277" t="s">
        <v>1072</v>
      </c>
      <c r="GIX65" s="277" t="s">
        <v>1072</v>
      </c>
      <c r="GIY65" s="277" t="s">
        <v>1072</v>
      </c>
      <c r="GIZ65" s="277" t="s">
        <v>1072</v>
      </c>
      <c r="GJA65" s="277" t="s">
        <v>1072</v>
      </c>
      <c r="GJB65" s="277" t="s">
        <v>1072</v>
      </c>
      <c r="GJC65" s="277" t="s">
        <v>1072</v>
      </c>
      <c r="GJD65" s="277" t="s">
        <v>1072</v>
      </c>
      <c r="GJE65" s="277" t="s">
        <v>1072</v>
      </c>
      <c r="GJF65" s="277" t="s">
        <v>1072</v>
      </c>
      <c r="GJG65" s="277" t="s">
        <v>1072</v>
      </c>
      <c r="GJH65" s="277" t="s">
        <v>1072</v>
      </c>
      <c r="GJI65" s="277" t="s">
        <v>1072</v>
      </c>
      <c r="GJJ65" s="277" t="s">
        <v>1072</v>
      </c>
      <c r="GJK65" s="277" t="s">
        <v>1072</v>
      </c>
      <c r="GJL65" s="277" t="s">
        <v>1072</v>
      </c>
      <c r="GJM65" s="277" t="s">
        <v>1072</v>
      </c>
      <c r="GJN65" s="277" t="s">
        <v>1072</v>
      </c>
      <c r="GJO65" s="277" t="s">
        <v>1072</v>
      </c>
      <c r="GJP65" s="277" t="s">
        <v>1072</v>
      </c>
      <c r="GJQ65" s="277" t="s">
        <v>1072</v>
      </c>
      <c r="GJR65" s="277" t="s">
        <v>1072</v>
      </c>
      <c r="GJS65" s="277" t="s">
        <v>1072</v>
      </c>
      <c r="GJT65" s="277" t="s">
        <v>1072</v>
      </c>
      <c r="GJU65" s="277" t="s">
        <v>1072</v>
      </c>
      <c r="GJV65" s="277" t="s">
        <v>1072</v>
      </c>
      <c r="GJW65" s="277" t="s">
        <v>1072</v>
      </c>
      <c r="GJX65" s="277" t="s">
        <v>1072</v>
      </c>
      <c r="GJY65" s="277" t="s">
        <v>1072</v>
      </c>
      <c r="GJZ65" s="277" t="s">
        <v>1072</v>
      </c>
      <c r="GKA65" s="277" t="s">
        <v>1072</v>
      </c>
      <c r="GKB65" s="277" t="s">
        <v>1072</v>
      </c>
      <c r="GKC65" s="277" t="s">
        <v>1072</v>
      </c>
      <c r="GKD65" s="277" t="s">
        <v>1072</v>
      </c>
      <c r="GKE65" s="277" t="s">
        <v>1072</v>
      </c>
      <c r="GKF65" s="277" t="s">
        <v>1072</v>
      </c>
      <c r="GKG65" s="277" t="s">
        <v>1072</v>
      </c>
      <c r="GKH65" s="277" t="s">
        <v>1072</v>
      </c>
      <c r="GKI65" s="277" t="s">
        <v>1072</v>
      </c>
      <c r="GKJ65" s="277" t="s">
        <v>1072</v>
      </c>
      <c r="GKK65" s="277" t="s">
        <v>1072</v>
      </c>
      <c r="GKL65" s="277" t="s">
        <v>1072</v>
      </c>
      <c r="GKM65" s="277" t="s">
        <v>1072</v>
      </c>
      <c r="GKN65" s="277" t="s">
        <v>1072</v>
      </c>
      <c r="GKO65" s="277" t="s">
        <v>1072</v>
      </c>
      <c r="GKP65" s="277" t="s">
        <v>1072</v>
      </c>
      <c r="GKQ65" s="277" t="s">
        <v>1072</v>
      </c>
      <c r="GKR65" s="277" t="s">
        <v>1072</v>
      </c>
      <c r="GKS65" s="277" t="s">
        <v>1072</v>
      </c>
      <c r="GKT65" s="277" t="s">
        <v>1072</v>
      </c>
      <c r="GKU65" s="277" t="s">
        <v>1072</v>
      </c>
      <c r="GKV65" s="277" t="s">
        <v>1072</v>
      </c>
      <c r="GKW65" s="277" t="s">
        <v>1072</v>
      </c>
      <c r="GKX65" s="277" t="s">
        <v>1072</v>
      </c>
      <c r="GKY65" s="277" t="s">
        <v>1072</v>
      </c>
      <c r="GKZ65" s="277" t="s">
        <v>1072</v>
      </c>
      <c r="GLA65" s="277" t="s">
        <v>1072</v>
      </c>
      <c r="GLB65" s="277" t="s">
        <v>1072</v>
      </c>
      <c r="GLC65" s="277" t="s">
        <v>1072</v>
      </c>
      <c r="GLD65" s="277" t="s">
        <v>1072</v>
      </c>
      <c r="GLE65" s="277" t="s">
        <v>1072</v>
      </c>
      <c r="GLF65" s="277" t="s">
        <v>1072</v>
      </c>
      <c r="GLG65" s="277" t="s">
        <v>1072</v>
      </c>
      <c r="GLH65" s="277" t="s">
        <v>1072</v>
      </c>
      <c r="GLI65" s="277" t="s">
        <v>1072</v>
      </c>
      <c r="GLJ65" s="277" t="s">
        <v>1072</v>
      </c>
      <c r="GLK65" s="277" t="s">
        <v>1072</v>
      </c>
      <c r="GLL65" s="277" t="s">
        <v>1072</v>
      </c>
      <c r="GLM65" s="277" t="s">
        <v>1072</v>
      </c>
      <c r="GLN65" s="277" t="s">
        <v>1072</v>
      </c>
      <c r="GLO65" s="277" t="s">
        <v>1072</v>
      </c>
      <c r="GLP65" s="277" t="s">
        <v>1072</v>
      </c>
      <c r="GLQ65" s="277" t="s">
        <v>1072</v>
      </c>
      <c r="GLR65" s="277" t="s">
        <v>1072</v>
      </c>
      <c r="GLS65" s="277" t="s">
        <v>1072</v>
      </c>
      <c r="GLT65" s="277" t="s">
        <v>1072</v>
      </c>
      <c r="GLU65" s="277" t="s">
        <v>1072</v>
      </c>
      <c r="GLV65" s="277" t="s">
        <v>1072</v>
      </c>
      <c r="GLW65" s="277" t="s">
        <v>1072</v>
      </c>
      <c r="GLX65" s="277" t="s">
        <v>1072</v>
      </c>
      <c r="GLY65" s="277" t="s">
        <v>1072</v>
      </c>
      <c r="GLZ65" s="277" t="s">
        <v>1072</v>
      </c>
      <c r="GMA65" s="277" t="s">
        <v>1072</v>
      </c>
      <c r="GMB65" s="277" t="s">
        <v>1072</v>
      </c>
      <c r="GMC65" s="277" t="s">
        <v>1072</v>
      </c>
      <c r="GMD65" s="277" t="s">
        <v>1072</v>
      </c>
      <c r="GME65" s="277" t="s">
        <v>1072</v>
      </c>
      <c r="GMF65" s="277" t="s">
        <v>1072</v>
      </c>
      <c r="GMG65" s="277" t="s">
        <v>1072</v>
      </c>
      <c r="GMH65" s="277" t="s">
        <v>1072</v>
      </c>
      <c r="GMI65" s="277" t="s">
        <v>1072</v>
      </c>
      <c r="GMJ65" s="277" t="s">
        <v>1072</v>
      </c>
      <c r="GMK65" s="277" t="s">
        <v>1072</v>
      </c>
      <c r="GML65" s="277" t="s">
        <v>1072</v>
      </c>
      <c r="GMM65" s="277" t="s">
        <v>1072</v>
      </c>
      <c r="GMN65" s="277" t="s">
        <v>1072</v>
      </c>
      <c r="GMO65" s="277" t="s">
        <v>1072</v>
      </c>
      <c r="GMP65" s="277" t="s">
        <v>1072</v>
      </c>
      <c r="GMQ65" s="277" t="s">
        <v>1072</v>
      </c>
      <c r="GMR65" s="277" t="s">
        <v>1072</v>
      </c>
      <c r="GMS65" s="277" t="s">
        <v>1072</v>
      </c>
      <c r="GMT65" s="277" t="s">
        <v>1072</v>
      </c>
      <c r="GMU65" s="277" t="s">
        <v>1072</v>
      </c>
      <c r="GMV65" s="277" t="s">
        <v>1072</v>
      </c>
      <c r="GMW65" s="277" t="s">
        <v>1072</v>
      </c>
      <c r="GMX65" s="277" t="s">
        <v>1072</v>
      </c>
      <c r="GMY65" s="277" t="s">
        <v>1072</v>
      </c>
      <c r="GMZ65" s="277" t="s">
        <v>1072</v>
      </c>
      <c r="GNA65" s="277" t="s">
        <v>1072</v>
      </c>
      <c r="GNB65" s="277" t="s">
        <v>1072</v>
      </c>
      <c r="GNC65" s="277" t="s">
        <v>1072</v>
      </c>
      <c r="GND65" s="277" t="s">
        <v>1072</v>
      </c>
      <c r="GNE65" s="277" t="s">
        <v>1072</v>
      </c>
      <c r="GNF65" s="277" t="s">
        <v>1072</v>
      </c>
      <c r="GNG65" s="277" t="s">
        <v>1072</v>
      </c>
      <c r="GNH65" s="277" t="s">
        <v>1072</v>
      </c>
      <c r="GNI65" s="277" t="s">
        <v>1072</v>
      </c>
      <c r="GNJ65" s="277" t="s">
        <v>1072</v>
      </c>
      <c r="GNK65" s="277" t="s">
        <v>1072</v>
      </c>
      <c r="GNL65" s="277" t="s">
        <v>1072</v>
      </c>
      <c r="GNM65" s="277" t="s">
        <v>1072</v>
      </c>
      <c r="GNN65" s="277" t="s">
        <v>1072</v>
      </c>
      <c r="GNO65" s="277" t="s">
        <v>1072</v>
      </c>
      <c r="GNP65" s="277" t="s">
        <v>1072</v>
      </c>
      <c r="GNQ65" s="277" t="s">
        <v>1072</v>
      </c>
      <c r="GNR65" s="277" t="s">
        <v>1072</v>
      </c>
      <c r="GNS65" s="277" t="s">
        <v>1072</v>
      </c>
      <c r="GNT65" s="277" t="s">
        <v>1072</v>
      </c>
      <c r="GNU65" s="277" t="s">
        <v>1072</v>
      </c>
      <c r="GNV65" s="277" t="s">
        <v>1072</v>
      </c>
      <c r="GNW65" s="277" t="s">
        <v>1072</v>
      </c>
      <c r="GNX65" s="277" t="s">
        <v>1072</v>
      </c>
      <c r="GNY65" s="277" t="s">
        <v>1072</v>
      </c>
      <c r="GNZ65" s="277" t="s">
        <v>1072</v>
      </c>
      <c r="GOA65" s="277" t="s">
        <v>1072</v>
      </c>
      <c r="GOB65" s="277" t="s">
        <v>1072</v>
      </c>
      <c r="GOC65" s="277" t="s">
        <v>1072</v>
      </c>
      <c r="GOD65" s="277" t="s">
        <v>1072</v>
      </c>
      <c r="GOE65" s="277" t="s">
        <v>1072</v>
      </c>
      <c r="GOF65" s="277" t="s">
        <v>1072</v>
      </c>
      <c r="GOG65" s="277" t="s">
        <v>1072</v>
      </c>
      <c r="GOH65" s="277" t="s">
        <v>1072</v>
      </c>
      <c r="GOI65" s="277" t="s">
        <v>1072</v>
      </c>
      <c r="GOJ65" s="277" t="s">
        <v>1072</v>
      </c>
      <c r="GOK65" s="277" t="s">
        <v>1072</v>
      </c>
      <c r="GOL65" s="277" t="s">
        <v>1072</v>
      </c>
      <c r="GOM65" s="277" t="s">
        <v>1072</v>
      </c>
      <c r="GON65" s="277" t="s">
        <v>1072</v>
      </c>
      <c r="GOO65" s="277" t="s">
        <v>1072</v>
      </c>
      <c r="GOP65" s="277" t="s">
        <v>1072</v>
      </c>
      <c r="GOQ65" s="277" t="s">
        <v>1072</v>
      </c>
      <c r="GOR65" s="277" t="s">
        <v>1072</v>
      </c>
      <c r="GOS65" s="277" t="s">
        <v>1072</v>
      </c>
      <c r="GOT65" s="277" t="s">
        <v>1072</v>
      </c>
      <c r="GOU65" s="277" t="s">
        <v>1072</v>
      </c>
      <c r="GOV65" s="277" t="s">
        <v>1072</v>
      </c>
      <c r="GOW65" s="277" t="s">
        <v>1072</v>
      </c>
      <c r="GOX65" s="277" t="s">
        <v>1072</v>
      </c>
      <c r="GOY65" s="277" t="s">
        <v>1072</v>
      </c>
      <c r="GOZ65" s="277" t="s">
        <v>1072</v>
      </c>
      <c r="GPA65" s="277" t="s">
        <v>1072</v>
      </c>
      <c r="GPB65" s="277" t="s">
        <v>1072</v>
      </c>
      <c r="GPC65" s="277" t="s">
        <v>1072</v>
      </c>
      <c r="GPD65" s="277" t="s">
        <v>1072</v>
      </c>
      <c r="GPE65" s="277" t="s">
        <v>1072</v>
      </c>
      <c r="GPF65" s="277" t="s">
        <v>1072</v>
      </c>
      <c r="GPG65" s="277" t="s">
        <v>1072</v>
      </c>
      <c r="GPH65" s="277" t="s">
        <v>1072</v>
      </c>
      <c r="GPI65" s="277" t="s">
        <v>1072</v>
      </c>
      <c r="GPJ65" s="277" t="s">
        <v>1072</v>
      </c>
      <c r="GPK65" s="277" t="s">
        <v>1072</v>
      </c>
      <c r="GPL65" s="277" t="s">
        <v>1072</v>
      </c>
      <c r="GPM65" s="277" t="s">
        <v>1072</v>
      </c>
      <c r="GPN65" s="277" t="s">
        <v>1072</v>
      </c>
      <c r="GPO65" s="277" t="s">
        <v>1072</v>
      </c>
      <c r="GPP65" s="277" t="s">
        <v>1072</v>
      </c>
      <c r="GPQ65" s="277" t="s">
        <v>1072</v>
      </c>
      <c r="GPR65" s="277" t="s">
        <v>1072</v>
      </c>
      <c r="GPS65" s="277" t="s">
        <v>1072</v>
      </c>
      <c r="GPT65" s="277" t="s">
        <v>1072</v>
      </c>
      <c r="GPU65" s="277" t="s">
        <v>1072</v>
      </c>
      <c r="GPV65" s="277" t="s">
        <v>1072</v>
      </c>
      <c r="GPW65" s="277" t="s">
        <v>1072</v>
      </c>
      <c r="GPX65" s="277" t="s">
        <v>1072</v>
      </c>
      <c r="GPY65" s="277" t="s">
        <v>1072</v>
      </c>
      <c r="GPZ65" s="277" t="s">
        <v>1072</v>
      </c>
      <c r="GQA65" s="277" t="s">
        <v>1072</v>
      </c>
      <c r="GQB65" s="277" t="s">
        <v>1072</v>
      </c>
      <c r="GQC65" s="277" t="s">
        <v>1072</v>
      </c>
      <c r="GQD65" s="277" t="s">
        <v>1072</v>
      </c>
      <c r="GQE65" s="277" t="s">
        <v>1072</v>
      </c>
      <c r="GQF65" s="277" t="s">
        <v>1072</v>
      </c>
      <c r="GQG65" s="277" t="s">
        <v>1072</v>
      </c>
      <c r="GQH65" s="277" t="s">
        <v>1072</v>
      </c>
      <c r="GQI65" s="277" t="s">
        <v>1072</v>
      </c>
      <c r="GQJ65" s="277" t="s">
        <v>1072</v>
      </c>
      <c r="GQK65" s="277" t="s">
        <v>1072</v>
      </c>
      <c r="GQL65" s="277" t="s">
        <v>1072</v>
      </c>
      <c r="GQM65" s="277" t="s">
        <v>1072</v>
      </c>
      <c r="GQN65" s="277" t="s">
        <v>1072</v>
      </c>
      <c r="GQO65" s="277" t="s">
        <v>1072</v>
      </c>
      <c r="GQP65" s="277" t="s">
        <v>1072</v>
      </c>
      <c r="GQQ65" s="277" t="s">
        <v>1072</v>
      </c>
      <c r="GQR65" s="277" t="s">
        <v>1072</v>
      </c>
      <c r="GQS65" s="277" t="s">
        <v>1072</v>
      </c>
      <c r="GQT65" s="277" t="s">
        <v>1072</v>
      </c>
      <c r="GQU65" s="277" t="s">
        <v>1072</v>
      </c>
      <c r="GQV65" s="277" t="s">
        <v>1072</v>
      </c>
      <c r="GQW65" s="277" t="s">
        <v>1072</v>
      </c>
      <c r="GQX65" s="277" t="s">
        <v>1072</v>
      </c>
      <c r="GQY65" s="277" t="s">
        <v>1072</v>
      </c>
      <c r="GQZ65" s="277" t="s">
        <v>1072</v>
      </c>
      <c r="GRA65" s="277" t="s">
        <v>1072</v>
      </c>
      <c r="GRB65" s="277" t="s">
        <v>1072</v>
      </c>
      <c r="GRC65" s="277" t="s">
        <v>1072</v>
      </c>
      <c r="GRD65" s="277" t="s">
        <v>1072</v>
      </c>
      <c r="GRE65" s="277" t="s">
        <v>1072</v>
      </c>
      <c r="GRF65" s="277" t="s">
        <v>1072</v>
      </c>
      <c r="GRG65" s="277" t="s">
        <v>1072</v>
      </c>
      <c r="GRH65" s="277" t="s">
        <v>1072</v>
      </c>
      <c r="GRI65" s="277" t="s">
        <v>1072</v>
      </c>
      <c r="GRJ65" s="277" t="s">
        <v>1072</v>
      </c>
      <c r="GRK65" s="277" t="s">
        <v>1072</v>
      </c>
      <c r="GRL65" s="277" t="s">
        <v>1072</v>
      </c>
      <c r="GRM65" s="277" t="s">
        <v>1072</v>
      </c>
      <c r="GRN65" s="277" t="s">
        <v>1072</v>
      </c>
      <c r="GRO65" s="277" t="s">
        <v>1072</v>
      </c>
      <c r="GRP65" s="277" t="s">
        <v>1072</v>
      </c>
      <c r="GRQ65" s="277" t="s">
        <v>1072</v>
      </c>
      <c r="GRR65" s="277" t="s">
        <v>1072</v>
      </c>
      <c r="GRS65" s="277" t="s">
        <v>1072</v>
      </c>
      <c r="GRT65" s="277" t="s">
        <v>1072</v>
      </c>
      <c r="GRU65" s="277" t="s">
        <v>1072</v>
      </c>
      <c r="GRV65" s="277" t="s">
        <v>1072</v>
      </c>
      <c r="GRW65" s="277" t="s">
        <v>1072</v>
      </c>
      <c r="GRX65" s="277" t="s">
        <v>1072</v>
      </c>
      <c r="GRY65" s="277" t="s">
        <v>1072</v>
      </c>
      <c r="GRZ65" s="277" t="s">
        <v>1072</v>
      </c>
      <c r="GSA65" s="277" t="s">
        <v>1072</v>
      </c>
      <c r="GSB65" s="277" t="s">
        <v>1072</v>
      </c>
      <c r="GSC65" s="277" t="s">
        <v>1072</v>
      </c>
      <c r="GSD65" s="277" t="s">
        <v>1072</v>
      </c>
      <c r="GSE65" s="277" t="s">
        <v>1072</v>
      </c>
      <c r="GSF65" s="277" t="s">
        <v>1072</v>
      </c>
      <c r="GSG65" s="277" t="s">
        <v>1072</v>
      </c>
      <c r="GSH65" s="277" t="s">
        <v>1072</v>
      </c>
      <c r="GSI65" s="277" t="s">
        <v>1072</v>
      </c>
      <c r="GSJ65" s="277" t="s">
        <v>1072</v>
      </c>
      <c r="GSK65" s="277" t="s">
        <v>1072</v>
      </c>
      <c r="GSL65" s="277" t="s">
        <v>1072</v>
      </c>
      <c r="GSM65" s="277" t="s">
        <v>1072</v>
      </c>
      <c r="GSN65" s="277" t="s">
        <v>1072</v>
      </c>
      <c r="GSO65" s="277" t="s">
        <v>1072</v>
      </c>
      <c r="GSP65" s="277" t="s">
        <v>1072</v>
      </c>
      <c r="GSQ65" s="277" t="s">
        <v>1072</v>
      </c>
      <c r="GSR65" s="277" t="s">
        <v>1072</v>
      </c>
      <c r="GSS65" s="277" t="s">
        <v>1072</v>
      </c>
      <c r="GST65" s="277" t="s">
        <v>1072</v>
      </c>
      <c r="GSU65" s="277" t="s">
        <v>1072</v>
      </c>
      <c r="GSV65" s="277" t="s">
        <v>1072</v>
      </c>
      <c r="GSW65" s="277" t="s">
        <v>1072</v>
      </c>
      <c r="GSX65" s="277" t="s">
        <v>1072</v>
      </c>
      <c r="GSY65" s="277" t="s">
        <v>1072</v>
      </c>
      <c r="GSZ65" s="277" t="s">
        <v>1072</v>
      </c>
      <c r="GTA65" s="277" t="s">
        <v>1072</v>
      </c>
      <c r="GTB65" s="277" t="s">
        <v>1072</v>
      </c>
      <c r="GTC65" s="277" t="s">
        <v>1072</v>
      </c>
      <c r="GTD65" s="277" t="s">
        <v>1072</v>
      </c>
      <c r="GTE65" s="277" t="s">
        <v>1072</v>
      </c>
      <c r="GTF65" s="277" t="s">
        <v>1072</v>
      </c>
      <c r="GTG65" s="277" t="s">
        <v>1072</v>
      </c>
      <c r="GTH65" s="277" t="s">
        <v>1072</v>
      </c>
      <c r="GTI65" s="277" t="s">
        <v>1072</v>
      </c>
      <c r="GTJ65" s="277" t="s">
        <v>1072</v>
      </c>
      <c r="GTK65" s="277" t="s">
        <v>1072</v>
      </c>
      <c r="GTL65" s="277" t="s">
        <v>1072</v>
      </c>
      <c r="GTM65" s="277" t="s">
        <v>1072</v>
      </c>
      <c r="GTN65" s="277" t="s">
        <v>1072</v>
      </c>
      <c r="GTO65" s="277" t="s">
        <v>1072</v>
      </c>
      <c r="GTP65" s="277" t="s">
        <v>1072</v>
      </c>
      <c r="GTQ65" s="277" t="s">
        <v>1072</v>
      </c>
      <c r="GTR65" s="277" t="s">
        <v>1072</v>
      </c>
      <c r="GTS65" s="277" t="s">
        <v>1072</v>
      </c>
      <c r="GTT65" s="277" t="s">
        <v>1072</v>
      </c>
      <c r="GTU65" s="277" t="s">
        <v>1072</v>
      </c>
      <c r="GTV65" s="277" t="s">
        <v>1072</v>
      </c>
      <c r="GTW65" s="277" t="s">
        <v>1072</v>
      </c>
      <c r="GTX65" s="277" t="s">
        <v>1072</v>
      </c>
      <c r="GTY65" s="277" t="s">
        <v>1072</v>
      </c>
      <c r="GTZ65" s="277" t="s">
        <v>1072</v>
      </c>
      <c r="GUA65" s="277" t="s">
        <v>1072</v>
      </c>
      <c r="GUB65" s="277" t="s">
        <v>1072</v>
      </c>
      <c r="GUC65" s="277" t="s">
        <v>1072</v>
      </c>
      <c r="GUD65" s="277" t="s">
        <v>1072</v>
      </c>
      <c r="GUE65" s="277" t="s">
        <v>1072</v>
      </c>
      <c r="GUF65" s="277" t="s">
        <v>1072</v>
      </c>
      <c r="GUG65" s="277" t="s">
        <v>1072</v>
      </c>
      <c r="GUH65" s="277" t="s">
        <v>1072</v>
      </c>
      <c r="GUI65" s="277" t="s">
        <v>1072</v>
      </c>
      <c r="GUJ65" s="277" t="s">
        <v>1072</v>
      </c>
      <c r="GUK65" s="277" t="s">
        <v>1072</v>
      </c>
      <c r="GUL65" s="277" t="s">
        <v>1072</v>
      </c>
      <c r="GUM65" s="277" t="s">
        <v>1072</v>
      </c>
      <c r="GUN65" s="277" t="s">
        <v>1072</v>
      </c>
      <c r="GUO65" s="277" t="s">
        <v>1072</v>
      </c>
      <c r="GUP65" s="277" t="s">
        <v>1072</v>
      </c>
      <c r="GUQ65" s="277" t="s">
        <v>1072</v>
      </c>
      <c r="GUR65" s="277" t="s">
        <v>1072</v>
      </c>
      <c r="GUS65" s="277" t="s">
        <v>1072</v>
      </c>
      <c r="GUT65" s="277" t="s">
        <v>1072</v>
      </c>
      <c r="GUU65" s="277" t="s">
        <v>1072</v>
      </c>
      <c r="GUV65" s="277" t="s">
        <v>1072</v>
      </c>
      <c r="GUW65" s="277" t="s">
        <v>1072</v>
      </c>
      <c r="GUX65" s="277" t="s">
        <v>1072</v>
      </c>
      <c r="GUY65" s="277" t="s">
        <v>1072</v>
      </c>
      <c r="GUZ65" s="277" t="s">
        <v>1072</v>
      </c>
      <c r="GVA65" s="277" t="s">
        <v>1072</v>
      </c>
      <c r="GVB65" s="277" t="s">
        <v>1072</v>
      </c>
      <c r="GVC65" s="277" t="s">
        <v>1072</v>
      </c>
      <c r="GVD65" s="277" t="s">
        <v>1072</v>
      </c>
      <c r="GVE65" s="277" t="s">
        <v>1072</v>
      </c>
      <c r="GVF65" s="277" t="s">
        <v>1072</v>
      </c>
      <c r="GVG65" s="277" t="s">
        <v>1072</v>
      </c>
      <c r="GVH65" s="277" t="s">
        <v>1072</v>
      </c>
      <c r="GVI65" s="277" t="s">
        <v>1072</v>
      </c>
      <c r="GVJ65" s="277" t="s">
        <v>1072</v>
      </c>
      <c r="GVK65" s="277" t="s">
        <v>1072</v>
      </c>
      <c r="GVL65" s="277" t="s">
        <v>1072</v>
      </c>
      <c r="GVM65" s="277" t="s">
        <v>1072</v>
      </c>
      <c r="GVN65" s="277" t="s">
        <v>1072</v>
      </c>
      <c r="GVO65" s="277" t="s">
        <v>1072</v>
      </c>
      <c r="GVP65" s="277" t="s">
        <v>1072</v>
      </c>
      <c r="GVQ65" s="277" t="s">
        <v>1072</v>
      </c>
      <c r="GVR65" s="277" t="s">
        <v>1072</v>
      </c>
      <c r="GVS65" s="277" t="s">
        <v>1072</v>
      </c>
      <c r="GVT65" s="277" t="s">
        <v>1072</v>
      </c>
      <c r="GVU65" s="277" t="s">
        <v>1072</v>
      </c>
      <c r="GVV65" s="277" t="s">
        <v>1072</v>
      </c>
      <c r="GVW65" s="277" t="s">
        <v>1072</v>
      </c>
      <c r="GVX65" s="277" t="s">
        <v>1072</v>
      </c>
      <c r="GVY65" s="277" t="s">
        <v>1072</v>
      </c>
      <c r="GVZ65" s="277" t="s">
        <v>1072</v>
      </c>
      <c r="GWA65" s="277" t="s">
        <v>1072</v>
      </c>
      <c r="GWB65" s="277" t="s">
        <v>1072</v>
      </c>
      <c r="GWC65" s="277" t="s">
        <v>1072</v>
      </c>
      <c r="GWD65" s="277" t="s">
        <v>1072</v>
      </c>
      <c r="GWE65" s="277" t="s">
        <v>1072</v>
      </c>
      <c r="GWF65" s="277" t="s">
        <v>1072</v>
      </c>
      <c r="GWG65" s="277" t="s">
        <v>1072</v>
      </c>
      <c r="GWH65" s="277" t="s">
        <v>1072</v>
      </c>
      <c r="GWI65" s="277" t="s">
        <v>1072</v>
      </c>
      <c r="GWJ65" s="277" t="s">
        <v>1072</v>
      </c>
      <c r="GWK65" s="277" t="s">
        <v>1072</v>
      </c>
      <c r="GWL65" s="277" t="s">
        <v>1072</v>
      </c>
      <c r="GWM65" s="277" t="s">
        <v>1072</v>
      </c>
      <c r="GWN65" s="277" t="s">
        <v>1072</v>
      </c>
      <c r="GWO65" s="277" t="s">
        <v>1072</v>
      </c>
      <c r="GWP65" s="277" t="s">
        <v>1072</v>
      </c>
      <c r="GWQ65" s="277" t="s">
        <v>1072</v>
      </c>
      <c r="GWR65" s="277" t="s">
        <v>1072</v>
      </c>
      <c r="GWS65" s="277" t="s">
        <v>1072</v>
      </c>
      <c r="GWT65" s="277" t="s">
        <v>1072</v>
      </c>
      <c r="GWU65" s="277" t="s">
        <v>1072</v>
      </c>
      <c r="GWV65" s="277" t="s">
        <v>1072</v>
      </c>
      <c r="GWW65" s="277" t="s">
        <v>1072</v>
      </c>
      <c r="GWX65" s="277" t="s">
        <v>1072</v>
      </c>
      <c r="GWY65" s="277" t="s">
        <v>1072</v>
      </c>
      <c r="GWZ65" s="277" t="s">
        <v>1072</v>
      </c>
      <c r="GXA65" s="277" t="s">
        <v>1072</v>
      </c>
      <c r="GXB65" s="277" t="s">
        <v>1072</v>
      </c>
      <c r="GXC65" s="277" t="s">
        <v>1072</v>
      </c>
      <c r="GXD65" s="277" t="s">
        <v>1072</v>
      </c>
      <c r="GXE65" s="277" t="s">
        <v>1072</v>
      </c>
      <c r="GXF65" s="277" t="s">
        <v>1072</v>
      </c>
      <c r="GXG65" s="277" t="s">
        <v>1072</v>
      </c>
      <c r="GXH65" s="277" t="s">
        <v>1072</v>
      </c>
      <c r="GXI65" s="277" t="s">
        <v>1072</v>
      </c>
      <c r="GXJ65" s="277" t="s">
        <v>1072</v>
      </c>
      <c r="GXK65" s="277" t="s">
        <v>1072</v>
      </c>
      <c r="GXL65" s="277" t="s">
        <v>1072</v>
      </c>
      <c r="GXM65" s="277" t="s">
        <v>1072</v>
      </c>
      <c r="GXN65" s="277" t="s">
        <v>1072</v>
      </c>
      <c r="GXO65" s="277" t="s">
        <v>1072</v>
      </c>
      <c r="GXP65" s="277" t="s">
        <v>1072</v>
      </c>
      <c r="GXQ65" s="277" t="s">
        <v>1072</v>
      </c>
      <c r="GXR65" s="277" t="s">
        <v>1072</v>
      </c>
      <c r="GXS65" s="277" t="s">
        <v>1072</v>
      </c>
      <c r="GXT65" s="277" t="s">
        <v>1072</v>
      </c>
      <c r="GXU65" s="277" t="s">
        <v>1072</v>
      </c>
      <c r="GXV65" s="277" t="s">
        <v>1072</v>
      </c>
      <c r="GXW65" s="277" t="s">
        <v>1072</v>
      </c>
      <c r="GXX65" s="277" t="s">
        <v>1072</v>
      </c>
      <c r="GXY65" s="277" t="s">
        <v>1072</v>
      </c>
      <c r="GXZ65" s="277" t="s">
        <v>1072</v>
      </c>
      <c r="GYA65" s="277" t="s">
        <v>1072</v>
      </c>
      <c r="GYB65" s="277" t="s">
        <v>1072</v>
      </c>
      <c r="GYC65" s="277" t="s">
        <v>1072</v>
      </c>
      <c r="GYD65" s="277" t="s">
        <v>1072</v>
      </c>
      <c r="GYE65" s="277" t="s">
        <v>1072</v>
      </c>
      <c r="GYF65" s="277" t="s">
        <v>1072</v>
      </c>
      <c r="GYG65" s="277" t="s">
        <v>1072</v>
      </c>
      <c r="GYH65" s="277" t="s">
        <v>1072</v>
      </c>
      <c r="GYI65" s="277" t="s">
        <v>1072</v>
      </c>
      <c r="GYJ65" s="277" t="s">
        <v>1072</v>
      </c>
      <c r="GYK65" s="277" t="s">
        <v>1072</v>
      </c>
      <c r="GYL65" s="277" t="s">
        <v>1072</v>
      </c>
      <c r="GYM65" s="277" t="s">
        <v>1072</v>
      </c>
      <c r="GYN65" s="277" t="s">
        <v>1072</v>
      </c>
      <c r="GYO65" s="277" t="s">
        <v>1072</v>
      </c>
      <c r="GYP65" s="277" t="s">
        <v>1072</v>
      </c>
      <c r="GYQ65" s="277" t="s">
        <v>1072</v>
      </c>
      <c r="GYR65" s="277" t="s">
        <v>1072</v>
      </c>
      <c r="GYS65" s="277" t="s">
        <v>1072</v>
      </c>
      <c r="GYT65" s="277" t="s">
        <v>1072</v>
      </c>
      <c r="GYU65" s="277" t="s">
        <v>1072</v>
      </c>
      <c r="GYV65" s="277" t="s">
        <v>1072</v>
      </c>
      <c r="GYW65" s="277" t="s">
        <v>1072</v>
      </c>
      <c r="GYX65" s="277" t="s">
        <v>1072</v>
      </c>
      <c r="GYY65" s="277" t="s">
        <v>1072</v>
      </c>
      <c r="GYZ65" s="277" t="s">
        <v>1072</v>
      </c>
      <c r="GZA65" s="277" t="s">
        <v>1072</v>
      </c>
      <c r="GZB65" s="277" t="s">
        <v>1072</v>
      </c>
      <c r="GZC65" s="277" t="s">
        <v>1072</v>
      </c>
      <c r="GZD65" s="277" t="s">
        <v>1072</v>
      </c>
      <c r="GZE65" s="277" t="s">
        <v>1072</v>
      </c>
      <c r="GZF65" s="277" t="s">
        <v>1072</v>
      </c>
      <c r="GZG65" s="277" t="s">
        <v>1072</v>
      </c>
      <c r="GZH65" s="277" t="s">
        <v>1072</v>
      </c>
      <c r="GZI65" s="277" t="s">
        <v>1072</v>
      </c>
      <c r="GZJ65" s="277" t="s">
        <v>1072</v>
      </c>
      <c r="GZK65" s="277" t="s">
        <v>1072</v>
      </c>
      <c r="GZL65" s="277" t="s">
        <v>1072</v>
      </c>
      <c r="GZM65" s="277" t="s">
        <v>1072</v>
      </c>
      <c r="GZN65" s="277" t="s">
        <v>1072</v>
      </c>
      <c r="GZO65" s="277" t="s">
        <v>1072</v>
      </c>
      <c r="GZP65" s="277" t="s">
        <v>1072</v>
      </c>
      <c r="GZQ65" s="277" t="s">
        <v>1072</v>
      </c>
      <c r="GZR65" s="277" t="s">
        <v>1072</v>
      </c>
      <c r="GZS65" s="277" t="s">
        <v>1072</v>
      </c>
      <c r="GZT65" s="277" t="s">
        <v>1072</v>
      </c>
      <c r="GZU65" s="277" t="s">
        <v>1072</v>
      </c>
      <c r="GZV65" s="277" t="s">
        <v>1072</v>
      </c>
      <c r="GZW65" s="277" t="s">
        <v>1072</v>
      </c>
      <c r="GZX65" s="277" t="s">
        <v>1072</v>
      </c>
      <c r="GZY65" s="277" t="s">
        <v>1072</v>
      </c>
      <c r="GZZ65" s="277" t="s">
        <v>1072</v>
      </c>
      <c r="HAA65" s="277" t="s">
        <v>1072</v>
      </c>
      <c r="HAB65" s="277" t="s">
        <v>1072</v>
      </c>
      <c r="HAC65" s="277" t="s">
        <v>1072</v>
      </c>
      <c r="HAD65" s="277" t="s">
        <v>1072</v>
      </c>
      <c r="HAE65" s="277" t="s">
        <v>1072</v>
      </c>
      <c r="HAF65" s="277" t="s">
        <v>1072</v>
      </c>
      <c r="HAG65" s="277" t="s">
        <v>1072</v>
      </c>
      <c r="HAH65" s="277" t="s">
        <v>1072</v>
      </c>
      <c r="HAI65" s="277" t="s">
        <v>1072</v>
      </c>
      <c r="HAJ65" s="277" t="s">
        <v>1072</v>
      </c>
      <c r="HAK65" s="277" t="s">
        <v>1072</v>
      </c>
      <c r="HAL65" s="277" t="s">
        <v>1072</v>
      </c>
      <c r="HAM65" s="277" t="s">
        <v>1072</v>
      </c>
      <c r="HAN65" s="277" t="s">
        <v>1072</v>
      </c>
      <c r="HAO65" s="277" t="s">
        <v>1072</v>
      </c>
      <c r="HAP65" s="277" t="s">
        <v>1072</v>
      </c>
      <c r="HAQ65" s="277" t="s">
        <v>1072</v>
      </c>
      <c r="HAR65" s="277" t="s">
        <v>1072</v>
      </c>
      <c r="HAS65" s="277" t="s">
        <v>1072</v>
      </c>
      <c r="HAT65" s="277" t="s">
        <v>1072</v>
      </c>
      <c r="HAU65" s="277" t="s">
        <v>1072</v>
      </c>
      <c r="HAV65" s="277" t="s">
        <v>1072</v>
      </c>
      <c r="HAW65" s="277" t="s">
        <v>1072</v>
      </c>
      <c r="HAX65" s="277" t="s">
        <v>1072</v>
      </c>
      <c r="HAY65" s="277" t="s">
        <v>1072</v>
      </c>
      <c r="HAZ65" s="277" t="s">
        <v>1072</v>
      </c>
      <c r="HBA65" s="277" t="s">
        <v>1072</v>
      </c>
      <c r="HBB65" s="277" t="s">
        <v>1072</v>
      </c>
      <c r="HBC65" s="277" t="s">
        <v>1072</v>
      </c>
      <c r="HBD65" s="277" t="s">
        <v>1072</v>
      </c>
      <c r="HBE65" s="277" t="s">
        <v>1072</v>
      </c>
      <c r="HBF65" s="277" t="s">
        <v>1072</v>
      </c>
      <c r="HBG65" s="277" t="s">
        <v>1072</v>
      </c>
      <c r="HBH65" s="277" t="s">
        <v>1072</v>
      </c>
      <c r="HBI65" s="277" t="s">
        <v>1072</v>
      </c>
      <c r="HBJ65" s="277" t="s">
        <v>1072</v>
      </c>
      <c r="HBK65" s="277" t="s">
        <v>1072</v>
      </c>
      <c r="HBL65" s="277" t="s">
        <v>1072</v>
      </c>
      <c r="HBM65" s="277" t="s">
        <v>1072</v>
      </c>
      <c r="HBN65" s="277" t="s">
        <v>1072</v>
      </c>
      <c r="HBO65" s="277" t="s">
        <v>1072</v>
      </c>
      <c r="HBP65" s="277" t="s">
        <v>1072</v>
      </c>
      <c r="HBQ65" s="277" t="s">
        <v>1072</v>
      </c>
      <c r="HBR65" s="277" t="s">
        <v>1072</v>
      </c>
      <c r="HBS65" s="277" t="s">
        <v>1072</v>
      </c>
      <c r="HBT65" s="277" t="s">
        <v>1072</v>
      </c>
      <c r="HBU65" s="277" t="s">
        <v>1072</v>
      </c>
      <c r="HBV65" s="277" t="s">
        <v>1072</v>
      </c>
      <c r="HBW65" s="277" t="s">
        <v>1072</v>
      </c>
      <c r="HBX65" s="277" t="s">
        <v>1072</v>
      </c>
      <c r="HBY65" s="277" t="s">
        <v>1072</v>
      </c>
      <c r="HBZ65" s="277" t="s">
        <v>1072</v>
      </c>
      <c r="HCA65" s="277" t="s">
        <v>1072</v>
      </c>
      <c r="HCB65" s="277" t="s">
        <v>1072</v>
      </c>
      <c r="HCC65" s="277" t="s">
        <v>1072</v>
      </c>
      <c r="HCD65" s="277" t="s">
        <v>1072</v>
      </c>
      <c r="HCE65" s="277" t="s">
        <v>1072</v>
      </c>
      <c r="HCF65" s="277" t="s">
        <v>1072</v>
      </c>
      <c r="HCG65" s="277" t="s">
        <v>1072</v>
      </c>
      <c r="HCH65" s="277" t="s">
        <v>1072</v>
      </c>
      <c r="HCI65" s="277" t="s">
        <v>1072</v>
      </c>
      <c r="HCJ65" s="277" t="s">
        <v>1072</v>
      </c>
      <c r="HCK65" s="277" t="s">
        <v>1072</v>
      </c>
      <c r="HCL65" s="277" t="s">
        <v>1072</v>
      </c>
      <c r="HCM65" s="277" t="s">
        <v>1072</v>
      </c>
      <c r="HCN65" s="277" t="s">
        <v>1072</v>
      </c>
      <c r="HCO65" s="277" t="s">
        <v>1072</v>
      </c>
      <c r="HCP65" s="277" t="s">
        <v>1072</v>
      </c>
      <c r="HCQ65" s="277" t="s">
        <v>1072</v>
      </c>
      <c r="HCR65" s="277" t="s">
        <v>1072</v>
      </c>
      <c r="HCS65" s="277" t="s">
        <v>1072</v>
      </c>
      <c r="HCT65" s="277" t="s">
        <v>1072</v>
      </c>
      <c r="HCU65" s="277" t="s">
        <v>1072</v>
      </c>
      <c r="HCV65" s="277" t="s">
        <v>1072</v>
      </c>
      <c r="HCW65" s="277" t="s">
        <v>1072</v>
      </c>
      <c r="HCX65" s="277" t="s">
        <v>1072</v>
      </c>
      <c r="HCY65" s="277" t="s">
        <v>1072</v>
      </c>
      <c r="HCZ65" s="277" t="s">
        <v>1072</v>
      </c>
      <c r="HDA65" s="277" t="s">
        <v>1072</v>
      </c>
      <c r="HDB65" s="277" t="s">
        <v>1072</v>
      </c>
      <c r="HDC65" s="277" t="s">
        <v>1072</v>
      </c>
      <c r="HDD65" s="277" t="s">
        <v>1072</v>
      </c>
      <c r="HDE65" s="277" t="s">
        <v>1072</v>
      </c>
      <c r="HDF65" s="277" t="s">
        <v>1072</v>
      </c>
      <c r="HDG65" s="277" t="s">
        <v>1072</v>
      </c>
      <c r="HDH65" s="277" t="s">
        <v>1072</v>
      </c>
      <c r="HDI65" s="277" t="s">
        <v>1072</v>
      </c>
      <c r="HDJ65" s="277" t="s">
        <v>1072</v>
      </c>
      <c r="HDK65" s="277" t="s">
        <v>1072</v>
      </c>
      <c r="HDL65" s="277" t="s">
        <v>1072</v>
      </c>
      <c r="HDM65" s="277" t="s">
        <v>1072</v>
      </c>
      <c r="HDN65" s="277" t="s">
        <v>1072</v>
      </c>
      <c r="HDO65" s="277" t="s">
        <v>1072</v>
      </c>
      <c r="HDP65" s="277" t="s">
        <v>1072</v>
      </c>
      <c r="HDQ65" s="277" t="s">
        <v>1072</v>
      </c>
      <c r="HDR65" s="277" t="s">
        <v>1072</v>
      </c>
      <c r="HDS65" s="277" t="s">
        <v>1072</v>
      </c>
      <c r="HDT65" s="277" t="s">
        <v>1072</v>
      </c>
      <c r="HDU65" s="277" t="s">
        <v>1072</v>
      </c>
      <c r="HDV65" s="277" t="s">
        <v>1072</v>
      </c>
      <c r="HDW65" s="277" t="s">
        <v>1072</v>
      </c>
      <c r="HDX65" s="277" t="s">
        <v>1072</v>
      </c>
      <c r="HDY65" s="277" t="s">
        <v>1072</v>
      </c>
      <c r="HDZ65" s="277" t="s">
        <v>1072</v>
      </c>
      <c r="HEA65" s="277" t="s">
        <v>1072</v>
      </c>
      <c r="HEB65" s="277" t="s">
        <v>1072</v>
      </c>
      <c r="HEC65" s="277" t="s">
        <v>1072</v>
      </c>
      <c r="HED65" s="277" t="s">
        <v>1072</v>
      </c>
      <c r="HEE65" s="277" t="s">
        <v>1072</v>
      </c>
      <c r="HEF65" s="277" t="s">
        <v>1072</v>
      </c>
      <c r="HEG65" s="277" t="s">
        <v>1072</v>
      </c>
      <c r="HEH65" s="277" t="s">
        <v>1072</v>
      </c>
      <c r="HEI65" s="277" t="s">
        <v>1072</v>
      </c>
      <c r="HEJ65" s="277" t="s">
        <v>1072</v>
      </c>
      <c r="HEK65" s="277" t="s">
        <v>1072</v>
      </c>
      <c r="HEL65" s="277" t="s">
        <v>1072</v>
      </c>
      <c r="HEM65" s="277" t="s">
        <v>1072</v>
      </c>
      <c r="HEN65" s="277" t="s">
        <v>1072</v>
      </c>
      <c r="HEO65" s="277" t="s">
        <v>1072</v>
      </c>
      <c r="HEP65" s="277" t="s">
        <v>1072</v>
      </c>
      <c r="HEQ65" s="277" t="s">
        <v>1072</v>
      </c>
      <c r="HER65" s="277" t="s">
        <v>1072</v>
      </c>
      <c r="HES65" s="277" t="s">
        <v>1072</v>
      </c>
      <c r="HET65" s="277" t="s">
        <v>1072</v>
      </c>
      <c r="HEU65" s="277" t="s">
        <v>1072</v>
      </c>
      <c r="HEV65" s="277" t="s">
        <v>1072</v>
      </c>
      <c r="HEW65" s="277" t="s">
        <v>1072</v>
      </c>
      <c r="HEX65" s="277" t="s">
        <v>1072</v>
      </c>
      <c r="HEY65" s="277" t="s">
        <v>1072</v>
      </c>
      <c r="HEZ65" s="277" t="s">
        <v>1072</v>
      </c>
      <c r="HFA65" s="277" t="s">
        <v>1072</v>
      </c>
      <c r="HFB65" s="277" t="s">
        <v>1072</v>
      </c>
      <c r="HFC65" s="277" t="s">
        <v>1072</v>
      </c>
      <c r="HFD65" s="277" t="s">
        <v>1072</v>
      </c>
      <c r="HFE65" s="277" t="s">
        <v>1072</v>
      </c>
      <c r="HFF65" s="277" t="s">
        <v>1072</v>
      </c>
      <c r="HFG65" s="277" t="s">
        <v>1072</v>
      </c>
      <c r="HFH65" s="277" t="s">
        <v>1072</v>
      </c>
      <c r="HFI65" s="277" t="s">
        <v>1072</v>
      </c>
      <c r="HFJ65" s="277" t="s">
        <v>1072</v>
      </c>
      <c r="HFK65" s="277" t="s">
        <v>1072</v>
      </c>
      <c r="HFL65" s="277" t="s">
        <v>1072</v>
      </c>
      <c r="HFM65" s="277" t="s">
        <v>1072</v>
      </c>
      <c r="HFN65" s="277" t="s">
        <v>1072</v>
      </c>
      <c r="HFO65" s="277" t="s">
        <v>1072</v>
      </c>
      <c r="HFP65" s="277" t="s">
        <v>1072</v>
      </c>
      <c r="HFQ65" s="277" t="s">
        <v>1072</v>
      </c>
      <c r="HFR65" s="277" t="s">
        <v>1072</v>
      </c>
      <c r="HFS65" s="277" t="s">
        <v>1072</v>
      </c>
      <c r="HFT65" s="277" t="s">
        <v>1072</v>
      </c>
      <c r="HFU65" s="277" t="s">
        <v>1072</v>
      </c>
      <c r="HFV65" s="277" t="s">
        <v>1072</v>
      </c>
      <c r="HFW65" s="277" t="s">
        <v>1072</v>
      </c>
      <c r="HFX65" s="277" t="s">
        <v>1072</v>
      </c>
      <c r="HFY65" s="277" t="s">
        <v>1072</v>
      </c>
      <c r="HFZ65" s="277" t="s">
        <v>1072</v>
      </c>
      <c r="HGA65" s="277" t="s">
        <v>1072</v>
      </c>
      <c r="HGB65" s="277" t="s">
        <v>1072</v>
      </c>
      <c r="HGC65" s="277" t="s">
        <v>1072</v>
      </c>
      <c r="HGD65" s="277" t="s">
        <v>1072</v>
      </c>
      <c r="HGE65" s="277" t="s">
        <v>1072</v>
      </c>
      <c r="HGF65" s="277" t="s">
        <v>1072</v>
      </c>
      <c r="HGG65" s="277" t="s">
        <v>1072</v>
      </c>
      <c r="HGH65" s="277" t="s">
        <v>1072</v>
      </c>
      <c r="HGI65" s="277" t="s">
        <v>1072</v>
      </c>
      <c r="HGJ65" s="277" t="s">
        <v>1072</v>
      </c>
      <c r="HGK65" s="277" t="s">
        <v>1072</v>
      </c>
      <c r="HGL65" s="277" t="s">
        <v>1072</v>
      </c>
      <c r="HGM65" s="277" t="s">
        <v>1072</v>
      </c>
      <c r="HGN65" s="277" t="s">
        <v>1072</v>
      </c>
      <c r="HGO65" s="277" t="s">
        <v>1072</v>
      </c>
      <c r="HGP65" s="277" t="s">
        <v>1072</v>
      </c>
      <c r="HGQ65" s="277" t="s">
        <v>1072</v>
      </c>
      <c r="HGR65" s="277" t="s">
        <v>1072</v>
      </c>
      <c r="HGS65" s="277" t="s">
        <v>1072</v>
      </c>
      <c r="HGT65" s="277" t="s">
        <v>1072</v>
      </c>
      <c r="HGU65" s="277" t="s">
        <v>1072</v>
      </c>
      <c r="HGV65" s="277" t="s">
        <v>1072</v>
      </c>
      <c r="HGW65" s="277" t="s">
        <v>1072</v>
      </c>
      <c r="HGX65" s="277" t="s">
        <v>1072</v>
      </c>
      <c r="HGY65" s="277" t="s">
        <v>1072</v>
      </c>
      <c r="HGZ65" s="277" t="s">
        <v>1072</v>
      </c>
      <c r="HHA65" s="277" t="s">
        <v>1072</v>
      </c>
      <c r="HHB65" s="277" t="s">
        <v>1072</v>
      </c>
      <c r="HHC65" s="277" t="s">
        <v>1072</v>
      </c>
      <c r="HHD65" s="277" t="s">
        <v>1072</v>
      </c>
      <c r="HHE65" s="277" t="s">
        <v>1072</v>
      </c>
      <c r="HHF65" s="277" t="s">
        <v>1072</v>
      </c>
      <c r="HHG65" s="277" t="s">
        <v>1072</v>
      </c>
      <c r="HHH65" s="277" t="s">
        <v>1072</v>
      </c>
      <c r="HHI65" s="277" t="s">
        <v>1072</v>
      </c>
      <c r="HHJ65" s="277" t="s">
        <v>1072</v>
      </c>
      <c r="HHK65" s="277" t="s">
        <v>1072</v>
      </c>
      <c r="HHL65" s="277" t="s">
        <v>1072</v>
      </c>
      <c r="HHM65" s="277" t="s">
        <v>1072</v>
      </c>
      <c r="HHN65" s="277" t="s">
        <v>1072</v>
      </c>
      <c r="HHO65" s="277" t="s">
        <v>1072</v>
      </c>
      <c r="HHP65" s="277" t="s">
        <v>1072</v>
      </c>
      <c r="HHQ65" s="277" t="s">
        <v>1072</v>
      </c>
      <c r="HHR65" s="277" t="s">
        <v>1072</v>
      </c>
      <c r="HHS65" s="277" t="s">
        <v>1072</v>
      </c>
      <c r="HHT65" s="277" t="s">
        <v>1072</v>
      </c>
      <c r="HHU65" s="277" t="s">
        <v>1072</v>
      </c>
      <c r="HHV65" s="277" t="s">
        <v>1072</v>
      </c>
      <c r="HHW65" s="277" t="s">
        <v>1072</v>
      </c>
      <c r="HHX65" s="277" t="s">
        <v>1072</v>
      </c>
      <c r="HHY65" s="277" t="s">
        <v>1072</v>
      </c>
      <c r="HHZ65" s="277" t="s">
        <v>1072</v>
      </c>
      <c r="HIA65" s="277" t="s">
        <v>1072</v>
      </c>
      <c r="HIB65" s="277" t="s">
        <v>1072</v>
      </c>
      <c r="HIC65" s="277" t="s">
        <v>1072</v>
      </c>
      <c r="HID65" s="277" t="s">
        <v>1072</v>
      </c>
      <c r="HIE65" s="277" t="s">
        <v>1072</v>
      </c>
      <c r="HIF65" s="277" t="s">
        <v>1072</v>
      </c>
      <c r="HIG65" s="277" t="s">
        <v>1072</v>
      </c>
      <c r="HIH65" s="277" t="s">
        <v>1072</v>
      </c>
      <c r="HII65" s="277" t="s">
        <v>1072</v>
      </c>
      <c r="HIJ65" s="277" t="s">
        <v>1072</v>
      </c>
      <c r="HIK65" s="277" t="s">
        <v>1072</v>
      </c>
      <c r="HIL65" s="277" t="s">
        <v>1072</v>
      </c>
      <c r="HIM65" s="277" t="s">
        <v>1072</v>
      </c>
      <c r="HIN65" s="277" t="s">
        <v>1072</v>
      </c>
      <c r="HIO65" s="277" t="s">
        <v>1072</v>
      </c>
      <c r="HIP65" s="277" t="s">
        <v>1072</v>
      </c>
      <c r="HIQ65" s="277" t="s">
        <v>1072</v>
      </c>
      <c r="HIR65" s="277" t="s">
        <v>1072</v>
      </c>
      <c r="HIS65" s="277" t="s">
        <v>1072</v>
      </c>
      <c r="HIT65" s="277" t="s">
        <v>1072</v>
      </c>
      <c r="HIU65" s="277" t="s">
        <v>1072</v>
      </c>
      <c r="HIV65" s="277" t="s">
        <v>1072</v>
      </c>
      <c r="HIW65" s="277" t="s">
        <v>1072</v>
      </c>
      <c r="HIX65" s="277" t="s">
        <v>1072</v>
      </c>
      <c r="HIY65" s="277" t="s">
        <v>1072</v>
      </c>
      <c r="HIZ65" s="277" t="s">
        <v>1072</v>
      </c>
      <c r="HJA65" s="277" t="s">
        <v>1072</v>
      </c>
      <c r="HJB65" s="277" t="s">
        <v>1072</v>
      </c>
      <c r="HJC65" s="277" t="s">
        <v>1072</v>
      </c>
      <c r="HJD65" s="277" t="s">
        <v>1072</v>
      </c>
      <c r="HJE65" s="277" t="s">
        <v>1072</v>
      </c>
      <c r="HJF65" s="277" t="s">
        <v>1072</v>
      </c>
      <c r="HJG65" s="277" t="s">
        <v>1072</v>
      </c>
      <c r="HJH65" s="277" t="s">
        <v>1072</v>
      </c>
      <c r="HJI65" s="277" t="s">
        <v>1072</v>
      </c>
      <c r="HJJ65" s="277" t="s">
        <v>1072</v>
      </c>
      <c r="HJK65" s="277" t="s">
        <v>1072</v>
      </c>
      <c r="HJL65" s="277" t="s">
        <v>1072</v>
      </c>
      <c r="HJM65" s="277" t="s">
        <v>1072</v>
      </c>
      <c r="HJN65" s="277" t="s">
        <v>1072</v>
      </c>
      <c r="HJO65" s="277" t="s">
        <v>1072</v>
      </c>
      <c r="HJP65" s="277" t="s">
        <v>1072</v>
      </c>
      <c r="HJQ65" s="277" t="s">
        <v>1072</v>
      </c>
      <c r="HJR65" s="277" t="s">
        <v>1072</v>
      </c>
      <c r="HJS65" s="277" t="s">
        <v>1072</v>
      </c>
      <c r="HJT65" s="277" t="s">
        <v>1072</v>
      </c>
      <c r="HJU65" s="277" t="s">
        <v>1072</v>
      </c>
      <c r="HJV65" s="277" t="s">
        <v>1072</v>
      </c>
      <c r="HJW65" s="277" t="s">
        <v>1072</v>
      </c>
      <c r="HJX65" s="277" t="s">
        <v>1072</v>
      </c>
      <c r="HJY65" s="277" t="s">
        <v>1072</v>
      </c>
      <c r="HJZ65" s="277" t="s">
        <v>1072</v>
      </c>
      <c r="HKA65" s="277" t="s">
        <v>1072</v>
      </c>
      <c r="HKB65" s="277" t="s">
        <v>1072</v>
      </c>
      <c r="HKC65" s="277" t="s">
        <v>1072</v>
      </c>
      <c r="HKD65" s="277" t="s">
        <v>1072</v>
      </c>
      <c r="HKE65" s="277" t="s">
        <v>1072</v>
      </c>
      <c r="HKF65" s="277" t="s">
        <v>1072</v>
      </c>
      <c r="HKG65" s="277" t="s">
        <v>1072</v>
      </c>
      <c r="HKH65" s="277" t="s">
        <v>1072</v>
      </c>
      <c r="HKI65" s="277" t="s">
        <v>1072</v>
      </c>
      <c r="HKJ65" s="277" t="s">
        <v>1072</v>
      </c>
      <c r="HKK65" s="277" t="s">
        <v>1072</v>
      </c>
      <c r="HKL65" s="277" t="s">
        <v>1072</v>
      </c>
      <c r="HKM65" s="277" t="s">
        <v>1072</v>
      </c>
      <c r="HKN65" s="277" t="s">
        <v>1072</v>
      </c>
      <c r="HKO65" s="277" t="s">
        <v>1072</v>
      </c>
      <c r="HKP65" s="277" t="s">
        <v>1072</v>
      </c>
      <c r="HKQ65" s="277" t="s">
        <v>1072</v>
      </c>
      <c r="HKR65" s="277" t="s">
        <v>1072</v>
      </c>
      <c r="HKS65" s="277" t="s">
        <v>1072</v>
      </c>
      <c r="HKT65" s="277" t="s">
        <v>1072</v>
      </c>
      <c r="HKU65" s="277" t="s">
        <v>1072</v>
      </c>
      <c r="HKV65" s="277" t="s">
        <v>1072</v>
      </c>
      <c r="HKW65" s="277" t="s">
        <v>1072</v>
      </c>
      <c r="HKX65" s="277" t="s">
        <v>1072</v>
      </c>
      <c r="HKY65" s="277" t="s">
        <v>1072</v>
      </c>
      <c r="HKZ65" s="277" t="s">
        <v>1072</v>
      </c>
      <c r="HLA65" s="277" t="s">
        <v>1072</v>
      </c>
      <c r="HLB65" s="277" t="s">
        <v>1072</v>
      </c>
      <c r="HLC65" s="277" t="s">
        <v>1072</v>
      </c>
      <c r="HLD65" s="277" t="s">
        <v>1072</v>
      </c>
      <c r="HLE65" s="277" t="s">
        <v>1072</v>
      </c>
      <c r="HLF65" s="277" t="s">
        <v>1072</v>
      </c>
      <c r="HLG65" s="277" t="s">
        <v>1072</v>
      </c>
      <c r="HLH65" s="277" t="s">
        <v>1072</v>
      </c>
      <c r="HLI65" s="277" t="s">
        <v>1072</v>
      </c>
      <c r="HLJ65" s="277" t="s">
        <v>1072</v>
      </c>
      <c r="HLK65" s="277" t="s">
        <v>1072</v>
      </c>
      <c r="HLL65" s="277" t="s">
        <v>1072</v>
      </c>
      <c r="HLM65" s="277" t="s">
        <v>1072</v>
      </c>
      <c r="HLN65" s="277" t="s">
        <v>1072</v>
      </c>
      <c r="HLO65" s="277" t="s">
        <v>1072</v>
      </c>
      <c r="HLP65" s="277" t="s">
        <v>1072</v>
      </c>
      <c r="HLQ65" s="277" t="s">
        <v>1072</v>
      </c>
      <c r="HLR65" s="277" t="s">
        <v>1072</v>
      </c>
      <c r="HLS65" s="277" t="s">
        <v>1072</v>
      </c>
      <c r="HLT65" s="277" t="s">
        <v>1072</v>
      </c>
      <c r="HLU65" s="277" t="s">
        <v>1072</v>
      </c>
      <c r="HLV65" s="277" t="s">
        <v>1072</v>
      </c>
      <c r="HLW65" s="277" t="s">
        <v>1072</v>
      </c>
      <c r="HLX65" s="277" t="s">
        <v>1072</v>
      </c>
      <c r="HLY65" s="277" t="s">
        <v>1072</v>
      </c>
      <c r="HLZ65" s="277" t="s">
        <v>1072</v>
      </c>
      <c r="HMA65" s="277" t="s">
        <v>1072</v>
      </c>
      <c r="HMB65" s="277" t="s">
        <v>1072</v>
      </c>
      <c r="HMC65" s="277" t="s">
        <v>1072</v>
      </c>
      <c r="HMD65" s="277" t="s">
        <v>1072</v>
      </c>
      <c r="HME65" s="277" t="s">
        <v>1072</v>
      </c>
      <c r="HMF65" s="277" t="s">
        <v>1072</v>
      </c>
      <c r="HMG65" s="277" t="s">
        <v>1072</v>
      </c>
      <c r="HMH65" s="277" t="s">
        <v>1072</v>
      </c>
      <c r="HMI65" s="277" t="s">
        <v>1072</v>
      </c>
      <c r="HMJ65" s="277" t="s">
        <v>1072</v>
      </c>
      <c r="HMK65" s="277" t="s">
        <v>1072</v>
      </c>
      <c r="HML65" s="277" t="s">
        <v>1072</v>
      </c>
      <c r="HMM65" s="277" t="s">
        <v>1072</v>
      </c>
      <c r="HMN65" s="277" t="s">
        <v>1072</v>
      </c>
      <c r="HMO65" s="277" t="s">
        <v>1072</v>
      </c>
      <c r="HMP65" s="277" t="s">
        <v>1072</v>
      </c>
      <c r="HMQ65" s="277" t="s">
        <v>1072</v>
      </c>
      <c r="HMR65" s="277" t="s">
        <v>1072</v>
      </c>
      <c r="HMS65" s="277" t="s">
        <v>1072</v>
      </c>
      <c r="HMT65" s="277" t="s">
        <v>1072</v>
      </c>
      <c r="HMU65" s="277" t="s">
        <v>1072</v>
      </c>
      <c r="HMV65" s="277" t="s">
        <v>1072</v>
      </c>
      <c r="HMW65" s="277" t="s">
        <v>1072</v>
      </c>
      <c r="HMX65" s="277" t="s">
        <v>1072</v>
      </c>
      <c r="HMY65" s="277" t="s">
        <v>1072</v>
      </c>
      <c r="HMZ65" s="277" t="s">
        <v>1072</v>
      </c>
      <c r="HNA65" s="277" t="s">
        <v>1072</v>
      </c>
      <c r="HNB65" s="277" t="s">
        <v>1072</v>
      </c>
      <c r="HNC65" s="277" t="s">
        <v>1072</v>
      </c>
      <c r="HND65" s="277" t="s">
        <v>1072</v>
      </c>
      <c r="HNE65" s="277" t="s">
        <v>1072</v>
      </c>
      <c r="HNF65" s="277" t="s">
        <v>1072</v>
      </c>
      <c r="HNG65" s="277" t="s">
        <v>1072</v>
      </c>
      <c r="HNH65" s="277" t="s">
        <v>1072</v>
      </c>
      <c r="HNI65" s="277" t="s">
        <v>1072</v>
      </c>
      <c r="HNJ65" s="277" t="s">
        <v>1072</v>
      </c>
      <c r="HNK65" s="277" t="s">
        <v>1072</v>
      </c>
      <c r="HNL65" s="277" t="s">
        <v>1072</v>
      </c>
      <c r="HNM65" s="277" t="s">
        <v>1072</v>
      </c>
      <c r="HNN65" s="277" t="s">
        <v>1072</v>
      </c>
      <c r="HNO65" s="277" t="s">
        <v>1072</v>
      </c>
      <c r="HNP65" s="277" t="s">
        <v>1072</v>
      </c>
      <c r="HNQ65" s="277" t="s">
        <v>1072</v>
      </c>
      <c r="HNR65" s="277" t="s">
        <v>1072</v>
      </c>
      <c r="HNS65" s="277" t="s">
        <v>1072</v>
      </c>
      <c r="HNT65" s="277" t="s">
        <v>1072</v>
      </c>
      <c r="HNU65" s="277" t="s">
        <v>1072</v>
      </c>
      <c r="HNV65" s="277" t="s">
        <v>1072</v>
      </c>
      <c r="HNW65" s="277" t="s">
        <v>1072</v>
      </c>
      <c r="HNX65" s="277" t="s">
        <v>1072</v>
      </c>
      <c r="HNY65" s="277" t="s">
        <v>1072</v>
      </c>
      <c r="HNZ65" s="277" t="s">
        <v>1072</v>
      </c>
      <c r="HOA65" s="277" t="s">
        <v>1072</v>
      </c>
      <c r="HOB65" s="277" t="s">
        <v>1072</v>
      </c>
      <c r="HOC65" s="277" t="s">
        <v>1072</v>
      </c>
      <c r="HOD65" s="277" t="s">
        <v>1072</v>
      </c>
      <c r="HOE65" s="277" t="s">
        <v>1072</v>
      </c>
      <c r="HOF65" s="277" t="s">
        <v>1072</v>
      </c>
      <c r="HOG65" s="277" t="s">
        <v>1072</v>
      </c>
      <c r="HOH65" s="277" t="s">
        <v>1072</v>
      </c>
      <c r="HOI65" s="277" t="s">
        <v>1072</v>
      </c>
      <c r="HOJ65" s="277" t="s">
        <v>1072</v>
      </c>
      <c r="HOK65" s="277" t="s">
        <v>1072</v>
      </c>
      <c r="HOL65" s="277" t="s">
        <v>1072</v>
      </c>
      <c r="HOM65" s="277" t="s">
        <v>1072</v>
      </c>
      <c r="HON65" s="277" t="s">
        <v>1072</v>
      </c>
      <c r="HOO65" s="277" t="s">
        <v>1072</v>
      </c>
      <c r="HOP65" s="277" t="s">
        <v>1072</v>
      </c>
      <c r="HOQ65" s="277" t="s">
        <v>1072</v>
      </c>
      <c r="HOR65" s="277" t="s">
        <v>1072</v>
      </c>
      <c r="HOS65" s="277" t="s">
        <v>1072</v>
      </c>
      <c r="HOT65" s="277" t="s">
        <v>1072</v>
      </c>
      <c r="HOU65" s="277" t="s">
        <v>1072</v>
      </c>
      <c r="HOV65" s="277" t="s">
        <v>1072</v>
      </c>
      <c r="HOW65" s="277" t="s">
        <v>1072</v>
      </c>
      <c r="HOX65" s="277" t="s">
        <v>1072</v>
      </c>
      <c r="HOY65" s="277" t="s">
        <v>1072</v>
      </c>
      <c r="HOZ65" s="277" t="s">
        <v>1072</v>
      </c>
      <c r="HPA65" s="277" t="s">
        <v>1072</v>
      </c>
      <c r="HPB65" s="277" t="s">
        <v>1072</v>
      </c>
      <c r="HPC65" s="277" t="s">
        <v>1072</v>
      </c>
      <c r="HPD65" s="277" t="s">
        <v>1072</v>
      </c>
      <c r="HPE65" s="277" t="s">
        <v>1072</v>
      </c>
      <c r="HPF65" s="277" t="s">
        <v>1072</v>
      </c>
      <c r="HPG65" s="277" t="s">
        <v>1072</v>
      </c>
      <c r="HPH65" s="277" t="s">
        <v>1072</v>
      </c>
      <c r="HPI65" s="277" t="s">
        <v>1072</v>
      </c>
      <c r="HPJ65" s="277" t="s">
        <v>1072</v>
      </c>
      <c r="HPK65" s="277" t="s">
        <v>1072</v>
      </c>
      <c r="HPL65" s="277" t="s">
        <v>1072</v>
      </c>
      <c r="HPM65" s="277" t="s">
        <v>1072</v>
      </c>
      <c r="HPN65" s="277" t="s">
        <v>1072</v>
      </c>
      <c r="HPO65" s="277" t="s">
        <v>1072</v>
      </c>
      <c r="HPP65" s="277" t="s">
        <v>1072</v>
      </c>
      <c r="HPQ65" s="277" t="s">
        <v>1072</v>
      </c>
      <c r="HPR65" s="277" t="s">
        <v>1072</v>
      </c>
      <c r="HPS65" s="277" t="s">
        <v>1072</v>
      </c>
      <c r="HPT65" s="277" t="s">
        <v>1072</v>
      </c>
      <c r="HPU65" s="277" t="s">
        <v>1072</v>
      </c>
      <c r="HPV65" s="277" t="s">
        <v>1072</v>
      </c>
      <c r="HPW65" s="277" t="s">
        <v>1072</v>
      </c>
      <c r="HPX65" s="277" t="s">
        <v>1072</v>
      </c>
      <c r="HPY65" s="277" t="s">
        <v>1072</v>
      </c>
      <c r="HPZ65" s="277" t="s">
        <v>1072</v>
      </c>
      <c r="HQA65" s="277" t="s">
        <v>1072</v>
      </c>
      <c r="HQB65" s="277" t="s">
        <v>1072</v>
      </c>
      <c r="HQC65" s="277" t="s">
        <v>1072</v>
      </c>
      <c r="HQD65" s="277" t="s">
        <v>1072</v>
      </c>
      <c r="HQE65" s="277" t="s">
        <v>1072</v>
      </c>
      <c r="HQF65" s="277" t="s">
        <v>1072</v>
      </c>
      <c r="HQG65" s="277" t="s">
        <v>1072</v>
      </c>
      <c r="HQH65" s="277" t="s">
        <v>1072</v>
      </c>
      <c r="HQI65" s="277" t="s">
        <v>1072</v>
      </c>
      <c r="HQJ65" s="277" t="s">
        <v>1072</v>
      </c>
      <c r="HQK65" s="277" t="s">
        <v>1072</v>
      </c>
      <c r="HQL65" s="277" t="s">
        <v>1072</v>
      </c>
      <c r="HQM65" s="277" t="s">
        <v>1072</v>
      </c>
      <c r="HQN65" s="277" t="s">
        <v>1072</v>
      </c>
      <c r="HQO65" s="277" t="s">
        <v>1072</v>
      </c>
      <c r="HQP65" s="277" t="s">
        <v>1072</v>
      </c>
      <c r="HQQ65" s="277" t="s">
        <v>1072</v>
      </c>
      <c r="HQR65" s="277" t="s">
        <v>1072</v>
      </c>
      <c r="HQS65" s="277" t="s">
        <v>1072</v>
      </c>
      <c r="HQT65" s="277" t="s">
        <v>1072</v>
      </c>
      <c r="HQU65" s="277" t="s">
        <v>1072</v>
      </c>
      <c r="HQV65" s="277" t="s">
        <v>1072</v>
      </c>
      <c r="HQW65" s="277" t="s">
        <v>1072</v>
      </c>
      <c r="HQX65" s="277" t="s">
        <v>1072</v>
      </c>
      <c r="HQY65" s="277" t="s">
        <v>1072</v>
      </c>
      <c r="HQZ65" s="277" t="s">
        <v>1072</v>
      </c>
      <c r="HRA65" s="277" t="s">
        <v>1072</v>
      </c>
      <c r="HRB65" s="277" t="s">
        <v>1072</v>
      </c>
      <c r="HRC65" s="277" t="s">
        <v>1072</v>
      </c>
      <c r="HRD65" s="277" t="s">
        <v>1072</v>
      </c>
      <c r="HRE65" s="277" t="s">
        <v>1072</v>
      </c>
      <c r="HRF65" s="277" t="s">
        <v>1072</v>
      </c>
      <c r="HRG65" s="277" t="s">
        <v>1072</v>
      </c>
      <c r="HRH65" s="277" t="s">
        <v>1072</v>
      </c>
      <c r="HRI65" s="277" t="s">
        <v>1072</v>
      </c>
      <c r="HRJ65" s="277" t="s">
        <v>1072</v>
      </c>
      <c r="HRK65" s="277" t="s">
        <v>1072</v>
      </c>
      <c r="HRL65" s="277" t="s">
        <v>1072</v>
      </c>
      <c r="HRM65" s="277" t="s">
        <v>1072</v>
      </c>
      <c r="HRN65" s="277" t="s">
        <v>1072</v>
      </c>
      <c r="HRO65" s="277" t="s">
        <v>1072</v>
      </c>
      <c r="HRP65" s="277" t="s">
        <v>1072</v>
      </c>
      <c r="HRQ65" s="277" t="s">
        <v>1072</v>
      </c>
      <c r="HRR65" s="277" t="s">
        <v>1072</v>
      </c>
      <c r="HRS65" s="277" t="s">
        <v>1072</v>
      </c>
      <c r="HRT65" s="277" t="s">
        <v>1072</v>
      </c>
      <c r="HRU65" s="277" t="s">
        <v>1072</v>
      </c>
      <c r="HRV65" s="277" t="s">
        <v>1072</v>
      </c>
      <c r="HRW65" s="277" t="s">
        <v>1072</v>
      </c>
      <c r="HRX65" s="277" t="s">
        <v>1072</v>
      </c>
      <c r="HRY65" s="277" t="s">
        <v>1072</v>
      </c>
      <c r="HRZ65" s="277" t="s">
        <v>1072</v>
      </c>
      <c r="HSA65" s="277" t="s">
        <v>1072</v>
      </c>
      <c r="HSB65" s="277" t="s">
        <v>1072</v>
      </c>
      <c r="HSC65" s="277" t="s">
        <v>1072</v>
      </c>
      <c r="HSD65" s="277" t="s">
        <v>1072</v>
      </c>
      <c r="HSE65" s="277" t="s">
        <v>1072</v>
      </c>
      <c r="HSF65" s="277" t="s">
        <v>1072</v>
      </c>
      <c r="HSG65" s="277" t="s">
        <v>1072</v>
      </c>
      <c r="HSH65" s="277" t="s">
        <v>1072</v>
      </c>
      <c r="HSI65" s="277" t="s">
        <v>1072</v>
      </c>
      <c r="HSJ65" s="277" t="s">
        <v>1072</v>
      </c>
      <c r="HSK65" s="277" t="s">
        <v>1072</v>
      </c>
      <c r="HSL65" s="277" t="s">
        <v>1072</v>
      </c>
      <c r="HSM65" s="277" t="s">
        <v>1072</v>
      </c>
      <c r="HSN65" s="277" t="s">
        <v>1072</v>
      </c>
      <c r="HSO65" s="277" t="s">
        <v>1072</v>
      </c>
      <c r="HSP65" s="277" t="s">
        <v>1072</v>
      </c>
      <c r="HSQ65" s="277" t="s">
        <v>1072</v>
      </c>
      <c r="HSR65" s="277" t="s">
        <v>1072</v>
      </c>
      <c r="HSS65" s="277" t="s">
        <v>1072</v>
      </c>
      <c r="HST65" s="277" t="s">
        <v>1072</v>
      </c>
      <c r="HSU65" s="277" t="s">
        <v>1072</v>
      </c>
      <c r="HSV65" s="277" t="s">
        <v>1072</v>
      </c>
      <c r="HSW65" s="277" t="s">
        <v>1072</v>
      </c>
      <c r="HSX65" s="277" t="s">
        <v>1072</v>
      </c>
      <c r="HSY65" s="277" t="s">
        <v>1072</v>
      </c>
      <c r="HSZ65" s="277" t="s">
        <v>1072</v>
      </c>
      <c r="HTA65" s="277" t="s">
        <v>1072</v>
      </c>
      <c r="HTB65" s="277" t="s">
        <v>1072</v>
      </c>
      <c r="HTC65" s="277" t="s">
        <v>1072</v>
      </c>
      <c r="HTD65" s="277" t="s">
        <v>1072</v>
      </c>
      <c r="HTE65" s="277" t="s">
        <v>1072</v>
      </c>
      <c r="HTF65" s="277" t="s">
        <v>1072</v>
      </c>
      <c r="HTG65" s="277" t="s">
        <v>1072</v>
      </c>
      <c r="HTH65" s="277" t="s">
        <v>1072</v>
      </c>
      <c r="HTI65" s="277" t="s">
        <v>1072</v>
      </c>
      <c r="HTJ65" s="277" t="s">
        <v>1072</v>
      </c>
      <c r="HTK65" s="277" t="s">
        <v>1072</v>
      </c>
      <c r="HTL65" s="277" t="s">
        <v>1072</v>
      </c>
      <c r="HTM65" s="277" t="s">
        <v>1072</v>
      </c>
      <c r="HTN65" s="277" t="s">
        <v>1072</v>
      </c>
      <c r="HTO65" s="277" t="s">
        <v>1072</v>
      </c>
      <c r="HTP65" s="277" t="s">
        <v>1072</v>
      </c>
      <c r="HTQ65" s="277" t="s">
        <v>1072</v>
      </c>
      <c r="HTR65" s="277" t="s">
        <v>1072</v>
      </c>
      <c r="HTS65" s="277" t="s">
        <v>1072</v>
      </c>
      <c r="HTT65" s="277" t="s">
        <v>1072</v>
      </c>
      <c r="HTU65" s="277" t="s">
        <v>1072</v>
      </c>
      <c r="HTV65" s="277" t="s">
        <v>1072</v>
      </c>
      <c r="HTW65" s="277" t="s">
        <v>1072</v>
      </c>
      <c r="HTX65" s="277" t="s">
        <v>1072</v>
      </c>
      <c r="HTY65" s="277" t="s">
        <v>1072</v>
      </c>
      <c r="HTZ65" s="277" t="s">
        <v>1072</v>
      </c>
      <c r="HUA65" s="277" t="s">
        <v>1072</v>
      </c>
      <c r="HUB65" s="277" t="s">
        <v>1072</v>
      </c>
      <c r="HUC65" s="277" t="s">
        <v>1072</v>
      </c>
      <c r="HUD65" s="277" t="s">
        <v>1072</v>
      </c>
      <c r="HUE65" s="277" t="s">
        <v>1072</v>
      </c>
      <c r="HUF65" s="277" t="s">
        <v>1072</v>
      </c>
      <c r="HUG65" s="277" t="s">
        <v>1072</v>
      </c>
      <c r="HUH65" s="277" t="s">
        <v>1072</v>
      </c>
      <c r="HUI65" s="277" t="s">
        <v>1072</v>
      </c>
      <c r="HUJ65" s="277" t="s">
        <v>1072</v>
      </c>
      <c r="HUK65" s="277" t="s">
        <v>1072</v>
      </c>
      <c r="HUL65" s="277" t="s">
        <v>1072</v>
      </c>
      <c r="HUM65" s="277" t="s">
        <v>1072</v>
      </c>
      <c r="HUN65" s="277" t="s">
        <v>1072</v>
      </c>
      <c r="HUO65" s="277" t="s">
        <v>1072</v>
      </c>
      <c r="HUP65" s="277" t="s">
        <v>1072</v>
      </c>
      <c r="HUQ65" s="277" t="s">
        <v>1072</v>
      </c>
      <c r="HUR65" s="277" t="s">
        <v>1072</v>
      </c>
      <c r="HUS65" s="277" t="s">
        <v>1072</v>
      </c>
      <c r="HUT65" s="277" t="s">
        <v>1072</v>
      </c>
      <c r="HUU65" s="277" t="s">
        <v>1072</v>
      </c>
      <c r="HUV65" s="277" t="s">
        <v>1072</v>
      </c>
      <c r="HUW65" s="277" t="s">
        <v>1072</v>
      </c>
      <c r="HUX65" s="277" t="s">
        <v>1072</v>
      </c>
      <c r="HUY65" s="277" t="s">
        <v>1072</v>
      </c>
      <c r="HUZ65" s="277" t="s">
        <v>1072</v>
      </c>
      <c r="HVA65" s="277" t="s">
        <v>1072</v>
      </c>
      <c r="HVB65" s="277" t="s">
        <v>1072</v>
      </c>
      <c r="HVC65" s="277" t="s">
        <v>1072</v>
      </c>
      <c r="HVD65" s="277" t="s">
        <v>1072</v>
      </c>
      <c r="HVE65" s="277" t="s">
        <v>1072</v>
      </c>
      <c r="HVF65" s="277" t="s">
        <v>1072</v>
      </c>
      <c r="HVG65" s="277" t="s">
        <v>1072</v>
      </c>
      <c r="HVH65" s="277" t="s">
        <v>1072</v>
      </c>
      <c r="HVI65" s="277" t="s">
        <v>1072</v>
      </c>
      <c r="HVJ65" s="277" t="s">
        <v>1072</v>
      </c>
      <c r="HVK65" s="277" t="s">
        <v>1072</v>
      </c>
      <c r="HVL65" s="277" t="s">
        <v>1072</v>
      </c>
      <c r="HVM65" s="277" t="s">
        <v>1072</v>
      </c>
      <c r="HVN65" s="277" t="s">
        <v>1072</v>
      </c>
      <c r="HVO65" s="277" t="s">
        <v>1072</v>
      </c>
      <c r="HVP65" s="277" t="s">
        <v>1072</v>
      </c>
      <c r="HVQ65" s="277" t="s">
        <v>1072</v>
      </c>
      <c r="HVR65" s="277" t="s">
        <v>1072</v>
      </c>
      <c r="HVS65" s="277" t="s">
        <v>1072</v>
      </c>
      <c r="HVT65" s="277" t="s">
        <v>1072</v>
      </c>
      <c r="HVU65" s="277" t="s">
        <v>1072</v>
      </c>
      <c r="HVV65" s="277" t="s">
        <v>1072</v>
      </c>
      <c r="HVW65" s="277" t="s">
        <v>1072</v>
      </c>
      <c r="HVX65" s="277" t="s">
        <v>1072</v>
      </c>
      <c r="HVY65" s="277" t="s">
        <v>1072</v>
      </c>
      <c r="HVZ65" s="277" t="s">
        <v>1072</v>
      </c>
      <c r="HWA65" s="277" t="s">
        <v>1072</v>
      </c>
      <c r="HWB65" s="277" t="s">
        <v>1072</v>
      </c>
      <c r="HWC65" s="277" t="s">
        <v>1072</v>
      </c>
      <c r="HWD65" s="277" t="s">
        <v>1072</v>
      </c>
      <c r="HWE65" s="277" t="s">
        <v>1072</v>
      </c>
      <c r="HWF65" s="277" t="s">
        <v>1072</v>
      </c>
      <c r="HWG65" s="277" t="s">
        <v>1072</v>
      </c>
      <c r="HWH65" s="277" t="s">
        <v>1072</v>
      </c>
      <c r="HWI65" s="277" t="s">
        <v>1072</v>
      </c>
      <c r="HWJ65" s="277" t="s">
        <v>1072</v>
      </c>
      <c r="HWK65" s="277" t="s">
        <v>1072</v>
      </c>
      <c r="HWL65" s="277" t="s">
        <v>1072</v>
      </c>
      <c r="HWM65" s="277" t="s">
        <v>1072</v>
      </c>
      <c r="HWN65" s="277" t="s">
        <v>1072</v>
      </c>
      <c r="HWO65" s="277" t="s">
        <v>1072</v>
      </c>
      <c r="HWP65" s="277" t="s">
        <v>1072</v>
      </c>
      <c r="HWQ65" s="277" t="s">
        <v>1072</v>
      </c>
      <c r="HWR65" s="277" t="s">
        <v>1072</v>
      </c>
      <c r="HWS65" s="277" t="s">
        <v>1072</v>
      </c>
      <c r="HWT65" s="277" t="s">
        <v>1072</v>
      </c>
      <c r="HWU65" s="277" t="s">
        <v>1072</v>
      </c>
      <c r="HWV65" s="277" t="s">
        <v>1072</v>
      </c>
      <c r="HWW65" s="277" t="s">
        <v>1072</v>
      </c>
      <c r="HWX65" s="277" t="s">
        <v>1072</v>
      </c>
      <c r="HWY65" s="277" t="s">
        <v>1072</v>
      </c>
      <c r="HWZ65" s="277" t="s">
        <v>1072</v>
      </c>
      <c r="HXA65" s="277" t="s">
        <v>1072</v>
      </c>
      <c r="HXB65" s="277" t="s">
        <v>1072</v>
      </c>
      <c r="HXC65" s="277" t="s">
        <v>1072</v>
      </c>
      <c r="HXD65" s="277" t="s">
        <v>1072</v>
      </c>
      <c r="HXE65" s="277" t="s">
        <v>1072</v>
      </c>
      <c r="HXF65" s="277" t="s">
        <v>1072</v>
      </c>
      <c r="HXG65" s="277" t="s">
        <v>1072</v>
      </c>
      <c r="HXH65" s="277" t="s">
        <v>1072</v>
      </c>
      <c r="HXI65" s="277" t="s">
        <v>1072</v>
      </c>
      <c r="HXJ65" s="277" t="s">
        <v>1072</v>
      </c>
      <c r="HXK65" s="277" t="s">
        <v>1072</v>
      </c>
      <c r="HXL65" s="277" t="s">
        <v>1072</v>
      </c>
      <c r="HXM65" s="277" t="s">
        <v>1072</v>
      </c>
      <c r="HXN65" s="277" t="s">
        <v>1072</v>
      </c>
      <c r="HXO65" s="277" t="s">
        <v>1072</v>
      </c>
      <c r="HXP65" s="277" t="s">
        <v>1072</v>
      </c>
      <c r="HXQ65" s="277" t="s">
        <v>1072</v>
      </c>
      <c r="HXR65" s="277" t="s">
        <v>1072</v>
      </c>
      <c r="HXS65" s="277" t="s">
        <v>1072</v>
      </c>
      <c r="HXT65" s="277" t="s">
        <v>1072</v>
      </c>
      <c r="HXU65" s="277" t="s">
        <v>1072</v>
      </c>
      <c r="HXV65" s="277" t="s">
        <v>1072</v>
      </c>
      <c r="HXW65" s="277" t="s">
        <v>1072</v>
      </c>
      <c r="HXX65" s="277" t="s">
        <v>1072</v>
      </c>
      <c r="HXY65" s="277" t="s">
        <v>1072</v>
      </c>
      <c r="HXZ65" s="277" t="s">
        <v>1072</v>
      </c>
      <c r="HYA65" s="277" t="s">
        <v>1072</v>
      </c>
      <c r="HYB65" s="277" t="s">
        <v>1072</v>
      </c>
      <c r="HYC65" s="277" t="s">
        <v>1072</v>
      </c>
      <c r="HYD65" s="277" t="s">
        <v>1072</v>
      </c>
      <c r="HYE65" s="277" t="s">
        <v>1072</v>
      </c>
      <c r="HYF65" s="277" t="s">
        <v>1072</v>
      </c>
      <c r="HYG65" s="277" t="s">
        <v>1072</v>
      </c>
      <c r="HYH65" s="277" t="s">
        <v>1072</v>
      </c>
      <c r="HYI65" s="277" t="s">
        <v>1072</v>
      </c>
      <c r="HYJ65" s="277" t="s">
        <v>1072</v>
      </c>
      <c r="HYK65" s="277" t="s">
        <v>1072</v>
      </c>
      <c r="HYL65" s="277" t="s">
        <v>1072</v>
      </c>
      <c r="HYM65" s="277" t="s">
        <v>1072</v>
      </c>
      <c r="HYN65" s="277" t="s">
        <v>1072</v>
      </c>
      <c r="HYO65" s="277" t="s">
        <v>1072</v>
      </c>
      <c r="HYP65" s="277" t="s">
        <v>1072</v>
      </c>
      <c r="HYQ65" s="277" t="s">
        <v>1072</v>
      </c>
      <c r="HYR65" s="277" t="s">
        <v>1072</v>
      </c>
      <c r="HYS65" s="277" t="s">
        <v>1072</v>
      </c>
      <c r="HYT65" s="277" t="s">
        <v>1072</v>
      </c>
      <c r="HYU65" s="277" t="s">
        <v>1072</v>
      </c>
      <c r="HYV65" s="277" t="s">
        <v>1072</v>
      </c>
      <c r="HYW65" s="277" t="s">
        <v>1072</v>
      </c>
      <c r="HYX65" s="277" t="s">
        <v>1072</v>
      </c>
      <c r="HYY65" s="277" t="s">
        <v>1072</v>
      </c>
      <c r="HYZ65" s="277" t="s">
        <v>1072</v>
      </c>
      <c r="HZA65" s="277" t="s">
        <v>1072</v>
      </c>
      <c r="HZB65" s="277" t="s">
        <v>1072</v>
      </c>
      <c r="HZC65" s="277" t="s">
        <v>1072</v>
      </c>
      <c r="HZD65" s="277" t="s">
        <v>1072</v>
      </c>
      <c r="HZE65" s="277" t="s">
        <v>1072</v>
      </c>
      <c r="HZF65" s="277" t="s">
        <v>1072</v>
      </c>
      <c r="HZG65" s="277" t="s">
        <v>1072</v>
      </c>
      <c r="HZH65" s="277" t="s">
        <v>1072</v>
      </c>
      <c r="HZI65" s="277" t="s">
        <v>1072</v>
      </c>
      <c r="HZJ65" s="277" t="s">
        <v>1072</v>
      </c>
      <c r="HZK65" s="277" t="s">
        <v>1072</v>
      </c>
      <c r="HZL65" s="277" t="s">
        <v>1072</v>
      </c>
      <c r="HZM65" s="277" t="s">
        <v>1072</v>
      </c>
      <c r="HZN65" s="277" t="s">
        <v>1072</v>
      </c>
      <c r="HZO65" s="277" t="s">
        <v>1072</v>
      </c>
      <c r="HZP65" s="277" t="s">
        <v>1072</v>
      </c>
      <c r="HZQ65" s="277" t="s">
        <v>1072</v>
      </c>
      <c r="HZR65" s="277" t="s">
        <v>1072</v>
      </c>
      <c r="HZS65" s="277" t="s">
        <v>1072</v>
      </c>
      <c r="HZT65" s="277" t="s">
        <v>1072</v>
      </c>
      <c r="HZU65" s="277" t="s">
        <v>1072</v>
      </c>
      <c r="HZV65" s="277" t="s">
        <v>1072</v>
      </c>
      <c r="HZW65" s="277" t="s">
        <v>1072</v>
      </c>
      <c r="HZX65" s="277" t="s">
        <v>1072</v>
      </c>
      <c r="HZY65" s="277" t="s">
        <v>1072</v>
      </c>
      <c r="HZZ65" s="277" t="s">
        <v>1072</v>
      </c>
      <c r="IAA65" s="277" t="s">
        <v>1072</v>
      </c>
      <c r="IAB65" s="277" t="s">
        <v>1072</v>
      </c>
      <c r="IAC65" s="277" t="s">
        <v>1072</v>
      </c>
      <c r="IAD65" s="277" t="s">
        <v>1072</v>
      </c>
      <c r="IAE65" s="277" t="s">
        <v>1072</v>
      </c>
      <c r="IAF65" s="277" t="s">
        <v>1072</v>
      </c>
      <c r="IAG65" s="277" t="s">
        <v>1072</v>
      </c>
      <c r="IAH65" s="277" t="s">
        <v>1072</v>
      </c>
      <c r="IAI65" s="277" t="s">
        <v>1072</v>
      </c>
      <c r="IAJ65" s="277" t="s">
        <v>1072</v>
      </c>
      <c r="IAK65" s="277" t="s">
        <v>1072</v>
      </c>
      <c r="IAL65" s="277" t="s">
        <v>1072</v>
      </c>
      <c r="IAM65" s="277" t="s">
        <v>1072</v>
      </c>
      <c r="IAN65" s="277" t="s">
        <v>1072</v>
      </c>
      <c r="IAO65" s="277" t="s">
        <v>1072</v>
      </c>
      <c r="IAP65" s="277" t="s">
        <v>1072</v>
      </c>
      <c r="IAQ65" s="277" t="s">
        <v>1072</v>
      </c>
      <c r="IAR65" s="277" t="s">
        <v>1072</v>
      </c>
      <c r="IAS65" s="277" t="s">
        <v>1072</v>
      </c>
      <c r="IAT65" s="277" t="s">
        <v>1072</v>
      </c>
      <c r="IAU65" s="277" t="s">
        <v>1072</v>
      </c>
      <c r="IAV65" s="277" t="s">
        <v>1072</v>
      </c>
      <c r="IAW65" s="277" t="s">
        <v>1072</v>
      </c>
      <c r="IAX65" s="277" t="s">
        <v>1072</v>
      </c>
      <c r="IAY65" s="277" t="s">
        <v>1072</v>
      </c>
      <c r="IAZ65" s="277" t="s">
        <v>1072</v>
      </c>
      <c r="IBA65" s="277" t="s">
        <v>1072</v>
      </c>
      <c r="IBB65" s="277" t="s">
        <v>1072</v>
      </c>
      <c r="IBC65" s="277" t="s">
        <v>1072</v>
      </c>
      <c r="IBD65" s="277" t="s">
        <v>1072</v>
      </c>
      <c r="IBE65" s="277" t="s">
        <v>1072</v>
      </c>
      <c r="IBF65" s="277" t="s">
        <v>1072</v>
      </c>
      <c r="IBG65" s="277" t="s">
        <v>1072</v>
      </c>
      <c r="IBH65" s="277" t="s">
        <v>1072</v>
      </c>
      <c r="IBI65" s="277" t="s">
        <v>1072</v>
      </c>
      <c r="IBJ65" s="277" t="s">
        <v>1072</v>
      </c>
      <c r="IBK65" s="277" t="s">
        <v>1072</v>
      </c>
      <c r="IBL65" s="277" t="s">
        <v>1072</v>
      </c>
      <c r="IBM65" s="277" t="s">
        <v>1072</v>
      </c>
      <c r="IBN65" s="277" t="s">
        <v>1072</v>
      </c>
      <c r="IBO65" s="277" t="s">
        <v>1072</v>
      </c>
      <c r="IBP65" s="277" t="s">
        <v>1072</v>
      </c>
      <c r="IBQ65" s="277" t="s">
        <v>1072</v>
      </c>
      <c r="IBR65" s="277" t="s">
        <v>1072</v>
      </c>
      <c r="IBS65" s="277" t="s">
        <v>1072</v>
      </c>
      <c r="IBT65" s="277" t="s">
        <v>1072</v>
      </c>
      <c r="IBU65" s="277" t="s">
        <v>1072</v>
      </c>
      <c r="IBV65" s="277" t="s">
        <v>1072</v>
      </c>
      <c r="IBW65" s="277" t="s">
        <v>1072</v>
      </c>
      <c r="IBX65" s="277" t="s">
        <v>1072</v>
      </c>
      <c r="IBY65" s="277" t="s">
        <v>1072</v>
      </c>
      <c r="IBZ65" s="277" t="s">
        <v>1072</v>
      </c>
      <c r="ICA65" s="277" t="s">
        <v>1072</v>
      </c>
      <c r="ICB65" s="277" t="s">
        <v>1072</v>
      </c>
      <c r="ICC65" s="277" t="s">
        <v>1072</v>
      </c>
      <c r="ICD65" s="277" t="s">
        <v>1072</v>
      </c>
      <c r="ICE65" s="277" t="s">
        <v>1072</v>
      </c>
      <c r="ICF65" s="277" t="s">
        <v>1072</v>
      </c>
      <c r="ICG65" s="277" t="s">
        <v>1072</v>
      </c>
      <c r="ICH65" s="277" t="s">
        <v>1072</v>
      </c>
      <c r="ICI65" s="277" t="s">
        <v>1072</v>
      </c>
      <c r="ICJ65" s="277" t="s">
        <v>1072</v>
      </c>
      <c r="ICK65" s="277" t="s">
        <v>1072</v>
      </c>
      <c r="ICL65" s="277" t="s">
        <v>1072</v>
      </c>
      <c r="ICM65" s="277" t="s">
        <v>1072</v>
      </c>
      <c r="ICN65" s="277" t="s">
        <v>1072</v>
      </c>
      <c r="ICO65" s="277" t="s">
        <v>1072</v>
      </c>
      <c r="ICP65" s="277" t="s">
        <v>1072</v>
      </c>
      <c r="ICQ65" s="277" t="s">
        <v>1072</v>
      </c>
      <c r="ICR65" s="277" t="s">
        <v>1072</v>
      </c>
      <c r="ICS65" s="277" t="s">
        <v>1072</v>
      </c>
      <c r="ICT65" s="277" t="s">
        <v>1072</v>
      </c>
      <c r="ICU65" s="277" t="s">
        <v>1072</v>
      </c>
      <c r="ICV65" s="277" t="s">
        <v>1072</v>
      </c>
      <c r="ICW65" s="277" t="s">
        <v>1072</v>
      </c>
      <c r="ICX65" s="277" t="s">
        <v>1072</v>
      </c>
      <c r="ICY65" s="277" t="s">
        <v>1072</v>
      </c>
      <c r="ICZ65" s="277" t="s">
        <v>1072</v>
      </c>
      <c r="IDA65" s="277" t="s">
        <v>1072</v>
      </c>
      <c r="IDB65" s="277" t="s">
        <v>1072</v>
      </c>
      <c r="IDC65" s="277" t="s">
        <v>1072</v>
      </c>
      <c r="IDD65" s="277" t="s">
        <v>1072</v>
      </c>
      <c r="IDE65" s="277" t="s">
        <v>1072</v>
      </c>
      <c r="IDF65" s="277" t="s">
        <v>1072</v>
      </c>
      <c r="IDG65" s="277" t="s">
        <v>1072</v>
      </c>
      <c r="IDH65" s="277" t="s">
        <v>1072</v>
      </c>
      <c r="IDI65" s="277" t="s">
        <v>1072</v>
      </c>
      <c r="IDJ65" s="277" t="s">
        <v>1072</v>
      </c>
      <c r="IDK65" s="277" t="s">
        <v>1072</v>
      </c>
      <c r="IDL65" s="277" t="s">
        <v>1072</v>
      </c>
      <c r="IDM65" s="277" t="s">
        <v>1072</v>
      </c>
      <c r="IDN65" s="277" t="s">
        <v>1072</v>
      </c>
      <c r="IDO65" s="277" t="s">
        <v>1072</v>
      </c>
      <c r="IDP65" s="277" t="s">
        <v>1072</v>
      </c>
      <c r="IDQ65" s="277" t="s">
        <v>1072</v>
      </c>
      <c r="IDR65" s="277" t="s">
        <v>1072</v>
      </c>
      <c r="IDS65" s="277" t="s">
        <v>1072</v>
      </c>
      <c r="IDT65" s="277" t="s">
        <v>1072</v>
      </c>
      <c r="IDU65" s="277" t="s">
        <v>1072</v>
      </c>
      <c r="IDV65" s="277" t="s">
        <v>1072</v>
      </c>
      <c r="IDW65" s="277" t="s">
        <v>1072</v>
      </c>
      <c r="IDX65" s="277" t="s">
        <v>1072</v>
      </c>
      <c r="IDY65" s="277" t="s">
        <v>1072</v>
      </c>
      <c r="IDZ65" s="277" t="s">
        <v>1072</v>
      </c>
      <c r="IEA65" s="277" t="s">
        <v>1072</v>
      </c>
      <c r="IEB65" s="277" t="s">
        <v>1072</v>
      </c>
      <c r="IEC65" s="277" t="s">
        <v>1072</v>
      </c>
      <c r="IED65" s="277" t="s">
        <v>1072</v>
      </c>
      <c r="IEE65" s="277" t="s">
        <v>1072</v>
      </c>
      <c r="IEF65" s="277" t="s">
        <v>1072</v>
      </c>
      <c r="IEG65" s="277" t="s">
        <v>1072</v>
      </c>
      <c r="IEH65" s="277" t="s">
        <v>1072</v>
      </c>
      <c r="IEI65" s="277" t="s">
        <v>1072</v>
      </c>
      <c r="IEJ65" s="277" t="s">
        <v>1072</v>
      </c>
      <c r="IEK65" s="277" t="s">
        <v>1072</v>
      </c>
      <c r="IEL65" s="277" t="s">
        <v>1072</v>
      </c>
      <c r="IEM65" s="277" t="s">
        <v>1072</v>
      </c>
      <c r="IEN65" s="277" t="s">
        <v>1072</v>
      </c>
      <c r="IEO65" s="277" t="s">
        <v>1072</v>
      </c>
      <c r="IEP65" s="277" t="s">
        <v>1072</v>
      </c>
      <c r="IEQ65" s="277" t="s">
        <v>1072</v>
      </c>
      <c r="IER65" s="277" t="s">
        <v>1072</v>
      </c>
      <c r="IES65" s="277" t="s">
        <v>1072</v>
      </c>
      <c r="IET65" s="277" t="s">
        <v>1072</v>
      </c>
      <c r="IEU65" s="277" t="s">
        <v>1072</v>
      </c>
      <c r="IEV65" s="277" t="s">
        <v>1072</v>
      </c>
      <c r="IEW65" s="277" t="s">
        <v>1072</v>
      </c>
      <c r="IEX65" s="277" t="s">
        <v>1072</v>
      </c>
      <c r="IEY65" s="277" t="s">
        <v>1072</v>
      </c>
      <c r="IEZ65" s="277" t="s">
        <v>1072</v>
      </c>
      <c r="IFA65" s="277" t="s">
        <v>1072</v>
      </c>
      <c r="IFB65" s="277" t="s">
        <v>1072</v>
      </c>
      <c r="IFC65" s="277" t="s">
        <v>1072</v>
      </c>
      <c r="IFD65" s="277" t="s">
        <v>1072</v>
      </c>
      <c r="IFE65" s="277" t="s">
        <v>1072</v>
      </c>
      <c r="IFF65" s="277" t="s">
        <v>1072</v>
      </c>
      <c r="IFG65" s="277" t="s">
        <v>1072</v>
      </c>
      <c r="IFH65" s="277" t="s">
        <v>1072</v>
      </c>
      <c r="IFI65" s="277" t="s">
        <v>1072</v>
      </c>
      <c r="IFJ65" s="277" t="s">
        <v>1072</v>
      </c>
      <c r="IFK65" s="277" t="s">
        <v>1072</v>
      </c>
      <c r="IFL65" s="277" t="s">
        <v>1072</v>
      </c>
      <c r="IFM65" s="277" t="s">
        <v>1072</v>
      </c>
      <c r="IFN65" s="277" t="s">
        <v>1072</v>
      </c>
      <c r="IFO65" s="277" t="s">
        <v>1072</v>
      </c>
      <c r="IFP65" s="277" t="s">
        <v>1072</v>
      </c>
      <c r="IFQ65" s="277" t="s">
        <v>1072</v>
      </c>
      <c r="IFR65" s="277" t="s">
        <v>1072</v>
      </c>
      <c r="IFS65" s="277" t="s">
        <v>1072</v>
      </c>
      <c r="IFT65" s="277" t="s">
        <v>1072</v>
      </c>
      <c r="IFU65" s="277" t="s">
        <v>1072</v>
      </c>
      <c r="IFV65" s="277" t="s">
        <v>1072</v>
      </c>
      <c r="IFW65" s="277" t="s">
        <v>1072</v>
      </c>
      <c r="IFX65" s="277" t="s">
        <v>1072</v>
      </c>
      <c r="IFY65" s="277" t="s">
        <v>1072</v>
      </c>
      <c r="IFZ65" s="277" t="s">
        <v>1072</v>
      </c>
      <c r="IGA65" s="277" t="s">
        <v>1072</v>
      </c>
      <c r="IGB65" s="277" t="s">
        <v>1072</v>
      </c>
      <c r="IGC65" s="277" t="s">
        <v>1072</v>
      </c>
      <c r="IGD65" s="277" t="s">
        <v>1072</v>
      </c>
      <c r="IGE65" s="277" t="s">
        <v>1072</v>
      </c>
      <c r="IGF65" s="277" t="s">
        <v>1072</v>
      </c>
      <c r="IGG65" s="277" t="s">
        <v>1072</v>
      </c>
      <c r="IGH65" s="277" t="s">
        <v>1072</v>
      </c>
      <c r="IGI65" s="277" t="s">
        <v>1072</v>
      </c>
      <c r="IGJ65" s="277" t="s">
        <v>1072</v>
      </c>
      <c r="IGK65" s="277" t="s">
        <v>1072</v>
      </c>
      <c r="IGL65" s="277" t="s">
        <v>1072</v>
      </c>
      <c r="IGM65" s="277" t="s">
        <v>1072</v>
      </c>
      <c r="IGN65" s="277" t="s">
        <v>1072</v>
      </c>
      <c r="IGO65" s="277" t="s">
        <v>1072</v>
      </c>
      <c r="IGP65" s="277" t="s">
        <v>1072</v>
      </c>
      <c r="IGQ65" s="277" t="s">
        <v>1072</v>
      </c>
      <c r="IGR65" s="277" t="s">
        <v>1072</v>
      </c>
      <c r="IGS65" s="277" t="s">
        <v>1072</v>
      </c>
      <c r="IGT65" s="277" t="s">
        <v>1072</v>
      </c>
      <c r="IGU65" s="277" t="s">
        <v>1072</v>
      </c>
      <c r="IGV65" s="277" t="s">
        <v>1072</v>
      </c>
      <c r="IGW65" s="277" t="s">
        <v>1072</v>
      </c>
      <c r="IGX65" s="277" t="s">
        <v>1072</v>
      </c>
      <c r="IGY65" s="277" t="s">
        <v>1072</v>
      </c>
      <c r="IGZ65" s="277" t="s">
        <v>1072</v>
      </c>
      <c r="IHA65" s="277" t="s">
        <v>1072</v>
      </c>
      <c r="IHB65" s="277" t="s">
        <v>1072</v>
      </c>
      <c r="IHC65" s="277" t="s">
        <v>1072</v>
      </c>
      <c r="IHD65" s="277" t="s">
        <v>1072</v>
      </c>
      <c r="IHE65" s="277" t="s">
        <v>1072</v>
      </c>
      <c r="IHF65" s="277" t="s">
        <v>1072</v>
      </c>
      <c r="IHG65" s="277" t="s">
        <v>1072</v>
      </c>
      <c r="IHH65" s="277" t="s">
        <v>1072</v>
      </c>
      <c r="IHI65" s="277" t="s">
        <v>1072</v>
      </c>
      <c r="IHJ65" s="277" t="s">
        <v>1072</v>
      </c>
      <c r="IHK65" s="277" t="s">
        <v>1072</v>
      </c>
      <c r="IHL65" s="277" t="s">
        <v>1072</v>
      </c>
      <c r="IHM65" s="277" t="s">
        <v>1072</v>
      </c>
      <c r="IHN65" s="277" t="s">
        <v>1072</v>
      </c>
      <c r="IHO65" s="277" t="s">
        <v>1072</v>
      </c>
      <c r="IHP65" s="277" t="s">
        <v>1072</v>
      </c>
      <c r="IHQ65" s="277" t="s">
        <v>1072</v>
      </c>
      <c r="IHR65" s="277" t="s">
        <v>1072</v>
      </c>
      <c r="IHS65" s="277" t="s">
        <v>1072</v>
      </c>
      <c r="IHT65" s="277" t="s">
        <v>1072</v>
      </c>
      <c r="IHU65" s="277" t="s">
        <v>1072</v>
      </c>
      <c r="IHV65" s="277" t="s">
        <v>1072</v>
      </c>
      <c r="IHW65" s="277" t="s">
        <v>1072</v>
      </c>
      <c r="IHX65" s="277" t="s">
        <v>1072</v>
      </c>
      <c r="IHY65" s="277" t="s">
        <v>1072</v>
      </c>
      <c r="IHZ65" s="277" t="s">
        <v>1072</v>
      </c>
      <c r="IIA65" s="277" t="s">
        <v>1072</v>
      </c>
      <c r="IIB65" s="277" t="s">
        <v>1072</v>
      </c>
      <c r="IIC65" s="277" t="s">
        <v>1072</v>
      </c>
      <c r="IID65" s="277" t="s">
        <v>1072</v>
      </c>
      <c r="IIE65" s="277" t="s">
        <v>1072</v>
      </c>
      <c r="IIF65" s="277" t="s">
        <v>1072</v>
      </c>
      <c r="IIG65" s="277" t="s">
        <v>1072</v>
      </c>
      <c r="IIH65" s="277" t="s">
        <v>1072</v>
      </c>
      <c r="III65" s="277" t="s">
        <v>1072</v>
      </c>
      <c r="IIJ65" s="277" t="s">
        <v>1072</v>
      </c>
      <c r="IIK65" s="277" t="s">
        <v>1072</v>
      </c>
      <c r="IIL65" s="277" t="s">
        <v>1072</v>
      </c>
      <c r="IIM65" s="277" t="s">
        <v>1072</v>
      </c>
      <c r="IIN65" s="277" t="s">
        <v>1072</v>
      </c>
      <c r="IIO65" s="277" t="s">
        <v>1072</v>
      </c>
      <c r="IIP65" s="277" t="s">
        <v>1072</v>
      </c>
      <c r="IIQ65" s="277" t="s">
        <v>1072</v>
      </c>
      <c r="IIR65" s="277" t="s">
        <v>1072</v>
      </c>
      <c r="IIS65" s="277" t="s">
        <v>1072</v>
      </c>
      <c r="IIT65" s="277" t="s">
        <v>1072</v>
      </c>
      <c r="IIU65" s="277" t="s">
        <v>1072</v>
      </c>
      <c r="IIV65" s="277" t="s">
        <v>1072</v>
      </c>
      <c r="IIW65" s="277" t="s">
        <v>1072</v>
      </c>
      <c r="IIX65" s="277" t="s">
        <v>1072</v>
      </c>
      <c r="IIY65" s="277" t="s">
        <v>1072</v>
      </c>
      <c r="IIZ65" s="277" t="s">
        <v>1072</v>
      </c>
      <c r="IJA65" s="277" t="s">
        <v>1072</v>
      </c>
      <c r="IJB65" s="277" t="s">
        <v>1072</v>
      </c>
      <c r="IJC65" s="277" t="s">
        <v>1072</v>
      </c>
      <c r="IJD65" s="277" t="s">
        <v>1072</v>
      </c>
      <c r="IJE65" s="277" t="s">
        <v>1072</v>
      </c>
      <c r="IJF65" s="277" t="s">
        <v>1072</v>
      </c>
      <c r="IJG65" s="277" t="s">
        <v>1072</v>
      </c>
      <c r="IJH65" s="277" t="s">
        <v>1072</v>
      </c>
      <c r="IJI65" s="277" t="s">
        <v>1072</v>
      </c>
      <c r="IJJ65" s="277" t="s">
        <v>1072</v>
      </c>
      <c r="IJK65" s="277" t="s">
        <v>1072</v>
      </c>
      <c r="IJL65" s="277" t="s">
        <v>1072</v>
      </c>
      <c r="IJM65" s="277" t="s">
        <v>1072</v>
      </c>
      <c r="IJN65" s="277" t="s">
        <v>1072</v>
      </c>
      <c r="IJO65" s="277" t="s">
        <v>1072</v>
      </c>
      <c r="IJP65" s="277" t="s">
        <v>1072</v>
      </c>
      <c r="IJQ65" s="277" t="s">
        <v>1072</v>
      </c>
      <c r="IJR65" s="277" t="s">
        <v>1072</v>
      </c>
      <c r="IJS65" s="277" t="s">
        <v>1072</v>
      </c>
      <c r="IJT65" s="277" t="s">
        <v>1072</v>
      </c>
      <c r="IJU65" s="277" t="s">
        <v>1072</v>
      </c>
      <c r="IJV65" s="277" t="s">
        <v>1072</v>
      </c>
      <c r="IJW65" s="277" t="s">
        <v>1072</v>
      </c>
      <c r="IJX65" s="277" t="s">
        <v>1072</v>
      </c>
      <c r="IJY65" s="277" t="s">
        <v>1072</v>
      </c>
      <c r="IJZ65" s="277" t="s">
        <v>1072</v>
      </c>
      <c r="IKA65" s="277" t="s">
        <v>1072</v>
      </c>
      <c r="IKB65" s="277" t="s">
        <v>1072</v>
      </c>
      <c r="IKC65" s="277" t="s">
        <v>1072</v>
      </c>
      <c r="IKD65" s="277" t="s">
        <v>1072</v>
      </c>
      <c r="IKE65" s="277" t="s">
        <v>1072</v>
      </c>
      <c r="IKF65" s="277" t="s">
        <v>1072</v>
      </c>
      <c r="IKG65" s="277" t="s">
        <v>1072</v>
      </c>
      <c r="IKH65" s="277" t="s">
        <v>1072</v>
      </c>
      <c r="IKI65" s="277" t="s">
        <v>1072</v>
      </c>
      <c r="IKJ65" s="277" t="s">
        <v>1072</v>
      </c>
      <c r="IKK65" s="277" t="s">
        <v>1072</v>
      </c>
      <c r="IKL65" s="277" t="s">
        <v>1072</v>
      </c>
      <c r="IKM65" s="277" t="s">
        <v>1072</v>
      </c>
      <c r="IKN65" s="277" t="s">
        <v>1072</v>
      </c>
      <c r="IKO65" s="277" t="s">
        <v>1072</v>
      </c>
      <c r="IKP65" s="277" t="s">
        <v>1072</v>
      </c>
      <c r="IKQ65" s="277" t="s">
        <v>1072</v>
      </c>
      <c r="IKR65" s="277" t="s">
        <v>1072</v>
      </c>
      <c r="IKS65" s="277" t="s">
        <v>1072</v>
      </c>
      <c r="IKT65" s="277" t="s">
        <v>1072</v>
      </c>
      <c r="IKU65" s="277" t="s">
        <v>1072</v>
      </c>
      <c r="IKV65" s="277" t="s">
        <v>1072</v>
      </c>
      <c r="IKW65" s="277" t="s">
        <v>1072</v>
      </c>
      <c r="IKX65" s="277" t="s">
        <v>1072</v>
      </c>
      <c r="IKY65" s="277" t="s">
        <v>1072</v>
      </c>
      <c r="IKZ65" s="277" t="s">
        <v>1072</v>
      </c>
      <c r="ILA65" s="277" t="s">
        <v>1072</v>
      </c>
      <c r="ILB65" s="277" t="s">
        <v>1072</v>
      </c>
      <c r="ILC65" s="277" t="s">
        <v>1072</v>
      </c>
      <c r="ILD65" s="277" t="s">
        <v>1072</v>
      </c>
      <c r="ILE65" s="277" t="s">
        <v>1072</v>
      </c>
      <c r="ILF65" s="277" t="s">
        <v>1072</v>
      </c>
      <c r="ILG65" s="277" t="s">
        <v>1072</v>
      </c>
      <c r="ILH65" s="277" t="s">
        <v>1072</v>
      </c>
      <c r="ILI65" s="277" t="s">
        <v>1072</v>
      </c>
      <c r="ILJ65" s="277" t="s">
        <v>1072</v>
      </c>
      <c r="ILK65" s="277" t="s">
        <v>1072</v>
      </c>
      <c r="ILL65" s="277" t="s">
        <v>1072</v>
      </c>
      <c r="ILM65" s="277" t="s">
        <v>1072</v>
      </c>
      <c r="ILN65" s="277" t="s">
        <v>1072</v>
      </c>
      <c r="ILO65" s="277" t="s">
        <v>1072</v>
      </c>
      <c r="ILP65" s="277" t="s">
        <v>1072</v>
      </c>
      <c r="ILQ65" s="277" t="s">
        <v>1072</v>
      </c>
      <c r="ILR65" s="277" t="s">
        <v>1072</v>
      </c>
      <c r="ILS65" s="277" t="s">
        <v>1072</v>
      </c>
      <c r="ILT65" s="277" t="s">
        <v>1072</v>
      </c>
      <c r="ILU65" s="277" t="s">
        <v>1072</v>
      </c>
      <c r="ILV65" s="277" t="s">
        <v>1072</v>
      </c>
      <c r="ILW65" s="277" t="s">
        <v>1072</v>
      </c>
      <c r="ILX65" s="277" t="s">
        <v>1072</v>
      </c>
      <c r="ILY65" s="277" t="s">
        <v>1072</v>
      </c>
      <c r="ILZ65" s="277" t="s">
        <v>1072</v>
      </c>
      <c r="IMA65" s="277" t="s">
        <v>1072</v>
      </c>
      <c r="IMB65" s="277" t="s">
        <v>1072</v>
      </c>
      <c r="IMC65" s="277" t="s">
        <v>1072</v>
      </c>
      <c r="IMD65" s="277" t="s">
        <v>1072</v>
      </c>
      <c r="IME65" s="277" t="s">
        <v>1072</v>
      </c>
      <c r="IMF65" s="277" t="s">
        <v>1072</v>
      </c>
      <c r="IMG65" s="277" t="s">
        <v>1072</v>
      </c>
      <c r="IMH65" s="277" t="s">
        <v>1072</v>
      </c>
      <c r="IMI65" s="277" t="s">
        <v>1072</v>
      </c>
      <c r="IMJ65" s="277" t="s">
        <v>1072</v>
      </c>
      <c r="IMK65" s="277" t="s">
        <v>1072</v>
      </c>
      <c r="IML65" s="277" t="s">
        <v>1072</v>
      </c>
      <c r="IMM65" s="277" t="s">
        <v>1072</v>
      </c>
      <c r="IMN65" s="277" t="s">
        <v>1072</v>
      </c>
      <c r="IMO65" s="277" t="s">
        <v>1072</v>
      </c>
      <c r="IMP65" s="277" t="s">
        <v>1072</v>
      </c>
      <c r="IMQ65" s="277" t="s">
        <v>1072</v>
      </c>
      <c r="IMR65" s="277" t="s">
        <v>1072</v>
      </c>
      <c r="IMS65" s="277" t="s">
        <v>1072</v>
      </c>
      <c r="IMT65" s="277" t="s">
        <v>1072</v>
      </c>
      <c r="IMU65" s="277" t="s">
        <v>1072</v>
      </c>
      <c r="IMV65" s="277" t="s">
        <v>1072</v>
      </c>
      <c r="IMW65" s="277" t="s">
        <v>1072</v>
      </c>
      <c r="IMX65" s="277" t="s">
        <v>1072</v>
      </c>
      <c r="IMY65" s="277" t="s">
        <v>1072</v>
      </c>
      <c r="IMZ65" s="277" t="s">
        <v>1072</v>
      </c>
      <c r="INA65" s="277" t="s">
        <v>1072</v>
      </c>
      <c r="INB65" s="277" t="s">
        <v>1072</v>
      </c>
      <c r="INC65" s="277" t="s">
        <v>1072</v>
      </c>
      <c r="IND65" s="277" t="s">
        <v>1072</v>
      </c>
      <c r="INE65" s="277" t="s">
        <v>1072</v>
      </c>
      <c r="INF65" s="277" t="s">
        <v>1072</v>
      </c>
      <c r="ING65" s="277" t="s">
        <v>1072</v>
      </c>
      <c r="INH65" s="277" t="s">
        <v>1072</v>
      </c>
      <c r="INI65" s="277" t="s">
        <v>1072</v>
      </c>
      <c r="INJ65" s="277" t="s">
        <v>1072</v>
      </c>
      <c r="INK65" s="277" t="s">
        <v>1072</v>
      </c>
      <c r="INL65" s="277" t="s">
        <v>1072</v>
      </c>
      <c r="INM65" s="277" t="s">
        <v>1072</v>
      </c>
      <c r="INN65" s="277" t="s">
        <v>1072</v>
      </c>
      <c r="INO65" s="277" t="s">
        <v>1072</v>
      </c>
      <c r="INP65" s="277" t="s">
        <v>1072</v>
      </c>
      <c r="INQ65" s="277" t="s">
        <v>1072</v>
      </c>
      <c r="INR65" s="277" t="s">
        <v>1072</v>
      </c>
      <c r="INS65" s="277" t="s">
        <v>1072</v>
      </c>
      <c r="INT65" s="277" t="s">
        <v>1072</v>
      </c>
      <c r="INU65" s="277" t="s">
        <v>1072</v>
      </c>
      <c r="INV65" s="277" t="s">
        <v>1072</v>
      </c>
      <c r="INW65" s="277" t="s">
        <v>1072</v>
      </c>
      <c r="INX65" s="277" t="s">
        <v>1072</v>
      </c>
      <c r="INY65" s="277" t="s">
        <v>1072</v>
      </c>
      <c r="INZ65" s="277" t="s">
        <v>1072</v>
      </c>
      <c r="IOA65" s="277" t="s">
        <v>1072</v>
      </c>
      <c r="IOB65" s="277" t="s">
        <v>1072</v>
      </c>
      <c r="IOC65" s="277" t="s">
        <v>1072</v>
      </c>
      <c r="IOD65" s="277" t="s">
        <v>1072</v>
      </c>
      <c r="IOE65" s="277" t="s">
        <v>1072</v>
      </c>
      <c r="IOF65" s="277" t="s">
        <v>1072</v>
      </c>
      <c r="IOG65" s="277" t="s">
        <v>1072</v>
      </c>
      <c r="IOH65" s="277" t="s">
        <v>1072</v>
      </c>
      <c r="IOI65" s="277" t="s">
        <v>1072</v>
      </c>
      <c r="IOJ65" s="277" t="s">
        <v>1072</v>
      </c>
      <c r="IOK65" s="277" t="s">
        <v>1072</v>
      </c>
      <c r="IOL65" s="277" t="s">
        <v>1072</v>
      </c>
      <c r="IOM65" s="277" t="s">
        <v>1072</v>
      </c>
      <c r="ION65" s="277" t="s">
        <v>1072</v>
      </c>
      <c r="IOO65" s="277" t="s">
        <v>1072</v>
      </c>
      <c r="IOP65" s="277" t="s">
        <v>1072</v>
      </c>
      <c r="IOQ65" s="277" t="s">
        <v>1072</v>
      </c>
      <c r="IOR65" s="277" t="s">
        <v>1072</v>
      </c>
      <c r="IOS65" s="277" t="s">
        <v>1072</v>
      </c>
      <c r="IOT65" s="277" t="s">
        <v>1072</v>
      </c>
      <c r="IOU65" s="277" t="s">
        <v>1072</v>
      </c>
      <c r="IOV65" s="277" t="s">
        <v>1072</v>
      </c>
      <c r="IOW65" s="277" t="s">
        <v>1072</v>
      </c>
      <c r="IOX65" s="277" t="s">
        <v>1072</v>
      </c>
      <c r="IOY65" s="277" t="s">
        <v>1072</v>
      </c>
      <c r="IOZ65" s="277" t="s">
        <v>1072</v>
      </c>
      <c r="IPA65" s="277" t="s">
        <v>1072</v>
      </c>
      <c r="IPB65" s="277" t="s">
        <v>1072</v>
      </c>
      <c r="IPC65" s="277" t="s">
        <v>1072</v>
      </c>
      <c r="IPD65" s="277" t="s">
        <v>1072</v>
      </c>
      <c r="IPE65" s="277" t="s">
        <v>1072</v>
      </c>
      <c r="IPF65" s="277" t="s">
        <v>1072</v>
      </c>
      <c r="IPG65" s="277" t="s">
        <v>1072</v>
      </c>
      <c r="IPH65" s="277" t="s">
        <v>1072</v>
      </c>
      <c r="IPI65" s="277" t="s">
        <v>1072</v>
      </c>
      <c r="IPJ65" s="277" t="s">
        <v>1072</v>
      </c>
      <c r="IPK65" s="277" t="s">
        <v>1072</v>
      </c>
      <c r="IPL65" s="277" t="s">
        <v>1072</v>
      </c>
      <c r="IPM65" s="277" t="s">
        <v>1072</v>
      </c>
      <c r="IPN65" s="277" t="s">
        <v>1072</v>
      </c>
      <c r="IPO65" s="277" t="s">
        <v>1072</v>
      </c>
      <c r="IPP65" s="277" t="s">
        <v>1072</v>
      </c>
      <c r="IPQ65" s="277" t="s">
        <v>1072</v>
      </c>
      <c r="IPR65" s="277" t="s">
        <v>1072</v>
      </c>
      <c r="IPS65" s="277" t="s">
        <v>1072</v>
      </c>
      <c r="IPT65" s="277" t="s">
        <v>1072</v>
      </c>
      <c r="IPU65" s="277" t="s">
        <v>1072</v>
      </c>
      <c r="IPV65" s="277" t="s">
        <v>1072</v>
      </c>
      <c r="IPW65" s="277" t="s">
        <v>1072</v>
      </c>
      <c r="IPX65" s="277" t="s">
        <v>1072</v>
      </c>
      <c r="IPY65" s="277" t="s">
        <v>1072</v>
      </c>
      <c r="IPZ65" s="277" t="s">
        <v>1072</v>
      </c>
      <c r="IQA65" s="277" t="s">
        <v>1072</v>
      </c>
      <c r="IQB65" s="277" t="s">
        <v>1072</v>
      </c>
      <c r="IQC65" s="277" t="s">
        <v>1072</v>
      </c>
      <c r="IQD65" s="277" t="s">
        <v>1072</v>
      </c>
      <c r="IQE65" s="277" t="s">
        <v>1072</v>
      </c>
      <c r="IQF65" s="277" t="s">
        <v>1072</v>
      </c>
      <c r="IQG65" s="277" t="s">
        <v>1072</v>
      </c>
      <c r="IQH65" s="277" t="s">
        <v>1072</v>
      </c>
      <c r="IQI65" s="277" t="s">
        <v>1072</v>
      </c>
      <c r="IQJ65" s="277" t="s">
        <v>1072</v>
      </c>
      <c r="IQK65" s="277" t="s">
        <v>1072</v>
      </c>
      <c r="IQL65" s="277" t="s">
        <v>1072</v>
      </c>
      <c r="IQM65" s="277" t="s">
        <v>1072</v>
      </c>
      <c r="IQN65" s="277" t="s">
        <v>1072</v>
      </c>
      <c r="IQO65" s="277" t="s">
        <v>1072</v>
      </c>
      <c r="IQP65" s="277" t="s">
        <v>1072</v>
      </c>
      <c r="IQQ65" s="277" t="s">
        <v>1072</v>
      </c>
      <c r="IQR65" s="277" t="s">
        <v>1072</v>
      </c>
      <c r="IQS65" s="277" t="s">
        <v>1072</v>
      </c>
      <c r="IQT65" s="277" t="s">
        <v>1072</v>
      </c>
      <c r="IQU65" s="277" t="s">
        <v>1072</v>
      </c>
      <c r="IQV65" s="277" t="s">
        <v>1072</v>
      </c>
      <c r="IQW65" s="277" t="s">
        <v>1072</v>
      </c>
      <c r="IQX65" s="277" t="s">
        <v>1072</v>
      </c>
      <c r="IQY65" s="277" t="s">
        <v>1072</v>
      </c>
      <c r="IQZ65" s="277" t="s">
        <v>1072</v>
      </c>
      <c r="IRA65" s="277" t="s">
        <v>1072</v>
      </c>
      <c r="IRB65" s="277" t="s">
        <v>1072</v>
      </c>
      <c r="IRC65" s="277" t="s">
        <v>1072</v>
      </c>
      <c r="IRD65" s="277" t="s">
        <v>1072</v>
      </c>
      <c r="IRE65" s="277" t="s">
        <v>1072</v>
      </c>
      <c r="IRF65" s="277" t="s">
        <v>1072</v>
      </c>
      <c r="IRG65" s="277" t="s">
        <v>1072</v>
      </c>
      <c r="IRH65" s="277" t="s">
        <v>1072</v>
      </c>
      <c r="IRI65" s="277" t="s">
        <v>1072</v>
      </c>
      <c r="IRJ65" s="277" t="s">
        <v>1072</v>
      </c>
      <c r="IRK65" s="277" t="s">
        <v>1072</v>
      </c>
      <c r="IRL65" s="277" t="s">
        <v>1072</v>
      </c>
      <c r="IRM65" s="277" t="s">
        <v>1072</v>
      </c>
      <c r="IRN65" s="277" t="s">
        <v>1072</v>
      </c>
      <c r="IRO65" s="277" t="s">
        <v>1072</v>
      </c>
      <c r="IRP65" s="277" t="s">
        <v>1072</v>
      </c>
      <c r="IRQ65" s="277" t="s">
        <v>1072</v>
      </c>
      <c r="IRR65" s="277" t="s">
        <v>1072</v>
      </c>
      <c r="IRS65" s="277" t="s">
        <v>1072</v>
      </c>
      <c r="IRT65" s="277" t="s">
        <v>1072</v>
      </c>
      <c r="IRU65" s="277" t="s">
        <v>1072</v>
      </c>
      <c r="IRV65" s="277" t="s">
        <v>1072</v>
      </c>
      <c r="IRW65" s="277" t="s">
        <v>1072</v>
      </c>
      <c r="IRX65" s="277" t="s">
        <v>1072</v>
      </c>
      <c r="IRY65" s="277" t="s">
        <v>1072</v>
      </c>
      <c r="IRZ65" s="277" t="s">
        <v>1072</v>
      </c>
      <c r="ISA65" s="277" t="s">
        <v>1072</v>
      </c>
      <c r="ISB65" s="277" t="s">
        <v>1072</v>
      </c>
      <c r="ISC65" s="277" t="s">
        <v>1072</v>
      </c>
      <c r="ISD65" s="277" t="s">
        <v>1072</v>
      </c>
      <c r="ISE65" s="277" t="s">
        <v>1072</v>
      </c>
      <c r="ISF65" s="277" t="s">
        <v>1072</v>
      </c>
      <c r="ISG65" s="277" t="s">
        <v>1072</v>
      </c>
      <c r="ISH65" s="277" t="s">
        <v>1072</v>
      </c>
      <c r="ISI65" s="277" t="s">
        <v>1072</v>
      </c>
      <c r="ISJ65" s="277" t="s">
        <v>1072</v>
      </c>
      <c r="ISK65" s="277" t="s">
        <v>1072</v>
      </c>
      <c r="ISL65" s="277" t="s">
        <v>1072</v>
      </c>
      <c r="ISM65" s="277" t="s">
        <v>1072</v>
      </c>
      <c r="ISN65" s="277" t="s">
        <v>1072</v>
      </c>
      <c r="ISO65" s="277" t="s">
        <v>1072</v>
      </c>
      <c r="ISP65" s="277" t="s">
        <v>1072</v>
      </c>
      <c r="ISQ65" s="277" t="s">
        <v>1072</v>
      </c>
      <c r="ISR65" s="277" t="s">
        <v>1072</v>
      </c>
      <c r="ISS65" s="277" t="s">
        <v>1072</v>
      </c>
      <c r="IST65" s="277" t="s">
        <v>1072</v>
      </c>
      <c r="ISU65" s="277" t="s">
        <v>1072</v>
      </c>
      <c r="ISV65" s="277" t="s">
        <v>1072</v>
      </c>
      <c r="ISW65" s="277" t="s">
        <v>1072</v>
      </c>
      <c r="ISX65" s="277" t="s">
        <v>1072</v>
      </c>
      <c r="ISY65" s="277" t="s">
        <v>1072</v>
      </c>
      <c r="ISZ65" s="277" t="s">
        <v>1072</v>
      </c>
      <c r="ITA65" s="277" t="s">
        <v>1072</v>
      </c>
      <c r="ITB65" s="277" t="s">
        <v>1072</v>
      </c>
      <c r="ITC65" s="277" t="s">
        <v>1072</v>
      </c>
      <c r="ITD65" s="277" t="s">
        <v>1072</v>
      </c>
      <c r="ITE65" s="277" t="s">
        <v>1072</v>
      </c>
      <c r="ITF65" s="277" t="s">
        <v>1072</v>
      </c>
      <c r="ITG65" s="277" t="s">
        <v>1072</v>
      </c>
      <c r="ITH65" s="277" t="s">
        <v>1072</v>
      </c>
      <c r="ITI65" s="277" t="s">
        <v>1072</v>
      </c>
      <c r="ITJ65" s="277" t="s">
        <v>1072</v>
      </c>
      <c r="ITK65" s="277" t="s">
        <v>1072</v>
      </c>
      <c r="ITL65" s="277" t="s">
        <v>1072</v>
      </c>
      <c r="ITM65" s="277" t="s">
        <v>1072</v>
      </c>
      <c r="ITN65" s="277" t="s">
        <v>1072</v>
      </c>
      <c r="ITO65" s="277" t="s">
        <v>1072</v>
      </c>
      <c r="ITP65" s="277" t="s">
        <v>1072</v>
      </c>
      <c r="ITQ65" s="277" t="s">
        <v>1072</v>
      </c>
      <c r="ITR65" s="277" t="s">
        <v>1072</v>
      </c>
      <c r="ITS65" s="277" t="s">
        <v>1072</v>
      </c>
      <c r="ITT65" s="277" t="s">
        <v>1072</v>
      </c>
      <c r="ITU65" s="277" t="s">
        <v>1072</v>
      </c>
      <c r="ITV65" s="277" t="s">
        <v>1072</v>
      </c>
      <c r="ITW65" s="277" t="s">
        <v>1072</v>
      </c>
      <c r="ITX65" s="277" t="s">
        <v>1072</v>
      </c>
      <c r="ITY65" s="277" t="s">
        <v>1072</v>
      </c>
      <c r="ITZ65" s="277" t="s">
        <v>1072</v>
      </c>
      <c r="IUA65" s="277" t="s">
        <v>1072</v>
      </c>
      <c r="IUB65" s="277" t="s">
        <v>1072</v>
      </c>
      <c r="IUC65" s="277" t="s">
        <v>1072</v>
      </c>
      <c r="IUD65" s="277" t="s">
        <v>1072</v>
      </c>
      <c r="IUE65" s="277" t="s">
        <v>1072</v>
      </c>
      <c r="IUF65" s="277" t="s">
        <v>1072</v>
      </c>
      <c r="IUG65" s="277" t="s">
        <v>1072</v>
      </c>
      <c r="IUH65" s="277" t="s">
        <v>1072</v>
      </c>
      <c r="IUI65" s="277" t="s">
        <v>1072</v>
      </c>
      <c r="IUJ65" s="277" t="s">
        <v>1072</v>
      </c>
      <c r="IUK65" s="277" t="s">
        <v>1072</v>
      </c>
      <c r="IUL65" s="277" t="s">
        <v>1072</v>
      </c>
      <c r="IUM65" s="277" t="s">
        <v>1072</v>
      </c>
      <c r="IUN65" s="277" t="s">
        <v>1072</v>
      </c>
      <c r="IUO65" s="277" t="s">
        <v>1072</v>
      </c>
      <c r="IUP65" s="277" t="s">
        <v>1072</v>
      </c>
      <c r="IUQ65" s="277" t="s">
        <v>1072</v>
      </c>
      <c r="IUR65" s="277" t="s">
        <v>1072</v>
      </c>
      <c r="IUS65" s="277" t="s">
        <v>1072</v>
      </c>
      <c r="IUT65" s="277" t="s">
        <v>1072</v>
      </c>
      <c r="IUU65" s="277" t="s">
        <v>1072</v>
      </c>
      <c r="IUV65" s="277" t="s">
        <v>1072</v>
      </c>
      <c r="IUW65" s="277" t="s">
        <v>1072</v>
      </c>
      <c r="IUX65" s="277" t="s">
        <v>1072</v>
      </c>
      <c r="IUY65" s="277" t="s">
        <v>1072</v>
      </c>
      <c r="IUZ65" s="277" t="s">
        <v>1072</v>
      </c>
      <c r="IVA65" s="277" t="s">
        <v>1072</v>
      </c>
      <c r="IVB65" s="277" t="s">
        <v>1072</v>
      </c>
      <c r="IVC65" s="277" t="s">
        <v>1072</v>
      </c>
      <c r="IVD65" s="277" t="s">
        <v>1072</v>
      </c>
      <c r="IVE65" s="277" t="s">
        <v>1072</v>
      </c>
      <c r="IVF65" s="277" t="s">
        <v>1072</v>
      </c>
      <c r="IVG65" s="277" t="s">
        <v>1072</v>
      </c>
      <c r="IVH65" s="277" t="s">
        <v>1072</v>
      </c>
      <c r="IVI65" s="277" t="s">
        <v>1072</v>
      </c>
      <c r="IVJ65" s="277" t="s">
        <v>1072</v>
      </c>
      <c r="IVK65" s="277" t="s">
        <v>1072</v>
      </c>
      <c r="IVL65" s="277" t="s">
        <v>1072</v>
      </c>
      <c r="IVM65" s="277" t="s">
        <v>1072</v>
      </c>
      <c r="IVN65" s="277" t="s">
        <v>1072</v>
      </c>
      <c r="IVO65" s="277" t="s">
        <v>1072</v>
      </c>
      <c r="IVP65" s="277" t="s">
        <v>1072</v>
      </c>
      <c r="IVQ65" s="277" t="s">
        <v>1072</v>
      </c>
      <c r="IVR65" s="277" t="s">
        <v>1072</v>
      </c>
      <c r="IVS65" s="277" t="s">
        <v>1072</v>
      </c>
      <c r="IVT65" s="277" t="s">
        <v>1072</v>
      </c>
      <c r="IVU65" s="277" t="s">
        <v>1072</v>
      </c>
      <c r="IVV65" s="277" t="s">
        <v>1072</v>
      </c>
      <c r="IVW65" s="277" t="s">
        <v>1072</v>
      </c>
      <c r="IVX65" s="277" t="s">
        <v>1072</v>
      </c>
      <c r="IVY65" s="277" t="s">
        <v>1072</v>
      </c>
      <c r="IVZ65" s="277" t="s">
        <v>1072</v>
      </c>
      <c r="IWA65" s="277" t="s">
        <v>1072</v>
      </c>
      <c r="IWB65" s="277" t="s">
        <v>1072</v>
      </c>
      <c r="IWC65" s="277" t="s">
        <v>1072</v>
      </c>
      <c r="IWD65" s="277" t="s">
        <v>1072</v>
      </c>
      <c r="IWE65" s="277" t="s">
        <v>1072</v>
      </c>
      <c r="IWF65" s="277" t="s">
        <v>1072</v>
      </c>
      <c r="IWG65" s="277" t="s">
        <v>1072</v>
      </c>
      <c r="IWH65" s="277" t="s">
        <v>1072</v>
      </c>
      <c r="IWI65" s="277" t="s">
        <v>1072</v>
      </c>
      <c r="IWJ65" s="277" t="s">
        <v>1072</v>
      </c>
      <c r="IWK65" s="277" t="s">
        <v>1072</v>
      </c>
      <c r="IWL65" s="277" t="s">
        <v>1072</v>
      </c>
      <c r="IWM65" s="277" t="s">
        <v>1072</v>
      </c>
      <c r="IWN65" s="277" t="s">
        <v>1072</v>
      </c>
      <c r="IWO65" s="277" t="s">
        <v>1072</v>
      </c>
      <c r="IWP65" s="277" t="s">
        <v>1072</v>
      </c>
      <c r="IWQ65" s="277" t="s">
        <v>1072</v>
      </c>
      <c r="IWR65" s="277" t="s">
        <v>1072</v>
      </c>
      <c r="IWS65" s="277" t="s">
        <v>1072</v>
      </c>
      <c r="IWT65" s="277" t="s">
        <v>1072</v>
      </c>
      <c r="IWU65" s="277" t="s">
        <v>1072</v>
      </c>
      <c r="IWV65" s="277" t="s">
        <v>1072</v>
      </c>
      <c r="IWW65" s="277" t="s">
        <v>1072</v>
      </c>
      <c r="IWX65" s="277" t="s">
        <v>1072</v>
      </c>
      <c r="IWY65" s="277" t="s">
        <v>1072</v>
      </c>
      <c r="IWZ65" s="277" t="s">
        <v>1072</v>
      </c>
      <c r="IXA65" s="277" t="s">
        <v>1072</v>
      </c>
      <c r="IXB65" s="277" t="s">
        <v>1072</v>
      </c>
      <c r="IXC65" s="277" t="s">
        <v>1072</v>
      </c>
      <c r="IXD65" s="277" t="s">
        <v>1072</v>
      </c>
      <c r="IXE65" s="277" t="s">
        <v>1072</v>
      </c>
      <c r="IXF65" s="277" t="s">
        <v>1072</v>
      </c>
      <c r="IXG65" s="277" t="s">
        <v>1072</v>
      </c>
      <c r="IXH65" s="277" t="s">
        <v>1072</v>
      </c>
      <c r="IXI65" s="277" t="s">
        <v>1072</v>
      </c>
      <c r="IXJ65" s="277" t="s">
        <v>1072</v>
      </c>
      <c r="IXK65" s="277" t="s">
        <v>1072</v>
      </c>
      <c r="IXL65" s="277" t="s">
        <v>1072</v>
      </c>
      <c r="IXM65" s="277" t="s">
        <v>1072</v>
      </c>
      <c r="IXN65" s="277" t="s">
        <v>1072</v>
      </c>
      <c r="IXO65" s="277" t="s">
        <v>1072</v>
      </c>
      <c r="IXP65" s="277" t="s">
        <v>1072</v>
      </c>
      <c r="IXQ65" s="277" t="s">
        <v>1072</v>
      </c>
      <c r="IXR65" s="277" t="s">
        <v>1072</v>
      </c>
      <c r="IXS65" s="277" t="s">
        <v>1072</v>
      </c>
      <c r="IXT65" s="277" t="s">
        <v>1072</v>
      </c>
      <c r="IXU65" s="277" t="s">
        <v>1072</v>
      </c>
      <c r="IXV65" s="277" t="s">
        <v>1072</v>
      </c>
      <c r="IXW65" s="277" t="s">
        <v>1072</v>
      </c>
      <c r="IXX65" s="277" t="s">
        <v>1072</v>
      </c>
      <c r="IXY65" s="277" t="s">
        <v>1072</v>
      </c>
      <c r="IXZ65" s="277" t="s">
        <v>1072</v>
      </c>
      <c r="IYA65" s="277" t="s">
        <v>1072</v>
      </c>
      <c r="IYB65" s="277" t="s">
        <v>1072</v>
      </c>
      <c r="IYC65" s="277" t="s">
        <v>1072</v>
      </c>
      <c r="IYD65" s="277" t="s">
        <v>1072</v>
      </c>
      <c r="IYE65" s="277" t="s">
        <v>1072</v>
      </c>
      <c r="IYF65" s="277" t="s">
        <v>1072</v>
      </c>
      <c r="IYG65" s="277" t="s">
        <v>1072</v>
      </c>
      <c r="IYH65" s="277" t="s">
        <v>1072</v>
      </c>
      <c r="IYI65" s="277" t="s">
        <v>1072</v>
      </c>
      <c r="IYJ65" s="277" t="s">
        <v>1072</v>
      </c>
      <c r="IYK65" s="277" t="s">
        <v>1072</v>
      </c>
      <c r="IYL65" s="277" t="s">
        <v>1072</v>
      </c>
      <c r="IYM65" s="277" t="s">
        <v>1072</v>
      </c>
      <c r="IYN65" s="277" t="s">
        <v>1072</v>
      </c>
      <c r="IYO65" s="277" t="s">
        <v>1072</v>
      </c>
      <c r="IYP65" s="277" t="s">
        <v>1072</v>
      </c>
      <c r="IYQ65" s="277" t="s">
        <v>1072</v>
      </c>
      <c r="IYR65" s="277" t="s">
        <v>1072</v>
      </c>
      <c r="IYS65" s="277" t="s">
        <v>1072</v>
      </c>
      <c r="IYT65" s="277" t="s">
        <v>1072</v>
      </c>
      <c r="IYU65" s="277" t="s">
        <v>1072</v>
      </c>
      <c r="IYV65" s="277" t="s">
        <v>1072</v>
      </c>
      <c r="IYW65" s="277" t="s">
        <v>1072</v>
      </c>
      <c r="IYX65" s="277" t="s">
        <v>1072</v>
      </c>
      <c r="IYY65" s="277" t="s">
        <v>1072</v>
      </c>
      <c r="IYZ65" s="277" t="s">
        <v>1072</v>
      </c>
      <c r="IZA65" s="277" t="s">
        <v>1072</v>
      </c>
      <c r="IZB65" s="277" t="s">
        <v>1072</v>
      </c>
      <c r="IZC65" s="277" t="s">
        <v>1072</v>
      </c>
      <c r="IZD65" s="277" t="s">
        <v>1072</v>
      </c>
      <c r="IZE65" s="277" t="s">
        <v>1072</v>
      </c>
      <c r="IZF65" s="277" t="s">
        <v>1072</v>
      </c>
      <c r="IZG65" s="277" t="s">
        <v>1072</v>
      </c>
      <c r="IZH65" s="277" t="s">
        <v>1072</v>
      </c>
      <c r="IZI65" s="277" t="s">
        <v>1072</v>
      </c>
      <c r="IZJ65" s="277" t="s">
        <v>1072</v>
      </c>
      <c r="IZK65" s="277" t="s">
        <v>1072</v>
      </c>
      <c r="IZL65" s="277" t="s">
        <v>1072</v>
      </c>
      <c r="IZM65" s="277" t="s">
        <v>1072</v>
      </c>
      <c r="IZN65" s="277" t="s">
        <v>1072</v>
      </c>
      <c r="IZO65" s="277" t="s">
        <v>1072</v>
      </c>
      <c r="IZP65" s="277" t="s">
        <v>1072</v>
      </c>
      <c r="IZQ65" s="277" t="s">
        <v>1072</v>
      </c>
      <c r="IZR65" s="277" t="s">
        <v>1072</v>
      </c>
      <c r="IZS65" s="277" t="s">
        <v>1072</v>
      </c>
      <c r="IZT65" s="277" t="s">
        <v>1072</v>
      </c>
      <c r="IZU65" s="277" t="s">
        <v>1072</v>
      </c>
      <c r="IZV65" s="277" t="s">
        <v>1072</v>
      </c>
      <c r="IZW65" s="277" t="s">
        <v>1072</v>
      </c>
      <c r="IZX65" s="277" t="s">
        <v>1072</v>
      </c>
      <c r="IZY65" s="277" t="s">
        <v>1072</v>
      </c>
      <c r="IZZ65" s="277" t="s">
        <v>1072</v>
      </c>
      <c r="JAA65" s="277" t="s">
        <v>1072</v>
      </c>
      <c r="JAB65" s="277" t="s">
        <v>1072</v>
      </c>
      <c r="JAC65" s="277" t="s">
        <v>1072</v>
      </c>
      <c r="JAD65" s="277" t="s">
        <v>1072</v>
      </c>
      <c r="JAE65" s="277" t="s">
        <v>1072</v>
      </c>
      <c r="JAF65" s="277" t="s">
        <v>1072</v>
      </c>
      <c r="JAG65" s="277" t="s">
        <v>1072</v>
      </c>
      <c r="JAH65" s="277" t="s">
        <v>1072</v>
      </c>
      <c r="JAI65" s="277" t="s">
        <v>1072</v>
      </c>
      <c r="JAJ65" s="277" t="s">
        <v>1072</v>
      </c>
      <c r="JAK65" s="277" t="s">
        <v>1072</v>
      </c>
      <c r="JAL65" s="277" t="s">
        <v>1072</v>
      </c>
      <c r="JAM65" s="277" t="s">
        <v>1072</v>
      </c>
      <c r="JAN65" s="277" t="s">
        <v>1072</v>
      </c>
      <c r="JAO65" s="277" t="s">
        <v>1072</v>
      </c>
      <c r="JAP65" s="277" t="s">
        <v>1072</v>
      </c>
      <c r="JAQ65" s="277" t="s">
        <v>1072</v>
      </c>
      <c r="JAR65" s="277" t="s">
        <v>1072</v>
      </c>
      <c r="JAS65" s="277" t="s">
        <v>1072</v>
      </c>
      <c r="JAT65" s="277" t="s">
        <v>1072</v>
      </c>
      <c r="JAU65" s="277" t="s">
        <v>1072</v>
      </c>
      <c r="JAV65" s="277" t="s">
        <v>1072</v>
      </c>
      <c r="JAW65" s="277" t="s">
        <v>1072</v>
      </c>
      <c r="JAX65" s="277" t="s">
        <v>1072</v>
      </c>
      <c r="JAY65" s="277" t="s">
        <v>1072</v>
      </c>
      <c r="JAZ65" s="277" t="s">
        <v>1072</v>
      </c>
      <c r="JBA65" s="277" t="s">
        <v>1072</v>
      </c>
      <c r="JBB65" s="277" t="s">
        <v>1072</v>
      </c>
      <c r="JBC65" s="277" t="s">
        <v>1072</v>
      </c>
      <c r="JBD65" s="277" t="s">
        <v>1072</v>
      </c>
      <c r="JBE65" s="277" t="s">
        <v>1072</v>
      </c>
      <c r="JBF65" s="277" t="s">
        <v>1072</v>
      </c>
      <c r="JBG65" s="277" t="s">
        <v>1072</v>
      </c>
      <c r="JBH65" s="277" t="s">
        <v>1072</v>
      </c>
      <c r="JBI65" s="277" t="s">
        <v>1072</v>
      </c>
      <c r="JBJ65" s="277" t="s">
        <v>1072</v>
      </c>
      <c r="JBK65" s="277" t="s">
        <v>1072</v>
      </c>
      <c r="JBL65" s="277" t="s">
        <v>1072</v>
      </c>
      <c r="JBM65" s="277" t="s">
        <v>1072</v>
      </c>
      <c r="JBN65" s="277" t="s">
        <v>1072</v>
      </c>
      <c r="JBO65" s="277" t="s">
        <v>1072</v>
      </c>
      <c r="JBP65" s="277" t="s">
        <v>1072</v>
      </c>
      <c r="JBQ65" s="277" t="s">
        <v>1072</v>
      </c>
      <c r="JBR65" s="277" t="s">
        <v>1072</v>
      </c>
      <c r="JBS65" s="277" t="s">
        <v>1072</v>
      </c>
      <c r="JBT65" s="277" t="s">
        <v>1072</v>
      </c>
      <c r="JBU65" s="277" t="s">
        <v>1072</v>
      </c>
      <c r="JBV65" s="277" t="s">
        <v>1072</v>
      </c>
      <c r="JBW65" s="277" t="s">
        <v>1072</v>
      </c>
      <c r="JBX65" s="277" t="s">
        <v>1072</v>
      </c>
      <c r="JBY65" s="277" t="s">
        <v>1072</v>
      </c>
      <c r="JBZ65" s="277" t="s">
        <v>1072</v>
      </c>
      <c r="JCA65" s="277" t="s">
        <v>1072</v>
      </c>
      <c r="JCB65" s="277" t="s">
        <v>1072</v>
      </c>
      <c r="JCC65" s="277" t="s">
        <v>1072</v>
      </c>
      <c r="JCD65" s="277" t="s">
        <v>1072</v>
      </c>
      <c r="JCE65" s="277" t="s">
        <v>1072</v>
      </c>
      <c r="JCF65" s="277" t="s">
        <v>1072</v>
      </c>
      <c r="JCG65" s="277" t="s">
        <v>1072</v>
      </c>
      <c r="JCH65" s="277" t="s">
        <v>1072</v>
      </c>
      <c r="JCI65" s="277" t="s">
        <v>1072</v>
      </c>
      <c r="JCJ65" s="277" t="s">
        <v>1072</v>
      </c>
      <c r="JCK65" s="277" t="s">
        <v>1072</v>
      </c>
      <c r="JCL65" s="277" t="s">
        <v>1072</v>
      </c>
      <c r="JCM65" s="277" t="s">
        <v>1072</v>
      </c>
      <c r="JCN65" s="277" t="s">
        <v>1072</v>
      </c>
      <c r="JCO65" s="277" t="s">
        <v>1072</v>
      </c>
      <c r="JCP65" s="277" t="s">
        <v>1072</v>
      </c>
      <c r="JCQ65" s="277" t="s">
        <v>1072</v>
      </c>
      <c r="JCR65" s="277" t="s">
        <v>1072</v>
      </c>
      <c r="JCS65" s="277" t="s">
        <v>1072</v>
      </c>
      <c r="JCT65" s="277" t="s">
        <v>1072</v>
      </c>
      <c r="JCU65" s="277" t="s">
        <v>1072</v>
      </c>
      <c r="JCV65" s="277" t="s">
        <v>1072</v>
      </c>
      <c r="JCW65" s="277" t="s">
        <v>1072</v>
      </c>
      <c r="JCX65" s="277" t="s">
        <v>1072</v>
      </c>
      <c r="JCY65" s="277" t="s">
        <v>1072</v>
      </c>
      <c r="JCZ65" s="277" t="s">
        <v>1072</v>
      </c>
      <c r="JDA65" s="277" t="s">
        <v>1072</v>
      </c>
      <c r="JDB65" s="277" t="s">
        <v>1072</v>
      </c>
      <c r="JDC65" s="277" t="s">
        <v>1072</v>
      </c>
      <c r="JDD65" s="277" t="s">
        <v>1072</v>
      </c>
      <c r="JDE65" s="277" t="s">
        <v>1072</v>
      </c>
      <c r="JDF65" s="277" t="s">
        <v>1072</v>
      </c>
      <c r="JDG65" s="277" t="s">
        <v>1072</v>
      </c>
      <c r="JDH65" s="277" t="s">
        <v>1072</v>
      </c>
      <c r="JDI65" s="277" t="s">
        <v>1072</v>
      </c>
      <c r="JDJ65" s="277" t="s">
        <v>1072</v>
      </c>
      <c r="JDK65" s="277" t="s">
        <v>1072</v>
      </c>
      <c r="JDL65" s="277" t="s">
        <v>1072</v>
      </c>
      <c r="JDM65" s="277" t="s">
        <v>1072</v>
      </c>
      <c r="JDN65" s="277" t="s">
        <v>1072</v>
      </c>
      <c r="JDO65" s="277" t="s">
        <v>1072</v>
      </c>
      <c r="JDP65" s="277" t="s">
        <v>1072</v>
      </c>
      <c r="JDQ65" s="277" t="s">
        <v>1072</v>
      </c>
      <c r="JDR65" s="277" t="s">
        <v>1072</v>
      </c>
      <c r="JDS65" s="277" t="s">
        <v>1072</v>
      </c>
      <c r="JDT65" s="277" t="s">
        <v>1072</v>
      </c>
      <c r="JDU65" s="277" t="s">
        <v>1072</v>
      </c>
      <c r="JDV65" s="277" t="s">
        <v>1072</v>
      </c>
      <c r="JDW65" s="277" t="s">
        <v>1072</v>
      </c>
      <c r="JDX65" s="277" t="s">
        <v>1072</v>
      </c>
      <c r="JDY65" s="277" t="s">
        <v>1072</v>
      </c>
      <c r="JDZ65" s="277" t="s">
        <v>1072</v>
      </c>
      <c r="JEA65" s="277" t="s">
        <v>1072</v>
      </c>
      <c r="JEB65" s="277" t="s">
        <v>1072</v>
      </c>
      <c r="JEC65" s="277" t="s">
        <v>1072</v>
      </c>
      <c r="JED65" s="277" t="s">
        <v>1072</v>
      </c>
      <c r="JEE65" s="277" t="s">
        <v>1072</v>
      </c>
      <c r="JEF65" s="277" t="s">
        <v>1072</v>
      </c>
      <c r="JEG65" s="277" t="s">
        <v>1072</v>
      </c>
      <c r="JEH65" s="277" t="s">
        <v>1072</v>
      </c>
      <c r="JEI65" s="277" t="s">
        <v>1072</v>
      </c>
      <c r="JEJ65" s="277" t="s">
        <v>1072</v>
      </c>
      <c r="JEK65" s="277" t="s">
        <v>1072</v>
      </c>
      <c r="JEL65" s="277" t="s">
        <v>1072</v>
      </c>
      <c r="JEM65" s="277" t="s">
        <v>1072</v>
      </c>
      <c r="JEN65" s="277" t="s">
        <v>1072</v>
      </c>
      <c r="JEO65" s="277" t="s">
        <v>1072</v>
      </c>
      <c r="JEP65" s="277" t="s">
        <v>1072</v>
      </c>
      <c r="JEQ65" s="277" t="s">
        <v>1072</v>
      </c>
      <c r="JER65" s="277" t="s">
        <v>1072</v>
      </c>
      <c r="JES65" s="277" t="s">
        <v>1072</v>
      </c>
      <c r="JET65" s="277" t="s">
        <v>1072</v>
      </c>
      <c r="JEU65" s="277" t="s">
        <v>1072</v>
      </c>
      <c r="JEV65" s="277" t="s">
        <v>1072</v>
      </c>
      <c r="JEW65" s="277" t="s">
        <v>1072</v>
      </c>
      <c r="JEX65" s="277" t="s">
        <v>1072</v>
      </c>
      <c r="JEY65" s="277" t="s">
        <v>1072</v>
      </c>
      <c r="JEZ65" s="277" t="s">
        <v>1072</v>
      </c>
      <c r="JFA65" s="277" t="s">
        <v>1072</v>
      </c>
      <c r="JFB65" s="277" t="s">
        <v>1072</v>
      </c>
      <c r="JFC65" s="277" t="s">
        <v>1072</v>
      </c>
      <c r="JFD65" s="277" t="s">
        <v>1072</v>
      </c>
      <c r="JFE65" s="277" t="s">
        <v>1072</v>
      </c>
      <c r="JFF65" s="277" t="s">
        <v>1072</v>
      </c>
      <c r="JFG65" s="277" t="s">
        <v>1072</v>
      </c>
      <c r="JFH65" s="277" t="s">
        <v>1072</v>
      </c>
      <c r="JFI65" s="277" t="s">
        <v>1072</v>
      </c>
      <c r="JFJ65" s="277" t="s">
        <v>1072</v>
      </c>
      <c r="JFK65" s="277" t="s">
        <v>1072</v>
      </c>
      <c r="JFL65" s="277" t="s">
        <v>1072</v>
      </c>
      <c r="JFM65" s="277" t="s">
        <v>1072</v>
      </c>
      <c r="JFN65" s="277" t="s">
        <v>1072</v>
      </c>
      <c r="JFO65" s="277" t="s">
        <v>1072</v>
      </c>
      <c r="JFP65" s="277" t="s">
        <v>1072</v>
      </c>
      <c r="JFQ65" s="277" t="s">
        <v>1072</v>
      </c>
      <c r="JFR65" s="277" t="s">
        <v>1072</v>
      </c>
      <c r="JFS65" s="277" t="s">
        <v>1072</v>
      </c>
      <c r="JFT65" s="277" t="s">
        <v>1072</v>
      </c>
      <c r="JFU65" s="277" t="s">
        <v>1072</v>
      </c>
      <c r="JFV65" s="277" t="s">
        <v>1072</v>
      </c>
      <c r="JFW65" s="277" t="s">
        <v>1072</v>
      </c>
      <c r="JFX65" s="277" t="s">
        <v>1072</v>
      </c>
      <c r="JFY65" s="277" t="s">
        <v>1072</v>
      </c>
      <c r="JFZ65" s="277" t="s">
        <v>1072</v>
      </c>
      <c r="JGA65" s="277" t="s">
        <v>1072</v>
      </c>
      <c r="JGB65" s="277" t="s">
        <v>1072</v>
      </c>
      <c r="JGC65" s="277" t="s">
        <v>1072</v>
      </c>
      <c r="JGD65" s="277" t="s">
        <v>1072</v>
      </c>
      <c r="JGE65" s="277" t="s">
        <v>1072</v>
      </c>
      <c r="JGF65" s="277" t="s">
        <v>1072</v>
      </c>
      <c r="JGG65" s="277" t="s">
        <v>1072</v>
      </c>
      <c r="JGH65" s="277" t="s">
        <v>1072</v>
      </c>
      <c r="JGI65" s="277" t="s">
        <v>1072</v>
      </c>
      <c r="JGJ65" s="277" t="s">
        <v>1072</v>
      </c>
      <c r="JGK65" s="277" t="s">
        <v>1072</v>
      </c>
      <c r="JGL65" s="277" t="s">
        <v>1072</v>
      </c>
      <c r="JGM65" s="277" t="s">
        <v>1072</v>
      </c>
      <c r="JGN65" s="277" t="s">
        <v>1072</v>
      </c>
      <c r="JGO65" s="277" t="s">
        <v>1072</v>
      </c>
      <c r="JGP65" s="277" t="s">
        <v>1072</v>
      </c>
      <c r="JGQ65" s="277" t="s">
        <v>1072</v>
      </c>
      <c r="JGR65" s="277" t="s">
        <v>1072</v>
      </c>
      <c r="JGS65" s="277" t="s">
        <v>1072</v>
      </c>
      <c r="JGT65" s="277" t="s">
        <v>1072</v>
      </c>
      <c r="JGU65" s="277" t="s">
        <v>1072</v>
      </c>
      <c r="JGV65" s="277" t="s">
        <v>1072</v>
      </c>
      <c r="JGW65" s="277" t="s">
        <v>1072</v>
      </c>
      <c r="JGX65" s="277" t="s">
        <v>1072</v>
      </c>
      <c r="JGY65" s="277" t="s">
        <v>1072</v>
      </c>
      <c r="JGZ65" s="277" t="s">
        <v>1072</v>
      </c>
      <c r="JHA65" s="277" t="s">
        <v>1072</v>
      </c>
      <c r="JHB65" s="277" t="s">
        <v>1072</v>
      </c>
      <c r="JHC65" s="277" t="s">
        <v>1072</v>
      </c>
      <c r="JHD65" s="277" t="s">
        <v>1072</v>
      </c>
      <c r="JHE65" s="277" t="s">
        <v>1072</v>
      </c>
      <c r="JHF65" s="277" t="s">
        <v>1072</v>
      </c>
      <c r="JHG65" s="277" t="s">
        <v>1072</v>
      </c>
      <c r="JHH65" s="277" t="s">
        <v>1072</v>
      </c>
      <c r="JHI65" s="277" t="s">
        <v>1072</v>
      </c>
      <c r="JHJ65" s="277" t="s">
        <v>1072</v>
      </c>
      <c r="JHK65" s="277" t="s">
        <v>1072</v>
      </c>
      <c r="JHL65" s="277" t="s">
        <v>1072</v>
      </c>
      <c r="JHM65" s="277" t="s">
        <v>1072</v>
      </c>
      <c r="JHN65" s="277" t="s">
        <v>1072</v>
      </c>
      <c r="JHO65" s="277" t="s">
        <v>1072</v>
      </c>
      <c r="JHP65" s="277" t="s">
        <v>1072</v>
      </c>
      <c r="JHQ65" s="277" t="s">
        <v>1072</v>
      </c>
      <c r="JHR65" s="277" t="s">
        <v>1072</v>
      </c>
      <c r="JHS65" s="277" t="s">
        <v>1072</v>
      </c>
      <c r="JHT65" s="277" t="s">
        <v>1072</v>
      </c>
      <c r="JHU65" s="277" t="s">
        <v>1072</v>
      </c>
      <c r="JHV65" s="277" t="s">
        <v>1072</v>
      </c>
      <c r="JHW65" s="277" t="s">
        <v>1072</v>
      </c>
      <c r="JHX65" s="277" t="s">
        <v>1072</v>
      </c>
      <c r="JHY65" s="277" t="s">
        <v>1072</v>
      </c>
      <c r="JHZ65" s="277" t="s">
        <v>1072</v>
      </c>
      <c r="JIA65" s="277" t="s">
        <v>1072</v>
      </c>
      <c r="JIB65" s="277" t="s">
        <v>1072</v>
      </c>
      <c r="JIC65" s="277" t="s">
        <v>1072</v>
      </c>
      <c r="JID65" s="277" t="s">
        <v>1072</v>
      </c>
      <c r="JIE65" s="277" t="s">
        <v>1072</v>
      </c>
      <c r="JIF65" s="277" t="s">
        <v>1072</v>
      </c>
      <c r="JIG65" s="277" t="s">
        <v>1072</v>
      </c>
      <c r="JIH65" s="277" t="s">
        <v>1072</v>
      </c>
      <c r="JII65" s="277" t="s">
        <v>1072</v>
      </c>
      <c r="JIJ65" s="277" t="s">
        <v>1072</v>
      </c>
      <c r="JIK65" s="277" t="s">
        <v>1072</v>
      </c>
      <c r="JIL65" s="277" t="s">
        <v>1072</v>
      </c>
      <c r="JIM65" s="277" t="s">
        <v>1072</v>
      </c>
      <c r="JIN65" s="277" t="s">
        <v>1072</v>
      </c>
      <c r="JIO65" s="277" t="s">
        <v>1072</v>
      </c>
      <c r="JIP65" s="277" t="s">
        <v>1072</v>
      </c>
      <c r="JIQ65" s="277" t="s">
        <v>1072</v>
      </c>
      <c r="JIR65" s="277" t="s">
        <v>1072</v>
      </c>
      <c r="JIS65" s="277" t="s">
        <v>1072</v>
      </c>
      <c r="JIT65" s="277" t="s">
        <v>1072</v>
      </c>
      <c r="JIU65" s="277" t="s">
        <v>1072</v>
      </c>
      <c r="JIV65" s="277" t="s">
        <v>1072</v>
      </c>
      <c r="JIW65" s="277" t="s">
        <v>1072</v>
      </c>
      <c r="JIX65" s="277" t="s">
        <v>1072</v>
      </c>
      <c r="JIY65" s="277" t="s">
        <v>1072</v>
      </c>
      <c r="JIZ65" s="277" t="s">
        <v>1072</v>
      </c>
      <c r="JJA65" s="277" t="s">
        <v>1072</v>
      </c>
      <c r="JJB65" s="277" t="s">
        <v>1072</v>
      </c>
      <c r="JJC65" s="277" t="s">
        <v>1072</v>
      </c>
      <c r="JJD65" s="277" t="s">
        <v>1072</v>
      </c>
      <c r="JJE65" s="277" t="s">
        <v>1072</v>
      </c>
      <c r="JJF65" s="277" t="s">
        <v>1072</v>
      </c>
      <c r="JJG65" s="277" t="s">
        <v>1072</v>
      </c>
      <c r="JJH65" s="277" t="s">
        <v>1072</v>
      </c>
      <c r="JJI65" s="277" t="s">
        <v>1072</v>
      </c>
      <c r="JJJ65" s="277" t="s">
        <v>1072</v>
      </c>
      <c r="JJK65" s="277" t="s">
        <v>1072</v>
      </c>
      <c r="JJL65" s="277" t="s">
        <v>1072</v>
      </c>
      <c r="JJM65" s="277" t="s">
        <v>1072</v>
      </c>
      <c r="JJN65" s="277" t="s">
        <v>1072</v>
      </c>
      <c r="JJO65" s="277" t="s">
        <v>1072</v>
      </c>
      <c r="JJP65" s="277" t="s">
        <v>1072</v>
      </c>
      <c r="JJQ65" s="277" t="s">
        <v>1072</v>
      </c>
      <c r="JJR65" s="277" t="s">
        <v>1072</v>
      </c>
      <c r="JJS65" s="277" t="s">
        <v>1072</v>
      </c>
      <c r="JJT65" s="277" t="s">
        <v>1072</v>
      </c>
      <c r="JJU65" s="277" t="s">
        <v>1072</v>
      </c>
      <c r="JJV65" s="277" t="s">
        <v>1072</v>
      </c>
      <c r="JJW65" s="277" t="s">
        <v>1072</v>
      </c>
      <c r="JJX65" s="277" t="s">
        <v>1072</v>
      </c>
      <c r="JJY65" s="277" t="s">
        <v>1072</v>
      </c>
      <c r="JJZ65" s="277" t="s">
        <v>1072</v>
      </c>
      <c r="JKA65" s="277" t="s">
        <v>1072</v>
      </c>
      <c r="JKB65" s="277" t="s">
        <v>1072</v>
      </c>
      <c r="JKC65" s="277" t="s">
        <v>1072</v>
      </c>
      <c r="JKD65" s="277" t="s">
        <v>1072</v>
      </c>
      <c r="JKE65" s="277" t="s">
        <v>1072</v>
      </c>
      <c r="JKF65" s="277" t="s">
        <v>1072</v>
      </c>
      <c r="JKG65" s="277" t="s">
        <v>1072</v>
      </c>
      <c r="JKH65" s="277" t="s">
        <v>1072</v>
      </c>
      <c r="JKI65" s="277" t="s">
        <v>1072</v>
      </c>
      <c r="JKJ65" s="277" t="s">
        <v>1072</v>
      </c>
      <c r="JKK65" s="277" t="s">
        <v>1072</v>
      </c>
      <c r="JKL65" s="277" t="s">
        <v>1072</v>
      </c>
      <c r="JKM65" s="277" t="s">
        <v>1072</v>
      </c>
      <c r="JKN65" s="277" t="s">
        <v>1072</v>
      </c>
      <c r="JKO65" s="277" t="s">
        <v>1072</v>
      </c>
      <c r="JKP65" s="277" t="s">
        <v>1072</v>
      </c>
      <c r="JKQ65" s="277" t="s">
        <v>1072</v>
      </c>
      <c r="JKR65" s="277" t="s">
        <v>1072</v>
      </c>
      <c r="JKS65" s="277" t="s">
        <v>1072</v>
      </c>
      <c r="JKT65" s="277" t="s">
        <v>1072</v>
      </c>
      <c r="JKU65" s="277" t="s">
        <v>1072</v>
      </c>
      <c r="JKV65" s="277" t="s">
        <v>1072</v>
      </c>
      <c r="JKW65" s="277" t="s">
        <v>1072</v>
      </c>
      <c r="JKX65" s="277" t="s">
        <v>1072</v>
      </c>
      <c r="JKY65" s="277" t="s">
        <v>1072</v>
      </c>
      <c r="JKZ65" s="277" t="s">
        <v>1072</v>
      </c>
      <c r="JLA65" s="277" t="s">
        <v>1072</v>
      </c>
      <c r="JLB65" s="277" t="s">
        <v>1072</v>
      </c>
      <c r="JLC65" s="277" t="s">
        <v>1072</v>
      </c>
      <c r="JLD65" s="277" t="s">
        <v>1072</v>
      </c>
      <c r="JLE65" s="277" t="s">
        <v>1072</v>
      </c>
      <c r="JLF65" s="277" t="s">
        <v>1072</v>
      </c>
      <c r="JLG65" s="277" t="s">
        <v>1072</v>
      </c>
      <c r="JLH65" s="277" t="s">
        <v>1072</v>
      </c>
      <c r="JLI65" s="277" t="s">
        <v>1072</v>
      </c>
      <c r="JLJ65" s="277" t="s">
        <v>1072</v>
      </c>
      <c r="JLK65" s="277" t="s">
        <v>1072</v>
      </c>
      <c r="JLL65" s="277" t="s">
        <v>1072</v>
      </c>
      <c r="JLM65" s="277" t="s">
        <v>1072</v>
      </c>
      <c r="JLN65" s="277" t="s">
        <v>1072</v>
      </c>
      <c r="JLO65" s="277" t="s">
        <v>1072</v>
      </c>
      <c r="JLP65" s="277" t="s">
        <v>1072</v>
      </c>
      <c r="JLQ65" s="277" t="s">
        <v>1072</v>
      </c>
      <c r="JLR65" s="277" t="s">
        <v>1072</v>
      </c>
      <c r="JLS65" s="277" t="s">
        <v>1072</v>
      </c>
      <c r="JLT65" s="277" t="s">
        <v>1072</v>
      </c>
      <c r="JLU65" s="277" t="s">
        <v>1072</v>
      </c>
      <c r="JLV65" s="277" t="s">
        <v>1072</v>
      </c>
      <c r="JLW65" s="277" t="s">
        <v>1072</v>
      </c>
      <c r="JLX65" s="277" t="s">
        <v>1072</v>
      </c>
      <c r="JLY65" s="277" t="s">
        <v>1072</v>
      </c>
      <c r="JLZ65" s="277" t="s">
        <v>1072</v>
      </c>
      <c r="JMA65" s="277" t="s">
        <v>1072</v>
      </c>
      <c r="JMB65" s="277" t="s">
        <v>1072</v>
      </c>
      <c r="JMC65" s="277" t="s">
        <v>1072</v>
      </c>
      <c r="JMD65" s="277" t="s">
        <v>1072</v>
      </c>
      <c r="JME65" s="277" t="s">
        <v>1072</v>
      </c>
      <c r="JMF65" s="277" t="s">
        <v>1072</v>
      </c>
      <c r="JMG65" s="277" t="s">
        <v>1072</v>
      </c>
      <c r="JMH65" s="277" t="s">
        <v>1072</v>
      </c>
      <c r="JMI65" s="277" t="s">
        <v>1072</v>
      </c>
      <c r="JMJ65" s="277" t="s">
        <v>1072</v>
      </c>
      <c r="JMK65" s="277" t="s">
        <v>1072</v>
      </c>
      <c r="JML65" s="277" t="s">
        <v>1072</v>
      </c>
      <c r="JMM65" s="277" t="s">
        <v>1072</v>
      </c>
      <c r="JMN65" s="277" t="s">
        <v>1072</v>
      </c>
      <c r="JMO65" s="277" t="s">
        <v>1072</v>
      </c>
      <c r="JMP65" s="277" t="s">
        <v>1072</v>
      </c>
      <c r="JMQ65" s="277" t="s">
        <v>1072</v>
      </c>
      <c r="JMR65" s="277" t="s">
        <v>1072</v>
      </c>
      <c r="JMS65" s="277" t="s">
        <v>1072</v>
      </c>
      <c r="JMT65" s="277" t="s">
        <v>1072</v>
      </c>
      <c r="JMU65" s="277" t="s">
        <v>1072</v>
      </c>
      <c r="JMV65" s="277" t="s">
        <v>1072</v>
      </c>
      <c r="JMW65" s="277" t="s">
        <v>1072</v>
      </c>
      <c r="JMX65" s="277" t="s">
        <v>1072</v>
      </c>
      <c r="JMY65" s="277" t="s">
        <v>1072</v>
      </c>
      <c r="JMZ65" s="277" t="s">
        <v>1072</v>
      </c>
      <c r="JNA65" s="277" t="s">
        <v>1072</v>
      </c>
      <c r="JNB65" s="277" t="s">
        <v>1072</v>
      </c>
      <c r="JNC65" s="277" t="s">
        <v>1072</v>
      </c>
      <c r="JND65" s="277" t="s">
        <v>1072</v>
      </c>
      <c r="JNE65" s="277" t="s">
        <v>1072</v>
      </c>
      <c r="JNF65" s="277" t="s">
        <v>1072</v>
      </c>
      <c r="JNG65" s="277" t="s">
        <v>1072</v>
      </c>
      <c r="JNH65" s="277" t="s">
        <v>1072</v>
      </c>
      <c r="JNI65" s="277" t="s">
        <v>1072</v>
      </c>
      <c r="JNJ65" s="277" t="s">
        <v>1072</v>
      </c>
      <c r="JNK65" s="277" t="s">
        <v>1072</v>
      </c>
      <c r="JNL65" s="277" t="s">
        <v>1072</v>
      </c>
      <c r="JNM65" s="277" t="s">
        <v>1072</v>
      </c>
      <c r="JNN65" s="277" t="s">
        <v>1072</v>
      </c>
      <c r="JNO65" s="277" t="s">
        <v>1072</v>
      </c>
      <c r="JNP65" s="277" t="s">
        <v>1072</v>
      </c>
      <c r="JNQ65" s="277" t="s">
        <v>1072</v>
      </c>
      <c r="JNR65" s="277" t="s">
        <v>1072</v>
      </c>
      <c r="JNS65" s="277" t="s">
        <v>1072</v>
      </c>
      <c r="JNT65" s="277" t="s">
        <v>1072</v>
      </c>
      <c r="JNU65" s="277" t="s">
        <v>1072</v>
      </c>
      <c r="JNV65" s="277" t="s">
        <v>1072</v>
      </c>
      <c r="JNW65" s="277" t="s">
        <v>1072</v>
      </c>
      <c r="JNX65" s="277" t="s">
        <v>1072</v>
      </c>
      <c r="JNY65" s="277" t="s">
        <v>1072</v>
      </c>
      <c r="JNZ65" s="277" t="s">
        <v>1072</v>
      </c>
      <c r="JOA65" s="277" t="s">
        <v>1072</v>
      </c>
      <c r="JOB65" s="277" t="s">
        <v>1072</v>
      </c>
      <c r="JOC65" s="277" t="s">
        <v>1072</v>
      </c>
      <c r="JOD65" s="277" t="s">
        <v>1072</v>
      </c>
      <c r="JOE65" s="277" t="s">
        <v>1072</v>
      </c>
      <c r="JOF65" s="277" t="s">
        <v>1072</v>
      </c>
      <c r="JOG65" s="277" t="s">
        <v>1072</v>
      </c>
      <c r="JOH65" s="277" t="s">
        <v>1072</v>
      </c>
      <c r="JOI65" s="277" t="s">
        <v>1072</v>
      </c>
      <c r="JOJ65" s="277" t="s">
        <v>1072</v>
      </c>
      <c r="JOK65" s="277" t="s">
        <v>1072</v>
      </c>
      <c r="JOL65" s="277" t="s">
        <v>1072</v>
      </c>
      <c r="JOM65" s="277" t="s">
        <v>1072</v>
      </c>
      <c r="JON65" s="277" t="s">
        <v>1072</v>
      </c>
      <c r="JOO65" s="277" t="s">
        <v>1072</v>
      </c>
      <c r="JOP65" s="277" t="s">
        <v>1072</v>
      </c>
      <c r="JOQ65" s="277" t="s">
        <v>1072</v>
      </c>
      <c r="JOR65" s="277" t="s">
        <v>1072</v>
      </c>
      <c r="JOS65" s="277" t="s">
        <v>1072</v>
      </c>
      <c r="JOT65" s="277" t="s">
        <v>1072</v>
      </c>
      <c r="JOU65" s="277" t="s">
        <v>1072</v>
      </c>
      <c r="JOV65" s="277" t="s">
        <v>1072</v>
      </c>
      <c r="JOW65" s="277" t="s">
        <v>1072</v>
      </c>
      <c r="JOX65" s="277" t="s">
        <v>1072</v>
      </c>
      <c r="JOY65" s="277" t="s">
        <v>1072</v>
      </c>
      <c r="JOZ65" s="277" t="s">
        <v>1072</v>
      </c>
      <c r="JPA65" s="277" t="s">
        <v>1072</v>
      </c>
      <c r="JPB65" s="277" t="s">
        <v>1072</v>
      </c>
      <c r="JPC65" s="277" t="s">
        <v>1072</v>
      </c>
      <c r="JPD65" s="277" t="s">
        <v>1072</v>
      </c>
      <c r="JPE65" s="277" t="s">
        <v>1072</v>
      </c>
      <c r="JPF65" s="277" t="s">
        <v>1072</v>
      </c>
      <c r="JPG65" s="277" t="s">
        <v>1072</v>
      </c>
      <c r="JPH65" s="277" t="s">
        <v>1072</v>
      </c>
      <c r="JPI65" s="277" t="s">
        <v>1072</v>
      </c>
      <c r="JPJ65" s="277" t="s">
        <v>1072</v>
      </c>
      <c r="JPK65" s="277" t="s">
        <v>1072</v>
      </c>
      <c r="JPL65" s="277" t="s">
        <v>1072</v>
      </c>
      <c r="JPM65" s="277" t="s">
        <v>1072</v>
      </c>
      <c r="JPN65" s="277" t="s">
        <v>1072</v>
      </c>
      <c r="JPO65" s="277" t="s">
        <v>1072</v>
      </c>
      <c r="JPP65" s="277" t="s">
        <v>1072</v>
      </c>
      <c r="JPQ65" s="277" t="s">
        <v>1072</v>
      </c>
      <c r="JPR65" s="277" t="s">
        <v>1072</v>
      </c>
      <c r="JPS65" s="277" t="s">
        <v>1072</v>
      </c>
      <c r="JPT65" s="277" t="s">
        <v>1072</v>
      </c>
      <c r="JPU65" s="277" t="s">
        <v>1072</v>
      </c>
      <c r="JPV65" s="277" t="s">
        <v>1072</v>
      </c>
      <c r="JPW65" s="277" t="s">
        <v>1072</v>
      </c>
      <c r="JPX65" s="277" t="s">
        <v>1072</v>
      </c>
      <c r="JPY65" s="277" t="s">
        <v>1072</v>
      </c>
      <c r="JPZ65" s="277" t="s">
        <v>1072</v>
      </c>
      <c r="JQA65" s="277" t="s">
        <v>1072</v>
      </c>
      <c r="JQB65" s="277" t="s">
        <v>1072</v>
      </c>
      <c r="JQC65" s="277" t="s">
        <v>1072</v>
      </c>
      <c r="JQD65" s="277" t="s">
        <v>1072</v>
      </c>
      <c r="JQE65" s="277" t="s">
        <v>1072</v>
      </c>
      <c r="JQF65" s="277" t="s">
        <v>1072</v>
      </c>
      <c r="JQG65" s="277" t="s">
        <v>1072</v>
      </c>
      <c r="JQH65" s="277" t="s">
        <v>1072</v>
      </c>
      <c r="JQI65" s="277" t="s">
        <v>1072</v>
      </c>
      <c r="JQJ65" s="277" t="s">
        <v>1072</v>
      </c>
      <c r="JQK65" s="277" t="s">
        <v>1072</v>
      </c>
      <c r="JQL65" s="277" t="s">
        <v>1072</v>
      </c>
      <c r="JQM65" s="277" t="s">
        <v>1072</v>
      </c>
      <c r="JQN65" s="277" t="s">
        <v>1072</v>
      </c>
      <c r="JQO65" s="277" t="s">
        <v>1072</v>
      </c>
      <c r="JQP65" s="277" t="s">
        <v>1072</v>
      </c>
      <c r="JQQ65" s="277" t="s">
        <v>1072</v>
      </c>
      <c r="JQR65" s="277" t="s">
        <v>1072</v>
      </c>
      <c r="JQS65" s="277" t="s">
        <v>1072</v>
      </c>
      <c r="JQT65" s="277" t="s">
        <v>1072</v>
      </c>
      <c r="JQU65" s="277" t="s">
        <v>1072</v>
      </c>
      <c r="JQV65" s="277" t="s">
        <v>1072</v>
      </c>
      <c r="JQW65" s="277" t="s">
        <v>1072</v>
      </c>
      <c r="JQX65" s="277" t="s">
        <v>1072</v>
      </c>
      <c r="JQY65" s="277" t="s">
        <v>1072</v>
      </c>
      <c r="JQZ65" s="277" t="s">
        <v>1072</v>
      </c>
      <c r="JRA65" s="277" t="s">
        <v>1072</v>
      </c>
      <c r="JRB65" s="277" t="s">
        <v>1072</v>
      </c>
      <c r="JRC65" s="277" t="s">
        <v>1072</v>
      </c>
      <c r="JRD65" s="277" t="s">
        <v>1072</v>
      </c>
      <c r="JRE65" s="277" t="s">
        <v>1072</v>
      </c>
      <c r="JRF65" s="277" t="s">
        <v>1072</v>
      </c>
      <c r="JRG65" s="277" t="s">
        <v>1072</v>
      </c>
      <c r="JRH65" s="277" t="s">
        <v>1072</v>
      </c>
      <c r="JRI65" s="277" t="s">
        <v>1072</v>
      </c>
      <c r="JRJ65" s="277" t="s">
        <v>1072</v>
      </c>
      <c r="JRK65" s="277" t="s">
        <v>1072</v>
      </c>
      <c r="JRL65" s="277" t="s">
        <v>1072</v>
      </c>
      <c r="JRM65" s="277" t="s">
        <v>1072</v>
      </c>
      <c r="JRN65" s="277" t="s">
        <v>1072</v>
      </c>
      <c r="JRO65" s="277" t="s">
        <v>1072</v>
      </c>
      <c r="JRP65" s="277" t="s">
        <v>1072</v>
      </c>
      <c r="JRQ65" s="277" t="s">
        <v>1072</v>
      </c>
      <c r="JRR65" s="277" t="s">
        <v>1072</v>
      </c>
      <c r="JRS65" s="277" t="s">
        <v>1072</v>
      </c>
      <c r="JRT65" s="277" t="s">
        <v>1072</v>
      </c>
      <c r="JRU65" s="277" t="s">
        <v>1072</v>
      </c>
      <c r="JRV65" s="277" t="s">
        <v>1072</v>
      </c>
      <c r="JRW65" s="277" t="s">
        <v>1072</v>
      </c>
      <c r="JRX65" s="277" t="s">
        <v>1072</v>
      </c>
      <c r="JRY65" s="277" t="s">
        <v>1072</v>
      </c>
      <c r="JRZ65" s="277" t="s">
        <v>1072</v>
      </c>
      <c r="JSA65" s="277" t="s">
        <v>1072</v>
      </c>
      <c r="JSB65" s="277" t="s">
        <v>1072</v>
      </c>
      <c r="JSC65" s="277" t="s">
        <v>1072</v>
      </c>
      <c r="JSD65" s="277" t="s">
        <v>1072</v>
      </c>
      <c r="JSE65" s="277" t="s">
        <v>1072</v>
      </c>
      <c r="JSF65" s="277" t="s">
        <v>1072</v>
      </c>
      <c r="JSG65" s="277" t="s">
        <v>1072</v>
      </c>
      <c r="JSH65" s="277" t="s">
        <v>1072</v>
      </c>
      <c r="JSI65" s="277" t="s">
        <v>1072</v>
      </c>
      <c r="JSJ65" s="277" t="s">
        <v>1072</v>
      </c>
      <c r="JSK65" s="277" t="s">
        <v>1072</v>
      </c>
      <c r="JSL65" s="277" t="s">
        <v>1072</v>
      </c>
      <c r="JSM65" s="277" t="s">
        <v>1072</v>
      </c>
      <c r="JSN65" s="277" t="s">
        <v>1072</v>
      </c>
      <c r="JSO65" s="277" t="s">
        <v>1072</v>
      </c>
      <c r="JSP65" s="277" t="s">
        <v>1072</v>
      </c>
      <c r="JSQ65" s="277" t="s">
        <v>1072</v>
      </c>
      <c r="JSR65" s="277" t="s">
        <v>1072</v>
      </c>
      <c r="JSS65" s="277" t="s">
        <v>1072</v>
      </c>
      <c r="JST65" s="277" t="s">
        <v>1072</v>
      </c>
      <c r="JSU65" s="277" t="s">
        <v>1072</v>
      </c>
      <c r="JSV65" s="277" t="s">
        <v>1072</v>
      </c>
      <c r="JSW65" s="277" t="s">
        <v>1072</v>
      </c>
      <c r="JSX65" s="277" t="s">
        <v>1072</v>
      </c>
      <c r="JSY65" s="277" t="s">
        <v>1072</v>
      </c>
      <c r="JSZ65" s="277" t="s">
        <v>1072</v>
      </c>
      <c r="JTA65" s="277" t="s">
        <v>1072</v>
      </c>
      <c r="JTB65" s="277" t="s">
        <v>1072</v>
      </c>
      <c r="JTC65" s="277" t="s">
        <v>1072</v>
      </c>
      <c r="JTD65" s="277" t="s">
        <v>1072</v>
      </c>
      <c r="JTE65" s="277" t="s">
        <v>1072</v>
      </c>
      <c r="JTF65" s="277" t="s">
        <v>1072</v>
      </c>
      <c r="JTG65" s="277" t="s">
        <v>1072</v>
      </c>
      <c r="JTH65" s="277" t="s">
        <v>1072</v>
      </c>
      <c r="JTI65" s="277" t="s">
        <v>1072</v>
      </c>
      <c r="JTJ65" s="277" t="s">
        <v>1072</v>
      </c>
      <c r="JTK65" s="277" t="s">
        <v>1072</v>
      </c>
      <c r="JTL65" s="277" t="s">
        <v>1072</v>
      </c>
      <c r="JTM65" s="277" t="s">
        <v>1072</v>
      </c>
      <c r="JTN65" s="277" t="s">
        <v>1072</v>
      </c>
      <c r="JTO65" s="277" t="s">
        <v>1072</v>
      </c>
      <c r="JTP65" s="277" t="s">
        <v>1072</v>
      </c>
      <c r="JTQ65" s="277" t="s">
        <v>1072</v>
      </c>
      <c r="JTR65" s="277" t="s">
        <v>1072</v>
      </c>
      <c r="JTS65" s="277" t="s">
        <v>1072</v>
      </c>
      <c r="JTT65" s="277" t="s">
        <v>1072</v>
      </c>
      <c r="JTU65" s="277" t="s">
        <v>1072</v>
      </c>
      <c r="JTV65" s="277" t="s">
        <v>1072</v>
      </c>
      <c r="JTW65" s="277" t="s">
        <v>1072</v>
      </c>
      <c r="JTX65" s="277" t="s">
        <v>1072</v>
      </c>
      <c r="JTY65" s="277" t="s">
        <v>1072</v>
      </c>
      <c r="JTZ65" s="277" t="s">
        <v>1072</v>
      </c>
      <c r="JUA65" s="277" t="s">
        <v>1072</v>
      </c>
      <c r="JUB65" s="277" t="s">
        <v>1072</v>
      </c>
      <c r="JUC65" s="277" t="s">
        <v>1072</v>
      </c>
      <c r="JUD65" s="277" t="s">
        <v>1072</v>
      </c>
      <c r="JUE65" s="277" t="s">
        <v>1072</v>
      </c>
      <c r="JUF65" s="277" t="s">
        <v>1072</v>
      </c>
      <c r="JUG65" s="277" t="s">
        <v>1072</v>
      </c>
      <c r="JUH65" s="277" t="s">
        <v>1072</v>
      </c>
      <c r="JUI65" s="277" t="s">
        <v>1072</v>
      </c>
      <c r="JUJ65" s="277" t="s">
        <v>1072</v>
      </c>
      <c r="JUK65" s="277" t="s">
        <v>1072</v>
      </c>
      <c r="JUL65" s="277" t="s">
        <v>1072</v>
      </c>
      <c r="JUM65" s="277" t="s">
        <v>1072</v>
      </c>
      <c r="JUN65" s="277" t="s">
        <v>1072</v>
      </c>
      <c r="JUO65" s="277" t="s">
        <v>1072</v>
      </c>
      <c r="JUP65" s="277" t="s">
        <v>1072</v>
      </c>
      <c r="JUQ65" s="277" t="s">
        <v>1072</v>
      </c>
      <c r="JUR65" s="277" t="s">
        <v>1072</v>
      </c>
      <c r="JUS65" s="277" t="s">
        <v>1072</v>
      </c>
      <c r="JUT65" s="277" t="s">
        <v>1072</v>
      </c>
      <c r="JUU65" s="277" t="s">
        <v>1072</v>
      </c>
      <c r="JUV65" s="277" t="s">
        <v>1072</v>
      </c>
      <c r="JUW65" s="277" t="s">
        <v>1072</v>
      </c>
      <c r="JUX65" s="277" t="s">
        <v>1072</v>
      </c>
      <c r="JUY65" s="277" t="s">
        <v>1072</v>
      </c>
      <c r="JUZ65" s="277" t="s">
        <v>1072</v>
      </c>
      <c r="JVA65" s="277" t="s">
        <v>1072</v>
      </c>
      <c r="JVB65" s="277" t="s">
        <v>1072</v>
      </c>
      <c r="JVC65" s="277" t="s">
        <v>1072</v>
      </c>
      <c r="JVD65" s="277" t="s">
        <v>1072</v>
      </c>
      <c r="JVE65" s="277" t="s">
        <v>1072</v>
      </c>
      <c r="JVF65" s="277" t="s">
        <v>1072</v>
      </c>
      <c r="JVG65" s="277" t="s">
        <v>1072</v>
      </c>
      <c r="JVH65" s="277" t="s">
        <v>1072</v>
      </c>
      <c r="JVI65" s="277" t="s">
        <v>1072</v>
      </c>
      <c r="JVJ65" s="277" t="s">
        <v>1072</v>
      </c>
      <c r="JVK65" s="277" t="s">
        <v>1072</v>
      </c>
      <c r="JVL65" s="277" t="s">
        <v>1072</v>
      </c>
      <c r="JVM65" s="277" t="s">
        <v>1072</v>
      </c>
      <c r="JVN65" s="277" t="s">
        <v>1072</v>
      </c>
      <c r="JVO65" s="277" t="s">
        <v>1072</v>
      </c>
      <c r="JVP65" s="277" t="s">
        <v>1072</v>
      </c>
      <c r="JVQ65" s="277" t="s">
        <v>1072</v>
      </c>
      <c r="JVR65" s="277" t="s">
        <v>1072</v>
      </c>
      <c r="JVS65" s="277" t="s">
        <v>1072</v>
      </c>
      <c r="JVT65" s="277" t="s">
        <v>1072</v>
      </c>
      <c r="JVU65" s="277" t="s">
        <v>1072</v>
      </c>
      <c r="JVV65" s="277" t="s">
        <v>1072</v>
      </c>
      <c r="JVW65" s="277" t="s">
        <v>1072</v>
      </c>
      <c r="JVX65" s="277" t="s">
        <v>1072</v>
      </c>
      <c r="JVY65" s="277" t="s">
        <v>1072</v>
      </c>
      <c r="JVZ65" s="277" t="s">
        <v>1072</v>
      </c>
      <c r="JWA65" s="277" t="s">
        <v>1072</v>
      </c>
      <c r="JWB65" s="277" t="s">
        <v>1072</v>
      </c>
      <c r="JWC65" s="277" t="s">
        <v>1072</v>
      </c>
      <c r="JWD65" s="277" t="s">
        <v>1072</v>
      </c>
      <c r="JWE65" s="277" t="s">
        <v>1072</v>
      </c>
      <c r="JWF65" s="277" t="s">
        <v>1072</v>
      </c>
      <c r="JWG65" s="277" t="s">
        <v>1072</v>
      </c>
      <c r="JWH65" s="277" t="s">
        <v>1072</v>
      </c>
      <c r="JWI65" s="277" t="s">
        <v>1072</v>
      </c>
      <c r="JWJ65" s="277" t="s">
        <v>1072</v>
      </c>
      <c r="JWK65" s="277" t="s">
        <v>1072</v>
      </c>
      <c r="JWL65" s="277" t="s">
        <v>1072</v>
      </c>
      <c r="JWM65" s="277" t="s">
        <v>1072</v>
      </c>
      <c r="JWN65" s="277" t="s">
        <v>1072</v>
      </c>
      <c r="JWO65" s="277" t="s">
        <v>1072</v>
      </c>
      <c r="JWP65" s="277" t="s">
        <v>1072</v>
      </c>
      <c r="JWQ65" s="277" t="s">
        <v>1072</v>
      </c>
      <c r="JWR65" s="277" t="s">
        <v>1072</v>
      </c>
      <c r="JWS65" s="277" t="s">
        <v>1072</v>
      </c>
      <c r="JWT65" s="277" t="s">
        <v>1072</v>
      </c>
      <c r="JWU65" s="277" t="s">
        <v>1072</v>
      </c>
      <c r="JWV65" s="277" t="s">
        <v>1072</v>
      </c>
      <c r="JWW65" s="277" t="s">
        <v>1072</v>
      </c>
      <c r="JWX65" s="277" t="s">
        <v>1072</v>
      </c>
      <c r="JWY65" s="277" t="s">
        <v>1072</v>
      </c>
      <c r="JWZ65" s="277" t="s">
        <v>1072</v>
      </c>
      <c r="JXA65" s="277" t="s">
        <v>1072</v>
      </c>
      <c r="JXB65" s="277" t="s">
        <v>1072</v>
      </c>
      <c r="JXC65" s="277" t="s">
        <v>1072</v>
      </c>
      <c r="JXD65" s="277" t="s">
        <v>1072</v>
      </c>
      <c r="JXE65" s="277" t="s">
        <v>1072</v>
      </c>
      <c r="JXF65" s="277" t="s">
        <v>1072</v>
      </c>
      <c r="JXG65" s="277" t="s">
        <v>1072</v>
      </c>
      <c r="JXH65" s="277" t="s">
        <v>1072</v>
      </c>
      <c r="JXI65" s="277" t="s">
        <v>1072</v>
      </c>
      <c r="JXJ65" s="277" t="s">
        <v>1072</v>
      </c>
      <c r="JXK65" s="277" t="s">
        <v>1072</v>
      </c>
      <c r="JXL65" s="277" t="s">
        <v>1072</v>
      </c>
      <c r="JXM65" s="277" t="s">
        <v>1072</v>
      </c>
      <c r="JXN65" s="277" t="s">
        <v>1072</v>
      </c>
      <c r="JXO65" s="277" t="s">
        <v>1072</v>
      </c>
      <c r="JXP65" s="277" t="s">
        <v>1072</v>
      </c>
      <c r="JXQ65" s="277" t="s">
        <v>1072</v>
      </c>
      <c r="JXR65" s="277" t="s">
        <v>1072</v>
      </c>
      <c r="JXS65" s="277" t="s">
        <v>1072</v>
      </c>
      <c r="JXT65" s="277" t="s">
        <v>1072</v>
      </c>
      <c r="JXU65" s="277" t="s">
        <v>1072</v>
      </c>
      <c r="JXV65" s="277" t="s">
        <v>1072</v>
      </c>
      <c r="JXW65" s="277" t="s">
        <v>1072</v>
      </c>
      <c r="JXX65" s="277" t="s">
        <v>1072</v>
      </c>
      <c r="JXY65" s="277" t="s">
        <v>1072</v>
      </c>
      <c r="JXZ65" s="277" t="s">
        <v>1072</v>
      </c>
      <c r="JYA65" s="277" t="s">
        <v>1072</v>
      </c>
      <c r="JYB65" s="277" t="s">
        <v>1072</v>
      </c>
      <c r="JYC65" s="277" t="s">
        <v>1072</v>
      </c>
      <c r="JYD65" s="277" t="s">
        <v>1072</v>
      </c>
      <c r="JYE65" s="277" t="s">
        <v>1072</v>
      </c>
      <c r="JYF65" s="277" t="s">
        <v>1072</v>
      </c>
      <c r="JYG65" s="277" t="s">
        <v>1072</v>
      </c>
      <c r="JYH65" s="277" t="s">
        <v>1072</v>
      </c>
      <c r="JYI65" s="277" t="s">
        <v>1072</v>
      </c>
      <c r="JYJ65" s="277" t="s">
        <v>1072</v>
      </c>
      <c r="JYK65" s="277" t="s">
        <v>1072</v>
      </c>
      <c r="JYL65" s="277" t="s">
        <v>1072</v>
      </c>
      <c r="JYM65" s="277" t="s">
        <v>1072</v>
      </c>
      <c r="JYN65" s="277" t="s">
        <v>1072</v>
      </c>
      <c r="JYO65" s="277" t="s">
        <v>1072</v>
      </c>
      <c r="JYP65" s="277" t="s">
        <v>1072</v>
      </c>
      <c r="JYQ65" s="277" t="s">
        <v>1072</v>
      </c>
      <c r="JYR65" s="277" t="s">
        <v>1072</v>
      </c>
      <c r="JYS65" s="277" t="s">
        <v>1072</v>
      </c>
      <c r="JYT65" s="277" t="s">
        <v>1072</v>
      </c>
      <c r="JYU65" s="277" t="s">
        <v>1072</v>
      </c>
      <c r="JYV65" s="277" t="s">
        <v>1072</v>
      </c>
      <c r="JYW65" s="277" t="s">
        <v>1072</v>
      </c>
      <c r="JYX65" s="277" t="s">
        <v>1072</v>
      </c>
      <c r="JYY65" s="277" t="s">
        <v>1072</v>
      </c>
      <c r="JYZ65" s="277" t="s">
        <v>1072</v>
      </c>
      <c r="JZA65" s="277" t="s">
        <v>1072</v>
      </c>
      <c r="JZB65" s="277" t="s">
        <v>1072</v>
      </c>
      <c r="JZC65" s="277" t="s">
        <v>1072</v>
      </c>
      <c r="JZD65" s="277" t="s">
        <v>1072</v>
      </c>
      <c r="JZE65" s="277" t="s">
        <v>1072</v>
      </c>
      <c r="JZF65" s="277" t="s">
        <v>1072</v>
      </c>
      <c r="JZG65" s="277" t="s">
        <v>1072</v>
      </c>
      <c r="JZH65" s="277" t="s">
        <v>1072</v>
      </c>
      <c r="JZI65" s="277" t="s">
        <v>1072</v>
      </c>
      <c r="JZJ65" s="277" t="s">
        <v>1072</v>
      </c>
      <c r="JZK65" s="277" t="s">
        <v>1072</v>
      </c>
      <c r="JZL65" s="277" t="s">
        <v>1072</v>
      </c>
      <c r="JZM65" s="277" t="s">
        <v>1072</v>
      </c>
      <c r="JZN65" s="277" t="s">
        <v>1072</v>
      </c>
      <c r="JZO65" s="277" t="s">
        <v>1072</v>
      </c>
      <c r="JZP65" s="277" t="s">
        <v>1072</v>
      </c>
      <c r="JZQ65" s="277" t="s">
        <v>1072</v>
      </c>
      <c r="JZR65" s="277" t="s">
        <v>1072</v>
      </c>
      <c r="JZS65" s="277" t="s">
        <v>1072</v>
      </c>
      <c r="JZT65" s="277" t="s">
        <v>1072</v>
      </c>
      <c r="JZU65" s="277" t="s">
        <v>1072</v>
      </c>
      <c r="JZV65" s="277" t="s">
        <v>1072</v>
      </c>
      <c r="JZW65" s="277" t="s">
        <v>1072</v>
      </c>
      <c r="JZX65" s="277" t="s">
        <v>1072</v>
      </c>
      <c r="JZY65" s="277" t="s">
        <v>1072</v>
      </c>
      <c r="JZZ65" s="277" t="s">
        <v>1072</v>
      </c>
      <c r="KAA65" s="277" t="s">
        <v>1072</v>
      </c>
      <c r="KAB65" s="277" t="s">
        <v>1072</v>
      </c>
      <c r="KAC65" s="277" t="s">
        <v>1072</v>
      </c>
      <c r="KAD65" s="277" t="s">
        <v>1072</v>
      </c>
      <c r="KAE65" s="277" t="s">
        <v>1072</v>
      </c>
      <c r="KAF65" s="277" t="s">
        <v>1072</v>
      </c>
      <c r="KAG65" s="277" t="s">
        <v>1072</v>
      </c>
      <c r="KAH65" s="277" t="s">
        <v>1072</v>
      </c>
      <c r="KAI65" s="277" t="s">
        <v>1072</v>
      </c>
      <c r="KAJ65" s="277" t="s">
        <v>1072</v>
      </c>
      <c r="KAK65" s="277" t="s">
        <v>1072</v>
      </c>
      <c r="KAL65" s="277" t="s">
        <v>1072</v>
      </c>
      <c r="KAM65" s="277" t="s">
        <v>1072</v>
      </c>
      <c r="KAN65" s="277" t="s">
        <v>1072</v>
      </c>
      <c r="KAO65" s="277" t="s">
        <v>1072</v>
      </c>
      <c r="KAP65" s="277" t="s">
        <v>1072</v>
      </c>
      <c r="KAQ65" s="277" t="s">
        <v>1072</v>
      </c>
      <c r="KAR65" s="277" t="s">
        <v>1072</v>
      </c>
      <c r="KAS65" s="277" t="s">
        <v>1072</v>
      </c>
      <c r="KAT65" s="277" t="s">
        <v>1072</v>
      </c>
      <c r="KAU65" s="277" t="s">
        <v>1072</v>
      </c>
      <c r="KAV65" s="277" t="s">
        <v>1072</v>
      </c>
      <c r="KAW65" s="277" t="s">
        <v>1072</v>
      </c>
      <c r="KAX65" s="277" t="s">
        <v>1072</v>
      </c>
      <c r="KAY65" s="277" t="s">
        <v>1072</v>
      </c>
      <c r="KAZ65" s="277" t="s">
        <v>1072</v>
      </c>
      <c r="KBA65" s="277" t="s">
        <v>1072</v>
      </c>
      <c r="KBB65" s="277" t="s">
        <v>1072</v>
      </c>
      <c r="KBC65" s="277" t="s">
        <v>1072</v>
      </c>
      <c r="KBD65" s="277" t="s">
        <v>1072</v>
      </c>
      <c r="KBE65" s="277" t="s">
        <v>1072</v>
      </c>
      <c r="KBF65" s="277" t="s">
        <v>1072</v>
      </c>
      <c r="KBG65" s="277" t="s">
        <v>1072</v>
      </c>
      <c r="KBH65" s="277" t="s">
        <v>1072</v>
      </c>
      <c r="KBI65" s="277" t="s">
        <v>1072</v>
      </c>
      <c r="KBJ65" s="277" t="s">
        <v>1072</v>
      </c>
      <c r="KBK65" s="277" t="s">
        <v>1072</v>
      </c>
      <c r="KBL65" s="277" t="s">
        <v>1072</v>
      </c>
      <c r="KBM65" s="277" t="s">
        <v>1072</v>
      </c>
      <c r="KBN65" s="277" t="s">
        <v>1072</v>
      </c>
      <c r="KBO65" s="277" t="s">
        <v>1072</v>
      </c>
      <c r="KBP65" s="277" t="s">
        <v>1072</v>
      </c>
      <c r="KBQ65" s="277" t="s">
        <v>1072</v>
      </c>
      <c r="KBR65" s="277" t="s">
        <v>1072</v>
      </c>
      <c r="KBS65" s="277" t="s">
        <v>1072</v>
      </c>
      <c r="KBT65" s="277" t="s">
        <v>1072</v>
      </c>
      <c r="KBU65" s="277" t="s">
        <v>1072</v>
      </c>
      <c r="KBV65" s="277" t="s">
        <v>1072</v>
      </c>
      <c r="KBW65" s="277" t="s">
        <v>1072</v>
      </c>
      <c r="KBX65" s="277" t="s">
        <v>1072</v>
      </c>
      <c r="KBY65" s="277" t="s">
        <v>1072</v>
      </c>
      <c r="KBZ65" s="277" t="s">
        <v>1072</v>
      </c>
      <c r="KCA65" s="277" t="s">
        <v>1072</v>
      </c>
      <c r="KCB65" s="277" t="s">
        <v>1072</v>
      </c>
      <c r="KCC65" s="277" t="s">
        <v>1072</v>
      </c>
      <c r="KCD65" s="277" t="s">
        <v>1072</v>
      </c>
      <c r="KCE65" s="277" t="s">
        <v>1072</v>
      </c>
      <c r="KCF65" s="277" t="s">
        <v>1072</v>
      </c>
      <c r="KCG65" s="277" t="s">
        <v>1072</v>
      </c>
      <c r="KCH65" s="277" t="s">
        <v>1072</v>
      </c>
      <c r="KCI65" s="277" t="s">
        <v>1072</v>
      </c>
      <c r="KCJ65" s="277" t="s">
        <v>1072</v>
      </c>
      <c r="KCK65" s="277" t="s">
        <v>1072</v>
      </c>
      <c r="KCL65" s="277" t="s">
        <v>1072</v>
      </c>
      <c r="KCM65" s="277" t="s">
        <v>1072</v>
      </c>
      <c r="KCN65" s="277" t="s">
        <v>1072</v>
      </c>
      <c r="KCO65" s="277" t="s">
        <v>1072</v>
      </c>
      <c r="KCP65" s="277" t="s">
        <v>1072</v>
      </c>
      <c r="KCQ65" s="277" t="s">
        <v>1072</v>
      </c>
      <c r="KCR65" s="277" t="s">
        <v>1072</v>
      </c>
      <c r="KCS65" s="277" t="s">
        <v>1072</v>
      </c>
      <c r="KCT65" s="277" t="s">
        <v>1072</v>
      </c>
      <c r="KCU65" s="277" t="s">
        <v>1072</v>
      </c>
      <c r="KCV65" s="277" t="s">
        <v>1072</v>
      </c>
      <c r="KCW65" s="277" t="s">
        <v>1072</v>
      </c>
      <c r="KCX65" s="277" t="s">
        <v>1072</v>
      </c>
      <c r="KCY65" s="277" t="s">
        <v>1072</v>
      </c>
      <c r="KCZ65" s="277" t="s">
        <v>1072</v>
      </c>
      <c r="KDA65" s="277" t="s">
        <v>1072</v>
      </c>
      <c r="KDB65" s="277" t="s">
        <v>1072</v>
      </c>
      <c r="KDC65" s="277" t="s">
        <v>1072</v>
      </c>
      <c r="KDD65" s="277" t="s">
        <v>1072</v>
      </c>
      <c r="KDE65" s="277" t="s">
        <v>1072</v>
      </c>
      <c r="KDF65" s="277" t="s">
        <v>1072</v>
      </c>
      <c r="KDG65" s="277" t="s">
        <v>1072</v>
      </c>
      <c r="KDH65" s="277" t="s">
        <v>1072</v>
      </c>
      <c r="KDI65" s="277" t="s">
        <v>1072</v>
      </c>
      <c r="KDJ65" s="277" t="s">
        <v>1072</v>
      </c>
      <c r="KDK65" s="277" t="s">
        <v>1072</v>
      </c>
      <c r="KDL65" s="277" t="s">
        <v>1072</v>
      </c>
      <c r="KDM65" s="277" t="s">
        <v>1072</v>
      </c>
      <c r="KDN65" s="277" t="s">
        <v>1072</v>
      </c>
      <c r="KDO65" s="277" t="s">
        <v>1072</v>
      </c>
      <c r="KDP65" s="277" t="s">
        <v>1072</v>
      </c>
      <c r="KDQ65" s="277" t="s">
        <v>1072</v>
      </c>
      <c r="KDR65" s="277" t="s">
        <v>1072</v>
      </c>
      <c r="KDS65" s="277" t="s">
        <v>1072</v>
      </c>
      <c r="KDT65" s="277" t="s">
        <v>1072</v>
      </c>
      <c r="KDU65" s="277" t="s">
        <v>1072</v>
      </c>
      <c r="KDV65" s="277" t="s">
        <v>1072</v>
      </c>
      <c r="KDW65" s="277" t="s">
        <v>1072</v>
      </c>
      <c r="KDX65" s="277" t="s">
        <v>1072</v>
      </c>
      <c r="KDY65" s="277" t="s">
        <v>1072</v>
      </c>
      <c r="KDZ65" s="277" t="s">
        <v>1072</v>
      </c>
      <c r="KEA65" s="277" t="s">
        <v>1072</v>
      </c>
      <c r="KEB65" s="277" t="s">
        <v>1072</v>
      </c>
      <c r="KEC65" s="277" t="s">
        <v>1072</v>
      </c>
      <c r="KED65" s="277" t="s">
        <v>1072</v>
      </c>
      <c r="KEE65" s="277" t="s">
        <v>1072</v>
      </c>
      <c r="KEF65" s="277" t="s">
        <v>1072</v>
      </c>
      <c r="KEG65" s="277" t="s">
        <v>1072</v>
      </c>
      <c r="KEH65" s="277" t="s">
        <v>1072</v>
      </c>
      <c r="KEI65" s="277" t="s">
        <v>1072</v>
      </c>
      <c r="KEJ65" s="277" t="s">
        <v>1072</v>
      </c>
      <c r="KEK65" s="277" t="s">
        <v>1072</v>
      </c>
      <c r="KEL65" s="277" t="s">
        <v>1072</v>
      </c>
      <c r="KEM65" s="277" t="s">
        <v>1072</v>
      </c>
      <c r="KEN65" s="277" t="s">
        <v>1072</v>
      </c>
      <c r="KEO65" s="277" t="s">
        <v>1072</v>
      </c>
      <c r="KEP65" s="277" t="s">
        <v>1072</v>
      </c>
      <c r="KEQ65" s="277" t="s">
        <v>1072</v>
      </c>
      <c r="KER65" s="277" t="s">
        <v>1072</v>
      </c>
      <c r="KES65" s="277" t="s">
        <v>1072</v>
      </c>
      <c r="KET65" s="277" t="s">
        <v>1072</v>
      </c>
      <c r="KEU65" s="277" t="s">
        <v>1072</v>
      </c>
      <c r="KEV65" s="277" t="s">
        <v>1072</v>
      </c>
      <c r="KEW65" s="277" t="s">
        <v>1072</v>
      </c>
      <c r="KEX65" s="277" t="s">
        <v>1072</v>
      </c>
      <c r="KEY65" s="277" t="s">
        <v>1072</v>
      </c>
      <c r="KEZ65" s="277" t="s">
        <v>1072</v>
      </c>
      <c r="KFA65" s="277" t="s">
        <v>1072</v>
      </c>
      <c r="KFB65" s="277" t="s">
        <v>1072</v>
      </c>
      <c r="KFC65" s="277" t="s">
        <v>1072</v>
      </c>
      <c r="KFD65" s="277" t="s">
        <v>1072</v>
      </c>
      <c r="KFE65" s="277" t="s">
        <v>1072</v>
      </c>
      <c r="KFF65" s="277" t="s">
        <v>1072</v>
      </c>
      <c r="KFG65" s="277" t="s">
        <v>1072</v>
      </c>
      <c r="KFH65" s="277" t="s">
        <v>1072</v>
      </c>
      <c r="KFI65" s="277" t="s">
        <v>1072</v>
      </c>
      <c r="KFJ65" s="277" t="s">
        <v>1072</v>
      </c>
      <c r="KFK65" s="277" t="s">
        <v>1072</v>
      </c>
      <c r="KFL65" s="277" t="s">
        <v>1072</v>
      </c>
      <c r="KFM65" s="277" t="s">
        <v>1072</v>
      </c>
      <c r="KFN65" s="277" t="s">
        <v>1072</v>
      </c>
      <c r="KFO65" s="277" t="s">
        <v>1072</v>
      </c>
      <c r="KFP65" s="277" t="s">
        <v>1072</v>
      </c>
      <c r="KFQ65" s="277" t="s">
        <v>1072</v>
      </c>
      <c r="KFR65" s="277" t="s">
        <v>1072</v>
      </c>
      <c r="KFS65" s="277" t="s">
        <v>1072</v>
      </c>
      <c r="KFT65" s="277" t="s">
        <v>1072</v>
      </c>
      <c r="KFU65" s="277" t="s">
        <v>1072</v>
      </c>
      <c r="KFV65" s="277" t="s">
        <v>1072</v>
      </c>
      <c r="KFW65" s="277" t="s">
        <v>1072</v>
      </c>
      <c r="KFX65" s="277" t="s">
        <v>1072</v>
      </c>
      <c r="KFY65" s="277" t="s">
        <v>1072</v>
      </c>
      <c r="KFZ65" s="277" t="s">
        <v>1072</v>
      </c>
      <c r="KGA65" s="277" t="s">
        <v>1072</v>
      </c>
      <c r="KGB65" s="277" t="s">
        <v>1072</v>
      </c>
      <c r="KGC65" s="277" t="s">
        <v>1072</v>
      </c>
      <c r="KGD65" s="277" t="s">
        <v>1072</v>
      </c>
      <c r="KGE65" s="277" t="s">
        <v>1072</v>
      </c>
      <c r="KGF65" s="277" t="s">
        <v>1072</v>
      </c>
      <c r="KGG65" s="277" t="s">
        <v>1072</v>
      </c>
      <c r="KGH65" s="277" t="s">
        <v>1072</v>
      </c>
      <c r="KGI65" s="277" t="s">
        <v>1072</v>
      </c>
      <c r="KGJ65" s="277" t="s">
        <v>1072</v>
      </c>
      <c r="KGK65" s="277" t="s">
        <v>1072</v>
      </c>
      <c r="KGL65" s="277" t="s">
        <v>1072</v>
      </c>
      <c r="KGM65" s="277" t="s">
        <v>1072</v>
      </c>
      <c r="KGN65" s="277" t="s">
        <v>1072</v>
      </c>
      <c r="KGO65" s="277" t="s">
        <v>1072</v>
      </c>
      <c r="KGP65" s="277" t="s">
        <v>1072</v>
      </c>
      <c r="KGQ65" s="277" t="s">
        <v>1072</v>
      </c>
      <c r="KGR65" s="277" t="s">
        <v>1072</v>
      </c>
      <c r="KGS65" s="277" t="s">
        <v>1072</v>
      </c>
      <c r="KGT65" s="277" t="s">
        <v>1072</v>
      </c>
      <c r="KGU65" s="277" t="s">
        <v>1072</v>
      </c>
      <c r="KGV65" s="277" t="s">
        <v>1072</v>
      </c>
      <c r="KGW65" s="277" t="s">
        <v>1072</v>
      </c>
      <c r="KGX65" s="277" t="s">
        <v>1072</v>
      </c>
      <c r="KGY65" s="277" t="s">
        <v>1072</v>
      </c>
      <c r="KGZ65" s="277" t="s">
        <v>1072</v>
      </c>
      <c r="KHA65" s="277" t="s">
        <v>1072</v>
      </c>
      <c r="KHB65" s="277" t="s">
        <v>1072</v>
      </c>
      <c r="KHC65" s="277" t="s">
        <v>1072</v>
      </c>
      <c r="KHD65" s="277" t="s">
        <v>1072</v>
      </c>
      <c r="KHE65" s="277" t="s">
        <v>1072</v>
      </c>
      <c r="KHF65" s="277" t="s">
        <v>1072</v>
      </c>
      <c r="KHG65" s="277" t="s">
        <v>1072</v>
      </c>
      <c r="KHH65" s="277" t="s">
        <v>1072</v>
      </c>
      <c r="KHI65" s="277" t="s">
        <v>1072</v>
      </c>
      <c r="KHJ65" s="277" t="s">
        <v>1072</v>
      </c>
      <c r="KHK65" s="277" t="s">
        <v>1072</v>
      </c>
      <c r="KHL65" s="277" t="s">
        <v>1072</v>
      </c>
      <c r="KHM65" s="277" t="s">
        <v>1072</v>
      </c>
      <c r="KHN65" s="277" t="s">
        <v>1072</v>
      </c>
      <c r="KHO65" s="277" t="s">
        <v>1072</v>
      </c>
      <c r="KHP65" s="277" t="s">
        <v>1072</v>
      </c>
      <c r="KHQ65" s="277" t="s">
        <v>1072</v>
      </c>
      <c r="KHR65" s="277" t="s">
        <v>1072</v>
      </c>
      <c r="KHS65" s="277" t="s">
        <v>1072</v>
      </c>
      <c r="KHT65" s="277" t="s">
        <v>1072</v>
      </c>
      <c r="KHU65" s="277" t="s">
        <v>1072</v>
      </c>
      <c r="KHV65" s="277" t="s">
        <v>1072</v>
      </c>
      <c r="KHW65" s="277" t="s">
        <v>1072</v>
      </c>
      <c r="KHX65" s="277" t="s">
        <v>1072</v>
      </c>
      <c r="KHY65" s="277" t="s">
        <v>1072</v>
      </c>
      <c r="KHZ65" s="277" t="s">
        <v>1072</v>
      </c>
      <c r="KIA65" s="277" t="s">
        <v>1072</v>
      </c>
      <c r="KIB65" s="277" t="s">
        <v>1072</v>
      </c>
      <c r="KIC65" s="277" t="s">
        <v>1072</v>
      </c>
      <c r="KID65" s="277" t="s">
        <v>1072</v>
      </c>
      <c r="KIE65" s="277" t="s">
        <v>1072</v>
      </c>
      <c r="KIF65" s="277" t="s">
        <v>1072</v>
      </c>
      <c r="KIG65" s="277" t="s">
        <v>1072</v>
      </c>
      <c r="KIH65" s="277" t="s">
        <v>1072</v>
      </c>
      <c r="KII65" s="277" t="s">
        <v>1072</v>
      </c>
      <c r="KIJ65" s="277" t="s">
        <v>1072</v>
      </c>
      <c r="KIK65" s="277" t="s">
        <v>1072</v>
      </c>
      <c r="KIL65" s="277" t="s">
        <v>1072</v>
      </c>
      <c r="KIM65" s="277" t="s">
        <v>1072</v>
      </c>
      <c r="KIN65" s="277" t="s">
        <v>1072</v>
      </c>
      <c r="KIO65" s="277" t="s">
        <v>1072</v>
      </c>
      <c r="KIP65" s="277" t="s">
        <v>1072</v>
      </c>
      <c r="KIQ65" s="277" t="s">
        <v>1072</v>
      </c>
      <c r="KIR65" s="277" t="s">
        <v>1072</v>
      </c>
      <c r="KIS65" s="277" t="s">
        <v>1072</v>
      </c>
      <c r="KIT65" s="277" t="s">
        <v>1072</v>
      </c>
      <c r="KIU65" s="277" t="s">
        <v>1072</v>
      </c>
      <c r="KIV65" s="277" t="s">
        <v>1072</v>
      </c>
      <c r="KIW65" s="277" t="s">
        <v>1072</v>
      </c>
      <c r="KIX65" s="277" t="s">
        <v>1072</v>
      </c>
      <c r="KIY65" s="277" t="s">
        <v>1072</v>
      </c>
      <c r="KIZ65" s="277" t="s">
        <v>1072</v>
      </c>
      <c r="KJA65" s="277" t="s">
        <v>1072</v>
      </c>
      <c r="KJB65" s="277" t="s">
        <v>1072</v>
      </c>
      <c r="KJC65" s="277" t="s">
        <v>1072</v>
      </c>
      <c r="KJD65" s="277" t="s">
        <v>1072</v>
      </c>
      <c r="KJE65" s="277" t="s">
        <v>1072</v>
      </c>
      <c r="KJF65" s="277" t="s">
        <v>1072</v>
      </c>
      <c r="KJG65" s="277" t="s">
        <v>1072</v>
      </c>
      <c r="KJH65" s="277" t="s">
        <v>1072</v>
      </c>
      <c r="KJI65" s="277" t="s">
        <v>1072</v>
      </c>
      <c r="KJJ65" s="277" t="s">
        <v>1072</v>
      </c>
      <c r="KJK65" s="277" t="s">
        <v>1072</v>
      </c>
      <c r="KJL65" s="277" t="s">
        <v>1072</v>
      </c>
      <c r="KJM65" s="277" t="s">
        <v>1072</v>
      </c>
      <c r="KJN65" s="277" t="s">
        <v>1072</v>
      </c>
      <c r="KJO65" s="277" t="s">
        <v>1072</v>
      </c>
      <c r="KJP65" s="277" t="s">
        <v>1072</v>
      </c>
      <c r="KJQ65" s="277" t="s">
        <v>1072</v>
      </c>
      <c r="KJR65" s="277" t="s">
        <v>1072</v>
      </c>
      <c r="KJS65" s="277" t="s">
        <v>1072</v>
      </c>
      <c r="KJT65" s="277" t="s">
        <v>1072</v>
      </c>
      <c r="KJU65" s="277" t="s">
        <v>1072</v>
      </c>
      <c r="KJV65" s="277" t="s">
        <v>1072</v>
      </c>
      <c r="KJW65" s="277" t="s">
        <v>1072</v>
      </c>
      <c r="KJX65" s="277" t="s">
        <v>1072</v>
      </c>
      <c r="KJY65" s="277" t="s">
        <v>1072</v>
      </c>
      <c r="KJZ65" s="277" t="s">
        <v>1072</v>
      </c>
      <c r="KKA65" s="277" t="s">
        <v>1072</v>
      </c>
      <c r="KKB65" s="277" t="s">
        <v>1072</v>
      </c>
      <c r="KKC65" s="277" t="s">
        <v>1072</v>
      </c>
      <c r="KKD65" s="277" t="s">
        <v>1072</v>
      </c>
      <c r="KKE65" s="277" t="s">
        <v>1072</v>
      </c>
      <c r="KKF65" s="277" t="s">
        <v>1072</v>
      </c>
      <c r="KKG65" s="277" t="s">
        <v>1072</v>
      </c>
      <c r="KKH65" s="277" t="s">
        <v>1072</v>
      </c>
      <c r="KKI65" s="277" t="s">
        <v>1072</v>
      </c>
      <c r="KKJ65" s="277" t="s">
        <v>1072</v>
      </c>
      <c r="KKK65" s="277" t="s">
        <v>1072</v>
      </c>
      <c r="KKL65" s="277" t="s">
        <v>1072</v>
      </c>
      <c r="KKM65" s="277" t="s">
        <v>1072</v>
      </c>
      <c r="KKN65" s="277" t="s">
        <v>1072</v>
      </c>
      <c r="KKO65" s="277" t="s">
        <v>1072</v>
      </c>
      <c r="KKP65" s="277" t="s">
        <v>1072</v>
      </c>
      <c r="KKQ65" s="277" t="s">
        <v>1072</v>
      </c>
      <c r="KKR65" s="277" t="s">
        <v>1072</v>
      </c>
      <c r="KKS65" s="277" t="s">
        <v>1072</v>
      </c>
      <c r="KKT65" s="277" t="s">
        <v>1072</v>
      </c>
      <c r="KKU65" s="277" t="s">
        <v>1072</v>
      </c>
      <c r="KKV65" s="277" t="s">
        <v>1072</v>
      </c>
      <c r="KKW65" s="277" t="s">
        <v>1072</v>
      </c>
      <c r="KKX65" s="277" t="s">
        <v>1072</v>
      </c>
      <c r="KKY65" s="277" t="s">
        <v>1072</v>
      </c>
      <c r="KKZ65" s="277" t="s">
        <v>1072</v>
      </c>
      <c r="KLA65" s="277" t="s">
        <v>1072</v>
      </c>
      <c r="KLB65" s="277" t="s">
        <v>1072</v>
      </c>
      <c r="KLC65" s="277" t="s">
        <v>1072</v>
      </c>
      <c r="KLD65" s="277" t="s">
        <v>1072</v>
      </c>
      <c r="KLE65" s="277" t="s">
        <v>1072</v>
      </c>
      <c r="KLF65" s="277" t="s">
        <v>1072</v>
      </c>
      <c r="KLG65" s="277" t="s">
        <v>1072</v>
      </c>
      <c r="KLH65" s="277" t="s">
        <v>1072</v>
      </c>
      <c r="KLI65" s="277" t="s">
        <v>1072</v>
      </c>
      <c r="KLJ65" s="277" t="s">
        <v>1072</v>
      </c>
      <c r="KLK65" s="277" t="s">
        <v>1072</v>
      </c>
      <c r="KLL65" s="277" t="s">
        <v>1072</v>
      </c>
      <c r="KLM65" s="277" t="s">
        <v>1072</v>
      </c>
      <c r="KLN65" s="277" t="s">
        <v>1072</v>
      </c>
      <c r="KLO65" s="277" t="s">
        <v>1072</v>
      </c>
      <c r="KLP65" s="277" t="s">
        <v>1072</v>
      </c>
      <c r="KLQ65" s="277" t="s">
        <v>1072</v>
      </c>
      <c r="KLR65" s="277" t="s">
        <v>1072</v>
      </c>
      <c r="KLS65" s="277" t="s">
        <v>1072</v>
      </c>
      <c r="KLT65" s="277" t="s">
        <v>1072</v>
      </c>
      <c r="KLU65" s="277" t="s">
        <v>1072</v>
      </c>
      <c r="KLV65" s="277" t="s">
        <v>1072</v>
      </c>
      <c r="KLW65" s="277" t="s">
        <v>1072</v>
      </c>
      <c r="KLX65" s="277" t="s">
        <v>1072</v>
      </c>
      <c r="KLY65" s="277" t="s">
        <v>1072</v>
      </c>
      <c r="KLZ65" s="277" t="s">
        <v>1072</v>
      </c>
      <c r="KMA65" s="277" t="s">
        <v>1072</v>
      </c>
      <c r="KMB65" s="277" t="s">
        <v>1072</v>
      </c>
      <c r="KMC65" s="277" t="s">
        <v>1072</v>
      </c>
      <c r="KMD65" s="277" t="s">
        <v>1072</v>
      </c>
      <c r="KME65" s="277" t="s">
        <v>1072</v>
      </c>
      <c r="KMF65" s="277" t="s">
        <v>1072</v>
      </c>
      <c r="KMG65" s="277" t="s">
        <v>1072</v>
      </c>
      <c r="KMH65" s="277" t="s">
        <v>1072</v>
      </c>
      <c r="KMI65" s="277" t="s">
        <v>1072</v>
      </c>
      <c r="KMJ65" s="277" t="s">
        <v>1072</v>
      </c>
      <c r="KMK65" s="277" t="s">
        <v>1072</v>
      </c>
      <c r="KML65" s="277" t="s">
        <v>1072</v>
      </c>
      <c r="KMM65" s="277" t="s">
        <v>1072</v>
      </c>
      <c r="KMN65" s="277" t="s">
        <v>1072</v>
      </c>
      <c r="KMO65" s="277" t="s">
        <v>1072</v>
      </c>
      <c r="KMP65" s="277" t="s">
        <v>1072</v>
      </c>
      <c r="KMQ65" s="277" t="s">
        <v>1072</v>
      </c>
      <c r="KMR65" s="277" t="s">
        <v>1072</v>
      </c>
      <c r="KMS65" s="277" t="s">
        <v>1072</v>
      </c>
      <c r="KMT65" s="277" t="s">
        <v>1072</v>
      </c>
      <c r="KMU65" s="277" t="s">
        <v>1072</v>
      </c>
      <c r="KMV65" s="277" t="s">
        <v>1072</v>
      </c>
      <c r="KMW65" s="277" t="s">
        <v>1072</v>
      </c>
      <c r="KMX65" s="277" t="s">
        <v>1072</v>
      </c>
      <c r="KMY65" s="277" t="s">
        <v>1072</v>
      </c>
      <c r="KMZ65" s="277" t="s">
        <v>1072</v>
      </c>
      <c r="KNA65" s="277" t="s">
        <v>1072</v>
      </c>
      <c r="KNB65" s="277" t="s">
        <v>1072</v>
      </c>
      <c r="KNC65" s="277" t="s">
        <v>1072</v>
      </c>
      <c r="KND65" s="277" t="s">
        <v>1072</v>
      </c>
      <c r="KNE65" s="277" t="s">
        <v>1072</v>
      </c>
      <c r="KNF65" s="277" t="s">
        <v>1072</v>
      </c>
      <c r="KNG65" s="277" t="s">
        <v>1072</v>
      </c>
      <c r="KNH65" s="277" t="s">
        <v>1072</v>
      </c>
      <c r="KNI65" s="277" t="s">
        <v>1072</v>
      </c>
      <c r="KNJ65" s="277" t="s">
        <v>1072</v>
      </c>
      <c r="KNK65" s="277" t="s">
        <v>1072</v>
      </c>
      <c r="KNL65" s="277" t="s">
        <v>1072</v>
      </c>
      <c r="KNM65" s="277" t="s">
        <v>1072</v>
      </c>
      <c r="KNN65" s="277" t="s">
        <v>1072</v>
      </c>
      <c r="KNO65" s="277" t="s">
        <v>1072</v>
      </c>
      <c r="KNP65" s="277" t="s">
        <v>1072</v>
      </c>
      <c r="KNQ65" s="277" t="s">
        <v>1072</v>
      </c>
      <c r="KNR65" s="277" t="s">
        <v>1072</v>
      </c>
      <c r="KNS65" s="277" t="s">
        <v>1072</v>
      </c>
      <c r="KNT65" s="277" t="s">
        <v>1072</v>
      </c>
      <c r="KNU65" s="277" t="s">
        <v>1072</v>
      </c>
      <c r="KNV65" s="277" t="s">
        <v>1072</v>
      </c>
      <c r="KNW65" s="277" t="s">
        <v>1072</v>
      </c>
      <c r="KNX65" s="277" t="s">
        <v>1072</v>
      </c>
      <c r="KNY65" s="277" t="s">
        <v>1072</v>
      </c>
      <c r="KNZ65" s="277" t="s">
        <v>1072</v>
      </c>
      <c r="KOA65" s="277" t="s">
        <v>1072</v>
      </c>
      <c r="KOB65" s="277" t="s">
        <v>1072</v>
      </c>
      <c r="KOC65" s="277" t="s">
        <v>1072</v>
      </c>
      <c r="KOD65" s="277" t="s">
        <v>1072</v>
      </c>
      <c r="KOE65" s="277" t="s">
        <v>1072</v>
      </c>
      <c r="KOF65" s="277" t="s">
        <v>1072</v>
      </c>
      <c r="KOG65" s="277" t="s">
        <v>1072</v>
      </c>
      <c r="KOH65" s="277" t="s">
        <v>1072</v>
      </c>
      <c r="KOI65" s="277" t="s">
        <v>1072</v>
      </c>
      <c r="KOJ65" s="277" t="s">
        <v>1072</v>
      </c>
      <c r="KOK65" s="277" t="s">
        <v>1072</v>
      </c>
      <c r="KOL65" s="277" t="s">
        <v>1072</v>
      </c>
      <c r="KOM65" s="277" t="s">
        <v>1072</v>
      </c>
      <c r="KON65" s="277" t="s">
        <v>1072</v>
      </c>
      <c r="KOO65" s="277" t="s">
        <v>1072</v>
      </c>
      <c r="KOP65" s="277" t="s">
        <v>1072</v>
      </c>
      <c r="KOQ65" s="277" t="s">
        <v>1072</v>
      </c>
      <c r="KOR65" s="277" t="s">
        <v>1072</v>
      </c>
      <c r="KOS65" s="277" t="s">
        <v>1072</v>
      </c>
      <c r="KOT65" s="277" t="s">
        <v>1072</v>
      </c>
      <c r="KOU65" s="277" t="s">
        <v>1072</v>
      </c>
      <c r="KOV65" s="277" t="s">
        <v>1072</v>
      </c>
      <c r="KOW65" s="277" t="s">
        <v>1072</v>
      </c>
      <c r="KOX65" s="277" t="s">
        <v>1072</v>
      </c>
      <c r="KOY65" s="277" t="s">
        <v>1072</v>
      </c>
      <c r="KOZ65" s="277" t="s">
        <v>1072</v>
      </c>
      <c r="KPA65" s="277" t="s">
        <v>1072</v>
      </c>
      <c r="KPB65" s="277" t="s">
        <v>1072</v>
      </c>
      <c r="KPC65" s="277" t="s">
        <v>1072</v>
      </c>
      <c r="KPD65" s="277" t="s">
        <v>1072</v>
      </c>
      <c r="KPE65" s="277" t="s">
        <v>1072</v>
      </c>
      <c r="KPF65" s="277" t="s">
        <v>1072</v>
      </c>
      <c r="KPG65" s="277" t="s">
        <v>1072</v>
      </c>
      <c r="KPH65" s="277" t="s">
        <v>1072</v>
      </c>
      <c r="KPI65" s="277" t="s">
        <v>1072</v>
      </c>
      <c r="KPJ65" s="277" t="s">
        <v>1072</v>
      </c>
      <c r="KPK65" s="277" t="s">
        <v>1072</v>
      </c>
      <c r="KPL65" s="277" t="s">
        <v>1072</v>
      </c>
      <c r="KPM65" s="277" t="s">
        <v>1072</v>
      </c>
      <c r="KPN65" s="277" t="s">
        <v>1072</v>
      </c>
      <c r="KPO65" s="277" t="s">
        <v>1072</v>
      </c>
      <c r="KPP65" s="277" t="s">
        <v>1072</v>
      </c>
      <c r="KPQ65" s="277" t="s">
        <v>1072</v>
      </c>
      <c r="KPR65" s="277" t="s">
        <v>1072</v>
      </c>
      <c r="KPS65" s="277" t="s">
        <v>1072</v>
      </c>
      <c r="KPT65" s="277" t="s">
        <v>1072</v>
      </c>
      <c r="KPU65" s="277" t="s">
        <v>1072</v>
      </c>
      <c r="KPV65" s="277" t="s">
        <v>1072</v>
      </c>
      <c r="KPW65" s="277" t="s">
        <v>1072</v>
      </c>
      <c r="KPX65" s="277" t="s">
        <v>1072</v>
      </c>
      <c r="KPY65" s="277" t="s">
        <v>1072</v>
      </c>
      <c r="KPZ65" s="277" t="s">
        <v>1072</v>
      </c>
      <c r="KQA65" s="277" t="s">
        <v>1072</v>
      </c>
      <c r="KQB65" s="277" t="s">
        <v>1072</v>
      </c>
      <c r="KQC65" s="277" t="s">
        <v>1072</v>
      </c>
      <c r="KQD65" s="277" t="s">
        <v>1072</v>
      </c>
      <c r="KQE65" s="277" t="s">
        <v>1072</v>
      </c>
      <c r="KQF65" s="277" t="s">
        <v>1072</v>
      </c>
      <c r="KQG65" s="277" t="s">
        <v>1072</v>
      </c>
      <c r="KQH65" s="277" t="s">
        <v>1072</v>
      </c>
      <c r="KQI65" s="277" t="s">
        <v>1072</v>
      </c>
      <c r="KQJ65" s="277" t="s">
        <v>1072</v>
      </c>
      <c r="KQK65" s="277" t="s">
        <v>1072</v>
      </c>
      <c r="KQL65" s="277" t="s">
        <v>1072</v>
      </c>
      <c r="KQM65" s="277" t="s">
        <v>1072</v>
      </c>
      <c r="KQN65" s="277" t="s">
        <v>1072</v>
      </c>
      <c r="KQO65" s="277" t="s">
        <v>1072</v>
      </c>
      <c r="KQP65" s="277" t="s">
        <v>1072</v>
      </c>
      <c r="KQQ65" s="277" t="s">
        <v>1072</v>
      </c>
      <c r="KQR65" s="277" t="s">
        <v>1072</v>
      </c>
      <c r="KQS65" s="277" t="s">
        <v>1072</v>
      </c>
      <c r="KQT65" s="277" t="s">
        <v>1072</v>
      </c>
      <c r="KQU65" s="277" t="s">
        <v>1072</v>
      </c>
      <c r="KQV65" s="277" t="s">
        <v>1072</v>
      </c>
      <c r="KQW65" s="277" t="s">
        <v>1072</v>
      </c>
      <c r="KQX65" s="277" t="s">
        <v>1072</v>
      </c>
      <c r="KQY65" s="277" t="s">
        <v>1072</v>
      </c>
      <c r="KQZ65" s="277" t="s">
        <v>1072</v>
      </c>
      <c r="KRA65" s="277" t="s">
        <v>1072</v>
      </c>
      <c r="KRB65" s="277" t="s">
        <v>1072</v>
      </c>
      <c r="KRC65" s="277" t="s">
        <v>1072</v>
      </c>
      <c r="KRD65" s="277" t="s">
        <v>1072</v>
      </c>
      <c r="KRE65" s="277" t="s">
        <v>1072</v>
      </c>
      <c r="KRF65" s="277" t="s">
        <v>1072</v>
      </c>
      <c r="KRG65" s="277" t="s">
        <v>1072</v>
      </c>
      <c r="KRH65" s="277" t="s">
        <v>1072</v>
      </c>
      <c r="KRI65" s="277" t="s">
        <v>1072</v>
      </c>
      <c r="KRJ65" s="277" t="s">
        <v>1072</v>
      </c>
      <c r="KRK65" s="277" t="s">
        <v>1072</v>
      </c>
      <c r="KRL65" s="277" t="s">
        <v>1072</v>
      </c>
      <c r="KRM65" s="277" t="s">
        <v>1072</v>
      </c>
      <c r="KRN65" s="277" t="s">
        <v>1072</v>
      </c>
      <c r="KRO65" s="277" t="s">
        <v>1072</v>
      </c>
      <c r="KRP65" s="277" t="s">
        <v>1072</v>
      </c>
      <c r="KRQ65" s="277" t="s">
        <v>1072</v>
      </c>
      <c r="KRR65" s="277" t="s">
        <v>1072</v>
      </c>
      <c r="KRS65" s="277" t="s">
        <v>1072</v>
      </c>
      <c r="KRT65" s="277" t="s">
        <v>1072</v>
      </c>
      <c r="KRU65" s="277" t="s">
        <v>1072</v>
      </c>
      <c r="KRV65" s="277" t="s">
        <v>1072</v>
      </c>
      <c r="KRW65" s="277" t="s">
        <v>1072</v>
      </c>
      <c r="KRX65" s="277" t="s">
        <v>1072</v>
      </c>
      <c r="KRY65" s="277" t="s">
        <v>1072</v>
      </c>
      <c r="KRZ65" s="277" t="s">
        <v>1072</v>
      </c>
      <c r="KSA65" s="277" t="s">
        <v>1072</v>
      </c>
      <c r="KSB65" s="277" t="s">
        <v>1072</v>
      </c>
      <c r="KSC65" s="277" t="s">
        <v>1072</v>
      </c>
      <c r="KSD65" s="277" t="s">
        <v>1072</v>
      </c>
      <c r="KSE65" s="277" t="s">
        <v>1072</v>
      </c>
      <c r="KSF65" s="277" t="s">
        <v>1072</v>
      </c>
      <c r="KSG65" s="277" t="s">
        <v>1072</v>
      </c>
      <c r="KSH65" s="277" t="s">
        <v>1072</v>
      </c>
      <c r="KSI65" s="277" t="s">
        <v>1072</v>
      </c>
      <c r="KSJ65" s="277" t="s">
        <v>1072</v>
      </c>
      <c r="KSK65" s="277" t="s">
        <v>1072</v>
      </c>
      <c r="KSL65" s="277" t="s">
        <v>1072</v>
      </c>
      <c r="KSM65" s="277" t="s">
        <v>1072</v>
      </c>
      <c r="KSN65" s="277" t="s">
        <v>1072</v>
      </c>
      <c r="KSO65" s="277" t="s">
        <v>1072</v>
      </c>
      <c r="KSP65" s="277" t="s">
        <v>1072</v>
      </c>
      <c r="KSQ65" s="277" t="s">
        <v>1072</v>
      </c>
      <c r="KSR65" s="277" t="s">
        <v>1072</v>
      </c>
      <c r="KSS65" s="277" t="s">
        <v>1072</v>
      </c>
      <c r="KST65" s="277" t="s">
        <v>1072</v>
      </c>
      <c r="KSU65" s="277" t="s">
        <v>1072</v>
      </c>
      <c r="KSV65" s="277" t="s">
        <v>1072</v>
      </c>
      <c r="KSW65" s="277" t="s">
        <v>1072</v>
      </c>
      <c r="KSX65" s="277" t="s">
        <v>1072</v>
      </c>
      <c r="KSY65" s="277" t="s">
        <v>1072</v>
      </c>
      <c r="KSZ65" s="277" t="s">
        <v>1072</v>
      </c>
      <c r="KTA65" s="277" t="s">
        <v>1072</v>
      </c>
      <c r="KTB65" s="277" t="s">
        <v>1072</v>
      </c>
      <c r="KTC65" s="277" t="s">
        <v>1072</v>
      </c>
      <c r="KTD65" s="277" t="s">
        <v>1072</v>
      </c>
      <c r="KTE65" s="277" t="s">
        <v>1072</v>
      </c>
      <c r="KTF65" s="277" t="s">
        <v>1072</v>
      </c>
      <c r="KTG65" s="277" t="s">
        <v>1072</v>
      </c>
      <c r="KTH65" s="277" t="s">
        <v>1072</v>
      </c>
      <c r="KTI65" s="277" t="s">
        <v>1072</v>
      </c>
      <c r="KTJ65" s="277" t="s">
        <v>1072</v>
      </c>
      <c r="KTK65" s="277" t="s">
        <v>1072</v>
      </c>
      <c r="KTL65" s="277" t="s">
        <v>1072</v>
      </c>
      <c r="KTM65" s="277" t="s">
        <v>1072</v>
      </c>
      <c r="KTN65" s="277" t="s">
        <v>1072</v>
      </c>
      <c r="KTO65" s="277" t="s">
        <v>1072</v>
      </c>
      <c r="KTP65" s="277" t="s">
        <v>1072</v>
      </c>
      <c r="KTQ65" s="277" t="s">
        <v>1072</v>
      </c>
      <c r="KTR65" s="277" t="s">
        <v>1072</v>
      </c>
      <c r="KTS65" s="277" t="s">
        <v>1072</v>
      </c>
      <c r="KTT65" s="277" t="s">
        <v>1072</v>
      </c>
      <c r="KTU65" s="277" t="s">
        <v>1072</v>
      </c>
      <c r="KTV65" s="277" t="s">
        <v>1072</v>
      </c>
      <c r="KTW65" s="277" t="s">
        <v>1072</v>
      </c>
      <c r="KTX65" s="277" t="s">
        <v>1072</v>
      </c>
      <c r="KTY65" s="277" t="s">
        <v>1072</v>
      </c>
      <c r="KTZ65" s="277" t="s">
        <v>1072</v>
      </c>
      <c r="KUA65" s="277" t="s">
        <v>1072</v>
      </c>
      <c r="KUB65" s="277" t="s">
        <v>1072</v>
      </c>
      <c r="KUC65" s="277" t="s">
        <v>1072</v>
      </c>
      <c r="KUD65" s="277" t="s">
        <v>1072</v>
      </c>
      <c r="KUE65" s="277" t="s">
        <v>1072</v>
      </c>
      <c r="KUF65" s="277" t="s">
        <v>1072</v>
      </c>
      <c r="KUG65" s="277" t="s">
        <v>1072</v>
      </c>
      <c r="KUH65" s="277" t="s">
        <v>1072</v>
      </c>
      <c r="KUI65" s="277" t="s">
        <v>1072</v>
      </c>
      <c r="KUJ65" s="277" t="s">
        <v>1072</v>
      </c>
      <c r="KUK65" s="277" t="s">
        <v>1072</v>
      </c>
      <c r="KUL65" s="277" t="s">
        <v>1072</v>
      </c>
      <c r="KUM65" s="277" t="s">
        <v>1072</v>
      </c>
      <c r="KUN65" s="277" t="s">
        <v>1072</v>
      </c>
      <c r="KUO65" s="277" t="s">
        <v>1072</v>
      </c>
      <c r="KUP65" s="277" t="s">
        <v>1072</v>
      </c>
      <c r="KUQ65" s="277" t="s">
        <v>1072</v>
      </c>
      <c r="KUR65" s="277" t="s">
        <v>1072</v>
      </c>
      <c r="KUS65" s="277" t="s">
        <v>1072</v>
      </c>
      <c r="KUT65" s="277" t="s">
        <v>1072</v>
      </c>
      <c r="KUU65" s="277" t="s">
        <v>1072</v>
      </c>
      <c r="KUV65" s="277" t="s">
        <v>1072</v>
      </c>
      <c r="KUW65" s="277" t="s">
        <v>1072</v>
      </c>
      <c r="KUX65" s="277" t="s">
        <v>1072</v>
      </c>
      <c r="KUY65" s="277" t="s">
        <v>1072</v>
      </c>
      <c r="KUZ65" s="277" t="s">
        <v>1072</v>
      </c>
      <c r="KVA65" s="277" t="s">
        <v>1072</v>
      </c>
      <c r="KVB65" s="277" t="s">
        <v>1072</v>
      </c>
      <c r="KVC65" s="277" t="s">
        <v>1072</v>
      </c>
      <c r="KVD65" s="277" t="s">
        <v>1072</v>
      </c>
      <c r="KVE65" s="277" t="s">
        <v>1072</v>
      </c>
      <c r="KVF65" s="277" t="s">
        <v>1072</v>
      </c>
      <c r="KVG65" s="277" t="s">
        <v>1072</v>
      </c>
      <c r="KVH65" s="277" t="s">
        <v>1072</v>
      </c>
      <c r="KVI65" s="277" t="s">
        <v>1072</v>
      </c>
      <c r="KVJ65" s="277" t="s">
        <v>1072</v>
      </c>
      <c r="KVK65" s="277" t="s">
        <v>1072</v>
      </c>
      <c r="KVL65" s="277" t="s">
        <v>1072</v>
      </c>
      <c r="KVM65" s="277" t="s">
        <v>1072</v>
      </c>
      <c r="KVN65" s="277" t="s">
        <v>1072</v>
      </c>
      <c r="KVO65" s="277" t="s">
        <v>1072</v>
      </c>
      <c r="KVP65" s="277" t="s">
        <v>1072</v>
      </c>
      <c r="KVQ65" s="277" t="s">
        <v>1072</v>
      </c>
      <c r="KVR65" s="277" t="s">
        <v>1072</v>
      </c>
      <c r="KVS65" s="277" t="s">
        <v>1072</v>
      </c>
      <c r="KVT65" s="277" t="s">
        <v>1072</v>
      </c>
      <c r="KVU65" s="277" t="s">
        <v>1072</v>
      </c>
      <c r="KVV65" s="277" t="s">
        <v>1072</v>
      </c>
      <c r="KVW65" s="277" t="s">
        <v>1072</v>
      </c>
      <c r="KVX65" s="277" t="s">
        <v>1072</v>
      </c>
      <c r="KVY65" s="277" t="s">
        <v>1072</v>
      </c>
      <c r="KVZ65" s="277" t="s">
        <v>1072</v>
      </c>
      <c r="KWA65" s="277" t="s">
        <v>1072</v>
      </c>
      <c r="KWB65" s="277" t="s">
        <v>1072</v>
      </c>
      <c r="KWC65" s="277" t="s">
        <v>1072</v>
      </c>
      <c r="KWD65" s="277" t="s">
        <v>1072</v>
      </c>
      <c r="KWE65" s="277" t="s">
        <v>1072</v>
      </c>
      <c r="KWF65" s="277" t="s">
        <v>1072</v>
      </c>
      <c r="KWG65" s="277" t="s">
        <v>1072</v>
      </c>
      <c r="KWH65" s="277" t="s">
        <v>1072</v>
      </c>
      <c r="KWI65" s="277" t="s">
        <v>1072</v>
      </c>
      <c r="KWJ65" s="277" t="s">
        <v>1072</v>
      </c>
      <c r="KWK65" s="277" t="s">
        <v>1072</v>
      </c>
      <c r="KWL65" s="277" t="s">
        <v>1072</v>
      </c>
      <c r="KWM65" s="277" t="s">
        <v>1072</v>
      </c>
      <c r="KWN65" s="277" t="s">
        <v>1072</v>
      </c>
      <c r="KWO65" s="277" t="s">
        <v>1072</v>
      </c>
      <c r="KWP65" s="277" t="s">
        <v>1072</v>
      </c>
      <c r="KWQ65" s="277" t="s">
        <v>1072</v>
      </c>
      <c r="KWR65" s="277" t="s">
        <v>1072</v>
      </c>
      <c r="KWS65" s="277" t="s">
        <v>1072</v>
      </c>
      <c r="KWT65" s="277" t="s">
        <v>1072</v>
      </c>
      <c r="KWU65" s="277" t="s">
        <v>1072</v>
      </c>
      <c r="KWV65" s="277" t="s">
        <v>1072</v>
      </c>
      <c r="KWW65" s="277" t="s">
        <v>1072</v>
      </c>
      <c r="KWX65" s="277" t="s">
        <v>1072</v>
      </c>
      <c r="KWY65" s="277" t="s">
        <v>1072</v>
      </c>
      <c r="KWZ65" s="277" t="s">
        <v>1072</v>
      </c>
      <c r="KXA65" s="277" t="s">
        <v>1072</v>
      </c>
      <c r="KXB65" s="277" t="s">
        <v>1072</v>
      </c>
      <c r="KXC65" s="277" t="s">
        <v>1072</v>
      </c>
      <c r="KXD65" s="277" t="s">
        <v>1072</v>
      </c>
      <c r="KXE65" s="277" t="s">
        <v>1072</v>
      </c>
      <c r="KXF65" s="277" t="s">
        <v>1072</v>
      </c>
      <c r="KXG65" s="277" t="s">
        <v>1072</v>
      </c>
      <c r="KXH65" s="277" t="s">
        <v>1072</v>
      </c>
      <c r="KXI65" s="277" t="s">
        <v>1072</v>
      </c>
      <c r="KXJ65" s="277" t="s">
        <v>1072</v>
      </c>
      <c r="KXK65" s="277" t="s">
        <v>1072</v>
      </c>
      <c r="KXL65" s="277" t="s">
        <v>1072</v>
      </c>
      <c r="KXM65" s="277" t="s">
        <v>1072</v>
      </c>
      <c r="KXN65" s="277" t="s">
        <v>1072</v>
      </c>
      <c r="KXO65" s="277" t="s">
        <v>1072</v>
      </c>
      <c r="KXP65" s="277" t="s">
        <v>1072</v>
      </c>
      <c r="KXQ65" s="277" t="s">
        <v>1072</v>
      </c>
      <c r="KXR65" s="277" t="s">
        <v>1072</v>
      </c>
      <c r="KXS65" s="277" t="s">
        <v>1072</v>
      </c>
      <c r="KXT65" s="277" t="s">
        <v>1072</v>
      </c>
      <c r="KXU65" s="277" t="s">
        <v>1072</v>
      </c>
      <c r="KXV65" s="277" t="s">
        <v>1072</v>
      </c>
      <c r="KXW65" s="277" t="s">
        <v>1072</v>
      </c>
      <c r="KXX65" s="277" t="s">
        <v>1072</v>
      </c>
      <c r="KXY65" s="277" t="s">
        <v>1072</v>
      </c>
      <c r="KXZ65" s="277" t="s">
        <v>1072</v>
      </c>
      <c r="KYA65" s="277" t="s">
        <v>1072</v>
      </c>
      <c r="KYB65" s="277" t="s">
        <v>1072</v>
      </c>
      <c r="KYC65" s="277" t="s">
        <v>1072</v>
      </c>
      <c r="KYD65" s="277" t="s">
        <v>1072</v>
      </c>
      <c r="KYE65" s="277" t="s">
        <v>1072</v>
      </c>
      <c r="KYF65" s="277" t="s">
        <v>1072</v>
      </c>
      <c r="KYG65" s="277" t="s">
        <v>1072</v>
      </c>
      <c r="KYH65" s="277" t="s">
        <v>1072</v>
      </c>
      <c r="KYI65" s="277" t="s">
        <v>1072</v>
      </c>
      <c r="KYJ65" s="277" t="s">
        <v>1072</v>
      </c>
      <c r="KYK65" s="277" t="s">
        <v>1072</v>
      </c>
      <c r="KYL65" s="277" t="s">
        <v>1072</v>
      </c>
      <c r="KYM65" s="277" t="s">
        <v>1072</v>
      </c>
      <c r="KYN65" s="277" t="s">
        <v>1072</v>
      </c>
      <c r="KYO65" s="277" t="s">
        <v>1072</v>
      </c>
      <c r="KYP65" s="277" t="s">
        <v>1072</v>
      </c>
      <c r="KYQ65" s="277" t="s">
        <v>1072</v>
      </c>
      <c r="KYR65" s="277" t="s">
        <v>1072</v>
      </c>
      <c r="KYS65" s="277" t="s">
        <v>1072</v>
      </c>
      <c r="KYT65" s="277" t="s">
        <v>1072</v>
      </c>
      <c r="KYU65" s="277" t="s">
        <v>1072</v>
      </c>
      <c r="KYV65" s="277" t="s">
        <v>1072</v>
      </c>
      <c r="KYW65" s="277" t="s">
        <v>1072</v>
      </c>
      <c r="KYX65" s="277" t="s">
        <v>1072</v>
      </c>
      <c r="KYY65" s="277" t="s">
        <v>1072</v>
      </c>
      <c r="KYZ65" s="277" t="s">
        <v>1072</v>
      </c>
      <c r="KZA65" s="277" t="s">
        <v>1072</v>
      </c>
      <c r="KZB65" s="277" t="s">
        <v>1072</v>
      </c>
      <c r="KZC65" s="277" t="s">
        <v>1072</v>
      </c>
      <c r="KZD65" s="277" t="s">
        <v>1072</v>
      </c>
      <c r="KZE65" s="277" t="s">
        <v>1072</v>
      </c>
      <c r="KZF65" s="277" t="s">
        <v>1072</v>
      </c>
      <c r="KZG65" s="277" t="s">
        <v>1072</v>
      </c>
      <c r="KZH65" s="277" t="s">
        <v>1072</v>
      </c>
      <c r="KZI65" s="277" t="s">
        <v>1072</v>
      </c>
      <c r="KZJ65" s="277" t="s">
        <v>1072</v>
      </c>
      <c r="KZK65" s="277" t="s">
        <v>1072</v>
      </c>
      <c r="KZL65" s="277" t="s">
        <v>1072</v>
      </c>
      <c r="KZM65" s="277" t="s">
        <v>1072</v>
      </c>
      <c r="KZN65" s="277" t="s">
        <v>1072</v>
      </c>
      <c r="KZO65" s="277" t="s">
        <v>1072</v>
      </c>
      <c r="KZP65" s="277" t="s">
        <v>1072</v>
      </c>
      <c r="KZQ65" s="277" t="s">
        <v>1072</v>
      </c>
      <c r="KZR65" s="277" t="s">
        <v>1072</v>
      </c>
      <c r="KZS65" s="277" t="s">
        <v>1072</v>
      </c>
      <c r="KZT65" s="277" t="s">
        <v>1072</v>
      </c>
      <c r="KZU65" s="277" t="s">
        <v>1072</v>
      </c>
      <c r="KZV65" s="277" t="s">
        <v>1072</v>
      </c>
      <c r="KZW65" s="277" t="s">
        <v>1072</v>
      </c>
      <c r="KZX65" s="277" t="s">
        <v>1072</v>
      </c>
      <c r="KZY65" s="277" t="s">
        <v>1072</v>
      </c>
      <c r="KZZ65" s="277" t="s">
        <v>1072</v>
      </c>
      <c r="LAA65" s="277" t="s">
        <v>1072</v>
      </c>
      <c r="LAB65" s="277" t="s">
        <v>1072</v>
      </c>
      <c r="LAC65" s="277" t="s">
        <v>1072</v>
      </c>
      <c r="LAD65" s="277" t="s">
        <v>1072</v>
      </c>
      <c r="LAE65" s="277" t="s">
        <v>1072</v>
      </c>
      <c r="LAF65" s="277" t="s">
        <v>1072</v>
      </c>
      <c r="LAG65" s="277" t="s">
        <v>1072</v>
      </c>
      <c r="LAH65" s="277" t="s">
        <v>1072</v>
      </c>
      <c r="LAI65" s="277" t="s">
        <v>1072</v>
      </c>
      <c r="LAJ65" s="277" t="s">
        <v>1072</v>
      </c>
      <c r="LAK65" s="277" t="s">
        <v>1072</v>
      </c>
      <c r="LAL65" s="277" t="s">
        <v>1072</v>
      </c>
      <c r="LAM65" s="277" t="s">
        <v>1072</v>
      </c>
      <c r="LAN65" s="277" t="s">
        <v>1072</v>
      </c>
      <c r="LAO65" s="277" t="s">
        <v>1072</v>
      </c>
      <c r="LAP65" s="277" t="s">
        <v>1072</v>
      </c>
      <c r="LAQ65" s="277" t="s">
        <v>1072</v>
      </c>
      <c r="LAR65" s="277" t="s">
        <v>1072</v>
      </c>
      <c r="LAS65" s="277" t="s">
        <v>1072</v>
      </c>
      <c r="LAT65" s="277" t="s">
        <v>1072</v>
      </c>
      <c r="LAU65" s="277" t="s">
        <v>1072</v>
      </c>
      <c r="LAV65" s="277" t="s">
        <v>1072</v>
      </c>
      <c r="LAW65" s="277" t="s">
        <v>1072</v>
      </c>
      <c r="LAX65" s="277" t="s">
        <v>1072</v>
      </c>
      <c r="LAY65" s="277" t="s">
        <v>1072</v>
      </c>
      <c r="LAZ65" s="277" t="s">
        <v>1072</v>
      </c>
      <c r="LBA65" s="277" t="s">
        <v>1072</v>
      </c>
      <c r="LBB65" s="277" t="s">
        <v>1072</v>
      </c>
      <c r="LBC65" s="277" t="s">
        <v>1072</v>
      </c>
      <c r="LBD65" s="277" t="s">
        <v>1072</v>
      </c>
      <c r="LBE65" s="277" t="s">
        <v>1072</v>
      </c>
      <c r="LBF65" s="277" t="s">
        <v>1072</v>
      </c>
      <c r="LBG65" s="277" t="s">
        <v>1072</v>
      </c>
      <c r="LBH65" s="277" t="s">
        <v>1072</v>
      </c>
      <c r="LBI65" s="277" t="s">
        <v>1072</v>
      </c>
      <c r="LBJ65" s="277" t="s">
        <v>1072</v>
      </c>
      <c r="LBK65" s="277" t="s">
        <v>1072</v>
      </c>
      <c r="LBL65" s="277" t="s">
        <v>1072</v>
      </c>
      <c r="LBM65" s="277" t="s">
        <v>1072</v>
      </c>
      <c r="LBN65" s="277" t="s">
        <v>1072</v>
      </c>
      <c r="LBO65" s="277" t="s">
        <v>1072</v>
      </c>
      <c r="LBP65" s="277" t="s">
        <v>1072</v>
      </c>
      <c r="LBQ65" s="277" t="s">
        <v>1072</v>
      </c>
      <c r="LBR65" s="277" t="s">
        <v>1072</v>
      </c>
      <c r="LBS65" s="277" t="s">
        <v>1072</v>
      </c>
      <c r="LBT65" s="277" t="s">
        <v>1072</v>
      </c>
      <c r="LBU65" s="277" t="s">
        <v>1072</v>
      </c>
      <c r="LBV65" s="277" t="s">
        <v>1072</v>
      </c>
      <c r="LBW65" s="277" t="s">
        <v>1072</v>
      </c>
      <c r="LBX65" s="277" t="s">
        <v>1072</v>
      </c>
      <c r="LBY65" s="277" t="s">
        <v>1072</v>
      </c>
      <c r="LBZ65" s="277" t="s">
        <v>1072</v>
      </c>
      <c r="LCA65" s="277" t="s">
        <v>1072</v>
      </c>
      <c r="LCB65" s="277" t="s">
        <v>1072</v>
      </c>
      <c r="LCC65" s="277" t="s">
        <v>1072</v>
      </c>
      <c r="LCD65" s="277" t="s">
        <v>1072</v>
      </c>
      <c r="LCE65" s="277" t="s">
        <v>1072</v>
      </c>
      <c r="LCF65" s="277" t="s">
        <v>1072</v>
      </c>
      <c r="LCG65" s="277" t="s">
        <v>1072</v>
      </c>
      <c r="LCH65" s="277" t="s">
        <v>1072</v>
      </c>
      <c r="LCI65" s="277" t="s">
        <v>1072</v>
      </c>
      <c r="LCJ65" s="277" t="s">
        <v>1072</v>
      </c>
      <c r="LCK65" s="277" t="s">
        <v>1072</v>
      </c>
      <c r="LCL65" s="277" t="s">
        <v>1072</v>
      </c>
      <c r="LCM65" s="277" t="s">
        <v>1072</v>
      </c>
      <c r="LCN65" s="277" t="s">
        <v>1072</v>
      </c>
      <c r="LCO65" s="277" t="s">
        <v>1072</v>
      </c>
      <c r="LCP65" s="277" t="s">
        <v>1072</v>
      </c>
      <c r="LCQ65" s="277" t="s">
        <v>1072</v>
      </c>
      <c r="LCR65" s="277" t="s">
        <v>1072</v>
      </c>
      <c r="LCS65" s="277" t="s">
        <v>1072</v>
      </c>
      <c r="LCT65" s="277" t="s">
        <v>1072</v>
      </c>
      <c r="LCU65" s="277" t="s">
        <v>1072</v>
      </c>
      <c r="LCV65" s="277" t="s">
        <v>1072</v>
      </c>
      <c r="LCW65" s="277" t="s">
        <v>1072</v>
      </c>
      <c r="LCX65" s="277" t="s">
        <v>1072</v>
      </c>
      <c r="LCY65" s="277" t="s">
        <v>1072</v>
      </c>
      <c r="LCZ65" s="277" t="s">
        <v>1072</v>
      </c>
      <c r="LDA65" s="277" t="s">
        <v>1072</v>
      </c>
      <c r="LDB65" s="277" t="s">
        <v>1072</v>
      </c>
      <c r="LDC65" s="277" t="s">
        <v>1072</v>
      </c>
      <c r="LDD65" s="277" t="s">
        <v>1072</v>
      </c>
      <c r="LDE65" s="277" t="s">
        <v>1072</v>
      </c>
      <c r="LDF65" s="277" t="s">
        <v>1072</v>
      </c>
      <c r="LDG65" s="277" t="s">
        <v>1072</v>
      </c>
      <c r="LDH65" s="277" t="s">
        <v>1072</v>
      </c>
      <c r="LDI65" s="277" t="s">
        <v>1072</v>
      </c>
      <c r="LDJ65" s="277" t="s">
        <v>1072</v>
      </c>
      <c r="LDK65" s="277" t="s">
        <v>1072</v>
      </c>
      <c r="LDL65" s="277" t="s">
        <v>1072</v>
      </c>
      <c r="LDM65" s="277" t="s">
        <v>1072</v>
      </c>
      <c r="LDN65" s="277" t="s">
        <v>1072</v>
      </c>
      <c r="LDO65" s="277" t="s">
        <v>1072</v>
      </c>
      <c r="LDP65" s="277" t="s">
        <v>1072</v>
      </c>
      <c r="LDQ65" s="277" t="s">
        <v>1072</v>
      </c>
      <c r="LDR65" s="277" t="s">
        <v>1072</v>
      </c>
      <c r="LDS65" s="277" t="s">
        <v>1072</v>
      </c>
      <c r="LDT65" s="277" t="s">
        <v>1072</v>
      </c>
      <c r="LDU65" s="277" t="s">
        <v>1072</v>
      </c>
      <c r="LDV65" s="277" t="s">
        <v>1072</v>
      </c>
      <c r="LDW65" s="277" t="s">
        <v>1072</v>
      </c>
      <c r="LDX65" s="277" t="s">
        <v>1072</v>
      </c>
      <c r="LDY65" s="277" t="s">
        <v>1072</v>
      </c>
      <c r="LDZ65" s="277" t="s">
        <v>1072</v>
      </c>
      <c r="LEA65" s="277" t="s">
        <v>1072</v>
      </c>
      <c r="LEB65" s="277" t="s">
        <v>1072</v>
      </c>
      <c r="LEC65" s="277" t="s">
        <v>1072</v>
      </c>
      <c r="LED65" s="277" t="s">
        <v>1072</v>
      </c>
      <c r="LEE65" s="277" t="s">
        <v>1072</v>
      </c>
      <c r="LEF65" s="277" t="s">
        <v>1072</v>
      </c>
      <c r="LEG65" s="277" t="s">
        <v>1072</v>
      </c>
      <c r="LEH65" s="277" t="s">
        <v>1072</v>
      </c>
      <c r="LEI65" s="277" t="s">
        <v>1072</v>
      </c>
      <c r="LEJ65" s="277" t="s">
        <v>1072</v>
      </c>
      <c r="LEK65" s="277" t="s">
        <v>1072</v>
      </c>
      <c r="LEL65" s="277" t="s">
        <v>1072</v>
      </c>
      <c r="LEM65" s="277" t="s">
        <v>1072</v>
      </c>
      <c r="LEN65" s="277" t="s">
        <v>1072</v>
      </c>
      <c r="LEO65" s="277" t="s">
        <v>1072</v>
      </c>
      <c r="LEP65" s="277" t="s">
        <v>1072</v>
      </c>
      <c r="LEQ65" s="277" t="s">
        <v>1072</v>
      </c>
      <c r="LER65" s="277" t="s">
        <v>1072</v>
      </c>
      <c r="LES65" s="277" t="s">
        <v>1072</v>
      </c>
      <c r="LET65" s="277" t="s">
        <v>1072</v>
      </c>
      <c r="LEU65" s="277" t="s">
        <v>1072</v>
      </c>
      <c r="LEV65" s="277" t="s">
        <v>1072</v>
      </c>
      <c r="LEW65" s="277" t="s">
        <v>1072</v>
      </c>
      <c r="LEX65" s="277" t="s">
        <v>1072</v>
      </c>
      <c r="LEY65" s="277" t="s">
        <v>1072</v>
      </c>
      <c r="LEZ65" s="277" t="s">
        <v>1072</v>
      </c>
      <c r="LFA65" s="277" t="s">
        <v>1072</v>
      </c>
      <c r="LFB65" s="277" t="s">
        <v>1072</v>
      </c>
      <c r="LFC65" s="277" t="s">
        <v>1072</v>
      </c>
      <c r="LFD65" s="277" t="s">
        <v>1072</v>
      </c>
      <c r="LFE65" s="277" t="s">
        <v>1072</v>
      </c>
      <c r="LFF65" s="277" t="s">
        <v>1072</v>
      </c>
      <c r="LFG65" s="277" t="s">
        <v>1072</v>
      </c>
      <c r="LFH65" s="277" t="s">
        <v>1072</v>
      </c>
      <c r="LFI65" s="277" t="s">
        <v>1072</v>
      </c>
      <c r="LFJ65" s="277" t="s">
        <v>1072</v>
      </c>
      <c r="LFK65" s="277" t="s">
        <v>1072</v>
      </c>
      <c r="LFL65" s="277" t="s">
        <v>1072</v>
      </c>
      <c r="LFM65" s="277" t="s">
        <v>1072</v>
      </c>
      <c r="LFN65" s="277" t="s">
        <v>1072</v>
      </c>
      <c r="LFO65" s="277" t="s">
        <v>1072</v>
      </c>
      <c r="LFP65" s="277" t="s">
        <v>1072</v>
      </c>
      <c r="LFQ65" s="277" t="s">
        <v>1072</v>
      </c>
      <c r="LFR65" s="277" t="s">
        <v>1072</v>
      </c>
      <c r="LFS65" s="277" t="s">
        <v>1072</v>
      </c>
      <c r="LFT65" s="277" t="s">
        <v>1072</v>
      </c>
      <c r="LFU65" s="277" t="s">
        <v>1072</v>
      </c>
      <c r="LFV65" s="277" t="s">
        <v>1072</v>
      </c>
      <c r="LFW65" s="277" t="s">
        <v>1072</v>
      </c>
      <c r="LFX65" s="277" t="s">
        <v>1072</v>
      </c>
      <c r="LFY65" s="277" t="s">
        <v>1072</v>
      </c>
      <c r="LFZ65" s="277" t="s">
        <v>1072</v>
      </c>
      <c r="LGA65" s="277" t="s">
        <v>1072</v>
      </c>
      <c r="LGB65" s="277" t="s">
        <v>1072</v>
      </c>
      <c r="LGC65" s="277" t="s">
        <v>1072</v>
      </c>
      <c r="LGD65" s="277" t="s">
        <v>1072</v>
      </c>
      <c r="LGE65" s="277" t="s">
        <v>1072</v>
      </c>
      <c r="LGF65" s="277" t="s">
        <v>1072</v>
      </c>
      <c r="LGG65" s="277" t="s">
        <v>1072</v>
      </c>
      <c r="LGH65" s="277" t="s">
        <v>1072</v>
      </c>
      <c r="LGI65" s="277" t="s">
        <v>1072</v>
      </c>
      <c r="LGJ65" s="277" t="s">
        <v>1072</v>
      </c>
      <c r="LGK65" s="277" t="s">
        <v>1072</v>
      </c>
      <c r="LGL65" s="277" t="s">
        <v>1072</v>
      </c>
      <c r="LGM65" s="277" t="s">
        <v>1072</v>
      </c>
      <c r="LGN65" s="277" t="s">
        <v>1072</v>
      </c>
      <c r="LGO65" s="277" t="s">
        <v>1072</v>
      </c>
      <c r="LGP65" s="277" t="s">
        <v>1072</v>
      </c>
      <c r="LGQ65" s="277" t="s">
        <v>1072</v>
      </c>
      <c r="LGR65" s="277" t="s">
        <v>1072</v>
      </c>
      <c r="LGS65" s="277" t="s">
        <v>1072</v>
      </c>
      <c r="LGT65" s="277" t="s">
        <v>1072</v>
      </c>
      <c r="LGU65" s="277" t="s">
        <v>1072</v>
      </c>
      <c r="LGV65" s="277" t="s">
        <v>1072</v>
      </c>
      <c r="LGW65" s="277" t="s">
        <v>1072</v>
      </c>
      <c r="LGX65" s="277" t="s">
        <v>1072</v>
      </c>
      <c r="LGY65" s="277" t="s">
        <v>1072</v>
      </c>
      <c r="LGZ65" s="277" t="s">
        <v>1072</v>
      </c>
      <c r="LHA65" s="277" t="s">
        <v>1072</v>
      </c>
      <c r="LHB65" s="277" t="s">
        <v>1072</v>
      </c>
      <c r="LHC65" s="277" t="s">
        <v>1072</v>
      </c>
      <c r="LHD65" s="277" t="s">
        <v>1072</v>
      </c>
      <c r="LHE65" s="277" t="s">
        <v>1072</v>
      </c>
      <c r="LHF65" s="277" t="s">
        <v>1072</v>
      </c>
      <c r="LHG65" s="277" t="s">
        <v>1072</v>
      </c>
      <c r="LHH65" s="277" t="s">
        <v>1072</v>
      </c>
      <c r="LHI65" s="277" t="s">
        <v>1072</v>
      </c>
      <c r="LHJ65" s="277" t="s">
        <v>1072</v>
      </c>
      <c r="LHK65" s="277" t="s">
        <v>1072</v>
      </c>
      <c r="LHL65" s="277" t="s">
        <v>1072</v>
      </c>
      <c r="LHM65" s="277" t="s">
        <v>1072</v>
      </c>
      <c r="LHN65" s="277" t="s">
        <v>1072</v>
      </c>
      <c r="LHO65" s="277" t="s">
        <v>1072</v>
      </c>
      <c r="LHP65" s="277" t="s">
        <v>1072</v>
      </c>
      <c r="LHQ65" s="277" t="s">
        <v>1072</v>
      </c>
      <c r="LHR65" s="277" t="s">
        <v>1072</v>
      </c>
      <c r="LHS65" s="277" t="s">
        <v>1072</v>
      </c>
      <c r="LHT65" s="277" t="s">
        <v>1072</v>
      </c>
      <c r="LHU65" s="277" t="s">
        <v>1072</v>
      </c>
      <c r="LHV65" s="277" t="s">
        <v>1072</v>
      </c>
      <c r="LHW65" s="277" t="s">
        <v>1072</v>
      </c>
      <c r="LHX65" s="277" t="s">
        <v>1072</v>
      </c>
      <c r="LHY65" s="277" t="s">
        <v>1072</v>
      </c>
      <c r="LHZ65" s="277" t="s">
        <v>1072</v>
      </c>
      <c r="LIA65" s="277" t="s">
        <v>1072</v>
      </c>
      <c r="LIB65" s="277" t="s">
        <v>1072</v>
      </c>
      <c r="LIC65" s="277" t="s">
        <v>1072</v>
      </c>
      <c r="LID65" s="277" t="s">
        <v>1072</v>
      </c>
      <c r="LIE65" s="277" t="s">
        <v>1072</v>
      </c>
      <c r="LIF65" s="277" t="s">
        <v>1072</v>
      </c>
      <c r="LIG65" s="277" t="s">
        <v>1072</v>
      </c>
      <c r="LIH65" s="277" t="s">
        <v>1072</v>
      </c>
      <c r="LII65" s="277" t="s">
        <v>1072</v>
      </c>
      <c r="LIJ65" s="277" t="s">
        <v>1072</v>
      </c>
      <c r="LIK65" s="277" t="s">
        <v>1072</v>
      </c>
      <c r="LIL65" s="277" t="s">
        <v>1072</v>
      </c>
      <c r="LIM65" s="277" t="s">
        <v>1072</v>
      </c>
      <c r="LIN65" s="277" t="s">
        <v>1072</v>
      </c>
      <c r="LIO65" s="277" t="s">
        <v>1072</v>
      </c>
      <c r="LIP65" s="277" t="s">
        <v>1072</v>
      </c>
      <c r="LIQ65" s="277" t="s">
        <v>1072</v>
      </c>
      <c r="LIR65" s="277" t="s">
        <v>1072</v>
      </c>
      <c r="LIS65" s="277" t="s">
        <v>1072</v>
      </c>
      <c r="LIT65" s="277" t="s">
        <v>1072</v>
      </c>
      <c r="LIU65" s="277" t="s">
        <v>1072</v>
      </c>
      <c r="LIV65" s="277" t="s">
        <v>1072</v>
      </c>
      <c r="LIW65" s="277" t="s">
        <v>1072</v>
      </c>
      <c r="LIX65" s="277" t="s">
        <v>1072</v>
      </c>
      <c r="LIY65" s="277" t="s">
        <v>1072</v>
      </c>
      <c r="LIZ65" s="277" t="s">
        <v>1072</v>
      </c>
      <c r="LJA65" s="277" t="s">
        <v>1072</v>
      </c>
      <c r="LJB65" s="277" t="s">
        <v>1072</v>
      </c>
      <c r="LJC65" s="277" t="s">
        <v>1072</v>
      </c>
      <c r="LJD65" s="277" t="s">
        <v>1072</v>
      </c>
      <c r="LJE65" s="277" t="s">
        <v>1072</v>
      </c>
      <c r="LJF65" s="277" t="s">
        <v>1072</v>
      </c>
      <c r="LJG65" s="277" t="s">
        <v>1072</v>
      </c>
      <c r="LJH65" s="277" t="s">
        <v>1072</v>
      </c>
      <c r="LJI65" s="277" t="s">
        <v>1072</v>
      </c>
      <c r="LJJ65" s="277" t="s">
        <v>1072</v>
      </c>
      <c r="LJK65" s="277" t="s">
        <v>1072</v>
      </c>
      <c r="LJL65" s="277" t="s">
        <v>1072</v>
      </c>
      <c r="LJM65" s="277" t="s">
        <v>1072</v>
      </c>
      <c r="LJN65" s="277" t="s">
        <v>1072</v>
      </c>
      <c r="LJO65" s="277" t="s">
        <v>1072</v>
      </c>
      <c r="LJP65" s="277" t="s">
        <v>1072</v>
      </c>
      <c r="LJQ65" s="277" t="s">
        <v>1072</v>
      </c>
      <c r="LJR65" s="277" t="s">
        <v>1072</v>
      </c>
      <c r="LJS65" s="277" t="s">
        <v>1072</v>
      </c>
      <c r="LJT65" s="277" t="s">
        <v>1072</v>
      </c>
      <c r="LJU65" s="277" t="s">
        <v>1072</v>
      </c>
      <c r="LJV65" s="277" t="s">
        <v>1072</v>
      </c>
      <c r="LJW65" s="277" t="s">
        <v>1072</v>
      </c>
      <c r="LJX65" s="277" t="s">
        <v>1072</v>
      </c>
      <c r="LJY65" s="277" t="s">
        <v>1072</v>
      </c>
      <c r="LJZ65" s="277" t="s">
        <v>1072</v>
      </c>
      <c r="LKA65" s="277" t="s">
        <v>1072</v>
      </c>
      <c r="LKB65" s="277" t="s">
        <v>1072</v>
      </c>
      <c r="LKC65" s="277" t="s">
        <v>1072</v>
      </c>
      <c r="LKD65" s="277" t="s">
        <v>1072</v>
      </c>
      <c r="LKE65" s="277" t="s">
        <v>1072</v>
      </c>
      <c r="LKF65" s="277" t="s">
        <v>1072</v>
      </c>
      <c r="LKG65" s="277" t="s">
        <v>1072</v>
      </c>
      <c r="LKH65" s="277" t="s">
        <v>1072</v>
      </c>
      <c r="LKI65" s="277" t="s">
        <v>1072</v>
      </c>
      <c r="LKJ65" s="277" t="s">
        <v>1072</v>
      </c>
      <c r="LKK65" s="277" t="s">
        <v>1072</v>
      </c>
      <c r="LKL65" s="277" t="s">
        <v>1072</v>
      </c>
      <c r="LKM65" s="277" t="s">
        <v>1072</v>
      </c>
      <c r="LKN65" s="277" t="s">
        <v>1072</v>
      </c>
      <c r="LKO65" s="277" t="s">
        <v>1072</v>
      </c>
      <c r="LKP65" s="277" t="s">
        <v>1072</v>
      </c>
      <c r="LKQ65" s="277" t="s">
        <v>1072</v>
      </c>
      <c r="LKR65" s="277" t="s">
        <v>1072</v>
      </c>
      <c r="LKS65" s="277" t="s">
        <v>1072</v>
      </c>
      <c r="LKT65" s="277" t="s">
        <v>1072</v>
      </c>
      <c r="LKU65" s="277" t="s">
        <v>1072</v>
      </c>
      <c r="LKV65" s="277" t="s">
        <v>1072</v>
      </c>
      <c r="LKW65" s="277" t="s">
        <v>1072</v>
      </c>
      <c r="LKX65" s="277" t="s">
        <v>1072</v>
      </c>
      <c r="LKY65" s="277" t="s">
        <v>1072</v>
      </c>
      <c r="LKZ65" s="277" t="s">
        <v>1072</v>
      </c>
      <c r="LLA65" s="277" t="s">
        <v>1072</v>
      </c>
      <c r="LLB65" s="277" t="s">
        <v>1072</v>
      </c>
      <c r="LLC65" s="277" t="s">
        <v>1072</v>
      </c>
      <c r="LLD65" s="277" t="s">
        <v>1072</v>
      </c>
      <c r="LLE65" s="277" t="s">
        <v>1072</v>
      </c>
      <c r="LLF65" s="277" t="s">
        <v>1072</v>
      </c>
      <c r="LLG65" s="277" t="s">
        <v>1072</v>
      </c>
      <c r="LLH65" s="277" t="s">
        <v>1072</v>
      </c>
      <c r="LLI65" s="277" t="s">
        <v>1072</v>
      </c>
      <c r="LLJ65" s="277" t="s">
        <v>1072</v>
      </c>
      <c r="LLK65" s="277" t="s">
        <v>1072</v>
      </c>
      <c r="LLL65" s="277" t="s">
        <v>1072</v>
      </c>
      <c r="LLM65" s="277" t="s">
        <v>1072</v>
      </c>
      <c r="LLN65" s="277" t="s">
        <v>1072</v>
      </c>
      <c r="LLO65" s="277" t="s">
        <v>1072</v>
      </c>
      <c r="LLP65" s="277" t="s">
        <v>1072</v>
      </c>
      <c r="LLQ65" s="277" t="s">
        <v>1072</v>
      </c>
      <c r="LLR65" s="277" t="s">
        <v>1072</v>
      </c>
      <c r="LLS65" s="277" t="s">
        <v>1072</v>
      </c>
      <c r="LLT65" s="277" t="s">
        <v>1072</v>
      </c>
      <c r="LLU65" s="277" t="s">
        <v>1072</v>
      </c>
      <c r="LLV65" s="277" t="s">
        <v>1072</v>
      </c>
      <c r="LLW65" s="277" t="s">
        <v>1072</v>
      </c>
      <c r="LLX65" s="277" t="s">
        <v>1072</v>
      </c>
      <c r="LLY65" s="277" t="s">
        <v>1072</v>
      </c>
      <c r="LLZ65" s="277" t="s">
        <v>1072</v>
      </c>
      <c r="LMA65" s="277" t="s">
        <v>1072</v>
      </c>
      <c r="LMB65" s="277" t="s">
        <v>1072</v>
      </c>
      <c r="LMC65" s="277" t="s">
        <v>1072</v>
      </c>
      <c r="LMD65" s="277" t="s">
        <v>1072</v>
      </c>
      <c r="LME65" s="277" t="s">
        <v>1072</v>
      </c>
      <c r="LMF65" s="277" t="s">
        <v>1072</v>
      </c>
      <c r="LMG65" s="277" t="s">
        <v>1072</v>
      </c>
      <c r="LMH65" s="277" t="s">
        <v>1072</v>
      </c>
      <c r="LMI65" s="277" t="s">
        <v>1072</v>
      </c>
      <c r="LMJ65" s="277" t="s">
        <v>1072</v>
      </c>
      <c r="LMK65" s="277" t="s">
        <v>1072</v>
      </c>
      <c r="LML65" s="277" t="s">
        <v>1072</v>
      </c>
      <c r="LMM65" s="277" t="s">
        <v>1072</v>
      </c>
      <c r="LMN65" s="277" t="s">
        <v>1072</v>
      </c>
      <c r="LMO65" s="277" t="s">
        <v>1072</v>
      </c>
      <c r="LMP65" s="277" t="s">
        <v>1072</v>
      </c>
      <c r="LMQ65" s="277" t="s">
        <v>1072</v>
      </c>
      <c r="LMR65" s="277" t="s">
        <v>1072</v>
      </c>
      <c r="LMS65" s="277" t="s">
        <v>1072</v>
      </c>
      <c r="LMT65" s="277" t="s">
        <v>1072</v>
      </c>
      <c r="LMU65" s="277" t="s">
        <v>1072</v>
      </c>
      <c r="LMV65" s="277" t="s">
        <v>1072</v>
      </c>
      <c r="LMW65" s="277" t="s">
        <v>1072</v>
      </c>
      <c r="LMX65" s="277" t="s">
        <v>1072</v>
      </c>
      <c r="LMY65" s="277" t="s">
        <v>1072</v>
      </c>
      <c r="LMZ65" s="277" t="s">
        <v>1072</v>
      </c>
      <c r="LNA65" s="277" t="s">
        <v>1072</v>
      </c>
      <c r="LNB65" s="277" t="s">
        <v>1072</v>
      </c>
      <c r="LNC65" s="277" t="s">
        <v>1072</v>
      </c>
      <c r="LND65" s="277" t="s">
        <v>1072</v>
      </c>
      <c r="LNE65" s="277" t="s">
        <v>1072</v>
      </c>
      <c r="LNF65" s="277" t="s">
        <v>1072</v>
      </c>
      <c r="LNG65" s="277" t="s">
        <v>1072</v>
      </c>
      <c r="LNH65" s="277" t="s">
        <v>1072</v>
      </c>
      <c r="LNI65" s="277" t="s">
        <v>1072</v>
      </c>
      <c r="LNJ65" s="277" t="s">
        <v>1072</v>
      </c>
      <c r="LNK65" s="277" t="s">
        <v>1072</v>
      </c>
      <c r="LNL65" s="277" t="s">
        <v>1072</v>
      </c>
      <c r="LNM65" s="277" t="s">
        <v>1072</v>
      </c>
      <c r="LNN65" s="277" t="s">
        <v>1072</v>
      </c>
      <c r="LNO65" s="277" t="s">
        <v>1072</v>
      </c>
      <c r="LNP65" s="277" t="s">
        <v>1072</v>
      </c>
      <c r="LNQ65" s="277" t="s">
        <v>1072</v>
      </c>
      <c r="LNR65" s="277" t="s">
        <v>1072</v>
      </c>
      <c r="LNS65" s="277" t="s">
        <v>1072</v>
      </c>
      <c r="LNT65" s="277" t="s">
        <v>1072</v>
      </c>
      <c r="LNU65" s="277" t="s">
        <v>1072</v>
      </c>
      <c r="LNV65" s="277" t="s">
        <v>1072</v>
      </c>
      <c r="LNW65" s="277" t="s">
        <v>1072</v>
      </c>
      <c r="LNX65" s="277" t="s">
        <v>1072</v>
      </c>
      <c r="LNY65" s="277" t="s">
        <v>1072</v>
      </c>
      <c r="LNZ65" s="277" t="s">
        <v>1072</v>
      </c>
      <c r="LOA65" s="277" t="s">
        <v>1072</v>
      </c>
      <c r="LOB65" s="277" t="s">
        <v>1072</v>
      </c>
      <c r="LOC65" s="277" t="s">
        <v>1072</v>
      </c>
      <c r="LOD65" s="277" t="s">
        <v>1072</v>
      </c>
      <c r="LOE65" s="277" t="s">
        <v>1072</v>
      </c>
      <c r="LOF65" s="277" t="s">
        <v>1072</v>
      </c>
      <c r="LOG65" s="277" t="s">
        <v>1072</v>
      </c>
      <c r="LOH65" s="277" t="s">
        <v>1072</v>
      </c>
      <c r="LOI65" s="277" t="s">
        <v>1072</v>
      </c>
      <c r="LOJ65" s="277" t="s">
        <v>1072</v>
      </c>
      <c r="LOK65" s="277" t="s">
        <v>1072</v>
      </c>
      <c r="LOL65" s="277" t="s">
        <v>1072</v>
      </c>
      <c r="LOM65" s="277" t="s">
        <v>1072</v>
      </c>
      <c r="LON65" s="277" t="s">
        <v>1072</v>
      </c>
      <c r="LOO65" s="277" t="s">
        <v>1072</v>
      </c>
      <c r="LOP65" s="277" t="s">
        <v>1072</v>
      </c>
      <c r="LOQ65" s="277" t="s">
        <v>1072</v>
      </c>
      <c r="LOR65" s="277" t="s">
        <v>1072</v>
      </c>
      <c r="LOS65" s="277" t="s">
        <v>1072</v>
      </c>
      <c r="LOT65" s="277" t="s">
        <v>1072</v>
      </c>
      <c r="LOU65" s="277" t="s">
        <v>1072</v>
      </c>
      <c r="LOV65" s="277" t="s">
        <v>1072</v>
      </c>
      <c r="LOW65" s="277" t="s">
        <v>1072</v>
      </c>
      <c r="LOX65" s="277" t="s">
        <v>1072</v>
      </c>
      <c r="LOY65" s="277" t="s">
        <v>1072</v>
      </c>
      <c r="LOZ65" s="277" t="s">
        <v>1072</v>
      </c>
      <c r="LPA65" s="277" t="s">
        <v>1072</v>
      </c>
      <c r="LPB65" s="277" t="s">
        <v>1072</v>
      </c>
      <c r="LPC65" s="277" t="s">
        <v>1072</v>
      </c>
      <c r="LPD65" s="277" t="s">
        <v>1072</v>
      </c>
      <c r="LPE65" s="277" t="s">
        <v>1072</v>
      </c>
      <c r="LPF65" s="277" t="s">
        <v>1072</v>
      </c>
      <c r="LPG65" s="277" t="s">
        <v>1072</v>
      </c>
      <c r="LPH65" s="277" t="s">
        <v>1072</v>
      </c>
      <c r="LPI65" s="277" t="s">
        <v>1072</v>
      </c>
      <c r="LPJ65" s="277" t="s">
        <v>1072</v>
      </c>
      <c r="LPK65" s="277" t="s">
        <v>1072</v>
      </c>
      <c r="LPL65" s="277" t="s">
        <v>1072</v>
      </c>
      <c r="LPM65" s="277" t="s">
        <v>1072</v>
      </c>
      <c r="LPN65" s="277" t="s">
        <v>1072</v>
      </c>
      <c r="LPO65" s="277" t="s">
        <v>1072</v>
      </c>
      <c r="LPP65" s="277" t="s">
        <v>1072</v>
      </c>
      <c r="LPQ65" s="277" t="s">
        <v>1072</v>
      </c>
      <c r="LPR65" s="277" t="s">
        <v>1072</v>
      </c>
      <c r="LPS65" s="277" t="s">
        <v>1072</v>
      </c>
      <c r="LPT65" s="277" t="s">
        <v>1072</v>
      </c>
      <c r="LPU65" s="277" t="s">
        <v>1072</v>
      </c>
      <c r="LPV65" s="277" t="s">
        <v>1072</v>
      </c>
      <c r="LPW65" s="277" t="s">
        <v>1072</v>
      </c>
      <c r="LPX65" s="277" t="s">
        <v>1072</v>
      </c>
      <c r="LPY65" s="277" t="s">
        <v>1072</v>
      </c>
      <c r="LPZ65" s="277" t="s">
        <v>1072</v>
      </c>
      <c r="LQA65" s="277" t="s">
        <v>1072</v>
      </c>
      <c r="LQB65" s="277" t="s">
        <v>1072</v>
      </c>
      <c r="LQC65" s="277" t="s">
        <v>1072</v>
      </c>
      <c r="LQD65" s="277" t="s">
        <v>1072</v>
      </c>
      <c r="LQE65" s="277" t="s">
        <v>1072</v>
      </c>
      <c r="LQF65" s="277" t="s">
        <v>1072</v>
      </c>
      <c r="LQG65" s="277" t="s">
        <v>1072</v>
      </c>
      <c r="LQH65" s="277" t="s">
        <v>1072</v>
      </c>
      <c r="LQI65" s="277" t="s">
        <v>1072</v>
      </c>
      <c r="LQJ65" s="277" t="s">
        <v>1072</v>
      </c>
      <c r="LQK65" s="277" t="s">
        <v>1072</v>
      </c>
      <c r="LQL65" s="277" t="s">
        <v>1072</v>
      </c>
      <c r="LQM65" s="277" t="s">
        <v>1072</v>
      </c>
      <c r="LQN65" s="277" t="s">
        <v>1072</v>
      </c>
      <c r="LQO65" s="277" t="s">
        <v>1072</v>
      </c>
      <c r="LQP65" s="277" t="s">
        <v>1072</v>
      </c>
      <c r="LQQ65" s="277" t="s">
        <v>1072</v>
      </c>
      <c r="LQR65" s="277" t="s">
        <v>1072</v>
      </c>
      <c r="LQS65" s="277" t="s">
        <v>1072</v>
      </c>
      <c r="LQT65" s="277" t="s">
        <v>1072</v>
      </c>
      <c r="LQU65" s="277" t="s">
        <v>1072</v>
      </c>
      <c r="LQV65" s="277" t="s">
        <v>1072</v>
      </c>
      <c r="LQW65" s="277" t="s">
        <v>1072</v>
      </c>
      <c r="LQX65" s="277" t="s">
        <v>1072</v>
      </c>
      <c r="LQY65" s="277" t="s">
        <v>1072</v>
      </c>
      <c r="LQZ65" s="277" t="s">
        <v>1072</v>
      </c>
      <c r="LRA65" s="277" t="s">
        <v>1072</v>
      </c>
      <c r="LRB65" s="277" t="s">
        <v>1072</v>
      </c>
      <c r="LRC65" s="277" t="s">
        <v>1072</v>
      </c>
      <c r="LRD65" s="277" t="s">
        <v>1072</v>
      </c>
      <c r="LRE65" s="277" t="s">
        <v>1072</v>
      </c>
      <c r="LRF65" s="277" t="s">
        <v>1072</v>
      </c>
      <c r="LRG65" s="277" t="s">
        <v>1072</v>
      </c>
      <c r="LRH65" s="277" t="s">
        <v>1072</v>
      </c>
      <c r="LRI65" s="277" t="s">
        <v>1072</v>
      </c>
      <c r="LRJ65" s="277" t="s">
        <v>1072</v>
      </c>
      <c r="LRK65" s="277" t="s">
        <v>1072</v>
      </c>
      <c r="LRL65" s="277" t="s">
        <v>1072</v>
      </c>
      <c r="LRM65" s="277" t="s">
        <v>1072</v>
      </c>
      <c r="LRN65" s="277" t="s">
        <v>1072</v>
      </c>
      <c r="LRO65" s="277" t="s">
        <v>1072</v>
      </c>
      <c r="LRP65" s="277" t="s">
        <v>1072</v>
      </c>
      <c r="LRQ65" s="277" t="s">
        <v>1072</v>
      </c>
      <c r="LRR65" s="277" t="s">
        <v>1072</v>
      </c>
      <c r="LRS65" s="277" t="s">
        <v>1072</v>
      </c>
      <c r="LRT65" s="277" t="s">
        <v>1072</v>
      </c>
      <c r="LRU65" s="277" t="s">
        <v>1072</v>
      </c>
      <c r="LRV65" s="277" t="s">
        <v>1072</v>
      </c>
      <c r="LRW65" s="277" t="s">
        <v>1072</v>
      </c>
      <c r="LRX65" s="277" t="s">
        <v>1072</v>
      </c>
      <c r="LRY65" s="277" t="s">
        <v>1072</v>
      </c>
      <c r="LRZ65" s="277" t="s">
        <v>1072</v>
      </c>
      <c r="LSA65" s="277" t="s">
        <v>1072</v>
      </c>
      <c r="LSB65" s="277" t="s">
        <v>1072</v>
      </c>
      <c r="LSC65" s="277" t="s">
        <v>1072</v>
      </c>
      <c r="LSD65" s="277" t="s">
        <v>1072</v>
      </c>
      <c r="LSE65" s="277" t="s">
        <v>1072</v>
      </c>
      <c r="LSF65" s="277" t="s">
        <v>1072</v>
      </c>
      <c r="LSG65" s="277" t="s">
        <v>1072</v>
      </c>
      <c r="LSH65" s="277" t="s">
        <v>1072</v>
      </c>
      <c r="LSI65" s="277" t="s">
        <v>1072</v>
      </c>
      <c r="LSJ65" s="277" t="s">
        <v>1072</v>
      </c>
      <c r="LSK65" s="277" t="s">
        <v>1072</v>
      </c>
      <c r="LSL65" s="277" t="s">
        <v>1072</v>
      </c>
      <c r="LSM65" s="277" t="s">
        <v>1072</v>
      </c>
      <c r="LSN65" s="277" t="s">
        <v>1072</v>
      </c>
      <c r="LSO65" s="277" t="s">
        <v>1072</v>
      </c>
      <c r="LSP65" s="277" t="s">
        <v>1072</v>
      </c>
      <c r="LSQ65" s="277" t="s">
        <v>1072</v>
      </c>
      <c r="LSR65" s="277" t="s">
        <v>1072</v>
      </c>
      <c r="LSS65" s="277" t="s">
        <v>1072</v>
      </c>
      <c r="LST65" s="277" t="s">
        <v>1072</v>
      </c>
      <c r="LSU65" s="277" t="s">
        <v>1072</v>
      </c>
      <c r="LSV65" s="277" t="s">
        <v>1072</v>
      </c>
      <c r="LSW65" s="277" t="s">
        <v>1072</v>
      </c>
      <c r="LSX65" s="277" t="s">
        <v>1072</v>
      </c>
      <c r="LSY65" s="277" t="s">
        <v>1072</v>
      </c>
      <c r="LSZ65" s="277" t="s">
        <v>1072</v>
      </c>
      <c r="LTA65" s="277" t="s">
        <v>1072</v>
      </c>
      <c r="LTB65" s="277" t="s">
        <v>1072</v>
      </c>
      <c r="LTC65" s="277" t="s">
        <v>1072</v>
      </c>
      <c r="LTD65" s="277" t="s">
        <v>1072</v>
      </c>
      <c r="LTE65" s="277" t="s">
        <v>1072</v>
      </c>
      <c r="LTF65" s="277" t="s">
        <v>1072</v>
      </c>
      <c r="LTG65" s="277" t="s">
        <v>1072</v>
      </c>
      <c r="LTH65" s="277" t="s">
        <v>1072</v>
      </c>
      <c r="LTI65" s="277" t="s">
        <v>1072</v>
      </c>
      <c r="LTJ65" s="277" t="s">
        <v>1072</v>
      </c>
      <c r="LTK65" s="277" t="s">
        <v>1072</v>
      </c>
      <c r="LTL65" s="277" t="s">
        <v>1072</v>
      </c>
      <c r="LTM65" s="277" t="s">
        <v>1072</v>
      </c>
      <c r="LTN65" s="277" t="s">
        <v>1072</v>
      </c>
      <c r="LTO65" s="277" t="s">
        <v>1072</v>
      </c>
      <c r="LTP65" s="277" t="s">
        <v>1072</v>
      </c>
      <c r="LTQ65" s="277" t="s">
        <v>1072</v>
      </c>
      <c r="LTR65" s="277" t="s">
        <v>1072</v>
      </c>
      <c r="LTS65" s="277" t="s">
        <v>1072</v>
      </c>
      <c r="LTT65" s="277" t="s">
        <v>1072</v>
      </c>
      <c r="LTU65" s="277" t="s">
        <v>1072</v>
      </c>
      <c r="LTV65" s="277" t="s">
        <v>1072</v>
      </c>
      <c r="LTW65" s="277" t="s">
        <v>1072</v>
      </c>
      <c r="LTX65" s="277" t="s">
        <v>1072</v>
      </c>
      <c r="LTY65" s="277" t="s">
        <v>1072</v>
      </c>
      <c r="LTZ65" s="277" t="s">
        <v>1072</v>
      </c>
      <c r="LUA65" s="277" t="s">
        <v>1072</v>
      </c>
      <c r="LUB65" s="277" t="s">
        <v>1072</v>
      </c>
      <c r="LUC65" s="277" t="s">
        <v>1072</v>
      </c>
      <c r="LUD65" s="277" t="s">
        <v>1072</v>
      </c>
      <c r="LUE65" s="277" t="s">
        <v>1072</v>
      </c>
      <c r="LUF65" s="277" t="s">
        <v>1072</v>
      </c>
      <c r="LUG65" s="277" t="s">
        <v>1072</v>
      </c>
      <c r="LUH65" s="277" t="s">
        <v>1072</v>
      </c>
      <c r="LUI65" s="277" t="s">
        <v>1072</v>
      </c>
      <c r="LUJ65" s="277" t="s">
        <v>1072</v>
      </c>
      <c r="LUK65" s="277" t="s">
        <v>1072</v>
      </c>
      <c r="LUL65" s="277" t="s">
        <v>1072</v>
      </c>
      <c r="LUM65" s="277" t="s">
        <v>1072</v>
      </c>
      <c r="LUN65" s="277" t="s">
        <v>1072</v>
      </c>
      <c r="LUO65" s="277" t="s">
        <v>1072</v>
      </c>
      <c r="LUP65" s="277" t="s">
        <v>1072</v>
      </c>
      <c r="LUQ65" s="277" t="s">
        <v>1072</v>
      </c>
      <c r="LUR65" s="277" t="s">
        <v>1072</v>
      </c>
      <c r="LUS65" s="277" t="s">
        <v>1072</v>
      </c>
      <c r="LUT65" s="277" t="s">
        <v>1072</v>
      </c>
      <c r="LUU65" s="277" t="s">
        <v>1072</v>
      </c>
      <c r="LUV65" s="277" t="s">
        <v>1072</v>
      </c>
      <c r="LUW65" s="277" t="s">
        <v>1072</v>
      </c>
      <c r="LUX65" s="277" t="s">
        <v>1072</v>
      </c>
      <c r="LUY65" s="277" t="s">
        <v>1072</v>
      </c>
      <c r="LUZ65" s="277" t="s">
        <v>1072</v>
      </c>
      <c r="LVA65" s="277" t="s">
        <v>1072</v>
      </c>
      <c r="LVB65" s="277" t="s">
        <v>1072</v>
      </c>
      <c r="LVC65" s="277" t="s">
        <v>1072</v>
      </c>
      <c r="LVD65" s="277" t="s">
        <v>1072</v>
      </c>
      <c r="LVE65" s="277" t="s">
        <v>1072</v>
      </c>
      <c r="LVF65" s="277" t="s">
        <v>1072</v>
      </c>
      <c r="LVG65" s="277" t="s">
        <v>1072</v>
      </c>
      <c r="LVH65" s="277" t="s">
        <v>1072</v>
      </c>
      <c r="LVI65" s="277" t="s">
        <v>1072</v>
      </c>
      <c r="LVJ65" s="277" t="s">
        <v>1072</v>
      </c>
      <c r="LVK65" s="277" t="s">
        <v>1072</v>
      </c>
      <c r="LVL65" s="277" t="s">
        <v>1072</v>
      </c>
      <c r="LVM65" s="277" t="s">
        <v>1072</v>
      </c>
      <c r="LVN65" s="277" t="s">
        <v>1072</v>
      </c>
      <c r="LVO65" s="277" t="s">
        <v>1072</v>
      </c>
      <c r="LVP65" s="277" t="s">
        <v>1072</v>
      </c>
      <c r="LVQ65" s="277" t="s">
        <v>1072</v>
      </c>
      <c r="LVR65" s="277" t="s">
        <v>1072</v>
      </c>
      <c r="LVS65" s="277" t="s">
        <v>1072</v>
      </c>
      <c r="LVT65" s="277" t="s">
        <v>1072</v>
      </c>
      <c r="LVU65" s="277" t="s">
        <v>1072</v>
      </c>
      <c r="LVV65" s="277" t="s">
        <v>1072</v>
      </c>
      <c r="LVW65" s="277" t="s">
        <v>1072</v>
      </c>
      <c r="LVX65" s="277" t="s">
        <v>1072</v>
      </c>
      <c r="LVY65" s="277" t="s">
        <v>1072</v>
      </c>
      <c r="LVZ65" s="277" t="s">
        <v>1072</v>
      </c>
      <c r="LWA65" s="277" t="s">
        <v>1072</v>
      </c>
      <c r="LWB65" s="277" t="s">
        <v>1072</v>
      </c>
      <c r="LWC65" s="277" t="s">
        <v>1072</v>
      </c>
      <c r="LWD65" s="277" t="s">
        <v>1072</v>
      </c>
      <c r="LWE65" s="277" t="s">
        <v>1072</v>
      </c>
      <c r="LWF65" s="277" t="s">
        <v>1072</v>
      </c>
      <c r="LWG65" s="277" t="s">
        <v>1072</v>
      </c>
      <c r="LWH65" s="277" t="s">
        <v>1072</v>
      </c>
      <c r="LWI65" s="277" t="s">
        <v>1072</v>
      </c>
      <c r="LWJ65" s="277" t="s">
        <v>1072</v>
      </c>
      <c r="LWK65" s="277" t="s">
        <v>1072</v>
      </c>
      <c r="LWL65" s="277" t="s">
        <v>1072</v>
      </c>
      <c r="LWM65" s="277" t="s">
        <v>1072</v>
      </c>
      <c r="LWN65" s="277" t="s">
        <v>1072</v>
      </c>
      <c r="LWO65" s="277" t="s">
        <v>1072</v>
      </c>
      <c r="LWP65" s="277" t="s">
        <v>1072</v>
      </c>
      <c r="LWQ65" s="277" t="s">
        <v>1072</v>
      </c>
      <c r="LWR65" s="277" t="s">
        <v>1072</v>
      </c>
      <c r="LWS65" s="277" t="s">
        <v>1072</v>
      </c>
      <c r="LWT65" s="277" t="s">
        <v>1072</v>
      </c>
      <c r="LWU65" s="277" t="s">
        <v>1072</v>
      </c>
      <c r="LWV65" s="277" t="s">
        <v>1072</v>
      </c>
      <c r="LWW65" s="277" t="s">
        <v>1072</v>
      </c>
      <c r="LWX65" s="277" t="s">
        <v>1072</v>
      </c>
      <c r="LWY65" s="277" t="s">
        <v>1072</v>
      </c>
      <c r="LWZ65" s="277" t="s">
        <v>1072</v>
      </c>
      <c r="LXA65" s="277" t="s">
        <v>1072</v>
      </c>
      <c r="LXB65" s="277" t="s">
        <v>1072</v>
      </c>
      <c r="LXC65" s="277" t="s">
        <v>1072</v>
      </c>
      <c r="LXD65" s="277" t="s">
        <v>1072</v>
      </c>
      <c r="LXE65" s="277" t="s">
        <v>1072</v>
      </c>
      <c r="LXF65" s="277" t="s">
        <v>1072</v>
      </c>
      <c r="LXG65" s="277" t="s">
        <v>1072</v>
      </c>
      <c r="LXH65" s="277" t="s">
        <v>1072</v>
      </c>
      <c r="LXI65" s="277" t="s">
        <v>1072</v>
      </c>
      <c r="LXJ65" s="277" t="s">
        <v>1072</v>
      </c>
      <c r="LXK65" s="277" t="s">
        <v>1072</v>
      </c>
      <c r="LXL65" s="277" t="s">
        <v>1072</v>
      </c>
      <c r="LXM65" s="277" t="s">
        <v>1072</v>
      </c>
      <c r="LXN65" s="277" t="s">
        <v>1072</v>
      </c>
      <c r="LXO65" s="277" t="s">
        <v>1072</v>
      </c>
      <c r="LXP65" s="277" t="s">
        <v>1072</v>
      </c>
      <c r="LXQ65" s="277" t="s">
        <v>1072</v>
      </c>
      <c r="LXR65" s="277" t="s">
        <v>1072</v>
      </c>
      <c r="LXS65" s="277" t="s">
        <v>1072</v>
      </c>
      <c r="LXT65" s="277" t="s">
        <v>1072</v>
      </c>
      <c r="LXU65" s="277" t="s">
        <v>1072</v>
      </c>
      <c r="LXV65" s="277" t="s">
        <v>1072</v>
      </c>
      <c r="LXW65" s="277" t="s">
        <v>1072</v>
      </c>
      <c r="LXX65" s="277" t="s">
        <v>1072</v>
      </c>
      <c r="LXY65" s="277" t="s">
        <v>1072</v>
      </c>
      <c r="LXZ65" s="277" t="s">
        <v>1072</v>
      </c>
      <c r="LYA65" s="277" t="s">
        <v>1072</v>
      </c>
      <c r="LYB65" s="277" t="s">
        <v>1072</v>
      </c>
      <c r="LYC65" s="277" t="s">
        <v>1072</v>
      </c>
      <c r="LYD65" s="277" t="s">
        <v>1072</v>
      </c>
      <c r="LYE65" s="277" t="s">
        <v>1072</v>
      </c>
      <c r="LYF65" s="277" t="s">
        <v>1072</v>
      </c>
      <c r="LYG65" s="277" t="s">
        <v>1072</v>
      </c>
      <c r="LYH65" s="277" t="s">
        <v>1072</v>
      </c>
      <c r="LYI65" s="277" t="s">
        <v>1072</v>
      </c>
      <c r="LYJ65" s="277" t="s">
        <v>1072</v>
      </c>
      <c r="LYK65" s="277" t="s">
        <v>1072</v>
      </c>
      <c r="LYL65" s="277" t="s">
        <v>1072</v>
      </c>
      <c r="LYM65" s="277" t="s">
        <v>1072</v>
      </c>
      <c r="LYN65" s="277" t="s">
        <v>1072</v>
      </c>
      <c r="LYO65" s="277" t="s">
        <v>1072</v>
      </c>
      <c r="LYP65" s="277" t="s">
        <v>1072</v>
      </c>
      <c r="LYQ65" s="277" t="s">
        <v>1072</v>
      </c>
      <c r="LYR65" s="277" t="s">
        <v>1072</v>
      </c>
      <c r="LYS65" s="277" t="s">
        <v>1072</v>
      </c>
      <c r="LYT65" s="277" t="s">
        <v>1072</v>
      </c>
      <c r="LYU65" s="277" t="s">
        <v>1072</v>
      </c>
      <c r="LYV65" s="277" t="s">
        <v>1072</v>
      </c>
      <c r="LYW65" s="277" t="s">
        <v>1072</v>
      </c>
      <c r="LYX65" s="277" t="s">
        <v>1072</v>
      </c>
      <c r="LYY65" s="277" t="s">
        <v>1072</v>
      </c>
      <c r="LYZ65" s="277" t="s">
        <v>1072</v>
      </c>
      <c r="LZA65" s="277" t="s">
        <v>1072</v>
      </c>
      <c r="LZB65" s="277" t="s">
        <v>1072</v>
      </c>
      <c r="LZC65" s="277" t="s">
        <v>1072</v>
      </c>
      <c r="LZD65" s="277" t="s">
        <v>1072</v>
      </c>
      <c r="LZE65" s="277" t="s">
        <v>1072</v>
      </c>
      <c r="LZF65" s="277" t="s">
        <v>1072</v>
      </c>
      <c r="LZG65" s="277" t="s">
        <v>1072</v>
      </c>
      <c r="LZH65" s="277" t="s">
        <v>1072</v>
      </c>
      <c r="LZI65" s="277" t="s">
        <v>1072</v>
      </c>
      <c r="LZJ65" s="277" t="s">
        <v>1072</v>
      </c>
      <c r="LZK65" s="277" t="s">
        <v>1072</v>
      </c>
      <c r="LZL65" s="277" t="s">
        <v>1072</v>
      </c>
      <c r="LZM65" s="277" t="s">
        <v>1072</v>
      </c>
      <c r="LZN65" s="277" t="s">
        <v>1072</v>
      </c>
      <c r="LZO65" s="277" t="s">
        <v>1072</v>
      </c>
      <c r="LZP65" s="277" t="s">
        <v>1072</v>
      </c>
      <c r="LZQ65" s="277" t="s">
        <v>1072</v>
      </c>
      <c r="LZR65" s="277" t="s">
        <v>1072</v>
      </c>
      <c r="LZS65" s="277" t="s">
        <v>1072</v>
      </c>
      <c r="LZT65" s="277" t="s">
        <v>1072</v>
      </c>
      <c r="LZU65" s="277" t="s">
        <v>1072</v>
      </c>
      <c r="LZV65" s="277" t="s">
        <v>1072</v>
      </c>
      <c r="LZW65" s="277" t="s">
        <v>1072</v>
      </c>
      <c r="LZX65" s="277" t="s">
        <v>1072</v>
      </c>
      <c r="LZY65" s="277" t="s">
        <v>1072</v>
      </c>
      <c r="LZZ65" s="277" t="s">
        <v>1072</v>
      </c>
      <c r="MAA65" s="277" t="s">
        <v>1072</v>
      </c>
      <c r="MAB65" s="277" t="s">
        <v>1072</v>
      </c>
      <c r="MAC65" s="277" t="s">
        <v>1072</v>
      </c>
      <c r="MAD65" s="277" t="s">
        <v>1072</v>
      </c>
      <c r="MAE65" s="277" t="s">
        <v>1072</v>
      </c>
      <c r="MAF65" s="277" t="s">
        <v>1072</v>
      </c>
      <c r="MAG65" s="277" t="s">
        <v>1072</v>
      </c>
      <c r="MAH65" s="277" t="s">
        <v>1072</v>
      </c>
      <c r="MAI65" s="277" t="s">
        <v>1072</v>
      </c>
      <c r="MAJ65" s="277" t="s">
        <v>1072</v>
      </c>
      <c r="MAK65" s="277" t="s">
        <v>1072</v>
      </c>
      <c r="MAL65" s="277" t="s">
        <v>1072</v>
      </c>
      <c r="MAM65" s="277" t="s">
        <v>1072</v>
      </c>
      <c r="MAN65" s="277" t="s">
        <v>1072</v>
      </c>
      <c r="MAO65" s="277" t="s">
        <v>1072</v>
      </c>
      <c r="MAP65" s="277" t="s">
        <v>1072</v>
      </c>
      <c r="MAQ65" s="277" t="s">
        <v>1072</v>
      </c>
      <c r="MAR65" s="277" t="s">
        <v>1072</v>
      </c>
      <c r="MAS65" s="277" t="s">
        <v>1072</v>
      </c>
      <c r="MAT65" s="277" t="s">
        <v>1072</v>
      </c>
      <c r="MAU65" s="277" t="s">
        <v>1072</v>
      </c>
      <c r="MAV65" s="277" t="s">
        <v>1072</v>
      </c>
      <c r="MAW65" s="277" t="s">
        <v>1072</v>
      </c>
      <c r="MAX65" s="277" t="s">
        <v>1072</v>
      </c>
      <c r="MAY65" s="277" t="s">
        <v>1072</v>
      </c>
      <c r="MAZ65" s="277" t="s">
        <v>1072</v>
      </c>
      <c r="MBA65" s="277" t="s">
        <v>1072</v>
      </c>
      <c r="MBB65" s="277" t="s">
        <v>1072</v>
      </c>
      <c r="MBC65" s="277" t="s">
        <v>1072</v>
      </c>
      <c r="MBD65" s="277" t="s">
        <v>1072</v>
      </c>
      <c r="MBE65" s="277" t="s">
        <v>1072</v>
      </c>
      <c r="MBF65" s="277" t="s">
        <v>1072</v>
      </c>
      <c r="MBG65" s="277" t="s">
        <v>1072</v>
      </c>
      <c r="MBH65" s="277" t="s">
        <v>1072</v>
      </c>
      <c r="MBI65" s="277" t="s">
        <v>1072</v>
      </c>
      <c r="MBJ65" s="277" t="s">
        <v>1072</v>
      </c>
      <c r="MBK65" s="277" t="s">
        <v>1072</v>
      </c>
      <c r="MBL65" s="277" t="s">
        <v>1072</v>
      </c>
      <c r="MBM65" s="277" t="s">
        <v>1072</v>
      </c>
      <c r="MBN65" s="277" t="s">
        <v>1072</v>
      </c>
      <c r="MBO65" s="277" t="s">
        <v>1072</v>
      </c>
      <c r="MBP65" s="277" t="s">
        <v>1072</v>
      </c>
      <c r="MBQ65" s="277" t="s">
        <v>1072</v>
      </c>
      <c r="MBR65" s="277" t="s">
        <v>1072</v>
      </c>
      <c r="MBS65" s="277" t="s">
        <v>1072</v>
      </c>
      <c r="MBT65" s="277" t="s">
        <v>1072</v>
      </c>
      <c r="MBU65" s="277" t="s">
        <v>1072</v>
      </c>
      <c r="MBV65" s="277" t="s">
        <v>1072</v>
      </c>
      <c r="MBW65" s="277" t="s">
        <v>1072</v>
      </c>
      <c r="MBX65" s="277" t="s">
        <v>1072</v>
      </c>
      <c r="MBY65" s="277" t="s">
        <v>1072</v>
      </c>
      <c r="MBZ65" s="277" t="s">
        <v>1072</v>
      </c>
      <c r="MCA65" s="277" t="s">
        <v>1072</v>
      </c>
      <c r="MCB65" s="277" t="s">
        <v>1072</v>
      </c>
      <c r="MCC65" s="277" t="s">
        <v>1072</v>
      </c>
      <c r="MCD65" s="277" t="s">
        <v>1072</v>
      </c>
      <c r="MCE65" s="277" t="s">
        <v>1072</v>
      </c>
      <c r="MCF65" s="277" t="s">
        <v>1072</v>
      </c>
      <c r="MCG65" s="277" t="s">
        <v>1072</v>
      </c>
      <c r="MCH65" s="277" t="s">
        <v>1072</v>
      </c>
      <c r="MCI65" s="277" t="s">
        <v>1072</v>
      </c>
      <c r="MCJ65" s="277" t="s">
        <v>1072</v>
      </c>
      <c r="MCK65" s="277" t="s">
        <v>1072</v>
      </c>
      <c r="MCL65" s="277" t="s">
        <v>1072</v>
      </c>
      <c r="MCM65" s="277" t="s">
        <v>1072</v>
      </c>
      <c r="MCN65" s="277" t="s">
        <v>1072</v>
      </c>
      <c r="MCO65" s="277" t="s">
        <v>1072</v>
      </c>
      <c r="MCP65" s="277" t="s">
        <v>1072</v>
      </c>
      <c r="MCQ65" s="277" t="s">
        <v>1072</v>
      </c>
      <c r="MCR65" s="277" t="s">
        <v>1072</v>
      </c>
      <c r="MCS65" s="277" t="s">
        <v>1072</v>
      </c>
      <c r="MCT65" s="277" t="s">
        <v>1072</v>
      </c>
      <c r="MCU65" s="277" t="s">
        <v>1072</v>
      </c>
      <c r="MCV65" s="277" t="s">
        <v>1072</v>
      </c>
      <c r="MCW65" s="277" t="s">
        <v>1072</v>
      </c>
      <c r="MCX65" s="277" t="s">
        <v>1072</v>
      </c>
      <c r="MCY65" s="277" t="s">
        <v>1072</v>
      </c>
      <c r="MCZ65" s="277" t="s">
        <v>1072</v>
      </c>
      <c r="MDA65" s="277" t="s">
        <v>1072</v>
      </c>
      <c r="MDB65" s="277" t="s">
        <v>1072</v>
      </c>
      <c r="MDC65" s="277" t="s">
        <v>1072</v>
      </c>
      <c r="MDD65" s="277" t="s">
        <v>1072</v>
      </c>
      <c r="MDE65" s="277" t="s">
        <v>1072</v>
      </c>
      <c r="MDF65" s="277" t="s">
        <v>1072</v>
      </c>
      <c r="MDG65" s="277" t="s">
        <v>1072</v>
      </c>
      <c r="MDH65" s="277" t="s">
        <v>1072</v>
      </c>
      <c r="MDI65" s="277" t="s">
        <v>1072</v>
      </c>
      <c r="MDJ65" s="277" t="s">
        <v>1072</v>
      </c>
      <c r="MDK65" s="277" t="s">
        <v>1072</v>
      </c>
      <c r="MDL65" s="277" t="s">
        <v>1072</v>
      </c>
      <c r="MDM65" s="277" t="s">
        <v>1072</v>
      </c>
      <c r="MDN65" s="277" t="s">
        <v>1072</v>
      </c>
      <c r="MDO65" s="277" t="s">
        <v>1072</v>
      </c>
      <c r="MDP65" s="277" t="s">
        <v>1072</v>
      </c>
      <c r="MDQ65" s="277" t="s">
        <v>1072</v>
      </c>
      <c r="MDR65" s="277" t="s">
        <v>1072</v>
      </c>
      <c r="MDS65" s="277" t="s">
        <v>1072</v>
      </c>
      <c r="MDT65" s="277" t="s">
        <v>1072</v>
      </c>
      <c r="MDU65" s="277" t="s">
        <v>1072</v>
      </c>
      <c r="MDV65" s="277" t="s">
        <v>1072</v>
      </c>
      <c r="MDW65" s="277" t="s">
        <v>1072</v>
      </c>
      <c r="MDX65" s="277" t="s">
        <v>1072</v>
      </c>
      <c r="MDY65" s="277" t="s">
        <v>1072</v>
      </c>
      <c r="MDZ65" s="277" t="s">
        <v>1072</v>
      </c>
      <c r="MEA65" s="277" t="s">
        <v>1072</v>
      </c>
      <c r="MEB65" s="277" t="s">
        <v>1072</v>
      </c>
      <c r="MEC65" s="277" t="s">
        <v>1072</v>
      </c>
      <c r="MED65" s="277" t="s">
        <v>1072</v>
      </c>
      <c r="MEE65" s="277" t="s">
        <v>1072</v>
      </c>
      <c r="MEF65" s="277" t="s">
        <v>1072</v>
      </c>
      <c r="MEG65" s="277" t="s">
        <v>1072</v>
      </c>
      <c r="MEH65" s="277" t="s">
        <v>1072</v>
      </c>
      <c r="MEI65" s="277" t="s">
        <v>1072</v>
      </c>
      <c r="MEJ65" s="277" t="s">
        <v>1072</v>
      </c>
      <c r="MEK65" s="277" t="s">
        <v>1072</v>
      </c>
      <c r="MEL65" s="277" t="s">
        <v>1072</v>
      </c>
      <c r="MEM65" s="277" t="s">
        <v>1072</v>
      </c>
      <c r="MEN65" s="277" t="s">
        <v>1072</v>
      </c>
      <c r="MEO65" s="277" t="s">
        <v>1072</v>
      </c>
      <c r="MEP65" s="277" t="s">
        <v>1072</v>
      </c>
      <c r="MEQ65" s="277" t="s">
        <v>1072</v>
      </c>
      <c r="MER65" s="277" t="s">
        <v>1072</v>
      </c>
      <c r="MES65" s="277" t="s">
        <v>1072</v>
      </c>
      <c r="MET65" s="277" t="s">
        <v>1072</v>
      </c>
      <c r="MEU65" s="277" t="s">
        <v>1072</v>
      </c>
      <c r="MEV65" s="277" t="s">
        <v>1072</v>
      </c>
      <c r="MEW65" s="277" t="s">
        <v>1072</v>
      </c>
      <c r="MEX65" s="277" t="s">
        <v>1072</v>
      </c>
      <c r="MEY65" s="277" t="s">
        <v>1072</v>
      </c>
      <c r="MEZ65" s="277" t="s">
        <v>1072</v>
      </c>
      <c r="MFA65" s="277" t="s">
        <v>1072</v>
      </c>
      <c r="MFB65" s="277" t="s">
        <v>1072</v>
      </c>
      <c r="MFC65" s="277" t="s">
        <v>1072</v>
      </c>
      <c r="MFD65" s="277" t="s">
        <v>1072</v>
      </c>
      <c r="MFE65" s="277" t="s">
        <v>1072</v>
      </c>
      <c r="MFF65" s="277" t="s">
        <v>1072</v>
      </c>
      <c r="MFG65" s="277" t="s">
        <v>1072</v>
      </c>
      <c r="MFH65" s="277" t="s">
        <v>1072</v>
      </c>
      <c r="MFI65" s="277" t="s">
        <v>1072</v>
      </c>
      <c r="MFJ65" s="277" t="s">
        <v>1072</v>
      </c>
      <c r="MFK65" s="277" t="s">
        <v>1072</v>
      </c>
      <c r="MFL65" s="277" t="s">
        <v>1072</v>
      </c>
      <c r="MFM65" s="277" t="s">
        <v>1072</v>
      </c>
      <c r="MFN65" s="277" t="s">
        <v>1072</v>
      </c>
      <c r="MFO65" s="277" t="s">
        <v>1072</v>
      </c>
      <c r="MFP65" s="277" t="s">
        <v>1072</v>
      </c>
      <c r="MFQ65" s="277" t="s">
        <v>1072</v>
      </c>
      <c r="MFR65" s="277" t="s">
        <v>1072</v>
      </c>
      <c r="MFS65" s="277" t="s">
        <v>1072</v>
      </c>
      <c r="MFT65" s="277" t="s">
        <v>1072</v>
      </c>
      <c r="MFU65" s="277" t="s">
        <v>1072</v>
      </c>
      <c r="MFV65" s="277" t="s">
        <v>1072</v>
      </c>
      <c r="MFW65" s="277" t="s">
        <v>1072</v>
      </c>
      <c r="MFX65" s="277" t="s">
        <v>1072</v>
      </c>
      <c r="MFY65" s="277" t="s">
        <v>1072</v>
      </c>
      <c r="MFZ65" s="277" t="s">
        <v>1072</v>
      </c>
      <c r="MGA65" s="277" t="s">
        <v>1072</v>
      </c>
      <c r="MGB65" s="277" t="s">
        <v>1072</v>
      </c>
      <c r="MGC65" s="277" t="s">
        <v>1072</v>
      </c>
      <c r="MGD65" s="277" t="s">
        <v>1072</v>
      </c>
      <c r="MGE65" s="277" t="s">
        <v>1072</v>
      </c>
      <c r="MGF65" s="277" t="s">
        <v>1072</v>
      </c>
      <c r="MGG65" s="277" t="s">
        <v>1072</v>
      </c>
      <c r="MGH65" s="277" t="s">
        <v>1072</v>
      </c>
      <c r="MGI65" s="277" t="s">
        <v>1072</v>
      </c>
      <c r="MGJ65" s="277" t="s">
        <v>1072</v>
      </c>
      <c r="MGK65" s="277" t="s">
        <v>1072</v>
      </c>
      <c r="MGL65" s="277" t="s">
        <v>1072</v>
      </c>
      <c r="MGM65" s="277" t="s">
        <v>1072</v>
      </c>
      <c r="MGN65" s="277" t="s">
        <v>1072</v>
      </c>
      <c r="MGO65" s="277" t="s">
        <v>1072</v>
      </c>
      <c r="MGP65" s="277" t="s">
        <v>1072</v>
      </c>
      <c r="MGQ65" s="277" t="s">
        <v>1072</v>
      </c>
      <c r="MGR65" s="277" t="s">
        <v>1072</v>
      </c>
      <c r="MGS65" s="277" t="s">
        <v>1072</v>
      </c>
      <c r="MGT65" s="277" t="s">
        <v>1072</v>
      </c>
      <c r="MGU65" s="277" t="s">
        <v>1072</v>
      </c>
      <c r="MGV65" s="277" t="s">
        <v>1072</v>
      </c>
      <c r="MGW65" s="277" t="s">
        <v>1072</v>
      </c>
      <c r="MGX65" s="277" t="s">
        <v>1072</v>
      </c>
      <c r="MGY65" s="277" t="s">
        <v>1072</v>
      </c>
      <c r="MGZ65" s="277" t="s">
        <v>1072</v>
      </c>
      <c r="MHA65" s="277" t="s">
        <v>1072</v>
      </c>
      <c r="MHB65" s="277" t="s">
        <v>1072</v>
      </c>
      <c r="MHC65" s="277" t="s">
        <v>1072</v>
      </c>
      <c r="MHD65" s="277" t="s">
        <v>1072</v>
      </c>
      <c r="MHE65" s="277" t="s">
        <v>1072</v>
      </c>
      <c r="MHF65" s="277" t="s">
        <v>1072</v>
      </c>
      <c r="MHG65" s="277" t="s">
        <v>1072</v>
      </c>
      <c r="MHH65" s="277" t="s">
        <v>1072</v>
      </c>
      <c r="MHI65" s="277" t="s">
        <v>1072</v>
      </c>
      <c r="MHJ65" s="277" t="s">
        <v>1072</v>
      </c>
      <c r="MHK65" s="277" t="s">
        <v>1072</v>
      </c>
      <c r="MHL65" s="277" t="s">
        <v>1072</v>
      </c>
      <c r="MHM65" s="277" t="s">
        <v>1072</v>
      </c>
      <c r="MHN65" s="277" t="s">
        <v>1072</v>
      </c>
      <c r="MHO65" s="277" t="s">
        <v>1072</v>
      </c>
      <c r="MHP65" s="277" t="s">
        <v>1072</v>
      </c>
      <c r="MHQ65" s="277" t="s">
        <v>1072</v>
      </c>
      <c r="MHR65" s="277" t="s">
        <v>1072</v>
      </c>
      <c r="MHS65" s="277" t="s">
        <v>1072</v>
      </c>
      <c r="MHT65" s="277" t="s">
        <v>1072</v>
      </c>
      <c r="MHU65" s="277" t="s">
        <v>1072</v>
      </c>
      <c r="MHV65" s="277" t="s">
        <v>1072</v>
      </c>
      <c r="MHW65" s="277" t="s">
        <v>1072</v>
      </c>
      <c r="MHX65" s="277" t="s">
        <v>1072</v>
      </c>
      <c r="MHY65" s="277" t="s">
        <v>1072</v>
      </c>
      <c r="MHZ65" s="277" t="s">
        <v>1072</v>
      </c>
      <c r="MIA65" s="277" t="s">
        <v>1072</v>
      </c>
      <c r="MIB65" s="277" t="s">
        <v>1072</v>
      </c>
      <c r="MIC65" s="277" t="s">
        <v>1072</v>
      </c>
      <c r="MID65" s="277" t="s">
        <v>1072</v>
      </c>
      <c r="MIE65" s="277" t="s">
        <v>1072</v>
      </c>
      <c r="MIF65" s="277" t="s">
        <v>1072</v>
      </c>
      <c r="MIG65" s="277" t="s">
        <v>1072</v>
      </c>
      <c r="MIH65" s="277" t="s">
        <v>1072</v>
      </c>
      <c r="MII65" s="277" t="s">
        <v>1072</v>
      </c>
      <c r="MIJ65" s="277" t="s">
        <v>1072</v>
      </c>
      <c r="MIK65" s="277" t="s">
        <v>1072</v>
      </c>
      <c r="MIL65" s="277" t="s">
        <v>1072</v>
      </c>
      <c r="MIM65" s="277" t="s">
        <v>1072</v>
      </c>
      <c r="MIN65" s="277" t="s">
        <v>1072</v>
      </c>
      <c r="MIO65" s="277" t="s">
        <v>1072</v>
      </c>
      <c r="MIP65" s="277" t="s">
        <v>1072</v>
      </c>
      <c r="MIQ65" s="277" t="s">
        <v>1072</v>
      </c>
      <c r="MIR65" s="277" t="s">
        <v>1072</v>
      </c>
      <c r="MIS65" s="277" t="s">
        <v>1072</v>
      </c>
      <c r="MIT65" s="277" t="s">
        <v>1072</v>
      </c>
      <c r="MIU65" s="277" t="s">
        <v>1072</v>
      </c>
      <c r="MIV65" s="277" t="s">
        <v>1072</v>
      </c>
      <c r="MIW65" s="277" t="s">
        <v>1072</v>
      </c>
      <c r="MIX65" s="277" t="s">
        <v>1072</v>
      </c>
      <c r="MIY65" s="277" t="s">
        <v>1072</v>
      </c>
      <c r="MIZ65" s="277" t="s">
        <v>1072</v>
      </c>
      <c r="MJA65" s="277" t="s">
        <v>1072</v>
      </c>
      <c r="MJB65" s="277" t="s">
        <v>1072</v>
      </c>
      <c r="MJC65" s="277" t="s">
        <v>1072</v>
      </c>
      <c r="MJD65" s="277" t="s">
        <v>1072</v>
      </c>
      <c r="MJE65" s="277" t="s">
        <v>1072</v>
      </c>
      <c r="MJF65" s="277" t="s">
        <v>1072</v>
      </c>
      <c r="MJG65" s="277" t="s">
        <v>1072</v>
      </c>
      <c r="MJH65" s="277" t="s">
        <v>1072</v>
      </c>
      <c r="MJI65" s="277" t="s">
        <v>1072</v>
      </c>
      <c r="MJJ65" s="277" t="s">
        <v>1072</v>
      </c>
      <c r="MJK65" s="277" t="s">
        <v>1072</v>
      </c>
      <c r="MJL65" s="277" t="s">
        <v>1072</v>
      </c>
      <c r="MJM65" s="277" t="s">
        <v>1072</v>
      </c>
      <c r="MJN65" s="277" t="s">
        <v>1072</v>
      </c>
      <c r="MJO65" s="277" t="s">
        <v>1072</v>
      </c>
      <c r="MJP65" s="277" t="s">
        <v>1072</v>
      </c>
      <c r="MJQ65" s="277" t="s">
        <v>1072</v>
      </c>
      <c r="MJR65" s="277" t="s">
        <v>1072</v>
      </c>
      <c r="MJS65" s="277" t="s">
        <v>1072</v>
      </c>
      <c r="MJT65" s="277" t="s">
        <v>1072</v>
      </c>
      <c r="MJU65" s="277" t="s">
        <v>1072</v>
      </c>
      <c r="MJV65" s="277" t="s">
        <v>1072</v>
      </c>
      <c r="MJW65" s="277" t="s">
        <v>1072</v>
      </c>
      <c r="MJX65" s="277" t="s">
        <v>1072</v>
      </c>
      <c r="MJY65" s="277" t="s">
        <v>1072</v>
      </c>
      <c r="MJZ65" s="277" t="s">
        <v>1072</v>
      </c>
      <c r="MKA65" s="277" t="s">
        <v>1072</v>
      </c>
      <c r="MKB65" s="277" t="s">
        <v>1072</v>
      </c>
      <c r="MKC65" s="277" t="s">
        <v>1072</v>
      </c>
      <c r="MKD65" s="277" t="s">
        <v>1072</v>
      </c>
      <c r="MKE65" s="277" t="s">
        <v>1072</v>
      </c>
      <c r="MKF65" s="277" t="s">
        <v>1072</v>
      </c>
      <c r="MKG65" s="277" t="s">
        <v>1072</v>
      </c>
      <c r="MKH65" s="277" t="s">
        <v>1072</v>
      </c>
      <c r="MKI65" s="277" t="s">
        <v>1072</v>
      </c>
      <c r="MKJ65" s="277" t="s">
        <v>1072</v>
      </c>
      <c r="MKK65" s="277" t="s">
        <v>1072</v>
      </c>
      <c r="MKL65" s="277" t="s">
        <v>1072</v>
      </c>
      <c r="MKM65" s="277" t="s">
        <v>1072</v>
      </c>
      <c r="MKN65" s="277" t="s">
        <v>1072</v>
      </c>
      <c r="MKO65" s="277" t="s">
        <v>1072</v>
      </c>
      <c r="MKP65" s="277" t="s">
        <v>1072</v>
      </c>
      <c r="MKQ65" s="277" t="s">
        <v>1072</v>
      </c>
      <c r="MKR65" s="277" t="s">
        <v>1072</v>
      </c>
      <c r="MKS65" s="277" t="s">
        <v>1072</v>
      </c>
      <c r="MKT65" s="277" t="s">
        <v>1072</v>
      </c>
      <c r="MKU65" s="277" t="s">
        <v>1072</v>
      </c>
      <c r="MKV65" s="277" t="s">
        <v>1072</v>
      </c>
      <c r="MKW65" s="277" t="s">
        <v>1072</v>
      </c>
      <c r="MKX65" s="277" t="s">
        <v>1072</v>
      </c>
      <c r="MKY65" s="277" t="s">
        <v>1072</v>
      </c>
      <c r="MKZ65" s="277" t="s">
        <v>1072</v>
      </c>
      <c r="MLA65" s="277" t="s">
        <v>1072</v>
      </c>
      <c r="MLB65" s="277" t="s">
        <v>1072</v>
      </c>
      <c r="MLC65" s="277" t="s">
        <v>1072</v>
      </c>
      <c r="MLD65" s="277" t="s">
        <v>1072</v>
      </c>
      <c r="MLE65" s="277" t="s">
        <v>1072</v>
      </c>
      <c r="MLF65" s="277" t="s">
        <v>1072</v>
      </c>
      <c r="MLG65" s="277" t="s">
        <v>1072</v>
      </c>
      <c r="MLH65" s="277" t="s">
        <v>1072</v>
      </c>
      <c r="MLI65" s="277" t="s">
        <v>1072</v>
      </c>
      <c r="MLJ65" s="277" t="s">
        <v>1072</v>
      </c>
      <c r="MLK65" s="277" t="s">
        <v>1072</v>
      </c>
      <c r="MLL65" s="277" t="s">
        <v>1072</v>
      </c>
      <c r="MLM65" s="277" t="s">
        <v>1072</v>
      </c>
      <c r="MLN65" s="277" t="s">
        <v>1072</v>
      </c>
      <c r="MLO65" s="277" t="s">
        <v>1072</v>
      </c>
      <c r="MLP65" s="277" t="s">
        <v>1072</v>
      </c>
      <c r="MLQ65" s="277" t="s">
        <v>1072</v>
      </c>
      <c r="MLR65" s="277" t="s">
        <v>1072</v>
      </c>
      <c r="MLS65" s="277" t="s">
        <v>1072</v>
      </c>
      <c r="MLT65" s="277" t="s">
        <v>1072</v>
      </c>
      <c r="MLU65" s="277" t="s">
        <v>1072</v>
      </c>
      <c r="MLV65" s="277" t="s">
        <v>1072</v>
      </c>
      <c r="MLW65" s="277" t="s">
        <v>1072</v>
      </c>
      <c r="MLX65" s="277" t="s">
        <v>1072</v>
      </c>
      <c r="MLY65" s="277" t="s">
        <v>1072</v>
      </c>
      <c r="MLZ65" s="277" t="s">
        <v>1072</v>
      </c>
      <c r="MMA65" s="277" t="s">
        <v>1072</v>
      </c>
      <c r="MMB65" s="277" t="s">
        <v>1072</v>
      </c>
      <c r="MMC65" s="277" t="s">
        <v>1072</v>
      </c>
      <c r="MMD65" s="277" t="s">
        <v>1072</v>
      </c>
      <c r="MME65" s="277" t="s">
        <v>1072</v>
      </c>
      <c r="MMF65" s="277" t="s">
        <v>1072</v>
      </c>
      <c r="MMG65" s="277" t="s">
        <v>1072</v>
      </c>
      <c r="MMH65" s="277" t="s">
        <v>1072</v>
      </c>
      <c r="MMI65" s="277" t="s">
        <v>1072</v>
      </c>
      <c r="MMJ65" s="277" t="s">
        <v>1072</v>
      </c>
      <c r="MMK65" s="277" t="s">
        <v>1072</v>
      </c>
      <c r="MML65" s="277" t="s">
        <v>1072</v>
      </c>
      <c r="MMM65" s="277" t="s">
        <v>1072</v>
      </c>
      <c r="MMN65" s="277" t="s">
        <v>1072</v>
      </c>
      <c r="MMO65" s="277" t="s">
        <v>1072</v>
      </c>
      <c r="MMP65" s="277" t="s">
        <v>1072</v>
      </c>
      <c r="MMQ65" s="277" t="s">
        <v>1072</v>
      </c>
      <c r="MMR65" s="277" t="s">
        <v>1072</v>
      </c>
      <c r="MMS65" s="277" t="s">
        <v>1072</v>
      </c>
      <c r="MMT65" s="277" t="s">
        <v>1072</v>
      </c>
      <c r="MMU65" s="277" t="s">
        <v>1072</v>
      </c>
      <c r="MMV65" s="277" t="s">
        <v>1072</v>
      </c>
      <c r="MMW65" s="277" t="s">
        <v>1072</v>
      </c>
      <c r="MMX65" s="277" t="s">
        <v>1072</v>
      </c>
      <c r="MMY65" s="277" t="s">
        <v>1072</v>
      </c>
      <c r="MMZ65" s="277" t="s">
        <v>1072</v>
      </c>
      <c r="MNA65" s="277" t="s">
        <v>1072</v>
      </c>
      <c r="MNB65" s="277" t="s">
        <v>1072</v>
      </c>
      <c r="MNC65" s="277" t="s">
        <v>1072</v>
      </c>
      <c r="MND65" s="277" t="s">
        <v>1072</v>
      </c>
      <c r="MNE65" s="277" t="s">
        <v>1072</v>
      </c>
      <c r="MNF65" s="277" t="s">
        <v>1072</v>
      </c>
      <c r="MNG65" s="277" t="s">
        <v>1072</v>
      </c>
      <c r="MNH65" s="277" t="s">
        <v>1072</v>
      </c>
      <c r="MNI65" s="277" t="s">
        <v>1072</v>
      </c>
      <c r="MNJ65" s="277" t="s">
        <v>1072</v>
      </c>
      <c r="MNK65" s="277" t="s">
        <v>1072</v>
      </c>
      <c r="MNL65" s="277" t="s">
        <v>1072</v>
      </c>
      <c r="MNM65" s="277" t="s">
        <v>1072</v>
      </c>
      <c r="MNN65" s="277" t="s">
        <v>1072</v>
      </c>
      <c r="MNO65" s="277" t="s">
        <v>1072</v>
      </c>
      <c r="MNP65" s="277" t="s">
        <v>1072</v>
      </c>
      <c r="MNQ65" s="277" t="s">
        <v>1072</v>
      </c>
      <c r="MNR65" s="277" t="s">
        <v>1072</v>
      </c>
      <c r="MNS65" s="277" t="s">
        <v>1072</v>
      </c>
      <c r="MNT65" s="277" t="s">
        <v>1072</v>
      </c>
      <c r="MNU65" s="277" t="s">
        <v>1072</v>
      </c>
      <c r="MNV65" s="277" t="s">
        <v>1072</v>
      </c>
      <c r="MNW65" s="277" t="s">
        <v>1072</v>
      </c>
      <c r="MNX65" s="277" t="s">
        <v>1072</v>
      </c>
      <c r="MNY65" s="277" t="s">
        <v>1072</v>
      </c>
      <c r="MNZ65" s="277" t="s">
        <v>1072</v>
      </c>
      <c r="MOA65" s="277" t="s">
        <v>1072</v>
      </c>
      <c r="MOB65" s="277" t="s">
        <v>1072</v>
      </c>
      <c r="MOC65" s="277" t="s">
        <v>1072</v>
      </c>
      <c r="MOD65" s="277" t="s">
        <v>1072</v>
      </c>
      <c r="MOE65" s="277" t="s">
        <v>1072</v>
      </c>
      <c r="MOF65" s="277" t="s">
        <v>1072</v>
      </c>
      <c r="MOG65" s="277" t="s">
        <v>1072</v>
      </c>
      <c r="MOH65" s="277" t="s">
        <v>1072</v>
      </c>
      <c r="MOI65" s="277" t="s">
        <v>1072</v>
      </c>
      <c r="MOJ65" s="277" t="s">
        <v>1072</v>
      </c>
      <c r="MOK65" s="277" t="s">
        <v>1072</v>
      </c>
      <c r="MOL65" s="277" t="s">
        <v>1072</v>
      </c>
      <c r="MOM65" s="277" t="s">
        <v>1072</v>
      </c>
      <c r="MON65" s="277" t="s">
        <v>1072</v>
      </c>
      <c r="MOO65" s="277" t="s">
        <v>1072</v>
      </c>
      <c r="MOP65" s="277" t="s">
        <v>1072</v>
      </c>
      <c r="MOQ65" s="277" t="s">
        <v>1072</v>
      </c>
      <c r="MOR65" s="277" t="s">
        <v>1072</v>
      </c>
      <c r="MOS65" s="277" t="s">
        <v>1072</v>
      </c>
      <c r="MOT65" s="277" t="s">
        <v>1072</v>
      </c>
      <c r="MOU65" s="277" t="s">
        <v>1072</v>
      </c>
      <c r="MOV65" s="277" t="s">
        <v>1072</v>
      </c>
      <c r="MOW65" s="277" t="s">
        <v>1072</v>
      </c>
      <c r="MOX65" s="277" t="s">
        <v>1072</v>
      </c>
      <c r="MOY65" s="277" t="s">
        <v>1072</v>
      </c>
      <c r="MOZ65" s="277" t="s">
        <v>1072</v>
      </c>
      <c r="MPA65" s="277" t="s">
        <v>1072</v>
      </c>
      <c r="MPB65" s="277" t="s">
        <v>1072</v>
      </c>
      <c r="MPC65" s="277" t="s">
        <v>1072</v>
      </c>
      <c r="MPD65" s="277" t="s">
        <v>1072</v>
      </c>
      <c r="MPE65" s="277" t="s">
        <v>1072</v>
      </c>
      <c r="MPF65" s="277" t="s">
        <v>1072</v>
      </c>
      <c r="MPG65" s="277" t="s">
        <v>1072</v>
      </c>
      <c r="MPH65" s="277" t="s">
        <v>1072</v>
      </c>
      <c r="MPI65" s="277" t="s">
        <v>1072</v>
      </c>
      <c r="MPJ65" s="277" t="s">
        <v>1072</v>
      </c>
      <c r="MPK65" s="277" t="s">
        <v>1072</v>
      </c>
      <c r="MPL65" s="277" t="s">
        <v>1072</v>
      </c>
      <c r="MPM65" s="277" t="s">
        <v>1072</v>
      </c>
      <c r="MPN65" s="277" t="s">
        <v>1072</v>
      </c>
      <c r="MPO65" s="277" t="s">
        <v>1072</v>
      </c>
      <c r="MPP65" s="277" t="s">
        <v>1072</v>
      </c>
      <c r="MPQ65" s="277" t="s">
        <v>1072</v>
      </c>
      <c r="MPR65" s="277" t="s">
        <v>1072</v>
      </c>
      <c r="MPS65" s="277" t="s">
        <v>1072</v>
      </c>
      <c r="MPT65" s="277" t="s">
        <v>1072</v>
      </c>
      <c r="MPU65" s="277" t="s">
        <v>1072</v>
      </c>
      <c r="MPV65" s="277" t="s">
        <v>1072</v>
      </c>
      <c r="MPW65" s="277" t="s">
        <v>1072</v>
      </c>
      <c r="MPX65" s="277" t="s">
        <v>1072</v>
      </c>
      <c r="MPY65" s="277" t="s">
        <v>1072</v>
      </c>
      <c r="MPZ65" s="277" t="s">
        <v>1072</v>
      </c>
      <c r="MQA65" s="277" t="s">
        <v>1072</v>
      </c>
      <c r="MQB65" s="277" t="s">
        <v>1072</v>
      </c>
      <c r="MQC65" s="277" t="s">
        <v>1072</v>
      </c>
      <c r="MQD65" s="277" t="s">
        <v>1072</v>
      </c>
      <c r="MQE65" s="277" t="s">
        <v>1072</v>
      </c>
      <c r="MQF65" s="277" t="s">
        <v>1072</v>
      </c>
      <c r="MQG65" s="277" t="s">
        <v>1072</v>
      </c>
      <c r="MQH65" s="277" t="s">
        <v>1072</v>
      </c>
      <c r="MQI65" s="277" t="s">
        <v>1072</v>
      </c>
      <c r="MQJ65" s="277" t="s">
        <v>1072</v>
      </c>
      <c r="MQK65" s="277" t="s">
        <v>1072</v>
      </c>
      <c r="MQL65" s="277" t="s">
        <v>1072</v>
      </c>
      <c r="MQM65" s="277" t="s">
        <v>1072</v>
      </c>
      <c r="MQN65" s="277" t="s">
        <v>1072</v>
      </c>
      <c r="MQO65" s="277" t="s">
        <v>1072</v>
      </c>
      <c r="MQP65" s="277" t="s">
        <v>1072</v>
      </c>
      <c r="MQQ65" s="277" t="s">
        <v>1072</v>
      </c>
      <c r="MQR65" s="277" t="s">
        <v>1072</v>
      </c>
      <c r="MQS65" s="277" t="s">
        <v>1072</v>
      </c>
      <c r="MQT65" s="277" t="s">
        <v>1072</v>
      </c>
      <c r="MQU65" s="277" t="s">
        <v>1072</v>
      </c>
      <c r="MQV65" s="277" t="s">
        <v>1072</v>
      </c>
      <c r="MQW65" s="277" t="s">
        <v>1072</v>
      </c>
      <c r="MQX65" s="277" t="s">
        <v>1072</v>
      </c>
      <c r="MQY65" s="277" t="s">
        <v>1072</v>
      </c>
      <c r="MQZ65" s="277" t="s">
        <v>1072</v>
      </c>
      <c r="MRA65" s="277" t="s">
        <v>1072</v>
      </c>
      <c r="MRB65" s="277" t="s">
        <v>1072</v>
      </c>
      <c r="MRC65" s="277" t="s">
        <v>1072</v>
      </c>
      <c r="MRD65" s="277" t="s">
        <v>1072</v>
      </c>
      <c r="MRE65" s="277" t="s">
        <v>1072</v>
      </c>
      <c r="MRF65" s="277" t="s">
        <v>1072</v>
      </c>
      <c r="MRG65" s="277" t="s">
        <v>1072</v>
      </c>
      <c r="MRH65" s="277" t="s">
        <v>1072</v>
      </c>
      <c r="MRI65" s="277" t="s">
        <v>1072</v>
      </c>
      <c r="MRJ65" s="277" t="s">
        <v>1072</v>
      </c>
      <c r="MRK65" s="277" t="s">
        <v>1072</v>
      </c>
      <c r="MRL65" s="277" t="s">
        <v>1072</v>
      </c>
      <c r="MRM65" s="277" t="s">
        <v>1072</v>
      </c>
      <c r="MRN65" s="277" t="s">
        <v>1072</v>
      </c>
      <c r="MRO65" s="277" t="s">
        <v>1072</v>
      </c>
      <c r="MRP65" s="277" t="s">
        <v>1072</v>
      </c>
      <c r="MRQ65" s="277" t="s">
        <v>1072</v>
      </c>
      <c r="MRR65" s="277" t="s">
        <v>1072</v>
      </c>
      <c r="MRS65" s="277" t="s">
        <v>1072</v>
      </c>
      <c r="MRT65" s="277" t="s">
        <v>1072</v>
      </c>
      <c r="MRU65" s="277" t="s">
        <v>1072</v>
      </c>
      <c r="MRV65" s="277" t="s">
        <v>1072</v>
      </c>
      <c r="MRW65" s="277" t="s">
        <v>1072</v>
      </c>
      <c r="MRX65" s="277" t="s">
        <v>1072</v>
      </c>
      <c r="MRY65" s="277" t="s">
        <v>1072</v>
      </c>
      <c r="MRZ65" s="277" t="s">
        <v>1072</v>
      </c>
      <c r="MSA65" s="277" t="s">
        <v>1072</v>
      </c>
      <c r="MSB65" s="277" t="s">
        <v>1072</v>
      </c>
      <c r="MSC65" s="277" t="s">
        <v>1072</v>
      </c>
      <c r="MSD65" s="277" t="s">
        <v>1072</v>
      </c>
      <c r="MSE65" s="277" t="s">
        <v>1072</v>
      </c>
      <c r="MSF65" s="277" t="s">
        <v>1072</v>
      </c>
      <c r="MSG65" s="277" t="s">
        <v>1072</v>
      </c>
      <c r="MSH65" s="277" t="s">
        <v>1072</v>
      </c>
      <c r="MSI65" s="277" t="s">
        <v>1072</v>
      </c>
      <c r="MSJ65" s="277" t="s">
        <v>1072</v>
      </c>
      <c r="MSK65" s="277" t="s">
        <v>1072</v>
      </c>
      <c r="MSL65" s="277" t="s">
        <v>1072</v>
      </c>
      <c r="MSM65" s="277" t="s">
        <v>1072</v>
      </c>
      <c r="MSN65" s="277" t="s">
        <v>1072</v>
      </c>
      <c r="MSO65" s="277" t="s">
        <v>1072</v>
      </c>
      <c r="MSP65" s="277" t="s">
        <v>1072</v>
      </c>
      <c r="MSQ65" s="277" t="s">
        <v>1072</v>
      </c>
      <c r="MSR65" s="277" t="s">
        <v>1072</v>
      </c>
      <c r="MSS65" s="277" t="s">
        <v>1072</v>
      </c>
      <c r="MST65" s="277" t="s">
        <v>1072</v>
      </c>
      <c r="MSU65" s="277" t="s">
        <v>1072</v>
      </c>
      <c r="MSV65" s="277" t="s">
        <v>1072</v>
      </c>
      <c r="MSW65" s="277" t="s">
        <v>1072</v>
      </c>
      <c r="MSX65" s="277" t="s">
        <v>1072</v>
      </c>
      <c r="MSY65" s="277" t="s">
        <v>1072</v>
      </c>
      <c r="MSZ65" s="277" t="s">
        <v>1072</v>
      </c>
      <c r="MTA65" s="277" t="s">
        <v>1072</v>
      </c>
      <c r="MTB65" s="277" t="s">
        <v>1072</v>
      </c>
      <c r="MTC65" s="277" t="s">
        <v>1072</v>
      </c>
      <c r="MTD65" s="277" t="s">
        <v>1072</v>
      </c>
      <c r="MTE65" s="277" t="s">
        <v>1072</v>
      </c>
      <c r="MTF65" s="277" t="s">
        <v>1072</v>
      </c>
      <c r="MTG65" s="277" t="s">
        <v>1072</v>
      </c>
      <c r="MTH65" s="277" t="s">
        <v>1072</v>
      </c>
      <c r="MTI65" s="277" t="s">
        <v>1072</v>
      </c>
      <c r="MTJ65" s="277" t="s">
        <v>1072</v>
      </c>
      <c r="MTK65" s="277" t="s">
        <v>1072</v>
      </c>
      <c r="MTL65" s="277" t="s">
        <v>1072</v>
      </c>
      <c r="MTM65" s="277" t="s">
        <v>1072</v>
      </c>
      <c r="MTN65" s="277" t="s">
        <v>1072</v>
      </c>
      <c r="MTO65" s="277" t="s">
        <v>1072</v>
      </c>
      <c r="MTP65" s="277" t="s">
        <v>1072</v>
      </c>
      <c r="MTQ65" s="277" t="s">
        <v>1072</v>
      </c>
      <c r="MTR65" s="277" t="s">
        <v>1072</v>
      </c>
      <c r="MTS65" s="277" t="s">
        <v>1072</v>
      </c>
      <c r="MTT65" s="277" t="s">
        <v>1072</v>
      </c>
      <c r="MTU65" s="277" t="s">
        <v>1072</v>
      </c>
      <c r="MTV65" s="277" t="s">
        <v>1072</v>
      </c>
      <c r="MTW65" s="277" t="s">
        <v>1072</v>
      </c>
      <c r="MTX65" s="277" t="s">
        <v>1072</v>
      </c>
      <c r="MTY65" s="277" t="s">
        <v>1072</v>
      </c>
      <c r="MTZ65" s="277" t="s">
        <v>1072</v>
      </c>
      <c r="MUA65" s="277" t="s">
        <v>1072</v>
      </c>
      <c r="MUB65" s="277" t="s">
        <v>1072</v>
      </c>
      <c r="MUC65" s="277" t="s">
        <v>1072</v>
      </c>
      <c r="MUD65" s="277" t="s">
        <v>1072</v>
      </c>
      <c r="MUE65" s="277" t="s">
        <v>1072</v>
      </c>
      <c r="MUF65" s="277" t="s">
        <v>1072</v>
      </c>
      <c r="MUG65" s="277" t="s">
        <v>1072</v>
      </c>
      <c r="MUH65" s="277" t="s">
        <v>1072</v>
      </c>
      <c r="MUI65" s="277" t="s">
        <v>1072</v>
      </c>
      <c r="MUJ65" s="277" t="s">
        <v>1072</v>
      </c>
      <c r="MUK65" s="277" t="s">
        <v>1072</v>
      </c>
      <c r="MUL65" s="277" t="s">
        <v>1072</v>
      </c>
      <c r="MUM65" s="277" t="s">
        <v>1072</v>
      </c>
      <c r="MUN65" s="277" t="s">
        <v>1072</v>
      </c>
      <c r="MUO65" s="277" t="s">
        <v>1072</v>
      </c>
      <c r="MUP65" s="277" t="s">
        <v>1072</v>
      </c>
      <c r="MUQ65" s="277" t="s">
        <v>1072</v>
      </c>
      <c r="MUR65" s="277" t="s">
        <v>1072</v>
      </c>
      <c r="MUS65" s="277" t="s">
        <v>1072</v>
      </c>
      <c r="MUT65" s="277" t="s">
        <v>1072</v>
      </c>
      <c r="MUU65" s="277" t="s">
        <v>1072</v>
      </c>
      <c r="MUV65" s="277" t="s">
        <v>1072</v>
      </c>
      <c r="MUW65" s="277" t="s">
        <v>1072</v>
      </c>
      <c r="MUX65" s="277" t="s">
        <v>1072</v>
      </c>
      <c r="MUY65" s="277" t="s">
        <v>1072</v>
      </c>
      <c r="MUZ65" s="277" t="s">
        <v>1072</v>
      </c>
      <c r="MVA65" s="277" t="s">
        <v>1072</v>
      </c>
      <c r="MVB65" s="277" t="s">
        <v>1072</v>
      </c>
      <c r="MVC65" s="277" t="s">
        <v>1072</v>
      </c>
      <c r="MVD65" s="277" t="s">
        <v>1072</v>
      </c>
      <c r="MVE65" s="277" t="s">
        <v>1072</v>
      </c>
      <c r="MVF65" s="277" t="s">
        <v>1072</v>
      </c>
      <c r="MVG65" s="277" t="s">
        <v>1072</v>
      </c>
      <c r="MVH65" s="277" t="s">
        <v>1072</v>
      </c>
      <c r="MVI65" s="277" t="s">
        <v>1072</v>
      </c>
      <c r="MVJ65" s="277" t="s">
        <v>1072</v>
      </c>
      <c r="MVK65" s="277" t="s">
        <v>1072</v>
      </c>
      <c r="MVL65" s="277" t="s">
        <v>1072</v>
      </c>
      <c r="MVM65" s="277" t="s">
        <v>1072</v>
      </c>
      <c r="MVN65" s="277" t="s">
        <v>1072</v>
      </c>
      <c r="MVO65" s="277" t="s">
        <v>1072</v>
      </c>
      <c r="MVP65" s="277" t="s">
        <v>1072</v>
      </c>
      <c r="MVQ65" s="277" t="s">
        <v>1072</v>
      </c>
      <c r="MVR65" s="277" t="s">
        <v>1072</v>
      </c>
      <c r="MVS65" s="277" t="s">
        <v>1072</v>
      </c>
      <c r="MVT65" s="277" t="s">
        <v>1072</v>
      </c>
      <c r="MVU65" s="277" t="s">
        <v>1072</v>
      </c>
      <c r="MVV65" s="277" t="s">
        <v>1072</v>
      </c>
      <c r="MVW65" s="277" t="s">
        <v>1072</v>
      </c>
      <c r="MVX65" s="277" t="s">
        <v>1072</v>
      </c>
      <c r="MVY65" s="277" t="s">
        <v>1072</v>
      </c>
      <c r="MVZ65" s="277" t="s">
        <v>1072</v>
      </c>
      <c r="MWA65" s="277" t="s">
        <v>1072</v>
      </c>
      <c r="MWB65" s="277" t="s">
        <v>1072</v>
      </c>
      <c r="MWC65" s="277" t="s">
        <v>1072</v>
      </c>
      <c r="MWD65" s="277" t="s">
        <v>1072</v>
      </c>
      <c r="MWE65" s="277" t="s">
        <v>1072</v>
      </c>
      <c r="MWF65" s="277" t="s">
        <v>1072</v>
      </c>
      <c r="MWG65" s="277" t="s">
        <v>1072</v>
      </c>
      <c r="MWH65" s="277" t="s">
        <v>1072</v>
      </c>
      <c r="MWI65" s="277" t="s">
        <v>1072</v>
      </c>
      <c r="MWJ65" s="277" t="s">
        <v>1072</v>
      </c>
      <c r="MWK65" s="277" t="s">
        <v>1072</v>
      </c>
      <c r="MWL65" s="277" t="s">
        <v>1072</v>
      </c>
      <c r="MWM65" s="277" t="s">
        <v>1072</v>
      </c>
      <c r="MWN65" s="277" t="s">
        <v>1072</v>
      </c>
      <c r="MWO65" s="277" t="s">
        <v>1072</v>
      </c>
      <c r="MWP65" s="277" t="s">
        <v>1072</v>
      </c>
      <c r="MWQ65" s="277" t="s">
        <v>1072</v>
      </c>
      <c r="MWR65" s="277" t="s">
        <v>1072</v>
      </c>
      <c r="MWS65" s="277" t="s">
        <v>1072</v>
      </c>
      <c r="MWT65" s="277" t="s">
        <v>1072</v>
      </c>
      <c r="MWU65" s="277" t="s">
        <v>1072</v>
      </c>
      <c r="MWV65" s="277" t="s">
        <v>1072</v>
      </c>
      <c r="MWW65" s="277" t="s">
        <v>1072</v>
      </c>
      <c r="MWX65" s="277" t="s">
        <v>1072</v>
      </c>
      <c r="MWY65" s="277" t="s">
        <v>1072</v>
      </c>
      <c r="MWZ65" s="277" t="s">
        <v>1072</v>
      </c>
      <c r="MXA65" s="277" t="s">
        <v>1072</v>
      </c>
      <c r="MXB65" s="277" t="s">
        <v>1072</v>
      </c>
      <c r="MXC65" s="277" t="s">
        <v>1072</v>
      </c>
      <c r="MXD65" s="277" t="s">
        <v>1072</v>
      </c>
      <c r="MXE65" s="277" t="s">
        <v>1072</v>
      </c>
      <c r="MXF65" s="277" t="s">
        <v>1072</v>
      </c>
      <c r="MXG65" s="277" t="s">
        <v>1072</v>
      </c>
      <c r="MXH65" s="277" t="s">
        <v>1072</v>
      </c>
      <c r="MXI65" s="277" t="s">
        <v>1072</v>
      </c>
      <c r="MXJ65" s="277" t="s">
        <v>1072</v>
      </c>
      <c r="MXK65" s="277" t="s">
        <v>1072</v>
      </c>
      <c r="MXL65" s="277" t="s">
        <v>1072</v>
      </c>
      <c r="MXM65" s="277" t="s">
        <v>1072</v>
      </c>
      <c r="MXN65" s="277" t="s">
        <v>1072</v>
      </c>
      <c r="MXO65" s="277" t="s">
        <v>1072</v>
      </c>
      <c r="MXP65" s="277" t="s">
        <v>1072</v>
      </c>
      <c r="MXQ65" s="277" t="s">
        <v>1072</v>
      </c>
      <c r="MXR65" s="277" t="s">
        <v>1072</v>
      </c>
      <c r="MXS65" s="277" t="s">
        <v>1072</v>
      </c>
      <c r="MXT65" s="277" t="s">
        <v>1072</v>
      </c>
      <c r="MXU65" s="277" t="s">
        <v>1072</v>
      </c>
      <c r="MXV65" s="277" t="s">
        <v>1072</v>
      </c>
      <c r="MXW65" s="277" t="s">
        <v>1072</v>
      </c>
      <c r="MXX65" s="277" t="s">
        <v>1072</v>
      </c>
      <c r="MXY65" s="277" t="s">
        <v>1072</v>
      </c>
      <c r="MXZ65" s="277" t="s">
        <v>1072</v>
      </c>
      <c r="MYA65" s="277" t="s">
        <v>1072</v>
      </c>
      <c r="MYB65" s="277" t="s">
        <v>1072</v>
      </c>
      <c r="MYC65" s="277" t="s">
        <v>1072</v>
      </c>
      <c r="MYD65" s="277" t="s">
        <v>1072</v>
      </c>
      <c r="MYE65" s="277" t="s">
        <v>1072</v>
      </c>
      <c r="MYF65" s="277" t="s">
        <v>1072</v>
      </c>
      <c r="MYG65" s="277" t="s">
        <v>1072</v>
      </c>
      <c r="MYH65" s="277" t="s">
        <v>1072</v>
      </c>
      <c r="MYI65" s="277" t="s">
        <v>1072</v>
      </c>
      <c r="MYJ65" s="277" t="s">
        <v>1072</v>
      </c>
      <c r="MYK65" s="277" t="s">
        <v>1072</v>
      </c>
      <c r="MYL65" s="277" t="s">
        <v>1072</v>
      </c>
      <c r="MYM65" s="277" t="s">
        <v>1072</v>
      </c>
      <c r="MYN65" s="277" t="s">
        <v>1072</v>
      </c>
      <c r="MYO65" s="277" t="s">
        <v>1072</v>
      </c>
      <c r="MYP65" s="277" t="s">
        <v>1072</v>
      </c>
      <c r="MYQ65" s="277" t="s">
        <v>1072</v>
      </c>
      <c r="MYR65" s="277" t="s">
        <v>1072</v>
      </c>
      <c r="MYS65" s="277" t="s">
        <v>1072</v>
      </c>
      <c r="MYT65" s="277" t="s">
        <v>1072</v>
      </c>
      <c r="MYU65" s="277" t="s">
        <v>1072</v>
      </c>
      <c r="MYV65" s="277" t="s">
        <v>1072</v>
      </c>
      <c r="MYW65" s="277" t="s">
        <v>1072</v>
      </c>
      <c r="MYX65" s="277" t="s">
        <v>1072</v>
      </c>
      <c r="MYY65" s="277" t="s">
        <v>1072</v>
      </c>
      <c r="MYZ65" s="277" t="s">
        <v>1072</v>
      </c>
      <c r="MZA65" s="277" t="s">
        <v>1072</v>
      </c>
      <c r="MZB65" s="277" t="s">
        <v>1072</v>
      </c>
      <c r="MZC65" s="277" t="s">
        <v>1072</v>
      </c>
      <c r="MZD65" s="277" t="s">
        <v>1072</v>
      </c>
      <c r="MZE65" s="277" t="s">
        <v>1072</v>
      </c>
      <c r="MZF65" s="277" t="s">
        <v>1072</v>
      </c>
      <c r="MZG65" s="277" t="s">
        <v>1072</v>
      </c>
      <c r="MZH65" s="277" t="s">
        <v>1072</v>
      </c>
      <c r="MZI65" s="277" t="s">
        <v>1072</v>
      </c>
      <c r="MZJ65" s="277" t="s">
        <v>1072</v>
      </c>
      <c r="MZK65" s="277" t="s">
        <v>1072</v>
      </c>
      <c r="MZL65" s="277" t="s">
        <v>1072</v>
      </c>
      <c r="MZM65" s="277" t="s">
        <v>1072</v>
      </c>
      <c r="MZN65" s="277" t="s">
        <v>1072</v>
      </c>
      <c r="MZO65" s="277" t="s">
        <v>1072</v>
      </c>
      <c r="MZP65" s="277" t="s">
        <v>1072</v>
      </c>
      <c r="MZQ65" s="277" t="s">
        <v>1072</v>
      </c>
      <c r="MZR65" s="277" t="s">
        <v>1072</v>
      </c>
      <c r="MZS65" s="277" t="s">
        <v>1072</v>
      </c>
      <c r="MZT65" s="277" t="s">
        <v>1072</v>
      </c>
      <c r="MZU65" s="277" t="s">
        <v>1072</v>
      </c>
      <c r="MZV65" s="277" t="s">
        <v>1072</v>
      </c>
      <c r="MZW65" s="277" t="s">
        <v>1072</v>
      </c>
      <c r="MZX65" s="277" t="s">
        <v>1072</v>
      </c>
      <c r="MZY65" s="277" t="s">
        <v>1072</v>
      </c>
      <c r="MZZ65" s="277" t="s">
        <v>1072</v>
      </c>
      <c r="NAA65" s="277" t="s">
        <v>1072</v>
      </c>
      <c r="NAB65" s="277" t="s">
        <v>1072</v>
      </c>
      <c r="NAC65" s="277" t="s">
        <v>1072</v>
      </c>
      <c r="NAD65" s="277" t="s">
        <v>1072</v>
      </c>
      <c r="NAE65" s="277" t="s">
        <v>1072</v>
      </c>
      <c r="NAF65" s="277" t="s">
        <v>1072</v>
      </c>
      <c r="NAG65" s="277" t="s">
        <v>1072</v>
      </c>
      <c r="NAH65" s="277" t="s">
        <v>1072</v>
      </c>
      <c r="NAI65" s="277" t="s">
        <v>1072</v>
      </c>
      <c r="NAJ65" s="277" t="s">
        <v>1072</v>
      </c>
      <c r="NAK65" s="277" t="s">
        <v>1072</v>
      </c>
      <c r="NAL65" s="277" t="s">
        <v>1072</v>
      </c>
      <c r="NAM65" s="277" t="s">
        <v>1072</v>
      </c>
      <c r="NAN65" s="277" t="s">
        <v>1072</v>
      </c>
      <c r="NAO65" s="277" t="s">
        <v>1072</v>
      </c>
      <c r="NAP65" s="277" t="s">
        <v>1072</v>
      </c>
      <c r="NAQ65" s="277" t="s">
        <v>1072</v>
      </c>
      <c r="NAR65" s="277" t="s">
        <v>1072</v>
      </c>
      <c r="NAS65" s="277" t="s">
        <v>1072</v>
      </c>
      <c r="NAT65" s="277" t="s">
        <v>1072</v>
      </c>
      <c r="NAU65" s="277" t="s">
        <v>1072</v>
      </c>
      <c r="NAV65" s="277" t="s">
        <v>1072</v>
      </c>
      <c r="NAW65" s="277" t="s">
        <v>1072</v>
      </c>
      <c r="NAX65" s="277" t="s">
        <v>1072</v>
      </c>
      <c r="NAY65" s="277" t="s">
        <v>1072</v>
      </c>
      <c r="NAZ65" s="277" t="s">
        <v>1072</v>
      </c>
      <c r="NBA65" s="277" t="s">
        <v>1072</v>
      </c>
      <c r="NBB65" s="277" t="s">
        <v>1072</v>
      </c>
      <c r="NBC65" s="277" t="s">
        <v>1072</v>
      </c>
      <c r="NBD65" s="277" t="s">
        <v>1072</v>
      </c>
      <c r="NBE65" s="277" t="s">
        <v>1072</v>
      </c>
      <c r="NBF65" s="277" t="s">
        <v>1072</v>
      </c>
      <c r="NBG65" s="277" t="s">
        <v>1072</v>
      </c>
      <c r="NBH65" s="277" t="s">
        <v>1072</v>
      </c>
      <c r="NBI65" s="277" t="s">
        <v>1072</v>
      </c>
      <c r="NBJ65" s="277" t="s">
        <v>1072</v>
      </c>
      <c r="NBK65" s="277" t="s">
        <v>1072</v>
      </c>
      <c r="NBL65" s="277" t="s">
        <v>1072</v>
      </c>
      <c r="NBM65" s="277" t="s">
        <v>1072</v>
      </c>
      <c r="NBN65" s="277" t="s">
        <v>1072</v>
      </c>
      <c r="NBO65" s="277" t="s">
        <v>1072</v>
      </c>
      <c r="NBP65" s="277" t="s">
        <v>1072</v>
      </c>
      <c r="NBQ65" s="277" t="s">
        <v>1072</v>
      </c>
      <c r="NBR65" s="277" t="s">
        <v>1072</v>
      </c>
      <c r="NBS65" s="277" t="s">
        <v>1072</v>
      </c>
      <c r="NBT65" s="277" t="s">
        <v>1072</v>
      </c>
      <c r="NBU65" s="277" t="s">
        <v>1072</v>
      </c>
      <c r="NBV65" s="277" t="s">
        <v>1072</v>
      </c>
      <c r="NBW65" s="277" t="s">
        <v>1072</v>
      </c>
      <c r="NBX65" s="277" t="s">
        <v>1072</v>
      </c>
      <c r="NBY65" s="277" t="s">
        <v>1072</v>
      </c>
      <c r="NBZ65" s="277" t="s">
        <v>1072</v>
      </c>
      <c r="NCA65" s="277" t="s">
        <v>1072</v>
      </c>
      <c r="NCB65" s="277" t="s">
        <v>1072</v>
      </c>
      <c r="NCC65" s="277" t="s">
        <v>1072</v>
      </c>
      <c r="NCD65" s="277" t="s">
        <v>1072</v>
      </c>
      <c r="NCE65" s="277" t="s">
        <v>1072</v>
      </c>
      <c r="NCF65" s="277" t="s">
        <v>1072</v>
      </c>
      <c r="NCG65" s="277" t="s">
        <v>1072</v>
      </c>
      <c r="NCH65" s="277" t="s">
        <v>1072</v>
      </c>
      <c r="NCI65" s="277" t="s">
        <v>1072</v>
      </c>
      <c r="NCJ65" s="277" t="s">
        <v>1072</v>
      </c>
      <c r="NCK65" s="277" t="s">
        <v>1072</v>
      </c>
      <c r="NCL65" s="277" t="s">
        <v>1072</v>
      </c>
      <c r="NCM65" s="277" t="s">
        <v>1072</v>
      </c>
      <c r="NCN65" s="277" t="s">
        <v>1072</v>
      </c>
      <c r="NCO65" s="277" t="s">
        <v>1072</v>
      </c>
      <c r="NCP65" s="277" t="s">
        <v>1072</v>
      </c>
      <c r="NCQ65" s="277" t="s">
        <v>1072</v>
      </c>
      <c r="NCR65" s="277" t="s">
        <v>1072</v>
      </c>
      <c r="NCS65" s="277" t="s">
        <v>1072</v>
      </c>
      <c r="NCT65" s="277" t="s">
        <v>1072</v>
      </c>
      <c r="NCU65" s="277" t="s">
        <v>1072</v>
      </c>
      <c r="NCV65" s="277" t="s">
        <v>1072</v>
      </c>
      <c r="NCW65" s="277" t="s">
        <v>1072</v>
      </c>
      <c r="NCX65" s="277" t="s">
        <v>1072</v>
      </c>
      <c r="NCY65" s="277" t="s">
        <v>1072</v>
      </c>
      <c r="NCZ65" s="277" t="s">
        <v>1072</v>
      </c>
      <c r="NDA65" s="277" t="s">
        <v>1072</v>
      </c>
      <c r="NDB65" s="277" t="s">
        <v>1072</v>
      </c>
      <c r="NDC65" s="277" t="s">
        <v>1072</v>
      </c>
      <c r="NDD65" s="277" t="s">
        <v>1072</v>
      </c>
      <c r="NDE65" s="277" t="s">
        <v>1072</v>
      </c>
      <c r="NDF65" s="277" t="s">
        <v>1072</v>
      </c>
      <c r="NDG65" s="277" t="s">
        <v>1072</v>
      </c>
      <c r="NDH65" s="277" t="s">
        <v>1072</v>
      </c>
      <c r="NDI65" s="277" t="s">
        <v>1072</v>
      </c>
      <c r="NDJ65" s="277" t="s">
        <v>1072</v>
      </c>
      <c r="NDK65" s="277" t="s">
        <v>1072</v>
      </c>
      <c r="NDL65" s="277" t="s">
        <v>1072</v>
      </c>
      <c r="NDM65" s="277" t="s">
        <v>1072</v>
      </c>
      <c r="NDN65" s="277" t="s">
        <v>1072</v>
      </c>
      <c r="NDO65" s="277" t="s">
        <v>1072</v>
      </c>
      <c r="NDP65" s="277" t="s">
        <v>1072</v>
      </c>
      <c r="NDQ65" s="277" t="s">
        <v>1072</v>
      </c>
      <c r="NDR65" s="277" t="s">
        <v>1072</v>
      </c>
      <c r="NDS65" s="277" t="s">
        <v>1072</v>
      </c>
      <c r="NDT65" s="277" t="s">
        <v>1072</v>
      </c>
      <c r="NDU65" s="277" t="s">
        <v>1072</v>
      </c>
      <c r="NDV65" s="277" t="s">
        <v>1072</v>
      </c>
      <c r="NDW65" s="277" t="s">
        <v>1072</v>
      </c>
      <c r="NDX65" s="277" t="s">
        <v>1072</v>
      </c>
      <c r="NDY65" s="277" t="s">
        <v>1072</v>
      </c>
      <c r="NDZ65" s="277" t="s">
        <v>1072</v>
      </c>
      <c r="NEA65" s="277" t="s">
        <v>1072</v>
      </c>
      <c r="NEB65" s="277" t="s">
        <v>1072</v>
      </c>
      <c r="NEC65" s="277" t="s">
        <v>1072</v>
      </c>
      <c r="NED65" s="277" t="s">
        <v>1072</v>
      </c>
      <c r="NEE65" s="277" t="s">
        <v>1072</v>
      </c>
      <c r="NEF65" s="277" t="s">
        <v>1072</v>
      </c>
      <c r="NEG65" s="277" t="s">
        <v>1072</v>
      </c>
      <c r="NEH65" s="277" t="s">
        <v>1072</v>
      </c>
      <c r="NEI65" s="277" t="s">
        <v>1072</v>
      </c>
      <c r="NEJ65" s="277" t="s">
        <v>1072</v>
      </c>
      <c r="NEK65" s="277" t="s">
        <v>1072</v>
      </c>
      <c r="NEL65" s="277" t="s">
        <v>1072</v>
      </c>
      <c r="NEM65" s="277" t="s">
        <v>1072</v>
      </c>
      <c r="NEN65" s="277" t="s">
        <v>1072</v>
      </c>
      <c r="NEO65" s="277" t="s">
        <v>1072</v>
      </c>
      <c r="NEP65" s="277" t="s">
        <v>1072</v>
      </c>
      <c r="NEQ65" s="277" t="s">
        <v>1072</v>
      </c>
      <c r="NER65" s="277" t="s">
        <v>1072</v>
      </c>
      <c r="NES65" s="277" t="s">
        <v>1072</v>
      </c>
      <c r="NET65" s="277" t="s">
        <v>1072</v>
      </c>
      <c r="NEU65" s="277" t="s">
        <v>1072</v>
      </c>
      <c r="NEV65" s="277" t="s">
        <v>1072</v>
      </c>
      <c r="NEW65" s="277" t="s">
        <v>1072</v>
      </c>
      <c r="NEX65" s="277" t="s">
        <v>1072</v>
      </c>
      <c r="NEY65" s="277" t="s">
        <v>1072</v>
      </c>
      <c r="NEZ65" s="277" t="s">
        <v>1072</v>
      </c>
      <c r="NFA65" s="277" t="s">
        <v>1072</v>
      </c>
      <c r="NFB65" s="277" t="s">
        <v>1072</v>
      </c>
      <c r="NFC65" s="277" t="s">
        <v>1072</v>
      </c>
      <c r="NFD65" s="277" t="s">
        <v>1072</v>
      </c>
      <c r="NFE65" s="277" t="s">
        <v>1072</v>
      </c>
      <c r="NFF65" s="277" t="s">
        <v>1072</v>
      </c>
      <c r="NFG65" s="277" t="s">
        <v>1072</v>
      </c>
      <c r="NFH65" s="277" t="s">
        <v>1072</v>
      </c>
      <c r="NFI65" s="277" t="s">
        <v>1072</v>
      </c>
      <c r="NFJ65" s="277" t="s">
        <v>1072</v>
      </c>
      <c r="NFK65" s="277" t="s">
        <v>1072</v>
      </c>
      <c r="NFL65" s="277" t="s">
        <v>1072</v>
      </c>
      <c r="NFM65" s="277" t="s">
        <v>1072</v>
      </c>
      <c r="NFN65" s="277" t="s">
        <v>1072</v>
      </c>
      <c r="NFO65" s="277" t="s">
        <v>1072</v>
      </c>
      <c r="NFP65" s="277" t="s">
        <v>1072</v>
      </c>
      <c r="NFQ65" s="277" t="s">
        <v>1072</v>
      </c>
      <c r="NFR65" s="277" t="s">
        <v>1072</v>
      </c>
      <c r="NFS65" s="277" t="s">
        <v>1072</v>
      </c>
      <c r="NFT65" s="277" t="s">
        <v>1072</v>
      </c>
      <c r="NFU65" s="277" t="s">
        <v>1072</v>
      </c>
      <c r="NFV65" s="277" t="s">
        <v>1072</v>
      </c>
      <c r="NFW65" s="277" t="s">
        <v>1072</v>
      </c>
      <c r="NFX65" s="277" t="s">
        <v>1072</v>
      </c>
      <c r="NFY65" s="277" t="s">
        <v>1072</v>
      </c>
      <c r="NFZ65" s="277" t="s">
        <v>1072</v>
      </c>
      <c r="NGA65" s="277" t="s">
        <v>1072</v>
      </c>
      <c r="NGB65" s="277" t="s">
        <v>1072</v>
      </c>
      <c r="NGC65" s="277" t="s">
        <v>1072</v>
      </c>
      <c r="NGD65" s="277" t="s">
        <v>1072</v>
      </c>
      <c r="NGE65" s="277" t="s">
        <v>1072</v>
      </c>
      <c r="NGF65" s="277" t="s">
        <v>1072</v>
      </c>
      <c r="NGG65" s="277" t="s">
        <v>1072</v>
      </c>
      <c r="NGH65" s="277" t="s">
        <v>1072</v>
      </c>
      <c r="NGI65" s="277" t="s">
        <v>1072</v>
      </c>
      <c r="NGJ65" s="277" t="s">
        <v>1072</v>
      </c>
      <c r="NGK65" s="277" t="s">
        <v>1072</v>
      </c>
      <c r="NGL65" s="277" t="s">
        <v>1072</v>
      </c>
      <c r="NGM65" s="277" t="s">
        <v>1072</v>
      </c>
      <c r="NGN65" s="277" t="s">
        <v>1072</v>
      </c>
      <c r="NGO65" s="277" t="s">
        <v>1072</v>
      </c>
      <c r="NGP65" s="277" t="s">
        <v>1072</v>
      </c>
      <c r="NGQ65" s="277" t="s">
        <v>1072</v>
      </c>
      <c r="NGR65" s="277" t="s">
        <v>1072</v>
      </c>
      <c r="NGS65" s="277" t="s">
        <v>1072</v>
      </c>
      <c r="NGT65" s="277" t="s">
        <v>1072</v>
      </c>
      <c r="NGU65" s="277" t="s">
        <v>1072</v>
      </c>
      <c r="NGV65" s="277" t="s">
        <v>1072</v>
      </c>
      <c r="NGW65" s="277" t="s">
        <v>1072</v>
      </c>
      <c r="NGX65" s="277" t="s">
        <v>1072</v>
      </c>
      <c r="NGY65" s="277" t="s">
        <v>1072</v>
      </c>
      <c r="NGZ65" s="277" t="s">
        <v>1072</v>
      </c>
      <c r="NHA65" s="277" t="s">
        <v>1072</v>
      </c>
      <c r="NHB65" s="277" t="s">
        <v>1072</v>
      </c>
      <c r="NHC65" s="277" t="s">
        <v>1072</v>
      </c>
      <c r="NHD65" s="277" t="s">
        <v>1072</v>
      </c>
      <c r="NHE65" s="277" t="s">
        <v>1072</v>
      </c>
      <c r="NHF65" s="277" t="s">
        <v>1072</v>
      </c>
      <c r="NHG65" s="277" t="s">
        <v>1072</v>
      </c>
      <c r="NHH65" s="277" t="s">
        <v>1072</v>
      </c>
      <c r="NHI65" s="277" t="s">
        <v>1072</v>
      </c>
      <c r="NHJ65" s="277" t="s">
        <v>1072</v>
      </c>
      <c r="NHK65" s="277" t="s">
        <v>1072</v>
      </c>
      <c r="NHL65" s="277" t="s">
        <v>1072</v>
      </c>
      <c r="NHM65" s="277" t="s">
        <v>1072</v>
      </c>
      <c r="NHN65" s="277" t="s">
        <v>1072</v>
      </c>
      <c r="NHO65" s="277" t="s">
        <v>1072</v>
      </c>
      <c r="NHP65" s="277" t="s">
        <v>1072</v>
      </c>
      <c r="NHQ65" s="277" t="s">
        <v>1072</v>
      </c>
      <c r="NHR65" s="277" t="s">
        <v>1072</v>
      </c>
      <c r="NHS65" s="277" t="s">
        <v>1072</v>
      </c>
      <c r="NHT65" s="277" t="s">
        <v>1072</v>
      </c>
      <c r="NHU65" s="277" t="s">
        <v>1072</v>
      </c>
      <c r="NHV65" s="277" t="s">
        <v>1072</v>
      </c>
      <c r="NHW65" s="277" t="s">
        <v>1072</v>
      </c>
      <c r="NHX65" s="277" t="s">
        <v>1072</v>
      </c>
      <c r="NHY65" s="277" t="s">
        <v>1072</v>
      </c>
      <c r="NHZ65" s="277" t="s">
        <v>1072</v>
      </c>
      <c r="NIA65" s="277" t="s">
        <v>1072</v>
      </c>
      <c r="NIB65" s="277" t="s">
        <v>1072</v>
      </c>
      <c r="NIC65" s="277" t="s">
        <v>1072</v>
      </c>
      <c r="NID65" s="277" t="s">
        <v>1072</v>
      </c>
      <c r="NIE65" s="277" t="s">
        <v>1072</v>
      </c>
      <c r="NIF65" s="277" t="s">
        <v>1072</v>
      </c>
      <c r="NIG65" s="277" t="s">
        <v>1072</v>
      </c>
      <c r="NIH65" s="277" t="s">
        <v>1072</v>
      </c>
      <c r="NII65" s="277" t="s">
        <v>1072</v>
      </c>
      <c r="NIJ65" s="277" t="s">
        <v>1072</v>
      </c>
      <c r="NIK65" s="277" t="s">
        <v>1072</v>
      </c>
      <c r="NIL65" s="277" t="s">
        <v>1072</v>
      </c>
      <c r="NIM65" s="277" t="s">
        <v>1072</v>
      </c>
      <c r="NIN65" s="277" t="s">
        <v>1072</v>
      </c>
      <c r="NIO65" s="277" t="s">
        <v>1072</v>
      </c>
      <c r="NIP65" s="277" t="s">
        <v>1072</v>
      </c>
      <c r="NIQ65" s="277" t="s">
        <v>1072</v>
      </c>
      <c r="NIR65" s="277" t="s">
        <v>1072</v>
      </c>
      <c r="NIS65" s="277" t="s">
        <v>1072</v>
      </c>
      <c r="NIT65" s="277" t="s">
        <v>1072</v>
      </c>
      <c r="NIU65" s="277" t="s">
        <v>1072</v>
      </c>
      <c r="NIV65" s="277" t="s">
        <v>1072</v>
      </c>
      <c r="NIW65" s="277" t="s">
        <v>1072</v>
      </c>
      <c r="NIX65" s="277" t="s">
        <v>1072</v>
      </c>
      <c r="NIY65" s="277" t="s">
        <v>1072</v>
      </c>
      <c r="NIZ65" s="277" t="s">
        <v>1072</v>
      </c>
      <c r="NJA65" s="277" t="s">
        <v>1072</v>
      </c>
      <c r="NJB65" s="277" t="s">
        <v>1072</v>
      </c>
      <c r="NJC65" s="277" t="s">
        <v>1072</v>
      </c>
      <c r="NJD65" s="277" t="s">
        <v>1072</v>
      </c>
      <c r="NJE65" s="277" t="s">
        <v>1072</v>
      </c>
      <c r="NJF65" s="277" t="s">
        <v>1072</v>
      </c>
      <c r="NJG65" s="277" t="s">
        <v>1072</v>
      </c>
      <c r="NJH65" s="277" t="s">
        <v>1072</v>
      </c>
      <c r="NJI65" s="277" t="s">
        <v>1072</v>
      </c>
      <c r="NJJ65" s="277" t="s">
        <v>1072</v>
      </c>
      <c r="NJK65" s="277" t="s">
        <v>1072</v>
      </c>
      <c r="NJL65" s="277" t="s">
        <v>1072</v>
      </c>
      <c r="NJM65" s="277" t="s">
        <v>1072</v>
      </c>
      <c r="NJN65" s="277" t="s">
        <v>1072</v>
      </c>
      <c r="NJO65" s="277" t="s">
        <v>1072</v>
      </c>
      <c r="NJP65" s="277" t="s">
        <v>1072</v>
      </c>
      <c r="NJQ65" s="277" t="s">
        <v>1072</v>
      </c>
      <c r="NJR65" s="277" t="s">
        <v>1072</v>
      </c>
      <c r="NJS65" s="277" t="s">
        <v>1072</v>
      </c>
      <c r="NJT65" s="277" t="s">
        <v>1072</v>
      </c>
      <c r="NJU65" s="277" t="s">
        <v>1072</v>
      </c>
      <c r="NJV65" s="277" t="s">
        <v>1072</v>
      </c>
      <c r="NJW65" s="277" t="s">
        <v>1072</v>
      </c>
      <c r="NJX65" s="277" t="s">
        <v>1072</v>
      </c>
      <c r="NJY65" s="277" t="s">
        <v>1072</v>
      </c>
      <c r="NJZ65" s="277" t="s">
        <v>1072</v>
      </c>
      <c r="NKA65" s="277" t="s">
        <v>1072</v>
      </c>
      <c r="NKB65" s="277" t="s">
        <v>1072</v>
      </c>
      <c r="NKC65" s="277" t="s">
        <v>1072</v>
      </c>
      <c r="NKD65" s="277" t="s">
        <v>1072</v>
      </c>
      <c r="NKE65" s="277" t="s">
        <v>1072</v>
      </c>
      <c r="NKF65" s="277" t="s">
        <v>1072</v>
      </c>
      <c r="NKG65" s="277" t="s">
        <v>1072</v>
      </c>
      <c r="NKH65" s="277" t="s">
        <v>1072</v>
      </c>
      <c r="NKI65" s="277" t="s">
        <v>1072</v>
      </c>
      <c r="NKJ65" s="277" t="s">
        <v>1072</v>
      </c>
      <c r="NKK65" s="277" t="s">
        <v>1072</v>
      </c>
      <c r="NKL65" s="277" t="s">
        <v>1072</v>
      </c>
      <c r="NKM65" s="277" t="s">
        <v>1072</v>
      </c>
      <c r="NKN65" s="277" t="s">
        <v>1072</v>
      </c>
      <c r="NKO65" s="277" t="s">
        <v>1072</v>
      </c>
      <c r="NKP65" s="277" t="s">
        <v>1072</v>
      </c>
      <c r="NKQ65" s="277" t="s">
        <v>1072</v>
      </c>
      <c r="NKR65" s="277" t="s">
        <v>1072</v>
      </c>
      <c r="NKS65" s="277" t="s">
        <v>1072</v>
      </c>
      <c r="NKT65" s="277" t="s">
        <v>1072</v>
      </c>
      <c r="NKU65" s="277" t="s">
        <v>1072</v>
      </c>
      <c r="NKV65" s="277" t="s">
        <v>1072</v>
      </c>
      <c r="NKW65" s="277" t="s">
        <v>1072</v>
      </c>
      <c r="NKX65" s="277" t="s">
        <v>1072</v>
      </c>
      <c r="NKY65" s="277" t="s">
        <v>1072</v>
      </c>
      <c r="NKZ65" s="277" t="s">
        <v>1072</v>
      </c>
      <c r="NLA65" s="277" t="s">
        <v>1072</v>
      </c>
      <c r="NLB65" s="277" t="s">
        <v>1072</v>
      </c>
      <c r="NLC65" s="277" t="s">
        <v>1072</v>
      </c>
      <c r="NLD65" s="277" t="s">
        <v>1072</v>
      </c>
      <c r="NLE65" s="277" t="s">
        <v>1072</v>
      </c>
      <c r="NLF65" s="277" t="s">
        <v>1072</v>
      </c>
      <c r="NLG65" s="277" t="s">
        <v>1072</v>
      </c>
      <c r="NLH65" s="277" t="s">
        <v>1072</v>
      </c>
      <c r="NLI65" s="277" t="s">
        <v>1072</v>
      </c>
      <c r="NLJ65" s="277" t="s">
        <v>1072</v>
      </c>
      <c r="NLK65" s="277" t="s">
        <v>1072</v>
      </c>
      <c r="NLL65" s="277" t="s">
        <v>1072</v>
      </c>
      <c r="NLM65" s="277" t="s">
        <v>1072</v>
      </c>
      <c r="NLN65" s="277" t="s">
        <v>1072</v>
      </c>
      <c r="NLO65" s="277" t="s">
        <v>1072</v>
      </c>
      <c r="NLP65" s="277" t="s">
        <v>1072</v>
      </c>
      <c r="NLQ65" s="277" t="s">
        <v>1072</v>
      </c>
      <c r="NLR65" s="277" t="s">
        <v>1072</v>
      </c>
      <c r="NLS65" s="277" t="s">
        <v>1072</v>
      </c>
      <c r="NLT65" s="277" t="s">
        <v>1072</v>
      </c>
      <c r="NLU65" s="277" t="s">
        <v>1072</v>
      </c>
      <c r="NLV65" s="277" t="s">
        <v>1072</v>
      </c>
      <c r="NLW65" s="277" t="s">
        <v>1072</v>
      </c>
      <c r="NLX65" s="277" t="s">
        <v>1072</v>
      </c>
      <c r="NLY65" s="277" t="s">
        <v>1072</v>
      </c>
      <c r="NLZ65" s="277" t="s">
        <v>1072</v>
      </c>
      <c r="NMA65" s="277" t="s">
        <v>1072</v>
      </c>
      <c r="NMB65" s="277" t="s">
        <v>1072</v>
      </c>
      <c r="NMC65" s="277" t="s">
        <v>1072</v>
      </c>
      <c r="NMD65" s="277" t="s">
        <v>1072</v>
      </c>
      <c r="NME65" s="277" t="s">
        <v>1072</v>
      </c>
      <c r="NMF65" s="277" t="s">
        <v>1072</v>
      </c>
      <c r="NMG65" s="277" t="s">
        <v>1072</v>
      </c>
      <c r="NMH65" s="277" t="s">
        <v>1072</v>
      </c>
      <c r="NMI65" s="277" t="s">
        <v>1072</v>
      </c>
      <c r="NMJ65" s="277" t="s">
        <v>1072</v>
      </c>
      <c r="NMK65" s="277" t="s">
        <v>1072</v>
      </c>
      <c r="NML65" s="277" t="s">
        <v>1072</v>
      </c>
      <c r="NMM65" s="277" t="s">
        <v>1072</v>
      </c>
      <c r="NMN65" s="277" t="s">
        <v>1072</v>
      </c>
      <c r="NMO65" s="277" t="s">
        <v>1072</v>
      </c>
      <c r="NMP65" s="277" t="s">
        <v>1072</v>
      </c>
      <c r="NMQ65" s="277" t="s">
        <v>1072</v>
      </c>
      <c r="NMR65" s="277" t="s">
        <v>1072</v>
      </c>
      <c r="NMS65" s="277" t="s">
        <v>1072</v>
      </c>
      <c r="NMT65" s="277" t="s">
        <v>1072</v>
      </c>
      <c r="NMU65" s="277" t="s">
        <v>1072</v>
      </c>
      <c r="NMV65" s="277" t="s">
        <v>1072</v>
      </c>
      <c r="NMW65" s="277" t="s">
        <v>1072</v>
      </c>
      <c r="NMX65" s="277" t="s">
        <v>1072</v>
      </c>
      <c r="NMY65" s="277" t="s">
        <v>1072</v>
      </c>
      <c r="NMZ65" s="277" t="s">
        <v>1072</v>
      </c>
      <c r="NNA65" s="277" t="s">
        <v>1072</v>
      </c>
      <c r="NNB65" s="277" t="s">
        <v>1072</v>
      </c>
      <c r="NNC65" s="277" t="s">
        <v>1072</v>
      </c>
      <c r="NND65" s="277" t="s">
        <v>1072</v>
      </c>
      <c r="NNE65" s="277" t="s">
        <v>1072</v>
      </c>
      <c r="NNF65" s="277" t="s">
        <v>1072</v>
      </c>
      <c r="NNG65" s="277" t="s">
        <v>1072</v>
      </c>
      <c r="NNH65" s="277" t="s">
        <v>1072</v>
      </c>
      <c r="NNI65" s="277" t="s">
        <v>1072</v>
      </c>
      <c r="NNJ65" s="277" t="s">
        <v>1072</v>
      </c>
      <c r="NNK65" s="277" t="s">
        <v>1072</v>
      </c>
      <c r="NNL65" s="277" t="s">
        <v>1072</v>
      </c>
      <c r="NNM65" s="277" t="s">
        <v>1072</v>
      </c>
      <c r="NNN65" s="277" t="s">
        <v>1072</v>
      </c>
      <c r="NNO65" s="277" t="s">
        <v>1072</v>
      </c>
      <c r="NNP65" s="277" t="s">
        <v>1072</v>
      </c>
      <c r="NNQ65" s="277" t="s">
        <v>1072</v>
      </c>
      <c r="NNR65" s="277" t="s">
        <v>1072</v>
      </c>
      <c r="NNS65" s="277" t="s">
        <v>1072</v>
      </c>
      <c r="NNT65" s="277" t="s">
        <v>1072</v>
      </c>
      <c r="NNU65" s="277" t="s">
        <v>1072</v>
      </c>
      <c r="NNV65" s="277" t="s">
        <v>1072</v>
      </c>
      <c r="NNW65" s="277" t="s">
        <v>1072</v>
      </c>
      <c r="NNX65" s="277" t="s">
        <v>1072</v>
      </c>
      <c r="NNY65" s="277" t="s">
        <v>1072</v>
      </c>
      <c r="NNZ65" s="277" t="s">
        <v>1072</v>
      </c>
      <c r="NOA65" s="277" t="s">
        <v>1072</v>
      </c>
      <c r="NOB65" s="277" t="s">
        <v>1072</v>
      </c>
      <c r="NOC65" s="277" t="s">
        <v>1072</v>
      </c>
      <c r="NOD65" s="277" t="s">
        <v>1072</v>
      </c>
      <c r="NOE65" s="277" t="s">
        <v>1072</v>
      </c>
      <c r="NOF65" s="277" t="s">
        <v>1072</v>
      </c>
      <c r="NOG65" s="277" t="s">
        <v>1072</v>
      </c>
      <c r="NOH65" s="277" t="s">
        <v>1072</v>
      </c>
      <c r="NOI65" s="277" t="s">
        <v>1072</v>
      </c>
      <c r="NOJ65" s="277" t="s">
        <v>1072</v>
      </c>
      <c r="NOK65" s="277" t="s">
        <v>1072</v>
      </c>
      <c r="NOL65" s="277" t="s">
        <v>1072</v>
      </c>
      <c r="NOM65" s="277" t="s">
        <v>1072</v>
      </c>
      <c r="NON65" s="277" t="s">
        <v>1072</v>
      </c>
      <c r="NOO65" s="277" t="s">
        <v>1072</v>
      </c>
      <c r="NOP65" s="277" t="s">
        <v>1072</v>
      </c>
      <c r="NOQ65" s="277" t="s">
        <v>1072</v>
      </c>
      <c r="NOR65" s="277" t="s">
        <v>1072</v>
      </c>
      <c r="NOS65" s="277" t="s">
        <v>1072</v>
      </c>
      <c r="NOT65" s="277" t="s">
        <v>1072</v>
      </c>
      <c r="NOU65" s="277" t="s">
        <v>1072</v>
      </c>
      <c r="NOV65" s="277" t="s">
        <v>1072</v>
      </c>
      <c r="NOW65" s="277" t="s">
        <v>1072</v>
      </c>
      <c r="NOX65" s="277" t="s">
        <v>1072</v>
      </c>
      <c r="NOY65" s="277" t="s">
        <v>1072</v>
      </c>
      <c r="NOZ65" s="277" t="s">
        <v>1072</v>
      </c>
      <c r="NPA65" s="277" t="s">
        <v>1072</v>
      </c>
      <c r="NPB65" s="277" t="s">
        <v>1072</v>
      </c>
      <c r="NPC65" s="277" t="s">
        <v>1072</v>
      </c>
      <c r="NPD65" s="277" t="s">
        <v>1072</v>
      </c>
      <c r="NPE65" s="277" t="s">
        <v>1072</v>
      </c>
      <c r="NPF65" s="277" t="s">
        <v>1072</v>
      </c>
      <c r="NPG65" s="277" t="s">
        <v>1072</v>
      </c>
      <c r="NPH65" s="277" t="s">
        <v>1072</v>
      </c>
      <c r="NPI65" s="277" t="s">
        <v>1072</v>
      </c>
      <c r="NPJ65" s="277" t="s">
        <v>1072</v>
      </c>
      <c r="NPK65" s="277" t="s">
        <v>1072</v>
      </c>
      <c r="NPL65" s="277" t="s">
        <v>1072</v>
      </c>
      <c r="NPM65" s="277" t="s">
        <v>1072</v>
      </c>
      <c r="NPN65" s="277" t="s">
        <v>1072</v>
      </c>
      <c r="NPO65" s="277" t="s">
        <v>1072</v>
      </c>
      <c r="NPP65" s="277" t="s">
        <v>1072</v>
      </c>
      <c r="NPQ65" s="277" t="s">
        <v>1072</v>
      </c>
      <c r="NPR65" s="277" t="s">
        <v>1072</v>
      </c>
      <c r="NPS65" s="277" t="s">
        <v>1072</v>
      </c>
      <c r="NPT65" s="277" t="s">
        <v>1072</v>
      </c>
      <c r="NPU65" s="277" t="s">
        <v>1072</v>
      </c>
      <c r="NPV65" s="277" t="s">
        <v>1072</v>
      </c>
      <c r="NPW65" s="277" t="s">
        <v>1072</v>
      </c>
      <c r="NPX65" s="277" t="s">
        <v>1072</v>
      </c>
      <c r="NPY65" s="277" t="s">
        <v>1072</v>
      </c>
      <c r="NPZ65" s="277" t="s">
        <v>1072</v>
      </c>
      <c r="NQA65" s="277" t="s">
        <v>1072</v>
      </c>
      <c r="NQB65" s="277" t="s">
        <v>1072</v>
      </c>
      <c r="NQC65" s="277" t="s">
        <v>1072</v>
      </c>
      <c r="NQD65" s="277" t="s">
        <v>1072</v>
      </c>
      <c r="NQE65" s="277" t="s">
        <v>1072</v>
      </c>
      <c r="NQF65" s="277" t="s">
        <v>1072</v>
      </c>
      <c r="NQG65" s="277" t="s">
        <v>1072</v>
      </c>
      <c r="NQH65" s="277" t="s">
        <v>1072</v>
      </c>
      <c r="NQI65" s="277" t="s">
        <v>1072</v>
      </c>
      <c r="NQJ65" s="277" t="s">
        <v>1072</v>
      </c>
      <c r="NQK65" s="277" t="s">
        <v>1072</v>
      </c>
      <c r="NQL65" s="277" t="s">
        <v>1072</v>
      </c>
      <c r="NQM65" s="277" t="s">
        <v>1072</v>
      </c>
      <c r="NQN65" s="277" t="s">
        <v>1072</v>
      </c>
      <c r="NQO65" s="277" t="s">
        <v>1072</v>
      </c>
      <c r="NQP65" s="277" t="s">
        <v>1072</v>
      </c>
      <c r="NQQ65" s="277" t="s">
        <v>1072</v>
      </c>
      <c r="NQR65" s="277" t="s">
        <v>1072</v>
      </c>
      <c r="NQS65" s="277" t="s">
        <v>1072</v>
      </c>
      <c r="NQT65" s="277" t="s">
        <v>1072</v>
      </c>
      <c r="NQU65" s="277" t="s">
        <v>1072</v>
      </c>
      <c r="NQV65" s="277" t="s">
        <v>1072</v>
      </c>
      <c r="NQW65" s="277" t="s">
        <v>1072</v>
      </c>
      <c r="NQX65" s="277" t="s">
        <v>1072</v>
      </c>
      <c r="NQY65" s="277" t="s">
        <v>1072</v>
      </c>
      <c r="NQZ65" s="277" t="s">
        <v>1072</v>
      </c>
      <c r="NRA65" s="277" t="s">
        <v>1072</v>
      </c>
      <c r="NRB65" s="277" t="s">
        <v>1072</v>
      </c>
      <c r="NRC65" s="277" t="s">
        <v>1072</v>
      </c>
      <c r="NRD65" s="277" t="s">
        <v>1072</v>
      </c>
      <c r="NRE65" s="277" t="s">
        <v>1072</v>
      </c>
      <c r="NRF65" s="277" t="s">
        <v>1072</v>
      </c>
      <c r="NRG65" s="277" t="s">
        <v>1072</v>
      </c>
      <c r="NRH65" s="277" t="s">
        <v>1072</v>
      </c>
      <c r="NRI65" s="277" t="s">
        <v>1072</v>
      </c>
      <c r="NRJ65" s="277" t="s">
        <v>1072</v>
      </c>
      <c r="NRK65" s="277" t="s">
        <v>1072</v>
      </c>
      <c r="NRL65" s="277" t="s">
        <v>1072</v>
      </c>
      <c r="NRM65" s="277" t="s">
        <v>1072</v>
      </c>
      <c r="NRN65" s="277" t="s">
        <v>1072</v>
      </c>
      <c r="NRO65" s="277" t="s">
        <v>1072</v>
      </c>
      <c r="NRP65" s="277" t="s">
        <v>1072</v>
      </c>
      <c r="NRQ65" s="277" t="s">
        <v>1072</v>
      </c>
      <c r="NRR65" s="277" t="s">
        <v>1072</v>
      </c>
      <c r="NRS65" s="277" t="s">
        <v>1072</v>
      </c>
      <c r="NRT65" s="277" t="s">
        <v>1072</v>
      </c>
      <c r="NRU65" s="277" t="s">
        <v>1072</v>
      </c>
      <c r="NRV65" s="277" t="s">
        <v>1072</v>
      </c>
      <c r="NRW65" s="277" t="s">
        <v>1072</v>
      </c>
      <c r="NRX65" s="277" t="s">
        <v>1072</v>
      </c>
      <c r="NRY65" s="277" t="s">
        <v>1072</v>
      </c>
      <c r="NRZ65" s="277" t="s">
        <v>1072</v>
      </c>
      <c r="NSA65" s="277" t="s">
        <v>1072</v>
      </c>
      <c r="NSB65" s="277" t="s">
        <v>1072</v>
      </c>
      <c r="NSC65" s="277" t="s">
        <v>1072</v>
      </c>
      <c r="NSD65" s="277" t="s">
        <v>1072</v>
      </c>
      <c r="NSE65" s="277" t="s">
        <v>1072</v>
      </c>
      <c r="NSF65" s="277" t="s">
        <v>1072</v>
      </c>
      <c r="NSG65" s="277" t="s">
        <v>1072</v>
      </c>
      <c r="NSH65" s="277" t="s">
        <v>1072</v>
      </c>
      <c r="NSI65" s="277" t="s">
        <v>1072</v>
      </c>
      <c r="NSJ65" s="277" t="s">
        <v>1072</v>
      </c>
      <c r="NSK65" s="277" t="s">
        <v>1072</v>
      </c>
      <c r="NSL65" s="277" t="s">
        <v>1072</v>
      </c>
      <c r="NSM65" s="277" t="s">
        <v>1072</v>
      </c>
      <c r="NSN65" s="277" t="s">
        <v>1072</v>
      </c>
      <c r="NSO65" s="277" t="s">
        <v>1072</v>
      </c>
      <c r="NSP65" s="277" t="s">
        <v>1072</v>
      </c>
      <c r="NSQ65" s="277" t="s">
        <v>1072</v>
      </c>
      <c r="NSR65" s="277" t="s">
        <v>1072</v>
      </c>
      <c r="NSS65" s="277" t="s">
        <v>1072</v>
      </c>
      <c r="NST65" s="277" t="s">
        <v>1072</v>
      </c>
      <c r="NSU65" s="277" t="s">
        <v>1072</v>
      </c>
      <c r="NSV65" s="277" t="s">
        <v>1072</v>
      </c>
      <c r="NSW65" s="277" t="s">
        <v>1072</v>
      </c>
      <c r="NSX65" s="277" t="s">
        <v>1072</v>
      </c>
      <c r="NSY65" s="277" t="s">
        <v>1072</v>
      </c>
      <c r="NSZ65" s="277" t="s">
        <v>1072</v>
      </c>
      <c r="NTA65" s="277" t="s">
        <v>1072</v>
      </c>
      <c r="NTB65" s="277" t="s">
        <v>1072</v>
      </c>
      <c r="NTC65" s="277" t="s">
        <v>1072</v>
      </c>
      <c r="NTD65" s="277" t="s">
        <v>1072</v>
      </c>
      <c r="NTE65" s="277" t="s">
        <v>1072</v>
      </c>
      <c r="NTF65" s="277" t="s">
        <v>1072</v>
      </c>
      <c r="NTG65" s="277" t="s">
        <v>1072</v>
      </c>
      <c r="NTH65" s="277" t="s">
        <v>1072</v>
      </c>
      <c r="NTI65" s="277" t="s">
        <v>1072</v>
      </c>
      <c r="NTJ65" s="277" t="s">
        <v>1072</v>
      </c>
      <c r="NTK65" s="277" t="s">
        <v>1072</v>
      </c>
      <c r="NTL65" s="277" t="s">
        <v>1072</v>
      </c>
      <c r="NTM65" s="277" t="s">
        <v>1072</v>
      </c>
      <c r="NTN65" s="277" t="s">
        <v>1072</v>
      </c>
      <c r="NTO65" s="277" t="s">
        <v>1072</v>
      </c>
      <c r="NTP65" s="277" t="s">
        <v>1072</v>
      </c>
      <c r="NTQ65" s="277" t="s">
        <v>1072</v>
      </c>
      <c r="NTR65" s="277" t="s">
        <v>1072</v>
      </c>
      <c r="NTS65" s="277" t="s">
        <v>1072</v>
      </c>
      <c r="NTT65" s="277" t="s">
        <v>1072</v>
      </c>
      <c r="NTU65" s="277" t="s">
        <v>1072</v>
      </c>
      <c r="NTV65" s="277" t="s">
        <v>1072</v>
      </c>
      <c r="NTW65" s="277" t="s">
        <v>1072</v>
      </c>
      <c r="NTX65" s="277" t="s">
        <v>1072</v>
      </c>
      <c r="NTY65" s="277" t="s">
        <v>1072</v>
      </c>
      <c r="NTZ65" s="277" t="s">
        <v>1072</v>
      </c>
      <c r="NUA65" s="277" t="s">
        <v>1072</v>
      </c>
      <c r="NUB65" s="277" t="s">
        <v>1072</v>
      </c>
      <c r="NUC65" s="277" t="s">
        <v>1072</v>
      </c>
      <c r="NUD65" s="277" t="s">
        <v>1072</v>
      </c>
      <c r="NUE65" s="277" t="s">
        <v>1072</v>
      </c>
      <c r="NUF65" s="277" t="s">
        <v>1072</v>
      </c>
      <c r="NUG65" s="277" t="s">
        <v>1072</v>
      </c>
      <c r="NUH65" s="277" t="s">
        <v>1072</v>
      </c>
      <c r="NUI65" s="277" t="s">
        <v>1072</v>
      </c>
      <c r="NUJ65" s="277" t="s">
        <v>1072</v>
      </c>
      <c r="NUK65" s="277" t="s">
        <v>1072</v>
      </c>
      <c r="NUL65" s="277" t="s">
        <v>1072</v>
      </c>
      <c r="NUM65" s="277" t="s">
        <v>1072</v>
      </c>
      <c r="NUN65" s="277" t="s">
        <v>1072</v>
      </c>
      <c r="NUO65" s="277" t="s">
        <v>1072</v>
      </c>
      <c r="NUP65" s="277" t="s">
        <v>1072</v>
      </c>
      <c r="NUQ65" s="277" t="s">
        <v>1072</v>
      </c>
      <c r="NUR65" s="277" t="s">
        <v>1072</v>
      </c>
      <c r="NUS65" s="277" t="s">
        <v>1072</v>
      </c>
      <c r="NUT65" s="277" t="s">
        <v>1072</v>
      </c>
      <c r="NUU65" s="277" t="s">
        <v>1072</v>
      </c>
      <c r="NUV65" s="277" t="s">
        <v>1072</v>
      </c>
      <c r="NUW65" s="277" t="s">
        <v>1072</v>
      </c>
      <c r="NUX65" s="277" t="s">
        <v>1072</v>
      </c>
      <c r="NUY65" s="277" t="s">
        <v>1072</v>
      </c>
      <c r="NUZ65" s="277" t="s">
        <v>1072</v>
      </c>
      <c r="NVA65" s="277" t="s">
        <v>1072</v>
      </c>
      <c r="NVB65" s="277" t="s">
        <v>1072</v>
      </c>
      <c r="NVC65" s="277" t="s">
        <v>1072</v>
      </c>
      <c r="NVD65" s="277" t="s">
        <v>1072</v>
      </c>
      <c r="NVE65" s="277" t="s">
        <v>1072</v>
      </c>
      <c r="NVF65" s="277" t="s">
        <v>1072</v>
      </c>
      <c r="NVG65" s="277" t="s">
        <v>1072</v>
      </c>
      <c r="NVH65" s="277" t="s">
        <v>1072</v>
      </c>
      <c r="NVI65" s="277" t="s">
        <v>1072</v>
      </c>
      <c r="NVJ65" s="277" t="s">
        <v>1072</v>
      </c>
      <c r="NVK65" s="277" t="s">
        <v>1072</v>
      </c>
      <c r="NVL65" s="277" t="s">
        <v>1072</v>
      </c>
      <c r="NVM65" s="277" t="s">
        <v>1072</v>
      </c>
      <c r="NVN65" s="277" t="s">
        <v>1072</v>
      </c>
      <c r="NVO65" s="277" t="s">
        <v>1072</v>
      </c>
      <c r="NVP65" s="277" t="s">
        <v>1072</v>
      </c>
      <c r="NVQ65" s="277" t="s">
        <v>1072</v>
      </c>
      <c r="NVR65" s="277" t="s">
        <v>1072</v>
      </c>
      <c r="NVS65" s="277" t="s">
        <v>1072</v>
      </c>
      <c r="NVT65" s="277" t="s">
        <v>1072</v>
      </c>
      <c r="NVU65" s="277" t="s">
        <v>1072</v>
      </c>
      <c r="NVV65" s="277" t="s">
        <v>1072</v>
      </c>
      <c r="NVW65" s="277" t="s">
        <v>1072</v>
      </c>
      <c r="NVX65" s="277" t="s">
        <v>1072</v>
      </c>
      <c r="NVY65" s="277" t="s">
        <v>1072</v>
      </c>
      <c r="NVZ65" s="277" t="s">
        <v>1072</v>
      </c>
      <c r="NWA65" s="277" t="s">
        <v>1072</v>
      </c>
      <c r="NWB65" s="277" t="s">
        <v>1072</v>
      </c>
      <c r="NWC65" s="277" t="s">
        <v>1072</v>
      </c>
      <c r="NWD65" s="277" t="s">
        <v>1072</v>
      </c>
      <c r="NWE65" s="277" t="s">
        <v>1072</v>
      </c>
      <c r="NWF65" s="277" t="s">
        <v>1072</v>
      </c>
      <c r="NWG65" s="277" t="s">
        <v>1072</v>
      </c>
      <c r="NWH65" s="277" t="s">
        <v>1072</v>
      </c>
      <c r="NWI65" s="277" t="s">
        <v>1072</v>
      </c>
      <c r="NWJ65" s="277" t="s">
        <v>1072</v>
      </c>
      <c r="NWK65" s="277" t="s">
        <v>1072</v>
      </c>
      <c r="NWL65" s="277" t="s">
        <v>1072</v>
      </c>
      <c r="NWM65" s="277" t="s">
        <v>1072</v>
      </c>
      <c r="NWN65" s="277" t="s">
        <v>1072</v>
      </c>
      <c r="NWO65" s="277" t="s">
        <v>1072</v>
      </c>
      <c r="NWP65" s="277" t="s">
        <v>1072</v>
      </c>
      <c r="NWQ65" s="277" t="s">
        <v>1072</v>
      </c>
      <c r="NWR65" s="277" t="s">
        <v>1072</v>
      </c>
      <c r="NWS65" s="277" t="s">
        <v>1072</v>
      </c>
      <c r="NWT65" s="277" t="s">
        <v>1072</v>
      </c>
      <c r="NWU65" s="277" t="s">
        <v>1072</v>
      </c>
      <c r="NWV65" s="277" t="s">
        <v>1072</v>
      </c>
      <c r="NWW65" s="277" t="s">
        <v>1072</v>
      </c>
      <c r="NWX65" s="277" t="s">
        <v>1072</v>
      </c>
      <c r="NWY65" s="277" t="s">
        <v>1072</v>
      </c>
      <c r="NWZ65" s="277" t="s">
        <v>1072</v>
      </c>
      <c r="NXA65" s="277" t="s">
        <v>1072</v>
      </c>
      <c r="NXB65" s="277" t="s">
        <v>1072</v>
      </c>
      <c r="NXC65" s="277" t="s">
        <v>1072</v>
      </c>
      <c r="NXD65" s="277" t="s">
        <v>1072</v>
      </c>
      <c r="NXE65" s="277" t="s">
        <v>1072</v>
      </c>
      <c r="NXF65" s="277" t="s">
        <v>1072</v>
      </c>
      <c r="NXG65" s="277" t="s">
        <v>1072</v>
      </c>
      <c r="NXH65" s="277" t="s">
        <v>1072</v>
      </c>
      <c r="NXI65" s="277" t="s">
        <v>1072</v>
      </c>
      <c r="NXJ65" s="277" t="s">
        <v>1072</v>
      </c>
      <c r="NXK65" s="277" t="s">
        <v>1072</v>
      </c>
      <c r="NXL65" s="277" t="s">
        <v>1072</v>
      </c>
      <c r="NXM65" s="277" t="s">
        <v>1072</v>
      </c>
      <c r="NXN65" s="277" t="s">
        <v>1072</v>
      </c>
      <c r="NXO65" s="277" t="s">
        <v>1072</v>
      </c>
      <c r="NXP65" s="277" t="s">
        <v>1072</v>
      </c>
      <c r="NXQ65" s="277" t="s">
        <v>1072</v>
      </c>
      <c r="NXR65" s="277" t="s">
        <v>1072</v>
      </c>
      <c r="NXS65" s="277" t="s">
        <v>1072</v>
      </c>
      <c r="NXT65" s="277" t="s">
        <v>1072</v>
      </c>
      <c r="NXU65" s="277" t="s">
        <v>1072</v>
      </c>
      <c r="NXV65" s="277" t="s">
        <v>1072</v>
      </c>
      <c r="NXW65" s="277" t="s">
        <v>1072</v>
      </c>
      <c r="NXX65" s="277" t="s">
        <v>1072</v>
      </c>
      <c r="NXY65" s="277" t="s">
        <v>1072</v>
      </c>
      <c r="NXZ65" s="277" t="s">
        <v>1072</v>
      </c>
      <c r="NYA65" s="277" t="s">
        <v>1072</v>
      </c>
      <c r="NYB65" s="277" t="s">
        <v>1072</v>
      </c>
      <c r="NYC65" s="277" t="s">
        <v>1072</v>
      </c>
      <c r="NYD65" s="277" t="s">
        <v>1072</v>
      </c>
      <c r="NYE65" s="277" t="s">
        <v>1072</v>
      </c>
      <c r="NYF65" s="277" t="s">
        <v>1072</v>
      </c>
      <c r="NYG65" s="277" t="s">
        <v>1072</v>
      </c>
      <c r="NYH65" s="277" t="s">
        <v>1072</v>
      </c>
      <c r="NYI65" s="277" t="s">
        <v>1072</v>
      </c>
      <c r="NYJ65" s="277" t="s">
        <v>1072</v>
      </c>
      <c r="NYK65" s="277" t="s">
        <v>1072</v>
      </c>
      <c r="NYL65" s="277" t="s">
        <v>1072</v>
      </c>
      <c r="NYM65" s="277" t="s">
        <v>1072</v>
      </c>
      <c r="NYN65" s="277" t="s">
        <v>1072</v>
      </c>
      <c r="NYO65" s="277" t="s">
        <v>1072</v>
      </c>
      <c r="NYP65" s="277" t="s">
        <v>1072</v>
      </c>
      <c r="NYQ65" s="277" t="s">
        <v>1072</v>
      </c>
      <c r="NYR65" s="277" t="s">
        <v>1072</v>
      </c>
      <c r="NYS65" s="277" t="s">
        <v>1072</v>
      </c>
      <c r="NYT65" s="277" t="s">
        <v>1072</v>
      </c>
      <c r="NYU65" s="277" t="s">
        <v>1072</v>
      </c>
      <c r="NYV65" s="277" t="s">
        <v>1072</v>
      </c>
      <c r="NYW65" s="277" t="s">
        <v>1072</v>
      </c>
      <c r="NYX65" s="277" t="s">
        <v>1072</v>
      </c>
      <c r="NYY65" s="277" t="s">
        <v>1072</v>
      </c>
      <c r="NYZ65" s="277" t="s">
        <v>1072</v>
      </c>
      <c r="NZA65" s="277" t="s">
        <v>1072</v>
      </c>
      <c r="NZB65" s="277" t="s">
        <v>1072</v>
      </c>
      <c r="NZC65" s="277" t="s">
        <v>1072</v>
      </c>
      <c r="NZD65" s="277" t="s">
        <v>1072</v>
      </c>
      <c r="NZE65" s="277" t="s">
        <v>1072</v>
      </c>
      <c r="NZF65" s="277" t="s">
        <v>1072</v>
      </c>
      <c r="NZG65" s="277" t="s">
        <v>1072</v>
      </c>
      <c r="NZH65" s="277" t="s">
        <v>1072</v>
      </c>
      <c r="NZI65" s="277" t="s">
        <v>1072</v>
      </c>
      <c r="NZJ65" s="277" t="s">
        <v>1072</v>
      </c>
      <c r="NZK65" s="277" t="s">
        <v>1072</v>
      </c>
      <c r="NZL65" s="277" t="s">
        <v>1072</v>
      </c>
      <c r="NZM65" s="277" t="s">
        <v>1072</v>
      </c>
      <c r="NZN65" s="277" t="s">
        <v>1072</v>
      </c>
      <c r="NZO65" s="277" t="s">
        <v>1072</v>
      </c>
      <c r="NZP65" s="277" t="s">
        <v>1072</v>
      </c>
      <c r="NZQ65" s="277" t="s">
        <v>1072</v>
      </c>
      <c r="NZR65" s="277" t="s">
        <v>1072</v>
      </c>
      <c r="NZS65" s="277" t="s">
        <v>1072</v>
      </c>
      <c r="NZT65" s="277" t="s">
        <v>1072</v>
      </c>
      <c r="NZU65" s="277" t="s">
        <v>1072</v>
      </c>
      <c r="NZV65" s="277" t="s">
        <v>1072</v>
      </c>
      <c r="NZW65" s="277" t="s">
        <v>1072</v>
      </c>
      <c r="NZX65" s="277" t="s">
        <v>1072</v>
      </c>
      <c r="NZY65" s="277" t="s">
        <v>1072</v>
      </c>
      <c r="NZZ65" s="277" t="s">
        <v>1072</v>
      </c>
      <c r="OAA65" s="277" t="s">
        <v>1072</v>
      </c>
      <c r="OAB65" s="277" t="s">
        <v>1072</v>
      </c>
      <c r="OAC65" s="277" t="s">
        <v>1072</v>
      </c>
      <c r="OAD65" s="277" t="s">
        <v>1072</v>
      </c>
      <c r="OAE65" s="277" t="s">
        <v>1072</v>
      </c>
      <c r="OAF65" s="277" t="s">
        <v>1072</v>
      </c>
      <c r="OAG65" s="277" t="s">
        <v>1072</v>
      </c>
      <c r="OAH65" s="277" t="s">
        <v>1072</v>
      </c>
      <c r="OAI65" s="277" t="s">
        <v>1072</v>
      </c>
      <c r="OAJ65" s="277" t="s">
        <v>1072</v>
      </c>
      <c r="OAK65" s="277" t="s">
        <v>1072</v>
      </c>
      <c r="OAL65" s="277" t="s">
        <v>1072</v>
      </c>
      <c r="OAM65" s="277" t="s">
        <v>1072</v>
      </c>
      <c r="OAN65" s="277" t="s">
        <v>1072</v>
      </c>
      <c r="OAO65" s="277" t="s">
        <v>1072</v>
      </c>
      <c r="OAP65" s="277" t="s">
        <v>1072</v>
      </c>
      <c r="OAQ65" s="277" t="s">
        <v>1072</v>
      </c>
      <c r="OAR65" s="277" t="s">
        <v>1072</v>
      </c>
      <c r="OAS65" s="277" t="s">
        <v>1072</v>
      </c>
      <c r="OAT65" s="277" t="s">
        <v>1072</v>
      </c>
      <c r="OAU65" s="277" t="s">
        <v>1072</v>
      </c>
      <c r="OAV65" s="277" t="s">
        <v>1072</v>
      </c>
      <c r="OAW65" s="277" t="s">
        <v>1072</v>
      </c>
      <c r="OAX65" s="277" t="s">
        <v>1072</v>
      </c>
      <c r="OAY65" s="277" t="s">
        <v>1072</v>
      </c>
      <c r="OAZ65" s="277" t="s">
        <v>1072</v>
      </c>
      <c r="OBA65" s="277" t="s">
        <v>1072</v>
      </c>
      <c r="OBB65" s="277" t="s">
        <v>1072</v>
      </c>
      <c r="OBC65" s="277" t="s">
        <v>1072</v>
      </c>
      <c r="OBD65" s="277" t="s">
        <v>1072</v>
      </c>
      <c r="OBE65" s="277" t="s">
        <v>1072</v>
      </c>
      <c r="OBF65" s="277" t="s">
        <v>1072</v>
      </c>
      <c r="OBG65" s="277" t="s">
        <v>1072</v>
      </c>
      <c r="OBH65" s="277" t="s">
        <v>1072</v>
      </c>
      <c r="OBI65" s="277" t="s">
        <v>1072</v>
      </c>
      <c r="OBJ65" s="277" t="s">
        <v>1072</v>
      </c>
      <c r="OBK65" s="277" t="s">
        <v>1072</v>
      </c>
      <c r="OBL65" s="277" t="s">
        <v>1072</v>
      </c>
      <c r="OBM65" s="277" t="s">
        <v>1072</v>
      </c>
      <c r="OBN65" s="277" t="s">
        <v>1072</v>
      </c>
      <c r="OBO65" s="277" t="s">
        <v>1072</v>
      </c>
      <c r="OBP65" s="277" t="s">
        <v>1072</v>
      </c>
      <c r="OBQ65" s="277" t="s">
        <v>1072</v>
      </c>
      <c r="OBR65" s="277" t="s">
        <v>1072</v>
      </c>
      <c r="OBS65" s="277" t="s">
        <v>1072</v>
      </c>
      <c r="OBT65" s="277" t="s">
        <v>1072</v>
      </c>
      <c r="OBU65" s="277" t="s">
        <v>1072</v>
      </c>
      <c r="OBV65" s="277" t="s">
        <v>1072</v>
      </c>
      <c r="OBW65" s="277" t="s">
        <v>1072</v>
      </c>
      <c r="OBX65" s="277" t="s">
        <v>1072</v>
      </c>
      <c r="OBY65" s="277" t="s">
        <v>1072</v>
      </c>
      <c r="OBZ65" s="277" t="s">
        <v>1072</v>
      </c>
      <c r="OCA65" s="277" t="s">
        <v>1072</v>
      </c>
      <c r="OCB65" s="277" t="s">
        <v>1072</v>
      </c>
      <c r="OCC65" s="277" t="s">
        <v>1072</v>
      </c>
      <c r="OCD65" s="277" t="s">
        <v>1072</v>
      </c>
      <c r="OCE65" s="277" t="s">
        <v>1072</v>
      </c>
      <c r="OCF65" s="277" t="s">
        <v>1072</v>
      </c>
      <c r="OCG65" s="277" t="s">
        <v>1072</v>
      </c>
      <c r="OCH65" s="277" t="s">
        <v>1072</v>
      </c>
      <c r="OCI65" s="277" t="s">
        <v>1072</v>
      </c>
      <c r="OCJ65" s="277" t="s">
        <v>1072</v>
      </c>
      <c r="OCK65" s="277" t="s">
        <v>1072</v>
      </c>
      <c r="OCL65" s="277" t="s">
        <v>1072</v>
      </c>
      <c r="OCM65" s="277" t="s">
        <v>1072</v>
      </c>
      <c r="OCN65" s="277" t="s">
        <v>1072</v>
      </c>
      <c r="OCO65" s="277" t="s">
        <v>1072</v>
      </c>
      <c r="OCP65" s="277" t="s">
        <v>1072</v>
      </c>
      <c r="OCQ65" s="277" t="s">
        <v>1072</v>
      </c>
      <c r="OCR65" s="277" t="s">
        <v>1072</v>
      </c>
      <c r="OCS65" s="277" t="s">
        <v>1072</v>
      </c>
      <c r="OCT65" s="277" t="s">
        <v>1072</v>
      </c>
      <c r="OCU65" s="277" t="s">
        <v>1072</v>
      </c>
      <c r="OCV65" s="277" t="s">
        <v>1072</v>
      </c>
      <c r="OCW65" s="277" t="s">
        <v>1072</v>
      </c>
      <c r="OCX65" s="277" t="s">
        <v>1072</v>
      </c>
      <c r="OCY65" s="277" t="s">
        <v>1072</v>
      </c>
      <c r="OCZ65" s="277" t="s">
        <v>1072</v>
      </c>
      <c r="ODA65" s="277" t="s">
        <v>1072</v>
      </c>
      <c r="ODB65" s="277" t="s">
        <v>1072</v>
      </c>
      <c r="ODC65" s="277" t="s">
        <v>1072</v>
      </c>
      <c r="ODD65" s="277" t="s">
        <v>1072</v>
      </c>
      <c r="ODE65" s="277" t="s">
        <v>1072</v>
      </c>
      <c r="ODF65" s="277" t="s">
        <v>1072</v>
      </c>
      <c r="ODG65" s="277" t="s">
        <v>1072</v>
      </c>
      <c r="ODH65" s="277" t="s">
        <v>1072</v>
      </c>
      <c r="ODI65" s="277" t="s">
        <v>1072</v>
      </c>
      <c r="ODJ65" s="277" t="s">
        <v>1072</v>
      </c>
      <c r="ODK65" s="277" t="s">
        <v>1072</v>
      </c>
      <c r="ODL65" s="277" t="s">
        <v>1072</v>
      </c>
      <c r="ODM65" s="277" t="s">
        <v>1072</v>
      </c>
      <c r="ODN65" s="277" t="s">
        <v>1072</v>
      </c>
      <c r="ODO65" s="277" t="s">
        <v>1072</v>
      </c>
      <c r="ODP65" s="277" t="s">
        <v>1072</v>
      </c>
      <c r="ODQ65" s="277" t="s">
        <v>1072</v>
      </c>
      <c r="ODR65" s="277" t="s">
        <v>1072</v>
      </c>
      <c r="ODS65" s="277" t="s">
        <v>1072</v>
      </c>
      <c r="ODT65" s="277" t="s">
        <v>1072</v>
      </c>
      <c r="ODU65" s="277" t="s">
        <v>1072</v>
      </c>
      <c r="ODV65" s="277" t="s">
        <v>1072</v>
      </c>
      <c r="ODW65" s="277" t="s">
        <v>1072</v>
      </c>
      <c r="ODX65" s="277" t="s">
        <v>1072</v>
      </c>
      <c r="ODY65" s="277" t="s">
        <v>1072</v>
      </c>
      <c r="ODZ65" s="277" t="s">
        <v>1072</v>
      </c>
      <c r="OEA65" s="277" t="s">
        <v>1072</v>
      </c>
      <c r="OEB65" s="277" t="s">
        <v>1072</v>
      </c>
      <c r="OEC65" s="277" t="s">
        <v>1072</v>
      </c>
      <c r="OED65" s="277" t="s">
        <v>1072</v>
      </c>
      <c r="OEE65" s="277" t="s">
        <v>1072</v>
      </c>
      <c r="OEF65" s="277" t="s">
        <v>1072</v>
      </c>
      <c r="OEG65" s="277" t="s">
        <v>1072</v>
      </c>
      <c r="OEH65" s="277" t="s">
        <v>1072</v>
      </c>
      <c r="OEI65" s="277" t="s">
        <v>1072</v>
      </c>
      <c r="OEJ65" s="277" t="s">
        <v>1072</v>
      </c>
      <c r="OEK65" s="277" t="s">
        <v>1072</v>
      </c>
      <c r="OEL65" s="277" t="s">
        <v>1072</v>
      </c>
      <c r="OEM65" s="277" t="s">
        <v>1072</v>
      </c>
      <c r="OEN65" s="277" t="s">
        <v>1072</v>
      </c>
      <c r="OEO65" s="277" t="s">
        <v>1072</v>
      </c>
      <c r="OEP65" s="277" t="s">
        <v>1072</v>
      </c>
      <c r="OEQ65" s="277" t="s">
        <v>1072</v>
      </c>
      <c r="OER65" s="277" t="s">
        <v>1072</v>
      </c>
      <c r="OES65" s="277" t="s">
        <v>1072</v>
      </c>
      <c r="OET65" s="277" t="s">
        <v>1072</v>
      </c>
      <c r="OEU65" s="277" t="s">
        <v>1072</v>
      </c>
      <c r="OEV65" s="277" t="s">
        <v>1072</v>
      </c>
      <c r="OEW65" s="277" t="s">
        <v>1072</v>
      </c>
      <c r="OEX65" s="277" t="s">
        <v>1072</v>
      </c>
      <c r="OEY65" s="277" t="s">
        <v>1072</v>
      </c>
      <c r="OEZ65" s="277" t="s">
        <v>1072</v>
      </c>
      <c r="OFA65" s="277" t="s">
        <v>1072</v>
      </c>
      <c r="OFB65" s="277" t="s">
        <v>1072</v>
      </c>
      <c r="OFC65" s="277" t="s">
        <v>1072</v>
      </c>
      <c r="OFD65" s="277" t="s">
        <v>1072</v>
      </c>
      <c r="OFE65" s="277" t="s">
        <v>1072</v>
      </c>
      <c r="OFF65" s="277" t="s">
        <v>1072</v>
      </c>
      <c r="OFG65" s="277" t="s">
        <v>1072</v>
      </c>
      <c r="OFH65" s="277" t="s">
        <v>1072</v>
      </c>
      <c r="OFI65" s="277" t="s">
        <v>1072</v>
      </c>
      <c r="OFJ65" s="277" t="s">
        <v>1072</v>
      </c>
      <c r="OFK65" s="277" t="s">
        <v>1072</v>
      </c>
      <c r="OFL65" s="277" t="s">
        <v>1072</v>
      </c>
      <c r="OFM65" s="277" t="s">
        <v>1072</v>
      </c>
      <c r="OFN65" s="277" t="s">
        <v>1072</v>
      </c>
      <c r="OFO65" s="277" t="s">
        <v>1072</v>
      </c>
      <c r="OFP65" s="277" t="s">
        <v>1072</v>
      </c>
      <c r="OFQ65" s="277" t="s">
        <v>1072</v>
      </c>
      <c r="OFR65" s="277" t="s">
        <v>1072</v>
      </c>
      <c r="OFS65" s="277" t="s">
        <v>1072</v>
      </c>
      <c r="OFT65" s="277" t="s">
        <v>1072</v>
      </c>
      <c r="OFU65" s="277" t="s">
        <v>1072</v>
      </c>
      <c r="OFV65" s="277" t="s">
        <v>1072</v>
      </c>
      <c r="OFW65" s="277" t="s">
        <v>1072</v>
      </c>
      <c r="OFX65" s="277" t="s">
        <v>1072</v>
      </c>
      <c r="OFY65" s="277" t="s">
        <v>1072</v>
      </c>
      <c r="OFZ65" s="277" t="s">
        <v>1072</v>
      </c>
      <c r="OGA65" s="277" t="s">
        <v>1072</v>
      </c>
      <c r="OGB65" s="277" t="s">
        <v>1072</v>
      </c>
      <c r="OGC65" s="277" t="s">
        <v>1072</v>
      </c>
      <c r="OGD65" s="277" t="s">
        <v>1072</v>
      </c>
      <c r="OGE65" s="277" t="s">
        <v>1072</v>
      </c>
      <c r="OGF65" s="277" t="s">
        <v>1072</v>
      </c>
      <c r="OGG65" s="277" t="s">
        <v>1072</v>
      </c>
      <c r="OGH65" s="277" t="s">
        <v>1072</v>
      </c>
      <c r="OGI65" s="277" t="s">
        <v>1072</v>
      </c>
      <c r="OGJ65" s="277" t="s">
        <v>1072</v>
      </c>
      <c r="OGK65" s="277" t="s">
        <v>1072</v>
      </c>
      <c r="OGL65" s="277" t="s">
        <v>1072</v>
      </c>
      <c r="OGM65" s="277" t="s">
        <v>1072</v>
      </c>
      <c r="OGN65" s="277" t="s">
        <v>1072</v>
      </c>
      <c r="OGO65" s="277" t="s">
        <v>1072</v>
      </c>
      <c r="OGP65" s="277" t="s">
        <v>1072</v>
      </c>
      <c r="OGQ65" s="277" t="s">
        <v>1072</v>
      </c>
      <c r="OGR65" s="277" t="s">
        <v>1072</v>
      </c>
      <c r="OGS65" s="277" t="s">
        <v>1072</v>
      </c>
      <c r="OGT65" s="277" t="s">
        <v>1072</v>
      </c>
      <c r="OGU65" s="277" t="s">
        <v>1072</v>
      </c>
      <c r="OGV65" s="277" t="s">
        <v>1072</v>
      </c>
      <c r="OGW65" s="277" t="s">
        <v>1072</v>
      </c>
      <c r="OGX65" s="277" t="s">
        <v>1072</v>
      </c>
      <c r="OGY65" s="277" t="s">
        <v>1072</v>
      </c>
      <c r="OGZ65" s="277" t="s">
        <v>1072</v>
      </c>
      <c r="OHA65" s="277" t="s">
        <v>1072</v>
      </c>
      <c r="OHB65" s="277" t="s">
        <v>1072</v>
      </c>
      <c r="OHC65" s="277" t="s">
        <v>1072</v>
      </c>
      <c r="OHD65" s="277" t="s">
        <v>1072</v>
      </c>
      <c r="OHE65" s="277" t="s">
        <v>1072</v>
      </c>
      <c r="OHF65" s="277" t="s">
        <v>1072</v>
      </c>
      <c r="OHG65" s="277" t="s">
        <v>1072</v>
      </c>
      <c r="OHH65" s="277" t="s">
        <v>1072</v>
      </c>
      <c r="OHI65" s="277" t="s">
        <v>1072</v>
      </c>
      <c r="OHJ65" s="277" t="s">
        <v>1072</v>
      </c>
      <c r="OHK65" s="277" t="s">
        <v>1072</v>
      </c>
      <c r="OHL65" s="277" t="s">
        <v>1072</v>
      </c>
      <c r="OHM65" s="277" t="s">
        <v>1072</v>
      </c>
      <c r="OHN65" s="277" t="s">
        <v>1072</v>
      </c>
      <c r="OHO65" s="277" t="s">
        <v>1072</v>
      </c>
      <c r="OHP65" s="277" t="s">
        <v>1072</v>
      </c>
      <c r="OHQ65" s="277" t="s">
        <v>1072</v>
      </c>
      <c r="OHR65" s="277" t="s">
        <v>1072</v>
      </c>
      <c r="OHS65" s="277" t="s">
        <v>1072</v>
      </c>
      <c r="OHT65" s="277" t="s">
        <v>1072</v>
      </c>
      <c r="OHU65" s="277" t="s">
        <v>1072</v>
      </c>
      <c r="OHV65" s="277" t="s">
        <v>1072</v>
      </c>
      <c r="OHW65" s="277" t="s">
        <v>1072</v>
      </c>
      <c r="OHX65" s="277" t="s">
        <v>1072</v>
      </c>
      <c r="OHY65" s="277" t="s">
        <v>1072</v>
      </c>
      <c r="OHZ65" s="277" t="s">
        <v>1072</v>
      </c>
      <c r="OIA65" s="277" t="s">
        <v>1072</v>
      </c>
      <c r="OIB65" s="277" t="s">
        <v>1072</v>
      </c>
      <c r="OIC65" s="277" t="s">
        <v>1072</v>
      </c>
      <c r="OID65" s="277" t="s">
        <v>1072</v>
      </c>
      <c r="OIE65" s="277" t="s">
        <v>1072</v>
      </c>
      <c r="OIF65" s="277" t="s">
        <v>1072</v>
      </c>
      <c r="OIG65" s="277" t="s">
        <v>1072</v>
      </c>
      <c r="OIH65" s="277" t="s">
        <v>1072</v>
      </c>
      <c r="OII65" s="277" t="s">
        <v>1072</v>
      </c>
      <c r="OIJ65" s="277" t="s">
        <v>1072</v>
      </c>
      <c r="OIK65" s="277" t="s">
        <v>1072</v>
      </c>
      <c r="OIL65" s="277" t="s">
        <v>1072</v>
      </c>
      <c r="OIM65" s="277" t="s">
        <v>1072</v>
      </c>
      <c r="OIN65" s="277" t="s">
        <v>1072</v>
      </c>
      <c r="OIO65" s="277" t="s">
        <v>1072</v>
      </c>
      <c r="OIP65" s="277" t="s">
        <v>1072</v>
      </c>
      <c r="OIQ65" s="277" t="s">
        <v>1072</v>
      </c>
      <c r="OIR65" s="277" t="s">
        <v>1072</v>
      </c>
      <c r="OIS65" s="277" t="s">
        <v>1072</v>
      </c>
      <c r="OIT65" s="277" t="s">
        <v>1072</v>
      </c>
      <c r="OIU65" s="277" t="s">
        <v>1072</v>
      </c>
      <c r="OIV65" s="277" t="s">
        <v>1072</v>
      </c>
      <c r="OIW65" s="277" t="s">
        <v>1072</v>
      </c>
      <c r="OIX65" s="277" t="s">
        <v>1072</v>
      </c>
      <c r="OIY65" s="277" t="s">
        <v>1072</v>
      </c>
      <c r="OIZ65" s="277" t="s">
        <v>1072</v>
      </c>
      <c r="OJA65" s="277" t="s">
        <v>1072</v>
      </c>
      <c r="OJB65" s="277" t="s">
        <v>1072</v>
      </c>
      <c r="OJC65" s="277" t="s">
        <v>1072</v>
      </c>
      <c r="OJD65" s="277" t="s">
        <v>1072</v>
      </c>
      <c r="OJE65" s="277" t="s">
        <v>1072</v>
      </c>
      <c r="OJF65" s="277" t="s">
        <v>1072</v>
      </c>
      <c r="OJG65" s="277" t="s">
        <v>1072</v>
      </c>
      <c r="OJH65" s="277" t="s">
        <v>1072</v>
      </c>
      <c r="OJI65" s="277" t="s">
        <v>1072</v>
      </c>
      <c r="OJJ65" s="277" t="s">
        <v>1072</v>
      </c>
      <c r="OJK65" s="277" t="s">
        <v>1072</v>
      </c>
      <c r="OJL65" s="277" t="s">
        <v>1072</v>
      </c>
      <c r="OJM65" s="277" t="s">
        <v>1072</v>
      </c>
      <c r="OJN65" s="277" t="s">
        <v>1072</v>
      </c>
      <c r="OJO65" s="277" t="s">
        <v>1072</v>
      </c>
      <c r="OJP65" s="277" t="s">
        <v>1072</v>
      </c>
      <c r="OJQ65" s="277" t="s">
        <v>1072</v>
      </c>
      <c r="OJR65" s="277" t="s">
        <v>1072</v>
      </c>
      <c r="OJS65" s="277" t="s">
        <v>1072</v>
      </c>
      <c r="OJT65" s="277" t="s">
        <v>1072</v>
      </c>
      <c r="OJU65" s="277" t="s">
        <v>1072</v>
      </c>
      <c r="OJV65" s="277" t="s">
        <v>1072</v>
      </c>
      <c r="OJW65" s="277" t="s">
        <v>1072</v>
      </c>
      <c r="OJX65" s="277" t="s">
        <v>1072</v>
      </c>
      <c r="OJY65" s="277" t="s">
        <v>1072</v>
      </c>
      <c r="OJZ65" s="277" t="s">
        <v>1072</v>
      </c>
      <c r="OKA65" s="277" t="s">
        <v>1072</v>
      </c>
      <c r="OKB65" s="277" t="s">
        <v>1072</v>
      </c>
      <c r="OKC65" s="277" t="s">
        <v>1072</v>
      </c>
      <c r="OKD65" s="277" t="s">
        <v>1072</v>
      </c>
      <c r="OKE65" s="277" t="s">
        <v>1072</v>
      </c>
      <c r="OKF65" s="277" t="s">
        <v>1072</v>
      </c>
      <c r="OKG65" s="277" t="s">
        <v>1072</v>
      </c>
      <c r="OKH65" s="277" t="s">
        <v>1072</v>
      </c>
      <c r="OKI65" s="277" t="s">
        <v>1072</v>
      </c>
      <c r="OKJ65" s="277" t="s">
        <v>1072</v>
      </c>
      <c r="OKK65" s="277" t="s">
        <v>1072</v>
      </c>
      <c r="OKL65" s="277" t="s">
        <v>1072</v>
      </c>
      <c r="OKM65" s="277" t="s">
        <v>1072</v>
      </c>
      <c r="OKN65" s="277" t="s">
        <v>1072</v>
      </c>
      <c r="OKO65" s="277" t="s">
        <v>1072</v>
      </c>
      <c r="OKP65" s="277" t="s">
        <v>1072</v>
      </c>
      <c r="OKQ65" s="277" t="s">
        <v>1072</v>
      </c>
      <c r="OKR65" s="277" t="s">
        <v>1072</v>
      </c>
      <c r="OKS65" s="277" t="s">
        <v>1072</v>
      </c>
      <c r="OKT65" s="277" t="s">
        <v>1072</v>
      </c>
      <c r="OKU65" s="277" t="s">
        <v>1072</v>
      </c>
      <c r="OKV65" s="277" t="s">
        <v>1072</v>
      </c>
      <c r="OKW65" s="277" t="s">
        <v>1072</v>
      </c>
      <c r="OKX65" s="277" t="s">
        <v>1072</v>
      </c>
      <c r="OKY65" s="277" t="s">
        <v>1072</v>
      </c>
      <c r="OKZ65" s="277" t="s">
        <v>1072</v>
      </c>
      <c r="OLA65" s="277" t="s">
        <v>1072</v>
      </c>
      <c r="OLB65" s="277" t="s">
        <v>1072</v>
      </c>
      <c r="OLC65" s="277" t="s">
        <v>1072</v>
      </c>
      <c r="OLD65" s="277" t="s">
        <v>1072</v>
      </c>
      <c r="OLE65" s="277" t="s">
        <v>1072</v>
      </c>
      <c r="OLF65" s="277" t="s">
        <v>1072</v>
      </c>
      <c r="OLG65" s="277" t="s">
        <v>1072</v>
      </c>
      <c r="OLH65" s="277" t="s">
        <v>1072</v>
      </c>
      <c r="OLI65" s="277" t="s">
        <v>1072</v>
      </c>
      <c r="OLJ65" s="277" t="s">
        <v>1072</v>
      </c>
      <c r="OLK65" s="277" t="s">
        <v>1072</v>
      </c>
      <c r="OLL65" s="277" t="s">
        <v>1072</v>
      </c>
      <c r="OLM65" s="277" t="s">
        <v>1072</v>
      </c>
      <c r="OLN65" s="277" t="s">
        <v>1072</v>
      </c>
      <c r="OLO65" s="277" t="s">
        <v>1072</v>
      </c>
      <c r="OLP65" s="277" t="s">
        <v>1072</v>
      </c>
      <c r="OLQ65" s="277" t="s">
        <v>1072</v>
      </c>
      <c r="OLR65" s="277" t="s">
        <v>1072</v>
      </c>
      <c r="OLS65" s="277" t="s">
        <v>1072</v>
      </c>
      <c r="OLT65" s="277" t="s">
        <v>1072</v>
      </c>
      <c r="OLU65" s="277" t="s">
        <v>1072</v>
      </c>
      <c r="OLV65" s="277" t="s">
        <v>1072</v>
      </c>
      <c r="OLW65" s="277" t="s">
        <v>1072</v>
      </c>
      <c r="OLX65" s="277" t="s">
        <v>1072</v>
      </c>
      <c r="OLY65" s="277" t="s">
        <v>1072</v>
      </c>
      <c r="OLZ65" s="277" t="s">
        <v>1072</v>
      </c>
      <c r="OMA65" s="277" t="s">
        <v>1072</v>
      </c>
      <c r="OMB65" s="277" t="s">
        <v>1072</v>
      </c>
      <c r="OMC65" s="277" t="s">
        <v>1072</v>
      </c>
      <c r="OMD65" s="277" t="s">
        <v>1072</v>
      </c>
      <c r="OME65" s="277" t="s">
        <v>1072</v>
      </c>
      <c r="OMF65" s="277" t="s">
        <v>1072</v>
      </c>
      <c r="OMG65" s="277" t="s">
        <v>1072</v>
      </c>
      <c r="OMH65" s="277" t="s">
        <v>1072</v>
      </c>
      <c r="OMI65" s="277" t="s">
        <v>1072</v>
      </c>
      <c r="OMJ65" s="277" t="s">
        <v>1072</v>
      </c>
      <c r="OMK65" s="277" t="s">
        <v>1072</v>
      </c>
      <c r="OML65" s="277" t="s">
        <v>1072</v>
      </c>
      <c r="OMM65" s="277" t="s">
        <v>1072</v>
      </c>
      <c r="OMN65" s="277" t="s">
        <v>1072</v>
      </c>
      <c r="OMO65" s="277" t="s">
        <v>1072</v>
      </c>
      <c r="OMP65" s="277" t="s">
        <v>1072</v>
      </c>
      <c r="OMQ65" s="277" t="s">
        <v>1072</v>
      </c>
      <c r="OMR65" s="277" t="s">
        <v>1072</v>
      </c>
      <c r="OMS65" s="277" t="s">
        <v>1072</v>
      </c>
      <c r="OMT65" s="277" t="s">
        <v>1072</v>
      </c>
      <c r="OMU65" s="277" t="s">
        <v>1072</v>
      </c>
      <c r="OMV65" s="277" t="s">
        <v>1072</v>
      </c>
      <c r="OMW65" s="277" t="s">
        <v>1072</v>
      </c>
      <c r="OMX65" s="277" t="s">
        <v>1072</v>
      </c>
      <c r="OMY65" s="277" t="s">
        <v>1072</v>
      </c>
      <c r="OMZ65" s="277" t="s">
        <v>1072</v>
      </c>
      <c r="ONA65" s="277" t="s">
        <v>1072</v>
      </c>
      <c r="ONB65" s="277" t="s">
        <v>1072</v>
      </c>
      <c r="ONC65" s="277" t="s">
        <v>1072</v>
      </c>
      <c r="OND65" s="277" t="s">
        <v>1072</v>
      </c>
      <c r="ONE65" s="277" t="s">
        <v>1072</v>
      </c>
      <c r="ONF65" s="277" t="s">
        <v>1072</v>
      </c>
      <c r="ONG65" s="277" t="s">
        <v>1072</v>
      </c>
      <c r="ONH65" s="277" t="s">
        <v>1072</v>
      </c>
      <c r="ONI65" s="277" t="s">
        <v>1072</v>
      </c>
      <c r="ONJ65" s="277" t="s">
        <v>1072</v>
      </c>
      <c r="ONK65" s="277" t="s">
        <v>1072</v>
      </c>
      <c r="ONL65" s="277" t="s">
        <v>1072</v>
      </c>
      <c r="ONM65" s="277" t="s">
        <v>1072</v>
      </c>
      <c r="ONN65" s="277" t="s">
        <v>1072</v>
      </c>
      <c r="ONO65" s="277" t="s">
        <v>1072</v>
      </c>
      <c r="ONP65" s="277" t="s">
        <v>1072</v>
      </c>
      <c r="ONQ65" s="277" t="s">
        <v>1072</v>
      </c>
      <c r="ONR65" s="277" t="s">
        <v>1072</v>
      </c>
      <c r="ONS65" s="277" t="s">
        <v>1072</v>
      </c>
      <c r="ONT65" s="277" t="s">
        <v>1072</v>
      </c>
      <c r="ONU65" s="277" t="s">
        <v>1072</v>
      </c>
      <c r="ONV65" s="277" t="s">
        <v>1072</v>
      </c>
      <c r="ONW65" s="277" t="s">
        <v>1072</v>
      </c>
      <c r="ONX65" s="277" t="s">
        <v>1072</v>
      </c>
      <c r="ONY65" s="277" t="s">
        <v>1072</v>
      </c>
      <c r="ONZ65" s="277" t="s">
        <v>1072</v>
      </c>
      <c r="OOA65" s="277" t="s">
        <v>1072</v>
      </c>
      <c r="OOB65" s="277" t="s">
        <v>1072</v>
      </c>
      <c r="OOC65" s="277" t="s">
        <v>1072</v>
      </c>
      <c r="OOD65" s="277" t="s">
        <v>1072</v>
      </c>
      <c r="OOE65" s="277" t="s">
        <v>1072</v>
      </c>
      <c r="OOF65" s="277" t="s">
        <v>1072</v>
      </c>
      <c r="OOG65" s="277" t="s">
        <v>1072</v>
      </c>
      <c r="OOH65" s="277" t="s">
        <v>1072</v>
      </c>
      <c r="OOI65" s="277" t="s">
        <v>1072</v>
      </c>
      <c r="OOJ65" s="277" t="s">
        <v>1072</v>
      </c>
      <c r="OOK65" s="277" t="s">
        <v>1072</v>
      </c>
      <c r="OOL65" s="277" t="s">
        <v>1072</v>
      </c>
      <c r="OOM65" s="277" t="s">
        <v>1072</v>
      </c>
      <c r="OON65" s="277" t="s">
        <v>1072</v>
      </c>
      <c r="OOO65" s="277" t="s">
        <v>1072</v>
      </c>
      <c r="OOP65" s="277" t="s">
        <v>1072</v>
      </c>
      <c r="OOQ65" s="277" t="s">
        <v>1072</v>
      </c>
      <c r="OOR65" s="277" t="s">
        <v>1072</v>
      </c>
      <c r="OOS65" s="277" t="s">
        <v>1072</v>
      </c>
      <c r="OOT65" s="277" t="s">
        <v>1072</v>
      </c>
      <c r="OOU65" s="277" t="s">
        <v>1072</v>
      </c>
      <c r="OOV65" s="277" t="s">
        <v>1072</v>
      </c>
      <c r="OOW65" s="277" t="s">
        <v>1072</v>
      </c>
      <c r="OOX65" s="277" t="s">
        <v>1072</v>
      </c>
      <c r="OOY65" s="277" t="s">
        <v>1072</v>
      </c>
      <c r="OOZ65" s="277" t="s">
        <v>1072</v>
      </c>
      <c r="OPA65" s="277" t="s">
        <v>1072</v>
      </c>
      <c r="OPB65" s="277" t="s">
        <v>1072</v>
      </c>
      <c r="OPC65" s="277" t="s">
        <v>1072</v>
      </c>
      <c r="OPD65" s="277" t="s">
        <v>1072</v>
      </c>
      <c r="OPE65" s="277" t="s">
        <v>1072</v>
      </c>
      <c r="OPF65" s="277" t="s">
        <v>1072</v>
      </c>
      <c r="OPG65" s="277" t="s">
        <v>1072</v>
      </c>
      <c r="OPH65" s="277" t="s">
        <v>1072</v>
      </c>
      <c r="OPI65" s="277" t="s">
        <v>1072</v>
      </c>
      <c r="OPJ65" s="277" t="s">
        <v>1072</v>
      </c>
      <c r="OPK65" s="277" t="s">
        <v>1072</v>
      </c>
      <c r="OPL65" s="277" t="s">
        <v>1072</v>
      </c>
      <c r="OPM65" s="277" t="s">
        <v>1072</v>
      </c>
      <c r="OPN65" s="277" t="s">
        <v>1072</v>
      </c>
      <c r="OPO65" s="277" t="s">
        <v>1072</v>
      </c>
      <c r="OPP65" s="277" t="s">
        <v>1072</v>
      </c>
      <c r="OPQ65" s="277" t="s">
        <v>1072</v>
      </c>
      <c r="OPR65" s="277" t="s">
        <v>1072</v>
      </c>
      <c r="OPS65" s="277" t="s">
        <v>1072</v>
      </c>
      <c r="OPT65" s="277" t="s">
        <v>1072</v>
      </c>
      <c r="OPU65" s="277" t="s">
        <v>1072</v>
      </c>
      <c r="OPV65" s="277" t="s">
        <v>1072</v>
      </c>
      <c r="OPW65" s="277" t="s">
        <v>1072</v>
      </c>
      <c r="OPX65" s="277" t="s">
        <v>1072</v>
      </c>
      <c r="OPY65" s="277" t="s">
        <v>1072</v>
      </c>
      <c r="OPZ65" s="277" t="s">
        <v>1072</v>
      </c>
      <c r="OQA65" s="277" t="s">
        <v>1072</v>
      </c>
      <c r="OQB65" s="277" t="s">
        <v>1072</v>
      </c>
      <c r="OQC65" s="277" t="s">
        <v>1072</v>
      </c>
      <c r="OQD65" s="277" t="s">
        <v>1072</v>
      </c>
      <c r="OQE65" s="277" t="s">
        <v>1072</v>
      </c>
      <c r="OQF65" s="277" t="s">
        <v>1072</v>
      </c>
      <c r="OQG65" s="277" t="s">
        <v>1072</v>
      </c>
      <c r="OQH65" s="277" t="s">
        <v>1072</v>
      </c>
      <c r="OQI65" s="277" t="s">
        <v>1072</v>
      </c>
      <c r="OQJ65" s="277" t="s">
        <v>1072</v>
      </c>
      <c r="OQK65" s="277" t="s">
        <v>1072</v>
      </c>
      <c r="OQL65" s="277" t="s">
        <v>1072</v>
      </c>
      <c r="OQM65" s="277" t="s">
        <v>1072</v>
      </c>
      <c r="OQN65" s="277" t="s">
        <v>1072</v>
      </c>
      <c r="OQO65" s="277" t="s">
        <v>1072</v>
      </c>
      <c r="OQP65" s="277" t="s">
        <v>1072</v>
      </c>
      <c r="OQQ65" s="277" t="s">
        <v>1072</v>
      </c>
      <c r="OQR65" s="277" t="s">
        <v>1072</v>
      </c>
      <c r="OQS65" s="277" t="s">
        <v>1072</v>
      </c>
      <c r="OQT65" s="277" t="s">
        <v>1072</v>
      </c>
      <c r="OQU65" s="277" t="s">
        <v>1072</v>
      </c>
      <c r="OQV65" s="277" t="s">
        <v>1072</v>
      </c>
      <c r="OQW65" s="277" t="s">
        <v>1072</v>
      </c>
      <c r="OQX65" s="277" t="s">
        <v>1072</v>
      </c>
      <c r="OQY65" s="277" t="s">
        <v>1072</v>
      </c>
      <c r="OQZ65" s="277" t="s">
        <v>1072</v>
      </c>
      <c r="ORA65" s="277" t="s">
        <v>1072</v>
      </c>
      <c r="ORB65" s="277" t="s">
        <v>1072</v>
      </c>
      <c r="ORC65" s="277" t="s">
        <v>1072</v>
      </c>
      <c r="ORD65" s="277" t="s">
        <v>1072</v>
      </c>
      <c r="ORE65" s="277" t="s">
        <v>1072</v>
      </c>
      <c r="ORF65" s="277" t="s">
        <v>1072</v>
      </c>
      <c r="ORG65" s="277" t="s">
        <v>1072</v>
      </c>
      <c r="ORH65" s="277" t="s">
        <v>1072</v>
      </c>
      <c r="ORI65" s="277" t="s">
        <v>1072</v>
      </c>
      <c r="ORJ65" s="277" t="s">
        <v>1072</v>
      </c>
      <c r="ORK65" s="277" t="s">
        <v>1072</v>
      </c>
      <c r="ORL65" s="277" t="s">
        <v>1072</v>
      </c>
      <c r="ORM65" s="277" t="s">
        <v>1072</v>
      </c>
      <c r="ORN65" s="277" t="s">
        <v>1072</v>
      </c>
      <c r="ORO65" s="277" t="s">
        <v>1072</v>
      </c>
      <c r="ORP65" s="277" t="s">
        <v>1072</v>
      </c>
      <c r="ORQ65" s="277" t="s">
        <v>1072</v>
      </c>
      <c r="ORR65" s="277" t="s">
        <v>1072</v>
      </c>
      <c r="ORS65" s="277" t="s">
        <v>1072</v>
      </c>
      <c r="ORT65" s="277" t="s">
        <v>1072</v>
      </c>
      <c r="ORU65" s="277" t="s">
        <v>1072</v>
      </c>
      <c r="ORV65" s="277" t="s">
        <v>1072</v>
      </c>
      <c r="ORW65" s="277" t="s">
        <v>1072</v>
      </c>
      <c r="ORX65" s="277" t="s">
        <v>1072</v>
      </c>
      <c r="ORY65" s="277" t="s">
        <v>1072</v>
      </c>
      <c r="ORZ65" s="277" t="s">
        <v>1072</v>
      </c>
      <c r="OSA65" s="277" t="s">
        <v>1072</v>
      </c>
      <c r="OSB65" s="277" t="s">
        <v>1072</v>
      </c>
      <c r="OSC65" s="277" t="s">
        <v>1072</v>
      </c>
      <c r="OSD65" s="277" t="s">
        <v>1072</v>
      </c>
      <c r="OSE65" s="277" t="s">
        <v>1072</v>
      </c>
      <c r="OSF65" s="277" t="s">
        <v>1072</v>
      </c>
      <c r="OSG65" s="277" t="s">
        <v>1072</v>
      </c>
      <c r="OSH65" s="277" t="s">
        <v>1072</v>
      </c>
      <c r="OSI65" s="277" t="s">
        <v>1072</v>
      </c>
      <c r="OSJ65" s="277" t="s">
        <v>1072</v>
      </c>
      <c r="OSK65" s="277" t="s">
        <v>1072</v>
      </c>
      <c r="OSL65" s="277" t="s">
        <v>1072</v>
      </c>
      <c r="OSM65" s="277" t="s">
        <v>1072</v>
      </c>
      <c r="OSN65" s="277" t="s">
        <v>1072</v>
      </c>
      <c r="OSO65" s="277" t="s">
        <v>1072</v>
      </c>
      <c r="OSP65" s="277" t="s">
        <v>1072</v>
      </c>
      <c r="OSQ65" s="277" t="s">
        <v>1072</v>
      </c>
      <c r="OSR65" s="277" t="s">
        <v>1072</v>
      </c>
      <c r="OSS65" s="277" t="s">
        <v>1072</v>
      </c>
      <c r="OST65" s="277" t="s">
        <v>1072</v>
      </c>
      <c r="OSU65" s="277" t="s">
        <v>1072</v>
      </c>
      <c r="OSV65" s="277" t="s">
        <v>1072</v>
      </c>
      <c r="OSW65" s="277" t="s">
        <v>1072</v>
      </c>
      <c r="OSX65" s="277" t="s">
        <v>1072</v>
      </c>
      <c r="OSY65" s="277" t="s">
        <v>1072</v>
      </c>
      <c r="OSZ65" s="277" t="s">
        <v>1072</v>
      </c>
      <c r="OTA65" s="277" t="s">
        <v>1072</v>
      </c>
      <c r="OTB65" s="277" t="s">
        <v>1072</v>
      </c>
      <c r="OTC65" s="277" t="s">
        <v>1072</v>
      </c>
      <c r="OTD65" s="277" t="s">
        <v>1072</v>
      </c>
      <c r="OTE65" s="277" t="s">
        <v>1072</v>
      </c>
      <c r="OTF65" s="277" t="s">
        <v>1072</v>
      </c>
      <c r="OTG65" s="277" t="s">
        <v>1072</v>
      </c>
      <c r="OTH65" s="277" t="s">
        <v>1072</v>
      </c>
      <c r="OTI65" s="277" t="s">
        <v>1072</v>
      </c>
      <c r="OTJ65" s="277" t="s">
        <v>1072</v>
      </c>
      <c r="OTK65" s="277" t="s">
        <v>1072</v>
      </c>
      <c r="OTL65" s="277" t="s">
        <v>1072</v>
      </c>
      <c r="OTM65" s="277" t="s">
        <v>1072</v>
      </c>
      <c r="OTN65" s="277" t="s">
        <v>1072</v>
      </c>
      <c r="OTO65" s="277" t="s">
        <v>1072</v>
      </c>
      <c r="OTP65" s="277" t="s">
        <v>1072</v>
      </c>
      <c r="OTQ65" s="277" t="s">
        <v>1072</v>
      </c>
      <c r="OTR65" s="277" t="s">
        <v>1072</v>
      </c>
      <c r="OTS65" s="277" t="s">
        <v>1072</v>
      </c>
      <c r="OTT65" s="277" t="s">
        <v>1072</v>
      </c>
      <c r="OTU65" s="277" t="s">
        <v>1072</v>
      </c>
      <c r="OTV65" s="277" t="s">
        <v>1072</v>
      </c>
      <c r="OTW65" s="277" t="s">
        <v>1072</v>
      </c>
      <c r="OTX65" s="277" t="s">
        <v>1072</v>
      </c>
      <c r="OTY65" s="277" t="s">
        <v>1072</v>
      </c>
      <c r="OTZ65" s="277" t="s">
        <v>1072</v>
      </c>
      <c r="OUA65" s="277" t="s">
        <v>1072</v>
      </c>
      <c r="OUB65" s="277" t="s">
        <v>1072</v>
      </c>
      <c r="OUC65" s="277" t="s">
        <v>1072</v>
      </c>
      <c r="OUD65" s="277" t="s">
        <v>1072</v>
      </c>
      <c r="OUE65" s="277" t="s">
        <v>1072</v>
      </c>
      <c r="OUF65" s="277" t="s">
        <v>1072</v>
      </c>
      <c r="OUG65" s="277" t="s">
        <v>1072</v>
      </c>
      <c r="OUH65" s="277" t="s">
        <v>1072</v>
      </c>
      <c r="OUI65" s="277" t="s">
        <v>1072</v>
      </c>
      <c r="OUJ65" s="277" t="s">
        <v>1072</v>
      </c>
      <c r="OUK65" s="277" t="s">
        <v>1072</v>
      </c>
      <c r="OUL65" s="277" t="s">
        <v>1072</v>
      </c>
      <c r="OUM65" s="277" t="s">
        <v>1072</v>
      </c>
      <c r="OUN65" s="277" t="s">
        <v>1072</v>
      </c>
      <c r="OUO65" s="277" t="s">
        <v>1072</v>
      </c>
      <c r="OUP65" s="277" t="s">
        <v>1072</v>
      </c>
      <c r="OUQ65" s="277" t="s">
        <v>1072</v>
      </c>
      <c r="OUR65" s="277" t="s">
        <v>1072</v>
      </c>
      <c r="OUS65" s="277" t="s">
        <v>1072</v>
      </c>
      <c r="OUT65" s="277" t="s">
        <v>1072</v>
      </c>
      <c r="OUU65" s="277" t="s">
        <v>1072</v>
      </c>
      <c r="OUV65" s="277" t="s">
        <v>1072</v>
      </c>
      <c r="OUW65" s="277" t="s">
        <v>1072</v>
      </c>
      <c r="OUX65" s="277" t="s">
        <v>1072</v>
      </c>
      <c r="OUY65" s="277" t="s">
        <v>1072</v>
      </c>
      <c r="OUZ65" s="277" t="s">
        <v>1072</v>
      </c>
      <c r="OVA65" s="277" t="s">
        <v>1072</v>
      </c>
      <c r="OVB65" s="277" t="s">
        <v>1072</v>
      </c>
      <c r="OVC65" s="277" t="s">
        <v>1072</v>
      </c>
      <c r="OVD65" s="277" t="s">
        <v>1072</v>
      </c>
      <c r="OVE65" s="277" t="s">
        <v>1072</v>
      </c>
      <c r="OVF65" s="277" t="s">
        <v>1072</v>
      </c>
      <c r="OVG65" s="277" t="s">
        <v>1072</v>
      </c>
      <c r="OVH65" s="277" t="s">
        <v>1072</v>
      </c>
      <c r="OVI65" s="277" t="s">
        <v>1072</v>
      </c>
      <c r="OVJ65" s="277" t="s">
        <v>1072</v>
      </c>
      <c r="OVK65" s="277" t="s">
        <v>1072</v>
      </c>
      <c r="OVL65" s="277" t="s">
        <v>1072</v>
      </c>
      <c r="OVM65" s="277" t="s">
        <v>1072</v>
      </c>
      <c r="OVN65" s="277" t="s">
        <v>1072</v>
      </c>
      <c r="OVO65" s="277" t="s">
        <v>1072</v>
      </c>
      <c r="OVP65" s="277" t="s">
        <v>1072</v>
      </c>
      <c r="OVQ65" s="277" t="s">
        <v>1072</v>
      </c>
      <c r="OVR65" s="277" t="s">
        <v>1072</v>
      </c>
      <c r="OVS65" s="277" t="s">
        <v>1072</v>
      </c>
      <c r="OVT65" s="277" t="s">
        <v>1072</v>
      </c>
      <c r="OVU65" s="277" t="s">
        <v>1072</v>
      </c>
      <c r="OVV65" s="277" t="s">
        <v>1072</v>
      </c>
      <c r="OVW65" s="277" t="s">
        <v>1072</v>
      </c>
      <c r="OVX65" s="277" t="s">
        <v>1072</v>
      </c>
      <c r="OVY65" s="277" t="s">
        <v>1072</v>
      </c>
      <c r="OVZ65" s="277" t="s">
        <v>1072</v>
      </c>
      <c r="OWA65" s="277" t="s">
        <v>1072</v>
      </c>
      <c r="OWB65" s="277" t="s">
        <v>1072</v>
      </c>
      <c r="OWC65" s="277" t="s">
        <v>1072</v>
      </c>
      <c r="OWD65" s="277" t="s">
        <v>1072</v>
      </c>
      <c r="OWE65" s="277" t="s">
        <v>1072</v>
      </c>
      <c r="OWF65" s="277" t="s">
        <v>1072</v>
      </c>
      <c r="OWG65" s="277" t="s">
        <v>1072</v>
      </c>
      <c r="OWH65" s="277" t="s">
        <v>1072</v>
      </c>
      <c r="OWI65" s="277" t="s">
        <v>1072</v>
      </c>
      <c r="OWJ65" s="277" t="s">
        <v>1072</v>
      </c>
      <c r="OWK65" s="277" t="s">
        <v>1072</v>
      </c>
      <c r="OWL65" s="277" t="s">
        <v>1072</v>
      </c>
      <c r="OWM65" s="277" t="s">
        <v>1072</v>
      </c>
      <c r="OWN65" s="277" t="s">
        <v>1072</v>
      </c>
      <c r="OWO65" s="277" t="s">
        <v>1072</v>
      </c>
      <c r="OWP65" s="277" t="s">
        <v>1072</v>
      </c>
      <c r="OWQ65" s="277" t="s">
        <v>1072</v>
      </c>
      <c r="OWR65" s="277" t="s">
        <v>1072</v>
      </c>
      <c r="OWS65" s="277" t="s">
        <v>1072</v>
      </c>
      <c r="OWT65" s="277" t="s">
        <v>1072</v>
      </c>
      <c r="OWU65" s="277" t="s">
        <v>1072</v>
      </c>
      <c r="OWV65" s="277" t="s">
        <v>1072</v>
      </c>
      <c r="OWW65" s="277" t="s">
        <v>1072</v>
      </c>
      <c r="OWX65" s="277" t="s">
        <v>1072</v>
      </c>
      <c r="OWY65" s="277" t="s">
        <v>1072</v>
      </c>
      <c r="OWZ65" s="277" t="s">
        <v>1072</v>
      </c>
      <c r="OXA65" s="277" t="s">
        <v>1072</v>
      </c>
      <c r="OXB65" s="277" t="s">
        <v>1072</v>
      </c>
      <c r="OXC65" s="277" t="s">
        <v>1072</v>
      </c>
      <c r="OXD65" s="277" t="s">
        <v>1072</v>
      </c>
      <c r="OXE65" s="277" t="s">
        <v>1072</v>
      </c>
      <c r="OXF65" s="277" t="s">
        <v>1072</v>
      </c>
      <c r="OXG65" s="277" t="s">
        <v>1072</v>
      </c>
      <c r="OXH65" s="277" t="s">
        <v>1072</v>
      </c>
      <c r="OXI65" s="277" t="s">
        <v>1072</v>
      </c>
      <c r="OXJ65" s="277" t="s">
        <v>1072</v>
      </c>
      <c r="OXK65" s="277" t="s">
        <v>1072</v>
      </c>
      <c r="OXL65" s="277" t="s">
        <v>1072</v>
      </c>
      <c r="OXM65" s="277" t="s">
        <v>1072</v>
      </c>
      <c r="OXN65" s="277" t="s">
        <v>1072</v>
      </c>
      <c r="OXO65" s="277" t="s">
        <v>1072</v>
      </c>
      <c r="OXP65" s="277" t="s">
        <v>1072</v>
      </c>
      <c r="OXQ65" s="277" t="s">
        <v>1072</v>
      </c>
      <c r="OXR65" s="277" t="s">
        <v>1072</v>
      </c>
      <c r="OXS65" s="277" t="s">
        <v>1072</v>
      </c>
      <c r="OXT65" s="277" t="s">
        <v>1072</v>
      </c>
      <c r="OXU65" s="277" t="s">
        <v>1072</v>
      </c>
      <c r="OXV65" s="277" t="s">
        <v>1072</v>
      </c>
      <c r="OXW65" s="277" t="s">
        <v>1072</v>
      </c>
      <c r="OXX65" s="277" t="s">
        <v>1072</v>
      </c>
      <c r="OXY65" s="277" t="s">
        <v>1072</v>
      </c>
      <c r="OXZ65" s="277" t="s">
        <v>1072</v>
      </c>
      <c r="OYA65" s="277" t="s">
        <v>1072</v>
      </c>
      <c r="OYB65" s="277" t="s">
        <v>1072</v>
      </c>
      <c r="OYC65" s="277" t="s">
        <v>1072</v>
      </c>
      <c r="OYD65" s="277" t="s">
        <v>1072</v>
      </c>
      <c r="OYE65" s="277" t="s">
        <v>1072</v>
      </c>
      <c r="OYF65" s="277" t="s">
        <v>1072</v>
      </c>
      <c r="OYG65" s="277" t="s">
        <v>1072</v>
      </c>
      <c r="OYH65" s="277" t="s">
        <v>1072</v>
      </c>
      <c r="OYI65" s="277" t="s">
        <v>1072</v>
      </c>
      <c r="OYJ65" s="277" t="s">
        <v>1072</v>
      </c>
      <c r="OYK65" s="277" t="s">
        <v>1072</v>
      </c>
      <c r="OYL65" s="277" t="s">
        <v>1072</v>
      </c>
      <c r="OYM65" s="277" t="s">
        <v>1072</v>
      </c>
      <c r="OYN65" s="277" t="s">
        <v>1072</v>
      </c>
      <c r="OYO65" s="277" t="s">
        <v>1072</v>
      </c>
      <c r="OYP65" s="277" t="s">
        <v>1072</v>
      </c>
      <c r="OYQ65" s="277" t="s">
        <v>1072</v>
      </c>
      <c r="OYR65" s="277" t="s">
        <v>1072</v>
      </c>
      <c r="OYS65" s="277" t="s">
        <v>1072</v>
      </c>
      <c r="OYT65" s="277" t="s">
        <v>1072</v>
      </c>
      <c r="OYU65" s="277" t="s">
        <v>1072</v>
      </c>
      <c r="OYV65" s="277" t="s">
        <v>1072</v>
      </c>
      <c r="OYW65" s="277" t="s">
        <v>1072</v>
      </c>
      <c r="OYX65" s="277" t="s">
        <v>1072</v>
      </c>
      <c r="OYY65" s="277" t="s">
        <v>1072</v>
      </c>
      <c r="OYZ65" s="277" t="s">
        <v>1072</v>
      </c>
      <c r="OZA65" s="277" t="s">
        <v>1072</v>
      </c>
      <c r="OZB65" s="277" t="s">
        <v>1072</v>
      </c>
      <c r="OZC65" s="277" t="s">
        <v>1072</v>
      </c>
      <c r="OZD65" s="277" t="s">
        <v>1072</v>
      </c>
      <c r="OZE65" s="277" t="s">
        <v>1072</v>
      </c>
      <c r="OZF65" s="277" t="s">
        <v>1072</v>
      </c>
      <c r="OZG65" s="277" t="s">
        <v>1072</v>
      </c>
      <c r="OZH65" s="277" t="s">
        <v>1072</v>
      </c>
      <c r="OZI65" s="277" t="s">
        <v>1072</v>
      </c>
      <c r="OZJ65" s="277" t="s">
        <v>1072</v>
      </c>
      <c r="OZK65" s="277" t="s">
        <v>1072</v>
      </c>
      <c r="OZL65" s="277" t="s">
        <v>1072</v>
      </c>
      <c r="OZM65" s="277" t="s">
        <v>1072</v>
      </c>
      <c r="OZN65" s="277" t="s">
        <v>1072</v>
      </c>
      <c r="OZO65" s="277" t="s">
        <v>1072</v>
      </c>
      <c r="OZP65" s="277" t="s">
        <v>1072</v>
      </c>
      <c r="OZQ65" s="277" t="s">
        <v>1072</v>
      </c>
      <c r="OZR65" s="277" t="s">
        <v>1072</v>
      </c>
      <c r="OZS65" s="277" t="s">
        <v>1072</v>
      </c>
      <c r="OZT65" s="277" t="s">
        <v>1072</v>
      </c>
      <c r="OZU65" s="277" t="s">
        <v>1072</v>
      </c>
      <c r="OZV65" s="277" t="s">
        <v>1072</v>
      </c>
      <c r="OZW65" s="277" t="s">
        <v>1072</v>
      </c>
      <c r="OZX65" s="277" t="s">
        <v>1072</v>
      </c>
      <c r="OZY65" s="277" t="s">
        <v>1072</v>
      </c>
      <c r="OZZ65" s="277" t="s">
        <v>1072</v>
      </c>
      <c r="PAA65" s="277" t="s">
        <v>1072</v>
      </c>
      <c r="PAB65" s="277" t="s">
        <v>1072</v>
      </c>
      <c r="PAC65" s="277" t="s">
        <v>1072</v>
      </c>
      <c r="PAD65" s="277" t="s">
        <v>1072</v>
      </c>
      <c r="PAE65" s="277" t="s">
        <v>1072</v>
      </c>
      <c r="PAF65" s="277" t="s">
        <v>1072</v>
      </c>
      <c r="PAG65" s="277" t="s">
        <v>1072</v>
      </c>
      <c r="PAH65" s="277" t="s">
        <v>1072</v>
      </c>
      <c r="PAI65" s="277" t="s">
        <v>1072</v>
      </c>
      <c r="PAJ65" s="277" t="s">
        <v>1072</v>
      </c>
      <c r="PAK65" s="277" t="s">
        <v>1072</v>
      </c>
      <c r="PAL65" s="277" t="s">
        <v>1072</v>
      </c>
      <c r="PAM65" s="277" t="s">
        <v>1072</v>
      </c>
      <c r="PAN65" s="277" t="s">
        <v>1072</v>
      </c>
      <c r="PAO65" s="277" t="s">
        <v>1072</v>
      </c>
      <c r="PAP65" s="277" t="s">
        <v>1072</v>
      </c>
      <c r="PAQ65" s="277" t="s">
        <v>1072</v>
      </c>
      <c r="PAR65" s="277" t="s">
        <v>1072</v>
      </c>
      <c r="PAS65" s="277" t="s">
        <v>1072</v>
      </c>
      <c r="PAT65" s="277" t="s">
        <v>1072</v>
      </c>
      <c r="PAU65" s="277" t="s">
        <v>1072</v>
      </c>
      <c r="PAV65" s="277" t="s">
        <v>1072</v>
      </c>
      <c r="PAW65" s="277" t="s">
        <v>1072</v>
      </c>
      <c r="PAX65" s="277" t="s">
        <v>1072</v>
      </c>
      <c r="PAY65" s="277" t="s">
        <v>1072</v>
      </c>
      <c r="PAZ65" s="277" t="s">
        <v>1072</v>
      </c>
      <c r="PBA65" s="277" t="s">
        <v>1072</v>
      </c>
      <c r="PBB65" s="277" t="s">
        <v>1072</v>
      </c>
      <c r="PBC65" s="277" t="s">
        <v>1072</v>
      </c>
      <c r="PBD65" s="277" t="s">
        <v>1072</v>
      </c>
      <c r="PBE65" s="277" t="s">
        <v>1072</v>
      </c>
      <c r="PBF65" s="277" t="s">
        <v>1072</v>
      </c>
      <c r="PBG65" s="277" t="s">
        <v>1072</v>
      </c>
      <c r="PBH65" s="277" t="s">
        <v>1072</v>
      </c>
      <c r="PBI65" s="277" t="s">
        <v>1072</v>
      </c>
      <c r="PBJ65" s="277" t="s">
        <v>1072</v>
      </c>
      <c r="PBK65" s="277" t="s">
        <v>1072</v>
      </c>
      <c r="PBL65" s="277" t="s">
        <v>1072</v>
      </c>
      <c r="PBM65" s="277" t="s">
        <v>1072</v>
      </c>
      <c r="PBN65" s="277" t="s">
        <v>1072</v>
      </c>
      <c r="PBO65" s="277" t="s">
        <v>1072</v>
      </c>
      <c r="PBP65" s="277" t="s">
        <v>1072</v>
      </c>
      <c r="PBQ65" s="277" t="s">
        <v>1072</v>
      </c>
      <c r="PBR65" s="277" t="s">
        <v>1072</v>
      </c>
      <c r="PBS65" s="277" t="s">
        <v>1072</v>
      </c>
      <c r="PBT65" s="277" t="s">
        <v>1072</v>
      </c>
      <c r="PBU65" s="277" t="s">
        <v>1072</v>
      </c>
      <c r="PBV65" s="277" t="s">
        <v>1072</v>
      </c>
      <c r="PBW65" s="277" t="s">
        <v>1072</v>
      </c>
      <c r="PBX65" s="277" t="s">
        <v>1072</v>
      </c>
      <c r="PBY65" s="277" t="s">
        <v>1072</v>
      </c>
      <c r="PBZ65" s="277" t="s">
        <v>1072</v>
      </c>
      <c r="PCA65" s="277" t="s">
        <v>1072</v>
      </c>
      <c r="PCB65" s="277" t="s">
        <v>1072</v>
      </c>
      <c r="PCC65" s="277" t="s">
        <v>1072</v>
      </c>
      <c r="PCD65" s="277" t="s">
        <v>1072</v>
      </c>
      <c r="PCE65" s="277" t="s">
        <v>1072</v>
      </c>
      <c r="PCF65" s="277" t="s">
        <v>1072</v>
      </c>
      <c r="PCG65" s="277" t="s">
        <v>1072</v>
      </c>
      <c r="PCH65" s="277" t="s">
        <v>1072</v>
      </c>
      <c r="PCI65" s="277" t="s">
        <v>1072</v>
      </c>
      <c r="PCJ65" s="277" t="s">
        <v>1072</v>
      </c>
      <c r="PCK65" s="277" t="s">
        <v>1072</v>
      </c>
      <c r="PCL65" s="277" t="s">
        <v>1072</v>
      </c>
      <c r="PCM65" s="277" t="s">
        <v>1072</v>
      </c>
      <c r="PCN65" s="277" t="s">
        <v>1072</v>
      </c>
      <c r="PCO65" s="277" t="s">
        <v>1072</v>
      </c>
      <c r="PCP65" s="277" t="s">
        <v>1072</v>
      </c>
      <c r="PCQ65" s="277" t="s">
        <v>1072</v>
      </c>
      <c r="PCR65" s="277" t="s">
        <v>1072</v>
      </c>
      <c r="PCS65" s="277" t="s">
        <v>1072</v>
      </c>
      <c r="PCT65" s="277" t="s">
        <v>1072</v>
      </c>
      <c r="PCU65" s="277" t="s">
        <v>1072</v>
      </c>
      <c r="PCV65" s="277" t="s">
        <v>1072</v>
      </c>
      <c r="PCW65" s="277" t="s">
        <v>1072</v>
      </c>
      <c r="PCX65" s="277" t="s">
        <v>1072</v>
      </c>
      <c r="PCY65" s="277" t="s">
        <v>1072</v>
      </c>
      <c r="PCZ65" s="277" t="s">
        <v>1072</v>
      </c>
      <c r="PDA65" s="277" t="s">
        <v>1072</v>
      </c>
      <c r="PDB65" s="277" t="s">
        <v>1072</v>
      </c>
      <c r="PDC65" s="277" t="s">
        <v>1072</v>
      </c>
      <c r="PDD65" s="277" t="s">
        <v>1072</v>
      </c>
      <c r="PDE65" s="277" t="s">
        <v>1072</v>
      </c>
      <c r="PDF65" s="277" t="s">
        <v>1072</v>
      </c>
      <c r="PDG65" s="277" t="s">
        <v>1072</v>
      </c>
      <c r="PDH65" s="277" t="s">
        <v>1072</v>
      </c>
      <c r="PDI65" s="277" t="s">
        <v>1072</v>
      </c>
      <c r="PDJ65" s="277" t="s">
        <v>1072</v>
      </c>
      <c r="PDK65" s="277" t="s">
        <v>1072</v>
      </c>
      <c r="PDL65" s="277" t="s">
        <v>1072</v>
      </c>
      <c r="PDM65" s="277" t="s">
        <v>1072</v>
      </c>
      <c r="PDN65" s="277" t="s">
        <v>1072</v>
      </c>
      <c r="PDO65" s="277" t="s">
        <v>1072</v>
      </c>
      <c r="PDP65" s="277" t="s">
        <v>1072</v>
      </c>
      <c r="PDQ65" s="277" t="s">
        <v>1072</v>
      </c>
      <c r="PDR65" s="277" t="s">
        <v>1072</v>
      </c>
      <c r="PDS65" s="277" t="s">
        <v>1072</v>
      </c>
      <c r="PDT65" s="277" t="s">
        <v>1072</v>
      </c>
      <c r="PDU65" s="277" t="s">
        <v>1072</v>
      </c>
      <c r="PDV65" s="277" t="s">
        <v>1072</v>
      </c>
      <c r="PDW65" s="277" t="s">
        <v>1072</v>
      </c>
      <c r="PDX65" s="277" t="s">
        <v>1072</v>
      </c>
      <c r="PDY65" s="277" t="s">
        <v>1072</v>
      </c>
      <c r="PDZ65" s="277" t="s">
        <v>1072</v>
      </c>
      <c r="PEA65" s="277" t="s">
        <v>1072</v>
      </c>
      <c r="PEB65" s="277" t="s">
        <v>1072</v>
      </c>
      <c r="PEC65" s="277" t="s">
        <v>1072</v>
      </c>
      <c r="PED65" s="277" t="s">
        <v>1072</v>
      </c>
      <c r="PEE65" s="277" t="s">
        <v>1072</v>
      </c>
      <c r="PEF65" s="277" t="s">
        <v>1072</v>
      </c>
      <c r="PEG65" s="277" t="s">
        <v>1072</v>
      </c>
      <c r="PEH65" s="277" t="s">
        <v>1072</v>
      </c>
      <c r="PEI65" s="277" t="s">
        <v>1072</v>
      </c>
      <c r="PEJ65" s="277" t="s">
        <v>1072</v>
      </c>
      <c r="PEK65" s="277" t="s">
        <v>1072</v>
      </c>
      <c r="PEL65" s="277" t="s">
        <v>1072</v>
      </c>
      <c r="PEM65" s="277" t="s">
        <v>1072</v>
      </c>
      <c r="PEN65" s="277" t="s">
        <v>1072</v>
      </c>
      <c r="PEO65" s="277" t="s">
        <v>1072</v>
      </c>
      <c r="PEP65" s="277" t="s">
        <v>1072</v>
      </c>
      <c r="PEQ65" s="277" t="s">
        <v>1072</v>
      </c>
      <c r="PER65" s="277" t="s">
        <v>1072</v>
      </c>
      <c r="PES65" s="277" t="s">
        <v>1072</v>
      </c>
      <c r="PET65" s="277" t="s">
        <v>1072</v>
      </c>
      <c r="PEU65" s="277" t="s">
        <v>1072</v>
      </c>
      <c r="PEV65" s="277" t="s">
        <v>1072</v>
      </c>
      <c r="PEW65" s="277" t="s">
        <v>1072</v>
      </c>
      <c r="PEX65" s="277" t="s">
        <v>1072</v>
      </c>
      <c r="PEY65" s="277" t="s">
        <v>1072</v>
      </c>
      <c r="PEZ65" s="277" t="s">
        <v>1072</v>
      </c>
      <c r="PFA65" s="277" t="s">
        <v>1072</v>
      </c>
      <c r="PFB65" s="277" t="s">
        <v>1072</v>
      </c>
      <c r="PFC65" s="277" t="s">
        <v>1072</v>
      </c>
      <c r="PFD65" s="277" t="s">
        <v>1072</v>
      </c>
      <c r="PFE65" s="277" t="s">
        <v>1072</v>
      </c>
      <c r="PFF65" s="277" t="s">
        <v>1072</v>
      </c>
      <c r="PFG65" s="277" t="s">
        <v>1072</v>
      </c>
      <c r="PFH65" s="277" t="s">
        <v>1072</v>
      </c>
      <c r="PFI65" s="277" t="s">
        <v>1072</v>
      </c>
      <c r="PFJ65" s="277" t="s">
        <v>1072</v>
      </c>
      <c r="PFK65" s="277" t="s">
        <v>1072</v>
      </c>
      <c r="PFL65" s="277" t="s">
        <v>1072</v>
      </c>
      <c r="PFM65" s="277" t="s">
        <v>1072</v>
      </c>
      <c r="PFN65" s="277" t="s">
        <v>1072</v>
      </c>
      <c r="PFO65" s="277" t="s">
        <v>1072</v>
      </c>
      <c r="PFP65" s="277" t="s">
        <v>1072</v>
      </c>
      <c r="PFQ65" s="277" t="s">
        <v>1072</v>
      </c>
      <c r="PFR65" s="277" t="s">
        <v>1072</v>
      </c>
      <c r="PFS65" s="277" t="s">
        <v>1072</v>
      </c>
      <c r="PFT65" s="277" t="s">
        <v>1072</v>
      </c>
      <c r="PFU65" s="277" t="s">
        <v>1072</v>
      </c>
      <c r="PFV65" s="277" t="s">
        <v>1072</v>
      </c>
      <c r="PFW65" s="277" t="s">
        <v>1072</v>
      </c>
      <c r="PFX65" s="277" t="s">
        <v>1072</v>
      </c>
      <c r="PFY65" s="277" t="s">
        <v>1072</v>
      </c>
      <c r="PFZ65" s="277" t="s">
        <v>1072</v>
      </c>
      <c r="PGA65" s="277" t="s">
        <v>1072</v>
      </c>
      <c r="PGB65" s="277" t="s">
        <v>1072</v>
      </c>
      <c r="PGC65" s="277" t="s">
        <v>1072</v>
      </c>
      <c r="PGD65" s="277" t="s">
        <v>1072</v>
      </c>
      <c r="PGE65" s="277" t="s">
        <v>1072</v>
      </c>
      <c r="PGF65" s="277" t="s">
        <v>1072</v>
      </c>
      <c r="PGG65" s="277" t="s">
        <v>1072</v>
      </c>
      <c r="PGH65" s="277" t="s">
        <v>1072</v>
      </c>
      <c r="PGI65" s="277" t="s">
        <v>1072</v>
      </c>
      <c r="PGJ65" s="277" t="s">
        <v>1072</v>
      </c>
      <c r="PGK65" s="277" t="s">
        <v>1072</v>
      </c>
      <c r="PGL65" s="277" t="s">
        <v>1072</v>
      </c>
      <c r="PGM65" s="277" t="s">
        <v>1072</v>
      </c>
      <c r="PGN65" s="277" t="s">
        <v>1072</v>
      </c>
      <c r="PGO65" s="277" t="s">
        <v>1072</v>
      </c>
      <c r="PGP65" s="277" t="s">
        <v>1072</v>
      </c>
      <c r="PGQ65" s="277" t="s">
        <v>1072</v>
      </c>
      <c r="PGR65" s="277" t="s">
        <v>1072</v>
      </c>
      <c r="PGS65" s="277" t="s">
        <v>1072</v>
      </c>
      <c r="PGT65" s="277" t="s">
        <v>1072</v>
      </c>
      <c r="PGU65" s="277" t="s">
        <v>1072</v>
      </c>
      <c r="PGV65" s="277" t="s">
        <v>1072</v>
      </c>
      <c r="PGW65" s="277" t="s">
        <v>1072</v>
      </c>
      <c r="PGX65" s="277" t="s">
        <v>1072</v>
      </c>
      <c r="PGY65" s="277" t="s">
        <v>1072</v>
      </c>
      <c r="PGZ65" s="277" t="s">
        <v>1072</v>
      </c>
      <c r="PHA65" s="277" t="s">
        <v>1072</v>
      </c>
      <c r="PHB65" s="277" t="s">
        <v>1072</v>
      </c>
      <c r="PHC65" s="277" t="s">
        <v>1072</v>
      </c>
      <c r="PHD65" s="277" t="s">
        <v>1072</v>
      </c>
      <c r="PHE65" s="277" t="s">
        <v>1072</v>
      </c>
      <c r="PHF65" s="277" t="s">
        <v>1072</v>
      </c>
      <c r="PHG65" s="277" t="s">
        <v>1072</v>
      </c>
      <c r="PHH65" s="277" t="s">
        <v>1072</v>
      </c>
      <c r="PHI65" s="277" t="s">
        <v>1072</v>
      </c>
      <c r="PHJ65" s="277" t="s">
        <v>1072</v>
      </c>
      <c r="PHK65" s="277" t="s">
        <v>1072</v>
      </c>
      <c r="PHL65" s="277" t="s">
        <v>1072</v>
      </c>
      <c r="PHM65" s="277" t="s">
        <v>1072</v>
      </c>
      <c r="PHN65" s="277" t="s">
        <v>1072</v>
      </c>
      <c r="PHO65" s="277" t="s">
        <v>1072</v>
      </c>
      <c r="PHP65" s="277" t="s">
        <v>1072</v>
      </c>
      <c r="PHQ65" s="277" t="s">
        <v>1072</v>
      </c>
      <c r="PHR65" s="277" t="s">
        <v>1072</v>
      </c>
      <c r="PHS65" s="277" t="s">
        <v>1072</v>
      </c>
      <c r="PHT65" s="277" t="s">
        <v>1072</v>
      </c>
      <c r="PHU65" s="277" t="s">
        <v>1072</v>
      </c>
      <c r="PHV65" s="277" t="s">
        <v>1072</v>
      </c>
      <c r="PHW65" s="277" t="s">
        <v>1072</v>
      </c>
      <c r="PHX65" s="277" t="s">
        <v>1072</v>
      </c>
      <c r="PHY65" s="277" t="s">
        <v>1072</v>
      </c>
      <c r="PHZ65" s="277" t="s">
        <v>1072</v>
      </c>
      <c r="PIA65" s="277" t="s">
        <v>1072</v>
      </c>
      <c r="PIB65" s="277" t="s">
        <v>1072</v>
      </c>
      <c r="PIC65" s="277" t="s">
        <v>1072</v>
      </c>
      <c r="PID65" s="277" t="s">
        <v>1072</v>
      </c>
      <c r="PIE65" s="277" t="s">
        <v>1072</v>
      </c>
      <c r="PIF65" s="277" t="s">
        <v>1072</v>
      </c>
      <c r="PIG65" s="277" t="s">
        <v>1072</v>
      </c>
      <c r="PIH65" s="277" t="s">
        <v>1072</v>
      </c>
      <c r="PII65" s="277" t="s">
        <v>1072</v>
      </c>
      <c r="PIJ65" s="277" t="s">
        <v>1072</v>
      </c>
      <c r="PIK65" s="277" t="s">
        <v>1072</v>
      </c>
      <c r="PIL65" s="277" t="s">
        <v>1072</v>
      </c>
      <c r="PIM65" s="277" t="s">
        <v>1072</v>
      </c>
      <c r="PIN65" s="277" t="s">
        <v>1072</v>
      </c>
      <c r="PIO65" s="277" t="s">
        <v>1072</v>
      </c>
      <c r="PIP65" s="277" t="s">
        <v>1072</v>
      </c>
      <c r="PIQ65" s="277" t="s">
        <v>1072</v>
      </c>
      <c r="PIR65" s="277" t="s">
        <v>1072</v>
      </c>
      <c r="PIS65" s="277" t="s">
        <v>1072</v>
      </c>
      <c r="PIT65" s="277" t="s">
        <v>1072</v>
      </c>
      <c r="PIU65" s="277" t="s">
        <v>1072</v>
      </c>
      <c r="PIV65" s="277" t="s">
        <v>1072</v>
      </c>
      <c r="PIW65" s="277" t="s">
        <v>1072</v>
      </c>
      <c r="PIX65" s="277" t="s">
        <v>1072</v>
      </c>
      <c r="PIY65" s="277" t="s">
        <v>1072</v>
      </c>
      <c r="PIZ65" s="277" t="s">
        <v>1072</v>
      </c>
      <c r="PJA65" s="277" t="s">
        <v>1072</v>
      </c>
      <c r="PJB65" s="277" t="s">
        <v>1072</v>
      </c>
      <c r="PJC65" s="277" t="s">
        <v>1072</v>
      </c>
      <c r="PJD65" s="277" t="s">
        <v>1072</v>
      </c>
      <c r="PJE65" s="277" t="s">
        <v>1072</v>
      </c>
      <c r="PJF65" s="277" t="s">
        <v>1072</v>
      </c>
      <c r="PJG65" s="277" t="s">
        <v>1072</v>
      </c>
      <c r="PJH65" s="277" t="s">
        <v>1072</v>
      </c>
      <c r="PJI65" s="277" t="s">
        <v>1072</v>
      </c>
      <c r="PJJ65" s="277" t="s">
        <v>1072</v>
      </c>
      <c r="PJK65" s="277" t="s">
        <v>1072</v>
      </c>
      <c r="PJL65" s="277" t="s">
        <v>1072</v>
      </c>
      <c r="PJM65" s="277" t="s">
        <v>1072</v>
      </c>
      <c r="PJN65" s="277" t="s">
        <v>1072</v>
      </c>
      <c r="PJO65" s="277" t="s">
        <v>1072</v>
      </c>
      <c r="PJP65" s="277" t="s">
        <v>1072</v>
      </c>
      <c r="PJQ65" s="277" t="s">
        <v>1072</v>
      </c>
      <c r="PJR65" s="277" t="s">
        <v>1072</v>
      </c>
      <c r="PJS65" s="277" t="s">
        <v>1072</v>
      </c>
      <c r="PJT65" s="277" t="s">
        <v>1072</v>
      </c>
      <c r="PJU65" s="277" t="s">
        <v>1072</v>
      </c>
      <c r="PJV65" s="277" t="s">
        <v>1072</v>
      </c>
      <c r="PJW65" s="277" t="s">
        <v>1072</v>
      </c>
      <c r="PJX65" s="277" t="s">
        <v>1072</v>
      </c>
      <c r="PJY65" s="277" t="s">
        <v>1072</v>
      </c>
      <c r="PJZ65" s="277" t="s">
        <v>1072</v>
      </c>
      <c r="PKA65" s="277" t="s">
        <v>1072</v>
      </c>
      <c r="PKB65" s="277" t="s">
        <v>1072</v>
      </c>
      <c r="PKC65" s="277" t="s">
        <v>1072</v>
      </c>
      <c r="PKD65" s="277" t="s">
        <v>1072</v>
      </c>
      <c r="PKE65" s="277" t="s">
        <v>1072</v>
      </c>
      <c r="PKF65" s="277" t="s">
        <v>1072</v>
      </c>
      <c r="PKG65" s="277" t="s">
        <v>1072</v>
      </c>
      <c r="PKH65" s="277" t="s">
        <v>1072</v>
      </c>
      <c r="PKI65" s="277" t="s">
        <v>1072</v>
      </c>
      <c r="PKJ65" s="277" t="s">
        <v>1072</v>
      </c>
      <c r="PKK65" s="277" t="s">
        <v>1072</v>
      </c>
      <c r="PKL65" s="277" t="s">
        <v>1072</v>
      </c>
      <c r="PKM65" s="277" t="s">
        <v>1072</v>
      </c>
      <c r="PKN65" s="277" t="s">
        <v>1072</v>
      </c>
      <c r="PKO65" s="277" t="s">
        <v>1072</v>
      </c>
      <c r="PKP65" s="277" t="s">
        <v>1072</v>
      </c>
      <c r="PKQ65" s="277" t="s">
        <v>1072</v>
      </c>
      <c r="PKR65" s="277" t="s">
        <v>1072</v>
      </c>
      <c r="PKS65" s="277" t="s">
        <v>1072</v>
      </c>
      <c r="PKT65" s="277" t="s">
        <v>1072</v>
      </c>
      <c r="PKU65" s="277" t="s">
        <v>1072</v>
      </c>
      <c r="PKV65" s="277" t="s">
        <v>1072</v>
      </c>
      <c r="PKW65" s="277" t="s">
        <v>1072</v>
      </c>
      <c r="PKX65" s="277" t="s">
        <v>1072</v>
      </c>
      <c r="PKY65" s="277" t="s">
        <v>1072</v>
      </c>
      <c r="PKZ65" s="277" t="s">
        <v>1072</v>
      </c>
      <c r="PLA65" s="277" t="s">
        <v>1072</v>
      </c>
      <c r="PLB65" s="277" t="s">
        <v>1072</v>
      </c>
      <c r="PLC65" s="277" t="s">
        <v>1072</v>
      </c>
      <c r="PLD65" s="277" t="s">
        <v>1072</v>
      </c>
      <c r="PLE65" s="277" t="s">
        <v>1072</v>
      </c>
      <c r="PLF65" s="277" t="s">
        <v>1072</v>
      </c>
      <c r="PLG65" s="277" t="s">
        <v>1072</v>
      </c>
      <c r="PLH65" s="277" t="s">
        <v>1072</v>
      </c>
      <c r="PLI65" s="277" t="s">
        <v>1072</v>
      </c>
      <c r="PLJ65" s="277" t="s">
        <v>1072</v>
      </c>
      <c r="PLK65" s="277" t="s">
        <v>1072</v>
      </c>
      <c r="PLL65" s="277" t="s">
        <v>1072</v>
      </c>
      <c r="PLM65" s="277" t="s">
        <v>1072</v>
      </c>
      <c r="PLN65" s="277" t="s">
        <v>1072</v>
      </c>
      <c r="PLO65" s="277" t="s">
        <v>1072</v>
      </c>
      <c r="PLP65" s="277" t="s">
        <v>1072</v>
      </c>
      <c r="PLQ65" s="277" t="s">
        <v>1072</v>
      </c>
      <c r="PLR65" s="277" t="s">
        <v>1072</v>
      </c>
      <c r="PLS65" s="277" t="s">
        <v>1072</v>
      </c>
      <c r="PLT65" s="277" t="s">
        <v>1072</v>
      </c>
      <c r="PLU65" s="277" t="s">
        <v>1072</v>
      </c>
      <c r="PLV65" s="277" t="s">
        <v>1072</v>
      </c>
      <c r="PLW65" s="277" t="s">
        <v>1072</v>
      </c>
      <c r="PLX65" s="277" t="s">
        <v>1072</v>
      </c>
      <c r="PLY65" s="277" t="s">
        <v>1072</v>
      </c>
      <c r="PLZ65" s="277" t="s">
        <v>1072</v>
      </c>
      <c r="PMA65" s="277" t="s">
        <v>1072</v>
      </c>
      <c r="PMB65" s="277" t="s">
        <v>1072</v>
      </c>
      <c r="PMC65" s="277" t="s">
        <v>1072</v>
      </c>
      <c r="PMD65" s="277" t="s">
        <v>1072</v>
      </c>
      <c r="PME65" s="277" t="s">
        <v>1072</v>
      </c>
      <c r="PMF65" s="277" t="s">
        <v>1072</v>
      </c>
      <c r="PMG65" s="277" t="s">
        <v>1072</v>
      </c>
      <c r="PMH65" s="277" t="s">
        <v>1072</v>
      </c>
      <c r="PMI65" s="277" t="s">
        <v>1072</v>
      </c>
      <c r="PMJ65" s="277" t="s">
        <v>1072</v>
      </c>
      <c r="PMK65" s="277" t="s">
        <v>1072</v>
      </c>
      <c r="PML65" s="277" t="s">
        <v>1072</v>
      </c>
      <c r="PMM65" s="277" t="s">
        <v>1072</v>
      </c>
      <c r="PMN65" s="277" t="s">
        <v>1072</v>
      </c>
      <c r="PMO65" s="277" t="s">
        <v>1072</v>
      </c>
      <c r="PMP65" s="277" t="s">
        <v>1072</v>
      </c>
      <c r="PMQ65" s="277" t="s">
        <v>1072</v>
      </c>
      <c r="PMR65" s="277" t="s">
        <v>1072</v>
      </c>
      <c r="PMS65" s="277" t="s">
        <v>1072</v>
      </c>
      <c r="PMT65" s="277" t="s">
        <v>1072</v>
      </c>
      <c r="PMU65" s="277" t="s">
        <v>1072</v>
      </c>
      <c r="PMV65" s="277" t="s">
        <v>1072</v>
      </c>
      <c r="PMW65" s="277" t="s">
        <v>1072</v>
      </c>
      <c r="PMX65" s="277" t="s">
        <v>1072</v>
      </c>
      <c r="PMY65" s="277" t="s">
        <v>1072</v>
      </c>
      <c r="PMZ65" s="277" t="s">
        <v>1072</v>
      </c>
      <c r="PNA65" s="277" t="s">
        <v>1072</v>
      </c>
      <c r="PNB65" s="277" t="s">
        <v>1072</v>
      </c>
      <c r="PNC65" s="277" t="s">
        <v>1072</v>
      </c>
      <c r="PND65" s="277" t="s">
        <v>1072</v>
      </c>
      <c r="PNE65" s="277" t="s">
        <v>1072</v>
      </c>
      <c r="PNF65" s="277" t="s">
        <v>1072</v>
      </c>
      <c r="PNG65" s="277" t="s">
        <v>1072</v>
      </c>
      <c r="PNH65" s="277" t="s">
        <v>1072</v>
      </c>
      <c r="PNI65" s="277" t="s">
        <v>1072</v>
      </c>
      <c r="PNJ65" s="277" t="s">
        <v>1072</v>
      </c>
      <c r="PNK65" s="277" t="s">
        <v>1072</v>
      </c>
      <c r="PNL65" s="277" t="s">
        <v>1072</v>
      </c>
      <c r="PNM65" s="277" t="s">
        <v>1072</v>
      </c>
      <c r="PNN65" s="277" t="s">
        <v>1072</v>
      </c>
      <c r="PNO65" s="277" t="s">
        <v>1072</v>
      </c>
      <c r="PNP65" s="277" t="s">
        <v>1072</v>
      </c>
      <c r="PNQ65" s="277" t="s">
        <v>1072</v>
      </c>
      <c r="PNR65" s="277" t="s">
        <v>1072</v>
      </c>
      <c r="PNS65" s="277" t="s">
        <v>1072</v>
      </c>
      <c r="PNT65" s="277" t="s">
        <v>1072</v>
      </c>
      <c r="PNU65" s="277" t="s">
        <v>1072</v>
      </c>
      <c r="PNV65" s="277" t="s">
        <v>1072</v>
      </c>
      <c r="PNW65" s="277" t="s">
        <v>1072</v>
      </c>
      <c r="PNX65" s="277" t="s">
        <v>1072</v>
      </c>
      <c r="PNY65" s="277" t="s">
        <v>1072</v>
      </c>
      <c r="PNZ65" s="277" t="s">
        <v>1072</v>
      </c>
      <c r="POA65" s="277" t="s">
        <v>1072</v>
      </c>
      <c r="POB65" s="277" t="s">
        <v>1072</v>
      </c>
      <c r="POC65" s="277" t="s">
        <v>1072</v>
      </c>
      <c r="POD65" s="277" t="s">
        <v>1072</v>
      </c>
      <c r="POE65" s="277" t="s">
        <v>1072</v>
      </c>
      <c r="POF65" s="277" t="s">
        <v>1072</v>
      </c>
      <c r="POG65" s="277" t="s">
        <v>1072</v>
      </c>
      <c r="POH65" s="277" t="s">
        <v>1072</v>
      </c>
      <c r="POI65" s="277" t="s">
        <v>1072</v>
      </c>
      <c r="POJ65" s="277" t="s">
        <v>1072</v>
      </c>
      <c r="POK65" s="277" t="s">
        <v>1072</v>
      </c>
      <c r="POL65" s="277" t="s">
        <v>1072</v>
      </c>
      <c r="POM65" s="277" t="s">
        <v>1072</v>
      </c>
      <c r="PON65" s="277" t="s">
        <v>1072</v>
      </c>
      <c r="POO65" s="277" t="s">
        <v>1072</v>
      </c>
      <c r="POP65" s="277" t="s">
        <v>1072</v>
      </c>
      <c r="POQ65" s="277" t="s">
        <v>1072</v>
      </c>
      <c r="POR65" s="277" t="s">
        <v>1072</v>
      </c>
      <c r="POS65" s="277" t="s">
        <v>1072</v>
      </c>
      <c r="POT65" s="277" t="s">
        <v>1072</v>
      </c>
      <c r="POU65" s="277" t="s">
        <v>1072</v>
      </c>
      <c r="POV65" s="277" t="s">
        <v>1072</v>
      </c>
      <c r="POW65" s="277" t="s">
        <v>1072</v>
      </c>
      <c r="POX65" s="277" t="s">
        <v>1072</v>
      </c>
      <c r="POY65" s="277" t="s">
        <v>1072</v>
      </c>
      <c r="POZ65" s="277" t="s">
        <v>1072</v>
      </c>
      <c r="PPA65" s="277" t="s">
        <v>1072</v>
      </c>
      <c r="PPB65" s="277" t="s">
        <v>1072</v>
      </c>
      <c r="PPC65" s="277" t="s">
        <v>1072</v>
      </c>
      <c r="PPD65" s="277" t="s">
        <v>1072</v>
      </c>
      <c r="PPE65" s="277" t="s">
        <v>1072</v>
      </c>
      <c r="PPF65" s="277" t="s">
        <v>1072</v>
      </c>
      <c r="PPG65" s="277" t="s">
        <v>1072</v>
      </c>
      <c r="PPH65" s="277" t="s">
        <v>1072</v>
      </c>
      <c r="PPI65" s="277" t="s">
        <v>1072</v>
      </c>
      <c r="PPJ65" s="277" t="s">
        <v>1072</v>
      </c>
      <c r="PPK65" s="277" t="s">
        <v>1072</v>
      </c>
      <c r="PPL65" s="277" t="s">
        <v>1072</v>
      </c>
      <c r="PPM65" s="277" t="s">
        <v>1072</v>
      </c>
      <c r="PPN65" s="277" t="s">
        <v>1072</v>
      </c>
      <c r="PPO65" s="277" t="s">
        <v>1072</v>
      </c>
      <c r="PPP65" s="277" t="s">
        <v>1072</v>
      </c>
      <c r="PPQ65" s="277" t="s">
        <v>1072</v>
      </c>
      <c r="PPR65" s="277" t="s">
        <v>1072</v>
      </c>
      <c r="PPS65" s="277" t="s">
        <v>1072</v>
      </c>
      <c r="PPT65" s="277" t="s">
        <v>1072</v>
      </c>
      <c r="PPU65" s="277" t="s">
        <v>1072</v>
      </c>
      <c r="PPV65" s="277" t="s">
        <v>1072</v>
      </c>
      <c r="PPW65" s="277" t="s">
        <v>1072</v>
      </c>
      <c r="PPX65" s="277" t="s">
        <v>1072</v>
      </c>
      <c r="PPY65" s="277" t="s">
        <v>1072</v>
      </c>
      <c r="PPZ65" s="277" t="s">
        <v>1072</v>
      </c>
      <c r="PQA65" s="277" t="s">
        <v>1072</v>
      </c>
      <c r="PQB65" s="277" t="s">
        <v>1072</v>
      </c>
      <c r="PQC65" s="277" t="s">
        <v>1072</v>
      </c>
      <c r="PQD65" s="277" t="s">
        <v>1072</v>
      </c>
      <c r="PQE65" s="277" t="s">
        <v>1072</v>
      </c>
      <c r="PQF65" s="277" t="s">
        <v>1072</v>
      </c>
      <c r="PQG65" s="277" t="s">
        <v>1072</v>
      </c>
      <c r="PQH65" s="277" t="s">
        <v>1072</v>
      </c>
      <c r="PQI65" s="277" t="s">
        <v>1072</v>
      </c>
      <c r="PQJ65" s="277" t="s">
        <v>1072</v>
      </c>
      <c r="PQK65" s="277" t="s">
        <v>1072</v>
      </c>
      <c r="PQL65" s="277" t="s">
        <v>1072</v>
      </c>
      <c r="PQM65" s="277" t="s">
        <v>1072</v>
      </c>
      <c r="PQN65" s="277" t="s">
        <v>1072</v>
      </c>
      <c r="PQO65" s="277" t="s">
        <v>1072</v>
      </c>
      <c r="PQP65" s="277" t="s">
        <v>1072</v>
      </c>
      <c r="PQQ65" s="277" t="s">
        <v>1072</v>
      </c>
      <c r="PQR65" s="277" t="s">
        <v>1072</v>
      </c>
      <c r="PQS65" s="277" t="s">
        <v>1072</v>
      </c>
      <c r="PQT65" s="277" t="s">
        <v>1072</v>
      </c>
      <c r="PQU65" s="277" t="s">
        <v>1072</v>
      </c>
      <c r="PQV65" s="277" t="s">
        <v>1072</v>
      </c>
      <c r="PQW65" s="277" t="s">
        <v>1072</v>
      </c>
      <c r="PQX65" s="277" t="s">
        <v>1072</v>
      </c>
      <c r="PQY65" s="277" t="s">
        <v>1072</v>
      </c>
      <c r="PQZ65" s="277" t="s">
        <v>1072</v>
      </c>
      <c r="PRA65" s="277" t="s">
        <v>1072</v>
      </c>
      <c r="PRB65" s="277" t="s">
        <v>1072</v>
      </c>
      <c r="PRC65" s="277" t="s">
        <v>1072</v>
      </c>
      <c r="PRD65" s="277" t="s">
        <v>1072</v>
      </c>
      <c r="PRE65" s="277" t="s">
        <v>1072</v>
      </c>
      <c r="PRF65" s="277" t="s">
        <v>1072</v>
      </c>
      <c r="PRG65" s="277" t="s">
        <v>1072</v>
      </c>
      <c r="PRH65" s="277" t="s">
        <v>1072</v>
      </c>
      <c r="PRI65" s="277" t="s">
        <v>1072</v>
      </c>
      <c r="PRJ65" s="277" t="s">
        <v>1072</v>
      </c>
      <c r="PRK65" s="277" t="s">
        <v>1072</v>
      </c>
      <c r="PRL65" s="277" t="s">
        <v>1072</v>
      </c>
      <c r="PRM65" s="277" t="s">
        <v>1072</v>
      </c>
      <c r="PRN65" s="277" t="s">
        <v>1072</v>
      </c>
      <c r="PRO65" s="277" t="s">
        <v>1072</v>
      </c>
      <c r="PRP65" s="277" t="s">
        <v>1072</v>
      </c>
      <c r="PRQ65" s="277" t="s">
        <v>1072</v>
      </c>
      <c r="PRR65" s="277" t="s">
        <v>1072</v>
      </c>
      <c r="PRS65" s="277" t="s">
        <v>1072</v>
      </c>
      <c r="PRT65" s="277" t="s">
        <v>1072</v>
      </c>
      <c r="PRU65" s="277" t="s">
        <v>1072</v>
      </c>
      <c r="PRV65" s="277" t="s">
        <v>1072</v>
      </c>
      <c r="PRW65" s="277" t="s">
        <v>1072</v>
      </c>
      <c r="PRX65" s="277" t="s">
        <v>1072</v>
      </c>
      <c r="PRY65" s="277" t="s">
        <v>1072</v>
      </c>
      <c r="PRZ65" s="277" t="s">
        <v>1072</v>
      </c>
      <c r="PSA65" s="277" t="s">
        <v>1072</v>
      </c>
      <c r="PSB65" s="277" t="s">
        <v>1072</v>
      </c>
      <c r="PSC65" s="277" t="s">
        <v>1072</v>
      </c>
      <c r="PSD65" s="277" t="s">
        <v>1072</v>
      </c>
      <c r="PSE65" s="277" t="s">
        <v>1072</v>
      </c>
      <c r="PSF65" s="277" t="s">
        <v>1072</v>
      </c>
      <c r="PSG65" s="277" t="s">
        <v>1072</v>
      </c>
      <c r="PSH65" s="277" t="s">
        <v>1072</v>
      </c>
      <c r="PSI65" s="277" t="s">
        <v>1072</v>
      </c>
      <c r="PSJ65" s="277" t="s">
        <v>1072</v>
      </c>
      <c r="PSK65" s="277" t="s">
        <v>1072</v>
      </c>
      <c r="PSL65" s="277" t="s">
        <v>1072</v>
      </c>
      <c r="PSM65" s="277" t="s">
        <v>1072</v>
      </c>
      <c r="PSN65" s="277" t="s">
        <v>1072</v>
      </c>
      <c r="PSO65" s="277" t="s">
        <v>1072</v>
      </c>
      <c r="PSP65" s="277" t="s">
        <v>1072</v>
      </c>
      <c r="PSQ65" s="277" t="s">
        <v>1072</v>
      </c>
      <c r="PSR65" s="277" t="s">
        <v>1072</v>
      </c>
      <c r="PSS65" s="277" t="s">
        <v>1072</v>
      </c>
      <c r="PST65" s="277" t="s">
        <v>1072</v>
      </c>
      <c r="PSU65" s="277" t="s">
        <v>1072</v>
      </c>
      <c r="PSV65" s="277" t="s">
        <v>1072</v>
      </c>
      <c r="PSW65" s="277" t="s">
        <v>1072</v>
      </c>
      <c r="PSX65" s="277" t="s">
        <v>1072</v>
      </c>
      <c r="PSY65" s="277" t="s">
        <v>1072</v>
      </c>
      <c r="PSZ65" s="277" t="s">
        <v>1072</v>
      </c>
      <c r="PTA65" s="277" t="s">
        <v>1072</v>
      </c>
      <c r="PTB65" s="277" t="s">
        <v>1072</v>
      </c>
      <c r="PTC65" s="277" t="s">
        <v>1072</v>
      </c>
      <c r="PTD65" s="277" t="s">
        <v>1072</v>
      </c>
      <c r="PTE65" s="277" t="s">
        <v>1072</v>
      </c>
      <c r="PTF65" s="277" t="s">
        <v>1072</v>
      </c>
      <c r="PTG65" s="277" t="s">
        <v>1072</v>
      </c>
      <c r="PTH65" s="277" t="s">
        <v>1072</v>
      </c>
      <c r="PTI65" s="277" t="s">
        <v>1072</v>
      </c>
      <c r="PTJ65" s="277" t="s">
        <v>1072</v>
      </c>
      <c r="PTK65" s="277" t="s">
        <v>1072</v>
      </c>
      <c r="PTL65" s="277" t="s">
        <v>1072</v>
      </c>
      <c r="PTM65" s="277" t="s">
        <v>1072</v>
      </c>
      <c r="PTN65" s="277" t="s">
        <v>1072</v>
      </c>
      <c r="PTO65" s="277" t="s">
        <v>1072</v>
      </c>
      <c r="PTP65" s="277" t="s">
        <v>1072</v>
      </c>
      <c r="PTQ65" s="277" t="s">
        <v>1072</v>
      </c>
      <c r="PTR65" s="277" t="s">
        <v>1072</v>
      </c>
      <c r="PTS65" s="277" t="s">
        <v>1072</v>
      </c>
      <c r="PTT65" s="277" t="s">
        <v>1072</v>
      </c>
      <c r="PTU65" s="277" t="s">
        <v>1072</v>
      </c>
      <c r="PTV65" s="277" t="s">
        <v>1072</v>
      </c>
      <c r="PTW65" s="277" t="s">
        <v>1072</v>
      </c>
      <c r="PTX65" s="277" t="s">
        <v>1072</v>
      </c>
      <c r="PTY65" s="277" t="s">
        <v>1072</v>
      </c>
      <c r="PTZ65" s="277" t="s">
        <v>1072</v>
      </c>
      <c r="PUA65" s="277" t="s">
        <v>1072</v>
      </c>
      <c r="PUB65" s="277" t="s">
        <v>1072</v>
      </c>
      <c r="PUC65" s="277" t="s">
        <v>1072</v>
      </c>
      <c r="PUD65" s="277" t="s">
        <v>1072</v>
      </c>
      <c r="PUE65" s="277" t="s">
        <v>1072</v>
      </c>
      <c r="PUF65" s="277" t="s">
        <v>1072</v>
      </c>
      <c r="PUG65" s="277" t="s">
        <v>1072</v>
      </c>
      <c r="PUH65" s="277" t="s">
        <v>1072</v>
      </c>
      <c r="PUI65" s="277" t="s">
        <v>1072</v>
      </c>
      <c r="PUJ65" s="277" t="s">
        <v>1072</v>
      </c>
      <c r="PUK65" s="277" t="s">
        <v>1072</v>
      </c>
      <c r="PUL65" s="277" t="s">
        <v>1072</v>
      </c>
      <c r="PUM65" s="277" t="s">
        <v>1072</v>
      </c>
      <c r="PUN65" s="277" t="s">
        <v>1072</v>
      </c>
      <c r="PUO65" s="277" t="s">
        <v>1072</v>
      </c>
      <c r="PUP65" s="277" t="s">
        <v>1072</v>
      </c>
      <c r="PUQ65" s="277" t="s">
        <v>1072</v>
      </c>
      <c r="PUR65" s="277" t="s">
        <v>1072</v>
      </c>
      <c r="PUS65" s="277" t="s">
        <v>1072</v>
      </c>
      <c r="PUT65" s="277" t="s">
        <v>1072</v>
      </c>
      <c r="PUU65" s="277" t="s">
        <v>1072</v>
      </c>
      <c r="PUV65" s="277" t="s">
        <v>1072</v>
      </c>
      <c r="PUW65" s="277" t="s">
        <v>1072</v>
      </c>
      <c r="PUX65" s="277" t="s">
        <v>1072</v>
      </c>
      <c r="PUY65" s="277" t="s">
        <v>1072</v>
      </c>
      <c r="PUZ65" s="277" t="s">
        <v>1072</v>
      </c>
      <c r="PVA65" s="277" t="s">
        <v>1072</v>
      </c>
      <c r="PVB65" s="277" t="s">
        <v>1072</v>
      </c>
      <c r="PVC65" s="277" t="s">
        <v>1072</v>
      </c>
      <c r="PVD65" s="277" t="s">
        <v>1072</v>
      </c>
      <c r="PVE65" s="277" t="s">
        <v>1072</v>
      </c>
      <c r="PVF65" s="277" t="s">
        <v>1072</v>
      </c>
      <c r="PVG65" s="277" t="s">
        <v>1072</v>
      </c>
      <c r="PVH65" s="277" t="s">
        <v>1072</v>
      </c>
      <c r="PVI65" s="277" t="s">
        <v>1072</v>
      </c>
      <c r="PVJ65" s="277" t="s">
        <v>1072</v>
      </c>
      <c r="PVK65" s="277" t="s">
        <v>1072</v>
      </c>
      <c r="PVL65" s="277" t="s">
        <v>1072</v>
      </c>
      <c r="PVM65" s="277" t="s">
        <v>1072</v>
      </c>
      <c r="PVN65" s="277" t="s">
        <v>1072</v>
      </c>
      <c r="PVO65" s="277" t="s">
        <v>1072</v>
      </c>
      <c r="PVP65" s="277" t="s">
        <v>1072</v>
      </c>
      <c r="PVQ65" s="277" t="s">
        <v>1072</v>
      </c>
      <c r="PVR65" s="277" t="s">
        <v>1072</v>
      </c>
      <c r="PVS65" s="277" t="s">
        <v>1072</v>
      </c>
      <c r="PVT65" s="277" t="s">
        <v>1072</v>
      </c>
      <c r="PVU65" s="277" t="s">
        <v>1072</v>
      </c>
      <c r="PVV65" s="277" t="s">
        <v>1072</v>
      </c>
      <c r="PVW65" s="277" t="s">
        <v>1072</v>
      </c>
      <c r="PVX65" s="277" t="s">
        <v>1072</v>
      </c>
      <c r="PVY65" s="277" t="s">
        <v>1072</v>
      </c>
      <c r="PVZ65" s="277" t="s">
        <v>1072</v>
      </c>
      <c r="PWA65" s="277" t="s">
        <v>1072</v>
      </c>
      <c r="PWB65" s="277" t="s">
        <v>1072</v>
      </c>
      <c r="PWC65" s="277" t="s">
        <v>1072</v>
      </c>
      <c r="PWD65" s="277" t="s">
        <v>1072</v>
      </c>
      <c r="PWE65" s="277" t="s">
        <v>1072</v>
      </c>
      <c r="PWF65" s="277" t="s">
        <v>1072</v>
      </c>
      <c r="PWG65" s="277" t="s">
        <v>1072</v>
      </c>
      <c r="PWH65" s="277" t="s">
        <v>1072</v>
      </c>
      <c r="PWI65" s="277" t="s">
        <v>1072</v>
      </c>
      <c r="PWJ65" s="277" t="s">
        <v>1072</v>
      </c>
      <c r="PWK65" s="277" t="s">
        <v>1072</v>
      </c>
      <c r="PWL65" s="277" t="s">
        <v>1072</v>
      </c>
      <c r="PWM65" s="277" t="s">
        <v>1072</v>
      </c>
      <c r="PWN65" s="277" t="s">
        <v>1072</v>
      </c>
      <c r="PWO65" s="277" t="s">
        <v>1072</v>
      </c>
      <c r="PWP65" s="277" t="s">
        <v>1072</v>
      </c>
      <c r="PWQ65" s="277" t="s">
        <v>1072</v>
      </c>
      <c r="PWR65" s="277" t="s">
        <v>1072</v>
      </c>
      <c r="PWS65" s="277" t="s">
        <v>1072</v>
      </c>
      <c r="PWT65" s="277" t="s">
        <v>1072</v>
      </c>
      <c r="PWU65" s="277" t="s">
        <v>1072</v>
      </c>
      <c r="PWV65" s="277" t="s">
        <v>1072</v>
      </c>
      <c r="PWW65" s="277" t="s">
        <v>1072</v>
      </c>
      <c r="PWX65" s="277" t="s">
        <v>1072</v>
      </c>
      <c r="PWY65" s="277" t="s">
        <v>1072</v>
      </c>
      <c r="PWZ65" s="277" t="s">
        <v>1072</v>
      </c>
      <c r="PXA65" s="277" t="s">
        <v>1072</v>
      </c>
      <c r="PXB65" s="277" t="s">
        <v>1072</v>
      </c>
      <c r="PXC65" s="277" t="s">
        <v>1072</v>
      </c>
      <c r="PXD65" s="277" t="s">
        <v>1072</v>
      </c>
      <c r="PXE65" s="277" t="s">
        <v>1072</v>
      </c>
      <c r="PXF65" s="277" t="s">
        <v>1072</v>
      </c>
      <c r="PXG65" s="277" t="s">
        <v>1072</v>
      </c>
      <c r="PXH65" s="277" t="s">
        <v>1072</v>
      </c>
      <c r="PXI65" s="277" t="s">
        <v>1072</v>
      </c>
      <c r="PXJ65" s="277" t="s">
        <v>1072</v>
      </c>
      <c r="PXK65" s="277" t="s">
        <v>1072</v>
      </c>
      <c r="PXL65" s="277" t="s">
        <v>1072</v>
      </c>
      <c r="PXM65" s="277" t="s">
        <v>1072</v>
      </c>
      <c r="PXN65" s="277" t="s">
        <v>1072</v>
      </c>
      <c r="PXO65" s="277" t="s">
        <v>1072</v>
      </c>
      <c r="PXP65" s="277" t="s">
        <v>1072</v>
      </c>
      <c r="PXQ65" s="277" t="s">
        <v>1072</v>
      </c>
      <c r="PXR65" s="277" t="s">
        <v>1072</v>
      </c>
      <c r="PXS65" s="277" t="s">
        <v>1072</v>
      </c>
      <c r="PXT65" s="277" t="s">
        <v>1072</v>
      </c>
      <c r="PXU65" s="277" t="s">
        <v>1072</v>
      </c>
      <c r="PXV65" s="277" t="s">
        <v>1072</v>
      </c>
      <c r="PXW65" s="277" t="s">
        <v>1072</v>
      </c>
      <c r="PXX65" s="277" t="s">
        <v>1072</v>
      </c>
      <c r="PXY65" s="277" t="s">
        <v>1072</v>
      </c>
      <c r="PXZ65" s="277" t="s">
        <v>1072</v>
      </c>
      <c r="PYA65" s="277" t="s">
        <v>1072</v>
      </c>
      <c r="PYB65" s="277" t="s">
        <v>1072</v>
      </c>
      <c r="PYC65" s="277" t="s">
        <v>1072</v>
      </c>
      <c r="PYD65" s="277" t="s">
        <v>1072</v>
      </c>
      <c r="PYE65" s="277" t="s">
        <v>1072</v>
      </c>
      <c r="PYF65" s="277" t="s">
        <v>1072</v>
      </c>
      <c r="PYG65" s="277" t="s">
        <v>1072</v>
      </c>
      <c r="PYH65" s="277" t="s">
        <v>1072</v>
      </c>
      <c r="PYI65" s="277" t="s">
        <v>1072</v>
      </c>
      <c r="PYJ65" s="277" t="s">
        <v>1072</v>
      </c>
      <c r="PYK65" s="277" t="s">
        <v>1072</v>
      </c>
      <c r="PYL65" s="277" t="s">
        <v>1072</v>
      </c>
      <c r="PYM65" s="277" t="s">
        <v>1072</v>
      </c>
      <c r="PYN65" s="277" t="s">
        <v>1072</v>
      </c>
      <c r="PYO65" s="277" t="s">
        <v>1072</v>
      </c>
      <c r="PYP65" s="277" t="s">
        <v>1072</v>
      </c>
      <c r="PYQ65" s="277" t="s">
        <v>1072</v>
      </c>
      <c r="PYR65" s="277" t="s">
        <v>1072</v>
      </c>
      <c r="PYS65" s="277" t="s">
        <v>1072</v>
      </c>
      <c r="PYT65" s="277" t="s">
        <v>1072</v>
      </c>
      <c r="PYU65" s="277" t="s">
        <v>1072</v>
      </c>
      <c r="PYV65" s="277" t="s">
        <v>1072</v>
      </c>
      <c r="PYW65" s="277" t="s">
        <v>1072</v>
      </c>
      <c r="PYX65" s="277" t="s">
        <v>1072</v>
      </c>
      <c r="PYY65" s="277" t="s">
        <v>1072</v>
      </c>
      <c r="PYZ65" s="277" t="s">
        <v>1072</v>
      </c>
      <c r="PZA65" s="277" t="s">
        <v>1072</v>
      </c>
      <c r="PZB65" s="277" t="s">
        <v>1072</v>
      </c>
      <c r="PZC65" s="277" t="s">
        <v>1072</v>
      </c>
      <c r="PZD65" s="277" t="s">
        <v>1072</v>
      </c>
      <c r="PZE65" s="277" t="s">
        <v>1072</v>
      </c>
      <c r="PZF65" s="277" t="s">
        <v>1072</v>
      </c>
      <c r="PZG65" s="277" t="s">
        <v>1072</v>
      </c>
      <c r="PZH65" s="277" t="s">
        <v>1072</v>
      </c>
      <c r="PZI65" s="277" t="s">
        <v>1072</v>
      </c>
      <c r="PZJ65" s="277" t="s">
        <v>1072</v>
      </c>
      <c r="PZK65" s="277" t="s">
        <v>1072</v>
      </c>
      <c r="PZL65" s="277" t="s">
        <v>1072</v>
      </c>
      <c r="PZM65" s="277" t="s">
        <v>1072</v>
      </c>
      <c r="PZN65" s="277" t="s">
        <v>1072</v>
      </c>
      <c r="PZO65" s="277" t="s">
        <v>1072</v>
      </c>
      <c r="PZP65" s="277" t="s">
        <v>1072</v>
      </c>
      <c r="PZQ65" s="277" t="s">
        <v>1072</v>
      </c>
      <c r="PZR65" s="277" t="s">
        <v>1072</v>
      </c>
      <c r="PZS65" s="277" t="s">
        <v>1072</v>
      </c>
      <c r="PZT65" s="277" t="s">
        <v>1072</v>
      </c>
      <c r="PZU65" s="277" t="s">
        <v>1072</v>
      </c>
      <c r="PZV65" s="277" t="s">
        <v>1072</v>
      </c>
      <c r="PZW65" s="277" t="s">
        <v>1072</v>
      </c>
      <c r="PZX65" s="277" t="s">
        <v>1072</v>
      </c>
      <c r="PZY65" s="277" t="s">
        <v>1072</v>
      </c>
      <c r="PZZ65" s="277" t="s">
        <v>1072</v>
      </c>
      <c r="QAA65" s="277" t="s">
        <v>1072</v>
      </c>
      <c r="QAB65" s="277" t="s">
        <v>1072</v>
      </c>
      <c r="QAC65" s="277" t="s">
        <v>1072</v>
      </c>
      <c r="QAD65" s="277" t="s">
        <v>1072</v>
      </c>
      <c r="QAE65" s="277" t="s">
        <v>1072</v>
      </c>
      <c r="QAF65" s="277" t="s">
        <v>1072</v>
      </c>
      <c r="QAG65" s="277" t="s">
        <v>1072</v>
      </c>
      <c r="QAH65" s="277" t="s">
        <v>1072</v>
      </c>
      <c r="QAI65" s="277" t="s">
        <v>1072</v>
      </c>
      <c r="QAJ65" s="277" t="s">
        <v>1072</v>
      </c>
      <c r="QAK65" s="277" t="s">
        <v>1072</v>
      </c>
      <c r="QAL65" s="277" t="s">
        <v>1072</v>
      </c>
      <c r="QAM65" s="277" t="s">
        <v>1072</v>
      </c>
      <c r="QAN65" s="277" t="s">
        <v>1072</v>
      </c>
      <c r="QAO65" s="277" t="s">
        <v>1072</v>
      </c>
      <c r="QAP65" s="277" t="s">
        <v>1072</v>
      </c>
      <c r="QAQ65" s="277" t="s">
        <v>1072</v>
      </c>
      <c r="QAR65" s="277" t="s">
        <v>1072</v>
      </c>
      <c r="QAS65" s="277" t="s">
        <v>1072</v>
      </c>
      <c r="QAT65" s="277" t="s">
        <v>1072</v>
      </c>
      <c r="QAU65" s="277" t="s">
        <v>1072</v>
      </c>
      <c r="QAV65" s="277" t="s">
        <v>1072</v>
      </c>
      <c r="QAW65" s="277" t="s">
        <v>1072</v>
      </c>
      <c r="QAX65" s="277" t="s">
        <v>1072</v>
      </c>
      <c r="QAY65" s="277" t="s">
        <v>1072</v>
      </c>
      <c r="QAZ65" s="277" t="s">
        <v>1072</v>
      </c>
      <c r="QBA65" s="277" t="s">
        <v>1072</v>
      </c>
      <c r="QBB65" s="277" t="s">
        <v>1072</v>
      </c>
      <c r="QBC65" s="277" t="s">
        <v>1072</v>
      </c>
      <c r="QBD65" s="277" t="s">
        <v>1072</v>
      </c>
      <c r="QBE65" s="277" t="s">
        <v>1072</v>
      </c>
      <c r="QBF65" s="277" t="s">
        <v>1072</v>
      </c>
      <c r="QBG65" s="277" t="s">
        <v>1072</v>
      </c>
      <c r="QBH65" s="277" t="s">
        <v>1072</v>
      </c>
      <c r="QBI65" s="277" t="s">
        <v>1072</v>
      </c>
      <c r="QBJ65" s="277" t="s">
        <v>1072</v>
      </c>
      <c r="QBK65" s="277" t="s">
        <v>1072</v>
      </c>
      <c r="QBL65" s="277" t="s">
        <v>1072</v>
      </c>
      <c r="QBM65" s="277" t="s">
        <v>1072</v>
      </c>
      <c r="QBN65" s="277" t="s">
        <v>1072</v>
      </c>
      <c r="QBO65" s="277" t="s">
        <v>1072</v>
      </c>
      <c r="QBP65" s="277" t="s">
        <v>1072</v>
      </c>
      <c r="QBQ65" s="277" t="s">
        <v>1072</v>
      </c>
      <c r="QBR65" s="277" t="s">
        <v>1072</v>
      </c>
      <c r="QBS65" s="277" t="s">
        <v>1072</v>
      </c>
      <c r="QBT65" s="277" t="s">
        <v>1072</v>
      </c>
      <c r="QBU65" s="277" t="s">
        <v>1072</v>
      </c>
      <c r="QBV65" s="277" t="s">
        <v>1072</v>
      </c>
      <c r="QBW65" s="277" t="s">
        <v>1072</v>
      </c>
      <c r="QBX65" s="277" t="s">
        <v>1072</v>
      </c>
      <c r="QBY65" s="277" t="s">
        <v>1072</v>
      </c>
      <c r="QBZ65" s="277" t="s">
        <v>1072</v>
      </c>
      <c r="QCA65" s="277" t="s">
        <v>1072</v>
      </c>
      <c r="QCB65" s="277" t="s">
        <v>1072</v>
      </c>
      <c r="QCC65" s="277" t="s">
        <v>1072</v>
      </c>
      <c r="QCD65" s="277" t="s">
        <v>1072</v>
      </c>
      <c r="QCE65" s="277" t="s">
        <v>1072</v>
      </c>
      <c r="QCF65" s="277" t="s">
        <v>1072</v>
      </c>
      <c r="QCG65" s="277" t="s">
        <v>1072</v>
      </c>
      <c r="QCH65" s="277" t="s">
        <v>1072</v>
      </c>
      <c r="QCI65" s="277" t="s">
        <v>1072</v>
      </c>
      <c r="QCJ65" s="277" t="s">
        <v>1072</v>
      </c>
      <c r="QCK65" s="277" t="s">
        <v>1072</v>
      </c>
      <c r="QCL65" s="277" t="s">
        <v>1072</v>
      </c>
      <c r="QCM65" s="277" t="s">
        <v>1072</v>
      </c>
      <c r="QCN65" s="277" t="s">
        <v>1072</v>
      </c>
      <c r="QCO65" s="277" t="s">
        <v>1072</v>
      </c>
      <c r="QCP65" s="277" t="s">
        <v>1072</v>
      </c>
      <c r="QCQ65" s="277" t="s">
        <v>1072</v>
      </c>
      <c r="QCR65" s="277" t="s">
        <v>1072</v>
      </c>
      <c r="QCS65" s="277" t="s">
        <v>1072</v>
      </c>
      <c r="QCT65" s="277" t="s">
        <v>1072</v>
      </c>
      <c r="QCU65" s="277" t="s">
        <v>1072</v>
      </c>
      <c r="QCV65" s="277" t="s">
        <v>1072</v>
      </c>
      <c r="QCW65" s="277" t="s">
        <v>1072</v>
      </c>
      <c r="QCX65" s="277" t="s">
        <v>1072</v>
      </c>
      <c r="QCY65" s="277" t="s">
        <v>1072</v>
      </c>
      <c r="QCZ65" s="277" t="s">
        <v>1072</v>
      </c>
      <c r="QDA65" s="277" t="s">
        <v>1072</v>
      </c>
      <c r="QDB65" s="277" t="s">
        <v>1072</v>
      </c>
      <c r="QDC65" s="277" t="s">
        <v>1072</v>
      </c>
      <c r="QDD65" s="277" t="s">
        <v>1072</v>
      </c>
      <c r="QDE65" s="277" t="s">
        <v>1072</v>
      </c>
      <c r="QDF65" s="277" t="s">
        <v>1072</v>
      </c>
      <c r="QDG65" s="277" t="s">
        <v>1072</v>
      </c>
      <c r="QDH65" s="277" t="s">
        <v>1072</v>
      </c>
      <c r="QDI65" s="277" t="s">
        <v>1072</v>
      </c>
      <c r="QDJ65" s="277" t="s">
        <v>1072</v>
      </c>
      <c r="QDK65" s="277" t="s">
        <v>1072</v>
      </c>
      <c r="QDL65" s="277" t="s">
        <v>1072</v>
      </c>
      <c r="QDM65" s="277" t="s">
        <v>1072</v>
      </c>
      <c r="QDN65" s="277" t="s">
        <v>1072</v>
      </c>
      <c r="QDO65" s="277" t="s">
        <v>1072</v>
      </c>
      <c r="QDP65" s="277" t="s">
        <v>1072</v>
      </c>
      <c r="QDQ65" s="277" t="s">
        <v>1072</v>
      </c>
      <c r="QDR65" s="277" t="s">
        <v>1072</v>
      </c>
      <c r="QDS65" s="277" t="s">
        <v>1072</v>
      </c>
      <c r="QDT65" s="277" t="s">
        <v>1072</v>
      </c>
      <c r="QDU65" s="277" t="s">
        <v>1072</v>
      </c>
      <c r="QDV65" s="277" t="s">
        <v>1072</v>
      </c>
      <c r="QDW65" s="277" t="s">
        <v>1072</v>
      </c>
      <c r="QDX65" s="277" t="s">
        <v>1072</v>
      </c>
      <c r="QDY65" s="277" t="s">
        <v>1072</v>
      </c>
      <c r="QDZ65" s="277" t="s">
        <v>1072</v>
      </c>
      <c r="QEA65" s="277" t="s">
        <v>1072</v>
      </c>
      <c r="QEB65" s="277" t="s">
        <v>1072</v>
      </c>
      <c r="QEC65" s="277" t="s">
        <v>1072</v>
      </c>
      <c r="QED65" s="277" t="s">
        <v>1072</v>
      </c>
      <c r="QEE65" s="277" t="s">
        <v>1072</v>
      </c>
      <c r="QEF65" s="277" t="s">
        <v>1072</v>
      </c>
      <c r="QEG65" s="277" t="s">
        <v>1072</v>
      </c>
      <c r="QEH65" s="277" t="s">
        <v>1072</v>
      </c>
      <c r="QEI65" s="277" t="s">
        <v>1072</v>
      </c>
      <c r="QEJ65" s="277" t="s">
        <v>1072</v>
      </c>
      <c r="QEK65" s="277" t="s">
        <v>1072</v>
      </c>
      <c r="QEL65" s="277" t="s">
        <v>1072</v>
      </c>
      <c r="QEM65" s="277" t="s">
        <v>1072</v>
      </c>
      <c r="QEN65" s="277" t="s">
        <v>1072</v>
      </c>
      <c r="QEO65" s="277" t="s">
        <v>1072</v>
      </c>
      <c r="QEP65" s="277" t="s">
        <v>1072</v>
      </c>
      <c r="QEQ65" s="277" t="s">
        <v>1072</v>
      </c>
      <c r="QER65" s="277" t="s">
        <v>1072</v>
      </c>
      <c r="QES65" s="277" t="s">
        <v>1072</v>
      </c>
      <c r="QET65" s="277" t="s">
        <v>1072</v>
      </c>
      <c r="QEU65" s="277" t="s">
        <v>1072</v>
      </c>
      <c r="QEV65" s="277" t="s">
        <v>1072</v>
      </c>
      <c r="QEW65" s="277" t="s">
        <v>1072</v>
      </c>
      <c r="QEX65" s="277" t="s">
        <v>1072</v>
      </c>
      <c r="QEY65" s="277" t="s">
        <v>1072</v>
      </c>
      <c r="QEZ65" s="277" t="s">
        <v>1072</v>
      </c>
      <c r="QFA65" s="277" t="s">
        <v>1072</v>
      </c>
      <c r="QFB65" s="277" t="s">
        <v>1072</v>
      </c>
      <c r="QFC65" s="277" t="s">
        <v>1072</v>
      </c>
      <c r="QFD65" s="277" t="s">
        <v>1072</v>
      </c>
      <c r="QFE65" s="277" t="s">
        <v>1072</v>
      </c>
      <c r="QFF65" s="277" t="s">
        <v>1072</v>
      </c>
      <c r="QFG65" s="277" t="s">
        <v>1072</v>
      </c>
      <c r="QFH65" s="277" t="s">
        <v>1072</v>
      </c>
      <c r="QFI65" s="277" t="s">
        <v>1072</v>
      </c>
      <c r="QFJ65" s="277" t="s">
        <v>1072</v>
      </c>
      <c r="QFK65" s="277" t="s">
        <v>1072</v>
      </c>
      <c r="QFL65" s="277" t="s">
        <v>1072</v>
      </c>
      <c r="QFM65" s="277" t="s">
        <v>1072</v>
      </c>
      <c r="QFN65" s="277" t="s">
        <v>1072</v>
      </c>
      <c r="QFO65" s="277" t="s">
        <v>1072</v>
      </c>
      <c r="QFP65" s="277" t="s">
        <v>1072</v>
      </c>
      <c r="QFQ65" s="277" t="s">
        <v>1072</v>
      </c>
      <c r="QFR65" s="277" t="s">
        <v>1072</v>
      </c>
      <c r="QFS65" s="277" t="s">
        <v>1072</v>
      </c>
      <c r="QFT65" s="277" t="s">
        <v>1072</v>
      </c>
      <c r="QFU65" s="277" t="s">
        <v>1072</v>
      </c>
      <c r="QFV65" s="277" t="s">
        <v>1072</v>
      </c>
      <c r="QFW65" s="277" t="s">
        <v>1072</v>
      </c>
      <c r="QFX65" s="277" t="s">
        <v>1072</v>
      </c>
      <c r="QFY65" s="277" t="s">
        <v>1072</v>
      </c>
      <c r="QFZ65" s="277" t="s">
        <v>1072</v>
      </c>
      <c r="QGA65" s="277" t="s">
        <v>1072</v>
      </c>
      <c r="QGB65" s="277" t="s">
        <v>1072</v>
      </c>
      <c r="QGC65" s="277" t="s">
        <v>1072</v>
      </c>
      <c r="QGD65" s="277" t="s">
        <v>1072</v>
      </c>
      <c r="QGE65" s="277" t="s">
        <v>1072</v>
      </c>
      <c r="QGF65" s="277" t="s">
        <v>1072</v>
      </c>
      <c r="QGG65" s="277" t="s">
        <v>1072</v>
      </c>
      <c r="QGH65" s="277" t="s">
        <v>1072</v>
      </c>
      <c r="QGI65" s="277" t="s">
        <v>1072</v>
      </c>
      <c r="QGJ65" s="277" t="s">
        <v>1072</v>
      </c>
      <c r="QGK65" s="277" t="s">
        <v>1072</v>
      </c>
      <c r="QGL65" s="277" t="s">
        <v>1072</v>
      </c>
      <c r="QGM65" s="277" t="s">
        <v>1072</v>
      </c>
      <c r="QGN65" s="277" t="s">
        <v>1072</v>
      </c>
      <c r="QGO65" s="277" t="s">
        <v>1072</v>
      </c>
      <c r="QGP65" s="277" t="s">
        <v>1072</v>
      </c>
      <c r="QGQ65" s="277" t="s">
        <v>1072</v>
      </c>
      <c r="QGR65" s="277" t="s">
        <v>1072</v>
      </c>
      <c r="QGS65" s="277" t="s">
        <v>1072</v>
      </c>
      <c r="QGT65" s="277" t="s">
        <v>1072</v>
      </c>
      <c r="QGU65" s="277" t="s">
        <v>1072</v>
      </c>
      <c r="QGV65" s="277" t="s">
        <v>1072</v>
      </c>
      <c r="QGW65" s="277" t="s">
        <v>1072</v>
      </c>
      <c r="QGX65" s="277" t="s">
        <v>1072</v>
      </c>
      <c r="QGY65" s="277" t="s">
        <v>1072</v>
      </c>
      <c r="QGZ65" s="277" t="s">
        <v>1072</v>
      </c>
      <c r="QHA65" s="277" t="s">
        <v>1072</v>
      </c>
      <c r="QHB65" s="277" t="s">
        <v>1072</v>
      </c>
      <c r="QHC65" s="277" t="s">
        <v>1072</v>
      </c>
      <c r="QHD65" s="277" t="s">
        <v>1072</v>
      </c>
      <c r="QHE65" s="277" t="s">
        <v>1072</v>
      </c>
      <c r="QHF65" s="277" t="s">
        <v>1072</v>
      </c>
      <c r="QHG65" s="277" t="s">
        <v>1072</v>
      </c>
      <c r="QHH65" s="277" t="s">
        <v>1072</v>
      </c>
      <c r="QHI65" s="277" t="s">
        <v>1072</v>
      </c>
      <c r="QHJ65" s="277" t="s">
        <v>1072</v>
      </c>
      <c r="QHK65" s="277" t="s">
        <v>1072</v>
      </c>
      <c r="QHL65" s="277" t="s">
        <v>1072</v>
      </c>
      <c r="QHM65" s="277" t="s">
        <v>1072</v>
      </c>
      <c r="QHN65" s="277" t="s">
        <v>1072</v>
      </c>
      <c r="QHO65" s="277" t="s">
        <v>1072</v>
      </c>
      <c r="QHP65" s="277" t="s">
        <v>1072</v>
      </c>
      <c r="QHQ65" s="277" t="s">
        <v>1072</v>
      </c>
      <c r="QHR65" s="277" t="s">
        <v>1072</v>
      </c>
      <c r="QHS65" s="277" t="s">
        <v>1072</v>
      </c>
      <c r="QHT65" s="277" t="s">
        <v>1072</v>
      </c>
      <c r="QHU65" s="277" t="s">
        <v>1072</v>
      </c>
      <c r="QHV65" s="277" t="s">
        <v>1072</v>
      </c>
      <c r="QHW65" s="277" t="s">
        <v>1072</v>
      </c>
      <c r="QHX65" s="277" t="s">
        <v>1072</v>
      </c>
      <c r="QHY65" s="277" t="s">
        <v>1072</v>
      </c>
      <c r="QHZ65" s="277" t="s">
        <v>1072</v>
      </c>
      <c r="QIA65" s="277" t="s">
        <v>1072</v>
      </c>
      <c r="QIB65" s="277" t="s">
        <v>1072</v>
      </c>
      <c r="QIC65" s="277" t="s">
        <v>1072</v>
      </c>
      <c r="QID65" s="277" t="s">
        <v>1072</v>
      </c>
      <c r="QIE65" s="277" t="s">
        <v>1072</v>
      </c>
      <c r="QIF65" s="277" t="s">
        <v>1072</v>
      </c>
      <c r="QIG65" s="277" t="s">
        <v>1072</v>
      </c>
      <c r="QIH65" s="277" t="s">
        <v>1072</v>
      </c>
      <c r="QII65" s="277" t="s">
        <v>1072</v>
      </c>
      <c r="QIJ65" s="277" t="s">
        <v>1072</v>
      </c>
      <c r="QIK65" s="277" t="s">
        <v>1072</v>
      </c>
      <c r="QIL65" s="277" t="s">
        <v>1072</v>
      </c>
      <c r="QIM65" s="277" t="s">
        <v>1072</v>
      </c>
      <c r="QIN65" s="277" t="s">
        <v>1072</v>
      </c>
      <c r="QIO65" s="277" t="s">
        <v>1072</v>
      </c>
      <c r="QIP65" s="277" t="s">
        <v>1072</v>
      </c>
      <c r="QIQ65" s="277" t="s">
        <v>1072</v>
      </c>
      <c r="QIR65" s="277" t="s">
        <v>1072</v>
      </c>
      <c r="QIS65" s="277" t="s">
        <v>1072</v>
      </c>
      <c r="QIT65" s="277" t="s">
        <v>1072</v>
      </c>
      <c r="QIU65" s="277" t="s">
        <v>1072</v>
      </c>
      <c r="QIV65" s="277" t="s">
        <v>1072</v>
      </c>
      <c r="QIW65" s="277" t="s">
        <v>1072</v>
      </c>
      <c r="QIX65" s="277" t="s">
        <v>1072</v>
      </c>
      <c r="QIY65" s="277" t="s">
        <v>1072</v>
      </c>
      <c r="QIZ65" s="277" t="s">
        <v>1072</v>
      </c>
      <c r="QJA65" s="277" t="s">
        <v>1072</v>
      </c>
      <c r="QJB65" s="277" t="s">
        <v>1072</v>
      </c>
      <c r="QJC65" s="277" t="s">
        <v>1072</v>
      </c>
      <c r="QJD65" s="277" t="s">
        <v>1072</v>
      </c>
      <c r="QJE65" s="277" t="s">
        <v>1072</v>
      </c>
      <c r="QJF65" s="277" t="s">
        <v>1072</v>
      </c>
      <c r="QJG65" s="277" t="s">
        <v>1072</v>
      </c>
      <c r="QJH65" s="277" t="s">
        <v>1072</v>
      </c>
      <c r="QJI65" s="277" t="s">
        <v>1072</v>
      </c>
      <c r="QJJ65" s="277" t="s">
        <v>1072</v>
      </c>
      <c r="QJK65" s="277" t="s">
        <v>1072</v>
      </c>
      <c r="QJL65" s="277" t="s">
        <v>1072</v>
      </c>
      <c r="QJM65" s="277" t="s">
        <v>1072</v>
      </c>
      <c r="QJN65" s="277" t="s">
        <v>1072</v>
      </c>
      <c r="QJO65" s="277" t="s">
        <v>1072</v>
      </c>
      <c r="QJP65" s="277" t="s">
        <v>1072</v>
      </c>
      <c r="QJQ65" s="277" t="s">
        <v>1072</v>
      </c>
      <c r="QJR65" s="277" t="s">
        <v>1072</v>
      </c>
      <c r="QJS65" s="277" t="s">
        <v>1072</v>
      </c>
      <c r="QJT65" s="277" t="s">
        <v>1072</v>
      </c>
      <c r="QJU65" s="277" t="s">
        <v>1072</v>
      </c>
      <c r="QJV65" s="277" t="s">
        <v>1072</v>
      </c>
      <c r="QJW65" s="277" t="s">
        <v>1072</v>
      </c>
      <c r="QJX65" s="277" t="s">
        <v>1072</v>
      </c>
      <c r="QJY65" s="277" t="s">
        <v>1072</v>
      </c>
      <c r="QJZ65" s="277" t="s">
        <v>1072</v>
      </c>
      <c r="QKA65" s="277" t="s">
        <v>1072</v>
      </c>
      <c r="QKB65" s="277" t="s">
        <v>1072</v>
      </c>
      <c r="QKC65" s="277" t="s">
        <v>1072</v>
      </c>
      <c r="QKD65" s="277" t="s">
        <v>1072</v>
      </c>
      <c r="QKE65" s="277" t="s">
        <v>1072</v>
      </c>
      <c r="QKF65" s="277" t="s">
        <v>1072</v>
      </c>
      <c r="QKG65" s="277" t="s">
        <v>1072</v>
      </c>
      <c r="QKH65" s="277" t="s">
        <v>1072</v>
      </c>
      <c r="QKI65" s="277" t="s">
        <v>1072</v>
      </c>
      <c r="QKJ65" s="277" t="s">
        <v>1072</v>
      </c>
      <c r="QKK65" s="277" t="s">
        <v>1072</v>
      </c>
      <c r="QKL65" s="277" t="s">
        <v>1072</v>
      </c>
      <c r="QKM65" s="277" t="s">
        <v>1072</v>
      </c>
      <c r="QKN65" s="277" t="s">
        <v>1072</v>
      </c>
      <c r="QKO65" s="277" t="s">
        <v>1072</v>
      </c>
      <c r="QKP65" s="277" t="s">
        <v>1072</v>
      </c>
      <c r="QKQ65" s="277" t="s">
        <v>1072</v>
      </c>
      <c r="QKR65" s="277" t="s">
        <v>1072</v>
      </c>
      <c r="QKS65" s="277" t="s">
        <v>1072</v>
      </c>
      <c r="QKT65" s="277" t="s">
        <v>1072</v>
      </c>
      <c r="QKU65" s="277" t="s">
        <v>1072</v>
      </c>
      <c r="QKV65" s="277" t="s">
        <v>1072</v>
      </c>
      <c r="QKW65" s="277" t="s">
        <v>1072</v>
      </c>
      <c r="QKX65" s="277" t="s">
        <v>1072</v>
      </c>
      <c r="QKY65" s="277" t="s">
        <v>1072</v>
      </c>
      <c r="QKZ65" s="277" t="s">
        <v>1072</v>
      </c>
      <c r="QLA65" s="277" t="s">
        <v>1072</v>
      </c>
      <c r="QLB65" s="277" t="s">
        <v>1072</v>
      </c>
      <c r="QLC65" s="277" t="s">
        <v>1072</v>
      </c>
      <c r="QLD65" s="277" t="s">
        <v>1072</v>
      </c>
      <c r="QLE65" s="277" t="s">
        <v>1072</v>
      </c>
      <c r="QLF65" s="277" t="s">
        <v>1072</v>
      </c>
      <c r="QLG65" s="277" t="s">
        <v>1072</v>
      </c>
      <c r="QLH65" s="277" t="s">
        <v>1072</v>
      </c>
      <c r="QLI65" s="277" t="s">
        <v>1072</v>
      </c>
      <c r="QLJ65" s="277" t="s">
        <v>1072</v>
      </c>
      <c r="QLK65" s="277" t="s">
        <v>1072</v>
      </c>
      <c r="QLL65" s="277" t="s">
        <v>1072</v>
      </c>
      <c r="QLM65" s="277" t="s">
        <v>1072</v>
      </c>
      <c r="QLN65" s="277" t="s">
        <v>1072</v>
      </c>
      <c r="QLO65" s="277" t="s">
        <v>1072</v>
      </c>
      <c r="QLP65" s="277" t="s">
        <v>1072</v>
      </c>
      <c r="QLQ65" s="277" t="s">
        <v>1072</v>
      </c>
      <c r="QLR65" s="277" t="s">
        <v>1072</v>
      </c>
      <c r="QLS65" s="277" t="s">
        <v>1072</v>
      </c>
      <c r="QLT65" s="277" t="s">
        <v>1072</v>
      </c>
      <c r="QLU65" s="277" t="s">
        <v>1072</v>
      </c>
      <c r="QLV65" s="277" t="s">
        <v>1072</v>
      </c>
      <c r="QLW65" s="277" t="s">
        <v>1072</v>
      </c>
      <c r="QLX65" s="277" t="s">
        <v>1072</v>
      </c>
      <c r="QLY65" s="277" t="s">
        <v>1072</v>
      </c>
      <c r="QLZ65" s="277" t="s">
        <v>1072</v>
      </c>
      <c r="QMA65" s="277" t="s">
        <v>1072</v>
      </c>
      <c r="QMB65" s="277" t="s">
        <v>1072</v>
      </c>
      <c r="QMC65" s="277" t="s">
        <v>1072</v>
      </c>
      <c r="QMD65" s="277" t="s">
        <v>1072</v>
      </c>
      <c r="QME65" s="277" t="s">
        <v>1072</v>
      </c>
      <c r="QMF65" s="277" t="s">
        <v>1072</v>
      </c>
      <c r="QMG65" s="277" t="s">
        <v>1072</v>
      </c>
      <c r="QMH65" s="277" t="s">
        <v>1072</v>
      </c>
      <c r="QMI65" s="277" t="s">
        <v>1072</v>
      </c>
      <c r="QMJ65" s="277" t="s">
        <v>1072</v>
      </c>
      <c r="QMK65" s="277" t="s">
        <v>1072</v>
      </c>
      <c r="QML65" s="277" t="s">
        <v>1072</v>
      </c>
      <c r="QMM65" s="277" t="s">
        <v>1072</v>
      </c>
      <c r="QMN65" s="277" t="s">
        <v>1072</v>
      </c>
      <c r="QMO65" s="277" t="s">
        <v>1072</v>
      </c>
      <c r="QMP65" s="277" t="s">
        <v>1072</v>
      </c>
      <c r="QMQ65" s="277" t="s">
        <v>1072</v>
      </c>
      <c r="QMR65" s="277" t="s">
        <v>1072</v>
      </c>
      <c r="QMS65" s="277" t="s">
        <v>1072</v>
      </c>
      <c r="QMT65" s="277" t="s">
        <v>1072</v>
      </c>
      <c r="QMU65" s="277" t="s">
        <v>1072</v>
      </c>
      <c r="QMV65" s="277" t="s">
        <v>1072</v>
      </c>
      <c r="QMW65" s="277" t="s">
        <v>1072</v>
      </c>
      <c r="QMX65" s="277" t="s">
        <v>1072</v>
      </c>
      <c r="QMY65" s="277" t="s">
        <v>1072</v>
      </c>
      <c r="QMZ65" s="277" t="s">
        <v>1072</v>
      </c>
      <c r="QNA65" s="277" t="s">
        <v>1072</v>
      </c>
      <c r="QNB65" s="277" t="s">
        <v>1072</v>
      </c>
      <c r="QNC65" s="277" t="s">
        <v>1072</v>
      </c>
      <c r="QND65" s="277" t="s">
        <v>1072</v>
      </c>
      <c r="QNE65" s="277" t="s">
        <v>1072</v>
      </c>
      <c r="QNF65" s="277" t="s">
        <v>1072</v>
      </c>
      <c r="QNG65" s="277" t="s">
        <v>1072</v>
      </c>
      <c r="QNH65" s="277" t="s">
        <v>1072</v>
      </c>
      <c r="QNI65" s="277" t="s">
        <v>1072</v>
      </c>
      <c r="QNJ65" s="277" t="s">
        <v>1072</v>
      </c>
      <c r="QNK65" s="277" t="s">
        <v>1072</v>
      </c>
      <c r="QNL65" s="277" t="s">
        <v>1072</v>
      </c>
      <c r="QNM65" s="277" t="s">
        <v>1072</v>
      </c>
      <c r="QNN65" s="277" t="s">
        <v>1072</v>
      </c>
      <c r="QNO65" s="277" t="s">
        <v>1072</v>
      </c>
      <c r="QNP65" s="277" t="s">
        <v>1072</v>
      </c>
      <c r="QNQ65" s="277" t="s">
        <v>1072</v>
      </c>
      <c r="QNR65" s="277" t="s">
        <v>1072</v>
      </c>
      <c r="QNS65" s="277" t="s">
        <v>1072</v>
      </c>
      <c r="QNT65" s="277" t="s">
        <v>1072</v>
      </c>
      <c r="QNU65" s="277" t="s">
        <v>1072</v>
      </c>
      <c r="QNV65" s="277" t="s">
        <v>1072</v>
      </c>
      <c r="QNW65" s="277" t="s">
        <v>1072</v>
      </c>
      <c r="QNX65" s="277" t="s">
        <v>1072</v>
      </c>
      <c r="QNY65" s="277" t="s">
        <v>1072</v>
      </c>
      <c r="QNZ65" s="277" t="s">
        <v>1072</v>
      </c>
      <c r="QOA65" s="277" t="s">
        <v>1072</v>
      </c>
      <c r="QOB65" s="277" t="s">
        <v>1072</v>
      </c>
      <c r="QOC65" s="277" t="s">
        <v>1072</v>
      </c>
      <c r="QOD65" s="277" t="s">
        <v>1072</v>
      </c>
      <c r="QOE65" s="277" t="s">
        <v>1072</v>
      </c>
      <c r="QOF65" s="277" t="s">
        <v>1072</v>
      </c>
      <c r="QOG65" s="277" t="s">
        <v>1072</v>
      </c>
      <c r="QOH65" s="277" t="s">
        <v>1072</v>
      </c>
      <c r="QOI65" s="277" t="s">
        <v>1072</v>
      </c>
      <c r="QOJ65" s="277" t="s">
        <v>1072</v>
      </c>
      <c r="QOK65" s="277" t="s">
        <v>1072</v>
      </c>
      <c r="QOL65" s="277" t="s">
        <v>1072</v>
      </c>
      <c r="QOM65" s="277" t="s">
        <v>1072</v>
      </c>
      <c r="QON65" s="277" t="s">
        <v>1072</v>
      </c>
      <c r="QOO65" s="277" t="s">
        <v>1072</v>
      </c>
      <c r="QOP65" s="277" t="s">
        <v>1072</v>
      </c>
      <c r="QOQ65" s="277" t="s">
        <v>1072</v>
      </c>
      <c r="QOR65" s="277" t="s">
        <v>1072</v>
      </c>
      <c r="QOS65" s="277" t="s">
        <v>1072</v>
      </c>
      <c r="QOT65" s="277" t="s">
        <v>1072</v>
      </c>
      <c r="QOU65" s="277" t="s">
        <v>1072</v>
      </c>
      <c r="QOV65" s="277" t="s">
        <v>1072</v>
      </c>
      <c r="QOW65" s="277" t="s">
        <v>1072</v>
      </c>
      <c r="QOX65" s="277" t="s">
        <v>1072</v>
      </c>
      <c r="QOY65" s="277" t="s">
        <v>1072</v>
      </c>
      <c r="QOZ65" s="277" t="s">
        <v>1072</v>
      </c>
      <c r="QPA65" s="277" t="s">
        <v>1072</v>
      </c>
      <c r="QPB65" s="277" t="s">
        <v>1072</v>
      </c>
      <c r="QPC65" s="277" t="s">
        <v>1072</v>
      </c>
      <c r="QPD65" s="277" t="s">
        <v>1072</v>
      </c>
      <c r="QPE65" s="277" t="s">
        <v>1072</v>
      </c>
      <c r="QPF65" s="277" t="s">
        <v>1072</v>
      </c>
      <c r="QPG65" s="277" t="s">
        <v>1072</v>
      </c>
      <c r="QPH65" s="277" t="s">
        <v>1072</v>
      </c>
      <c r="QPI65" s="277" t="s">
        <v>1072</v>
      </c>
      <c r="QPJ65" s="277" t="s">
        <v>1072</v>
      </c>
      <c r="QPK65" s="277" t="s">
        <v>1072</v>
      </c>
      <c r="QPL65" s="277" t="s">
        <v>1072</v>
      </c>
      <c r="QPM65" s="277" t="s">
        <v>1072</v>
      </c>
      <c r="QPN65" s="277" t="s">
        <v>1072</v>
      </c>
      <c r="QPO65" s="277" t="s">
        <v>1072</v>
      </c>
      <c r="QPP65" s="277" t="s">
        <v>1072</v>
      </c>
      <c r="QPQ65" s="277" t="s">
        <v>1072</v>
      </c>
      <c r="QPR65" s="277" t="s">
        <v>1072</v>
      </c>
      <c r="QPS65" s="277" t="s">
        <v>1072</v>
      </c>
      <c r="QPT65" s="277" t="s">
        <v>1072</v>
      </c>
      <c r="QPU65" s="277" t="s">
        <v>1072</v>
      </c>
      <c r="QPV65" s="277" t="s">
        <v>1072</v>
      </c>
      <c r="QPW65" s="277" t="s">
        <v>1072</v>
      </c>
      <c r="QPX65" s="277" t="s">
        <v>1072</v>
      </c>
      <c r="QPY65" s="277" t="s">
        <v>1072</v>
      </c>
      <c r="QPZ65" s="277" t="s">
        <v>1072</v>
      </c>
      <c r="QQA65" s="277" t="s">
        <v>1072</v>
      </c>
      <c r="QQB65" s="277" t="s">
        <v>1072</v>
      </c>
      <c r="QQC65" s="277" t="s">
        <v>1072</v>
      </c>
      <c r="QQD65" s="277" t="s">
        <v>1072</v>
      </c>
      <c r="QQE65" s="277" t="s">
        <v>1072</v>
      </c>
      <c r="QQF65" s="277" t="s">
        <v>1072</v>
      </c>
      <c r="QQG65" s="277" t="s">
        <v>1072</v>
      </c>
      <c r="QQH65" s="277" t="s">
        <v>1072</v>
      </c>
      <c r="QQI65" s="277" t="s">
        <v>1072</v>
      </c>
      <c r="QQJ65" s="277" t="s">
        <v>1072</v>
      </c>
      <c r="QQK65" s="277" t="s">
        <v>1072</v>
      </c>
      <c r="QQL65" s="277" t="s">
        <v>1072</v>
      </c>
      <c r="QQM65" s="277" t="s">
        <v>1072</v>
      </c>
      <c r="QQN65" s="277" t="s">
        <v>1072</v>
      </c>
      <c r="QQO65" s="277" t="s">
        <v>1072</v>
      </c>
      <c r="QQP65" s="277" t="s">
        <v>1072</v>
      </c>
      <c r="QQQ65" s="277" t="s">
        <v>1072</v>
      </c>
      <c r="QQR65" s="277" t="s">
        <v>1072</v>
      </c>
      <c r="QQS65" s="277" t="s">
        <v>1072</v>
      </c>
      <c r="QQT65" s="277" t="s">
        <v>1072</v>
      </c>
      <c r="QQU65" s="277" t="s">
        <v>1072</v>
      </c>
      <c r="QQV65" s="277" t="s">
        <v>1072</v>
      </c>
      <c r="QQW65" s="277" t="s">
        <v>1072</v>
      </c>
      <c r="QQX65" s="277" t="s">
        <v>1072</v>
      </c>
      <c r="QQY65" s="277" t="s">
        <v>1072</v>
      </c>
      <c r="QQZ65" s="277" t="s">
        <v>1072</v>
      </c>
      <c r="QRA65" s="277" t="s">
        <v>1072</v>
      </c>
      <c r="QRB65" s="277" t="s">
        <v>1072</v>
      </c>
      <c r="QRC65" s="277" t="s">
        <v>1072</v>
      </c>
      <c r="QRD65" s="277" t="s">
        <v>1072</v>
      </c>
      <c r="QRE65" s="277" t="s">
        <v>1072</v>
      </c>
      <c r="QRF65" s="277" t="s">
        <v>1072</v>
      </c>
      <c r="QRG65" s="277" t="s">
        <v>1072</v>
      </c>
      <c r="QRH65" s="277" t="s">
        <v>1072</v>
      </c>
      <c r="QRI65" s="277" t="s">
        <v>1072</v>
      </c>
      <c r="QRJ65" s="277" t="s">
        <v>1072</v>
      </c>
      <c r="QRK65" s="277" t="s">
        <v>1072</v>
      </c>
      <c r="QRL65" s="277" t="s">
        <v>1072</v>
      </c>
      <c r="QRM65" s="277" t="s">
        <v>1072</v>
      </c>
      <c r="QRN65" s="277" t="s">
        <v>1072</v>
      </c>
      <c r="QRO65" s="277" t="s">
        <v>1072</v>
      </c>
      <c r="QRP65" s="277" t="s">
        <v>1072</v>
      </c>
      <c r="QRQ65" s="277" t="s">
        <v>1072</v>
      </c>
      <c r="QRR65" s="277" t="s">
        <v>1072</v>
      </c>
      <c r="QRS65" s="277" t="s">
        <v>1072</v>
      </c>
      <c r="QRT65" s="277" t="s">
        <v>1072</v>
      </c>
      <c r="QRU65" s="277" t="s">
        <v>1072</v>
      </c>
      <c r="QRV65" s="277" t="s">
        <v>1072</v>
      </c>
      <c r="QRW65" s="277" t="s">
        <v>1072</v>
      </c>
      <c r="QRX65" s="277" t="s">
        <v>1072</v>
      </c>
      <c r="QRY65" s="277" t="s">
        <v>1072</v>
      </c>
      <c r="QRZ65" s="277" t="s">
        <v>1072</v>
      </c>
      <c r="QSA65" s="277" t="s">
        <v>1072</v>
      </c>
      <c r="QSB65" s="277" t="s">
        <v>1072</v>
      </c>
      <c r="QSC65" s="277" t="s">
        <v>1072</v>
      </c>
      <c r="QSD65" s="277" t="s">
        <v>1072</v>
      </c>
      <c r="QSE65" s="277" t="s">
        <v>1072</v>
      </c>
      <c r="QSF65" s="277" t="s">
        <v>1072</v>
      </c>
      <c r="QSG65" s="277" t="s">
        <v>1072</v>
      </c>
      <c r="QSH65" s="277" t="s">
        <v>1072</v>
      </c>
      <c r="QSI65" s="277" t="s">
        <v>1072</v>
      </c>
      <c r="QSJ65" s="277" t="s">
        <v>1072</v>
      </c>
      <c r="QSK65" s="277" t="s">
        <v>1072</v>
      </c>
      <c r="QSL65" s="277" t="s">
        <v>1072</v>
      </c>
      <c r="QSM65" s="277" t="s">
        <v>1072</v>
      </c>
      <c r="QSN65" s="277" t="s">
        <v>1072</v>
      </c>
      <c r="QSO65" s="277" t="s">
        <v>1072</v>
      </c>
      <c r="QSP65" s="277" t="s">
        <v>1072</v>
      </c>
      <c r="QSQ65" s="277" t="s">
        <v>1072</v>
      </c>
      <c r="QSR65" s="277" t="s">
        <v>1072</v>
      </c>
      <c r="QSS65" s="277" t="s">
        <v>1072</v>
      </c>
      <c r="QST65" s="277" t="s">
        <v>1072</v>
      </c>
      <c r="QSU65" s="277" t="s">
        <v>1072</v>
      </c>
      <c r="QSV65" s="277" t="s">
        <v>1072</v>
      </c>
      <c r="QSW65" s="277" t="s">
        <v>1072</v>
      </c>
      <c r="QSX65" s="277" t="s">
        <v>1072</v>
      </c>
      <c r="QSY65" s="277" t="s">
        <v>1072</v>
      </c>
      <c r="QSZ65" s="277" t="s">
        <v>1072</v>
      </c>
      <c r="QTA65" s="277" t="s">
        <v>1072</v>
      </c>
      <c r="QTB65" s="277" t="s">
        <v>1072</v>
      </c>
      <c r="QTC65" s="277" t="s">
        <v>1072</v>
      </c>
      <c r="QTD65" s="277" t="s">
        <v>1072</v>
      </c>
      <c r="QTE65" s="277" t="s">
        <v>1072</v>
      </c>
      <c r="QTF65" s="277" t="s">
        <v>1072</v>
      </c>
      <c r="QTG65" s="277" t="s">
        <v>1072</v>
      </c>
      <c r="QTH65" s="277" t="s">
        <v>1072</v>
      </c>
      <c r="QTI65" s="277" t="s">
        <v>1072</v>
      </c>
      <c r="QTJ65" s="277" t="s">
        <v>1072</v>
      </c>
      <c r="QTK65" s="277" t="s">
        <v>1072</v>
      </c>
      <c r="QTL65" s="277" t="s">
        <v>1072</v>
      </c>
      <c r="QTM65" s="277" t="s">
        <v>1072</v>
      </c>
      <c r="QTN65" s="277" t="s">
        <v>1072</v>
      </c>
      <c r="QTO65" s="277" t="s">
        <v>1072</v>
      </c>
      <c r="QTP65" s="277" t="s">
        <v>1072</v>
      </c>
      <c r="QTQ65" s="277" t="s">
        <v>1072</v>
      </c>
      <c r="QTR65" s="277" t="s">
        <v>1072</v>
      </c>
      <c r="QTS65" s="277" t="s">
        <v>1072</v>
      </c>
      <c r="QTT65" s="277" t="s">
        <v>1072</v>
      </c>
      <c r="QTU65" s="277" t="s">
        <v>1072</v>
      </c>
      <c r="QTV65" s="277" t="s">
        <v>1072</v>
      </c>
      <c r="QTW65" s="277" t="s">
        <v>1072</v>
      </c>
      <c r="QTX65" s="277" t="s">
        <v>1072</v>
      </c>
      <c r="QTY65" s="277" t="s">
        <v>1072</v>
      </c>
      <c r="QTZ65" s="277" t="s">
        <v>1072</v>
      </c>
      <c r="QUA65" s="277" t="s">
        <v>1072</v>
      </c>
      <c r="QUB65" s="277" t="s">
        <v>1072</v>
      </c>
      <c r="QUC65" s="277" t="s">
        <v>1072</v>
      </c>
      <c r="QUD65" s="277" t="s">
        <v>1072</v>
      </c>
      <c r="QUE65" s="277" t="s">
        <v>1072</v>
      </c>
      <c r="QUF65" s="277" t="s">
        <v>1072</v>
      </c>
      <c r="QUG65" s="277" t="s">
        <v>1072</v>
      </c>
      <c r="QUH65" s="277" t="s">
        <v>1072</v>
      </c>
      <c r="QUI65" s="277" t="s">
        <v>1072</v>
      </c>
      <c r="QUJ65" s="277" t="s">
        <v>1072</v>
      </c>
      <c r="QUK65" s="277" t="s">
        <v>1072</v>
      </c>
      <c r="QUL65" s="277" t="s">
        <v>1072</v>
      </c>
      <c r="QUM65" s="277" t="s">
        <v>1072</v>
      </c>
      <c r="QUN65" s="277" t="s">
        <v>1072</v>
      </c>
      <c r="QUO65" s="277" t="s">
        <v>1072</v>
      </c>
      <c r="QUP65" s="277" t="s">
        <v>1072</v>
      </c>
      <c r="QUQ65" s="277" t="s">
        <v>1072</v>
      </c>
      <c r="QUR65" s="277" t="s">
        <v>1072</v>
      </c>
      <c r="QUS65" s="277" t="s">
        <v>1072</v>
      </c>
      <c r="QUT65" s="277" t="s">
        <v>1072</v>
      </c>
      <c r="QUU65" s="277" t="s">
        <v>1072</v>
      </c>
      <c r="QUV65" s="277" t="s">
        <v>1072</v>
      </c>
      <c r="QUW65" s="277" t="s">
        <v>1072</v>
      </c>
      <c r="QUX65" s="277" t="s">
        <v>1072</v>
      </c>
      <c r="QUY65" s="277" t="s">
        <v>1072</v>
      </c>
      <c r="QUZ65" s="277" t="s">
        <v>1072</v>
      </c>
      <c r="QVA65" s="277" t="s">
        <v>1072</v>
      </c>
      <c r="QVB65" s="277" t="s">
        <v>1072</v>
      </c>
      <c r="QVC65" s="277" t="s">
        <v>1072</v>
      </c>
      <c r="QVD65" s="277" t="s">
        <v>1072</v>
      </c>
      <c r="QVE65" s="277" t="s">
        <v>1072</v>
      </c>
      <c r="QVF65" s="277" t="s">
        <v>1072</v>
      </c>
      <c r="QVG65" s="277" t="s">
        <v>1072</v>
      </c>
      <c r="QVH65" s="277" t="s">
        <v>1072</v>
      </c>
      <c r="QVI65" s="277" t="s">
        <v>1072</v>
      </c>
      <c r="QVJ65" s="277" t="s">
        <v>1072</v>
      </c>
      <c r="QVK65" s="277" t="s">
        <v>1072</v>
      </c>
      <c r="QVL65" s="277" t="s">
        <v>1072</v>
      </c>
      <c r="QVM65" s="277" t="s">
        <v>1072</v>
      </c>
      <c r="QVN65" s="277" t="s">
        <v>1072</v>
      </c>
      <c r="QVO65" s="277" t="s">
        <v>1072</v>
      </c>
      <c r="QVP65" s="277" t="s">
        <v>1072</v>
      </c>
      <c r="QVQ65" s="277" t="s">
        <v>1072</v>
      </c>
      <c r="QVR65" s="277" t="s">
        <v>1072</v>
      </c>
      <c r="QVS65" s="277" t="s">
        <v>1072</v>
      </c>
      <c r="QVT65" s="277" t="s">
        <v>1072</v>
      </c>
      <c r="QVU65" s="277" t="s">
        <v>1072</v>
      </c>
      <c r="QVV65" s="277" t="s">
        <v>1072</v>
      </c>
      <c r="QVW65" s="277" t="s">
        <v>1072</v>
      </c>
      <c r="QVX65" s="277" t="s">
        <v>1072</v>
      </c>
      <c r="QVY65" s="277" t="s">
        <v>1072</v>
      </c>
      <c r="QVZ65" s="277" t="s">
        <v>1072</v>
      </c>
      <c r="QWA65" s="277" t="s">
        <v>1072</v>
      </c>
      <c r="QWB65" s="277" t="s">
        <v>1072</v>
      </c>
      <c r="QWC65" s="277" t="s">
        <v>1072</v>
      </c>
      <c r="QWD65" s="277" t="s">
        <v>1072</v>
      </c>
      <c r="QWE65" s="277" t="s">
        <v>1072</v>
      </c>
      <c r="QWF65" s="277" t="s">
        <v>1072</v>
      </c>
      <c r="QWG65" s="277" t="s">
        <v>1072</v>
      </c>
      <c r="QWH65" s="277" t="s">
        <v>1072</v>
      </c>
      <c r="QWI65" s="277" t="s">
        <v>1072</v>
      </c>
      <c r="QWJ65" s="277" t="s">
        <v>1072</v>
      </c>
      <c r="QWK65" s="277" t="s">
        <v>1072</v>
      </c>
      <c r="QWL65" s="277" t="s">
        <v>1072</v>
      </c>
      <c r="QWM65" s="277" t="s">
        <v>1072</v>
      </c>
      <c r="QWN65" s="277" t="s">
        <v>1072</v>
      </c>
      <c r="QWO65" s="277" t="s">
        <v>1072</v>
      </c>
      <c r="QWP65" s="277" t="s">
        <v>1072</v>
      </c>
      <c r="QWQ65" s="277" t="s">
        <v>1072</v>
      </c>
      <c r="QWR65" s="277" t="s">
        <v>1072</v>
      </c>
      <c r="QWS65" s="277" t="s">
        <v>1072</v>
      </c>
      <c r="QWT65" s="277" t="s">
        <v>1072</v>
      </c>
      <c r="QWU65" s="277" t="s">
        <v>1072</v>
      </c>
      <c r="QWV65" s="277" t="s">
        <v>1072</v>
      </c>
      <c r="QWW65" s="277" t="s">
        <v>1072</v>
      </c>
      <c r="QWX65" s="277" t="s">
        <v>1072</v>
      </c>
      <c r="QWY65" s="277" t="s">
        <v>1072</v>
      </c>
      <c r="QWZ65" s="277" t="s">
        <v>1072</v>
      </c>
      <c r="QXA65" s="277" t="s">
        <v>1072</v>
      </c>
      <c r="QXB65" s="277" t="s">
        <v>1072</v>
      </c>
      <c r="QXC65" s="277" t="s">
        <v>1072</v>
      </c>
      <c r="QXD65" s="277" t="s">
        <v>1072</v>
      </c>
      <c r="QXE65" s="277" t="s">
        <v>1072</v>
      </c>
      <c r="QXF65" s="277" t="s">
        <v>1072</v>
      </c>
      <c r="QXG65" s="277" t="s">
        <v>1072</v>
      </c>
      <c r="QXH65" s="277" t="s">
        <v>1072</v>
      </c>
      <c r="QXI65" s="277" t="s">
        <v>1072</v>
      </c>
      <c r="QXJ65" s="277" t="s">
        <v>1072</v>
      </c>
      <c r="QXK65" s="277" t="s">
        <v>1072</v>
      </c>
      <c r="QXL65" s="277" t="s">
        <v>1072</v>
      </c>
      <c r="QXM65" s="277" t="s">
        <v>1072</v>
      </c>
      <c r="QXN65" s="277" t="s">
        <v>1072</v>
      </c>
      <c r="QXO65" s="277" t="s">
        <v>1072</v>
      </c>
      <c r="QXP65" s="277" t="s">
        <v>1072</v>
      </c>
      <c r="QXQ65" s="277" t="s">
        <v>1072</v>
      </c>
      <c r="QXR65" s="277" t="s">
        <v>1072</v>
      </c>
      <c r="QXS65" s="277" t="s">
        <v>1072</v>
      </c>
      <c r="QXT65" s="277" t="s">
        <v>1072</v>
      </c>
      <c r="QXU65" s="277" t="s">
        <v>1072</v>
      </c>
      <c r="QXV65" s="277" t="s">
        <v>1072</v>
      </c>
      <c r="QXW65" s="277" t="s">
        <v>1072</v>
      </c>
      <c r="QXX65" s="277" t="s">
        <v>1072</v>
      </c>
      <c r="QXY65" s="277" t="s">
        <v>1072</v>
      </c>
      <c r="QXZ65" s="277" t="s">
        <v>1072</v>
      </c>
      <c r="QYA65" s="277" t="s">
        <v>1072</v>
      </c>
      <c r="QYB65" s="277" t="s">
        <v>1072</v>
      </c>
      <c r="QYC65" s="277" t="s">
        <v>1072</v>
      </c>
      <c r="QYD65" s="277" t="s">
        <v>1072</v>
      </c>
      <c r="QYE65" s="277" t="s">
        <v>1072</v>
      </c>
      <c r="QYF65" s="277" t="s">
        <v>1072</v>
      </c>
      <c r="QYG65" s="277" t="s">
        <v>1072</v>
      </c>
      <c r="QYH65" s="277" t="s">
        <v>1072</v>
      </c>
      <c r="QYI65" s="277" t="s">
        <v>1072</v>
      </c>
      <c r="QYJ65" s="277" t="s">
        <v>1072</v>
      </c>
      <c r="QYK65" s="277" t="s">
        <v>1072</v>
      </c>
      <c r="QYL65" s="277" t="s">
        <v>1072</v>
      </c>
      <c r="QYM65" s="277" t="s">
        <v>1072</v>
      </c>
      <c r="QYN65" s="277" t="s">
        <v>1072</v>
      </c>
      <c r="QYO65" s="277" t="s">
        <v>1072</v>
      </c>
      <c r="QYP65" s="277" t="s">
        <v>1072</v>
      </c>
      <c r="QYQ65" s="277" t="s">
        <v>1072</v>
      </c>
      <c r="QYR65" s="277" t="s">
        <v>1072</v>
      </c>
      <c r="QYS65" s="277" t="s">
        <v>1072</v>
      </c>
      <c r="QYT65" s="277" t="s">
        <v>1072</v>
      </c>
      <c r="QYU65" s="277" t="s">
        <v>1072</v>
      </c>
      <c r="QYV65" s="277" t="s">
        <v>1072</v>
      </c>
      <c r="QYW65" s="277" t="s">
        <v>1072</v>
      </c>
      <c r="QYX65" s="277" t="s">
        <v>1072</v>
      </c>
      <c r="QYY65" s="277" t="s">
        <v>1072</v>
      </c>
      <c r="QYZ65" s="277" t="s">
        <v>1072</v>
      </c>
      <c r="QZA65" s="277" t="s">
        <v>1072</v>
      </c>
      <c r="QZB65" s="277" t="s">
        <v>1072</v>
      </c>
      <c r="QZC65" s="277" t="s">
        <v>1072</v>
      </c>
      <c r="QZD65" s="277" t="s">
        <v>1072</v>
      </c>
      <c r="QZE65" s="277" t="s">
        <v>1072</v>
      </c>
      <c r="QZF65" s="277" t="s">
        <v>1072</v>
      </c>
      <c r="QZG65" s="277" t="s">
        <v>1072</v>
      </c>
      <c r="QZH65" s="277" t="s">
        <v>1072</v>
      </c>
      <c r="QZI65" s="277" t="s">
        <v>1072</v>
      </c>
      <c r="QZJ65" s="277" t="s">
        <v>1072</v>
      </c>
      <c r="QZK65" s="277" t="s">
        <v>1072</v>
      </c>
      <c r="QZL65" s="277" t="s">
        <v>1072</v>
      </c>
      <c r="QZM65" s="277" t="s">
        <v>1072</v>
      </c>
      <c r="QZN65" s="277" t="s">
        <v>1072</v>
      </c>
      <c r="QZO65" s="277" t="s">
        <v>1072</v>
      </c>
      <c r="QZP65" s="277" t="s">
        <v>1072</v>
      </c>
      <c r="QZQ65" s="277" t="s">
        <v>1072</v>
      </c>
      <c r="QZR65" s="277" t="s">
        <v>1072</v>
      </c>
      <c r="QZS65" s="277" t="s">
        <v>1072</v>
      </c>
      <c r="QZT65" s="277" t="s">
        <v>1072</v>
      </c>
      <c r="QZU65" s="277" t="s">
        <v>1072</v>
      </c>
      <c r="QZV65" s="277" t="s">
        <v>1072</v>
      </c>
      <c r="QZW65" s="277" t="s">
        <v>1072</v>
      </c>
      <c r="QZX65" s="277" t="s">
        <v>1072</v>
      </c>
      <c r="QZY65" s="277" t="s">
        <v>1072</v>
      </c>
      <c r="QZZ65" s="277" t="s">
        <v>1072</v>
      </c>
      <c r="RAA65" s="277" t="s">
        <v>1072</v>
      </c>
      <c r="RAB65" s="277" t="s">
        <v>1072</v>
      </c>
      <c r="RAC65" s="277" t="s">
        <v>1072</v>
      </c>
      <c r="RAD65" s="277" t="s">
        <v>1072</v>
      </c>
      <c r="RAE65" s="277" t="s">
        <v>1072</v>
      </c>
      <c r="RAF65" s="277" t="s">
        <v>1072</v>
      </c>
      <c r="RAG65" s="277" t="s">
        <v>1072</v>
      </c>
      <c r="RAH65" s="277" t="s">
        <v>1072</v>
      </c>
      <c r="RAI65" s="277" t="s">
        <v>1072</v>
      </c>
      <c r="RAJ65" s="277" t="s">
        <v>1072</v>
      </c>
      <c r="RAK65" s="277" t="s">
        <v>1072</v>
      </c>
      <c r="RAL65" s="277" t="s">
        <v>1072</v>
      </c>
      <c r="RAM65" s="277" t="s">
        <v>1072</v>
      </c>
      <c r="RAN65" s="277" t="s">
        <v>1072</v>
      </c>
      <c r="RAO65" s="277" t="s">
        <v>1072</v>
      </c>
      <c r="RAP65" s="277" t="s">
        <v>1072</v>
      </c>
      <c r="RAQ65" s="277" t="s">
        <v>1072</v>
      </c>
      <c r="RAR65" s="277" t="s">
        <v>1072</v>
      </c>
      <c r="RAS65" s="277" t="s">
        <v>1072</v>
      </c>
      <c r="RAT65" s="277" t="s">
        <v>1072</v>
      </c>
      <c r="RAU65" s="277" t="s">
        <v>1072</v>
      </c>
      <c r="RAV65" s="277" t="s">
        <v>1072</v>
      </c>
      <c r="RAW65" s="277" t="s">
        <v>1072</v>
      </c>
      <c r="RAX65" s="277" t="s">
        <v>1072</v>
      </c>
      <c r="RAY65" s="277" t="s">
        <v>1072</v>
      </c>
      <c r="RAZ65" s="277" t="s">
        <v>1072</v>
      </c>
      <c r="RBA65" s="277" t="s">
        <v>1072</v>
      </c>
      <c r="RBB65" s="277" t="s">
        <v>1072</v>
      </c>
      <c r="RBC65" s="277" t="s">
        <v>1072</v>
      </c>
      <c r="RBD65" s="277" t="s">
        <v>1072</v>
      </c>
      <c r="RBE65" s="277" t="s">
        <v>1072</v>
      </c>
      <c r="RBF65" s="277" t="s">
        <v>1072</v>
      </c>
      <c r="RBG65" s="277" t="s">
        <v>1072</v>
      </c>
      <c r="RBH65" s="277" t="s">
        <v>1072</v>
      </c>
      <c r="RBI65" s="277" t="s">
        <v>1072</v>
      </c>
      <c r="RBJ65" s="277" t="s">
        <v>1072</v>
      </c>
      <c r="RBK65" s="277" t="s">
        <v>1072</v>
      </c>
      <c r="RBL65" s="277" t="s">
        <v>1072</v>
      </c>
      <c r="RBM65" s="277" t="s">
        <v>1072</v>
      </c>
      <c r="RBN65" s="277" t="s">
        <v>1072</v>
      </c>
      <c r="RBO65" s="277" t="s">
        <v>1072</v>
      </c>
      <c r="RBP65" s="277" t="s">
        <v>1072</v>
      </c>
      <c r="RBQ65" s="277" t="s">
        <v>1072</v>
      </c>
      <c r="RBR65" s="277" t="s">
        <v>1072</v>
      </c>
      <c r="RBS65" s="277" t="s">
        <v>1072</v>
      </c>
      <c r="RBT65" s="277" t="s">
        <v>1072</v>
      </c>
      <c r="RBU65" s="277" t="s">
        <v>1072</v>
      </c>
      <c r="RBV65" s="277" t="s">
        <v>1072</v>
      </c>
      <c r="RBW65" s="277" t="s">
        <v>1072</v>
      </c>
      <c r="RBX65" s="277" t="s">
        <v>1072</v>
      </c>
      <c r="RBY65" s="277" t="s">
        <v>1072</v>
      </c>
      <c r="RBZ65" s="277" t="s">
        <v>1072</v>
      </c>
      <c r="RCA65" s="277" t="s">
        <v>1072</v>
      </c>
      <c r="RCB65" s="277" t="s">
        <v>1072</v>
      </c>
      <c r="RCC65" s="277" t="s">
        <v>1072</v>
      </c>
      <c r="RCD65" s="277" t="s">
        <v>1072</v>
      </c>
      <c r="RCE65" s="277" t="s">
        <v>1072</v>
      </c>
      <c r="RCF65" s="277" t="s">
        <v>1072</v>
      </c>
      <c r="RCG65" s="277" t="s">
        <v>1072</v>
      </c>
      <c r="RCH65" s="277" t="s">
        <v>1072</v>
      </c>
      <c r="RCI65" s="277" t="s">
        <v>1072</v>
      </c>
      <c r="RCJ65" s="277" t="s">
        <v>1072</v>
      </c>
      <c r="RCK65" s="277" t="s">
        <v>1072</v>
      </c>
      <c r="RCL65" s="277" t="s">
        <v>1072</v>
      </c>
      <c r="RCM65" s="277" t="s">
        <v>1072</v>
      </c>
      <c r="RCN65" s="277" t="s">
        <v>1072</v>
      </c>
      <c r="RCO65" s="277" t="s">
        <v>1072</v>
      </c>
      <c r="RCP65" s="277" t="s">
        <v>1072</v>
      </c>
      <c r="RCQ65" s="277" t="s">
        <v>1072</v>
      </c>
      <c r="RCR65" s="277" t="s">
        <v>1072</v>
      </c>
      <c r="RCS65" s="277" t="s">
        <v>1072</v>
      </c>
      <c r="RCT65" s="277" t="s">
        <v>1072</v>
      </c>
      <c r="RCU65" s="277" t="s">
        <v>1072</v>
      </c>
      <c r="RCV65" s="277" t="s">
        <v>1072</v>
      </c>
      <c r="RCW65" s="277" t="s">
        <v>1072</v>
      </c>
      <c r="RCX65" s="277" t="s">
        <v>1072</v>
      </c>
      <c r="RCY65" s="277" t="s">
        <v>1072</v>
      </c>
      <c r="RCZ65" s="277" t="s">
        <v>1072</v>
      </c>
      <c r="RDA65" s="277" t="s">
        <v>1072</v>
      </c>
      <c r="RDB65" s="277" t="s">
        <v>1072</v>
      </c>
      <c r="RDC65" s="277" t="s">
        <v>1072</v>
      </c>
      <c r="RDD65" s="277" t="s">
        <v>1072</v>
      </c>
      <c r="RDE65" s="277" t="s">
        <v>1072</v>
      </c>
      <c r="RDF65" s="277" t="s">
        <v>1072</v>
      </c>
      <c r="RDG65" s="277" t="s">
        <v>1072</v>
      </c>
      <c r="RDH65" s="277" t="s">
        <v>1072</v>
      </c>
      <c r="RDI65" s="277" t="s">
        <v>1072</v>
      </c>
      <c r="RDJ65" s="277" t="s">
        <v>1072</v>
      </c>
      <c r="RDK65" s="277" t="s">
        <v>1072</v>
      </c>
      <c r="RDL65" s="277" t="s">
        <v>1072</v>
      </c>
      <c r="RDM65" s="277" t="s">
        <v>1072</v>
      </c>
      <c r="RDN65" s="277" t="s">
        <v>1072</v>
      </c>
      <c r="RDO65" s="277" t="s">
        <v>1072</v>
      </c>
      <c r="RDP65" s="277" t="s">
        <v>1072</v>
      </c>
      <c r="RDQ65" s="277" t="s">
        <v>1072</v>
      </c>
      <c r="RDR65" s="277" t="s">
        <v>1072</v>
      </c>
      <c r="RDS65" s="277" t="s">
        <v>1072</v>
      </c>
      <c r="RDT65" s="277" t="s">
        <v>1072</v>
      </c>
      <c r="RDU65" s="277" t="s">
        <v>1072</v>
      </c>
      <c r="RDV65" s="277" t="s">
        <v>1072</v>
      </c>
      <c r="RDW65" s="277" t="s">
        <v>1072</v>
      </c>
      <c r="RDX65" s="277" t="s">
        <v>1072</v>
      </c>
      <c r="RDY65" s="277" t="s">
        <v>1072</v>
      </c>
      <c r="RDZ65" s="277" t="s">
        <v>1072</v>
      </c>
      <c r="REA65" s="277" t="s">
        <v>1072</v>
      </c>
      <c r="REB65" s="277" t="s">
        <v>1072</v>
      </c>
      <c r="REC65" s="277" t="s">
        <v>1072</v>
      </c>
      <c r="RED65" s="277" t="s">
        <v>1072</v>
      </c>
      <c r="REE65" s="277" t="s">
        <v>1072</v>
      </c>
      <c r="REF65" s="277" t="s">
        <v>1072</v>
      </c>
      <c r="REG65" s="277" t="s">
        <v>1072</v>
      </c>
      <c r="REH65" s="277" t="s">
        <v>1072</v>
      </c>
      <c r="REI65" s="277" t="s">
        <v>1072</v>
      </c>
      <c r="REJ65" s="277" t="s">
        <v>1072</v>
      </c>
      <c r="REK65" s="277" t="s">
        <v>1072</v>
      </c>
      <c r="REL65" s="277" t="s">
        <v>1072</v>
      </c>
      <c r="REM65" s="277" t="s">
        <v>1072</v>
      </c>
      <c r="REN65" s="277" t="s">
        <v>1072</v>
      </c>
      <c r="REO65" s="277" t="s">
        <v>1072</v>
      </c>
      <c r="REP65" s="277" t="s">
        <v>1072</v>
      </c>
      <c r="REQ65" s="277" t="s">
        <v>1072</v>
      </c>
      <c r="RER65" s="277" t="s">
        <v>1072</v>
      </c>
      <c r="RES65" s="277" t="s">
        <v>1072</v>
      </c>
      <c r="RET65" s="277" t="s">
        <v>1072</v>
      </c>
      <c r="REU65" s="277" t="s">
        <v>1072</v>
      </c>
      <c r="REV65" s="277" t="s">
        <v>1072</v>
      </c>
      <c r="REW65" s="277" t="s">
        <v>1072</v>
      </c>
      <c r="REX65" s="277" t="s">
        <v>1072</v>
      </c>
      <c r="REY65" s="277" t="s">
        <v>1072</v>
      </c>
      <c r="REZ65" s="277" t="s">
        <v>1072</v>
      </c>
      <c r="RFA65" s="277" t="s">
        <v>1072</v>
      </c>
      <c r="RFB65" s="277" t="s">
        <v>1072</v>
      </c>
      <c r="RFC65" s="277" t="s">
        <v>1072</v>
      </c>
      <c r="RFD65" s="277" t="s">
        <v>1072</v>
      </c>
      <c r="RFE65" s="277" t="s">
        <v>1072</v>
      </c>
      <c r="RFF65" s="277" t="s">
        <v>1072</v>
      </c>
      <c r="RFG65" s="277" t="s">
        <v>1072</v>
      </c>
      <c r="RFH65" s="277" t="s">
        <v>1072</v>
      </c>
      <c r="RFI65" s="277" t="s">
        <v>1072</v>
      </c>
      <c r="RFJ65" s="277" t="s">
        <v>1072</v>
      </c>
      <c r="RFK65" s="277" t="s">
        <v>1072</v>
      </c>
      <c r="RFL65" s="277" t="s">
        <v>1072</v>
      </c>
      <c r="RFM65" s="277" t="s">
        <v>1072</v>
      </c>
      <c r="RFN65" s="277" t="s">
        <v>1072</v>
      </c>
      <c r="RFO65" s="277" t="s">
        <v>1072</v>
      </c>
      <c r="RFP65" s="277" t="s">
        <v>1072</v>
      </c>
      <c r="RFQ65" s="277" t="s">
        <v>1072</v>
      </c>
      <c r="RFR65" s="277" t="s">
        <v>1072</v>
      </c>
      <c r="RFS65" s="277" t="s">
        <v>1072</v>
      </c>
      <c r="RFT65" s="277" t="s">
        <v>1072</v>
      </c>
      <c r="RFU65" s="277" t="s">
        <v>1072</v>
      </c>
      <c r="RFV65" s="277" t="s">
        <v>1072</v>
      </c>
      <c r="RFW65" s="277" t="s">
        <v>1072</v>
      </c>
      <c r="RFX65" s="277" t="s">
        <v>1072</v>
      </c>
      <c r="RFY65" s="277" t="s">
        <v>1072</v>
      </c>
      <c r="RFZ65" s="277" t="s">
        <v>1072</v>
      </c>
      <c r="RGA65" s="277" t="s">
        <v>1072</v>
      </c>
      <c r="RGB65" s="277" t="s">
        <v>1072</v>
      </c>
      <c r="RGC65" s="277" t="s">
        <v>1072</v>
      </c>
      <c r="RGD65" s="277" t="s">
        <v>1072</v>
      </c>
      <c r="RGE65" s="277" t="s">
        <v>1072</v>
      </c>
      <c r="RGF65" s="277" t="s">
        <v>1072</v>
      </c>
      <c r="RGG65" s="277" t="s">
        <v>1072</v>
      </c>
      <c r="RGH65" s="277" t="s">
        <v>1072</v>
      </c>
      <c r="RGI65" s="277" t="s">
        <v>1072</v>
      </c>
      <c r="RGJ65" s="277" t="s">
        <v>1072</v>
      </c>
      <c r="RGK65" s="277" t="s">
        <v>1072</v>
      </c>
      <c r="RGL65" s="277" t="s">
        <v>1072</v>
      </c>
      <c r="RGM65" s="277" t="s">
        <v>1072</v>
      </c>
      <c r="RGN65" s="277" t="s">
        <v>1072</v>
      </c>
      <c r="RGO65" s="277" t="s">
        <v>1072</v>
      </c>
      <c r="RGP65" s="277" t="s">
        <v>1072</v>
      </c>
      <c r="RGQ65" s="277" t="s">
        <v>1072</v>
      </c>
      <c r="RGR65" s="277" t="s">
        <v>1072</v>
      </c>
      <c r="RGS65" s="277" t="s">
        <v>1072</v>
      </c>
      <c r="RGT65" s="277" t="s">
        <v>1072</v>
      </c>
      <c r="RGU65" s="277" t="s">
        <v>1072</v>
      </c>
      <c r="RGV65" s="277" t="s">
        <v>1072</v>
      </c>
      <c r="RGW65" s="277" t="s">
        <v>1072</v>
      </c>
      <c r="RGX65" s="277" t="s">
        <v>1072</v>
      </c>
      <c r="RGY65" s="277" t="s">
        <v>1072</v>
      </c>
      <c r="RGZ65" s="277" t="s">
        <v>1072</v>
      </c>
      <c r="RHA65" s="277" t="s">
        <v>1072</v>
      </c>
      <c r="RHB65" s="277" t="s">
        <v>1072</v>
      </c>
      <c r="RHC65" s="277" t="s">
        <v>1072</v>
      </c>
      <c r="RHD65" s="277" t="s">
        <v>1072</v>
      </c>
      <c r="RHE65" s="277" t="s">
        <v>1072</v>
      </c>
      <c r="RHF65" s="277" t="s">
        <v>1072</v>
      </c>
      <c r="RHG65" s="277" t="s">
        <v>1072</v>
      </c>
      <c r="RHH65" s="277" t="s">
        <v>1072</v>
      </c>
      <c r="RHI65" s="277" t="s">
        <v>1072</v>
      </c>
      <c r="RHJ65" s="277" t="s">
        <v>1072</v>
      </c>
      <c r="RHK65" s="277" t="s">
        <v>1072</v>
      </c>
      <c r="RHL65" s="277" t="s">
        <v>1072</v>
      </c>
      <c r="RHM65" s="277" t="s">
        <v>1072</v>
      </c>
      <c r="RHN65" s="277" t="s">
        <v>1072</v>
      </c>
      <c r="RHO65" s="277" t="s">
        <v>1072</v>
      </c>
      <c r="RHP65" s="277" t="s">
        <v>1072</v>
      </c>
      <c r="RHQ65" s="277" t="s">
        <v>1072</v>
      </c>
      <c r="RHR65" s="277" t="s">
        <v>1072</v>
      </c>
      <c r="RHS65" s="277" t="s">
        <v>1072</v>
      </c>
      <c r="RHT65" s="277" t="s">
        <v>1072</v>
      </c>
      <c r="RHU65" s="277" t="s">
        <v>1072</v>
      </c>
      <c r="RHV65" s="277" t="s">
        <v>1072</v>
      </c>
      <c r="RHW65" s="277" t="s">
        <v>1072</v>
      </c>
      <c r="RHX65" s="277" t="s">
        <v>1072</v>
      </c>
      <c r="RHY65" s="277" t="s">
        <v>1072</v>
      </c>
      <c r="RHZ65" s="277" t="s">
        <v>1072</v>
      </c>
      <c r="RIA65" s="277" t="s">
        <v>1072</v>
      </c>
      <c r="RIB65" s="277" t="s">
        <v>1072</v>
      </c>
      <c r="RIC65" s="277" t="s">
        <v>1072</v>
      </c>
      <c r="RID65" s="277" t="s">
        <v>1072</v>
      </c>
      <c r="RIE65" s="277" t="s">
        <v>1072</v>
      </c>
      <c r="RIF65" s="277" t="s">
        <v>1072</v>
      </c>
      <c r="RIG65" s="277" t="s">
        <v>1072</v>
      </c>
      <c r="RIH65" s="277" t="s">
        <v>1072</v>
      </c>
      <c r="RII65" s="277" t="s">
        <v>1072</v>
      </c>
      <c r="RIJ65" s="277" t="s">
        <v>1072</v>
      </c>
      <c r="RIK65" s="277" t="s">
        <v>1072</v>
      </c>
      <c r="RIL65" s="277" t="s">
        <v>1072</v>
      </c>
      <c r="RIM65" s="277" t="s">
        <v>1072</v>
      </c>
      <c r="RIN65" s="277" t="s">
        <v>1072</v>
      </c>
      <c r="RIO65" s="277" t="s">
        <v>1072</v>
      </c>
      <c r="RIP65" s="277" t="s">
        <v>1072</v>
      </c>
      <c r="RIQ65" s="277" t="s">
        <v>1072</v>
      </c>
      <c r="RIR65" s="277" t="s">
        <v>1072</v>
      </c>
      <c r="RIS65" s="277" t="s">
        <v>1072</v>
      </c>
      <c r="RIT65" s="277" t="s">
        <v>1072</v>
      </c>
      <c r="RIU65" s="277" t="s">
        <v>1072</v>
      </c>
      <c r="RIV65" s="277" t="s">
        <v>1072</v>
      </c>
      <c r="RIW65" s="277" t="s">
        <v>1072</v>
      </c>
      <c r="RIX65" s="277" t="s">
        <v>1072</v>
      </c>
      <c r="RIY65" s="277" t="s">
        <v>1072</v>
      </c>
      <c r="RIZ65" s="277" t="s">
        <v>1072</v>
      </c>
      <c r="RJA65" s="277" t="s">
        <v>1072</v>
      </c>
      <c r="RJB65" s="277" t="s">
        <v>1072</v>
      </c>
      <c r="RJC65" s="277" t="s">
        <v>1072</v>
      </c>
      <c r="RJD65" s="277" t="s">
        <v>1072</v>
      </c>
      <c r="RJE65" s="277" t="s">
        <v>1072</v>
      </c>
      <c r="RJF65" s="277" t="s">
        <v>1072</v>
      </c>
      <c r="RJG65" s="277" t="s">
        <v>1072</v>
      </c>
      <c r="RJH65" s="277" t="s">
        <v>1072</v>
      </c>
      <c r="RJI65" s="277" t="s">
        <v>1072</v>
      </c>
      <c r="RJJ65" s="277" t="s">
        <v>1072</v>
      </c>
      <c r="RJK65" s="277" t="s">
        <v>1072</v>
      </c>
      <c r="RJL65" s="277" t="s">
        <v>1072</v>
      </c>
      <c r="RJM65" s="277" t="s">
        <v>1072</v>
      </c>
      <c r="RJN65" s="277" t="s">
        <v>1072</v>
      </c>
      <c r="RJO65" s="277" t="s">
        <v>1072</v>
      </c>
      <c r="RJP65" s="277" t="s">
        <v>1072</v>
      </c>
      <c r="RJQ65" s="277" t="s">
        <v>1072</v>
      </c>
      <c r="RJR65" s="277" t="s">
        <v>1072</v>
      </c>
      <c r="RJS65" s="277" t="s">
        <v>1072</v>
      </c>
      <c r="RJT65" s="277" t="s">
        <v>1072</v>
      </c>
      <c r="RJU65" s="277" t="s">
        <v>1072</v>
      </c>
      <c r="RJV65" s="277" t="s">
        <v>1072</v>
      </c>
      <c r="RJW65" s="277" t="s">
        <v>1072</v>
      </c>
      <c r="RJX65" s="277" t="s">
        <v>1072</v>
      </c>
      <c r="RJY65" s="277" t="s">
        <v>1072</v>
      </c>
      <c r="RJZ65" s="277" t="s">
        <v>1072</v>
      </c>
      <c r="RKA65" s="277" t="s">
        <v>1072</v>
      </c>
      <c r="RKB65" s="277" t="s">
        <v>1072</v>
      </c>
      <c r="RKC65" s="277" t="s">
        <v>1072</v>
      </c>
      <c r="RKD65" s="277" t="s">
        <v>1072</v>
      </c>
      <c r="RKE65" s="277" t="s">
        <v>1072</v>
      </c>
      <c r="RKF65" s="277" t="s">
        <v>1072</v>
      </c>
      <c r="RKG65" s="277" t="s">
        <v>1072</v>
      </c>
      <c r="RKH65" s="277" t="s">
        <v>1072</v>
      </c>
      <c r="RKI65" s="277" t="s">
        <v>1072</v>
      </c>
      <c r="RKJ65" s="277" t="s">
        <v>1072</v>
      </c>
      <c r="RKK65" s="277" t="s">
        <v>1072</v>
      </c>
      <c r="RKL65" s="277" t="s">
        <v>1072</v>
      </c>
      <c r="RKM65" s="277" t="s">
        <v>1072</v>
      </c>
      <c r="RKN65" s="277" t="s">
        <v>1072</v>
      </c>
      <c r="RKO65" s="277" t="s">
        <v>1072</v>
      </c>
      <c r="RKP65" s="277" t="s">
        <v>1072</v>
      </c>
      <c r="RKQ65" s="277" t="s">
        <v>1072</v>
      </c>
      <c r="RKR65" s="277" t="s">
        <v>1072</v>
      </c>
      <c r="RKS65" s="277" t="s">
        <v>1072</v>
      </c>
      <c r="RKT65" s="277" t="s">
        <v>1072</v>
      </c>
      <c r="RKU65" s="277" t="s">
        <v>1072</v>
      </c>
      <c r="RKV65" s="277" t="s">
        <v>1072</v>
      </c>
      <c r="RKW65" s="277" t="s">
        <v>1072</v>
      </c>
      <c r="RKX65" s="277" t="s">
        <v>1072</v>
      </c>
      <c r="RKY65" s="277" t="s">
        <v>1072</v>
      </c>
      <c r="RKZ65" s="277" t="s">
        <v>1072</v>
      </c>
      <c r="RLA65" s="277" t="s">
        <v>1072</v>
      </c>
      <c r="RLB65" s="277" t="s">
        <v>1072</v>
      </c>
      <c r="RLC65" s="277" t="s">
        <v>1072</v>
      </c>
      <c r="RLD65" s="277" t="s">
        <v>1072</v>
      </c>
      <c r="RLE65" s="277" t="s">
        <v>1072</v>
      </c>
      <c r="RLF65" s="277" t="s">
        <v>1072</v>
      </c>
      <c r="RLG65" s="277" t="s">
        <v>1072</v>
      </c>
      <c r="RLH65" s="277" t="s">
        <v>1072</v>
      </c>
      <c r="RLI65" s="277" t="s">
        <v>1072</v>
      </c>
      <c r="RLJ65" s="277" t="s">
        <v>1072</v>
      </c>
      <c r="RLK65" s="277" t="s">
        <v>1072</v>
      </c>
      <c r="RLL65" s="277" t="s">
        <v>1072</v>
      </c>
      <c r="RLM65" s="277" t="s">
        <v>1072</v>
      </c>
      <c r="RLN65" s="277" t="s">
        <v>1072</v>
      </c>
      <c r="RLO65" s="277" t="s">
        <v>1072</v>
      </c>
      <c r="RLP65" s="277" t="s">
        <v>1072</v>
      </c>
      <c r="RLQ65" s="277" t="s">
        <v>1072</v>
      </c>
      <c r="RLR65" s="277" t="s">
        <v>1072</v>
      </c>
      <c r="RLS65" s="277" t="s">
        <v>1072</v>
      </c>
      <c r="RLT65" s="277" t="s">
        <v>1072</v>
      </c>
      <c r="RLU65" s="277" t="s">
        <v>1072</v>
      </c>
      <c r="RLV65" s="277" t="s">
        <v>1072</v>
      </c>
      <c r="RLW65" s="277" t="s">
        <v>1072</v>
      </c>
      <c r="RLX65" s="277" t="s">
        <v>1072</v>
      </c>
      <c r="RLY65" s="277" t="s">
        <v>1072</v>
      </c>
      <c r="RLZ65" s="277" t="s">
        <v>1072</v>
      </c>
      <c r="RMA65" s="277" t="s">
        <v>1072</v>
      </c>
      <c r="RMB65" s="277" t="s">
        <v>1072</v>
      </c>
      <c r="RMC65" s="277" t="s">
        <v>1072</v>
      </c>
      <c r="RMD65" s="277" t="s">
        <v>1072</v>
      </c>
      <c r="RME65" s="277" t="s">
        <v>1072</v>
      </c>
      <c r="RMF65" s="277" t="s">
        <v>1072</v>
      </c>
      <c r="RMG65" s="277" t="s">
        <v>1072</v>
      </c>
      <c r="RMH65" s="277" t="s">
        <v>1072</v>
      </c>
      <c r="RMI65" s="277" t="s">
        <v>1072</v>
      </c>
      <c r="RMJ65" s="277" t="s">
        <v>1072</v>
      </c>
      <c r="RMK65" s="277" t="s">
        <v>1072</v>
      </c>
      <c r="RML65" s="277" t="s">
        <v>1072</v>
      </c>
      <c r="RMM65" s="277" t="s">
        <v>1072</v>
      </c>
      <c r="RMN65" s="277" t="s">
        <v>1072</v>
      </c>
      <c r="RMO65" s="277" t="s">
        <v>1072</v>
      </c>
      <c r="RMP65" s="277" t="s">
        <v>1072</v>
      </c>
      <c r="RMQ65" s="277" t="s">
        <v>1072</v>
      </c>
      <c r="RMR65" s="277" t="s">
        <v>1072</v>
      </c>
      <c r="RMS65" s="277" t="s">
        <v>1072</v>
      </c>
      <c r="RMT65" s="277" t="s">
        <v>1072</v>
      </c>
      <c r="RMU65" s="277" t="s">
        <v>1072</v>
      </c>
      <c r="RMV65" s="277" t="s">
        <v>1072</v>
      </c>
      <c r="RMW65" s="277" t="s">
        <v>1072</v>
      </c>
      <c r="RMX65" s="277" t="s">
        <v>1072</v>
      </c>
      <c r="RMY65" s="277" t="s">
        <v>1072</v>
      </c>
      <c r="RMZ65" s="277" t="s">
        <v>1072</v>
      </c>
      <c r="RNA65" s="277" t="s">
        <v>1072</v>
      </c>
      <c r="RNB65" s="277" t="s">
        <v>1072</v>
      </c>
      <c r="RNC65" s="277" t="s">
        <v>1072</v>
      </c>
      <c r="RND65" s="277" t="s">
        <v>1072</v>
      </c>
      <c r="RNE65" s="277" t="s">
        <v>1072</v>
      </c>
      <c r="RNF65" s="277" t="s">
        <v>1072</v>
      </c>
      <c r="RNG65" s="277" t="s">
        <v>1072</v>
      </c>
      <c r="RNH65" s="277" t="s">
        <v>1072</v>
      </c>
      <c r="RNI65" s="277" t="s">
        <v>1072</v>
      </c>
      <c r="RNJ65" s="277" t="s">
        <v>1072</v>
      </c>
      <c r="RNK65" s="277" t="s">
        <v>1072</v>
      </c>
      <c r="RNL65" s="277" t="s">
        <v>1072</v>
      </c>
      <c r="RNM65" s="277" t="s">
        <v>1072</v>
      </c>
      <c r="RNN65" s="277" t="s">
        <v>1072</v>
      </c>
      <c r="RNO65" s="277" t="s">
        <v>1072</v>
      </c>
      <c r="RNP65" s="277" t="s">
        <v>1072</v>
      </c>
      <c r="RNQ65" s="277" t="s">
        <v>1072</v>
      </c>
      <c r="RNR65" s="277" t="s">
        <v>1072</v>
      </c>
      <c r="RNS65" s="277" t="s">
        <v>1072</v>
      </c>
      <c r="RNT65" s="277" t="s">
        <v>1072</v>
      </c>
      <c r="RNU65" s="277" t="s">
        <v>1072</v>
      </c>
      <c r="RNV65" s="277" t="s">
        <v>1072</v>
      </c>
      <c r="RNW65" s="277" t="s">
        <v>1072</v>
      </c>
      <c r="RNX65" s="277" t="s">
        <v>1072</v>
      </c>
      <c r="RNY65" s="277" t="s">
        <v>1072</v>
      </c>
      <c r="RNZ65" s="277" t="s">
        <v>1072</v>
      </c>
      <c r="ROA65" s="277" t="s">
        <v>1072</v>
      </c>
      <c r="ROB65" s="277" t="s">
        <v>1072</v>
      </c>
      <c r="ROC65" s="277" t="s">
        <v>1072</v>
      </c>
      <c r="ROD65" s="277" t="s">
        <v>1072</v>
      </c>
      <c r="ROE65" s="277" t="s">
        <v>1072</v>
      </c>
      <c r="ROF65" s="277" t="s">
        <v>1072</v>
      </c>
      <c r="ROG65" s="277" t="s">
        <v>1072</v>
      </c>
      <c r="ROH65" s="277" t="s">
        <v>1072</v>
      </c>
      <c r="ROI65" s="277" t="s">
        <v>1072</v>
      </c>
      <c r="ROJ65" s="277" t="s">
        <v>1072</v>
      </c>
      <c r="ROK65" s="277" t="s">
        <v>1072</v>
      </c>
      <c r="ROL65" s="277" t="s">
        <v>1072</v>
      </c>
      <c r="ROM65" s="277" t="s">
        <v>1072</v>
      </c>
      <c r="RON65" s="277" t="s">
        <v>1072</v>
      </c>
      <c r="ROO65" s="277" t="s">
        <v>1072</v>
      </c>
      <c r="ROP65" s="277" t="s">
        <v>1072</v>
      </c>
      <c r="ROQ65" s="277" t="s">
        <v>1072</v>
      </c>
      <c r="ROR65" s="277" t="s">
        <v>1072</v>
      </c>
      <c r="ROS65" s="277" t="s">
        <v>1072</v>
      </c>
      <c r="ROT65" s="277" t="s">
        <v>1072</v>
      </c>
      <c r="ROU65" s="277" t="s">
        <v>1072</v>
      </c>
      <c r="ROV65" s="277" t="s">
        <v>1072</v>
      </c>
      <c r="ROW65" s="277" t="s">
        <v>1072</v>
      </c>
      <c r="ROX65" s="277" t="s">
        <v>1072</v>
      </c>
      <c r="ROY65" s="277" t="s">
        <v>1072</v>
      </c>
      <c r="ROZ65" s="277" t="s">
        <v>1072</v>
      </c>
      <c r="RPA65" s="277" t="s">
        <v>1072</v>
      </c>
      <c r="RPB65" s="277" t="s">
        <v>1072</v>
      </c>
      <c r="RPC65" s="277" t="s">
        <v>1072</v>
      </c>
      <c r="RPD65" s="277" t="s">
        <v>1072</v>
      </c>
      <c r="RPE65" s="277" t="s">
        <v>1072</v>
      </c>
      <c r="RPF65" s="277" t="s">
        <v>1072</v>
      </c>
      <c r="RPG65" s="277" t="s">
        <v>1072</v>
      </c>
      <c r="RPH65" s="277" t="s">
        <v>1072</v>
      </c>
      <c r="RPI65" s="277" t="s">
        <v>1072</v>
      </c>
      <c r="RPJ65" s="277" t="s">
        <v>1072</v>
      </c>
      <c r="RPK65" s="277" t="s">
        <v>1072</v>
      </c>
      <c r="RPL65" s="277" t="s">
        <v>1072</v>
      </c>
      <c r="RPM65" s="277" t="s">
        <v>1072</v>
      </c>
      <c r="RPN65" s="277" t="s">
        <v>1072</v>
      </c>
      <c r="RPO65" s="277" t="s">
        <v>1072</v>
      </c>
      <c r="RPP65" s="277" t="s">
        <v>1072</v>
      </c>
      <c r="RPQ65" s="277" t="s">
        <v>1072</v>
      </c>
      <c r="RPR65" s="277" t="s">
        <v>1072</v>
      </c>
      <c r="RPS65" s="277" t="s">
        <v>1072</v>
      </c>
      <c r="RPT65" s="277" t="s">
        <v>1072</v>
      </c>
      <c r="RPU65" s="277" t="s">
        <v>1072</v>
      </c>
      <c r="RPV65" s="277" t="s">
        <v>1072</v>
      </c>
      <c r="RPW65" s="277" t="s">
        <v>1072</v>
      </c>
      <c r="RPX65" s="277" t="s">
        <v>1072</v>
      </c>
      <c r="RPY65" s="277" t="s">
        <v>1072</v>
      </c>
      <c r="RPZ65" s="277" t="s">
        <v>1072</v>
      </c>
      <c r="RQA65" s="277" t="s">
        <v>1072</v>
      </c>
      <c r="RQB65" s="277" t="s">
        <v>1072</v>
      </c>
      <c r="RQC65" s="277" t="s">
        <v>1072</v>
      </c>
      <c r="RQD65" s="277" t="s">
        <v>1072</v>
      </c>
      <c r="RQE65" s="277" t="s">
        <v>1072</v>
      </c>
      <c r="RQF65" s="277" t="s">
        <v>1072</v>
      </c>
      <c r="RQG65" s="277" t="s">
        <v>1072</v>
      </c>
      <c r="RQH65" s="277" t="s">
        <v>1072</v>
      </c>
      <c r="RQI65" s="277" t="s">
        <v>1072</v>
      </c>
      <c r="RQJ65" s="277" t="s">
        <v>1072</v>
      </c>
      <c r="RQK65" s="277" t="s">
        <v>1072</v>
      </c>
      <c r="RQL65" s="277" t="s">
        <v>1072</v>
      </c>
      <c r="RQM65" s="277" t="s">
        <v>1072</v>
      </c>
      <c r="RQN65" s="277" t="s">
        <v>1072</v>
      </c>
      <c r="RQO65" s="277" t="s">
        <v>1072</v>
      </c>
      <c r="RQP65" s="277" t="s">
        <v>1072</v>
      </c>
      <c r="RQQ65" s="277" t="s">
        <v>1072</v>
      </c>
      <c r="RQR65" s="277" t="s">
        <v>1072</v>
      </c>
      <c r="RQS65" s="277" t="s">
        <v>1072</v>
      </c>
      <c r="RQT65" s="277" t="s">
        <v>1072</v>
      </c>
      <c r="RQU65" s="277" t="s">
        <v>1072</v>
      </c>
      <c r="RQV65" s="277" t="s">
        <v>1072</v>
      </c>
      <c r="RQW65" s="277" t="s">
        <v>1072</v>
      </c>
      <c r="RQX65" s="277" t="s">
        <v>1072</v>
      </c>
      <c r="RQY65" s="277" t="s">
        <v>1072</v>
      </c>
      <c r="RQZ65" s="277" t="s">
        <v>1072</v>
      </c>
      <c r="RRA65" s="277" t="s">
        <v>1072</v>
      </c>
      <c r="RRB65" s="277" t="s">
        <v>1072</v>
      </c>
      <c r="RRC65" s="277" t="s">
        <v>1072</v>
      </c>
      <c r="RRD65" s="277" t="s">
        <v>1072</v>
      </c>
      <c r="RRE65" s="277" t="s">
        <v>1072</v>
      </c>
      <c r="RRF65" s="277" t="s">
        <v>1072</v>
      </c>
      <c r="RRG65" s="277" t="s">
        <v>1072</v>
      </c>
      <c r="RRH65" s="277" t="s">
        <v>1072</v>
      </c>
      <c r="RRI65" s="277" t="s">
        <v>1072</v>
      </c>
      <c r="RRJ65" s="277" t="s">
        <v>1072</v>
      </c>
      <c r="RRK65" s="277" t="s">
        <v>1072</v>
      </c>
      <c r="RRL65" s="277" t="s">
        <v>1072</v>
      </c>
      <c r="RRM65" s="277" t="s">
        <v>1072</v>
      </c>
      <c r="RRN65" s="277" t="s">
        <v>1072</v>
      </c>
      <c r="RRO65" s="277" t="s">
        <v>1072</v>
      </c>
      <c r="RRP65" s="277" t="s">
        <v>1072</v>
      </c>
      <c r="RRQ65" s="277" t="s">
        <v>1072</v>
      </c>
      <c r="RRR65" s="277" t="s">
        <v>1072</v>
      </c>
      <c r="RRS65" s="277" t="s">
        <v>1072</v>
      </c>
      <c r="RRT65" s="277" t="s">
        <v>1072</v>
      </c>
      <c r="RRU65" s="277" t="s">
        <v>1072</v>
      </c>
      <c r="RRV65" s="277" t="s">
        <v>1072</v>
      </c>
      <c r="RRW65" s="277" t="s">
        <v>1072</v>
      </c>
      <c r="RRX65" s="277" t="s">
        <v>1072</v>
      </c>
      <c r="RRY65" s="277" t="s">
        <v>1072</v>
      </c>
      <c r="RRZ65" s="277" t="s">
        <v>1072</v>
      </c>
      <c r="RSA65" s="277" t="s">
        <v>1072</v>
      </c>
      <c r="RSB65" s="277" t="s">
        <v>1072</v>
      </c>
      <c r="RSC65" s="277" t="s">
        <v>1072</v>
      </c>
      <c r="RSD65" s="277" t="s">
        <v>1072</v>
      </c>
      <c r="RSE65" s="277" t="s">
        <v>1072</v>
      </c>
      <c r="RSF65" s="277" t="s">
        <v>1072</v>
      </c>
      <c r="RSG65" s="277" t="s">
        <v>1072</v>
      </c>
      <c r="RSH65" s="277" t="s">
        <v>1072</v>
      </c>
      <c r="RSI65" s="277" t="s">
        <v>1072</v>
      </c>
      <c r="RSJ65" s="277" t="s">
        <v>1072</v>
      </c>
      <c r="RSK65" s="277" t="s">
        <v>1072</v>
      </c>
      <c r="RSL65" s="277" t="s">
        <v>1072</v>
      </c>
      <c r="RSM65" s="277" t="s">
        <v>1072</v>
      </c>
      <c r="RSN65" s="277" t="s">
        <v>1072</v>
      </c>
      <c r="RSO65" s="277" t="s">
        <v>1072</v>
      </c>
      <c r="RSP65" s="277" t="s">
        <v>1072</v>
      </c>
      <c r="RSQ65" s="277" t="s">
        <v>1072</v>
      </c>
      <c r="RSR65" s="277" t="s">
        <v>1072</v>
      </c>
      <c r="RSS65" s="277" t="s">
        <v>1072</v>
      </c>
      <c r="RST65" s="277" t="s">
        <v>1072</v>
      </c>
      <c r="RSU65" s="277" t="s">
        <v>1072</v>
      </c>
      <c r="RSV65" s="277" t="s">
        <v>1072</v>
      </c>
      <c r="RSW65" s="277" t="s">
        <v>1072</v>
      </c>
      <c r="RSX65" s="277" t="s">
        <v>1072</v>
      </c>
      <c r="RSY65" s="277" t="s">
        <v>1072</v>
      </c>
      <c r="RSZ65" s="277" t="s">
        <v>1072</v>
      </c>
      <c r="RTA65" s="277" t="s">
        <v>1072</v>
      </c>
      <c r="RTB65" s="277" t="s">
        <v>1072</v>
      </c>
      <c r="RTC65" s="277" t="s">
        <v>1072</v>
      </c>
      <c r="RTD65" s="277" t="s">
        <v>1072</v>
      </c>
      <c r="RTE65" s="277" t="s">
        <v>1072</v>
      </c>
      <c r="RTF65" s="277" t="s">
        <v>1072</v>
      </c>
      <c r="RTG65" s="277" t="s">
        <v>1072</v>
      </c>
      <c r="RTH65" s="277" t="s">
        <v>1072</v>
      </c>
      <c r="RTI65" s="277" t="s">
        <v>1072</v>
      </c>
      <c r="RTJ65" s="277" t="s">
        <v>1072</v>
      </c>
      <c r="RTK65" s="277" t="s">
        <v>1072</v>
      </c>
      <c r="RTL65" s="277" t="s">
        <v>1072</v>
      </c>
      <c r="RTM65" s="277" t="s">
        <v>1072</v>
      </c>
      <c r="RTN65" s="277" t="s">
        <v>1072</v>
      </c>
      <c r="RTO65" s="277" t="s">
        <v>1072</v>
      </c>
      <c r="RTP65" s="277" t="s">
        <v>1072</v>
      </c>
      <c r="RTQ65" s="277" t="s">
        <v>1072</v>
      </c>
      <c r="RTR65" s="277" t="s">
        <v>1072</v>
      </c>
      <c r="RTS65" s="277" t="s">
        <v>1072</v>
      </c>
      <c r="RTT65" s="277" t="s">
        <v>1072</v>
      </c>
      <c r="RTU65" s="277" t="s">
        <v>1072</v>
      </c>
      <c r="RTV65" s="277" t="s">
        <v>1072</v>
      </c>
      <c r="RTW65" s="277" t="s">
        <v>1072</v>
      </c>
      <c r="RTX65" s="277" t="s">
        <v>1072</v>
      </c>
      <c r="RTY65" s="277" t="s">
        <v>1072</v>
      </c>
      <c r="RTZ65" s="277" t="s">
        <v>1072</v>
      </c>
      <c r="RUA65" s="277" t="s">
        <v>1072</v>
      </c>
      <c r="RUB65" s="277" t="s">
        <v>1072</v>
      </c>
      <c r="RUC65" s="277" t="s">
        <v>1072</v>
      </c>
      <c r="RUD65" s="277" t="s">
        <v>1072</v>
      </c>
      <c r="RUE65" s="277" t="s">
        <v>1072</v>
      </c>
      <c r="RUF65" s="277" t="s">
        <v>1072</v>
      </c>
      <c r="RUG65" s="277" t="s">
        <v>1072</v>
      </c>
      <c r="RUH65" s="277" t="s">
        <v>1072</v>
      </c>
      <c r="RUI65" s="277" t="s">
        <v>1072</v>
      </c>
      <c r="RUJ65" s="277" t="s">
        <v>1072</v>
      </c>
      <c r="RUK65" s="277" t="s">
        <v>1072</v>
      </c>
      <c r="RUL65" s="277" t="s">
        <v>1072</v>
      </c>
      <c r="RUM65" s="277" t="s">
        <v>1072</v>
      </c>
      <c r="RUN65" s="277" t="s">
        <v>1072</v>
      </c>
      <c r="RUO65" s="277" t="s">
        <v>1072</v>
      </c>
      <c r="RUP65" s="277" t="s">
        <v>1072</v>
      </c>
      <c r="RUQ65" s="277" t="s">
        <v>1072</v>
      </c>
      <c r="RUR65" s="277" t="s">
        <v>1072</v>
      </c>
      <c r="RUS65" s="277" t="s">
        <v>1072</v>
      </c>
      <c r="RUT65" s="277" t="s">
        <v>1072</v>
      </c>
      <c r="RUU65" s="277" t="s">
        <v>1072</v>
      </c>
      <c r="RUV65" s="277" t="s">
        <v>1072</v>
      </c>
      <c r="RUW65" s="277" t="s">
        <v>1072</v>
      </c>
      <c r="RUX65" s="277" t="s">
        <v>1072</v>
      </c>
      <c r="RUY65" s="277" t="s">
        <v>1072</v>
      </c>
      <c r="RUZ65" s="277" t="s">
        <v>1072</v>
      </c>
      <c r="RVA65" s="277" t="s">
        <v>1072</v>
      </c>
      <c r="RVB65" s="277" t="s">
        <v>1072</v>
      </c>
      <c r="RVC65" s="277" t="s">
        <v>1072</v>
      </c>
      <c r="RVD65" s="277" t="s">
        <v>1072</v>
      </c>
      <c r="RVE65" s="277" t="s">
        <v>1072</v>
      </c>
      <c r="RVF65" s="277" t="s">
        <v>1072</v>
      </c>
      <c r="RVG65" s="277" t="s">
        <v>1072</v>
      </c>
      <c r="RVH65" s="277" t="s">
        <v>1072</v>
      </c>
      <c r="RVI65" s="277" t="s">
        <v>1072</v>
      </c>
      <c r="RVJ65" s="277" t="s">
        <v>1072</v>
      </c>
      <c r="RVK65" s="277" t="s">
        <v>1072</v>
      </c>
      <c r="RVL65" s="277" t="s">
        <v>1072</v>
      </c>
      <c r="RVM65" s="277" t="s">
        <v>1072</v>
      </c>
      <c r="RVN65" s="277" t="s">
        <v>1072</v>
      </c>
      <c r="RVO65" s="277" t="s">
        <v>1072</v>
      </c>
      <c r="RVP65" s="277" t="s">
        <v>1072</v>
      </c>
      <c r="RVQ65" s="277" t="s">
        <v>1072</v>
      </c>
      <c r="RVR65" s="277" t="s">
        <v>1072</v>
      </c>
      <c r="RVS65" s="277" t="s">
        <v>1072</v>
      </c>
      <c r="RVT65" s="277" t="s">
        <v>1072</v>
      </c>
      <c r="RVU65" s="277" t="s">
        <v>1072</v>
      </c>
      <c r="RVV65" s="277" t="s">
        <v>1072</v>
      </c>
      <c r="RVW65" s="277" t="s">
        <v>1072</v>
      </c>
      <c r="RVX65" s="277" t="s">
        <v>1072</v>
      </c>
      <c r="RVY65" s="277" t="s">
        <v>1072</v>
      </c>
      <c r="RVZ65" s="277" t="s">
        <v>1072</v>
      </c>
      <c r="RWA65" s="277" t="s">
        <v>1072</v>
      </c>
      <c r="RWB65" s="277" t="s">
        <v>1072</v>
      </c>
      <c r="RWC65" s="277" t="s">
        <v>1072</v>
      </c>
      <c r="RWD65" s="277" t="s">
        <v>1072</v>
      </c>
      <c r="RWE65" s="277" t="s">
        <v>1072</v>
      </c>
      <c r="RWF65" s="277" t="s">
        <v>1072</v>
      </c>
      <c r="RWG65" s="277" t="s">
        <v>1072</v>
      </c>
      <c r="RWH65" s="277" t="s">
        <v>1072</v>
      </c>
      <c r="RWI65" s="277" t="s">
        <v>1072</v>
      </c>
      <c r="RWJ65" s="277" t="s">
        <v>1072</v>
      </c>
      <c r="RWK65" s="277" t="s">
        <v>1072</v>
      </c>
      <c r="RWL65" s="277" t="s">
        <v>1072</v>
      </c>
      <c r="RWM65" s="277" t="s">
        <v>1072</v>
      </c>
      <c r="RWN65" s="277" t="s">
        <v>1072</v>
      </c>
      <c r="RWO65" s="277" t="s">
        <v>1072</v>
      </c>
      <c r="RWP65" s="277" t="s">
        <v>1072</v>
      </c>
      <c r="RWQ65" s="277" t="s">
        <v>1072</v>
      </c>
      <c r="RWR65" s="277" t="s">
        <v>1072</v>
      </c>
      <c r="RWS65" s="277" t="s">
        <v>1072</v>
      </c>
      <c r="RWT65" s="277" t="s">
        <v>1072</v>
      </c>
      <c r="RWU65" s="277" t="s">
        <v>1072</v>
      </c>
      <c r="RWV65" s="277" t="s">
        <v>1072</v>
      </c>
      <c r="RWW65" s="277" t="s">
        <v>1072</v>
      </c>
      <c r="RWX65" s="277" t="s">
        <v>1072</v>
      </c>
      <c r="RWY65" s="277" t="s">
        <v>1072</v>
      </c>
      <c r="RWZ65" s="277" t="s">
        <v>1072</v>
      </c>
      <c r="RXA65" s="277" t="s">
        <v>1072</v>
      </c>
      <c r="RXB65" s="277" t="s">
        <v>1072</v>
      </c>
      <c r="RXC65" s="277" t="s">
        <v>1072</v>
      </c>
      <c r="RXD65" s="277" t="s">
        <v>1072</v>
      </c>
      <c r="RXE65" s="277" t="s">
        <v>1072</v>
      </c>
      <c r="RXF65" s="277" t="s">
        <v>1072</v>
      </c>
      <c r="RXG65" s="277" t="s">
        <v>1072</v>
      </c>
      <c r="RXH65" s="277" t="s">
        <v>1072</v>
      </c>
      <c r="RXI65" s="277" t="s">
        <v>1072</v>
      </c>
      <c r="RXJ65" s="277" t="s">
        <v>1072</v>
      </c>
      <c r="RXK65" s="277" t="s">
        <v>1072</v>
      </c>
      <c r="RXL65" s="277" t="s">
        <v>1072</v>
      </c>
      <c r="RXM65" s="277" t="s">
        <v>1072</v>
      </c>
      <c r="RXN65" s="277" t="s">
        <v>1072</v>
      </c>
      <c r="RXO65" s="277" t="s">
        <v>1072</v>
      </c>
      <c r="RXP65" s="277" t="s">
        <v>1072</v>
      </c>
      <c r="RXQ65" s="277" t="s">
        <v>1072</v>
      </c>
      <c r="RXR65" s="277" t="s">
        <v>1072</v>
      </c>
      <c r="RXS65" s="277" t="s">
        <v>1072</v>
      </c>
      <c r="RXT65" s="277" t="s">
        <v>1072</v>
      </c>
      <c r="RXU65" s="277" t="s">
        <v>1072</v>
      </c>
      <c r="RXV65" s="277" t="s">
        <v>1072</v>
      </c>
      <c r="RXW65" s="277" t="s">
        <v>1072</v>
      </c>
      <c r="RXX65" s="277" t="s">
        <v>1072</v>
      </c>
      <c r="RXY65" s="277" t="s">
        <v>1072</v>
      </c>
      <c r="RXZ65" s="277" t="s">
        <v>1072</v>
      </c>
      <c r="RYA65" s="277" t="s">
        <v>1072</v>
      </c>
      <c r="RYB65" s="277" t="s">
        <v>1072</v>
      </c>
      <c r="RYC65" s="277" t="s">
        <v>1072</v>
      </c>
      <c r="RYD65" s="277" t="s">
        <v>1072</v>
      </c>
      <c r="RYE65" s="277" t="s">
        <v>1072</v>
      </c>
      <c r="RYF65" s="277" t="s">
        <v>1072</v>
      </c>
      <c r="RYG65" s="277" t="s">
        <v>1072</v>
      </c>
      <c r="RYH65" s="277" t="s">
        <v>1072</v>
      </c>
      <c r="RYI65" s="277" t="s">
        <v>1072</v>
      </c>
      <c r="RYJ65" s="277" t="s">
        <v>1072</v>
      </c>
      <c r="RYK65" s="277" t="s">
        <v>1072</v>
      </c>
      <c r="RYL65" s="277" t="s">
        <v>1072</v>
      </c>
      <c r="RYM65" s="277" t="s">
        <v>1072</v>
      </c>
      <c r="RYN65" s="277" t="s">
        <v>1072</v>
      </c>
      <c r="RYO65" s="277" t="s">
        <v>1072</v>
      </c>
      <c r="RYP65" s="277" t="s">
        <v>1072</v>
      </c>
      <c r="RYQ65" s="277" t="s">
        <v>1072</v>
      </c>
      <c r="RYR65" s="277" t="s">
        <v>1072</v>
      </c>
      <c r="RYS65" s="277" t="s">
        <v>1072</v>
      </c>
      <c r="RYT65" s="277" t="s">
        <v>1072</v>
      </c>
      <c r="RYU65" s="277" t="s">
        <v>1072</v>
      </c>
      <c r="RYV65" s="277" t="s">
        <v>1072</v>
      </c>
      <c r="RYW65" s="277" t="s">
        <v>1072</v>
      </c>
      <c r="RYX65" s="277" t="s">
        <v>1072</v>
      </c>
      <c r="RYY65" s="277" t="s">
        <v>1072</v>
      </c>
      <c r="RYZ65" s="277" t="s">
        <v>1072</v>
      </c>
      <c r="RZA65" s="277" t="s">
        <v>1072</v>
      </c>
      <c r="RZB65" s="277" t="s">
        <v>1072</v>
      </c>
      <c r="RZC65" s="277" t="s">
        <v>1072</v>
      </c>
      <c r="RZD65" s="277" t="s">
        <v>1072</v>
      </c>
      <c r="RZE65" s="277" t="s">
        <v>1072</v>
      </c>
      <c r="RZF65" s="277" t="s">
        <v>1072</v>
      </c>
      <c r="RZG65" s="277" t="s">
        <v>1072</v>
      </c>
      <c r="RZH65" s="277" t="s">
        <v>1072</v>
      </c>
      <c r="RZI65" s="277" t="s">
        <v>1072</v>
      </c>
      <c r="RZJ65" s="277" t="s">
        <v>1072</v>
      </c>
      <c r="RZK65" s="277" t="s">
        <v>1072</v>
      </c>
      <c r="RZL65" s="277" t="s">
        <v>1072</v>
      </c>
      <c r="RZM65" s="277" t="s">
        <v>1072</v>
      </c>
      <c r="RZN65" s="277" t="s">
        <v>1072</v>
      </c>
      <c r="RZO65" s="277" t="s">
        <v>1072</v>
      </c>
      <c r="RZP65" s="277" t="s">
        <v>1072</v>
      </c>
      <c r="RZQ65" s="277" t="s">
        <v>1072</v>
      </c>
      <c r="RZR65" s="277" t="s">
        <v>1072</v>
      </c>
      <c r="RZS65" s="277" t="s">
        <v>1072</v>
      </c>
      <c r="RZT65" s="277" t="s">
        <v>1072</v>
      </c>
      <c r="RZU65" s="277" t="s">
        <v>1072</v>
      </c>
      <c r="RZV65" s="277" t="s">
        <v>1072</v>
      </c>
      <c r="RZW65" s="277" t="s">
        <v>1072</v>
      </c>
      <c r="RZX65" s="277" t="s">
        <v>1072</v>
      </c>
      <c r="RZY65" s="277" t="s">
        <v>1072</v>
      </c>
      <c r="RZZ65" s="277" t="s">
        <v>1072</v>
      </c>
      <c r="SAA65" s="277" t="s">
        <v>1072</v>
      </c>
      <c r="SAB65" s="277" t="s">
        <v>1072</v>
      </c>
      <c r="SAC65" s="277" t="s">
        <v>1072</v>
      </c>
      <c r="SAD65" s="277" t="s">
        <v>1072</v>
      </c>
      <c r="SAE65" s="277" t="s">
        <v>1072</v>
      </c>
      <c r="SAF65" s="277" t="s">
        <v>1072</v>
      </c>
      <c r="SAG65" s="277" t="s">
        <v>1072</v>
      </c>
      <c r="SAH65" s="277" t="s">
        <v>1072</v>
      </c>
      <c r="SAI65" s="277" t="s">
        <v>1072</v>
      </c>
      <c r="SAJ65" s="277" t="s">
        <v>1072</v>
      </c>
      <c r="SAK65" s="277" t="s">
        <v>1072</v>
      </c>
      <c r="SAL65" s="277" t="s">
        <v>1072</v>
      </c>
      <c r="SAM65" s="277" t="s">
        <v>1072</v>
      </c>
      <c r="SAN65" s="277" t="s">
        <v>1072</v>
      </c>
      <c r="SAO65" s="277" t="s">
        <v>1072</v>
      </c>
      <c r="SAP65" s="277" t="s">
        <v>1072</v>
      </c>
      <c r="SAQ65" s="277" t="s">
        <v>1072</v>
      </c>
      <c r="SAR65" s="277" t="s">
        <v>1072</v>
      </c>
      <c r="SAS65" s="277" t="s">
        <v>1072</v>
      </c>
      <c r="SAT65" s="277" t="s">
        <v>1072</v>
      </c>
      <c r="SAU65" s="277" t="s">
        <v>1072</v>
      </c>
      <c r="SAV65" s="277" t="s">
        <v>1072</v>
      </c>
      <c r="SAW65" s="277" t="s">
        <v>1072</v>
      </c>
      <c r="SAX65" s="277" t="s">
        <v>1072</v>
      </c>
      <c r="SAY65" s="277" t="s">
        <v>1072</v>
      </c>
      <c r="SAZ65" s="277" t="s">
        <v>1072</v>
      </c>
      <c r="SBA65" s="277" t="s">
        <v>1072</v>
      </c>
      <c r="SBB65" s="277" t="s">
        <v>1072</v>
      </c>
      <c r="SBC65" s="277" t="s">
        <v>1072</v>
      </c>
      <c r="SBD65" s="277" t="s">
        <v>1072</v>
      </c>
      <c r="SBE65" s="277" t="s">
        <v>1072</v>
      </c>
      <c r="SBF65" s="277" t="s">
        <v>1072</v>
      </c>
      <c r="SBG65" s="277" t="s">
        <v>1072</v>
      </c>
      <c r="SBH65" s="277" t="s">
        <v>1072</v>
      </c>
      <c r="SBI65" s="277" t="s">
        <v>1072</v>
      </c>
      <c r="SBJ65" s="277" t="s">
        <v>1072</v>
      </c>
      <c r="SBK65" s="277" t="s">
        <v>1072</v>
      </c>
      <c r="SBL65" s="277" t="s">
        <v>1072</v>
      </c>
      <c r="SBM65" s="277" t="s">
        <v>1072</v>
      </c>
      <c r="SBN65" s="277" t="s">
        <v>1072</v>
      </c>
      <c r="SBO65" s="277" t="s">
        <v>1072</v>
      </c>
      <c r="SBP65" s="277" t="s">
        <v>1072</v>
      </c>
      <c r="SBQ65" s="277" t="s">
        <v>1072</v>
      </c>
      <c r="SBR65" s="277" t="s">
        <v>1072</v>
      </c>
      <c r="SBS65" s="277" t="s">
        <v>1072</v>
      </c>
      <c r="SBT65" s="277" t="s">
        <v>1072</v>
      </c>
      <c r="SBU65" s="277" t="s">
        <v>1072</v>
      </c>
      <c r="SBV65" s="277" t="s">
        <v>1072</v>
      </c>
      <c r="SBW65" s="277" t="s">
        <v>1072</v>
      </c>
      <c r="SBX65" s="277" t="s">
        <v>1072</v>
      </c>
      <c r="SBY65" s="277" t="s">
        <v>1072</v>
      </c>
      <c r="SBZ65" s="277" t="s">
        <v>1072</v>
      </c>
      <c r="SCA65" s="277" t="s">
        <v>1072</v>
      </c>
      <c r="SCB65" s="277" t="s">
        <v>1072</v>
      </c>
      <c r="SCC65" s="277" t="s">
        <v>1072</v>
      </c>
      <c r="SCD65" s="277" t="s">
        <v>1072</v>
      </c>
      <c r="SCE65" s="277" t="s">
        <v>1072</v>
      </c>
      <c r="SCF65" s="277" t="s">
        <v>1072</v>
      </c>
      <c r="SCG65" s="277" t="s">
        <v>1072</v>
      </c>
      <c r="SCH65" s="277" t="s">
        <v>1072</v>
      </c>
      <c r="SCI65" s="277" t="s">
        <v>1072</v>
      </c>
      <c r="SCJ65" s="277" t="s">
        <v>1072</v>
      </c>
      <c r="SCK65" s="277" t="s">
        <v>1072</v>
      </c>
      <c r="SCL65" s="277" t="s">
        <v>1072</v>
      </c>
      <c r="SCM65" s="277" t="s">
        <v>1072</v>
      </c>
      <c r="SCN65" s="277" t="s">
        <v>1072</v>
      </c>
      <c r="SCO65" s="277" t="s">
        <v>1072</v>
      </c>
      <c r="SCP65" s="277" t="s">
        <v>1072</v>
      </c>
      <c r="SCQ65" s="277" t="s">
        <v>1072</v>
      </c>
      <c r="SCR65" s="277" t="s">
        <v>1072</v>
      </c>
      <c r="SCS65" s="277" t="s">
        <v>1072</v>
      </c>
      <c r="SCT65" s="277" t="s">
        <v>1072</v>
      </c>
      <c r="SCU65" s="277" t="s">
        <v>1072</v>
      </c>
      <c r="SCV65" s="277" t="s">
        <v>1072</v>
      </c>
      <c r="SCW65" s="277" t="s">
        <v>1072</v>
      </c>
      <c r="SCX65" s="277" t="s">
        <v>1072</v>
      </c>
      <c r="SCY65" s="277" t="s">
        <v>1072</v>
      </c>
      <c r="SCZ65" s="277" t="s">
        <v>1072</v>
      </c>
      <c r="SDA65" s="277" t="s">
        <v>1072</v>
      </c>
      <c r="SDB65" s="277" t="s">
        <v>1072</v>
      </c>
      <c r="SDC65" s="277" t="s">
        <v>1072</v>
      </c>
      <c r="SDD65" s="277" t="s">
        <v>1072</v>
      </c>
      <c r="SDE65" s="277" t="s">
        <v>1072</v>
      </c>
      <c r="SDF65" s="277" t="s">
        <v>1072</v>
      </c>
      <c r="SDG65" s="277" t="s">
        <v>1072</v>
      </c>
      <c r="SDH65" s="277" t="s">
        <v>1072</v>
      </c>
      <c r="SDI65" s="277" t="s">
        <v>1072</v>
      </c>
      <c r="SDJ65" s="277" t="s">
        <v>1072</v>
      </c>
      <c r="SDK65" s="277" t="s">
        <v>1072</v>
      </c>
      <c r="SDL65" s="277" t="s">
        <v>1072</v>
      </c>
      <c r="SDM65" s="277" t="s">
        <v>1072</v>
      </c>
      <c r="SDN65" s="277" t="s">
        <v>1072</v>
      </c>
      <c r="SDO65" s="277" t="s">
        <v>1072</v>
      </c>
      <c r="SDP65" s="277" t="s">
        <v>1072</v>
      </c>
      <c r="SDQ65" s="277" t="s">
        <v>1072</v>
      </c>
      <c r="SDR65" s="277" t="s">
        <v>1072</v>
      </c>
      <c r="SDS65" s="277" t="s">
        <v>1072</v>
      </c>
      <c r="SDT65" s="277" t="s">
        <v>1072</v>
      </c>
      <c r="SDU65" s="277" t="s">
        <v>1072</v>
      </c>
      <c r="SDV65" s="277" t="s">
        <v>1072</v>
      </c>
      <c r="SDW65" s="277" t="s">
        <v>1072</v>
      </c>
      <c r="SDX65" s="277" t="s">
        <v>1072</v>
      </c>
      <c r="SDY65" s="277" t="s">
        <v>1072</v>
      </c>
      <c r="SDZ65" s="277" t="s">
        <v>1072</v>
      </c>
      <c r="SEA65" s="277" t="s">
        <v>1072</v>
      </c>
      <c r="SEB65" s="277" t="s">
        <v>1072</v>
      </c>
      <c r="SEC65" s="277" t="s">
        <v>1072</v>
      </c>
      <c r="SED65" s="277" t="s">
        <v>1072</v>
      </c>
      <c r="SEE65" s="277" t="s">
        <v>1072</v>
      </c>
      <c r="SEF65" s="277" t="s">
        <v>1072</v>
      </c>
      <c r="SEG65" s="277" t="s">
        <v>1072</v>
      </c>
      <c r="SEH65" s="277" t="s">
        <v>1072</v>
      </c>
      <c r="SEI65" s="277" t="s">
        <v>1072</v>
      </c>
      <c r="SEJ65" s="277" t="s">
        <v>1072</v>
      </c>
      <c r="SEK65" s="277" t="s">
        <v>1072</v>
      </c>
      <c r="SEL65" s="277" t="s">
        <v>1072</v>
      </c>
      <c r="SEM65" s="277" t="s">
        <v>1072</v>
      </c>
      <c r="SEN65" s="277" t="s">
        <v>1072</v>
      </c>
      <c r="SEO65" s="277" t="s">
        <v>1072</v>
      </c>
      <c r="SEP65" s="277" t="s">
        <v>1072</v>
      </c>
      <c r="SEQ65" s="277" t="s">
        <v>1072</v>
      </c>
      <c r="SER65" s="277" t="s">
        <v>1072</v>
      </c>
      <c r="SES65" s="277" t="s">
        <v>1072</v>
      </c>
      <c r="SET65" s="277" t="s">
        <v>1072</v>
      </c>
      <c r="SEU65" s="277" t="s">
        <v>1072</v>
      </c>
      <c r="SEV65" s="277" t="s">
        <v>1072</v>
      </c>
      <c r="SEW65" s="277" t="s">
        <v>1072</v>
      </c>
      <c r="SEX65" s="277" t="s">
        <v>1072</v>
      </c>
      <c r="SEY65" s="277" t="s">
        <v>1072</v>
      </c>
      <c r="SEZ65" s="277" t="s">
        <v>1072</v>
      </c>
      <c r="SFA65" s="277" t="s">
        <v>1072</v>
      </c>
      <c r="SFB65" s="277" t="s">
        <v>1072</v>
      </c>
      <c r="SFC65" s="277" t="s">
        <v>1072</v>
      </c>
      <c r="SFD65" s="277" t="s">
        <v>1072</v>
      </c>
      <c r="SFE65" s="277" t="s">
        <v>1072</v>
      </c>
      <c r="SFF65" s="277" t="s">
        <v>1072</v>
      </c>
      <c r="SFG65" s="277" t="s">
        <v>1072</v>
      </c>
      <c r="SFH65" s="277" t="s">
        <v>1072</v>
      </c>
      <c r="SFI65" s="277" t="s">
        <v>1072</v>
      </c>
      <c r="SFJ65" s="277" t="s">
        <v>1072</v>
      </c>
      <c r="SFK65" s="277" t="s">
        <v>1072</v>
      </c>
      <c r="SFL65" s="277" t="s">
        <v>1072</v>
      </c>
      <c r="SFM65" s="277" t="s">
        <v>1072</v>
      </c>
      <c r="SFN65" s="277" t="s">
        <v>1072</v>
      </c>
      <c r="SFO65" s="277" t="s">
        <v>1072</v>
      </c>
      <c r="SFP65" s="277" t="s">
        <v>1072</v>
      </c>
      <c r="SFQ65" s="277" t="s">
        <v>1072</v>
      </c>
      <c r="SFR65" s="277" t="s">
        <v>1072</v>
      </c>
      <c r="SFS65" s="277" t="s">
        <v>1072</v>
      </c>
      <c r="SFT65" s="277" t="s">
        <v>1072</v>
      </c>
      <c r="SFU65" s="277" t="s">
        <v>1072</v>
      </c>
      <c r="SFV65" s="277" t="s">
        <v>1072</v>
      </c>
      <c r="SFW65" s="277" t="s">
        <v>1072</v>
      </c>
      <c r="SFX65" s="277" t="s">
        <v>1072</v>
      </c>
      <c r="SFY65" s="277" t="s">
        <v>1072</v>
      </c>
      <c r="SFZ65" s="277" t="s">
        <v>1072</v>
      </c>
      <c r="SGA65" s="277" t="s">
        <v>1072</v>
      </c>
      <c r="SGB65" s="277" t="s">
        <v>1072</v>
      </c>
      <c r="SGC65" s="277" t="s">
        <v>1072</v>
      </c>
      <c r="SGD65" s="277" t="s">
        <v>1072</v>
      </c>
      <c r="SGE65" s="277" t="s">
        <v>1072</v>
      </c>
      <c r="SGF65" s="277" t="s">
        <v>1072</v>
      </c>
      <c r="SGG65" s="277" t="s">
        <v>1072</v>
      </c>
      <c r="SGH65" s="277" t="s">
        <v>1072</v>
      </c>
      <c r="SGI65" s="277" t="s">
        <v>1072</v>
      </c>
      <c r="SGJ65" s="277" t="s">
        <v>1072</v>
      </c>
      <c r="SGK65" s="277" t="s">
        <v>1072</v>
      </c>
      <c r="SGL65" s="277" t="s">
        <v>1072</v>
      </c>
      <c r="SGM65" s="277" t="s">
        <v>1072</v>
      </c>
      <c r="SGN65" s="277" t="s">
        <v>1072</v>
      </c>
      <c r="SGO65" s="277" t="s">
        <v>1072</v>
      </c>
      <c r="SGP65" s="277" t="s">
        <v>1072</v>
      </c>
      <c r="SGQ65" s="277" t="s">
        <v>1072</v>
      </c>
      <c r="SGR65" s="277" t="s">
        <v>1072</v>
      </c>
      <c r="SGS65" s="277" t="s">
        <v>1072</v>
      </c>
      <c r="SGT65" s="277" t="s">
        <v>1072</v>
      </c>
      <c r="SGU65" s="277" t="s">
        <v>1072</v>
      </c>
      <c r="SGV65" s="277" t="s">
        <v>1072</v>
      </c>
      <c r="SGW65" s="277" t="s">
        <v>1072</v>
      </c>
      <c r="SGX65" s="277" t="s">
        <v>1072</v>
      </c>
      <c r="SGY65" s="277" t="s">
        <v>1072</v>
      </c>
      <c r="SGZ65" s="277" t="s">
        <v>1072</v>
      </c>
      <c r="SHA65" s="277" t="s">
        <v>1072</v>
      </c>
      <c r="SHB65" s="277" t="s">
        <v>1072</v>
      </c>
      <c r="SHC65" s="277" t="s">
        <v>1072</v>
      </c>
      <c r="SHD65" s="277" t="s">
        <v>1072</v>
      </c>
      <c r="SHE65" s="277" t="s">
        <v>1072</v>
      </c>
      <c r="SHF65" s="277" t="s">
        <v>1072</v>
      </c>
      <c r="SHG65" s="277" t="s">
        <v>1072</v>
      </c>
      <c r="SHH65" s="277" t="s">
        <v>1072</v>
      </c>
      <c r="SHI65" s="277" t="s">
        <v>1072</v>
      </c>
      <c r="SHJ65" s="277" t="s">
        <v>1072</v>
      </c>
      <c r="SHK65" s="277" t="s">
        <v>1072</v>
      </c>
      <c r="SHL65" s="277" t="s">
        <v>1072</v>
      </c>
      <c r="SHM65" s="277" t="s">
        <v>1072</v>
      </c>
      <c r="SHN65" s="277" t="s">
        <v>1072</v>
      </c>
      <c r="SHO65" s="277" t="s">
        <v>1072</v>
      </c>
      <c r="SHP65" s="277" t="s">
        <v>1072</v>
      </c>
      <c r="SHQ65" s="277" t="s">
        <v>1072</v>
      </c>
      <c r="SHR65" s="277" t="s">
        <v>1072</v>
      </c>
      <c r="SHS65" s="277" t="s">
        <v>1072</v>
      </c>
      <c r="SHT65" s="277" t="s">
        <v>1072</v>
      </c>
      <c r="SHU65" s="277" t="s">
        <v>1072</v>
      </c>
      <c r="SHV65" s="277" t="s">
        <v>1072</v>
      </c>
      <c r="SHW65" s="277" t="s">
        <v>1072</v>
      </c>
      <c r="SHX65" s="277" t="s">
        <v>1072</v>
      </c>
      <c r="SHY65" s="277" t="s">
        <v>1072</v>
      </c>
      <c r="SHZ65" s="277" t="s">
        <v>1072</v>
      </c>
      <c r="SIA65" s="277" t="s">
        <v>1072</v>
      </c>
      <c r="SIB65" s="277" t="s">
        <v>1072</v>
      </c>
      <c r="SIC65" s="277" t="s">
        <v>1072</v>
      </c>
      <c r="SID65" s="277" t="s">
        <v>1072</v>
      </c>
      <c r="SIE65" s="277" t="s">
        <v>1072</v>
      </c>
      <c r="SIF65" s="277" t="s">
        <v>1072</v>
      </c>
      <c r="SIG65" s="277" t="s">
        <v>1072</v>
      </c>
      <c r="SIH65" s="277" t="s">
        <v>1072</v>
      </c>
      <c r="SII65" s="277" t="s">
        <v>1072</v>
      </c>
      <c r="SIJ65" s="277" t="s">
        <v>1072</v>
      </c>
      <c r="SIK65" s="277" t="s">
        <v>1072</v>
      </c>
      <c r="SIL65" s="277" t="s">
        <v>1072</v>
      </c>
      <c r="SIM65" s="277" t="s">
        <v>1072</v>
      </c>
      <c r="SIN65" s="277" t="s">
        <v>1072</v>
      </c>
      <c r="SIO65" s="277" t="s">
        <v>1072</v>
      </c>
      <c r="SIP65" s="277" t="s">
        <v>1072</v>
      </c>
      <c r="SIQ65" s="277" t="s">
        <v>1072</v>
      </c>
      <c r="SIR65" s="277" t="s">
        <v>1072</v>
      </c>
      <c r="SIS65" s="277" t="s">
        <v>1072</v>
      </c>
      <c r="SIT65" s="277" t="s">
        <v>1072</v>
      </c>
      <c r="SIU65" s="277" t="s">
        <v>1072</v>
      </c>
      <c r="SIV65" s="277" t="s">
        <v>1072</v>
      </c>
      <c r="SIW65" s="277" t="s">
        <v>1072</v>
      </c>
      <c r="SIX65" s="277" t="s">
        <v>1072</v>
      </c>
      <c r="SIY65" s="277" t="s">
        <v>1072</v>
      </c>
      <c r="SIZ65" s="277" t="s">
        <v>1072</v>
      </c>
      <c r="SJA65" s="277" t="s">
        <v>1072</v>
      </c>
      <c r="SJB65" s="277" t="s">
        <v>1072</v>
      </c>
      <c r="SJC65" s="277" t="s">
        <v>1072</v>
      </c>
      <c r="SJD65" s="277" t="s">
        <v>1072</v>
      </c>
      <c r="SJE65" s="277" t="s">
        <v>1072</v>
      </c>
      <c r="SJF65" s="277" t="s">
        <v>1072</v>
      </c>
      <c r="SJG65" s="277" t="s">
        <v>1072</v>
      </c>
      <c r="SJH65" s="277" t="s">
        <v>1072</v>
      </c>
      <c r="SJI65" s="277" t="s">
        <v>1072</v>
      </c>
      <c r="SJJ65" s="277" t="s">
        <v>1072</v>
      </c>
      <c r="SJK65" s="277" t="s">
        <v>1072</v>
      </c>
      <c r="SJL65" s="277" t="s">
        <v>1072</v>
      </c>
      <c r="SJM65" s="277" t="s">
        <v>1072</v>
      </c>
      <c r="SJN65" s="277" t="s">
        <v>1072</v>
      </c>
      <c r="SJO65" s="277" t="s">
        <v>1072</v>
      </c>
      <c r="SJP65" s="277" t="s">
        <v>1072</v>
      </c>
      <c r="SJQ65" s="277" t="s">
        <v>1072</v>
      </c>
      <c r="SJR65" s="277" t="s">
        <v>1072</v>
      </c>
      <c r="SJS65" s="277" t="s">
        <v>1072</v>
      </c>
      <c r="SJT65" s="277" t="s">
        <v>1072</v>
      </c>
      <c r="SJU65" s="277" t="s">
        <v>1072</v>
      </c>
      <c r="SJV65" s="277" t="s">
        <v>1072</v>
      </c>
      <c r="SJW65" s="277" t="s">
        <v>1072</v>
      </c>
      <c r="SJX65" s="277" t="s">
        <v>1072</v>
      </c>
      <c r="SJY65" s="277" t="s">
        <v>1072</v>
      </c>
      <c r="SJZ65" s="277" t="s">
        <v>1072</v>
      </c>
      <c r="SKA65" s="277" t="s">
        <v>1072</v>
      </c>
      <c r="SKB65" s="277" t="s">
        <v>1072</v>
      </c>
      <c r="SKC65" s="277" t="s">
        <v>1072</v>
      </c>
      <c r="SKD65" s="277" t="s">
        <v>1072</v>
      </c>
      <c r="SKE65" s="277" t="s">
        <v>1072</v>
      </c>
      <c r="SKF65" s="277" t="s">
        <v>1072</v>
      </c>
      <c r="SKG65" s="277" t="s">
        <v>1072</v>
      </c>
      <c r="SKH65" s="277" t="s">
        <v>1072</v>
      </c>
      <c r="SKI65" s="277" t="s">
        <v>1072</v>
      </c>
      <c r="SKJ65" s="277" t="s">
        <v>1072</v>
      </c>
      <c r="SKK65" s="277" t="s">
        <v>1072</v>
      </c>
      <c r="SKL65" s="277" t="s">
        <v>1072</v>
      </c>
      <c r="SKM65" s="277" t="s">
        <v>1072</v>
      </c>
      <c r="SKN65" s="277" t="s">
        <v>1072</v>
      </c>
      <c r="SKO65" s="277" t="s">
        <v>1072</v>
      </c>
      <c r="SKP65" s="277" t="s">
        <v>1072</v>
      </c>
      <c r="SKQ65" s="277" t="s">
        <v>1072</v>
      </c>
      <c r="SKR65" s="277" t="s">
        <v>1072</v>
      </c>
      <c r="SKS65" s="277" t="s">
        <v>1072</v>
      </c>
      <c r="SKT65" s="277" t="s">
        <v>1072</v>
      </c>
      <c r="SKU65" s="277" t="s">
        <v>1072</v>
      </c>
      <c r="SKV65" s="277" t="s">
        <v>1072</v>
      </c>
      <c r="SKW65" s="277" t="s">
        <v>1072</v>
      </c>
      <c r="SKX65" s="277" t="s">
        <v>1072</v>
      </c>
      <c r="SKY65" s="277" t="s">
        <v>1072</v>
      </c>
      <c r="SKZ65" s="277" t="s">
        <v>1072</v>
      </c>
      <c r="SLA65" s="277" t="s">
        <v>1072</v>
      </c>
      <c r="SLB65" s="277" t="s">
        <v>1072</v>
      </c>
      <c r="SLC65" s="277" t="s">
        <v>1072</v>
      </c>
      <c r="SLD65" s="277" t="s">
        <v>1072</v>
      </c>
      <c r="SLE65" s="277" t="s">
        <v>1072</v>
      </c>
      <c r="SLF65" s="277" t="s">
        <v>1072</v>
      </c>
      <c r="SLG65" s="277" t="s">
        <v>1072</v>
      </c>
      <c r="SLH65" s="277" t="s">
        <v>1072</v>
      </c>
      <c r="SLI65" s="277" t="s">
        <v>1072</v>
      </c>
      <c r="SLJ65" s="277" t="s">
        <v>1072</v>
      </c>
      <c r="SLK65" s="277" t="s">
        <v>1072</v>
      </c>
      <c r="SLL65" s="277" t="s">
        <v>1072</v>
      </c>
      <c r="SLM65" s="277" t="s">
        <v>1072</v>
      </c>
      <c r="SLN65" s="277" t="s">
        <v>1072</v>
      </c>
      <c r="SLO65" s="277" t="s">
        <v>1072</v>
      </c>
      <c r="SLP65" s="277" t="s">
        <v>1072</v>
      </c>
      <c r="SLQ65" s="277" t="s">
        <v>1072</v>
      </c>
      <c r="SLR65" s="277" t="s">
        <v>1072</v>
      </c>
      <c r="SLS65" s="277" t="s">
        <v>1072</v>
      </c>
      <c r="SLT65" s="277" t="s">
        <v>1072</v>
      </c>
      <c r="SLU65" s="277" t="s">
        <v>1072</v>
      </c>
      <c r="SLV65" s="277" t="s">
        <v>1072</v>
      </c>
      <c r="SLW65" s="277" t="s">
        <v>1072</v>
      </c>
      <c r="SLX65" s="277" t="s">
        <v>1072</v>
      </c>
      <c r="SLY65" s="277" t="s">
        <v>1072</v>
      </c>
      <c r="SLZ65" s="277" t="s">
        <v>1072</v>
      </c>
      <c r="SMA65" s="277" t="s">
        <v>1072</v>
      </c>
      <c r="SMB65" s="277" t="s">
        <v>1072</v>
      </c>
      <c r="SMC65" s="277" t="s">
        <v>1072</v>
      </c>
      <c r="SMD65" s="277" t="s">
        <v>1072</v>
      </c>
      <c r="SME65" s="277" t="s">
        <v>1072</v>
      </c>
      <c r="SMF65" s="277" t="s">
        <v>1072</v>
      </c>
      <c r="SMG65" s="277" t="s">
        <v>1072</v>
      </c>
      <c r="SMH65" s="277" t="s">
        <v>1072</v>
      </c>
      <c r="SMI65" s="277" t="s">
        <v>1072</v>
      </c>
      <c r="SMJ65" s="277" t="s">
        <v>1072</v>
      </c>
      <c r="SMK65" s="277" t="s">
        <v>1072</v>
      </c>
      <c r="SML65" s="277" t="s">
        <v>1072</v>
      </c>
      <c r="SMM65" s="277" t="s">
        <v>1072</v>
      </c>
      <c r="SMN65" s="277" t="s">
        <v>1072</v>
      </c>
      <c r="SMO65" s="277" t="s">
        <v>1072</v>
      </c>
      <c r="SMP65" s="277" t="s">
        <v>1072</v>
      </c>
      <c r="SMQ65" s="277" t="s">
        <v>1072</v>
      </c>
      <c r="SMR65" s="277" t="s">
        <v>1072</v>
      </c>
      <c r="SMS65" s="277" t="s">
        <v>1072</v>
      </c>
      <c r="SMT65" s="277" t="s">
        <v>1072</v>
      </c>
      <c r="SMU65" s="277" t="s">
        <v>1072</v>
      </c>
      <c r="SMV65" s="277" t="s">
        <v>1072</v>
      </c>
      <c r="SMW65" s="277" t="s">
        <v>1072</v>
      </c>
      <c r="SMX65" s="277" t="s">
        <v>1072</v>
      </c>
      <c r="SMY65" s="277" t="s">
        <v>1072</v>
      </c>
      <c r="SMZ65" s="277" t="s">
        <v>1072</v>
      </c>
      <c r="SNA65" s="277" t="s">
        <v>1072</v>
      </c>
      <c r="SNB65" s="277" t="s">
        <v>1072</v>
      </c>
      <c r="SNC65" s="277" t="s">
        <v>1072</v>
      </c>
      <c r="SND65" s="277" t="s">
        <v>1072</v>
      </c>
      <c r="SNE65" s="277" t="s">
        <v>1072</v>
      </c>
      <c r="SNF65" s="277" t="s">
        <v>1072</v>
      </c>
      <c r="SNG65" s="277" t="s">
        <v>1072</v>
      </c>
      <c r="SNH65" s="277" t="s">
        <v>1072</v>
      </c>
      <c r="SNI65" s="277" t="s">
        <v>1072</v>
      </c>
      <c r="SNJ65" s="277" t="s">
        <v>1072</v>
      </c>
      <c r="SNK65" s="277" t="s">
        <v>1072</v>
      </c>
      <c r="SNL65" s="277" t="s">
        <v>1072</v>
      </c>
      <c r="SNM65" s="277" t="s">
        <v>1072</v>
      </c>
      <c r="SNN65" s="277" t="s">
        <v>1072</v>
      </c>
      <c r="SNO65" s="277" t="s">
        <v>1072</v>
      </c>
      <c r="SNP65" s="277" t="s">
        <v>1072</v>
      </c>
      <c r="SNQ65" s="277" t="s">
        <v>1072</v>
      </c>
      <c r="SNR65" s="277" t="s">
        <v>1072</v>
      </c>
      <c r="SNS65" s="277" t="s">
        <v>1072</v>
      </c>
      <c r="SNT65" s="277" t="s">
        <v>1072</v>
      </c>
      <c r="SNU65" s="277" t="s">
        <v>1072</v>
      </c>
      <c r="SNV65" s="277" t="s">
        <v>1072</v>
      </c>
      <c r="SNW65" s="277" t="s">
        <v>1072</v>
      </c>
      <c r="SNX65" s="277" t="s">
        <v>1072</v>
      </c>
      <c r="SNY65" s="277" t="s">
        <v>1072</v>
      </c>
      <c r="SNZ65" s="277" t="s">
        <v>1072</v>
      </c>
      <c r="SOA65" s="277" t="s">
        <v>1072</v>
      </c>
      <c r="SOB65" s="277" t="s">
        <v>1072</v>
      </c>
      <c r="SOC65" s="277" t="s">
        <v>1072</v>
      </c>
      <c r="SOD65" s="277" t="s">
        <v>1072</v>
      </c>
      <c r="SOE65" s="277" t="s">
        <v>1072</v>
      </c>
      <c r="SOF65" s="277" t="s">
        <v>1072</v>
      </c>
      <c r="SOG65" s="277" t="s">
        <v>1072</v>
      </c>
      <c r="SOH65" s="277" t="s">
        <v>1072</v>
      </c>
      <c r="SOI65" s="277" t="s">
        <v>1072</v>
      </c>
      <c r="SOJ65" s="277" t="s">
        <v>1072</v>
      </c>
      <c r="SOK65" s="277" t="s">
        <v>1072</v>
      </c>
      <c r="SOL65" s="277" t="s">
        <v>1072</v>
      </c>
      <c r="SOM65" s="277" t="s">
        <v>1072</v>
      </c>
      <c r="SON65" s="277" t="s">
        <v>1072</v>
      </c>
      <c r="SOO65" s="277" t="s">
        <v>1072</v>
      </c>
      <c r="SOP65" s="277" t="s">
        <v>1072</v>
      </c>
      <c r="SOQ65" s="277" t="s">
        <v>1072</v>
      </c>
      <c r="SOR65" s="277" t="s">
        <v>1072</v>
      </c>
      <c r="SOS65" s="277" t="s">
        <v>1072</v>
      </c>
      <c r="SOT65" s="277" t="s">
        <v>1072</v>
      </c>
      <c r="SOU65" s="277" t="s">
        <v>1072</v>
      </c>
      <c r="SOV65" s="277" t="s">
        <v>1072</v>
      </c>
      <c r="SOW65" s="277" t="s">
        <v>1072</v>
      </c>
      <c r="SOX65" s="277" t="s">
        <v>1072</v>
      </c>
      <c r="SOY65" s="277" t="s">
        <v>1072</v>
      </c>
      <c r="SOZ65" s="277" t="s">
        <v>1072</v>
      </c>
      <c r="SPA65" s="277" t="s">
        <v>1072</v>
      </c>
      <c r="SPB65" s="277" t="s">
        <v>1072</v>
      </c>
      <c r="SPC65" s="277" t="s">
        <v>1072</v>
      </c>
      <c r="SPD65" s="277" t="s">
        <v>1072</v>
      </c>
      <c r="SPE65" s="277" t="s">
        <v>1072</v>
      </c>
      <c r="SPF65" s="277" t="s">
        <v>1072</v>
      </c>
      <c r="SPG65" s="277" t="s">
        <v>1072</v>
      </c>
      <c r="SPH65" s="277" t="s">
        <v>1072</v>
      </c>
      <c r="SPI65" s="277" t="s">
        <v>1072</v>
      </c>
      <c r="SPJ65" s="277" t="s">
        <v>1072</v>
      </c>
      <c r="SPK65" s="277" t="s">
        <v>1072</v>
      </c>
      <c r="SPL65" s="277" t="s">
        <v>1072</v>
      </c>
      <c r="SPM65" s="277" t="s">
        <v>1072</v>
      </c>
      <c r="SPN65" s="277" t="s">
        <v>1072</v>
      </c>
      <c r="SPO65" s="277" t="s">
        <v>1072</v>
      </c>
      <c r="SPP65" s="277" t="s">
        <v>1072</v>
      </c>
      <c r="SPQ65" s="277" t="s">
        <v>1072</v>
      </c>
      <c r="SPR65" s="277" t="s">
        <v>1072</v>
      </c>
      <c r="SPS65" s="277" t="s">
        <v>1072</v>
      </c>
      <c r="SPT65" s="277" t="s">
        <v>1072</v>
      </c>
      <c r="SPU65" s="277" t="s">
        <v>1072</v>
      </c>
      <c r="SPV65" s="277" t="s">
        <v>1072</v>
      </c>
      <c r="SPW65" s="277" t="s">
        <v>1072</v>
      </c>
      <c r="SPX65" s="277" t="s">
        <v>1072</v>
      </c>
      <c r="SPY65" s="277" t="s">
        <v>1072</v>
      </c>
      <c r="SPZ65" s="277" t="s">
        <v>1072</v>
      </c>
      <c r="SQA65" s="277" t="s">
        <v>1072</v>
      </c>
      <c r="SQB65" s="277" t="s">
        <v>1072</v>
      </c>
      <c r="SQC65" s="277" t="s">
        <v>1072</v>
      </c>
      <c r="SQD65" s="277" t="s">
        <v>1072</v>
      </c>
      <c r="SQE65" s="277" t="s">
        <v>1072</v>
      </c>
      <c r="SQF65" s="277" t="s">
        <v>1072</v>
      </c>
      <c r="SQG65" s="277" t="s">
        <v>1072</v>
      </c>
      <c r="SQH65" s="277" t="s">
        <v>1072</v>
      </c>
      <c r="SQI65" s="277" t="s">
        <v>1072</v>
      </c>
      <c r="SQJ65" s="277" t="s">
        <v>1072</v>
      </c>
      <c r="SQK65" s="277" t="s">
        <v>1072</v>
      </c>
      <c r="SQL65" s="277" t="s">
        <v>1072</v>
      </c>
      <c r="SQM65" s="277" t="s">
        <v>1072</v>
      </c>
      <c r="SQN65" s="277" t="s">
        <v>1072</v>
      </c>
      <c r="SQO65" s="277" t="s">
        <v>1072</v>
      </c>
      <c r="SQP65" s="277" t="s">
        <v>1072</v>
      </c>
      <c r="SQQ65" s="277" t="s">
        <v>1072</v>
      </c>
      <c r="SQR65" s="277" t="s">
        <v>1072</v>
      </c>
      <c r="SQS65" s="277" t="s">
        <v>1072</v>
      </c>
      <c r="SQT65" s="277" t="s">
        <v>1072</v>
      </c>
      <c r="SQU65" s="277" t="s">
        <v>1072</v>
      </c>
      <c r="SQV65" s="277" t="s">
        <v>1072</v>
      </c>
      <c r="SQW65" s="277" t="s">
        <v>1072</v>
      </c>
      <c r="SQX65" s="277" t="s">
        <v>1072</v>
      </c>
      <c r="SQY65" s="277" t="s">
        <v>1072</v>
      </c>
      <c r="SQZ65" s="277" t="s">
        <v>1072</v>
      </c>
      <c r="SRA65" s="277" t="s">
        <v>1072</v>
      </c>
      <c r="SRB65" s="277" t="s">
        <v>1072</v>
      </c>
      <c r="SRC65" s="277" t="s">
        <v>1072</v>
      </c>
      <c r="SRD65" s="277" t="s">
        <v>1072</v>
      </c>
      <c r="SRE65" s="277" t="s">
        <v>1072</v>
      </c>
      <c r="SRF65" s="277" t="s">
        <v>1072</v>
      </c>
      <c r="SRG65" s="277" t="s">
        <v>1072</v>
      </c>
      <c r="SRH65" s="277" t="s">
        <v>1072</v>
      </c>
      <c r="SRI65" s="277" t="s">
        <v>1072</v>
      </c>
      <c r="SRJ65" s="277" t="s">
        <v>1072</v>
      </c>
      <c r="SRK65" s="277" t="s">
        <v>1072</v>
      </c>
      <c r="SRL65" s="277" t="s">
        <v>1072</v>
      </c>
      <c r="SRM65" s="277" t="s">
        <v>1072</v>
      </c>
      <c r="SRN65" s="277" t="s">
        <v>1072</v>
      </c>
      <c r="SRO65" s="277" t="s">
        <v>1072</v>
      </c>
      <c r="SRP65" s="277" t="s">
        <v>1072</v>
      </c>
      <c r="SRQ65" s="277" t="s">
        <v>1072</v>
      </c>
      <c r="SRR65" s="277" t="s">
        <v>1072</v>
      </c>
      <c r="SRS65" s="277" t="s">
        <v>1072</v>
      </c>
      <c r="SRT65" s="277" t="s">
        <v>1072</v>
      </c>
      <c r="SRU65" s="277" t="s">
        <v>1072</v>
      </c>
      <c r="SRV65" s="277" t="s">
        <v>1072</v>
      </c>
      <c r="SRW65" s="277" t="s">
        <v>1072</v>
      </c>
      <c r="SRX65" s="277" t="s">
        <v>1072</v>
      </c>
      <c r="SRY65" s="277" t="s">
        <v>1072</v>
      </c>
      <c r="SRZ65" s="277" t="s">
        <v>1072</v>
      </c>
      <c r="SSA65" s="277" t="s">
        <v>1072</v>
      </c>
      <c r="SSB65" s="277" t="s">
        <v>1072</v>
      </c>
      <c r="SSC65" s="277" t="s">
        <v>1072</v>
      </c>
      <c r="SSD65" s="277" t="s">
        <v>1072</v>
      </c>
      <c r="SSE65" s="277" t="s">
        <v>1072</v>
      </c>
      <c r="SSF65" s="277" t="s">
        <v>1072</v>
      </c>
      <c r="SSG65" s="277" t="s">
        <v>1072</v>
      </c>
      <c r="SSH65" s="277" t="s">
        <v>1072</v>
      </c>
      <c r="SSI65" s="277" t="s">
        <v>1072</v>
      </c>
      <c r="SSJ65" s="277" t="s">
        <v>1072</v>
      </c>
      <c r="SSK65" s="277" t="s">
        <v>1072</v>
      </c>
      <c r="SSL65" s="277" t="s">
        <v>1072</v>
      </c>
      <c r="SSM65" s="277" t="s">
        <v>1072</v>
      </c>
      <c r="SSN65" s="277" t="s">
        <v>1072</v>
      </c>
      <c r="SSO65" s="277" t="s">
        <v>1072</v>
      </c>
      <c r="SSP65" s="277" t="s">
        <v>1072</v>
      </c>
      <c r="SSQ65" s="277" t="s">
        <v>1072</v>
      </c>
      <c r="SSR65" s="277" t="s">
        <v>1072</v>
      </c>
      <c r="SSS65" s="277" t="s">
        <v>1072</v>
      </c>
      <c r="SST65" s="277" t="s">
        <v>1072</v>
      </c>
      <c r="SSU65" s="277" t="s">
        <v>1072</v>
      </c>
      <c r="SSV65" s="277" t="s">
        <v>1072</v>
      </c>
      <c r="SSW65" s="277" t="s">
        <v>1072</v>
      </c>
      <c r="SSX65" s="277" t="s">
        <v>1072</v>
      </c>
      <c r="SSY65" s="277" t="s">
        <v>1072</v>
      </c>
      <c r="SSZ65" s="277" t="s">
        <v>1072</v>
      </c>
      <c r="STA65" s="277" t="s">
        <v>1072</v>
      </c>
      <c r="STB65" s="277" t="s">
        <v>1072</v>
      </c>
      <c r="STC65" s="277" t="s">
        <v>1072</v>
      </c>
      <c r="STD65" s="277" t="s">
        <v>1072</v>
      </c>
      <c r="STE65" s="277" t="s">
        <v>1072</v>
      </c>
      <c r="STF65" s="277" t="s">
        <v>1072</v>
      </c>
      <c r="STG65" s="277" t="s">
        <v>1072</v>
      </c>
      <c r="STH65" s="277" t="s">
        <v>1072</v>
      </c>
      <c r="STI65" s="277" t="s">
        <v>1072</v>
      </c>
      <c r="STJ65" s="277" t="s">
        <v>1072</v>
      </c>
      <c r="STK65" s="277" t="s">
        <v>1072</v>
      </c>
      <c r="STL65" s="277" t="s">
        <v>1072</v>
      </c>
      <c r="STM65" s="277" t="s">
        <v>1072</v>
      </c>
      <c r="STN65" s="277" t="s">
        <v>1072</v>
      </c>
      <c r="STO65" s="277" t="s">
        <v>1072</v>
      </c>
      <c r="STP65" s="277" t="s">
        <v>1072</v>
      </c>
      <c r="STQ65" s="277" t="s">
        <v>1072</v>
      </c>
      <c r="STR65" s="277" t="s">
        <v>1072</v>
      </c>
      <c r="STS65" s="277" t="s">
        <v>1072</v>
      </c>
      <c r="STT65" s="277" t="s">
        <v>1072</v>
      </c>
      <c r="STU65" s="277" t="s">
        <v>1072</v>
      </c>
      <c r="STV65" s="277" t="s">
        <v>1072</v>
      </c>
      <c r="STW65" s="277" t="s">
        <v>1072</v>
      </c>
      <c r="STX65" s="277" t="s">
        <v>1072</v>
      </c>
      <c r="STY65" s="277" t="s">
        <v>1072</v>
      </c>
      <c r="STZ65" s="277" t="s">
        <v>1072</v>
      </c>
      <c r="SUA65" s="277" t="s">
        <v>1072</v>
      </c>
      <c r="SUB65" s="277" t="s">
        <v>1072</v>
      </c>
      <c r="SUC65" s="277" t="s">
        <v>1072</v>
      </c>
      <c r="SUD65" s="277" t="s">
        <v>1072</v>
      </c>
      <c r="SUE65" s="277" t="s">
        <v>1072</v>
      </c>
      <c r="SUF65" s="277" t="s">
        <v>1072</v>
      </c>
      <c r="SUG65" s="277" t="s">
        <v>1072</v>
      </c>
      <c r="SUH65" s="277" t="s">
        <v>1072</v>
      </c>
      <c r="SUI65" s="277" t="s">
        <v>1072</v>
      </c>
      <c r="SUJ65" s="277" t="s">
        <v>1072</v>
      </c>
      <c r="SUK65" s="277" t="s">
        <v>1072</v>
      </c>
      <c r="SUL65" s="277" t="s">
        <v>1072</v>
      </c>
      <c r="SUM65" s="277" t="s">
        <v>1072</v>
      </c>
      <c r="SUN65" s="277" t="s">
        <v>1072</v>
      </c>
      <c r="SUO65" s="277" t="s">
        <v>1072</v>
      </c>
      <c r="SUP65" s="277" t="s">
        <v>1072</v>
      </c>
      <c r="SUQ65" s="277" t="s">
        <v>1072</v>
      </c>
      <c r="SUR65" s="277" t="s">
        <v>1072</v>
      </c>
      <c r="SUS65" s="277" t="s">
        <v>1072</v>
      </c>
      <c r="SUT65" s="277" t="s">
        <v>1072</v>
      </c>
      <c r="SUU65" s="277" t="s">
        <v>1072</v>
      </c>
      <c r="SUV65" s="277" t="s">
        <v>1072</v>
      </c>
      <c r="SUW65" s="277" t="s">
        <v>1072</v>
      </c>
      <c r="SUX65" s="277" t="s">
        <v>1072</v>
      </c>
      <c r="SUY65" s="277" t="s">
        <v>1072</v>
      </c>
      <c r="SUZ65" s="277" t="s">
        <v>1072</v>
      </c>
      <c r="SVA65" s="277" t="s">
        <v>1072</v>
      </c>
      <c r="SVB65" s="277" t="s">
        <v>1072</v>
      </c>
      <c r="SVC65" s="277" t="s">
        <v>1072</v>
      </c>
      <c r="SVD65" s="277" t="s">
        <v>1072</v>
      </c>
      <c r="SVE65" s="277" t="s">
        <v>1072</v>
      </c>
      <c r="SVF65" s="277" t="s">
        <v>1072</v>
      </c>
      <c r="SVG65" s="277" t="s">
        <v>1072</v>
      </c>
      <c r="SVH65" s="277" t="s">
        <v>1072</v>
      </c>
      <c r="SVI65" s="277" t="s">
        <v>1072</v>
      </c>
      <c r="SVJ65" s="277" t="s">
        <v>1072</v>
      </c>
      <c r="SVK65" s="277" t="s">
        <v>1072</v>
      </c>
      <c r="SVL65" s="277" t="s">
        <v>1072</v>
      </c>
      <c r="SVM65" s="277" t="s">
        <v>1072</v>
      </c>
      <c r="SVN65" s="277" t="s">
        <v>1072</v>
      </c>
      <c r="SVO65" s="277" t="s">
        <v>1072</v>
      </c>
      <c r="SVP65" s="277" t="s">
        <v>1072</v>
      </c>
      <c r="SVQ65" s="277" t="s">
        <v>1072</v>
      </c>
      <c r="SVR65" s="277" t="s">
        <v>1072</v>
      </c>
      <c r="SVS65" s="277" t="s">
        <v>1072</v>
      </c>
      <c r="SVT65" s="277" t="s">
        <v>1072</v>
      </c>
      <c r="SVU65" s="277" t="s">
        <v>1072</v>
      </c>
      <c r="SVV65" s="277" t="s">
        <v>1072</v>
      </c>
      <c r="SVW65" s="277" t="s">
        <v>1072</v>
      </c>
      <c r="SVX65" s="277" t="s">
        <v>1072</v>
      </c>
      <c r="SVY65" s="277" t="s">
        <v>1072</v>
      </c>
      <c r="SVZ65" s="277" t="s">
        <v>1072</v>
      </c>
      <c r="SWA65" s="277" t="s">
        <v>1072</v>
      </c>
      <c r="SWB65" s="277" t="s">
        <v>1072</v>
      </c>
      <c r="SWC65" s="277" t="s">
        <v>1072</v>
      </c>
      <c r="SWD65" s="277" t="s">
        <v>1072</v>
      </c>
      <c r="SWE65" s="277" t="s">
        <v>1072</v>
      </c>
      <c r="SWF65" s="277" t="s">
        <v>1072</v>
      </c>
      <c r="SWG65" s="277" t="s">
        <v>1072</v>
      </c>
      <c r="SWH65" s="277" t="s">
        <v>1072</v>
      </c>
      <c r="SWI65" s="277" t="s">
        <v>1072</v>
      </c>
      <c r="SWJ65" s="277" t="s">
        <v>1072</v>
      </c>
      <c r="SWK65" s="277" t="s">
        <v>1072</v>
      </c>
      <c r="SWL65" s="277" t="s">
        <v>1072</v>
      </c>
      <c r="SWM65" s="277" t="s">
        <v>1072</v>
      </c>
      <c r="SWN65" s="277" t="s">
        <v>1072</v>
      </c>
      <c r="SWO65" s="277" t="s">
        <v>1072</v>
      </c>
      <c r="SWP65" s="277" t="s">
        <v>1072</v>
      </c>
      <c r="SWQ65" s="277" t="s">
        <v>1072</v>
      </c>
      <c r="SWR65" s="277" t="s">
        <v>1072</v>
      </c>
      <c r="SWS65" s="277" t="s">
        <v>1072</v>
      </c>
      <c r="SWT65" s="277" t="s">
        <v>1072</v>
      </c>
      <c r="SWU65" s="277" t="s">
        <v>1072</v>
      </c>
      <c r="SWV65" s="277" t="s">
        <v>1072</v>
      </c>
      <c r="SWW65" s="277" t="s">
        <v>1072</v>
      </c>
      <c r="SWX65" s="277" t="s">
        <v>1072</v>
      </c>
      <c r="SWY65" s="277" t="s">
        <v>1072</v>
      </c>
      <c r="SWZ65" s="277" t="s">
        <v>1072</v>
      </c>
      <c r="SXA65" s="277" t="s">
        <v>1072</v>
      </c>
      <c r="SXB65" s="277" t="s">
        <v>1072</v>
      </c>
      <c r="SXC65" s="277" t="s">
        <v>1072</v>
      </c>
      <c r="SXD65" s="277" t="s">
        <v>1072</v>
      </c>
      <c r="SXE65" s="277" t="s">
        <v>1072</v>
      </c>
      <c r="SXF65" s="277" t="s">
        <v>1072</v>
      </c>
      <c r="SXG65" s="277" t="s">
        <v>1072</v>
      </c>
      <c r="SXH65" s="277" t="s">
        <v>1072</v>
      </c>
      <c r="SXI65" s="277" t="s">
        <v>1072</v>
      </c>
      <c r="SXJ65" s="277" t="s">
        <v>1072</v>
      </c>
      <c r="SXK65" s="277" t="s">
        <v>1072</v>
      </c>
      <c r="SXL65" s="277" t="s">
        <v>1072</v>
      </c>
      <c r="SXM65" s="277" t="s">
        <v>1072</v>
      </c>
      <c r="SXN65" s="277" t="s">
        <v>1072</v>
      </c>
      <c r="SXO65" s="277" t="s">
        <v>1072</v>
      </c>
      <c r="SXP65" s="277" t="s">
        <v>1072</v>
      </c>
      <c r="SXQ65" s="277" t="s">
        <v>1072</v>
      </c>
      <c r="SXR65" s="277" t="s">
        <v>1072</v>
      </c>
      <c r="SXS65" s="277" t="s">
        <v>1072</v>
      </c>
      <c r="SXT65" s="277" t="s">
        <v>1072</v>
      </c>
      <c r="SXU65" s="277" t="s">
        <v>1072</v>
      </c>
      <c r="SXV65" s="277" t="s">
        <v>1072</v>
      </c>
      <c r="SXW65" s="277" t="s">
        <v>1072</v>
      </c>
      <c r="SXX65" s="277" t="s">
        <v>1072</v>
      </c>
      <c r="SXY65" s="277" t="s">
        <v>1072</v>
      </c>
      <c r="SXZ65" s="277" t="s">
        <v>1072</v>
      </c>
      <c r="SYA65" s="277" t="s">
        <v>1072</v>
      </c>
      <c r="SYB65" s="277" t="s">
        <v>1072</v>
      </c>
      <c r="SYC65" s="277" t="s">
        <v>1072</v>
      </c>
      <c r="SYD65" s="277" t="s">
        <v>1072</v>
      </c>
      <c r="SYE65" s="277" t="s">
        <v>1072</v>
      </c>
      <c r="SYF65" s="277" t="s">
        <v>1072</v>
      </c>
      <c r="SYG65" s="277" t="s">
        <v>1072</v>
      </c>
      <c r="SYH65" s="277" t="s">
        <v>1072</v>
      </c>
      <c r="SYI65" s="277" t="s">
        <v>1072</v>
      </c>
      <c r="SYJ65" s="277" t="s">
        <v>1072</v>
      </c>
      <c r="SYK65" s="277" t="s">
        <v>1072</v>
      </c>
      <c r="SYL65" s="277" t="s">
        <v>1072</v>
      </c>
      <c r="SYM65" s="277" t="s">
        <v>1072</v>
      </c>
      <c r="SYN65" s="277" t="s">
        <v>1072</v>
      </c>
      <c r="SYO65" s="277" t="s">
        <v>1072</v>
      </c>
      <c r="SYP65" s="277" t="s">
        <v>1072</v>
      </c>
      <c r="SYQ65" s="277" t="s">
        <v>1072</v>
      </c>
      <c r="SYR65" s="277" t="s">
        <v>1072</v>
      </c>
      <c r="SYS65" s="277" t="s">
        <v>1072</v>
      </c>
      <c r="SYT65" s="277" t="s">
        <v>1072</v>
      </c>
      <c r="SYU65" s="277" t="s">
        <v>1072</v>
      </c>
      <c r="SYV65" s="277" t="s">
        <v>1072</v>
      </c>
      <c r="SYW65" s="277" t="s">
        <v>1072</v>
      </c>
      <c r="SYX65" s="277" t="s">
        <v>1072</v>
      </c>
      <c r="SYY65" s="277" t="s">
        <v>1072</v>
      </c>
      <c r="SYZ65" s="277" t="s">
        <v>1072</v>
      </c>
      <c r="SZA65" s="277" t="s">
        <v>1072</v>
      </c>
      <c r="SZB65" s="277" t="s">
        <v>1072</v>
      </c>
      <c r="SZC65" s="277" t="s">
        <v>1072</v>
      </c>
      <c r="SZD65" s="277" t="s">
        <v>1072</v>
      </c>
      <c r="SZE65" s="277" t="s">
        <v>1072</v>
      </c>
      <c r="SZF65" s="277" t="s">
        <v>1072</v>
      </c>
      <c r="SZG65" s="277" t="s">
        <v>1072</v>
      </c>
      <c r="SZH65" s="277" t="s">
        <v>1072</v>
      </c>
      <c r="SZI65" s="277" t="s">
        <v>1072</v>
      </c>
      <c r="SZJ65" s="277" t="s">
        <v>1072</v>
      </c>
      <c r="SZK65" s="277" t="s">
        <v>1072</v>
      </c>
      <c r="SZL65" s="277" t="s">
        <v>1072</v>
      </c>
      <c r="SZM65" s="277" t="s">
        <v>1072</v>
      </c>
      <c r="SZN65" s="277" t="s">
        <v>1072</v>
      </c>
      <c r="SZO65" s="277" t="s">
        <v>1072</v>
      </c>
      <c r="SZP65" s="277" t="s">
        <v>1072</v>
      </c>
      <c r="SZQ65" s="277" t="s">
        <v>1072</v>
      </c>
      <c r="SZR65" s="277" t="s">
        <v>1072</v>
      </c>
      <c r="SZS65" s="277" t="s">
        <v>1072</v>
      </c>
      <c r="SZT65" s="277" t="s">
        <v>1072</v>
      </c>
      <c r="SZU65" s="277" t="s">
        <v>1072</v>
      </c>
      <c r="SZV65" s="277" t="s">
        <v>1072</v>
      </c>
      <c r="SZW65" s="277" t="s">
        <v>1072</v>
      </c>
      <c r="SZX65" s="277" t="s">
        <v>1072</v>
      </c>
      <c r="SZY65" s="277" t="s">
        <v>1072</v>
      </c>
      <c r="SZZ65" s="277" t="s">
        <v>1072</v>
      </c>
      <c r="TAA65" s="277" t="s">
        <v>1072</v>
      </c>
      <c r="TAB65" s="277" t="s">
        <v>1072</v>
      </c>
      <c r="TAC65" s="277" t="s">
        <v>1072</v>
      </c>
      <c r="TAD65" s="277" t="s">
        <v>1072</v>
      </c>
      <c r="TAE65" s="277" t="s">
        <v>1072</v>
      </c>
      <c r="TAF65" s="277" t="s">
        <v>1072</v>
      </c>
      <c r="TAG65" s="277" t="s">
        <v>1072</v>
      </c>
      <c r="TAH65" s="277" t="s">
        <v>1072</v>
      </c>
      <c r="TAI65" s="277" t="s">
        <v>1072</v>
      </c>
      <c r="TAJ65" s="277" t="s">
        <v>1072</v>
      </c>
      <c r="TAK65" s="277" t="s">
        <v>1072</v>
      </c>
      <c r="TAL65" s="277" t="s">
        <v>1072</v>
      </c>
      <c r="TAM65" s="277" t="s">
        <v>1072</v>
      </c>
      <c r="TAN65" s="277" t="s">
        <v>1072</v>
      </c>
      <c r="TAO65" s="277" t="s">
        <v>1072</v>
      </c>
      <c r="TAP65" s="277" t="s">
        <v>1072</v>
      </c>
      <c r="TAQ65" s="277" t="s">
        <v>1072</v>
      </c>
      <c r="TAR65" s="277" t="s">
        <v>1072</v>
      </c>
      <c r="TAS65" s="277" t="s">
        <v>1072</v>
      </c>
      <c r="TAT65" s="277" t="s">
        <v>1072</v>
      </c>
      <c r="TAU65" s="277" t="s">
        <v>1072</v>
      </c>
      <c r="TAV65" s="277" t="s">
        <v>1072</v>
      </c>
      <c r="TAW65" s="277" t="s">
        <v>1072</v>
      </c>
      <c r="TAX65" s="277" t="s">
        <v>1072</v>
      </c>
      <c r="TAY65" s="277" t="s">
        <v>1072</v>
      </c>
      <c r="TAZ65" s="277" t="s">
        <v>1072</v>
      </c>
      <c r="TBA65" s="277" t="s">
        <v>1072</v>
      </c>
      <c r="TBB65" s="277" t="s">
        <v>1072</v>
      </c>
      <c r="TBC65" s="277" t="s">
        <v>1072</v>
      </c>
      <c r="TBD65" s="277" t="s">
        <v>1072</v>
      </c>
      <c r="TBE65" s="277" t="s">
        <v>1072</v>
      </c>
      <c r="TBF65" s="277" t="s">
        <v>1072</v>
      </c>
      <c r="TBG65" s="277" t="s">
        <v>1072</v>
      </c>
      <c r="TBH65" s="277" t="s">
        <v>1072</v>
      </c>
      <c r="TBI65" s="277" t="s">
        <v>1072</v>
      </c>
      <c r="TBJ65" s="277" t="s">
        <v>1072</v>
      </c>
      <c r="TBK65" s="277" t="s">
        <v>1072</v>
      </c>
      <c r="TBL65" s="277" t="s">
        <v>1072</v>
      </c>
      <c r="TBM65" s="277" t="s">
        <v>1072</v>
      </c>
      <c r="TBN65" s="277" t="s">
        <v>1072</v>
      </c>
      <c r="TBO65" s="277" t="s">
        <v>1072</v>
      </c>
      <c r="TBP65" s="277" t="s">
        <v>1072</v>
      </c>
      <c r="TBQ65" s="277" t="s">
        <v>1072</v>
      </c>
      <c r="TBR65" s="277" t="s">
        <v>1072</v>
      </c>
      <c r="TBS65" s="277" t="s">
        <v>1072</v>
      </c>
      <c r="TBT65" s="277" t="s">
        <v>1072</v>
      </c>
      <c r="TBU65" s="277" t="s">
        <v>1072</v>
      </c>
      <c r="TBV65" s="277" t="s">
        <v>1072</v>
      </c>
      <c r="TBW65" s="277" t="s">
        <v>1072</v>
      </c>
      <c r="TBX65" s="277" t="s">
        <v>1072</v>
      </c>
      <c r="TBY65" s="277" t="s">
        <v>1072</v>
      </c>
      <c r="TBZ65" s="277" t="s">
        <v>1072</v>
      </c>
      <c r="TCA65" s="277" t="s">
        <v>1072</v>
      </c>
      <c r="TCB65" s="277" t="s">
        <v>1072</v>
      </c>
      <c r="TCC65" s="277" t="s">
        <v>1072</v>
      </c>
      <c r="TCD65" s="277" t="s">
        <v>1072</v>
      </c>
      <c r="TCE65" s="277" t="s">
        <v>1072</v>
      </c>
      <c r="TCF65" s="277" t="s">
        <v>1072</v>
      </c>
      <c r="TCG65" s="277" t="s">
        <v>1072</v>
      </c>
      <c r="TCH65" s="277" t="s">
        <v>1072</v>
      </c>
      <c r="TCI65" s="277" t="s">
        <v>1072</v>
      </c>
      <c r="TCJ65" s="277" t="s">
        <v>1072</v>
      </c>
      <c r="TCK65" s="277" t="s">
        <v>1072</v>
      </c>
      <c r="TCL65" s="277" t="s">
        <v>1072</v>
      </c>
      <c r="TCM65" s="277" t="s">
        <v>1072</v>
      </c>
      <c r="TCN65" s="277" t="s">
        <v>1072</v>
      </c>
      <c r="TCO65" s="277" t="s">
        <v>1072</v>
      </c>
      <c r="TCP65" s="277" t="s">
        <v>1072</v>
      </c>
      <c r="TCQ65" s="277" t="s">
        <v>1072</v>
      </c>
      <c r="TCR65" s="277" t="s">
        <v>1072</v>
      </c>
      <c r="TCS65" s="277" t="s">
        <v>1072</v>
      </c>
      <c r="TCT65" s="277" t="s">
        <v>1072</v>
      </c>
      <c r="TCU65" s="277" t="s">
        <v>1072</v>
      </c>
      <c r="TCV65" s="277" t="s">
        <v>1072</v>
      </c>
      <c r="TCW65" s="277" t="s">
        <v>1072</v>
      </c>
      <c r="TCX65" s="277" t="s">
        <v>1072</v>
      </c>
      <c r="TCY65" s="277" t="s">
        <v>1072</v>
      </c>
      <c r="TCZ65" s="277" t="s">
        <v>1072</v>
      </c>
      <c r="TDA65" s="277" t="s">
        <v>1072</v>
      </c>
      <c r="TDB65" s="277" t="s">
        <v>1072</v>
      </c>
      <c r="TDC65" s="277" t="s">
        <v>1072</v>
      </c>
      <c r="TDD65" s="277" t="s">
        <v>1072</v>
      </c>
      <c r="TDE65" s="277" t="s">
        <v>1072</v>
      </c>
      <c r="TDF65" s="277" t="s">
        <v>1072</v>
      </c>
      <c r="TDG65" s="277" t="s">
        <v>1072</v>
      </c>
      <c r="TDH65" s="277" t="s">
        <v>1072</v>
      </c>
      <c r="TDI65" s="277" t="s">
        <v>1072</v>
      </c>
      <c r="TDJ65" s="277" t="s">
        <v>1072</v>
      </c>
      <c r="TDK65" s="277" t="s">
        <v>1072</v>
      </c>
      <c r="TDL65" s="277" t="s">
        <v>1072</v>
      </c>
      <c r="TDM65" s="277" t="s">
        <v>1072</v>
      </c>
      <c r="TDN65" s="277" t="s">
        <v>1072</v>
      </c>
      <c r="TDO65" s="277" t="s">
        <v>1072</v>
      </c>
      <c r="TDP65" s="277" t="s">
        <v>1072</v>
      </c>
      <c r="TDQ65" s="277" t="s">
        <v>1072</v>
      </c>
      <c r="TDR65" s="277" t="s">
        <v>1072</v>
      </c>
      <c r="TDS65" s="277" t="s">
        <v>1072</v>
      </c>
      <c r="TDT65" s="277" t="s">
        <v>1072</v>
      </c>
      <c r="TDU65" s="277" t="s">
        <v>1072</v>
      </c>
      <c r="TDV65" s="277" t="s">
        <v>1072</v>
      </c>
      <c r="TDW65" s="277" t="s">
        <v>1072</v>
      </c>
      <c r="TDX65" s="277" t="s">
        <v>1072</v>
      </c>
      <c r="TDY65" s="277" t="s">
        <v>1072</v>
      </c>
      <c r="TDZ65" s="277" t="s">
        <v>1072</v>
      </c>
      <c r="TEA65" s="277" t="s">
        <v>1072</v>
      </c>
      <c r="TEB65" s="277" t="s">
        <v>1072</v>
      </c>
      <c r="TEC65" s="277" t="s">
        <v>1072</v>
      </c>
      <c r="TED65" s="277" t="s">
        <v>1072</v>
      </c>
      <c r="TEE65" s="277" t="s">
        <v>1072</v>
      </c>
      <c r="TEF65" s="277" t="s">
        <v>1072</v>
      </c>
      <c r="TEG65" s="277" t="s">
        <v>1072</v>
      </c>
      <c r="TEH65" s="277" t="s">
        <v>1072</v>
      </c>
      <c r="TEI65" s="277" t="s">
        <v>1072</v>
      </c>
      <c r="TEJ65" s="277" t="s">
        <v>1072</v>
      </c>
      <c r="TEK65" s="277" t="s">
        <v>1072</v>
      </c>
      <c r="TEL65" s="277" t="s">
        <v>1072</v>
      </c>
      <c r="TEM65" s="277" t="s">
        <v>1072</v>
      </c>
      <c r="TEN65" s="277" t="s">
        <v>1072</v>
      </c>
      <c r="TEO65" s="277" t="s">
        <v>1072</v>
      </c>
      <c r="TEP65" s="277" t="s">
        <v>1072</v>
      </c>
      <c r="TEQ65" s="277" t="s">
        <v>1072</v>
      </c>
      <c r="TER65" s="277" t="s">
        <v>1072</v>
      </c>
      <c r="TES65" s="277" t="s">
        <v>1072</v>
      </c>
      <c r="TET65" s="277" t="s">
        <v>1072</v>
      </c>
      <c r="TEU65" s="277" t="s">
        <v>1072</v>
      </c>
      <c r="TEV65" s="277" t="s">
        <v>1072</v>
      </c>
      <c r="TEW65" s="277" t="s">
        <v>1072</v>
      </c>
      <c r="TEX65" s="277" t="s">
        <v>1072</v>
      </c>
      <c r="TEY65" s="277" t="s">
        <v>1072</v>
      </c>
      <c r="TEZ65" s="277" t="s">
        <v>1072</v>
      </c>
      <c r="TFA65" s="277" t="s">
        <v>1072</v>
      </c>
      <c r="TFB65" s="277" t="s">
        <v>1072</v>
      </c>
      <c r="TFC65" s="277" t="s">
        <v>1072</v>
      </c>
      <c r="TFD65" s="277" t="s">
        <v>1072</v>
      </c>
      <c r="TFE65" s="277" t="s">
        <v>1072</v>
      </c>
      <c r="TFF65" s="277" t="s">
        <v>1072</v>
      </c>
      <c r="TFG65" s="277" t="s">
        <v>1072</v>
      </c>
      <c r="TFH65" s="277" t="s">
        <v>1072</v>
      </c>
      <c r="TFI65" s="277" t="s">
        <v>1072</v>
      </c>
      <c r="TFJ65" s="277" t="s">
        <v>1072</v>
      </c>
      <c r="TFK65" s="277" t="s">
        <v>1072</v>
      </c>
      <c r="TFL65" s="277" t="s">
        <v>1072</v>
      </c>
      <c r="TFM65" s="277" t="s">
        <v>1072</v>
      </c>
      <c r="TFN65" s="277" t="s">
        <v>1072</v>
      </c>
      <c r="TFO65" s="277" t="s">
        <v>1072</v>
      </c>
      <c r="TFP65" s="277" t="s">
        <v>1072</v>
      </c>
      <c r="TFQ65" s="277" t="s">
        <v>1072</v>
      </c>
      <c r="TFR65" s="277" t="s">
        <v>1072</v>
      </c>
      <c r="TFS65" s="277" t="s">
        <v>1072</v>
      </c>
      <c r="TFT65" s="277" t="s">
        <v>1072</v>
      </c>
      <c r="TFU65" s="277" t="s">
        <v>1072</v>
      </c>
      <c r="TFV65" s="277" t="s">
        <v>1072</v>
      </c>
      <c r="TFW65" s="277" t="s">
        <v>1072</v>
      </c>
      <c r="TFX65" s="277" t="s">
        <v>1072</v>
      </c>
      <c r="TFY65" s="277" t="s">
        <v>1072</v>
      </c>
      <c r="TFZ65" s="277" t="s">
        <v>1072</v>
      </c>
      <c r="TGA65" s="277" t="s">
        <v>1072</v>
      </c>
      <c r="TGB65" s="277" t="s">
        <v>1072</v>
      </c>
      <c r="TGC65" s="277" t="s">
        <v>1072</v>
      </c>
      <c r="TGD65" s="277" t="s">
        <v>1072</v>
      </c>
      <c r="TGE65" s="277" t="s">
        <v>1072</v>
      </c>
      <c r="TGF65" s="277" t="s">
        <v>1072</v>
      </c>
      <c r="TGG65" s="277" t="s">
        <v>1072</v>
      </c>
      <c r="TGH65" s="277" t="s">
        <v>1072</v>
      </c>
      <c r="TGI65" s="277" t="s">
        <v>1072</v>
      </c>
      <c r="TGJ65" s="277" t="s">
        <v>1072</v>
      </c>
      <c r="TGK65" s="277" t="s">
        <v>1072</v>
      </c>
      <c r="TGL65" s="277" t="s">
        <v>1072</v>
      </c>
      <c r="TGM65" s="277" t="s">
        <v>1072</v>
      </c>
      <c r="TGN65" s="277" t="s">
        <v>1072</v>
      </c>
      <c r="TGO65" s="277" t="s">
        <v>1072</v>
      </c>
      <c r="TGP65" s="277" t="s">
        <v>1072</v>
      </c>
      <c r="TGQ65" s="277" t="s">
        <v>1072</v>
      </c>
      <c r="TGR65" s="277" t="s">
        <v>1072</v>
      </c>
      <c r="TGS65" s="277" t="s">
        <v>1072</v>
      </c>
      <c r="TGT65" s="277" t="s">
        <v>1072</v>
      </c>
      <c r="TGU65" s="277" t="s">
        <v>1072</v>
      </c>
      <c r="TGV65" s="277" t="s">
        <v>1072</v>
      </c>
      <c r="TGW65" s="277" t="s">
        <v>1072</v>
      </c>
      <c r="TGX65" s="277" t="s">
        <v>1072</v>
      </c>
      <c r="TGY65" s="277" t="s">
        <v>1072</v>
      </c>
      <c r="TGZ65" s="277" t="s">
        <v>1072</v>
      </c>
      <c r="THA65" s="277" t="s">
        <v>1072</v>
      </c>
      <c r="THB65" s="277" t="s">
        <v>1072</v>
      </c>
      <c r="THC65" s="277" t="s">
        <v>1072</v>
      </c>
      <c r="THD65" s="277" t="s">
        <v>1072</v>
      </c>
      <c r="THE65" s="277" t="s">
        <v>1072</v>
      </c>
      <c r="THF65" s="277" t="s">
        <v>1072</v>
      </c>
      <c r="THG65" s="277" t="s">
        <v>1072</v>
      </c>
      <c r="THH65" s="277" t="s">
        <v>1072</v>
      </c>
      <c r="THI65" s="277" t="s">
        <v>1072</v>
      </c>
      <c r="THJ65" s="277" t="s">
        <v>1072</v>
      </c>
      <c r="THK65" s="277" t="s">
        <v>1072</v>
      </c>
      <c r="THL65" s="277" t="s">
        <v>1072</v>
      </c>
      <c r="THM65" s="277" t="s">
        <v>1072</v>
      </c>
      <c r="THN65" s="277" t="s">
        <v>1072</v>
      </c>
      <c r="THO65" s="277" t="s">
        <v>1072</v>
      </c>
      <c r="THP65" s="277" t="s">
        <v>1072</v>
      </c>
      <c r="THQ65" s="277" t="s">
        <v>1072</v>
      </c>
      <c r="THR65" s="277" t="s">
        <v>1072</v>
      </c>
      <c r="THS65" s="277" t="s">
        <v>1072</v>
      </c>
      <c r="THT65" s="277" t="s">
        <v>1072</v>
      </c>
      <c r="THU65" s="277" t="s">
        <v>1072</v>
      </c>
      <c r="THV65" s="277" t="s">
        <v>1072</v>
      </c>
      <c r="THW65" s="277" t="s">
        <v>1072</v>
      </c>
      <c r="THX65" s="277" t="s">
        <v>1072</v>
      </c>
      <c r="THY65" s="277" t="s">
        <v>1072</v>
      </c>
      <c r="THZ65" s="277" t="s">
        <v>1072</v>
      </c>
      <c r="TIA65" s="277" t="s">
        <v>1072</v>
      </c>
      <c r="TIB65" s="277" t="s">
        <v>1072</v>
      </c>
      <c r="TIC65" s="277" t="s">
        <v>1072</v>
      </c>
      <c r="TID65" s="277" t="s">
        <v>1072</v>
      </c>
      <c r="TIE65" s="277" t="s">
        <v>1072</v>
      </c>
      <c r="TIF65" s="277" t="s">
        <v>1072</v>
      </c>
      <c r="TIG65" s="277" t="s">
        <v>1072</v>
      </c>
      <c r="TIH65" s="277" t="s">
        <v>1072</v>
      </c>
      <c r="TII65" s="277" t="s">
        <v>1072</v>
      </c>
      <c r="TIJ65" s="277" t="s">
        <v>1072</v>
      </c>
      <c r="TIK65" s="277" t="s">
        <v>1072</v>
      </c>
      <c r="TIL65" s="277" t="s">
        <v>1072</v>
      </c>
      <c r="TIM65" s="277" t="s">
        <v>1072</v>
      </c>
      <c r="TIN65" s="277" t="s">
        <v>1072</v>
      </c>
      <c r="TIO65" s="277" t="s">
        <v>1072</v>
      </c>
      <c r="TIP65" s="277" t="s">
        <v>1072</v>
      </c>
      <c r="TIQ65" s="277" t="s">
        <v>1072</v>
      </c>
      <c r="TIR65" s="277" t="s">
        <v>1072</v>
      </c>
      <c r="TIS65" s="277" t="s">
        <v>1072</v>
      </c>
      <c r="TIT65" s="277" t="s">
        <v>1072</v>
      </c>
      <c r="TIU65" s="277" t="s">
        <v>1072</v>
      </c>
      <c r="TIV65" s="277" t="s">
        <v>1072</v>
      </c>
      <c r="TIW65" s="277" t="s">
        <v>1072</v>
      </c>
      <c r="TIX65" s="277" t="s">
        <v>1072</v>
      </c>
      <c r="TIY65" s="277" t="s">
        <v>1072</v>
      </c>
      <c r="TIZ65" s="277" t="s">
        <v>1072</v>
      </c>
      <c r="TJA65" s="277" t="s">
        <v>1072</v>
      </c>
      <c r="TJB65" s="277" t="s">
        <v>1072</v>
      </c>
      <c r="TJC65" s="277" t="s">
        <v>1072</v>
      </c>
      <c r="TJD65" s="277" t="s">
        <v>1072</v>
      </c>
      <c r="TJE65" s="277" t="s">
        <v>1072</v>
      </c>
      <c r="TJF65" s="277" t="s">
        <v>1072</v>
      </c>
      <c r="TJG65" s="277" t="s">
        <v>1072</v>
      </c>
      <c r="TJH65" s="277" t="s">
        <v>1072</v>
      </c>
      <c r="TJI65" s="277" t="s">
        <v>1072</v>
      </c>
      <c r="TJJ65" s="277" t="s">
        <v>1072</v>
      </c>
      <c r="TJK65" s="277" t="s">
        <v>1072</v>
      </c>
      <c r="TJL65" s="277" t="s">
        <v>1072</v>
      </c>
      <c r="TJM65" s="277" t="s">
        <v>1072</v>
      </c>
      <c r="TJN65" s="277" t="s">
        <v>1072</v>
      </c>
      <c r="TJO65" s="277" t="s">
        <v>1072</v>
      </c>
      <c r="TJP65" s="277" t="s">
        <v>1072</v>
      </c>
      <c r="TJQ65" s="277" t="s">
        <v>1072</v>
      </c>
      <c r="TJR65" s="277" t="s">
        <v>1072</v>
      </c>
      <c r="TJS65" s="277" t="s">
        <v>1072</v>
      </c>
      <c r="TJT65" s="277" t="s">
        <v>1072</v>
      </c>
      <c r="TJU65" s="277" t="s">
        <v>1072</v>
      </c>
      <c r="TJV65" s="277" t="s">
        <v>1072</v>
      </c>
      <c r="TJW65" s="277" t="s">
        <v>1072</v>
      </c>
      <c r="TJX65" s="277" t="s">
        <v>1072</v>
      </c>
      <c r="TJY65" s="277" t="s">
        <v>1072</v>
      </c>
      <c r="TJZ65" s="277" t="s">
        <v>1072</v>
      </c>
      <c r="TKA65" s="277" t="s">
        <v>1072</v>
      </c>
      <c r="TKB65" s="277" t="s">
        <v>1072</v>
      </c>
      <c r="TKC65" s="277" t="s">
        <v>1072</v>
      </c>
      <c r="TKD65" s="277" t="s">
        <v>1072</v>
      </c>
      <c r="TKE65" s="277" t="s">
        <v>1072</v>
      </c>
      <c r="TKF65" s="277" t="s">
        <v>1072</v>
      </c>
      <c r="TKG65" s="277" t="s">
        <v>1072</v>
      </c>
      <c r="TKH65" s="277" t="s">
        <v>1072</v>
      </c>
      <c r="TKI65" s="277" t="s">
        <v>1072</v>
      </c>
      <c r="TKJ65" s="277" t="s">
        <v>1072</v>
      </c>
      <c r="TKK65" s="277" t="s">
        <v>1072</v>
      </c>
      <c r="TKL65" s="277" t="s">
        <v>1072</v>
      </c>
      <c r="TKM65" s="277" t="s">
        <v>1072</v>
      </c>
      <c r="TKN65" s="277" t="s">
        <v>1072</v>
      </c>
      <c r="TKO65" s="277" t="s">
        <v>1072</v>
      </c>
      <c r="TKP65" s="277" t="s">
        <v>1072</v>
      </c>
      <c r="TKQ65" s="277" t="s">
        <v>1072</v>
      </c>
      <c r="TKR65" s="277" t="s">
        <v>1072</v>
      </c>
      <c r="TKS65" s="277" t="s">
        <v>1072</v>
      </c>
      <c r="TKT65" s="277" t="s">
        <v>1072</v>
      </c>
      <c r="TKU65" s="277" t="s">
        <v>1072</v>
      </c>
      <c r="TKV65" s="277" t="s">
        <v>1072</v>
      </c>
      <c r="TKW65" s="277" t="s">
        <v>1072</v>
      </c>
      <c r="TKX65" s="277" t="s">
        <v>1072</v>
      </c>
      <c r="TKY65" s="277" t="s">
        <v>1072</v>
      </c>
      <c r="TKZ65" s="277" t="s">
        <v>1072</v>
      </c>
      <c r="TLA65" s="277" t="s">
        <v>1072</v>
      </c>
      <c r="TLB65" s="277" t="s">
        <v>1072</v>
      </c>
      <c r="TLC65" s="277" t="s">
        <v>1072</v>
      </c>
      <c r="TLD65" s="277" t="s">
        <v>1072</v>
      </c>
      <c r="TLE65" s="277" t="s">
        <v>1072</v>
      </c>
      <c r="TLF65" s="277" t="s">
        <v>1072</v>
      </c>
      <c r="TLG65" s="277" t="s">
        <v>1072</v>
      </c>
      <c r="TLH65" s="277" t="s">
        <v>1072</v>
      </c>
      <c r="TLI65" s="277" t="s">
        <v>1072</v>
      </c>
      <c r="TLJ65" s="277" t="s">
        <v>1072</v>
      </c>
      <c r="TLK65" s="277" t="s">
        <v>1072</v>
      </c>
      <c r="TLL65" s="277" t="s">
        <v>1072</v>
      </c>
      <c r="TLM65" s="277" t="s">
        <v>1072</v>
      </c>
      <c r="TLN65" s="277" t="s">
        <v>1072</v>
      </c>
      <c r="TLO65" s="277" t="s">
        <v>1072</v>
      </c>
      <c r="TLP65" s="277" t="s">
        <v>1072</v>
      </c>
      <c r="TLQ65" s="277" t="s">
        <v>1072</v>
      </c>
      <c r="TLR65" s="277" t="s">
        <v>1072</v>
      </c>
      <c r="TLS65" s="277" t="s">
        <v>1072</v>
      </c>
      <c r="TLT65" s="277" t="s">
        <v>1072</v>
      </c>
      <c r="TLU65" s="277" t="s">
        <v>1072</v>
      </c>
      <c r="TLV65" s="277" t="s">
        <v>1072</v>
      </c>
      <c r="TLW65" s="277" t="s">
        <v>1072</v>
      </c>
      <c r="TLX65" s="277" t="s">
        <v>1072</v>
      </c>
      <c r="TLY65" s="277" t="s">
        <v>1072</v>
      </c>
      <c r="TLZ65" s="277" t="s">
        <v>1072</v>
      </c>
      <c r="TMA65" s="277" t="s">
        <v>1072</v>
      </c>
      <c r="TMB65" s="277" t="s">
        <v>1072</v>
      </c>
      <c r="TMC65" s="277" t="s">
        <v>1072</v>
      </c>
      <c r="TMD65" s="277" t="s">
        <v>1072</v>
      </c>
      <c r="TME65" s="277" t="s">
        <v>1072</v>
      </c>
      <c r="TMF65" s="277" t="s">
        <v>1072</v>
      </c>
      <c r="TMG65" s="277" t="s">
        <v>1072</v>
      </c>
      <c r="TMH65" s="277" t="s">
        <v>1072</v>
      </c>
      <c r="TMI65" s="277" t="s">
        <v>1072</v>
      </c>
      <c r="TMJ65" s="277" t="s">
        <v>1072</v>
      </c>
      <c r="TMK65" s="277" t="s">
        <v>1072</v>
      </c>
      <c r="TML65" s="277" t="s">
        <v>1072</v>
      </c>
      <c r="TMM65" s="277" t="s">
        <v>1072</v>
      </c>
      <c r="TMN65" s="277" t="s">
        <v>1072</v>
      </c>
      <c r="TMO65" s="277" t="s">
        <v>1072</v>
      </c>
      <c r="TMP65" s="277" t="s">
        <v>1072</v>
      </c>
      <c r="TMQ65" s="277" t="s">
        <v>1072</v>
      </c>
      <c r="TMR65" s="277" t="s">
        <v>1072</v>
      </c>
      <c r="TMS65" s="277" t="s">
        <v>1072</v>
      </c>
      <c r="TMT65" s="277" t="s">
        <v>1072</v>
      </c>
      <c r="TMU65" s="277" t="s">
        <v>1072</v>
      </c>
      <c r="TMV65" s="277" t="s">
        <v>1072</v>
      </c>
      <c r="TMW65" s="277" t="s">
        <v>1072</v>
      </c>
      <c r="TMX65" s="277" t="s">
        <v>1072</v>
      </c>
      <c r="TMY65" s="277" t="s">
        <v>1072</v>
      </c>
      <c r="TMZ65" s="277" t="s">
        <v>1072</v>
      </c>
      <c r="TNA65" s="277" t="s">
        <v>1072</v>
      </c>
      <c r="TNB65" s="277" t="s">
        <v>1072</v>
      </c>
      <c r="TNC65" s="277" t="s">
        <v>1072</v>
      </c>
      <c r="TND65" s="277" t="s">
        <v>1072</v>
      </c>
      <c r="TNE65" s="277" t="s">
        <v>1072</v>
      </c>
      <c r="TNF65" s="277" t="s">
        <v>1072</v>
      </c>
      <c r="TNG65" s="277" t="s">
        <v>1072</v>
      </c>
      <c r="TNH65" s="277" t="s">
        <v>1072</v>
      </c>
      <c r="TNI65" s="277" t="s">
        <v>1072</v>
      </c>
      <c r="TNJ65" s="277" t="s">
        <v>1072</v>
      </c>
      <c r="TNK65" s="277" t="s">
        <v>1072</v>
      </c>
      <c r="TNL65" s="277" t="s">
        <v>1072</v>
      </c>
      <c r="TNM65" s="277" t="s">
        <v>1072</v>
      </c>
      <c r="TNN65" s="277" t="s">
        <v>1072</v>
      </c>
      <c r="TNO65" s="277" t="s">
        <v>1072</v>
      </c>
      <c r="TNP65" s="277" t="s">
        <v>1072</v>
      </c>
      <c r="TNQ65" s="277" t="s">
        <v>1072</v>
      </c>
      <c r="TNR65" s="277" t="s">
        <v>1072</v>
      </c>
      <c r="TNS65" s="277" t="s">
        <v>1072</v>
      </c>
      <c r="TNT65" s="277" t="s">
        <v>1072</v>
      </c>
      <c r="TNU65" s="277" t="s">
        <v>1072</v>
      </c>
      <c r="TNV65" s="277" t="s">
        <v>1072</v>
      </c>
      <c r="TNW65" s="277" t="s">
        <v>1072</v>
      </c>
      <c r="TNX65" s="277" t="s">
        <v>1072</v>
      </c>
      <c r="TNY65" s="277" t="s">
        <v>1072</v>
      </c>
      <c r="TNZ65" s="277" t="s">
        <v>1072</v>
      </c>
      <c r="TOA65" s="277" t="s">
        <v>1072</v>
      </c>
      <c r="TOB65" s="277" t="s">
        <v>1072</v>
      </c>
      <c r="TOC65" s="277" t="s">
        <v>1072</v>
      </c>
      <c r="TOD65" s="277" t="s">
        <v>1072</v>
      </c>
      <c r="TOE65" s="277" t="s">
        <v>1072</v>
      </c>
      <c r="TOF65" s="277" t="s">
        <v>1072</v>
      </c>
      <c r="TOG65" s="277" t="s">
        <v>1072</v>
      </c>
      <c r="TOH65" s="277" t="s">
        <v>1072</v>
      </c>
      <c r="TOI65" s="277" t="s">
        <v>1072</v>
      </c>
      <c r="TOJ65" s="277" t="s">
        <v>1072</v>
      </c>
      <c r="TOK65" s="277" t="s">
        <v>1072</v>
      </c>
      <c r="TOL65" s="277" t="s">
        <v>1072</v>
      </c>
      <c r="TOM65" s="277" t="s">
        <v>1072</v>
      </c>
      <c r="TON65" s="277" t="s">
        <v>1072</v>
      </c>
      <c r="TOO65" s="277" t="s">
        <v>1072</v>
      </c>
      <c r="TOP65" s="277" t="s">
        <v>1072</v>
      </c>
      <c r="TOQ65" s="277" t="s">
        <v>1072</v>
      </c>
      <c r="TOR65" s="277" t="s">
        <v>1072</v>
      </c>
      <c r="TOS65" s="277" t="s">
        <v>1072</v>
      </c>
      <c r="TOT65" s="277" t="s">
        <v>1072</v>
      </c>
      <c r="TOU65" s="277" t="s">
        <v>1072</v>
      </c>
      <c r="TOV65" s="277" t="s">
        <v>1072</v>
      </c>
      <c r="TOW65" s="277" t="s">
        <v>1072</v>
      </c>
      <c r="TOX65" s="277" t="s">
        <v>1072</v>
      </c>
      <c r="TOY65" s="277" t="s">
        <v>1072</v>
      </c>
      <c r="TOZ65" s="277" t="s">
        <v>1072</v>
      </c>
      <c r="TPA65" s="277" t="s">
        <v>1072</v>
      </c>
      <c r="TPB65" s="277" t="s">
        <v>1072</v>
      </c>
      <c r="TPC65" s="277" t="s">
        <v>1072</v>
      </c>
      <c r="TPD65" s="277" t="s">
        <v>1072</v>
      </c>
      <c r="TPE65" s="277" t="s">
        <v>1072</v>
      </c>
      <c r="TPF65" s="277" t="s">
        <v>1072</v>
      </c>
      <c r="TPG65" s="277" t="s">
        <v>1072</v>
      </c>
      <c r="TPH65" s="277" t="s">
        <v>1072</v>
      </c>
      <c r="TPI65" s="277" t="s">
        <v>1072</v>
      </c>
      <c r="TPJ65" s="277" t="s">
        <v>1072</v>
      </c>
      <c r="TPK65" s="277" t="s">
        <v>1072</v>
      </c>
      <c r="TPL65" s="277" t="s">
        <v>1072</v>
      </c>
      <c r="TPM65" s="277" t="s">
        <v>1072</v>
      </c>
      <c r="TPN65" s="277" t="s">
        <v>1072</v>
      </c>
      <c r="TPO65" s="277" t="s">
        <v>1072</v>
      </c>
      <c r="TPP65" s="277" t="s">
        <v>1072</v>
      </c>
      <c r="TPQ65" s="277" t="s">
        <v>1072</v>
      </c>
      <c r="TPR65" s="277" t="s">
        <v>1072</v>
      </c>
      <c r="TPS65" s="277" t="s">
        <v>1072</v>
      </c>
      <c r="TPT65" s="277" t="s">
        <v>1072</v>
      </c>
      <c r="TPU65" s="277" t="s">
        <v>1072</v>
      </c>
      <c r="TPV65" s="277" t="s">
        <v>1072</v>
      </c>
      <c r="TPW65" s="277" t="s">
        <v>1072</v>
      </c>
      <c r="TPX65" s="277" t="s">
        <v>1072</v>
      </c>
      <c r="TPY65" s="277" t="s">
        <v>1072</v>
      </c>
      <c r="TPZ65" s="277" t="s">
        <v>1072</v>
      </c>
      <c r="TQA65" s="277" t="s">
        <v>1072</v>
      </c>
      <c r="TQB65" s="277" t="s">
        <v>1072</v>
      </c>
      <c r="TQC65" s="277" t="s">
        <v>1072</v>
      </c>
      <c r="TQD65" s="277" t="s">
        <v>1072</v>
      </c>
      <c r="TQE65" s="277" t="s">
        <v>1072</v>
      </c>
      <c r="TQF65" s="277" t="s">
        <v>1072</v>
      </c>
      <c r="TQG65" s="277" t="s">
        <v>1072</v>
      </c>
      <c r="TQH65" s="277" t="s">
        <v>1072</v>
      </c>
      <c r="TQI65" s="277" t="s">
        <v>1072</v>
      </c>
      <c r="TQJ65" s="277" t="s">
        <v>1072</v>
      </c>
      <c r="TQK65" s="277" t="s">
        <v>1072</v>
      </c>
      <c r="TQL65" s="277" t="s">
        <v>1072</v>
      </c>
      <c r="TQM65" s="277" t="s">
        <v>1072</v>
      </c>
      <c r="TQN65" s="277" t="s">
        <v>1072</v>
      </c>
      <c r="TQO65" s="277" t="s">
        <v>1072</v>
      </c>
      <c r="TQP65" s="277" t="s">
        <v>1072</v>
      </c>
      <c r="TQQ65" s="277" t="s">
        <v>1072</v>
      </c>
      <c r="TQR65" s="277" t="s">
        <v>1072</v>
      </c>
      <c r="TQS65" s="277" t="s">
        <v>1072</v>
      </c>
      <c r="TQT65" s="277" t="s">
        <v>1072</v>
      </c>
      <c r="TQU65" s="277" t="s">
        <v>1072</v>
      </c>
      <c r="TQV65" s="277" t="s">
        <v>1072</v>
      </c>
      <c r="TQW65" s="277" t="s">
        <v>1072</v>
      </c>
      <c r="TQX65" s="277" t="s">
        <v>1072</v>
      </c>
      <c r="TQY65" s="277" t="s">
        <v>1072</v>
      </c>
      <c r="TQZ65" s="277" t="s">
        <v>1072</v>
      </c>
      <c r="TRA65" s="277" t="s">
        <v>1072</v>
      </c>
      <c r="TRB65" s="277" t="s">
        <v>1072</v>
      </c>
      <c r="TRC65" s="277" t="s">
        <v>1072</v>
      </c>
      <c r="TRD65" s="277" t="s">
        <v>1072</v>
      </c>
      <c r="TRE65" s="277" t="s">
        <v>1072</v>
      </c>
      <c r="TRF65" s="277" t="s">
        <v>1072</v>
      </c>
      <c r="TRG65" s="277" t="s">
        <v>1072</v>
      </c>
      <c r="TRH65" s="277" t="s">
        <v>1072</v>
      </c>
      <c r="TRI65" s="277" t="s">
        <v>1072</v>
      </c>
      <c r="TRJ65" s="277" t="s">
        <v>1072</v>
      </c>
      <c r="TRK65" s="277" t="s">
        <v>1072</v>
      </c>
      <c r="TRL65" s="277" t="s">
        <v>1072</v>
      </c>
      <c r="TRM65" s="277" t="s">
        <v>1072</v>
      </c>
      <c r="TRN65" s="277" t="s">
        <v>1072</v>
      </c>
      <c r="TRO65" s="277" t="s">
        <v>1072</v>
      </c>
      <c r="TRP65" s="277" t="s">
        <v>1072</v>
      </c>
      <c r="TRQ65" s="277" t="s">
        <v>1072</v>
      </c>
      <c r="TRR65" s="277" t="s">
        <v>1072</v>
      </c>
      <c r="TRS65" s="277" t="s">
        <v>1072</v>
      </c>
      <c r="TRT65" s="277" t="s">
        <v>1072</v>
      </c>
      <c r="TRU65" s="277" t="s">
        <v>1072</v>
      </c>
      <c r="TRV65" s="277" t="s">
        <v>1072</v>
      </c>
      <c r="TRW65" s="277" t="s">
        <v>1072</v>
      </c>
      <c r="TRX65" s="277" t="s">
        <v>1072</v>
      </c>
      <c r="TRY65" s="277" t="s">
        <v>1072</v>
      </c>
      <c r="TRZ65" s="277" t="s">
        <v>1072</v>
      </c>
      <c r="TSA65" s="277" t="s">
        <v>1072</v>
      </c>
      <c r="TSB65" s="277" t="s">
        <v>1072</v>
      </c>
      <c r="TSC65" s="277" t="s">
        <v>1072</v>
      </c>
      <c r="TSD65" s="277" t="s">
        <v>1072</v>
      </c>
      <c r="TSE65" s="277" t="s">
        <v>1072</v>
      </c>
      <c r="TSF65" s="277" t="s">
        <v>1072</v>
      </c>
      <c r="TSG65" s="277" t="s">
        <v>1072</v>
      </c>
      <c r="TSH65" s="277" t="s">
        <v>1072</v>
      </c>
      <c r="TSI65" s="277" t="s">
        <v>1072</v>
      </c>
      <c r="TSJ65" s="277" t="s">
        <v>1072</v>
      </c>
      <c r="TSK65" s="277" t="s">
        <v>1072</v>
      </c>
      <c r="TSL65" s="277" t="s">
        <v>1072</v>
      </c>
      <c r="TSM65" s="277" t="s">
        <v>1072</v>
      </c>
      <c r="TSN65" s="277" t="s">
        <v>1072</v>
      </c>
      <c r="TSO65" s="277" t="s">
        <v>1072</v>
      </c>
      <c r="TSP65" s="277" t="s">
        <v>1072</v>
      </c>
      <c r="TSQ65" s="277" t="s">
        <v>1072</v>
      </c>
      <c r="TSR65" s="277" t="s">
        <v>1072</v>
      </c>
      <c r="TSS65" s="277" t="s">
        <v>1072</v>
      </c>
      <c r="TST65" s="277" t="s">
        <v>1072</v>
      </c>
      <c r="TSU65" s="277" t="s">
        <v>1072</v>
      </c>
      <c r="TSV65" s="277" t="s">
        <v>1072</v>
      </c>
      <c r="TSW65" s="277" t="s">
        <v>1072</v>
      </c>
      <c r="TSX65" s="277" t="s">
        <v>1072</v>
      </c>
      <c r="TSY65" s="277" t="s">
        <v>1072</v>
      </c>
      <c r="TSZ65" s="277" t="s">
        <v>1072</v>
      </c>
      <c r="TTA65" s="277" t="s">
        <v>1072</v>
      </c>
      <c r="TTB65" s="277" t="s">
        <v>1072</v>
      </c>
      <c r="TTC65" s="277" t="s">
        <v>1072</v>
      </c>
      <c r="TTD65" s="277" t="s">
        <v>1072</v>
      </c>
      <c r="TTE65" s="277" t="s">
        <v>1072</v>
      </c>
      <c r="TTF65" s="277" t="s">
        <v>1072</v>
      </c>
      <c r="TTG65" s="277" t="s">
        <v>1072</v>
      </c>
      <c r="TTH65" s="277" t="s">
        <v>1072</v>
      </c>
      <c r="TTI65" s="277" t="s">
        <v>1072</v>
      </c>
      <c r="TTJ65" s="277" t="s">
        <v>1072</v>
      </c>
      <c r="TTK65" s="277" t="s">
        <v>1072</v>
      </c>
      <c r="TTL65" s="277" t="s">
        <v>1072</v>
      </c>
      <c r="TTM65" s="277" t="s">
        <v>1072</v>
      </c>
      <c r="TTN65" s="277" t="s">
        <v>1072</v>
      </c>
      <c r="TTO65" s="277" t="s">
        <v>1072</v>
      </c>
      <c r="TTP65" s="277" t="s">
        <v>1072</v>
      </c>
      <c r="TTQ65" s="277" t="s">
        <v>1072</v>
      </c>
      <c r="TTR65" s="277" t="s">
        <v>1072</v>
      </c>
      <c r="TTS65" s="277" t="s">
        <v>1072</v>
      </c>
      <c r="TTT65" s="277" t="s">
        <v>1072</v>
      </c>
      <c r="TTU65" s="277" t="s">
        <v>1072</v>
      </c>
      <c r="TTV65" s="277" t="s">
        <v>1072</v>
      </c>
      <c r="TTW65" s="277" t="s">
        <v>1072</v>
      </c>
      <c r="TTX65" s="277" t="s">
        <v>1072</v>
      </c>
      <c r="TTY65" s="277" t="s">
        <v>1072</v>
      </c>
      <c r="TTZ65" s="277" t="s">
        <v>1072</v>
      </c>
      <c r="TUA65" s="277" t="s">
        <v>1072</v>
      </c>
      <c r="TUB65" s="277" t="s">
        <v>1072</v>
      </c>
      <c r="TUC65" s="277" t="s">
        <v>1072</v>
      </c>
      <c r="TUD65" s="277" t="s">
        <v>1072</v>
      </c>
      <c r="TUE65" s="277" t="s">
        <v>1072</v>
      </c>
      <c r="TUF65" s="277" t="s">
        <v>1072</v>
      </c>
      <c r="TUG65" s="277" t="s">
        <v>1072</v>
      </c>
      <c r="TUH65" s="277" t="s">
        <v>1072</v>
      </c>
      <c r="TUI65" s="277" t="s">
        <v>1072</v>
      </c>
      <c r="TUJ65" s="277" t="s">
        <v>1072</v>
      </c>
      <c r="TUK65" s="277" t="s">
        <v>1072</v>
      </c>
      <c r="TUL65" s="277" t="s">
        <v>1072</v>
      </c>
      <c r="TUM65" s="277" t="s">
        <v>1072</v>
      </c>
      <c r="TUN65" s="277" t="s">
        <v>1072</v>
      </c>
      <c r="TUO65" s="277" t="s">
        <v>1072</v>
      </c>
      <c r="TUP65" s="277" t="s">
        <v>1072</v>
      </c>
      <c r="TUQ65" s="277" t="s">
        <v>1072</v>
      </c>
      <c r="TUR65" s="277" t="s">
        <v>1072</v>
      </c>
      <c r="TUS65" s="277" t="s">
        <v>1072</v>
      </c>
      <c r="TUT65" s="277" t="s">
        <v>1072</v>
      </c>
      <c r="TUU65" s="277" t="s">
        <v>1072</v>
      </c>
      <c r="TUV65" s="277" t="s">
        <v>1072</v>
      </c>
      <c r="TUW65" s="277" t="s">
        <v>1072</v>
      </c>
      <c r="TUX65" s="277" t="s">
        <v>1072</v>
      </c>
      <c r="TUY65" s="277" t="s">
        <v>1072</v>
      </c>
      <c r="TUZ65" s="277" t="s">
        <v>1072</v>
      </c>
      <c r="TVA65" s="277" t="s">
        <v>1072</v>
      </c>
      <c r="TVB65" s="277" t="s">
        <v>1072</v>
      </c>
      <c r="TVC65" s="277" t="s">
        <v>1072</v>
      </c>
      <c r="TVD65" s="277" t="s">
        <v>1072</v>
      </c>
      <c r="TVE65" s="277" t="s">
        <v>1072</v>
      </c>
      <c r="TVF65" s="277" t="s">
        <v>1072</v>
      </c>
      <c r="TVG65" s="277" t="s">
        <v>1072</v>
      </c>
      <c r="TVH65" s="277" t="s">
        <v>1072</v>
      </c>
      <c r="TVI65" s="277" t="s">
        <v>1072</v>
      </c>
      <c r="TVJ65" s="277" t="s">
        <v>1072</v>
      </c>
      <c r="TVK65" s="277" t="s">
        <v>1072</v>
      </c>
      <c r="TVL65" s="277" t="s">
        <v>1072</v>
      </c>
      <c r="TVM65" s="277" t="s">
        <v>1072</v>
      </c>
      <c r="TVN65" s="277" t="s">
        <v>1072</v>
      </c>
      <c r="TVO65" s="277" t="s">
        <v>1072</v>
      </c>
      <c r="TVP65" s="277" t="s">
        <v>1072</v>
      </c>
      <c r="TVQ65" s="277" t="s">
        <v>1072</v>
      </c>
      <c r="TVR65" s="277" t="s">
        <v>1072</v>
      </c>
      <c r="TVS65" s="277" t="s">
        <v>1072</v>
      </c>
      <c r="TVT65" s="277" t="s">
        <v>1072</v>
      </c>
      <c r="TVU65" s="277" t="s">
        <v>1072</v>
      </c>
      <c r="TVV65" s="277" t="s">
        <v>1072</v>
      </c>
      <c r="TVW65" s="277" t="s">
        <v>1072</v>
      </c>
      <c r="TVX65" s="277" t="s">
        <v>1072</v>
      </c>
      <c r="TVY65" s="277" t="s">
        <v>1072</v>
      </c>
      <c r="TVZ65" s="277" t="s">
        <v>1072</v>
      </c>
      <c r="TWA65" s="277" t="s">
        <v>1072</v>
      </c>
      <c r="TWB65" s="277" t="s">
        <v>1072</v>
      </c>
      <c r="TWC65" s="277" t="s">
        <v>1072</v>
      </c>
      <c r="TWD65" s="277" t="s">
        <v>1072</v>
      </c>
      <c r="TWE65" s="277" t="s">
        <v>1072</v>
      </c>
      <c r="TWF65" s="277" t="s">
        <v>1072</v>
      </c>
      <c r="TWG65" s="277" t="s">
        <v>1072</v>
      </c>
      <c r="TWH65" s="277" t="s">
        <v>1072</v>
      </c>
      <c r="TWI65" s="277" t="s">
        <v>1072</v>
      </c>
      <c r="TWJ65" s="277" t="s">
        <v>1072</v>
      </c>
      <c r="TWK65" s="277" t="s">
        <v>1072</v>
      </c>
      <c r="TWL65" s="277" t="s">
        <v>1072</v>
      </c>
      <c r="TWM65" s="277" t="s">
        <v>1072</v>
      </c>
      <c r="TWN65" s="277" t="s">
        <v>1072</v>
      </c>
      <c r="TWO65" s="277" t="s">
        <v>1072</v>
      </c>
      <c r="TWP65" s="277" t="s">
        <v>1072</v>
      </c>
      <c r="TWQ65" s="277" t="s">
        <v>1072</v>
      </c>
      <c r="TWR65" s="277" t="s">
        <v>1072</v>
      </c>
      <c r="TWS65" s="277" t="s">
        <v>1072</v>
      </c>
      <c r="TWT65" s="277" t="s">
        <v>1072</v>
      </c>
      <c r="TWU65" s="277" t="s">
        <v>1072</v>
      </c>
      <c r="TWV65" s="277" t="s">
        <v>1072</v>
      </c>
      <c r="TWW65" s="277" t="s">
        <v>1072</v>
      </c>
      <c r="TWX65" s="277" t="s">
        <v>1072</v>
      </c>
      <c r="TWY65" s="277" t="s">
        <v>1072</v>
      </c>
      <c r="TWZ65" s="277" t="s">
        <v>1072</v>
      </c>
      <c r="TXA65" s="277" t="s">
        <v>1072</v>
      </c>
      <c r="TXB65" s="277" t="s">
        <v>1072</v>
      </c>
      <c r="TXC65" s="277" t="s">
        <v>1072</v>
      </c>
      <c r="TXD65" s="277" t="s">
        <v>1072</v>
      </c>
      <c r="TXE65" s="277" t="s">
        <v>1072</v>
      </c>
      <c r="TXF65" s="277" t="s">
        <v>1072</v>
      </c>
      <c r="TXG65" s="277" t="s">
        <v>1072</v>
      </c>
      <c r="TXH65" s="277" t="s">
        <v>1072</v>
      </c>
      <c r="TXI65" s="277" t="s">
        <v>1072</v>
      </c>
      <c r="TXJ65" s="277" t="s">
        <v>1072</v>
      </c>
      <c r="TXK65" s="277" t="s">
        <v>1072</v>
      </c>
      <c r="TXL65" s="277" t="s">
        <v>1072</v>
      </c>
      <c r="TXM65" s="277" t="s">
        <v>1072</v>
      </c>
      <c r="TXN65" s="277" t="s">
        <v>1072</v>
      </c>
      <c r="TXO65" s="277" t="s">
        <v>1072</v>
      </c>
      <c r="TXP65" s="277" t="s">
        <v>1072</v>
      </c>
      <c r="TXQ65" s="277" t="s">
        <v>1072</v>
      </c>
      <c r="TXR65" s="277" t="s">
        <v>1072</v>
      </c>
      <c r="TXS65" s="277" t="s">
        <v>1072</v>
      </c>
      <c r="TXT65" s="277" t="s">
        <v>1072</v>
      </c>
      <c r="TXU65" s="277" t="s">
        <v>1072</v>
      </c>
      <c r="TXV65" s="277" t="s">
        <v>1072</v>
      </c>
      <c r="TXW65" s="277" t="s">
        <v>1072</v>
      </c>
      <c r="TXX65" s="277" t="s">
        <v>1072</v>
      </c>
      <c r="TXY65" s="277" t="s">
        <v>1072</v>
      </c>
      <c r="TXZ65" s="277" t="s">
        <v>1072</v>
      </c>
      <c r="TYA65" s="277" t="s">
        <v>1072</v>
      </c>
      <c r="TYB65" s="277" t="s">
        <v>1072</v>
      </c>
      <c r="TYC65" s="277" t="s">
        <v>1072</v>
      </c>
      <c r="TYD65" s="277" t="s">
        <v>1072</v>
      </c>
      <c r="TYE65" s="277" t="s">
        <v>1072</v>
      </c>
      <c r="TYF65" s="277" t="s">
        <v>1072</v>
      </c>
      <c r="TYG65" s="277" t="s">
        <v>1072</v>
      </c>
      <c r="TYH65" s="277" t="s">
        <v>1072</v>
      </c>
      <c r="TYI65" s="277" t="s">
        <v>1072</v>
      </c>
      <c r="TYJ65" s="277" t="s">
        <v>1072</v>
      </c>
      <c r="TYK65" s="277" t="s">
        <v>1072</v>
      </c>
      <c r="TYL65" s="277" t="s">
        <v>1072</v>
      </c>
      <c r="TYM65" s="277" t="s">
        <v>1072</v>
      </c>
      <c r="TYN65" s="277" t="s">
        <v>1072</v>
      </c>
      <c r="TYO65" s="277" t="s">
        <v>1072</v>
      </c>
      <c r="TYP65" s="277" t="s">
        <v>1072</v>
      </c>
      <c r="TYQ65" s="277" t="s">
        <v>1072</v>
      </c>
      <c r="TYR65" s="277" t="s">
        <v>1072</v>
      </c>
      <c r="TYS65" s="277" t="s">
        <v>1072</v>
      </c>
      <c r="TYT65" s="277" t="s">
        <v>1072</v>
      </c>
      <c r="TYU65" s="277" t="s">
        <v>1072</v>
      </c>
      <c r="TYV65" s="277" t="s">
        <v>1072</v>
      </c>
      <c r="TYW65" s="277" t="s">
        <v>1072</v>
      </c>
      <c r="TYX65" s="277" t="s">
        <v>1072</v>
      </c>
      <c r="TYY65" s="277" t="s">
        <v>1072</v>
      </c>
      <c r="TYZ65" s="277" t="s">
        <v>1072</v>
      </c>
      <c r="TZA65" s="277" t="s">
        <v>1072</v>
      </c>
      <c r="TZB65" s="277" t="s">
        <v>1072</v>
      </c>
      <c r="TZC65" s="277" t="s">
        <v>1072</v>
      </c>
      <c r="TZD65" s="277" t="s">
        <v>1072</v>
      </c>
      <c r="TZE65" s="277" t="s">
        <v>1072</v>
      </c>
      <c r="TZF65" s="277" t="s">
        <v>1072</v>
      </c>
      <c r="TZG65" s="277" t="s">
        <v>1072</v>
      </c>
      <c r="TZH65" s="277" t="s">
        <v>1072</v>
      </c>
      <c r="TZI65" s="277" t="s">
        <v>1072</v>
      </c>
      <c r="TZJ65" s="277" t="s">
        <v>1072</v>
      </c>
      <c r="TZK65" s="277" t="s">
        <v>1072</v>
      </c>
      <c r="TZL65" s="277" t="s">
        <v>1072</v>
      </c>
      <c r="TZM65" s="277" t="s">
        <v>1072</v>
      </c>
      <c r="TZN65" s="277" t="s">
        <v>1072</v>
      </c>
      <c r="TZO65" s="277" t="s">
        <v>1072</v>
      </c>
      <c r="TZP65" s="277" t="s">
        <v>1072</v>
      </c>
      <c r="TZQ65" s="277" t="s">
        <v>1072</v>
      </c>
      <c r="TZR65" s="277" t="s">
        <v>1072</v>
      </c>
      <c r="TZS65" s="277" t="s">
        <v>1072</v>
      </c>
      <c r="TZT65" s="277" t="s">
        <v>1072</v>
      </c>
      <c r="TZU65" s="277" t="s">
        <v>1072</v>
      </c>
      <c r="TZV65" s="277" t="s">
        <v>1072</v>
      </c>
      <c r="TZW65" s="277" t="s">
        <v>1072</v>
      </c>
      <c r="TZX65" s="277" t="s">
        <v>1072</v>
      </c>
      <c r="TZY65" s="277" t="s">
        <v>1072</v>
      </c>
      <c r="TZZ65" s="277" t="s">
        <v>1072</v>
      </c>
      <c r="UAA65" s="277" t="s">
        <v>1072</v>
      </c>
      <c r="UAB65" s="277" t="s">
        <v>1072</v>
      </c>
      <c r="UAC65" s="277" t="s">
        <v>1072</v>
      </c>
      <c r="UAD65" s="277" t="s">
        <v>1072</v>
      </c>
      <c r="UAE65" s="277" t="s">
        <v>1072</v>
      </c>
      <c r="UAF65" s="277" t="s">
        <v>1072</v>
      </c>
      <c r="UAG65" s="277" t="s">
        <v>1072</v>
      </c>
      <c r="UAH65" s="277" t="s">
        <v>1072</v>
      </c>
      <c r="UAI65" s="277" t="s">
        <v>1072</v>
      </c>
      <c r="UAJ65" s="277" t="s">
        <v>1072</v>
      </c>
      <c r="UAK65" s="277" t="s">
        <v>1072</v>
      </c>
      <c r="UAL65" s="277" t="s">
        <v>1072</v>
      </c>
      <c r="UAM65" s="277" t="s">
        <v>1072</v>
      </c>
      <c r="UAN65" s="277" t="s">
        <v>1072</v>
      </c>
      <c r="UAO65" s="277" t="s">
        <v>1072</v>
      </c>
      <c r="UAP65" s="277" t="s">
        <v>1072</v>
      </c>
      <c r="UAQ65" s="277" t="s">
        <v>1072</v>
      </c>
      <c r="UAR65" s="277" t="s">
        <v>1072</v>
      </c>
      <c r="UAS65" s="277" t="s">
        <v>1072</v>
      </c>
      <c r="UAT65" s="277" t="s">
        <v>1072</v>
      </c>
      <c r="UAU65" s="277" t="s">
        <v>1072</v>
      </c>
      <c r="UAV65" s="277" t="s">
        <v>1072</v>
      </c>
      <c r="UAW65" s="277" t="s">
        <v>1072</v>
      </c>
      <c r="UAX65" s="277" t="s">
        <v>1072</v>
      </c>
      <c r="UAY65" s="277" t="s">
        <v>1072</v>
      </c>
      <c r="UAZ65" s="277" t="s">
        <v>1072</v>
      </c>
      <c r="UBA65" s="277" t="s">
        <v>1072</v>
      </c>
      <c r="UBB65" s="277" t="s">
        <v>1072</v>
      </c>
      <c r="UBC65" s="277" t="s">
        <v>1072</v>
      </c>
      <c r="UBD65" s="277" t="s">
        <v>1072</v>
      </c>
      <c r="UBE65" s="277" t="s">
        <v>1072</v>
      </c>
      <c r="UBF65" s="277" t="s">
        <v>1072</v>
      </c>
      <c r="UBG65" s="277" t="s">
        <v>1072</v>
      </c>
      <c r="UBH65" s="277" t="s">
        <v>1072</v>
      </c>
      <c r="UBI65" s="277" t="s">
        <v>1072</v>
      </c>
      <c r="UBJ65" s="277" t="s">
        <v>1072</v>
      </c>
      <c r="UBK65" s="277" t="s">
        <v>1072</v>
      </c>
      <c r="UBL65" s="277" t="s">
        <v>1072</v>
      </c>
      <c r="UBM65" s="277" t="s">
        <v>1072</v>
      </c>
      <c r="UBN65" s="277" t="s">
        <v>1072</v>
      </c>
      <c r="UBO65" s="277" t="s">
        <v>1072</v>
      </c>
      <c r="UBP65" s="277" t="s">
        <v>1072</v>
      </c>
      <c r="UBQ65" s="277" t="s">
        <v>1072</v>
      </c>
      <c r="UBR65" s="277" t="s">
        <v>1072</v>
      </c>
      <c r="UBS65" s="277" t="s">
        <v>1072</v>
      </c>
      <c r="UBT65" s="277" t="s">
        <v>1072</v>
      </c>
      <c r="UBU65" s="277" t="s">
        <v>1072</v>
      </c>
      <c r="UBV65" s="277" t="s">
        <v>1072</v>
      </c>
      <c r="UBW65" s="277" t="s">
        <v>1072</v>
      </c>
      <c r="UBX65" s="277" t="s">
        <v>1072</v>
      </c>
      <c r="UBY65" s="277" t="s">
        <v>1072</v>
      </c>
      <c r="UBZ65" s="277" t="s">
        <v>1072</v>
      </c>
      <c r="UCA65" s="277" t="s">
        <v>1072</v>
      </c>
      <c r="UCB65" s="277" t="s">
        <v>1072</v>
      </c>
      <c r="UCC65" s="277" t="s">
        <v>1072</v>
      </c>
      <c r="UCD65" s="277" t="s">
        <v>1072</v>
      </c>
      <c r="UCE65" s="277" t="s">
        <v>1072</v>
      </c>
      <c r="UCF65" s="277" t="s">
        <v>1072</v>
      </c>
      <c r="UCG65" s="277" t="s">
        <v>1072</v>
      </c>
      <c r="UCH65" s="277" t="s">
        <v>1072</v>
      </c>
      <c r="UCI65" s="277" t="s">
        <v>1072</v>
      </c>
      <c r="UCJ65" s="277" t="s">
        <v>1072</v>
      </c>
      <c r="UCK65" s="277" t="s">
        <v>1072</v>
      </c>
      <c r="UCL65" s="277" t="s">
        <v>1072</v>
      </c>
      <c r="UCM65" s="277" t="s">
        <v>1072</v>
      </c>
      <c r="UCN65" s="277" t="s">
        <v>1072</v>
      </c>
      <c r="UCO65" s="277" t="s">
        <v>1072</v>
      </c>
      <c r="UCP65" s="277" t="s">
        <v>1072</v>
      </c>
      <c r="UCQ65" s="277" t="s">
        <v>1072</v>
      </c>
      <c r="UCR65" s="277" t="s">
        <v>1072</v>
      </c>
      <c r="UCS65" s="277" t="s">
        <v>1072</v>
      </c>
      <c r="UCT65" s="277" t="s">
        <v>1072</v>
      </c>
      <c r="UCU65" s="277" t="s">
        <v>1072</v>
      </c>
      <c r="UCV65" s="277" t="s">
        <v>1072</v>
      </c>
      <c r="UCW65" s="277" t="s">
        <v>1072</v>
      </c>
      <c r="UCX65" s="277" t="s">
        <v>1072</v>
      </c>
      <c r="UCY65" s="277" t="s">
        <v>1072</v>
      </c>
      <c r="UCZ65" s="277" t="s">
        <v>1072</v>
      </c>
      <c r="UDA65" s="277" t="s">
        <v>1072</v>
      </c>
      <c r="UDB65" s="277" t="s">
        <v>1072</v>
      </c>
      <c r="UDC65" s="277" t="s">
        <v>1072</v>
      </c>
      <c r="UDD65" s="277" t="s">
        <v>1072</v>
      </c>
      <c r="UDE65" s="277" t="s">
        <v>1072</v>
      </c>
      <c r="UDF65" s="277" t="s">
        <v>1072</v>
      </c>
      <c r="UDG65" s="277" t="s">
        <v>1072</v>
      </c>
      <c r="UDH65" s="277" t="s">
        <v>1072</v>
      </c>
      <c r="UDI65" s="277" t="s">
        <v>1072</v>
      </c>
      <c r="UDJ65" s="277" t="s">
        <v>1072</v>
      </c>
      <c r="UDK65" s="277" t="s">
        <v>1072</v>
      </c>
      <c r="UDL65" s="277" t="s">
        <v>1072</v>
      </c>
      <c r="UDM65" s="277" t="s">
        <v>1072</v>
      </c>
      <c r="UDN65" s="277" t="s">
        <v>1072</v>
      </c>
      <c r="UDO65" s="277" t="s">
        <v>1072</v>
      </c>
      <c r="UDP65" s="277" t="s">
        <v>1072</v>
      </c>
      <c r="UDQ65" s="277" t="s">
        <v>1072</v>
      </c>
      <c r="UDR65" s="277" t="s">
        <v>1072</v>
      </c>
      <c r="UDS65" s="277" t="s">
        <v>1072</v>
      </c>
      <c r="UDT65" s="277" t="s">
        <v>1072</v>
      </c>
      <c r="UDU65" s="277" t="s">
        <v>1072</v>
      </c>
      <c r="UDV65" s="277" t="s">
        <v>1072</v>
      </c>
      <c r="UDW65" s="277" t="s">
        <v>1072</v>
      </c>
      <c r="UDX65" s="277" t="s">
        <v>1072</v>
      </c>
      <c r="UDY65" s="277" t="s">
        <v>1072</v>
      </c>
      <c r="UDZ65" s="277" t="s">
        <v>1072</v>
      </c>
      <c r="UEA65" s="277" t="s">
        <v>1072</v>
      </c>
      <c r="UEB65" s="277" t="s">
        <v>1072</v>
      </c>
      <c r="UEC65" s="277" t="s">
        <v>1072</v>
      </c>
      <c r="UED65" s="277" t="s">
        <v>1072</v>
      </c>
      <c r="UEE65" s="277" t="s">
        <v>1072</v>
      </c>
      <c r="UEF65" s="277" t="s">
        <v>1072</v>
      </c>
      <c r="UEG65" s="277" t="s">
        <v>1072</v>
      </c>
      <c r="UEH65" s="277" t="s">
        <v>1072</v>
      </c>
      <c r="UEI65" s="277" t="s">
        <v>1072</v>
      </c>
      <c r="UEJ65" s="277" t="s">
        <v>1072</v>
      </c>
      <c r="UEK65" s="277" t="s">
        <v>1072</v>
      </c>
      <c r="UEL65" s="277" t="s">
        <v>1072</v>
      </c>
      <c r="UEM65" s="277" t="s">
        <v>1072</v>
      </c>
      <c r="UEN65" s="277" t="s">
        <v>1072</v>
      </c>
      <c r="UEO65" s="277" t="s">
        <v>1072</v>
      </c>
      <c r="UEP65" s="277" t="s">
        <v>1072</v>
      </c>
      <c r="UEQ65" s="277" t="s">
        <v>1072</v>
      </c>
      <c r="UER65" s="277" t="s">
        <v>1072</v>
      </c>
      <c r="UES65" s="277" t="s">
        <v>1072</v>
      </c>
      <c r="UET65" s="277" t="s">
        <v>1072</v>
      </c>
      <c r="UEU65" s="277" t="s">
        <v>1072</v>
      </c>
      <c r="UEV65" s="277" t="s">
        <v>1072</v>
      </c>
      <c r="UEW65" s="277" t="s">
        <v>1072</v>
      </c>
      <c r="UEX65" s="277" t="s">
        <v>1072</v>
      </c>
      <c r="UEY65" s="277" t="s">
        <v>1072</v>
      </c>
      <c r="UEZ65" s="277" t="s">
        <v>1072</v>
      </c>
      <c r="UFA65" s="277" t="s">
        <v>1072</v>
      </c>
      <c r="UFB65" s="277" t="s">
        <v>1072</v>
      </c>
      <c r="UFC65" s="277" t="s">
        <v>1072</v>
      </c>
      <c r="UFD65" s="277" t="s">
        <v>1072</v>
      </c>
      <c r="UFE65" s="277" t="s">
        <v>1072</v>
      </c>
      <c r="UFF65" s="277" t="s">
        <v>1072</v>
      </c>
      <c r="UFG65" s="277" t="s">
        <v>1072</v>
      </c>
      <c r="UFH65" s="277" t="s">
        <v>1072</v>
      </c>
      <c r="UFI65" s="277" t="s">
        <v>1072</v>
      </c>
      <c r="UFJ65" s="277" t="s">
        <v>1072</v>
      </c>
      <c r="UFK65" s="277" t="s">
        <v>1072</v>
      </c>
      <c r="UFL65" s="277" t="s">
        <v>1072</v>
      </c>
      <c r="UFM65" s="277" t="s">
        <v>1072</v>
      </c>
      <c r="UFN65" s="277" t="s">
        <v>1072</v>
      </c>
      <c r="UFO65" s="277" t="s">
        <v>1072</v>
      </c>
      <c r="UFP65" s="277" t="s">
        <v>1072</v>
      </c>
      <c r="UFQ65" s="277" t="s">
        <v>1072</v>
      </c>
      <c r="UFR65" s="277" t="s">
        <v>1072</v>
      </c>
      <c r="UFS65" s="277" t="s">
        <v>1072</v>
      </c>
      <c r="UFT65" s="277" t="s">
        <v>1072</v>
      </c>
      <c r="UFU65" s="277" t="s">
        <v>1072</v>
      </c>
      <c r="UFV65" s="277" t="s">
        <v>1072</v>
      </c>
      <c r="UFW65" s="277" t="s">
        <v>1072</v>
      </c>
      <c r="UFX65" s="277" t="s">
        <v>1072</v>
      </c>
      <c r="UFY65" s="277" t="s">
        <v>1072</v>
      </c>
      <c r="UFZ65" s="277" t="s">
        <v>1072</v>
      </c>
      <c r="UGA65" s="277" t="s">
        <v>1072</v>
      </c>
      <c r="UGB65" s="277" t="s">
        <v>1072</v>
      </c>
      <c r="UGC65" s="277" t="s">
        <v>1072</v>
      </c>
      <c r="UGD65" s="277" t="s">
        <v>1072</v>
      </c>
      <c r="UGE65" s="277" t="s">
        <v>1072</v>
      </c>
      <c r="UGF65" s="277" t="s">
        <v>1072</v>
      </c>
      <c r="UGG65" s="277" t="s">
        <v>1072</v>
      </c>
      <c r="UGH65" s="277" t="s">
        <v>1072</v>
      </c>
      <c r="UGI65" s="277" t="s">
        <v>1072</v>
      </c>
      <c r="UGJ65" s="277" t="s">
        <v>1072</v>
      </c>
      <c r="UGK65" s="277" t="s">
        <v>1072</v>
      </c>
      <c r="UGL65" s="277" t="s">
        <v>1072</v>
      </c>
      <c r="UGM65" s="277" t="s">
        <v>1072</v>
      </c>
      <c r="UGN65" s="277" t="s">
        <v>1072</v>
      </c>
      <c r="UGO65" s="277" t="s">
        <v>1072</v>
      </c>
      <c r="UGP65" s="277" t="s">
        <v>1072</v>
      </c>
      <c r="UGQ65" s="277" t="s">
        <v>1072</v>
      </c>
      <c r="UGR65" s="277" t="s">
        <v>1072</v>
      </c>
      <c r="UGS65" s="277" t="s">
        <v>1072</v>
      </c>
      <c r="UGT65" s="277" t="s">
        <v>1072</v>
      </c>
      <c r="UGU65" s="277" t="s">
        <v>1072</v>
      </c>
      <c r="UGV65" s="277" t="s">
        <v>1072</v>
      </c>
      <c r="UGW65" s="277" t="s">
        <v>1072</v>
      </c>
      <c r="UGX65" s="277" t="s">
        <v>1072</v>
      </c>
      <c r="UGY65" s="277" t="s">
        <v>1072</v>
      </c>
      <c r="UGZ65" s="277" t="s">
        <v>1072</v>
      </c>
      <c r="UHA65" s="277" t="s">
        <v>1072</v>
      </c>
      <c r="UHB65" s="277" t="s">
        <v>1072</v>
      </c>
      <c r="UHC65" s="277" t="s">
        <v>1072</v>
      </c>
      <c r="UHD65" s="277" t="s">
        <v>1072</v>
      </c>
      <c r="UHE65" s="277" t="s">
        <v>1072</v>
      </c>
      <c r="UHF65" s="277" t="s">
        <v>1072</v>
      </c>
      <c r="UHG65" s="277" t="s">
        <v>1072</v>
      </c>
      <c r="UHH65" s="277" t="s">
        <v>1072</v>
      </c>
      <c r="UHI65" s="277" t="s">
        <v>1072</v>
      </c>
      <c r="UHJ65" s="277" t="s">
        <v>1072</v>
      </c>
      <c r="UHK65" s="277" t="s">
        <v>1072</v>
      </c>
      <c r="UHL65" s="277" t="s">
        <v>1072</v>
      </c>
      <c r="UHM65" s="277" t="s">
        <v>1072</v>
      </c>
      <c r="UHN65" s="277" t="s">
        <v>1072</v>
      </c>
      <c r="UHO65" s="277" t="s">
        <v>1072</v>
      </c>
      <c r="UHP65" s="277" t="s">
        <v>1072</v>
      </c>
      <c r="UHQ65" s="277" t="s">
        <v>1072</v>
      </c>
      <c r="UHR65" s="277" t="s">
        <v>1072</v>
      </c>
      <c r="UHS65" s="277" t="s">
        <v>1072</v>
      </c>
      <c r="UHT65" s="277" t="s">
        <v>1072</v>
      </c>
      <c r="UHU65" s="277" t="s">
        <v>1072</v>
      </c>
      <c r="UHV65" s="277" t="s">
        <v>1072</v>
      </c>
      <c r="UHW65" s="277" t="s">
        <v>1072</v>
      </c>
      <c r="UHX65" s="277" t="s">
        <v>1072</v>
      </c>
      <c r="UHY65" s="277" t="s">
        <v>1072</v>
      </c>
      <c r="UHZ65" s="277" t="s">
        <v>1072</v>
      </c>
      <c r="UIA65" s="277" t="s">
        <v>1072</v>
      </c>
      <c r="UIB65" s="277" t="s">
        <v>1072</v>
      </c>
      <c r="UIC65" s="277" t="s">
        <v>1072</v>
      </c>
      <c r="UID65" s="277" t="s">
        <v>1072</v>
      </c>
      <c r="UIE65" s="277" t="s">
        <v>1072</v>
      </c>
      <c r="UIF65" s="277" t="s">
        <v>1072</v>
      </c>
      <c r="UIG65" s="277" t="s">
        <v>1072</v>
      </c>
      <c r="UIH65" s="277" t="s">
        <v>1072</v>
      </c>
      <c r="UII65" s="277" t="s">
        <v>1072</v>
      </c>
      <c r="UIJ65" s="277" t="s">
        <v>1072</v>
      </c>
      <c r="UIK65" s="277" t="s">
        <v>1072</v>
      </c>
      <c r="UIL65" s="277" t="s">
        <v>1072</v>
      </c>
      <c r="UIM65" s="277" t="s">
        <v>1072</v>
      </c>
      <c r="UIN65" s="277" t="s">
        <v>1072</v>
      </c>
      <c r="UIO65" s="277" t="s">
        <v>1072</v>
      </c>
      <c r="UIP65" s="277" t="s">
        <v>1072</v>
      </c>
      <c r="UIQ65" s="277" t="s">
        <v>1072</v>
      </c>
      <c r="UIR65" s="277" t="s">
        <v>1072</v>
      </c>
      <c r="UIS65" s="277" t="s">
        <v>1072</v>
      </c>
      <c r="UIT65" s="277" t="s">
        <v>1072</v>
      </c>
      <c r="UIU65" s="277" t="s">
        <v>1072</v>
      </c>
      <c r="UIV65" s="277" t="s">
        <v>1072</v>
      </c>
      <c r="UIW65" s="277" t="s">
        <v>1072</v>
      </c>
      <c r="UIX65" s="277" t="s">
        <v>1072</v>
      </c>
      <c r="UIY65" s="277" t="s">
        <v>1072</v>
      </c>
      <c r="UIZ65" s="277" t="s">
        <v>1072</v>
      </c>
      <c r="UJA65" s="277" t="s">
        <v>1072</v>
      </c>
      <c r="UJB65" s="277" t="s">
        <v>1072</v>
      </c>
      <c r="UJC65" s="277" t="s">
        <v>1072</v>
      </c>
      <c r="UJD65" s="277" t="s">
        <v>1072</v>
      </c>
      <c r="UJE65" s="277" t="s">
        <v>1072</v>
      </c>
      <c r="UJF65" s="277" t="s">
        <v>1072</v>
      </c>
      <c r="UJG65" s="277" t="s">
        <v>1072</v>
      </c>
      <c r="UJH65" s="277" t="s">
        <v>1072</v>
      </c>
      <c r="UJI65" s="277" t="s">
        <v>1072</v>
      </c>
      <c r="UJJ65" s="277" t="s">
        <v>1072</v>
      </c>
      <c r="UJK65" s="277" t="s">
        <v>1072</v>
      </c>
      <c r="UJL65" s="277" t="s">
        <v>1072</v>
      </c>
      <c r="UJM65" s="277" t="s">
        <v>1072</v>
      </c>
      <c r="UJN65" s="277" t="s">
        <v>1072</v>
      </c>
      <c r="UJO65" s="277" t="s">
        <v>1072</v>
      </c>
      <c r="UJP65" s="277" t="s">
        <v>1072</v>
      </c>
      <c r="UJQ65" s="277" t="s">
        <v>1072</v>
      </c>
      <c r="UJR65" s="277" t="s">
        <v>1072</v>
      </c>
      <c r="UJS65" s="277" t="s">
        <v>1072</v>
      </c>
      <c r="UJT65" s="277" t="s">
        <v>1072</v>
      </c>
      <c r="UJU65" s="277" t="s">
        <v>1072</v>
      </c>
      <c r="UJV65" s="277" t="s">
        <v>1072</v>
      </c>
      <c r="UJW65" s="277" t="s">
        <v>1072</v>
      </c>
      <c r="UJX65" s="277" t="s">
        <v>1072</v>
      </c>
      <c r="UJY65" s="277" t="s">
        <v>1072</v>
      </c>
      <c r="UJZ65" s="277" t="s">
        <v>1072</v>
      </c>
      <c r="UKA65" s="277" t="s">
        <v>1072</v>
      </c>
      <c r="UKB65" s="277" t="s">
        <v>1072</v>
      </c>
      <c r="UKC65" s="277" t="s">
        <v>1072</v>
      </c>
      <c r="UKD65" s="277" t="s">
        <v>1072</v>
      </c>
      <c r="UKE65" s="277" t="s">
        <v>1072</v>
      </c>
      <c r="UKF65" s="277" t="s">
        <v>1072</v>
      </c>
      <c r="UKG65" s="277" t="s">
        <v>1072</v>
      </c>
      <c r="UKH65" s="277" t="s">
        <v>1072</v>
      </c>
      <c r="UKI65" s="277" t="s">
        <v>1072</v>
      </c>
      <c r="UKJ65" s="277" t="s">
        <v>1072</v>
      </c>
      <c r="UKK65" s="277" t="s">
        <v>1072</v>
      </c>
      <c r="UKL65" s="277" t="s">
        <v>1072</v>
      </c>
      <c r="UKM65" s="277" t="s">
        <v>1072</v>
      </c>
      <c r="UKN65" s="277" t="s">
        <v>1072</v>
      </c>
      <c r="UKO65" s="277" t="s">
        <v>1072</v>
      </c>
      <c r="UKP65" s="277" t="s">
        <v>1072</v>
      </c>
      <c r="UKQ65" s="277" t="s">
        <v>1072</v>
      </c>
      <c r="UKR65" s="277" t="s">
        <v>1072</v>
      </c>
      <c r="UKS65" s="277" t="s">
        <v>1072</v>
      </c>
      <c r="UKT65" s="277" t="s">
        <v>1072</v>
      </c>
      <c r="UKU65" s="277" t="s">
        <v>1072</v>
      </c>
      <c r="UKV65" s="277" t="s">
        <v>1072</v>
      </c>
      <c r="UKW65" s="277" t="s">
        <v>1072</v>
      </c>
      <c r="UKX65" s="277" t="s">
        <v>1072</v>
      </c>
      <c r="UKY65" s="277" t="s">
        <v>1072</v>
      </c>
      <c r="UKZ65" s="277" t="s">
        <v>1072</v>
      </c>
      <c r="ULA65" s="277" t="s">
        <v>1072</v>
      </c>
      <c r="ULB65" s="277" t="s">
        <v>1072</v>
      </c>
      <c r="ULC65" s="277" t="s">
        <v>1072</v>
      </c>
      <c r="ULD65" s="277" t="s">
        <v>1072</v>
      </c>
      <c r="ULE65" s="277" t="s">
        <v>1072</v>
      </c>
      <c r="ULF65" s="277" t="s">
        <v>1072</v>
      </c>
      <c r="ULG65" s="277" t="s">
        <v>1072</v>
      </c>
      <c r="ULH65" s="277" t="s">
        <v>1072</v>
      </c>
      <c r="ULI65" s="277" t="s">
        <v>1072</v>
      </c>
      <c r="ULJ65" s="277" t="s">
        <v>1072</v>
      </c>
      <c r="ULK65" s="277" t="s">
        <v>1072</v>
      </c>
      <c r="ULL65" s="277" t="s">
        <v>1072</v>
      </c>
      <c r="ULM65" s="277" t="s">
        <v>1072</v>
      </c>
      <c r="ULN65" s="277" t="s">
        <v>1072</v>
      </c>
      <c r="ULO65" s="277" t="s">
        <v>1072</v>
      </c>
      <c r="ULP65" s="277" t="s">
        <v>1072</v>
      </c>
      <c r="ULQ65" s="277" t="s">
        <v>1072</v>
      </c>
      <c r="ULR65" s="277" t="s">
        <v>1072</v>
      </c>
      <c r="ULS65" s="277" t="s">
        <v>1072</v>
      </c>
      <c r="ULT65" s="277" t="s">
        <v>1072</v>
      </c>
      <c r="ULU65" s="277" t="s">
        <v>1072</v>
      </c>
      <c r="ULV65" s="277" t="s">
        <v>1072</v>
      </c>
      <c r="ULW65" s="277" t="s">
        <v>1072</v>
      </c>
      <c r="ULX65" s="277" t="s">
        <v>1072</v>
      </c>
      <c r="ULY65" s="277" t="s">
        <v>1072</v>
      </c>
      <c r="ULZ65" s="277" t="s">
        <v>1072</v>
      </c>
      <c r="UMA65" s="277" t="s">
        <v>1072</v>
      </c>
      <c r="UMB65" s="277" t="s">
        <v>1072</v>
      </c>
      <c r="UMC65" s="277" t="s">
        <v>1072</v>
      </c>
      <c r="UMD65" s="277" t="s">
        <v>1072</v>
      </c>
      <c r="UME65" s="277" t="s">
        <v>1072</v>
      </c>
      <c r="UMF65" s="277" t="s">
        <v>1072</v>
      </c>
      <c r="UMG65" s="277" t="s">
        <v>1072</v>
      </c>
      <c r="UMH65" s="277" t="s">
        <v>1072</v>
      </c>
      <c r="UMI65" s="277" t="s">
        <v>1072</v>
      </c>
      <c r="UMJ65" s="277" t="s">
        <v>1072</v>
      </c>
      <c r="UMK65" s="277" t="s">
        <v>1072</v>
      </c>
      <c r="UML65" s="277" t="s">
        <v>1072</v>
      </c>
      <c r="UMM65" s="277" t="s">
        <v>1072</v>
      </c>
      <c r="UMN65" s="277" t="s">
        <v>1072</v>
      </c>
      <c r="UMO65" s="277" t="s">
        <v>1072</v>
      </c>
      <c r="UMP65" s="277" t="s">
        <v>1072</v>
      </c>
      <c r="UMQ65" s="277" t="s">
        <v>1072</v>
      </c>
      <c r="UMR65" s="277" t="s">
        <v>1072</v>
      </c>
      <c r="UMS65" s="277" t="s">
        <v>1072</v>
      </c>
      <c r="UMT65" s="277" t="s">
        <v>1072</v>
      </c>
      <c r="UMU65" s="277" t="s">
        <v>1072</v>
      </c>
      <c r="UMV65" s="277" t="s">
        <v>1072</v>
      </c>
      <c r="UMW65" s="277" t="s">
        <v>1072</v>
      </c>
      <c r="UMX65" s="277" t="s">
        <v>1072</v>
      </c>
      <c r="UMY65" s="277" t="s">
        <v>1072</v>
      </c>
      <c r="UMZ65" s="277" t="s">
        <v>1072</v>
      </c>
      <c r="UNA65" s="277" t="s">
        <v>1072</v>
      </c>
      <c r="UNB65" s="277" t="s">
        <v>1072</v>
      </c>
      <c r="UNC65" s="277" t="s">
        <v>1072</v>
      </c>
      <c r="UND65" s="277" t="s">
        <v>1072</v>
      </c>
      <c r="UNE65" s="277" t="s">
        <v>1072</v>
      </c>
      <c r="UNF65" s="277" t="s">
        <v>1072</v>
      </c>
      <c r="UNG65" s="277" t="s">
        <v>1072</v>
      </c>
      <c r="UNH65" s="277" t="s">
        <v>1072</v>
      </c>
      <c r="UNI65" s="277" t="s">
        <v>1072</v>
      </c>
      <c r="UNJ65" s="277" t="s">
        <v>1072</v>
      </c>
      <c r="UNK65" s="277" t="s">
        <v>1072</v>
      </c>
      <c r="UNL65" s="277" t="s">
        <v>1072</v>
      </c>
      <c r="UNM65" s="277" t="s">
        <v>1072</v>
      </c>
      <c r="UNN65" s="277" t="s">
        <v>1072</v>
      </c>
      <c r="UNO65" s="277" t="s">
        <v>1072</v>
      </c>
      <c r="UNP65" s="277" t="s">
        <v>1072</v>
      </c>
      <c r="UNQ65" s="277" t="s">
        <v>1072</v>
      </c>
      <c r="UNR65" s="277" t="s">
        <v>1072</v>
      </c>
      <c r="UNS65" s="277" t="s">
        <v>1072</v>
      </c>
      <c r="UNT65" s="277" t="s">
        <v>1072</v>
      </c>
      <c r="UNU65" s="277" t="s">
        <v>1072</v>
      </c>
      <c r="UNV65" s="277" t="s">
        <v>1072</v>
      </c>
      <c r="UNW65" s="277" t="s">
        <v>1072</v>
      </c>
      <c r="UNX65" s="277" t="s">
        <v>1072</v>
      </c>
      <c r="UNY65" s="277" t="s">
        <v>1072</v>
      </c>
      <c r="UNZ65" s="277" t="s">
        <v>1072</v>
      </c>
      <c r="UOA65" s="277" t="s">
        <v>1072</v>
      </c>
      <c r="UOB65" s="277" t="s">
        <v>1072</v>
      </c>
      <c r="UOC65" s="277" t="s">
        <v>1072</v>
      </c>
      <c r="UOD65" s="277" t="s">
        <v>1072</v>
      </c>
      <c r="UOE65" s="277" t="s">
        <v>1072</v>
      </c>
      <c r="UOF65" s="277" t="s">
        <v>1072</v>
      </c>
      <c r="UOG65" s="277" t="s">
        <v>1072</v>
      </c>
      <c r="UOH65" s="277" t="s">
        <v>1072</v>
      </c>
      <c r="UOI65" s="277" t="s">
        <v>1072</v>
      </c>
      <c r="UOJ65" s="277" t="s">
        <v>1072</v>
      </c>
      <c r="UOK65" s="277" t="s">
        <v>1072</v>
      </c>
      <c r="UOL65" s="277" t="s">
        <v>1072</v>
      </c>
      <c r="UOM65" s="277" t="s">
        <v>1072</v>
      </c>
      <c r="UON65" s="277" t="s">
        <v>1072</v>
      </c>
      <c r="UOO65" s="277" t="s">
        <v>1072</v>
      </c>
      <c r="UOP65" s="277" t="s">
        <v>1072</v>
      </c>
      <c r="UOQ65" s="277" t="s">
        <v>1072</v>
      </c>
      <c r="UOR65" s="277" t="s">
        <v>1072</v>
      </c>
      <c r="UOS65" s="277" t="s">
        <v>1072</v>
      </c>
      <c r="UOT65" s="277" t="s">
        <v>1072</v>
      </c>
      <c r="UOU65" s="277" t="s">
        <v>1072</v>
      </c>
      <c r="UOV65" s="277" t="s">
        <v>1072</v>
      </c>
      <c r="UOW65" s="277" t="s">
        <v>1072</v>
      </c>
      <c r="UOX65" s="277" t="s">
        <v>1072</v>
      </c>
      <c r="UOY65" s="277" t="s">
        <v>1072</v>
      </c>
      <c r="UOZ65" s="277" t="s">
        <v>1072</v>
      </c>
      <c r="UPA65" s="277" t="s">
        <v>1072</v>
      </c>
      <c r="UPB65" s="277" t="s">
        <v>1072</v>
      </c>
      <c r="UPC65" s="277" t="s">
        <v>1072</v>
      </c>
      <c r="UPD65" s="277" t="s">
        <v>1072</v>
      </c>
      <c r="UPE65" s="277" t="s">
        <v>1072</v>
      </c>
      <c r="UPF65" s="277" t="s">
        <v>1072</v>
      </c>
      <c r="UPG65" s="277" t="s">
        <v>1072</v>
      </c>
      <c r="UPH65" s="277" t="s">
        <v>1072</v>
      </c>
      <c r="UPI65" s="277" t="s">
        <v>1072</v>
      </c>
      <c r="UPJ65" s="277" t="s">
        <v>1072</v>
      </c>
      <c r="UPK65" s="277" t="s">
        <v>1072</v>
      </c>
      <c r="UPL65" s="277" t="s">
        <v>1072</v>
      </c>
      <c r="UPM65" s="277" t="s">
        <v>1072</v>
      </c>
      <c r="UPN65" s="277" t="s">
        <v>1072</v>
      </c>
      <c r="UPO65" s="277" t="s">
        <v>1072</v>
      </c>
      <c r="UPP65" s="277" t="s">
        <v>1072</v>
      </c>
      <c r="UPQ65" s="277" t="s">
        <v>1072</v>
      </c>
      <c r="UPR65" s="277" t="s">
        <v>1072</v>
      </c>
      <c r="UPS65" s="277" t="s">
        <v>1072</v>
      </c>
      <c r="UPT65" s="277" t="s">
        <v>1072</v>
      </c>
      <c r="UPU65" s="277" t="s">
        <v>1072</v>
      </c>
      <c r="UPV65" s="277" t="s">
        <v>1072</v>
      </c>
      <c r="UPW65" s="277" t="s">
        <v>1072</v>
      </c>
      <c r="UPX65" s="277" t="s">
        <v>1072</v>
      </c>
      <c r="UPY65" s="277" t="s">
        <v>1072</v>
      </c>
      <c r="UPZ65" s="277" t="s">
        <v>1072</v>
      </c>
      <c r="UQA65" s="277" t="s">
        <v>1072</v>
      </c>
      <c r="UQB65" s="277" t="s">
        <v>1072</v>
      </c>
      <c r="UQC65" s="277" t="s">
        <v>1072</v>
      </c>
      <c r="UQD65" s="277" t="s">
        <v>1072</v>
      </c>
      <c r="UQE65" s="277" t="s">
        <v>1072</v>
      </c>
      <c r="UQF65" s="277" t="s">
        <v>1072</v>
      </c>
      <c r="UQG65" s="277" t="s">
        <v>1072</v>
      </c>
      <c r="UQH65" s="277" t="s">
        <v>1072</v>
      </c>
      <c r="UQI65" s="277" t="s">
        <v>1072</v>
      </c>
      <c r="UQJ65" s="277" t="s">
        <v>1072</v>
      </c>
      <c r="UQK65" s="277" t="s">
        <v>1072</v>
      </c>
      <c r="UQL65" s="277" t="s">
        <v>1072</v>
      </c>
      <c r="UQM65" s="277" t="s">
        <v>1072</v>
      </c>
      <c r="UQN65" s="277" t="s">
        <v>1072</v>
      </c>
      <c r="UQO65" s="277" t="s">
        <v>1072</v>
      </c>
      <c r="UQP65" s="277" t="s">
        <v>1072</v>
      </c>
      <c r="UQQ65" s="277" t="s">
        <v>1072</v>
      </c>
      <c r="UQR65" s="277" t="s">
        <v>1072</v>
      </c>
      <c r="UQS65" s="277" t="s">
        <v>1072</v>
      </c>
      <c r="UQT65" s="277" t="s">
        <v>1072</v>
      </c>
      <c r="UQU65" s="277" t="s">
        <v>1072</v>
      </c>
      <c r="UQV65" s="277" t="s">
        <v>1072</v>
      </c>
      <c r="UQW65" s="277" t="s">
        <v>1072</v>
      </c>
      <c r="UQX65" s="277" t="s">
        <v>1072</v>
      </c>
      <c r="UQY65" s="277" t="s">
        <v>1072</v>
      </c>
      <c r="UQZ65" s="277" t="s">
        <v>1072</v>
      </c>
      <c r="URA65" s="277" t="s">
        <v>1072</v>
      </c>
      <c r="URB65" s="277" t="s">
        <v>1072</v>
      </c>
      <c r="URC65" s="277" t="s">
        <v>1072</v>
      </c>
      <c r="URD65" s="277" t="s">
        <v>1072</v>
      </c>
      <c r="URE65" s="277" t="s">
        <v>1072</v>
      </c>
      <c r="URF65" s="277" t="s">
        <v>1072</v>
      </c>
      <c r="URG65" s="277" t="s">
        <v>1072</v>
      </c>
      <c r="URH65" s="277" t="s">
        <v>1072</v>
      </c>
      <c r="URI65" s="277" t="s">
        <v>1072</v>
      </c>
      <c r="URJ65" s="277" t="s">
        <v>1072</v>
      </c>
      <c r="URK65" s="277" t="s">
        <v>1072</v>
      </c>
      <c r="URL65" s="277" t="s">
        <v>1072</v>
      </c>
      <c r="URM65" s="277" t="s">
        <v>1072</v>
      </c>
      <c r="URN65" s="277" t="s">
        <v>1072</v>
      </c>
      <c r="URO65" s="277" t="s">
        <v>1072</v>
      </c>
      <c r="URP65" s="277" t="s">
        <v>1072</v>
      </c>
      <c r="URQ65" s="277" t="s">
        <v>1072</v>
      </c>
      <c r="URR65" s="277" t="s">
        <v>1072</v>
      </c>
      <c r="URS65" s="277" t="s">
        <v>1072</v>
      </c>
      <c r="URT65" s="277" t="s">
        <v>1072</v>
      </c>
      <c r="URU65" s="277" t="s">
        <v>1072</v>
      </c>
      <c r="URV65" s="277" t="s">
        <v>1072</v>
      </c>
      <c r="URW65" s="277" t="s">
        <v>1072</v>
      </c>
      <c r="URX65" s="277" t="s">
        <v>1072</v>
      </c>
      <c r="URY65" s="277" t="s">
        <v>1072</v>
      </c>
      <c r="URZ65" s="277" t="s">
        <v>1072</v>
      </c>
      <c r="USA65" s="277" t="s">
        <v>1072</v>
      </c>
      <c r="USB65" s="277" t="s">
        <v>1072</v>
      </c>
      <c r="USC65" s="277" t="s">
        <v>1072</v>
      </c>
      <c r="USD65" s="277" t="s">
        <v>1072</v>
      </c>
      <c r="USE65" s="277" t="s">
        <v>1072</v>
      </c>
      <c r="USF65" s="277" t="s">
        <v>1072</v>
      </c>
      <c r="USG65" s="277" t="s">
        <v>1072</v>
      </c>
      <c r="USH65" s="277" t="s">
        <v>1072</v>
      </c>
      <c r="USI65" s="277" t="s">
        <v>1072</v>
      </c>
      <c r="USJ65" s="277" t="s">
        <v>1072</v>
      </c>
      <c r="USK65" s="277" t="s">
        <v>1072</v>
      </c>
      <c r="USL65" s="277" t="s">
        <v>1072</v>
      </c>
      <c r="USM65" s="277" t="s">
        <v>1072</v>
      </c>
      <c r="USN65" s="277" t="s">
        <v>1072</v>
      </c>
      <c r="USO65" s="277" t="s">
        <v>1072</v>
      </c>
      <c r="USP65" s="277" t="s">
        <v>1072</v>
      </c>
      <c r="USQ65" s="277" t="s">
        <v>1072</v>
      </c>
      <c r="USR65" s="277" t="s">
        <v>1072</v>
      </c>
      <c r="USS65" s="277" t="s">
        <v>1072</v>
      </c>
      <c r="UST65" s="277" t="s">
        <v>1072</v>
      </c>
      <c r="USU65" s="277" t="s">
        <v>1072</v>
      </c>
      <c r="USV65" s="277" t="s">
        <v>1072</v>
      </c>
      <c r="USW65" s="277" t="s">
        <v>1072</v>
      </c>
      <c r="USX65" s="277" t="s">
        <v>1072</v>
      </c>
      <c r="USY65" s="277" t="s">
        <v>1072</v>
      </c>
      <c r="USZ65" s="277" t="s">
        <v>1072</v>
      </c>
      <c r="UTA65" s="277" t="s">
        <v>1072</v>
      </c>
      <c r="UTB65" s="277" t="s">
        <v>1072</v>
      </c>
      <c r="UTC65" s="277" t="s">
        <v>1072</v>
      </c>
      <c r="UTD65" s="277" t="s">
        <v>1072</v>
      </c>
      <c r="UTE65" s="277" t="s">
        <v>1072</v>
      </c>
      <c r="UTF65" s="277" t="s">
        <v>1072</v>
      </c>
      <c r="UTG65" s="277" t="s">
        <v>1072</v>
      </c>
      <c r="UTH65" s="277" t="s">
        <v>1072</v>
      </c>
      <c r="UTI65" s="277" t="s">
        <v>1072</v>
      </c>
      <c r="UTJ65" s="277" t="s">
        <v>1072</v>
      </c>
      <c r="UTK65" s="277" t="s">
        <v>1072</v>
      </c>
      <c r="UTL65" s="277" t="s">
        <v>1072</v>
      </c>
      <c r="UTM65" s="277" t="s">
        <v>1072</v>
      </c>
      <c r="UTN65" s="277" t="s">
        <v>1072</v>
      </c>
      <c r="UTO65" s="277" t="s">
        <v>1072</v>
      </c>
      <c r="UTP65" s="277" t="s">
        <v>1072</v>
      </c>
      <c r="UTQ65" s="277" t="s">
        <v>1072</v>
      </c>
      <c r="UTR65" s="277" t="s">
        <v>1072</v>
      </c>
      <c r="UTS65" s="277" t="s">
        <v>1072</v>
      </c>
      <c r="UTT65" s="277" t="s">
        <v>1072</v>
      </c>
      <c r="UTU65" s="277" t="s">
        <v>1072</v>
      </c>
      <c r="UTV65" s="277" t="s">
        <v>1072</v>
      </c>
      <c r="UTW65" s="277" t="s">
        <v>1072</v>
      </c>
      <c r="UTX65" s="277" t="s">
        <v>1072</v>
      </c>
      <c r="UTY65" s="277" t="s">
        <v>1072</v>
      </c>
      <c r="UTZ65" s="277" t="s">
        <v>1072</v>
      </c>
      <c r="UUA65" s="277" t="s">
        <v>1072</v>
      </c>
      <c r="UUB65" s="277" t="s">
        <v>1072</v>
      </c>
      <c r="UUC65" s="277" t="s">
        <v>1072</v>
      </c>
      <c r="UUD65" s="277" t="s">
        <v>1072</v>
      </c>
      <c r="UUE65" s="277" t="s">
        <v>1072</v>
      </c>
      <c r="UUF65" s="277" t="s">
        <v>1072</v>
      </c>
      <c r="UUG65" s="277" t="s">
        <v>1072</v>
      </c>
      <c r="UUH65" s="277" t="s">
        <v>1072</v>
      </c>
      <c r="UUI65" s="277" t="s">
        <v>1072</v>
      </c>
      <c r="UUJ65" s="277" t="s">
        <v>1072</v>
      </c>
      <c r="UUK65" s="277" t="s">
        <v>1072</v>
      </c>
      <c r="UUL65" s="277" t="s">
        <v>1072</v>
      </c>
      <c r="UUM65" s="277" t="s">
        <v>1072</v>
      </c>
      <c r="UUN65" s="277" t="s">
        <v>1072</v>
      </c>
      <c r="UUO65" s="277" t="s">
        <v>1072</v>
      </c>
      <c r="UUP65" s="277" t="s">
        <v>1072</v>
      </c>
      <c r="UUQ65" s="277" t="s">
        <v>1072</v>
      </c>
      <c r="UUR65" s="277" t="s">
        <v>1072</v>
      </c>
      <c r="UUS65" s="277" t="s">
        <v>1072</v>
      </c>
      <c r="UUT65" s="277" t="s">
        <v>1072</v>
      </c>
      <c r="UUU65" s="277" t="s">
        <v>1072</v>
      </c>
      <c r="UUV65" s="277" t="s">
        <v>1072</v>
      </c>
      <c r="UUW65" s="277" t="s">
        <v>1072</v>
      </c>
      <c r="UUX65" s="277" t="s">
        <v>1072</v>
      </c>
      <c r="UUY65" s="277" t="s">
        <v>1072</v>
      </c>
      <c r="UUZ65" s="277" t="s">
        <v>1072</v>
      </c>
      <c r="UVA65" s="277" t="s">
        <v>1072</v>
      </c>
      <c r="UVB65" s="277" t="s">
        <v>1072</v>
      </c>
      <c r="UVC65" s="277" t="s">
        <v>1072</v>
      </c>
      <c r="UVD65" s="277" t="s">
        <v>1072</v>
      </c>
      <c r="UVE65" s="277" t="s">
        <v>1072</v>
      </c>
      <c r="UVF65" s="277" t="s">
        <v>1072</v>
      </c>
      <c r="UVG65" s="277" t="s">
        <v>1072</v>
      </c>
      <c r="UVH65" s="277" t="s">
        <v>1072</v>
      </c>
      <c r="UVI65" s="277" t="s">
        <v>1072</v>
      </c>
      <c r="UVJ65" s="277" t="s">
        <v>1072</v>
      </c>
      <c r="UVK65" s="277" t="s">
        <v>1072</v>
      </c>
      <c r="UVL65" s="277" t="s">
        <v>1072</v>
      </c>
      <c r="UVM65" s="277" t="s">
        <v>1072</v>
      </c>
      <c r="UVN65" s="277" t="s">
        <v>1072</v>
      </c>
      <c r="UVO65" s="277" t="s">
        <v>1072</v>
      </c>
      <c r="UVP65" s="277" t="s">
        <v>1072</v>
      </c>
      <c r="UVQ65" s="277" t="s">
        <v>1072</v>
      </c>
      <c r="UVR65" s="277" t="s">
        <v>1072</v>
      </c>
      <c r="UVS65" s="277" t="s">
        <v>1072</v>
      </c>
      <c r="UVT65" s="277" t="s">
        <v>1072</v>
      </c>
      <c r="UVU65" s="277" t="s">
        <v>1072</v>
      </c>
      <c r="UVV65" s="277" t="s">
        <v>1072</v>
      </c>
      <c r="UVW65" s="277" t="s">
        <v>1072</v>
      </c>
      <c r="UVX65" s="277" t="s">
        <v>1072</v>
      </c>
      <c r="UVY65" s="277" t="s">
        <v>1072</v>
      </c>
      <c r="UVZ65" s="277" t="s">
        <v>1072</v>
      </c>
      <c r="UWA65" s="277" t="s">
        <v>1072</v>
      </c>
      <c r="UWB65" s="277" t="s">
        <v>1072</v>
      </c>
      <c r="UWC65" s="277" t="s">
        <v>1072</v>
      </c>
      <c r="UWD65" s="277" t="s">
        <v>1072</v>
      </c>
      <c r="UWE65" s="277" t="s">
        <v>1072</v>
      </c>
      <c r="UWF65" s="277" t="s">
        <v>1072</v>
      </c>
      <c r="UWG65" s="277" t="s">
        <v>1072</v>
      </c>
      <c r="UWH65" s="277" t="s">
        <v>1072</v>
      </c>
      <c r="UWI65" s="277" t="s">
        <v>1072</v>
      </c>
      <c r="UWJ65" s="277" t="s">
        <v>1072</v>
      </c>
      <c r="UWK65" s="277" t="s">
        <v>1072</v>
      </c>
      <c r="UWL65" s="277" t="s">
        <v>1072</v>
      </c>
      <c r="UWM65" s="277" t="s">
        <v>1072</v>
      </c>
      <c r="UWN65" s="277" t="s">
        <v>1072</v>
      </c>
      <c r="UWO65" s="277" t="s">
        <v>1072</v>
      </c>
      <c r="UWP65" s="277" t="s">
        <v>1072</v>
      </c>
      <c r="UWQ65" s="277" t="s">
        <v>1072</v>
      </c>
      <c r="UWR65" s="277" t="s">
        <v>1072</v>
      </c>
      <c r="UWS65" s="277" t="s">
        <v>1072</v>
      </c>
      <c r="UWT65" s="277" t="s">
        <v>1072</v>
      </c>
      <c r="UWU65" s="277" t="s">
        <v>1072</v>
      </c>
      <c r="UWV65" s="277" t="s">
        <v>1072</v>
      </c>
      <c r="UWW65" s="277" t="s">
        <v>1072</v>
      </c>
      <c r="UWX65" s="277" t="s">
        <v>1072</v>
      </c>
      <c r="UWY65" s="277" t="s">
        <v>1072</v>
      </c>
      <c r="UWZ65" s="277" t="s">
        <v>1072</v>
      </c>
      <c r="UXA65" s="277" t="s">
        <v>1072</v>
      </c>
      <c r="UXB65" s="277" t="s">
        <v>1072</v>
      </c>
      <c r="UXC65" s="277" t="s">
        <v>1072</v>
      </c>
      <c r="UXD65" s="277" t="s">
        <v>1072</v>
      </c>
      <c r="UXE65" s="277" t="s">
        <v>1072</v>
      </c>
      <c r="UXF65" s="277" t="s">
        <v>1072</v>
      </c>
      <c r="UXG65" s="277" t="s">
        <v>1072</v>
      </c>
      <c r="UXH65" s="277" t="s">
        <v>1072</v>
      </c>
      <c r="UXI65" s="277" t="s">
        <v>1072</v>
      </c>
      <c r="UXJ65" s="277" t="s">
        <v>1072</v>
      </c>
      <c r="UXK65" s="277" t="s">
        <v>1072</v>
      </c>
      <c r="UXL65" s="277" t="s">
        <v>1072</v>
      </c>
      <c r="UXM65" s="277" t="s">
        <v>1072</v>
      </c>
      <c r="UXN65" s="277" t="s">
        <v>1072</v>
      </c>
      <c r="UXO65" s="277" t="s">
        <v>1072</v>
      </c>
      <c r="UXP65" s="277" t="s">
        <v>1072</v>
      </c>
      <c r="UXQ65" s="277" t="s">
        <v>1072</v>
      </c>
      <c r="UXR65" s="277" t="s">
        <v>1072</v>
      </c>
      <c r="UXS65" s="277" t="s">
        <v>1072</v>
      </c>
      <c r="UXT65" s="277" t="s">
        <v>1072</v>
      </c>
      <c r="UXU65" s="277" t="s">
        <v>1072</v>
      </c>
      <c r="UXV65" s="277" t="s">
        <v>1072</v>
      </c>
      <c r="UXW65" s="277" t="s">
        <v>1072</v>
      </c>
      <c r="UXX65" s="277" t="s">
        <v>1072</v>
      </c>
      <c r="UXY65" s="277" t="s">
        <v>1072</v>
      </c>
      <c r="UXZ65" s="277" t="s">
        <v>1072</v>
      </c>
      <c r="UYA65" s="277" t="s">
        <v>1072</v>
      </c>
      <c r="UYB65" s="277" t="s">
        <v>1072</v>
      </c>
      <c r="UYC65" s="277" t="s">
        <v>1072</v>
      </c>
      <c r="UYD65" s="277" t="s">
        <v>1072</v>
      </c>
      <c r="UYE65" s="277" t="s">
        <v>1072</v>
      </c>
      <c r="UYF65" s="277" t="s">
        <v>1072</v>
      </c>
      <c r="UYG65" s="277" t="s">
        <v>1072</v>
      </c>
      <c r="UYH65" s="277" t="s">
        <v>1072</v>
      </c>
      <c r="UYI65" s="277" t="s">
        <v>1072</v>
      </c>
      <c r="UYJ65" s="277" t="s">
        <v>1072</v>
      </c>
      <c r="UYK65" s="277" t="s">
        <v>1072</v>
      </c>
      <c r="UYL65" s="277" t="s">
        <v>1072</v>
      </c>
      <c r="UYM65" s="277" t="s">
        <v>1072</v>
      </c>
      <c r="UYN65" s="277" t="s">
        <v>1072</v>
      </c>
      <c r="UYO65" s="277" t="s">
        <v>1072</v>
      </c>
      <c r="UYP65" s="277" t="s">
        <v>1072</v>
      </c>
      <c r="UYQ65" s="277" t="s">
        <v>1072</v>
      </c>
      <c r="UYR65" s="277" t="s">
        <v>1072</v>
      </c>
      <c r="UYS65" s="277" t="s">
        <v>1072</v>
      </c>
      <c r="UYT65" s="277" t="s">
        <v>1072</v>
      </c>
      <c r="UYU65" s="277" t="s">
        <v>1072</v>
      </c>
      <c r="UYV65" s="277" t="s">
        <v>1072</v>
      </c>
      <c r="UYW65" s="277" t="s">
        <v>1072</v>
      </c>
      <c r="UYX65" s="277" t="s">
        <v>1072</v>
      </c>
      <c r="UYY65" s="277" t="s">
        <v>1072</v>
      </c>
      <c r="UYZ65" s="277" t="s">
        <v>1072</v>
      </c>
      <c r="UZA65" s="277" t="s">
        <v>1072</v>
      </c>
      <c r="UZB65" s="277" t="s">
        <v>1072</v>
      </c>
      <c r="UZC65" s="277" t="s">
        <v>1072</v>
      </c>
      <c r="UZD65" s="277" t="s">
        <v>1072</v>
      </c>
      <c r="UZE65" s="277" t="s">
        <v>1072</v>
      </c>
      <c r="UZF65" s="277" t="s">
        <v>1072</v>
      </c>
      <c r="UZG65" s="277" t="s">
        <v>1072</v>
      </c>
      <c r="UZH65" s="277" t="s">
        <v>1072</v>
      </c>
      <c r="UZI65" s="277" t="s">
        <v>1072</v>
      </c>
      <c r="UZJ65" s="277" t="s">
        <v>1072</v>
      </c>
      <c r="UZK65" s="277" t="s">
        <v>1072</v>
      </c>
      <c r="UZL65" s="277" t="s">
        <v>1072</v>
      </c>
      <c r="UZM65" s="277" t="s">
        <v>1072</v>
      </c>
      <c r="UZN65" s="277" t="s">
        <v>1072</v>
      </c>
      <c r="UZO65" s="277" t="s">
        <v>1072</v>
      </c>
      <c r="UZP65" s="277" t="s">
        <v>1072</v>
      </c>
      <c r="UZQ65" s="277" t="s">
        <v>1072</v>
      </c>
      <c r="UZR65" s="277" t="s">
        <v>1072</v>
      </c>
      <c r="UZS65" s="277" t="s">
        <v>1072</v>
      </c>
      <c r="UZT65" s="277" t="s">
        <v>1072</v>
      </c>
      <c r="UZU65" s="277" t="s">
        <v>1072</v>
      </c>
      <c r="UZV65" s="277" t="s">
        <v>1072</v>
      </c>
      <c r="UZW65" s="277" t="s">
        <v>1072</v>
      </c>
      <c r="UZX65" s="277" t="s">
        <v>1072</v>
      </c>
      <c r="UZY65" s="277" t="s">
        <v>1072</v>
      </c>
      <c r="UZZ65" s="277" t="s">
        <v>1072</v>
      </c>
      <c r="VAA65" s="277" t="s">
        <v>1072</v>
      </c>
      <c r="VAB65" s="277" t="s">
        <v>1072</v>
      </c>
      <c r="VAC65" s="277" t="s">
        <v>1072</v>
      </c>
      <c r="VAD65" s="277" t="s">
        <v>1072</v>
      </c>
      <c r="VAE65" s="277" t="s">
        <v>1072</v>
      </c>
      <c r="VAF65" s="277" t="s">
        <v>1072</v>
      </c>
      <c r="VAG65" s="277" t="s">
        <v>1072</v>
      </c>
      <c r="VAH65" s="277" t="s">
        <v>1072</v>
      </c>
      <c r="VAI65" s="277" t="s">
        <v>1072</v>
      </c>
      <c r="VAJ65" s="277" t="s">
        <v>1072</v>
      </c>
      <c r="VAK65" s="277" t="s">
        <v>1072</v>
      </c>
      <c r="VAL65" s="277" t="s">
        <v>1072</v>
      </c>
      <c r="VAM65" s="277" t="s">
        <v>1072</v>
      </c>
      <c r="VAN65" s="277" t="s">
        <v>1072</v>
      </c>
      <c r="VAO65" s="277" t="s">
        <v>1072</v>
      </c>
      <c r="VAP65" s="277" t="s">
        <v>1072</v>
      </c>
      <c r="VAQ65" s="277" t="s">
        <v>1072</v>
      </c>
      <c r="VAR65" s="277" t="s">
        <v>1072</v>
      </c>
      <c r="VAS65" s="277" t="s">
        <v>1072</v>
      </c>
      <c r="VAT65" s="277" t="s">
        <v>1072</v>
      </c>
      <c r="VAU65" s="277" t="s">
        <v>1072</v>
      </c>
      <c r="VAV65" s="277" t="s">
        <v>1072</v>
      </c>
      <c r="VAW65" s="277" t="s">
        <v>1072</v>
      </c>
      <c r="VAX65" s="277" t="s">
        <v>1072</v>
      </c>
      <c r="VAY65" s="277" t="s">
        <v>1072</v>
      </c>
      <c r="VAZ65" s="277" t="s">
        <v>1072</v>
      </c>
      <c r="VBA65" s="277" t="s">
        <v>1072</v>
      </c>
      <c r="VBB65" s="277" t="s">
        <v>1072</v>
      </c>
      <c r="VBC65" s="277" t="s">
        <v>1072</v>
      </c>
      <c r="VBD65" s="277" t="s">
        <v>1072</v>
      </c>
      <c r="VBE65" s="277" t="s">
        <v>1072</v>
      </c>
      <c r="VBF65" s="277" t="s">
        <v>1072</v>
      </c>
      <c r="VBG65" s="277" t="s">
        <v>1072</v>
      </c>
      <c r="VBH65" s="277" t="s">
        <v>1072</v>
      </c>
      <c r="VBI65" s="277" t="s">
        <v>1072</v>
      </c>
      <c r="VBJ65" s="277" t="s">
        <v>1072</v>
      </c>
      <c r="VBK65" s="277" t="s">
        <v>1072</v>
      </c>
      <c r="VBL65" s="277" t="s">
        <v>1072</v>
      </c>
      <c r="VBM65" s="277" t="s">
        <v>1072</v>
      </c>
      <c r="VBN65" s="277" t="s">
        <v>1072</v>
      </c>
      <c r="VBO65" s="277" t="s">
        <v>1072</v>
      </c>
      <c r="VBP65" s="277" t="s">
        <v>1072</v>
      </c>
      <c r="VBQ65" s="277" t="s">
        <v>1072</v>
      </c>
      <c r="VBR65" s="277" t="s">
        <v>1072</v>
      </c>
      <c r="VBS65" s="277" t="s">
        <v>1072</v>
      </c>
      <c r="VBT65" s="277" t="s">
        <v>1072</v>
      </c>
      <c r="VBU65" s="277" t="s">
        <v>1072</v>
      </c>
      <c r="VBV65" s="277" t="s">
        <v>1072</v>
      </c>
      <c r="VBW65" s="277" t="s">
        <v>1072</v>
      </c>
      <c r="VBX65" s="277" t="s">
        <v>1072</v>
      </c>
      <c r="VBY65" s="277" t="s">
        <v>1072</v>
      </c>
      <c r="VBZ65" s="277" t="s">
        <v>1072</v>
      </c>
      <c r="VCA65" s="277" t="s">
        <v>1072</v>
      </c>
      <c r="VCB65" s="277" t="s">
        <v>1072</v>
      </c>
      <c r="VCC65" s="277" t="s">
        <v>1072</v>
      </c>
      <c r="VCD65" s="277" t="s">
        <v>1072</v>
      </c>
      <c r="VCE65" s="277" t="s">
        <v>1072</v>
      </c>
      <c r="VCF65" s="277" t="s">
        <v>1072</v>
      </c>
      <c r="VCG65" s="277" t="s">
        <v>1072</v>
      </c>
      <c r="VCH65" s="277" t="s">
        <v>1072</v>
      </c>
      <c r="VCI65" s="277" t="s">
        <v>1072</v>
      </c>
      <c r="VCJ65" s="277" t="s">
        <v>1072</v>
      </c>
      <c r="VCK65" s="277" t="s">
        <v>1072</v>
      </c>
      <c r="VCL65" s="277" t="s">
        <v>1072</v>
      </c>
      <c r="VCM65" s="277" t="s">
        <v>1072</v>
      </c>
      <c r="VCN65" s="277" t="s">
        <v>1072</v>
      </c>
      <c r="VCO65" s="277" t="s">
        <v>1072</v>
      </c>
      <c r="VCP65" s="277" t="s">
        <v>1072</v>
      </c>
      <c r="VCQ65" s="277" t="s">
        <v>1072</v>
      </c>
      <c r="VCR65" s="277" t="s">
        <v>1072</v>
      </c>
      <c r="VCS65" s="277" t="s">
        <v>1072</v>
      </c>
      <c r="VCT65" s="277" t="s">
        <v>1072</v>
      </c>
      <c r="VCU65" s="277" t="s">
        <v>1072</v>
      </c>
      <c r="VCV65" s="277" t="s">
        <v>1072</v>
      </c>
      <c r="VCW65" s="277" t="s">
        <v>1072</v>
      </c>
      <c r="VCX65" s="277" t="s">
        <v>1072</v>
      </c>
      <c r="VCY65" s="277" t="s">
        <v>1072</v>
      </c>
      <c r="VCZ65" s="277" t="s">
        <v>1072</v>
      </c>
      <c r="VDA65" s="277" t="s">
        <v>1072</v>
      </c>
      <c r="VDB65" s="277" t="s">
        <v>1072</v>
      </c>
      <c r="VDC65" s="277" t="s">
        <v>1072</v>
      </c>
      <c r="VDD65" s="277" t="s">
        <v>1072</v>
      </c>
      <c r="VDE65" s="277" t="s">
        <v>1072</v>
      </c>
      <c r="VDF65" s="277" t="s">
        <v>1072</v>
      </c>
      <c r="VDG65" s="277" t="s">
        <v>1072</v>
      </c>
      <c r="VDH65" s="277" t="s">
        <v>1072</v>
      </c>
      <c r="VDI65" s="277" t="s">
        <v>1072</v>
      </c>
      <c r="VDJ65" s="277" t="s">
        <v>1072</v>
      </c>
      <c r="VDK65" s="277" t="s">
        <v>1072</v>
      </c>
      <c r="VDL65" s="277" t="s">
        <v>1072</v>
      </c>
      <c r="VDM65" s="277" t="s">
        <v>1072</v>
      </c>
      <c r="VDN65" s="277" t="s">
        <v>1072</v>
      </c>
      <c r="VDO65" s="277" t="s">
        <v>1072</v>
      </c>
      <c r="VDP65" s="277" t="s">
        <v>1072</v>
      </c>
      <c r="VDQ65" s="277" t="s">
        <v>1072</v>
      </c>
      <c r="VDR65" s="277" t="s">
        <v>1072</v>
      </c>
      <c r="VDS65" s="277" t="s">
        <v>1072</v>
      </c>
      <c r="VDT65" s="277" t="s">
        <v>1072</v>
      </c>
      <c r="VDU65" s="277" t="s">
        <v>1072</v>
      </c>
      <c r="VDV65" s="277" t="s">
        <v>1072</v>
      </c>
      <c r="VDW65" s="277" t="s">
        <v>1072</v>
      </c>
      <c r="VDX65" s="277" t="s">
        <v>1072</v>
      </c>
      <c r="VDY65" s="277" t="s">
        <v>1072</v>
      </c>
      <c r="VDZ65" s="277" t="s">
        <v>1072</v>
      </c>
      <c r="VEA65" s="277" t="s">
        <v>1072</v>
      </c>
      <c r="VEB65" s="277" t="s">
        <v>1072</v>
      </c>
      <c r="VEC65" s="277" t="s">
        <v>1072</v>
      </c>
      <c r="VED65" s="277" t="s">
        <v>1072</v>
      </c>
      <c r="VEE65" s="277" t="s">
        <v>1072</v>
      </c>
      <c r="VEF65" s="277" t="s">
        <v>1072</v>
      </c>
      <c r="VEG65" s="277" t="s">
        <v>1072</v>
      </c>
      <c r="VEH65" s="277" t="s">
        <v>1072</v>
      </c>
      <c r="VEI65" s="277" t="s">
        <v>1072</v>
      </c>
      <c r="VEJ65" s="277" t="s">
        <v>1072</v>
      </c>
      <c r="VEK65" s="277" t="s">
        <v>1072</v>
      </c>
      <c r="VEL65" s="277" t="s">
        <v>1072</v>
      </c>
      <c r="VEM65" s="277" t="s">
        <v>1072</v>
      </c>
      <c r="VEN65" s="277" t="s">
        <v>1072</v>
      </c>
      <c r="VEO65" s="277" t="s">
        <v>1072</v>
      </c>
      <c r="VEP65" s="277" t="s">
        <v>1072</v>
      </c>
      <c r="VEQ65" s="277" t="s">
        <v>1072</v>
      </c>
      <c r="VER65" s="277" t="s">
        <v>1072</v>
      </c>
      <c r="VES65" s="277" t="s">
        <v>1072</v>
      </c>
      <c r="VET65" s="277" t="s">
        <v>1072</v>
      </c>
      <c r="VEU65" s="277" t="s">
        <v>1072</v>
      </c>
      <c r="VEV65" s="277" t="s">
        <v>1072</v>
      </c>
      <c r="VEW65" s="277" t="s">
        <v>1072</v>
      </c>
      <c r="VEX65" s="277" t="s">
        <v>1072</v>
      </c>
      <c r="VEY65" s="277" t="s">
        <v>1072</v>
      </c>
      <c r="VEZ65" s="277" t="s">
        <v>1072</v>
      </c>
      <c r="VFA65" s="277" t="s">
        <v>1072</v>
      </c>
      <c r="VFB65" s="277" t="s">
        <v>1072</v>
      </c>
      <c r="VFC65" s="277" t="s">
        <v>1072</v>
      </c>
      <c r="VFD65" s="277" t="s">
        <v>1072</v>
      </c>
      <c r="VFE65" s="277" t="s">
        <v>1072</v>
      </c>
      <c r="VFF65" s="277" t="s">
        <v>1072</v>
      </c>
      <c r="VFG65" s="277" t="s">
        <v>1072</v>
      </c>
      <c r="VFH65" s="277" t="s">
        <v>1072</v>
      </c>
      <c r="VFI65" s="277" t="s">
        <v>1072</v>
      </c>
      <c r="VFJ65" s="277" t="s">
        <v>1072</v>
      </c>
      <c r="VFK65" s="277" t="s">
        <v>1072</v>
      </c>
      <c r="VFL65" s="277" t="s">
        <v>1072</v>
      </c>
      <c r="VFM65" s="277" t="s">
        <v>1072</v>
      </c>
      <c r="VFN65" s="277" t="s">
        <v>1072</v>
      </c>
      <c r="VFO65" s="277" t="s">
        <v>1072</v>
      </c>
      <c r="VFP65" s="277" t="s">
        <v>1072</v>
      </c>
      <c r="VFQ65" s="277" t="s">
        <v>1072</v>
      </c>
      <c r="VFR65" s="277" t="s">
        <v>1072</v>
      </c>
      <c r="VFS65" s="277" t="s">
        <v>1072</v>
      </c>
      <c r="VFT65" s="277" t="s">
        <v>1072</v>
      </c>
      <c r="VFU65" s="277" t="s">
        <v>1072</v>
      </c>
      <c r="VFV65" s="277" t="s">
        <v>1072</v>
      </c>
      <c r="VFW65" s="277" t="s">
        <v>1072</v>
      </c>
      <c r="VFX65" s="277" t="s">
        <v>1072</v>
      </c>
      <c r="VFY65" s="277" t="s">
        <v>1072</v>
      </c>
      <c r="VFZ65" s="277" t="s">
        <v>1072</v>
      </c>
      <c r="VGA65" s="277" t="s">
        <v>1072</v>
      </c>
      <c r="VGB65" s="277" t="s">
        <v>1072</v>
      </c>
      <c r="VGC65" s="277" t="s">
        <v>1072</v>
      </c>
      <c r="VGD65" s="277" t="s">
        <v>1072</v>
      </c>
      <c r="VGE65" s="277" t="s">
        <v>1072</v>
      </c>
      <c r="VGF65" s="277" t="s">
        <v>1072</v>
      </c>
      <c r="VGG65" s="277" t="s">
        <v>1072</v>
      </c>
      <c r="VGH65" s="277" t="s">
        <v>1072</v>
      </c>
      <c r="VGI65" s="277" t="s">
        <v>1072</v>
      </c>
      <c r="VGJ65" s="277" t="s">
        <v>1072</v>
      </c>
      <c r="VGK65" s="277" t="s">
        <v>1072</v>
      </c>
      <c r="VGL65" s="277" t="s">
        <v>1072</v>
      </c>
      <c r="VGM65" s="277" t="s">
        <v>1072</v>
      </c>
      <c r="VGN65" s="277" t="s">
        <v>1072</v>
      </c>
      <c r="VGO65" s="277" t="s">
        <v>1072</v>
      </c>
      <c r="VGP65" s="277" t="s">
        <v>1072</v>
      </c>
      <c r="VGQ65" s="277" t="s">
        <v>1072</v>
      </c>
      <c r="VGR65" s="277" t="s">
        <v>1072</v>
      </c>
      <c r="VGS65" s="277" t="s">
        <v>1072</v>
      </c>
      <c r="VGT65" s="277" t="s">
        <v>1072</v>
      </c>
      <c r="VGU65" s="277" t="s">
        <v>1072</v>
      </c>
      <c r="VGV65" s="277" t="s">
        <v>1072</v>
      </c>
      <c r="VGW65" s="277" t="s">
        <v>1072</v>
      </c>
      <c r="VGX65" s="277" t="s">
        <v>1072</v>
      </c>
      <c r="VGY65" s="277" t="s">
        <v>1072</v>
      </c>
      <c r="VGZ65" s="277" t="s">
        <v>1072</v>
      </c>
      <c r="VHA65" s="277" t="s">
        <v>1072</v>
      </c>
      <c r="VHB65" s="277" t="s">
        <v>1072</v>
      </c>
      <c r="VHC65" s="277" t="s">
        <v>1072</v>
      </c>
      <c r="VHD65" s="277" t="s">
        <v>1072</v>
      </c>
      <c r="VHE65" s="277" t="s">
        <v>1072</v>
      </c>
      <c r="VHF65" s="277" t="s">
        <v>1072</v>
      </c>
      <c r="VHG65" s="277" t="s">
        <v>1072</v>
      </c>
      <c r="VHH65" s="277" t="s">
        <v>1072</v>
      </c>
      <c r="VHI65" s="277" t="s">
        <v>1072</v>
      </c>
      <c r="VHJ65" s="277" t="s">
        <v>1072</v>
      </c>
      <c r="VHK65" s="277" t="s">
        <v>1072</v>
      </c>
      <c r="VHL65" s="277" t="s">
        <v>1072</v>
      </c>
      <c r="VHM65" s="277" t="s">
        <v>1072</v>
      </c>
      <c r="VHN65" s="277" t="s">
        <v>1072</v>
      </c>
      <c r="VHO65" s="277" t="s">
        <v>1072</v>
      </c>
      <c r="VHP65" s="277" t="s">
        <v>1072</v>
      </c>
      <c r="VHQ65" s="277" t="s">
        <v>1072</v>
      </c>
      <c r="VHR65" s="277" t="s">
        <v>1072</v>
      </c>
      <c r="VHS65" s="277" t="s">
        <v>1072</v>
      </c>
      <c r="VHT65" s="277" t="s">
        <v>1072</v>
      </c>
      <c r="VHU65" s="277" t="s">
        <v>1072</v>
      </c>
      <c r="VHV65" s="277" t="s">
        <v>1072</v>
      </c>
      <c r="VHW65" s="277" t="s">
        <v>1072</v>
      </c>
      <c r="VHX65" s="277" t="s">
        <v>1072</v>
      </c>
      <c r="VHY65" s="277" t="s">
        <v>1072</v>
      </c>
      <c r="VHZ65" s="277" t="s">
        <v>1072</v>
      </c>
      <c r="VIA65" s="277" t="s">
        <v>1072</v>
      </c>
      <c r="VIB65" s="277" t="s">
        <v>1072</v>
      </c>
      <c r="VIC65" s="277" t="s">
        <v>1072</v>
      </c>
      <c r="VID65" s="277" t="s">
        <v>1072</v>
      </c>
      <c r="VIE65" s="277" t="s">
        <v>1072</v>
      </c>
      <c r="VIF65" s="277" t="s">
        <v>1072</v>
      </c>
      <c r="VIG65" s="277" t="s">
        <v>1072</v>
      </c>
      <c r="VIH65" s="277" t="s">
        <v>1072</v>
      </c>
      <c r="VII65" s="277" t="s">
        <v>1072</v>
      </c>
      <c r="VIJ65" s="277" t="s">
        <v>1072</v>
      </c>
      <c r="VIK65" s="277" t="s">
        <v>1072</v>
      </c>
      <c r="VIL65" s="277" t="s">
        <v>1072</v>
      </c>
      <c r="VIM65" s="277" t="s">
        <v>1072</v>
      </c>
      <c r="VIN65" s="277" t="s">
        <v>1072</v>
      </c>
      <c r="VIO65" s="277" t="s">
        <v>1072</v>
      </c>
      <c r="VIP65" s="277" t="s">
        <v>1072</v>
      </c>
      <c r="VIQ65" s="277" t="s">
        <v>1072</v>
      </c>
      <c r="VIR65" s="277" t="s">
        <v>1072</v>
      </c>
      <c r="VIS65" s="277" t="s">
        <v>1072</v>
      </c>
      <c r="VIT65" s="277" t="s">
        <v>1072</v>
      </c>
      <c r="VIU65" s="277" t="s">
        <v>1072</v>
      </c>
      <c r="VIV65" s="277" t="s">
        <v>1072</v>
      </c>
      <c r="VIW65" s="277" t="s">
        <v>1072</v>
      </c>
      <c r="VIX65" s="277" t="s">
        <v>1072</v>
      </c>
      <c r="VIY65" s="277" t="s">
        <v>1072</v>
      </c>
      <c r="VIZ65" s="277" t="s">
        <v>1072</v>
      </c>
      <c r="VJA65" s="277" t="s">
        <v>1072</v>
      </c>
      <c r="VJB65" s="277" t="s">
        <v>1072</v>
      </c>
      <c r="VJC65" s="277" t="s">
        <v>1072</v>
      </c>
      <c r="VJD65" s="277" t="s">
        <v>1072</v>
      </c>
      <c r="VJE65" s="277" t="s">
        <v>1072</v>
      </c>
      <c r="VJF65" s="277" t="s">
        <v>1072</v>
      </c>
      <c r="VJG65" s="277" t="s">
        <v>1072</v>
      </c>
      <c r="VJH65" s="277" t="s">
        <v>1072</v>
      </c>
      <c r="VJI65" s="277" t="s">
        <v>1072</v>
      </c>
      <c r="VJJ65" s="277" t="s">
        <v>1072</v>
      </c>
      <c r="VJK65" s="277" t="s">
        <v>1072</v>
      </c>
      <c r="VJL65" s="277" t="s">
        <v>1072</v>
      </c>
      <c r="VJM65" s="277" t="s">
        <v>1072</v>
      </c>
      <c r="VJN65" s="277" t="s">
        <v>1072</v>
      </c>
      <c r="VJO65" s="277" t="s">
        <v>1072</v>
      </c>
      <c r="VJP65" s="277" t="s">
        <v>1072</v>
      </c>
      <c r="VJQ65" s="277" t="s">
        <v>1072</v>
      </c>
      <c r="VJR65" s="277" t="s">
        <v>1072</v>
      </c>
      <c r="VJS65" s="277" t="s">
        <v>1072</v>
      </c>
      <c r="VJT65" s="277" t="s">
        <v>1072</v>
      </c>
      <c r="VJU65" s="277" t="s">
        <v>1072</v>
      </c>
      <c r="VJV65" s="277" t="s">
        <v>1072</v>
      </c>
      <c r="VJW65" s="277" t="s">
        <v>1072</v>
      </c>
      <c r="VJX65" s="277" t="s">
        <v>1072</v>
      </c>
      <c r="VJY65" s="277" t="s">
        <v>1072</v>
      </c>
      <c r="VJZ65" s="277" t="s">
        <v>1072</v>
      </c>
      <c r="VKA65" s="277" t="s">
        <v>1072</v>
      </c>
      <c r="VKB65" s="277" t="s">
        <v>1072</v>
      </c>
      <c r="VKC65" s="277" t="s">
        <v>1072</v>
      </c>
      <c r="VKD65" s="277" t="s">
        <v>1072</v>
      </c>
      <c r="VKE65" s="277" t="s">
        <v>1072</v>
      </c>
      <c r="VKF65" s="277" t="s">
        <v>1072</v>
      </c>
      <c r="VKG65" s="277" t="s">
        <v>1072</v>
      </c>
      <c r="VKH65" s="277" t="s">
        <v>1072</v>
      </c>
      <c r="VKI65" s="277" t="s">
        <v>1072</v>
      </c>
      <c r="VKJ65" s="277" t="s">
        <v>1072</v>
      </c>
      <c r="VKK65" s="277" t="s">
        <v>1072</v>
      </c>
      <c r="VKL65" s="277" t="s">
        <v>1072</v>
      </c>
      <c r="VKM65" s="277" t="s">
        <v>1072</v>
      </c>
      <c r="VKN65" s="277" t="s">
        <v>1072</v>
      </c>
      <c r="VKO65" s="277" t="s">
        <v>1072</v>
      </c>
      <c r="VKP65" s="277" t="s">
        <v>1072</v>
      </c>
      <c r="VKQ65" s="277" t="s">
        <v>1072</v>
      </c>
      <c r="VKR65" s="277" t="s">
        <v>1072</v>
      </c>
      <c r="VKS65" s="277" t="s">
        <v>1072</v>
      </c>
      <c r="VKT65" s="277" t="s">
        <v>1072</v>
      </c>
      <c r="VKU65" s="277" t="s">
        <v>1072</v>
      </c>
      <c r="VKV65" s="277" t="s">
        <v>1072</v>
      </c>
      <c r="VKW65" s="277" t="s">
        <v>1072</v>
      </c>
      <c r="VKX65" s="277" t="s">
        <v>1072</v>
      </c>
      <c r="VKY65" s="277" t="s">
        <v>1072</v>
      </c>
      <c r="VKZ65" s="277" t="s">
        <v>1072</v>
      </c>
      <c r="VLA65" s="277" t="s">
        <v>1072</v>
      </c>
      <c r="VLB65" s="277" t="s">
        <v>1072</v>
      </c>
      <c r="VLC65" s="277" t="s">
        <v>1072</v>
      </c>
      <c r="VLD65" s="277" t="s">
        <v>1072</v>
      </c>
      <c r="VLE65" s="277" t="s">
        <v>1072</v>
      </c>
      <c r="VLF65" s="277" t="s">
        <v>1072</v>
      </c>
      <c r="VLG65" s="277" t="s">
        <v>1072</v>
      </c>
      <c r="VLH65" s="277" t="s">
        <v>1072</v>
      </c>
      <c r="VLI65" s="277" t="s">
        <v>1072</v>
      </c>
      <c r="VLJ65" s="277" t="s">
        <v>1072</v>
      </c>
      <c r="VLK65" s="277" t="s">
        <v>1072</v>
      </c>
      <c r="VLL65" s="277" t="s">
        <v>1072</v>
      </c>
      <c r="VLM65" s="277" t="s">
        <v>1072</v>
      </c>
      <c r="VLN65" s="277" t="s">
        <v>1072</v>
      </c>
      <c r="VLO65" s="277" t="s">
        <v>1072</v>
      </c>
      <c r="VLP65" s="277" t="s">
        <v>1072</v>
      </c>
      <c r="VLQ65" s="277" t="s">
        <v>1072</v>
      </c>
      <c r="VLR65" s="277" t="s">
        <v>1072</v>
      </c>
      <c r="VLS65" s="277" t="s">
        <v>1072</v>
      </c>
      <c r="VLT65" s="277" t="s">
        <v>1072</v>
      </c>
      <c r="VLU65" s="277" t="s">
        <v>1072</v>
      </c>
      <c r="VLV65" s="277" t="s">
        <v>1072</v>
      </c>
      <c r="VLW65" s="277" t="s">
        <v>1072</v>
      </c>
      <c r="VLX65" s="277" t="s">
        <v>1072</v>
      </c>
      <c r="VLY65" s="277" t="s">
        <v>1072</v>
      </c>
      <c r="VLZ65" s="277" t="s">
        <v>1072</v>
      </c>
      <c r="VMA65" s="277" t="s">
        <v>1072</v>
      </c>
      <c r="VMB65" s="277" t="s">
        <v>1072</v>
      </c>
      <c r="VMC65" s="277" t="s">
        <v>1072</v>
      </c>
      <c r="VMD65" s="277" t="s">
        <v>1072</v>
      </c>
      <c r="VME65" s="277" t="s">
        <v>1072</v>
      </c>
      <c r="VMF65" s="277" t="s">
        <v>1072</v>
      </c>
      <c r="VMG65" s="277" t="s">
        <v>1072</v>
      </c>
      <c r="VMH65" s="277" t="s">
        <v>1072</v>
      </c>
      <c r="VMI65" s="277" t="s">
        <v>1072</v>
      </c>
      <c r="VMJ65" s="277" t="s">
        <v>1072</v>
      </c>
      <c r="VMK65" s="277" t="s">
        <v>1072</v>
      </c>
      <c r="VML65" s="277" t="s">
        <v>1072</v>
      </c>
      <c r="VMM65" s="277" t="s">
        <v>1072</v>
      </c>
      <c r="VMN65" s="277" t="s">
        <v>1072</v>
      </c>
      <c r="VMO65" s="277" t="s">
        <v>1072</v>
      </c>
      <c r="VMP65" s="277" t="s">
        <v>1072</v>
      </c>
      <c r="VMQ65" s="277" t="s">
        <v>1072</v>
      </c>
      <c r="VMR65" s="277" t="s">
        <v>1072</v>
      </c>
      <c r="VMS65" s="277" t="s">
        <v>1072</v>
      </c>
      <c r="VMT65" s="277" t="s">
        <v>1072</v>
      </c>
      <c r="VMU65" s="277" t="s">
        <v>1072</v>
      </c>
      <c r="VMV65" s="277" t="s">
        <v>1072</v>
      </c>
      <c r="VMW65" s="277" t="s">
        <v>1072</v>
      </c>
      <c r="VMX65" s="277" t="s">
        <v>1072</v>
      </c>
      <c r="VMY65" s="277" t="s">
        <v>1072</v>
      </c>
      <c r="VMZ65" s="277" t="s">
        <v>1072</v>
      </c>
      <c r="VNA65" s="277" t="s">
        <v>1072</v>
      </c>
      <c r="VNB65" s="277" t="s">
        <v>1072</v>
      </c>
      <c r="VNC65" s="277" t="s">
        <v>1072</v>
      </c>
      <c r="VND65" s="277" t="s">
        <v>1072</v>
      </c>
      <c r="VNE65" s="277" t="s">
        <v>1072</v>
      </c>
      <c r="VNF65" s="277" t="s">
        <v>1072</v>
      </c>
      <c r="VNG65" s="277" t="s">
        <v>1072</v>
      </c>
      <c r="VNH65" s="277" t="s">
        <v>1072</v>
      </c>
      <c r="VNI65" s="277" t="s">
        <v>1072</v>
      </c>
      <c r="VNJ65" s="277" t="s">
        <v>1072</v>
      </c>
      <c r="VNK65" s="277" t="s">
        <v>1072</v>
      </c>
      <c r="VNL65" s="277" t="s">
        <v>1072</v>
      </c>
      <c r="VNM65" s="277" t="s">
        <v>1072</v>
      </c>
      <c r="VNN65" s="277" t="s">
        <v>1072</v>
      </c>
      <c r="VNO65" s="277" t="s">
        <v>1072</v>
      </c>
      <c r="VNP65" s="277" t="s">
        <v>1072</v>
      </c>
      <c r="VNQ65" s="277" t="s">
        <v>1072</v>
      </c>
      <c r="VNR65" s="277" t="s">
        <v>1072</v>
      </c>
      <c r="VNS65" s="277" t="s">
        <v>1072</v>
      </c>
      <c r="VNT65" s="277" t="s">
        <v>1072</v>
      </c>
      <c r="VNU65" s="277" t="s">
        <v>1072</v>
      </c>
      <c r="VNV65" s="277" t="s">
        <v>1072</v>
      </c>
      <c r="VNW65" s="277" t="s">
        <v>1072</v>
      </c>
      <c r="VNX65" s="277" t="s">
        <v>1072</v>
      </c>
      <c r="VNY65" s="277" t="s">
        <v>1072</v>
      </c>
      <c r="VNZ65" s="277" t="s">
        <v>1072</v>
      </c>
      <c r="VOA65" s="277" t="s">
        <v>1072</v>
      </c>
      <c r="VOB65" s="277" t="s">
        <v>1072</v>
      </c>
      <c r="VOC65" s="277" t="s">
        <v>1072</v>
      </c>
      <c r="VOD65" s="277" t="s">
        <v>1072</v>
      </c>
      <c r="VOE65" s="277" t="s">
        <v>1072</v>
      </c>
      <c r="VOF65" s="277" t="s">
        <v>1072</v>
      </c>
      <c r="VOG65" s="277" t="s">
        <v>1072</v>
      </c>
      <c r="VOH65" s="277" t="s">
        <v>1072</v>
      </c>
      <c r="VOI65" s="277" t="s">
        <v>1072</v>
      </c>
      <c r="VOJ65" s="277" t="s">
        <v>1072</v>
      </c>
      <c r="VOK65" s="277" t="s">
        <v>1072</v>
      </c>
      <c r="VOL65" s="277" t="s">
        <v>1072</v>
      </c>
      <c r="VOM65" s="277" t="s">
        <v>1072</v>
      </c>
      <c r="VON65" s="277" t="s">
        <v>1072</v>
      </c>
      <c r="VOO65" s="277" t="s">
        <v>1072</v>
      </c>
      <c r="VOP65" s="277" t="s">
        <v>1072</v>
      </c>
      <c r="VOQ65" s="277" t="s">
        <v>1072</v>
      </c>
      <c r="VOR65" s="277" t="s">
        <v>1072</v>
      </c>
      <c r="VOS65" s="277" t="s">
        <v>1072</v>
      </c>
      <c r="VOT65" s="277" t="s">
        <v>1072</v>
      </c>
      <c r="VOU65" s="277" t="s">
        <v>1072</v>
      </c>
      <c r="VOV65" s="277" t="s">
        <v>1072</v>
      </c>
      <c r="VOW65" s="277" t="s">
        <v>1072</v>
      </c>
      <c r="VOX65" s="277" t="s">
        <v>1072</v>
      </c>
      <c r="VOY65" s="277" t="s">
        <v>1072</v>
      </c>
      <c r="VOZ65" s="277" t="s">
        <v>1072</v>
      </c>
      <c r="VPA65" s="277" t="s">
        <v>1072</v>
      </c>
      <c r="VPB65" s="277" t="s">
        <v>1072</v>
      </c>
      <c r="VPC65" s="277" t="s">
        <v>1072</v>
      </c>
      <c r="VPD65" s="277" t="s">
        <v>1072</v>
      </c>
      <c r="VPE65" s="277" t="s">
        <v>1072</v>
      </c>
      <c r="VPF65" s="277" t="s">
        <v>1072</v>
      </c>
      <c r="VPG65" s="277" t="s">
        <v>1072</v>
      </c>
      <c r="VPH65" s="277" t="s">
        <v>1072</v>
      </c>
      <c r="VPI65" s="277" t="s">
        <v>1072</v>
      </c>
      <c r="VPJ65" s="277" t="s">
        <v>1072</v>
      </c>
      <c r="VPK65" s="277" t="s">
        <v>1072</v>
      </c>
      <c r="VPL65" s="277" t="s">
        <v>1072</v>
      </c>
      <c r="VPM65" s="277" t="s">
        <v>1072</v>
      </c>
      <c r="VPN65" s="277" t="s">
        <v>1072</v>
      </c>
      <c r="VPO65" s="277" t="s">
        <v>1072</v>
      </c>
      <c r="VPP65" s="277" t="s">
        <v>1072</v>
      </c>
      <c r="VPQ65" s="277" t="s">
        <v>1072</v>
      </c>
      <c r="VPR65" s="277" t="s">
        <v>1072</v>
      </c>
      <c r="VPS65" s="277" t="s">
        <v>1072</v>
      </c>
      <c r="VPT65" s="277" t="s">
        <v>1072</v>
      </c>
      <c r="VPU65" s="277" t="s">
        <v>1072</v>
      </c>
      <c r="VPV65" s="277" t="s">
        <v>1072</v>
      </c>
      <c r="VPW65" s="277" t="s">
        <v>1072</v>
      </c>
      <c r="VPX65" s="277" t="s">
        <v>1072</v>
      </c>
      <c r="VPY65" s="277" t="s">
        <v>1072</v>
      </c>
      <c r="VPZ65" s="277" t="s">
        <v>1072</v>
      </c>
      <c r="VQA65" s="277" t="s">
        <v>1072</v>
      </c>
      <c r="VQB65" s="277" t="s">
        <v>1072</v>
      </c>
      <c r="VQC65" s="277" t="s">
        <v>1072</v>
      </c>
      <c r="VQD65" s="277" t="s">
        <v>1072</v>
      </c>
      <c r="VQE65" s="277" t="s">
        <v>1072</v>
      </c>
      <c r="VQF65" s="277" t="s">
        <v>1072</v>
      </c>
      <c r="VQG65" s="277" t="s">
        <v>1072</v>
      </c>
      <c r="VQH65" s="277" t="s">
        <v>1072</v>
      </c>
      <c r="VQI65" s="277" t="s">
        <v>1072</v>
      </c>
      <c r="VQJ65" s="277" t="s">
        <v>1072</v>
      </c>
      <c r="VQK65" s="277" t="s">
        <v>1072</v>
      </c>
      <c r="VQL65" s="277" t="s">
        <v>1072</v>
      </c>
      <c r="VQM65" s="277" t="s">
        <v>1072</v>
      </c>
      <c r="VQN65" s="277" t="s">
        <v>1072</v>
      </c>
      <c r="VQO65" s="277" t="s">
        <v>1072</v>
      </c>
      <c r="VQP65" s="277" t="s">
        <v>1072</v>
      </c>
      <c r="VQQ65" s="277" t="s">
        <v>1072</v>
      </c>
      <c r="VQR65" s="277" t="s">
        <v>1072</v>
      </c>
      <c r="VQS65" s="277" t="s">
        <v>1072</v>
      </c>
      <c r="VQT65" s="277" t="s">
        <v>1072</v>
      </c>
      <c r="VQU65" s="277" t="s">
        <v>1072</v>
      </c>
      <c r="VQV65" s="277" t="s">
        <v>1072</v>
      </c>
      <c r="VQW65" s="277" t="s">
        <v>1072</v>
      </c>
      <c r="VQX65" s="277" t="s">
        <v>1072</v>
      </c>
      <c r="VQY65" s="277" t="s">
        <v>1072</v>
      </c>
      <c r="VQZ65" s="277" t="s">
        <v>1072</v>
      </c>
      <c r="VRA65" s="277" t="s">
        <v>1072</v>
      </c>
      <c r="VRB65" s="277" t="s">
        <v>1072</v>
      </c>
      <c r="VRC65" s="277" t="s">
        <v>1072</v>
      </c>
      <c r="VRD65" s="277" t="s">
        <v>1072</v>
      </c>
      <c r="VRE65" s="277" t="s">
        <v>1072</v>
      </c>
      <c r="VRF65" s="277" t="s">
        <v>1072</v>
      </c>
      <c r="VRG65" s="277" t="s">
        <v>1072</v>
      </c>
      <c r="VRH65" s="277" t="s">
        <v>1072</v>
      </c>
      <c r="VRI65" s="277" t="s">
        <v>1072</v>
      </c>
      <c r="VRJ65" s="277" t="s">
        <v>1072</v>
      </c>
      <c r="VRK65" s="277" t="s">
        <v>1072</v>
      </c>
      <c r="VRL65" s="277" t="s">
        <v>1072</v>
      </c>
      <c r="VRM65" s="277" t="s">
        <v>1072</v>
      </c>
      <c r="VRN65" s="277" t="s">
        <v>1072</v>
      </c>
      <c r="VRO65" s="277" t="s">
        <v>1072</v>
      </c>
      <c r="VRP65" s="277" t="s">
        <v>1072</v>
      </c>
      <c r="VRQ65" s="277" t="s">
        <v>1072</v>
      </c>
      <c r="VRR65" s="277" t="s">
        <v>1072</v>
      </c>
      <c r="VRS65" s="277" t="s">
        <v>1072</v>
      </c>
      <c r="VRT65" s="277" t="s">
        <v>1072</v>
      </c>
      <c r="VRU65" s="277" t="s">
        <v>1072</v>
      </c>
      <c r="VRV65" s="277" t="s">
        <v>1072</v>
      </c>
      <c r="VRW65" s="277" t="s">
        <v>1072</v>
      </c>
      <c r="VRX65" s="277" t="s">
        <v>1072</v>
      </c>
      <c r="VRY65" s="277" t="s">
        <v>1072</v>
      </c>
      <c r="VRZ65" s="277" t="s">
        <v>1072</v>
      </c>
      <c r="VSA65" s="277" t="s">
        <v>1072</v>
      </c>
      <c r="VSB65" s="277" t="s">
        <v>1072</v>
      </c>
      <c r="VSC65" s="277" t="s">
        <v>1072</v>
      </c>
      <c r="VSD65" s="277" t="s">
        <v>1072</v>
      </c>
      <c r="VSE65" s="277" t="s">
        <v>1072</v>
      </c>
      <c r="VSF65" s="277" t="s">
        <v>1072</v>
      </c>
      <c r="VSG65" s="277" t="s">
        <v>1072</v>
      </c>
      <c r="VSH65" s="277" t="s">
        <v>1072</v>
      </c>
      <c r="VSI65" s="277" t="s">
        <v>1072</v>
      </c>
      <c r="VSJ65" s="277" t="s">
        <v>1072</v>
      </c>
      <c r="VSK65" s="277" t="s">
        <v>1072</v>
      </c>
      <c r="VSL65" s="277" t="s">
        <v>1072</v>
      </c>
      <c r="VSM65" s="277" t="s">
        <v>1072</v>
      </c>
      <c r="VSN65" s="277" t="s">
        <v>1072</v>
      </c>
      <c r="VSO65" s="277" t="s">
        <v>1072</v>
      </c>
      <c r="VSP65" s="277" t="s">
        <v>1072</v>
      </c>
      <c r="VSQ65" s="277" t="s">
        <v>1072</v>
      </c>
      <c r="VSR65" s="277" t="s">
        <v>1072</v>
      </c>
      <c r="VSS65" s="277" t="s">
        <v>1072</v>
      </c>
      <c r="VST65" s="277" t="s">
        <v>1072</v>
      </c>
      <c r="VSU65" s="277" t="s">
        <v>1072</v>
      </c>
      <c r="VSV65" s="277" t="s">
        <v>1072</v>
      </c>
      <c r="VSW65" s="277" t="s">
        <v>1072</v>
      </c>
      <c r="VSX65" s="277" t="s">
        <v>1072</v>
      </c>
      <c r="VSY65" s="277" t="s">
        <v>1072</v>
      </c>
      <c r="VSZ65" s="277" t="s">
        <v>1072</v>
      </c>
      <c r="VTA65" s="277" t="s">
        <v>1072</v>
      </c>
      <c r="VTB65" s="277" t="s">
        <v>1072</v>
      </c>
      <c r="VTC65" s="277" t="s">
        <v>1072</v>
      </c>
      <c r="VTD65" s="277" t="s">
        <v>1072</v>
      </c>
      <c r="VTE65" s="277" t="s">
        <v>1072</v>
      </c>
      <c r="VTF65" s="277" t="s">
        <v>1072</v>
      </c>
      <c r="VTG65" s="277" t="s">
        <v>1072</v>
      </c>
      <c r="VTH65" s="277" t="s">
        <v>1072</v>
      </c>
      <c r="VTI65" s="277" t="s">
        <v>1072</v>
      </c>
      <c r="VTJ65" s="277" t="s">
        <v>1072</v>
      </c>
      <c r="VTK65" s="277" t="s">
        <v>1072</v>
      </c>
      <c r="VTL65" s="277" t="s">
        <v>1072</v>
      </c>
      <c r="VTM65" s="277" t="s">
        <v>1072</v>
      </c>
      <c r="VTN65" s="277" t="s">
        <v>1072</v>
      </c>
      <c r="VTO65" s="277" t="s">
        <v>1072</v>
      </c>
      <c r="VTP65" s="277" t="s">
        <v>1072</v>
      </c>
      <c r="VTQ65" s="277" t="s">
        <v>1072</v>
      </c>
      <c r="VTR65" s="277" t="s">
        <v>1072</v>
      </c>
      <c r="VTS65" s="277" t="s">
        <v>1072</v>
      </c>
      <c r="VTT65" s="277" t="s">
        <v>1072</v>
      </c>
      <c r="VTU65" s="277" t="s">
        <v>1072</v>
      </c>
      <c r="VTV65" s="277" t="s">
        <v>1072</v>
      </c>
      <c r="VTW65" s="277" t="s">
        <v>1072</v>
      </c>
      <c r="VTX65" s="277" t="s">
        <v>1072</v>
      </c>
      <c r="VTY65" s="277" t="s">
        <v>1072</v>
      </c>
      <c r="VTZ65" s="277" t="s">
        <v>1072</v>
      </c>
      <c r="VUA65" s="277" t="s">
        <v>1072</v>
      </c>
      <c r="VUB65" s="277" t="s">
        <v>1072</v>
      </c>
      <c r="VUC65" s="277" t="s">
        <v>1072</v>
      </c>
      <c r="VUD65" s="277" t="s">
        <v>1072</v>
      </c>
      <c r="VUE65" s="277" t="s">
        <v>1072</v>
      </c>
      <c r="VUF65" s="277" t="s">
        <v>1072</v>
      </c>
      <c r="VUG65" s="277" t="s">
        <v>1072</v>
      </c>
      <c r="VUH65" s="277" t="s">
        <v>1072</v>
      </c>
      <c r="VUI65" s="277" t="s">
        <v>1072</v>
      </c>
      <c r="VUJ65" s="277" t="s">
        <v>1072</v>
      </c>
      <c r="VUK65" s="277" t="s">
        <v>1072</v>
      </c>
      <c r="VUL65" s="277" t="s">
        <v>1072</v>
      </c>
      <c r="VUM65" s="277" t="s">
        <v>1072</v>
      </c>
      <c r="VUN65" s="277" t="s">
        <v>1072</v>
      </c>
      <c r="VUO65" s="277" t="s">
        <v>1072</v>
      </c>
      <c r="VUP65" s="277" t="s">
        <v>1072</v>
      </c>
      <c r="VUQ65" s="277" t="s">
        <v>1072</v>
      </c>
      <c r="VUR65" s="277" t="s">
        <v>1072</v>
      </c>
      <c r="VUS65" s="277" t="s">
        <v>1072</v>
      </c>
      <c r="VUT65" s="277" t="s">
        <v>1072</v>
      </c>
      <c r="VUU65" s="277" t="s">
        <v>1072</v>
      </c>
      <c r="VUV65" s="277" t="s">
        <v>1072</v>
      </c>
      <c r="VUW65" s="277" t="s">
        <v>1072</v>
      </c>
      <c r="VUX65" s="277" t="s">
        <v>1072</v>
      </c>
      <c r="VUY65" s="277" t="s">
        <v>1072</v>
      </c>
      <c r="VUZ65" s="277" t="s">
        <v>1072</v>
      </c>
      <c r="VVA65" s="277" t="s">
        <v>1072</v>
      </c>
      <c r="VVB65" s="277" t="s">
        <v>1072</v>
      </c>
      <c r="VVC65" s="277" t="s">
        <v>1072</v>
      </c>
      <c r="VVD65" s="277" t="s">
        <v>1072</v>
      </c>
      <c r="VVE65" s="277" t="s">
        <v>1072</v>
      </c>
      <c r="VVF65" s="277" t="s">
        <v>1072</v>
      </c>
      <c r="VVG65" s="277" t="s">
        <v>1072</v>
      </c>
      <c r="VVH65" s="277" t="s">
        <v>1072</v>
      </c>
      <c r="VVI65" s="277" t="s">
        <v>1072</v>
      </c>
      <c r="VVJ65" s="277" t="s">
        <v>1072</v>
      </c>
      <c r="VVK65" s="277" t="s">
        <v>1072</v>
      </c>
      <c r="VVL65" s="277" t="s">
        <v>1072</v>
      </c>
      <c r="VVM65" s="277" t="s">
        <v>1072</v>
      </c>
      <c r="VVN65" s="277" t="s">
        <v>1072</v>
      </c>
      <c r="VVO65" s="277" t="s">
        <v>1072</v>
      </c>
      <c r="VVP65" s="277" t="s">
        <v>1072</v>
      </c>
      <c r="VVQ65" s="277" t="s">
        <v>1072</v>
      </c>
      <c r="VVR65" s="277" t="s">
        <v>1072</v>
      </c>
      <c r="VVS65" s="277" t="s">
        <v>1072</v>
      </c>
      <c r="VVT65" s="277" t="s">
        <v>1072</v>
      </c>
      <c r="VVU65" s="277" t="s">
        <v>1072</v>
      </c>
      <c r="VVV65" s="277" t="s">
        <v>1072</v>
      </c>
      <c r="VVW65" s="277" t="s">
        <v>1072</v>
      </c>
      <c r="VVX65" s="277" t="s">
        <v>1072</v>
      </c>
      <c r="VVY65" s="277" t="s">
        <v>1072</v>
      </c>
      <c r="VVZ65" s="277" t="s">
        <v>1072</v>
      </c>
      <c r="VWA65" s="277" t="s">
        <v>1072</v>
      </c>
      <c r="VWB65" s="277" t="s">
        <v>1072</v>
      </c>
      <c r="VWC65" s="277" t="s">
        <v>1072</v>
      </c>
      <c r="VWD65" s="277" t="s">
        <v>1072</v>
      </c>
      <c r="VWE65" s="277" t="s">
        <v>1072</v>
      </c>
      <c r="VWF65" s="277" t="s">
        <v>1072</v>
      </c>
      <c r="VWG65" s="277" t="s">
        <v>1072</v>
      </c>
      <c r="VWH65" s="277" t="s">
        <v>1072</v>
      </c>
      <c r="VWI65" s="277" t="s">
        <v>1072</v>
      </c>
      <c r="VWJ65" s="277" t="s">
        <v>1072</v>
      </c>
      <c r="VWK65" s="277" t="s">
        <v>1072</v>
      </c>
      <c r="VWL65" s="277" t="s">
        <v>1072</v>
      </c>
      <c r="VWM65" s="277" t="s">
        <v>1072</v>
      </c>
      <c r="VWN65" s="277" t="s">
        <v>1072</v>
      </c>
      <c r="VWO65" s="277" t="s">
        <v>1072</v>
      </c>
      <c r="VWP65" s="277" t="s">
        <v>1072</v>
      </c>
      <c r="VWQ65" s="277" t="s">
        <v>1072</v>
      </c>
      <c r="VWR65" s="277" t="s">
        <v>1072</v>
      </c>
      <c r="VWS65" s="277" t="s">
        <v>1072</v>
      </c>
      <c r="VWT65" s="277" t="s">
        <v>1072</v>
      </c>
      <c r="VWU65" s="277" t="s">
        <v>1072</v>
      </c>
      <c r="VWV65" s="277" t="s">
        <v>1072</v>
      </c>
      <c r="VWW65" s="277" t="s">
        <v>1072</v>
      </c>
      <c r="VWX65" s="277" t="s">
        <v>1072</v>
      </c>
      <c r="VWY65" s="277" t="s">
        <v>1072</v>
      </c>
      <c r="VWZ65" s="277" t="s">
        <v>1072</v>
      </c>
      <c r="VXA65" s="277" t="s">
        <v>1072</v>
      </c>
      <c r="VXB65" s="277" t="s">
        <v>1072</v>
      </c>
      <c r="VXC65" s="277" t="s">
        <v>1072</v>
      </c>
      <c r="VXD65" s="277" t="s">
        <v>1072</v>
      </c>
      <c r="VXE65" s="277" t="s">
        <v>1072</v>
      </c>
      <c r="VXF65" s="277" t="s">
        <v>1072</v>
      </c>
      <c r="VXG65" s="277" t="s">
        <v>1072</v>
      </c>
      <c r="VXH65" s="277" t="s">
        <v>1072</v>
      </c>
      <c r="VXI65" s="277" t="s">
        <v>1072</v>
      </c>
      <c r="VXJ65" s="277" t="s">
        <v>1072</v>
      </c>
      <c r="VXK65" s="277" t="s">
        <v>1072</v>
      </c>
      <c r="VXL65" s="277" t="s">
        <v>1072</v>
      </c>
      <c r="VXM65" s="277" t="s">
        <v>1072</v>
      </c>
      <c r="VXN65" s="277" t="s">
        <v>1072</v>
      </c>
      <c r="VXO65" s="277" t="s">
        <v>1072</v>
      </c>
      <c r="VXP65" s="277" t="s">
        <v>1072</v>
      </c>
      <c r="VXQ65" s="277" t="s">
        <v>1072</v>
      </c>
      <c r="VXR65" s="277" t="s">
        <v>1072</v>
      </c>
      <c r="VXS65" s="277" t="s">
        <v>1072</v>
      </c>
      <c r="VXT65" s="277" t="s">
        <v>1072</v>
      </c>
      <c r="VXU65" s="277" t="s">
        <v>1072</v>
      </c>
      <c r="VXV65" s="277" t="s">
        <v>1072</v>
      </c>
      <c r="VXW65" s="277" t="s">
        <v>1072</v>
      </c>
      <c r="VXX65" s="277" t="s">
        <v>1072</v>
      </c>
      <c r="VXY65" s="277" t="s">
        <v>1072</v>
      </c>
      <c r="VXZ65" s="277" t="s">
        <v>1072</v>
      </c>
      <c r="VYA65" s="277" t="s">
        <v>1072</v>
      </c>
      <c r="VYB65" s="277" t="s">
        <v>1072</v>
      </c>
      <c r="VYC65" s="277" t="s">
        <v>1072</v>
      </c>
      <c r="VYD65" s="277" t="s">
        <v>1072</v>
      </c>
      <c r="VYE65" s="277" t="s">
        <v>1072</v>
      </c>
      <c r="VYF65" s="277" t="s">
        <v>1072</v>
      </c>
      <c r="VYG65" s="277" t="s">
        <v>1072</v>
      </c>
      <c r="VYH65" s="277" t="s">
        <v>1072</v>
      </c>
      <c r="VYI65" s="277" t="s">
        <v>1072</v>
      </c>
      <c r="VYJ65" s="277" t="s">
        <v>1072</v>
      </c>
      <c r="VYK65" s="277" t="s">
        <v>1072</v>
      </c>
      <c r="VYL65" s="277" t="s">
        <v>1072</v>
      </c>
      <c r="VYM65" s="277" t="s">
        <v>1072</v>
      </c>
      <c r="VYN65" s="277" t="s">
        <v>1072</v>
      </c>
      <c r="VYO65" s="277" t="s">
        <v>1072</v>
      </c>
      <c r="VYP65" s="277" t="s">
        <v>1072</v>
      </c>
      <c r="VYQ65" s="277" t="s">
        <v>1072</v>
      </c>
      <c r="VYR65" s="277" t="s">
        <v>1072</v>
      </c>
      <c r="VYS65" s="277" t="s">
        <v>1072</v>
      </c>
      <c r="VYT65" s="277" t="s">
        <v>1072</v>
      </c>
      <c r="VYU65" s="277" t="s">
        <v>1072</v>
      </c>
      <c r="VYV65" s="277" t="s">
        <v>1072</v>
      </c>
      <c r="VYW65" s="277" t="s">
        <v>1072</v>
      </c>
      <c r="VYX65" s="277" t="s">
        <v>1072</v>
      </c>
      <c r="VYY65" s="277" t="s">
        <v>1072</v>
      </c>
      <c r="VYZ65" s="277" t="s">
        <v>1072</v>
      </c>
      <c r="VZA65" s="277" t="s">
        <v>1072</v>
      </c>
      <c r="VZB65" s="277" t="s">
        <v>1072</v>
      </c>
      <c r="VZC65" s="277" t="s">
        <v>1072</v>
      </c>
      <c r="VZD65" s="277" t="s">
        <v>1072</v>
      </c>
      <c r="VZE65" s="277" t="s">
        <v>1072</v>
      </c>
      <c r="VZF65" s="277" t="s">
        <v>1072</v>
      </c>
      <c r="VZG65" s="277" t="s">
        <v>1072</v>
      </c>
      <c r="VZH65" s="277" t="s">
        <v>1072</v>
      </c>
      <c r="VZI65" s="277" t="s">
        <v>1072</v>
      </c>
      <c r="VZJ65" s="277" t="s">
        <v>1072</v>
      </c>
      <c r="VZK65" s="277" t="s">
        <v>1072</v>
      </c>
      <c r="VZL65" s="277" t="s">
        <v>1072</v>
      </c>
      <c r="VZM65" s="277" t="s">
        <v>1072</v>
      </c>
      <c r="VZN65" s="277" t="s">
        <v>1072</v>
      </c>
      <c r="VZO65" s="277" t="s">
        <v>1072</v>
      </c>
      <c r="VZP65" s="277" t="s">
        <v>1072</v>
      </c>
      <c r="VZQ65" s="277" t="s">
        <v>1072</v>
      </c>
      <c r="VZR65" s="277" t="s">
        <v>1072</v>
      </c>
      <c r="VZS65" s="277" t="s">
        <v>1072</v>
      </c>
      <c r="VZT65" s="277" t="s">
        <v>1072</v>
      </c>
      <c r="VZU65" s="277" t="s">
        <v>1072</v>
      </c>
      <c r="VZV65" s="277" t="s">
        <v>1072</v>
      </c>
      <c r="VZW65" s="277" t="s">
        <v>1072</v>
      </c>
      <c r="VZX65" s="277" t="s">
        <v>1072</v>
      </c>
      <c r="VZY65" s="277" t="s">
        <v>1072</v>
      </c>
      <c r="VZZ65" s="277" t="s">
        <v>1072</v>
      </c>
      <c r="WAA65" s="277" t="s">
        <v>1072</v>
      </c>
      <c r="WAB65" s="277" t="s">
        <v>1072</v>
      </c>
      <c r="WAC65" s="277" t="s">
        <v>1072</v>
      </c>
      <c r="WAD65" s="277" t="s">
        <v>1072</v>
      </c>
      <c r="WAE65" s="277" t="s">
        <v>1072</v>
      </c>
      <c r="WAF65" s="277" t="s">
        <v>1072</v>
      </c>
      <c r="WAG65" s="277" t="s">
        <v>1072</v>
      </c>
      <c r="WAH65" s="277" t="s">
        <v>1072</v>
      </c>
      <c r="WAI65" s="277" t="s">
        <v>1072</v>
      </c>
      <c r="WAJ65" s="277" t="s">
        <v>1072</v>
      </c>
      <c r="WAK65" s="277" t="s">
        <v>1072</v>
      </c>
      <c r="WAL65" s="277" t="s">
        <v>1072</v>
      </c>
      <c r="WAM65" s="277" t="s">
        <v>1072</v>
      </c>
      <c r="WAN65" s="277" t="s">
        <v>1072</v>
      </c>
      <c r="WAO65" s="277" t="s">
        <v>1072</v>
      </c>
      <c r="WAP65" s="277" t="s">
        <v>1072</v>
      </c>
      <c r="WAQ65" s="277" t="s">
        <v>1072</v>
      </c>
      <c r="WAR65" s="277" t="s">
        <v>1072</v>
      </c>
      <c r="WAS65" s="277" t="s">
        <v>1072</v>
      </c>
      <c r="WAT65" s="277" t="s">
        <v>1072</v>
      </c>
      <c r="WAU65" s="277" t="s">
        <v>1072</v>
      </c>
      <c r="WAV65" s="277" t="s">
        <v>1072</v>
      </c>
      <c r="WAW65" s="277" t="s">
        <v>1072</v>
      </c>
      <c r="WAX65" s="277" t="s">
        <v>1072</v>
      </c>
      <c r="WAY65" s="277" t="s">
        <v>1072</v>
      </c>
      <c r="WAZ65" s="277" t="s">
        <v>1072</v>
      </c>
      <c r="WBA65" s="277" t="s">
        <v>1072</v>
      </c>
      <c r="WBB65" s="277" t="s">
        <v>1072</v>
      </c>
      <c r="WBC65" s="277" t="s">
        <v>1072</v>
      </c>
      <c r="WBD65" s="277" t="s">
        <v>1072</v>
      </c>
      <c r="WBE65" s="277" t="s">
        <v>1072</v>
      </c>
      <c r="WBF65" s="277" t="s">
        <v>1072</v>
      </c>
      <c r="WBG65" s="277" t="s">
        <v>1072</v>
      </c>
      <c r="WBH65" s="277" t="s">
        <v>1072</v>
      </c>
      <c r="WBI65" s="277" t="s">
        <v>1072</v>
      </c>
      <c r="WBJ65" s="277" t="s">
        <v>1072</v>
      </c>
      <c r="WBK65" s="277" t="s">
        <v>1072</v>
      </c>
      <c r="WBL65" s="277" t="s">
        <v>1072</v>
      </c>
      <c r="WBM65" s="277" t="s">
        <v>1072</v>
      </c>
      <c r="WBN65" s="277" t="s">
        <v>1072</v>
      </c>
      <c r="WBO65" s="277" t="s">
        <v>1072</v>
      </c>
      <c r="WBP65" s="277" t="s">
        <v>1072</v>
      </c>
      <c r="WBQ65" s="277" t="s">
        <v>1072</v>
      </c>
      <c r="WBR65" s="277" t="s">
        <v>1072</v>
      </c>
      <c r="WBS65" s="277" t="s">
        <v>1072</v>
      </c>
      <c r="WBT65" s="277" t="s">
        <v>1072</v>
      </c>
      <c r="WBU65" s="277" t="s">
        <v>1072</v>
      </c>
      <c r="WBV65" s="277" t="s">
        <v>1072</v>
      </c>
      <c r="WBW65" s="277" t="s">
        <v>1072</v>
      </c>
      <c r="WBX65" s="277" t="s">
        <v>1072</v>
      </c>
      <c r="WBY65" s="277" t="s">
        <v>1072</v>
      </c>
      <c r="WBZ65" s="277" t="s">
        <v>1072</v>
      </c>
      <c r="WCA65" s="277" t="s">
        <v>1072</v>
      </c>
      <c r="WCB65" s="277" t="s">
        <v>1072</v>
      </c>
      <c r="WCC65" s="277" t="s">
        <v>1072</v>
      </c>
      <c r="WCD65" s="277" t="s">
        <v>1072</v>
      </c>
      <c r="WCE65" s="277" t="s">
        <v>1072</v>
      </c>
      <c r="WCF65" s="277" t="s">
        <v>1072</v>
      </c>
      <c r="WCG65" s="277" t="s">
        <v>1072</v>
      </c>
      <c r="WCH65" s="277" t="s">
        <v>1072</v>
      </c>
      <c r="WCI65" s="277" t="s">
        <v>1072</v>
      </c>
      <c r="WCJ65" s="277" t="s">
        <v>1072</v>
      </c>
      <c r="WCK65" s="277" t="s">
        <v>1072</v>
      </c>
      <c r="WCL65" s="277" t="s">
        <v>1072</v>
      </c>
      <c r="WCM65" s="277" t="s">
        <v>1072</v>
      </c>
      <c r="WCN65" s="277" t="s">
        <v>1072</v>
      </c>
      <c r="WCO65" s="277" t="s">
        <v>1072</v>
      </c>
      <c r="WCP65" s="277" t="s">
        <v>1072</v>
      </c>
      <c r="WCQ65" s="277" t="s">
        <v>1072</v>
      </c>
      <c r="WCR65" s="277" t="s">
        <v>1072</v>
      </c>
      <c r="WCS65" s="277" t="s">
        <v>1072</v>
      </c>
      <c r="WCT65" s="277" t="s">
        <v>1072</v>
      </c>
      <c r="WCU65" s="277" t="s">
        <v>1072</v>
      </c>
      <c r="WCV65" s="277" t="s">
        <v>1072</v>
      </c>
      <c r="WCW65" s="277" t="s">
        <v>1072</v>
      </c>
      <c r="WCX65" s="277" t="s">
        <v>1072</v>
      </c>
      <c r="WCY65" s="277" t="s">
        <v>1072</v>
      </c>
      <c r="WCZ65" s="277" t="s">
        <v>1072</v>
      </c>
      <c r="WDA65" s="277" t="s">
        <v>1072</v>
      </c>
      <c r="WDB65" s="277" t="s">
        <v>1072</v>
      </c>
      <c r="WDC65" s="277" t="s">
        <v>1072</v>
      </c>
      <c r="WDD65" s="277" t="s">
        <v>1072</v>
      </c>
      <c r="WDE65" s="277" t="s">
        <v>1072</v>
      </c>
      <c r="WDF65" s="277" t="s">
        <v>1072</v>
      </c>
      <c r="WDG65" s="277" t="s">
        <v>1072</v>
      </c>
      <c r="WDH65" s="277" t="s">
        <v>1072</v>
      </c>
      <c r="WDI65" s="277" t="s">
        <v>1072</v>
      </c>
      <c r="WDJ65" s="277" t="s">
        <v>1072</v>
      </c>
      <c r="WDK65" s="277" t="s">
        <v>1072</v>
      </c>
      <c r="WDL65" s="277" t="s">
        <v>1072</v>
      </c>
      <c r="WDM65" s="277" t="s">
        <v>1072</v>
      </c>
      <c r="WDN65" s="277" t="s">
        <v>1072</v>
      </c>
      <c r="WDO65" s="277" t="s">
        <v>1072</v>
      </c>
      <c r="WDP65" s="277" t="s">
        <v>1072</v>
      </c>
      <c r="WDQ65" s="277" t="s">
        <v>1072</v>
      </c>
      <c r="WDR65" s="277" t="s">
        <v>1072</v>
      </c>
      <c r="WDS65" s="277" t="s">
        <v>1072</v>
      </c>
      <c r="WDT65" s="277" t="s">
        <v>1072</v>
      </c>
      <c r="WDU65" s="277" t="s">
        <v>1072</v>
      </c>
      <c r="WDV65" s="277" t="s">
        <v>1072</v>
      </c>
      <c r="WDW65" s="277" t="s">
        <v>1072</v>
      </c>
      <c r="WDX65" s="277" t="s">
        <v>1072</v>
      </c>
      <c r="WDY65" s="277" t="s">
        <v>1072</v>
      </c>
      <c r="WDZ65" s="277" t="s">
        <v>1072</v>
      </c>
      <c r="WEA65" s="277" t="s">
        <v>1072</v>
      </c>
      <c r="WEB65" s="277" t="s">
        <v>1072</v>
      </c>
      <c r="WEC65" s="277" t="s">
        <v>1072</v>
      </c>
      <c r="WED65" s="277" t="s">
        <v>1072</v>
      </c>
      <c r="WEE65" s="277" t="s">
        <v>1072</v>
      </c>
      <c r="WEF65" s="277" t="s">
        <v>1072</v>
      </c>
      <c r="WEG65" s="277" t="s">
        <v>1072</v>
      </c>
      <c r="WEH65" s="277" t="s">
        <v>1072</v>
      </c>
      <c r="WEI65" s="277" t="s">
        <v>1072</v>
      </c>
      <c r="WEJ65" s="277" t="s">
        <v>1072</v>
      </c>
      <c r="WEK65" s="277" t="s">
        <v>1072</v>
      </c>
      <c r="WEL65" s="277" t="s">
        <v>1072</v>
      </c>
      <c r="WEM65" s="277" t="s">
        <v>1072</v>
      </c>
      <c r="WEN65" s="277" t="s">
        <v>1072</v>
      </c>
      <c r="WEO65" s="277" t="s">
        <v>1072</v>
      </c>
      <c r="WEP65" s="277" t="s">
        <v>1072</v>
      </c>
      <c r="WEQ65" s="277" t="s">
        <v>1072</v>
      </c>
      <c r="WER65" s="277" t="s">
        <v>1072</v>
      </c>
      <c r="WES65" s="277" t="s">
        <v>1072</v>
      </c>
      <c r="WET65" s="277" t="s">
        <v>1072</v>
      </c>
      <c r="WEU65" s="277" t="s">
        <v>1072</v>
      </c>
      <c r="WEV65" s="277" t="s">
        <v>1072</v>
      </c>
      <c r="WEW65" s="277" t="s">
        <v>1072</v>
      </c>
      <c r="WEX65" s="277" t="s">
        <v>1072</v>
      </c>
      <c r="WEY65" s="277" t="s">
        <v>1072</v>
      </c>
      <c r="WEZ65" s="277" t="s">
        <v>1072</v>
      </c>
      <c r="WFA65" s="277" t="s">
        <v>1072</v>
      </c>
      <c r="WFB65" s="277" t="s">
        <v>1072</v>
      </c>
      <c r="WFC65" s="277" t="s">
        <v>1072</v>
      </c>
      <c r="WFD65" s="277" t="s">
        <v>1072</v>
      </c>
      <c r="WFE65" s="277" t="s">
        <v>1072</v>
      </c>
      <c r="WFF65" s="277" t="s">
        <v>1072</v>
      </c>
      <c r="WFG65" s="277" t="s">
        <v>1072</v>
      </c>
      <c r="WFH65" s="277" t="s">
        <v>1072</v>
      </c>
      <c r="WFI65" s="277" t="s">
        <v>1072</v>
      </c>
      <c r="WFJ65" s="277" t="s">
        <v>1072</v>
      </c>
      <c r="WFK65" s="277" t="s">
        <v>1072</v>
      </c>
      <c r="WFL65" s="277" t="s">
        <v>1072</v>
      </c>
      <c r="WFM65" s="277" t="s">
        <v>1072</v>
      </c>
      <c r="WFN65" s="277" t="s">
        <v>1072</v>
      </c>
      <c r="WFO65" s="277" t="s">
        <v>1072</v>
      </c>
      <c r="WFP65" s="277" t="s">
        <v>1072</v>
      </c>
      <c r="WFQ65" s="277" t="s">
        <v>1072</v>
      </c>
      <c r="WFR65" s="277" t="s">
        <v>1072</v>
      </c>
      <c r="WFS65" s="277" t="s">
        <v>1072</v>
      </c>
      <c r="WFT65" s="277" t="s">
        <v>1072</v>
      </c>
      <c r="WFU65" s="277" t="s">
        <v>1072</v>
      </c>
      <c r="WFV65" s="277" t="s">
        <v>1072</v>
      </c>
      <c r="WFW65" s="277" t="s">
        <v>1072</v>
      </c>
      <c r="WFX65" s="277" t="s">
        <v>1072</v>
      </c>
      <c r="WFY65" s="277" t="s">
        <v>1072</v>
      </c>
      <c r="WFZ65" s="277" t="s">
        <v>1072</v>
      </c>
      <c r="WGA65" s="277" t="s">
        <v>1072</v>
      </c>
      <c r="WGB65" s="277" t="s">
        <v>1072</v>
      </c>
      <c r="WGC65" s="277" t="s">
        <v>1072</v>
      </c>
      <c r="WGD65" s="277" t="s">
        <v>1072</v>
      </c>
      <c r="WGE65" s="277" t="s">
        <v>1072</v>
      </c>
      <c r="WGF65" s="277" t="s">
        <v>1072</v>
      </c>
      <c r="WGG65" s="277" t="s">
        <v>1072</v>
      </c>
      <c r="WGH65" s="277" t="s">
        <v>1072</v>
      </c>
      <c r="WGI65" s="277" t="s">
        <v>1072</v>
      </c>
      <c r="WGJ65" s="277" t="s">
        <v>1072</v>
      </c>
      <c r="WGK65" s="277" t="s">
        <v>1072</v>
      </c>
      <c r="WGL65" s="277" t="s">
        <v>1072</v>
      </c>
      <c r="WGM65" s="277" t="s">
        <v>1072</v>
      </c>
      <c r="WGN65" s="277" t="s">
        <v>1072</v>
      </c>
      <c r="WGO65" s="277" t="s">
        <v>1072</v>
      </c>
      <c r="WGP65" s="277" t="s">
        <v>1072</v>
      </c>
      <c r="WGQ65" s="277" t="s">
        <v>1072</v>
      </c>
      <c r="WGR65" s="277" t="s">
        <v>1072</v>
      </c>
      <c r="WGS65" s="277" t="s">
        <v>1072</v>
      </c>
      <c r="WGT65" s="277" t="s">
        <v>1072</v>
      </c>
      <c r="WGU65" s="277" t="s">
        <v>1072</v>
      </c>
      <c r="WGV65" s="277" t="s">
        <v>1072</v>
      </c>
      <c r="WGW65" s="277" t="s">
        <v>1072</v>
      </c>
      <c r="WGX65" s="277" t="s">
        <v>1072</v>
      </c>
      <c r="WGY65" s="277" t="s">
        <v>1072</v>
      </c>
      <c r="WGZ65" s="277" t="s">
        <v>1072</v>
      </c>
      <c r="WHA65" s="277" t="s">
        <v>1072</v>
      </c>
      <c r="WHB65" s="277" t="s">
        <v>1072</v>
      </c>
      <c r="WHC65" s="277" t="s">
        <v>1072</v>
      </c>
      <c r="WHD65" s="277" t="s">
        <v>1072</v>
      </c>
      <c r="WHE65" s="277" t="s">
        <v>1072</v>
      </c>
      <c r="WHF65" s="277" t="s">
        <v>1072</v>
      </c>
      <c r="WHG65" s="277" t="s">
        <v>1072</v>
      </c>
      <c r="WHH65" s="277" t="s">
        <v>1072</v>
      </c>
      <c r="WHI65" s="277" t="s">
        <v>1072</v>
      </c>
      <c r="WHJ65" s="277" t="s">
        <v>1072</v>
      </c>
      <c r="WHK65" s="277" t="s">
        <v>1072</v>
      </c>
      <c r="WHL65" s="277" t="s">
        <v>1072</v>
      </c>
      <c r="WHM65" s="277" t="s">
        <v>1072</v>
      </c>
      <c r="WHN65" s="277" t="s">
        <v>1072</v>
      </c>
      <c r="WHO65" s="277" t="s">
        <v>1072</v>
      </c>
      <c r="WHP65" s="277" t="s">
        <v>1072</v>
      </c>
      <c r="WHQ65" s="277" t="s">
        <v>1072</v>
      </c>
      <c r="WHR65" s="277" t="s">
        <v>1072</v>
      </c>
      <c r="WHS65" s="277" t="s">
        <v>1072</v>
      </c>
      <c r="WHT65" s="277" t="s">
        <v>1072</v>
      </c>
      <c r="WHU65" s="277" t="s">
        <v>1072</v>
      </c>
      <c r="WHV65" s="277" t="s">
        <v>1072</v>
      </c>
      <c r="WHW65" s="277" t="s">
        <v>1072</v>
      </c>
      <c r="WHX65" s="277" t="s">
        <v>1072</v>
      </c>
      <c r="WHY65" s="277" t="s">
        <v>1072</v>
      </c>
      <c r="WHZ65" s="277" t="s">
        <v>1072</v>
      </c>
      <c r="WIA65" s="277" t="s">
        <v>1072</v>
      </c>
      <c r="WIB65" s="277" t="s">
        <v>1072</v>
      </c>
      <c r="WIC65" s="277" t="s">
        <v>1072</v>
      </c>
      <c r="WID65" s="277" t="s">
        <v>1072</v>
      </c>
      <c r="WIE65" s="277" t="s">
        <v>1072</v>
      </c>
      <c r="WIF65" s="277" t="s">
        <v>1072</v>
      </c>
      <c r="WIG65" s="277" t="s">
        <v>1072</v>
      </c>
      <c r="WIH65" s="277" t="s">
        <v>1072</v>
      </c>
      <c r="WII65" s="277" t="s">
        <v>1072</v>
      </c>
      <c r="WIJ65" s="277" t="s">
        <v>1072</v>
      </c>
      <c r="WIK65" s="277" t="s">
        <v>1072</v>
      </c>
      <c r="WIL65" s="277" t="s">
        <v>1072</v>
      </c>
      <c r="WIM65" s="277" t="s">
        <v>1072</v>
      </c>
      <c r="WIN65" s="277" t="s">
        <v>1072</v>
      </c>
      <c r="WIO65" s="277" t="s">
        <v>1072</v>
      </c>
      <c r="WIP65" s="277" t="s">
        <v>1072</v>
      </c>
      <c r="WIQ65" s="277" t="s">
        <v>1072</v>
      </c>
      <c r="WIR65" s="277" t="s">
        <v>1072</v>
      </c>
      <c r="WIS65" s="277" t="s">
        <v>1072</v>
      </c>
      <c r="WIT65" s="277" t="s">
        <v>1072</v>
      </c>
      <c r="WIU65" s="277" t="s">
        <v>1072</v>
      </c>
      <c r="WIV65" s="277" t="s">
        <v>1072</v>
      </c>
      <c r="WIW65" s="277" t="s">
        <v>1072</v>
      </c>
      <c r="WIX65" s="277" t="s">
        <v>1072</v>
      </c>
      <c r="WIY65" s="277" t="s">
        <v>1072</v>
      </c>
      <c r="WIZ65" s="277" t="s">
        <v>1072</v>
      </c>
      <c r="WJA65" s="277" t="s">
        <v>1072</v>
      </c>
      <c r="WJB65" s="277" t="s">
        <v>1072</v>
      </c>
      <c r="WJC65" s="277" t="s">
        <v>1072</v>
      </c>
      <c r="WJD65" s="277" t="s">
        <v>1072</v>
      </c>
      <c r="WJE65" s="277" t="s">
        <v>1072</v>
      </c>
      <c r="WJF65" s="277" t="s">
        <v>1072</v>
      </c>
      <c r="WJG65" s="277" t="s">
        <v>1072</v>
      </c>
      <c r="WJH65" s="277" t="s">
        <v>1072</v>
      </c>
      <c r="WJI65" s="277" t="s">
        <v>1072</v>
      </c>
      <c r="WJJ65" s="277" t="s">
        <v>1072</v>
      </c>
      <c r="WJK65" s="277" t="s">
        <v>1072</v>
      </c>
      <c r="WJL65" s="277" t="s">
        <v>1072</v>
      </c>
      <c r="WJM65" s="277" t="s">
        <v>1072</v>
      </c>
      <c r="WJN65" s="277" t="s">
        <v>1072</v>
      </c>
      <c r="WJO65" s="277" t="s">
        <v>1072</v>
      </c>
      <c r="WJP65" s="277" t="s">
        <v>1072</v>
      </c>
      <c r="WJQ65" s="277" t="s">
        <v>1072</v>
      </c>
      <c r="WJR65" s="277" t="s">
        <v>1072</v>
      </c>
      <c r="WJS65" s="277" t="s">
        <v>1072</v>
      </c>
      <c r="WJT65" s="277" t="s">
        <v>1072</v>
      </c>
      <c r="WJU65" s="277" t="s">
        <v>1072</v>
      </c>
      <c r="WJV65" s="277" t="s">
        <v>1072</v>
      </c>
      <c r="WJW65" s="277" t="s">
        <v>1072</v>
      </c>
      <c r="WJX65" s="277" t="s">
        <v>1072</v>
      </c>
      <c r="WJY65" s="277" t="s">
        <v>1072</v>
      </c>
      <c r="WJZ65" s="277" t="s">
        <v>1072</v>
      </c>
      <c r="WKA65" s="277" t="s">
        <v>1072</v>
      </c>
      <c r="WKB65" s="277" t="s">
        <v>1072</v>
      </c>
      <c r="WKC65" s="277" t="s">
        <v>1072</v>
      </c>
      <c r="WKD65" s="277" t="s">
        <v>1072</v>
      </c>
      <c r="WKE65" s="277" t="s">
        <v>1072</v>
      </c>
      <c r="WKF65" s="277" t="s">
        <v>1072</v>
      </c>
      <c r="WKG65" s="277" t="s">
        <v>1072</v>
      </c>
      <c r="WKH65" s="277" t="s">
        <v>1072</v>
      </c>
      <c r="WKI65" s="277" t="s">
        <v>1072</v>
      </c>
      <c r="WKJ65" s="277" t="s">
        <v>1072</v>
      </c>
      <c r="WKK65" s="277" t="s">
        <v>1072</v>
      </c>
      <c r="WKL65" s="277" t="s">
        <v>1072</v>
      </c>
      <c r="WKM65" s="277" t="s">
        <v>1072</v>
      </c>
      <c r="WKN65" s="277" t="s">
        <v>1072</v>
      </c>
      <c r="WKO65" s="277" t="s">
        <v>1072</v>
      </c>
      <c r="WKP65" s="277" t="s">
        <v>1072</v>
      </c>
      <c r="WKQ65" s="277" t="s">
        <v>1072</v>
      </c>
      <c r="WKR65" s="277" t="s">
        <v>1072</v>
      </c>
      <c r="WKS65" s="277" t="s">
        <v>1072</v>
      </c>
      <c r="WKT65" s="277" t="s">
        <v>1072</v>
      </c>
      <c r="WKU65" s="277" t="s">
        <v>1072</v>
      </c>
      <c r="WKV65" s="277" t="s">
        <v>1072</v>
      </c>
      <c r="WKW65" s="277" t="s">
        <v>1072</v>
      </c>
      <c r="WKX65" s="277" t="s">
        <v>1072</v>
      </c>
      <c r="WKY65" s="277" t="s">
        <v>1072</v>
      </c>
      <c r="WKZ65" s="277" t="s">
        <v>1072</v>
      </c>
      <c r="WLA65" s="277" t="s">
        <v>1072</v>
      </c>
      <c r="WLB65" s="277" t="s">
        <v>1072</v>
      </c>
      <c r="WLC65" s="277" t="s">
        <v>1072</v>
      </c>
      <c r="WLD65" s="277" t="s">
        <v>1072</v>
      </c>
      <c r="WLE65" s="277" t="s">
        <v>1072</v>
      </c>
      <c r="WLF65" s="277" t="s">
        <v>1072</v>
      </c>
      <c r="WLG65" s="277" t="s">
        <v>1072</v>
      </c>
      <c r="WLH65" s="277" t="s">
        <v>1072</v>
      </c>
      <c r="WLI65" s="277" t="s">
        <v>1072</v>
      </c>
      <c r="WLJ65" s="277" t="s">
        <v>1072</v>
      </c>
      <c r="WLK65" s="277" t="s">
        <v>1072</v>
      </c>
      <c r="WLL65" s="277" t="s">
        <v>1072</v>
      </c>
      <c r="WLM65" s="277" t="s">
        <v>1072</v>
      </c>
      <c r="WLN65" s="277" t="s">
        <v>1072</v>
      </c>
      <c r="WLO65" s="277" t="s">
        <v>1072</v>
      </c>
      <c r="WLP65" s="277" t="s">
        <v>1072</v>
      </c>
      <c r="WLQ65" s="277" t="s">
        <v>1072</v>
      </c>
      <c r="WLR65" s="277" t="s">
        <v>1072</v>
      </c>
      <c r="WLS65" s="277" t="s">
        <v>1072</v>
      </c>
      <c r="WLT65" s="277" t="s">
        <v>1072</v>
      </c>
      <c r="WLU65" s="277" t="s">
        <v>1072</v>
      </c>
      <c r="WLV65" s="277" t="s">
        <v>1072</v>
      </c>
      <c r="WLW65" s="277" t="s">
        <v>1072</v>
      </c>
      <c r="WLX65" s="277" t="s">
        <v>1072</v>
      </c>
      <c r="WLY65" s="277" t="s">
        <v>1072</v>
      </c>
      <c r="WLZ65" s="277" t="s">
        <v>1072</v>
      </c>
      <c r="WMA65" s="277" t="s">
        <v>1072</v>
      </c>
      <c r="WMB65" s="277" t="s">
        <v>1072</v>
      </c>
      <c r="WMC65" s="277" t="s">
        <v>1072</v>
      </c>
      <c r="WMD65" s="277" t="s">
        <v>1072</v>
      </c>
      <c r="WME65" s="277" t="s">
        <v>1072</v>
      </c>
      <c r="WMF65" s="277" t="s">
        <v>1072</v>
      </c>
      <c r="WMG65" s="277" t="s">
        <v>1072</v>
      </c>
      <c r="WMH65" s="277" t="s">
        <v>1072</v>
      </c>
      <c r="WMI65" s="277" t="s">
        <v>1072</v>
      </c>
      <c r="WMJ65" s="277" t="s">
        <v>1072</v>
      </c>
      <c r="WMK65" s="277" t="s">
        <v>1072</v>
      </c>
      <c r="WML65" s="277" t="s">
        <v>1072</v>
      </c>
      <c r="WMM65" s="277" t="s">
        <v>1072</v>
      </c>
      <c r="WMN65" s="277" t="s">
        <v>1072</v>
      </c>
      <c r="WMO65" s="277" t="s">
        <v>1072</v>
      </c>
      <c r="WMP65" s="277" t="s">
        <v>1072</v>
      </c>
      <c r="WMQ65" s="277" t="s">
        <v>1072</v>
      </c>
      <c r="WMR65" s="277" t="s">
        <v>1072</v>
      </c>
      <c r="WMS65" s="277" t="s">
        <v>1072</v>
      </c>
      <c r="WMT65" s="277" t="s">
        <v>1072</v>
      </c>
      <c r="WMU65" s="277" t="s">
        <v>1072</v>
      </c>
      <c r="WMV65" s="277" t="s">
        <v>1072</v>
      </c>
      <c r="WMW65" s="277" t="s">
        <v>1072</v>
      </c>
      <c r="WMX65" s="277" t="s">
        <v>1072</v>
      </c>
      <c r="WMY65" s="277" t="s">
        <v>1072</v>
      </c>
      <c r="WMZ65" s="277" t="s">
        <v>1072</v>
      </c>
      <c r="WNA65" s="277" t="s">
        <v>1072</v>
      </c>
      <c r="WNB65" s="277" t="s">
        <v>1072</v>
      </c>
      <c r="WNC65" s="277" t="s">
        <v>1072</v>
      </c>
      <c r="WND65" s="277" t="s">
        <v>1072</v>
      </c>
      <c r="WNE65" s="277" t="s">
        <v>1072</v>
      </c>
      <c r="WNF65" s="277" t="s">
        <v>1072</v>
      </c>
      <c r="WNG65" s="277" t="s">
        <v>1072</v>
      </c>
      <c r="WNH65" s="277" t="s">
        <v>1072</v>
      </c>
      <c r="WNI65" s="277" t="s">
        <v>1072</v>
      </c>
      <c r="WNJ65" s="277" t="s">
        <v>1072</v>
      </c>
      <c r="WNK65" s="277" t="s">
        <v>1072</v>
      </c>
      <c r="WNL65" s="277" t="s">
        <v>1072</v>
      </c>
      <c r="WNM65" s="277" t="s">
        <v>1072</v>
      </c>
      <c r="WNN65" s="277" t="s">
        <v>1072</v>
      </c>
      <c r="WNO65" s="277" t="s">
        <v>1072</v>
      </c>
      <c r="WNP65" s="277" t="s">
        <v>1072</v>
      </c>
      <c r="WNQ65" s="277" t="s">
        <v>1072</v>
      </c>
      <c r="WNR65" s="277" t="s">
        <v>1072</v>
      </c>
      <c r="WNS65" s="277" t="s">
        <v>1072</v>
      </c>
      <c r="WNT65" s="277" t="s">
        <v>1072</v>
      </c>
      <c r="WNU65" s="277" t="s">
        <v>1072</v>
      </c>
      <c r="WNV65" s="277" t="s">
        <v>1072</v>
      </c>
      <c r="WNW65" s="277" t="s">
        <v>1072</v>
      </c>
      <c r="WNX65" s="277" t="s">
        <v>1072</v>
      </c>
      <c r="WNY65" s="277" t="s">
        <v>1072</v>
      </c>
      <c r="WNZ65" s="277" t="s">
        <v>1072</v>
      </c>
      <c r="WOA65" s="277" t="s">
        <v>1072</v>
      </c>
      <c r="WOB65" s="277" t="s">
        <v>1072</v>
      </c>
      <c r="WOC65" s="277" t="s">
        <v>1072</v>
      </c>
      <c r="WOD65" s="277" t="s">
        <v>1072</v>
      </c>
      <c r="WOE65" s="277" t="s">
        <v>1072</v>
      </c>
      <c r="WOF65" s="277" t="s">
        <v>1072</v>
      </c>
      <c r="WOG65" s="277" t="s">
        <v>1072</v>
      </c>
      <c r="WOH65" s="277" t="s">
        <v>1072</v>
      </c>
      <c r="WOI65" s="277" t="s">
        <v>1072</v>
      </c>
      <c r="WOJ65" s="277" t="s">
        <v>1072</v>
      </c>
      <c r="WOK65" s="277" t="s">
        <v>1072</v>
      </c>
      <c r="WOL65" s="277" t="s">
        <v>1072</v>
      </c>
      <c r="WOM65" s="277" t="s">
        <v>1072</v>
      </c>
      <c r="WON65" s="277" t="s">
        <v>1072</v>
      </c>
      <c r="WOO65" s="277" t="s">
        <v>1072</v>
      </c>
      <c r="WOP65" s="277" t="s">
        <v>1072</v>
      </c>
      <c r="WOQ65" s="277" t="s">
        <v>1072</v>
      </c>
      <c r="WOR65" s="277" t="s">
        <v>1072</v>
      </c>
      <c r="WOS65" s="277" t="s">
        <v>1072</v>
      </c>
      <c r="WOT65" s="277" t="s">
        <v>1072</v>
      </c>
      <c r="WOU65" s="277" t="s">
        <v>1072</v>
      </c>
      <c r="WOV65" s="277" t="s">
        <v>1072</v>
      </c>
      <c r="WOW65" s="277" t="s">
        <v>1072</v>
      </c>
      <c r="WOX65" s="277" t="s">
        <v>1072</v>
      </c>
      <c r="WOY65" s="277" t="s">
        <v>1072</v>
      </c>
      <c r="WOZ65" s="277" t="s">
        <v>1072</v>
      </c>
      <c r="WPA65" s="277" t="s">
        <v>1072</v>
      </c>
      <c r="WPB65" s="277" t="s">
        <v>1072</v>
      </c>
      <c r="WPC65" s="277" t="s">
        <v>1072</v>
      </c>
      <c r="WPD65" s="277" t="s">
        <v>1072</v>
      </c>
      <c r="WPE65" s="277" t="s">
        <v>1072</v>
      </c>
      <c r="WPF65" s="277" t="s">
        <v>1072</v>
      </c>
      <c r="WPG65" s="277" t="s">
        <v>1072</v>
      </c>
      <c r="WPH65" s="277" t="s">
        <v>1072</v>
      </c>
      <c r="WPI65" s="277" t="s">
        <v>1072</v>
      </c>
      <c r="WPJ65" s="277" t="s">
        <v>1072</v>
      </c>
      <c r="WPK65" s="277" t="s">
        <v>1072</v>
      </c>
      <c r="WPL65" s="277" t="s">
        <v>1072</v>
      </c>
      <c r="WPM65" s="277" t="s">
        <v>1072</v>
      </c>
      <c r="WPN65" s="277" t="s">
        <v>1072</v>
      </c>
      <c r="WPO65" s="277" t="s">
        <v>1072</v>
      </c>
      <c r="WPP65" s="277" t="s">
        <v>1072</v>
      </c>
      <c r="WPQ65" s="277" t="s">
        <v>1072</v>
      </c>
      <c r="WPR65" s="277" t="s">
        <v>1072</v>
      </c>
      <c r="WPS65" s="277" t="s">
        <v>1072</v>
      </c>
      <c r="WPT65" s="277" t="s">
        <v>1072</v>
      </c>
      <c r="WPU65" s="277" t="s">
        <v>1072</v>
      </c>
      <c r="WPV65" s="277" t="s">
        <v>1072</v>
      </c>
      <c r="WPW65" s="277" t="s">
        <v>1072</v>
      </c>
      <c r="WPX65" s="277" t="s">
        <v>1072</v>
      </c>
      <c r="WPY65" s="277" t="s">
        <v>1072</v>
      </c>
      <c r="WPZ65" s="277" t="s">
        <v>1072</v>
      </c>
      <c r="WQA65" s="277" t="s">
        <v>1072</v>
      </c>
      <c r="WQB65" s="277" t="s">
        <v>1072</v>
      </c>
      <c r="WQC65" s="277" t="s">
        <v>1072</v>
      </c>
      <c r="WQD65" s="277" t="s">
        <v>1072</v>
      </c>
      <c r="WQE65" s="277" t="s">
        <v>1072</v>
      </c>
      <c r="WQF65" s="277" t="s">
        <v>1072</v>
      </c>
      <c r="WQG65" s="277" t="s">
        <v>1072</v>
      </c>
      <c r="WQH65" s="277" t="s">
        <v>1072</v>
      </c>
      <c r="WQI65" s="277" t="s">
        <v>1072</v>
      </c>
      <c r="WQJ65" s="277" t="s">
        <v>1072</v>
      </c>
      <c r="WQK65" s="277" t="s">
        <v>1072</v>
      </c>
      <c r="WQL65" s="277" t="s">
        <v>1072</v>
      </c>
      <c r="WQM65" s="277" t="s">
        <v>1072</v>
      </c>
      <c r="WQN65" s="277" t="s">
        <v>1072</v>
      </c>
      <c r="WQO65" s="277" t="s">
        <v>1072</v>
      </c>
      <c r="WQP65" s="277" t="s">
        <v>1072</v>
      </c>
      <c r="WQQ65" s="277" t="s">
        <v>1072</v>
      </c>
      <c r="WQR65" s="277" t="s">
        <v>1072</v>
      </c>
      <c r="WQS65" s="277" t="s">
        <v>1072</v>
      </c>
      <c r="WQT65" s="277" t="s">
        <v>1072</v>
      </c>
      <c r="WQU65" s="277" t="s">
        <v>1072</v>
      </c>
      <c r="WQV65" s="277" t="s">
        <v>1072</v>
      </c>
      <c r="WQW65" s="277" t="s">
        <v>1072</v>
      </c>
      <c r="WQX65" s="277" t="s">
        <v>1072</v>
      </c>
      <c r="WQY65" s="277" t="s">
        <v>1072</v>
      </c>
      <c r="WQZ65" s="277" t="s">
        <v>1072</v>
      </c>
      <c r="WRA65" s="277" t="s">
        <v>1072</v>
      </c>
      <c r="WRB65" s="277" t="s">
        <v>1072</v>
      </c>
      <c r="WRC65" s="277" t="s">
        <v>1072</v>
      </c>
      <c r="WRD65" s="277" t="s">
        <v>1072</v>
      </c>
      <c r="WRE65" s="277" t="s">
        <v>1072</v>
      </c>
      <c r="WRF65" s="277" t="s">
        <v>1072</v>
      </c>
      <c r="WRG65" s="277" t="s">
        <v>1072</v>
      </c>
      <c r="WRH65" s="277" t="s">
        <v>1072</v>
      </c>
      <c r="WRI65" s="277" t="s">
        <v>1072</v>
      </c>
      <c r="WRJ65" s="277" t="s">
        <v>1072</v>
      </c>
      <c r="WRK65" s="277" t="s">
        <v>1072</v>
      </c>
      <c r="WRL65" s="277" t="s">
        <v>1072</v>
      </c>
      <c r="WRM65" s="277" t="s">
        <v>1072</v>
      </c>
      <c r="WRN65" s="277" t="s">
        <v>1072</v>
      </c>
      <c r="WRO65" s="277" t="s">
        <v>1072</v>
      </c>
      <c r="WRP65" s="277" t="s">
        <v>1072</v>
      </c>
      <c r="WRQ65" s="277" t="s">
        <v>1072</v>
      </c>
      <c r="WRR65" s="277" t="s">
        <v>1072</v>
      </c>
      <c r="WRS65" s="277" t="s">
        <v>1072</v>
      </c>
      <c r="WRT65" s="277" t="s">
        <v>1072</v>
      </c>
      <c r="WRU65" s="277" t="s">
        <v>1072</v>
      </c>
      <c r="WRV65" s="277" t="s">
        <v>1072</v>
      </c>
      <c r="WRW65" s="277" t="s">
        <v>1072</v>
      </c>
      <c r="WRX65" s="277" t="s">
        <v>1072</v>
      </c>
      <c r="WRY65" s="277" t="s">
        <v>1072</v>
      </c>
      <c r="WRZ65" s="277" t="s">
        <v>1072</v>
      </c>
      <c r="WSA65" s="277" t="s">
        <v>1072</v>
      </c>
      <c r="WSB65" s="277" t="s">
        <v>1072</v>
      </c>
      <c r="WSC65" s="277" t="s">
        <v>1072</v>
      </c>
      <c r="WSD65" s="277" t="s">
        <v>1072</v>
      </c>
      <c r="WSE65" s="277" t="s">
        <v>1072</v>
      </c>
      <c r="WSF65" s="277" t="s">
        <v>1072</v>
      </c>
      <c r="WSG65" s="277" t="s">
        <v>1072</v>
      </c>
      <c r="WSH65" s="277" t="s">
        <v>1072</v>
      </c>
      <c r="WSI65" s="277" t="s">
        <v>1072</v>
      </c>
      <c r="WSJ65" s="277" t="s">
        <v>1072</v>
      </c>
      <c r="WSK65" s="277" t="s">
        <v>1072</v>
      </c>
      <c r="WSL65" s="277" t="s">
        <v>1072</v>
      </c>
      <c r="WSM65" s="277" t="s">
        <v>1072</v>
      </c>
      <c r="WSN65" s="277" t="s">
        <v>1072</v>
      </c>
      <c r="WSO65" s="277" t="s">
        <v>1072</v>
      </c>
      <c r="WSP65" s="277" t="s">
        <v>1072</v>
      </c>
      <c r="WSQ65" s="277" t="s">
        <v>1072</v>
      </c>
      <c r="WSR65" s="277" t="s">
        <v>1072</v>
      </c>
      <c r="WSS65" s="277" t="s">
        <v>1072</v>
      </c>
      <c r="WST65" s="277" t="s">
        <v>1072</v>
      </c>
      <c r="WSU65" s="277" t="s">
        <v>1072</v>
      </c>
      <c r="WSV65" s="277" t="s">
        <v>1072</v>
      </c>
      <c r="WSW65" s="277" t="s">
        <v>1072</v>
      </c>
      <c r="WSX65" s="277" t="s">
        <v>1072</v>
      </c>
      <c r="WSY65" s="277" t="s">
        <v>1072</v>
      </c>
      <c r="WSZ65" s="277" t="s">
        <v>1072</v>
      </c>
      <c r="WTA65" s="277" t="s">
        <v>1072</v>
      </c>
      <c r="WTB65" s="277" t="s">
        <v>1072</v>
      </c>
      <c r="WTC65" s="277" t="s">
        <v>1072</v>
      </c>
      <c r="WTD65" s="277" t="s">
        <v>1072</v>
      </c>
      <c r="WTE65" s="277" t="s">
        <v>1072</v>
      </c>
      <c r="WTF65" s="277" t="s">
        <v>1072</v>
      </c>
      <c r="WTG65" s="277" t="s">
        <v>1072</v>
      </c>
      <c r="WTH65" s="277" t="s">
        <v>1072</v>
      </c>
      <c r="WTI65" s="277" t="s">
        <v>1072</v>
      </c>
      <c r="WTJ65" s="277" t="s">
        <v>1072</v>
      </c>
      <c r="WTK65" s="277" t="s">
        <v>1072</v>
      </c>
      <c r="WTL65" s="277" t="s">
        <v>1072</v>
      </c>
      <c r="WTM65" s="277" t="s">
        <v>1072</v>
      </c>
      <c r="WTN65" s="277" t="s">
        <v>1072</v>
      </c>
      <c r="WTO65" s="277" t="s">
        <v>1072</v>
      </c>
      <c r="WTP65" s="277" t="s">
        <v>1072</v>
      </c>
      <c r="WTQ65" s="277" t="s">
        <v>1072</v>
      </c>
      <c r="WTR65" s="277" t="s">
        <v>1072</v>
      </c>
      <c r="WTS65" s="277" t="s">
        <v>1072</v>
      </c>
      <c r="WTT65" s="277" t="s">
        <v>1072</v>
      </c>
      <c r="WTU65" s="277" t="s">
        <v>1072</v>
      </c>
      <c r="WTV65" s="277" t="s">
        <v>1072</v>
      </c>
      <c r="WTW65" s="277" t="s">
        <v>1072</v>
      </c>
      <c r="WTX65" s="277" t="s">
        <v>1072</v>
      </c>
      <c r="WTY65" s="277" t="s">
        <v>1072</v>
      </c>
      <c r="WTZ65" s="277" t="s">
        <v>1072</v>
      </c>
      <c r="WUA65" s="277" t="s">
        <v>1072</v>
      </c>
      <c r="WUB65" s="277" t="s">
        <v>1072</v>
      </c>
      <c r="WUC65" s="277" t="s">
        <v>1072</v>
      </c>
      <c r="WUD65" s="277" t="s">
        <v>1072</v>
      </c>
      <c r="WUE65" s="277" t="s">
        <v>1072</v>
      </c>
      <c r="WUF65" s="277" t="s">
        <v>1072</v>
      </c>
      <c r="WUG65" s="277" t="s">
        <v>1072</v>
      </c>
      <c r="WUH65" s="277" t="s">
        <v>1072</v>
      </c>
      <c r="WUI65" s="277" t="s">
        <v>1072</v>
      </c>
      <c r="WUJ65" s="277" t="s">
        <v>1072</v>
      </c>
      <c r="WUK65" s="277" t="s">
        <v>1072</v>
      </c>
      <c r="WUL65" s="277" t="s">
        <v>1072</v>
      </c>
      <c r="WUM65" s="277" t="s">
        <v>1072</v>
      </c>
      <c r="WUN65" s="277" t="s">
        <v>1072</v>
      </c>
      <c r="WUO65" s="277" t="s">
        <v>1072</v>
      </c>
      <c r="WUP65" s="277" t="s">
        <v>1072</v>
      </c>
      <c r="WUQ65" s="277" t="s">
        <v>1072</v>
      </c>
      <c r="WUR65" s="277" t="s">
        <v>1072</v>
      </c>
      <c r="WUS65" s="277" t="s">
        <v>1072</v>
      </c>
      <c r="WUT65" s="277" t="s">
        <v>1072</v>
      </c>
      <c r="WUU65" s="277" t="s">
        <v>1072</v>
      </c>
      <c r="WUV65" s="277" t="s">
        <v>1072</v>
      </c>
      <c r="WUW65" s="277" t="s">
        <v>1072</v>
      </c>
      <c r="WUX65" s="277" t="s">
        <v>1072</v>
      </c>
      <c r="WUY65" s="277" t="s">
        <v>1072</v>
      </c>
      <c r="WUZ65" s="277" t="s">
        <v>1072</v>
      </c>
      <c r="WVA65" s="277" t="s">
        <v>1072</v>
      </c>
      <c r="WVB65" s="277" t="s">
        <v>1072</v>
      </c>
      <c r="WVC65" s="277" t="s">
        <v>1072</v>
      </c>
      <c r="WVD65" s="277" t="s">
        <v>1072</v>
      </c>
      <c r="WVE65" s="277" t="s">
        <v>1072</v>
      </c>
      <c r="WVF65" s="277" t="s">
        <v>1072</v>
      </c>
      <c r="WVG65" s="277" t="s">
        <v>1072</v>
      </c>
      <c r="WVH65" s="277" t="s">
        <v>1072</v>
      </c>
      <c r="WVI65" s="277" t="s">
        <v>1072</v>
      </c>
      <c r="WVJ65" s="277" t="s">
        <v>1072</v>
      </c>
      <c r="WVK65" s="277" t="s">
        <v>1072</v>
      </c>
      <c r="WVL65" s="277" t="s">
        <v>1072</v>
      </c>
      <c r="WVM65" s="277" t="s">
        <v>1072</v>
      </c>
      <c r="WVN65" s="277" t="s">
        <v>1072</v>
      </c>
      <c r="WVO65" s="277" t="s">
        <v>1072</v>
      </c>
      <c r="WVP65" s="277" t="s">
        <v>1072</v>
      </c>
      <c r="WVQ65" s="277" t="s">
        <v>1072</v>
      </c>
      <c r="WVR65" s="277" t="s">
        <v>1072</v>
      </c>
      <c r="WVS65" s="277" t="s">
        <v>1072</v>
      </c>
      <c r="WVT65" s="277" t="s">
        <v>1072</v>
      </c>
      <c r="WVU65" s="277" t="s">
        <v>1072</v>
      </c>
      <c r="WVV65" s="277" t="s">
        <v>1072</v>
      </c>
      <c r="WVW65" s="277" t="s">
        <v>1072</v>
      </c>
      <c r="WVX65" s="277" t="s">
        <v>1072</v>
      </c>
      <c r="WVY65" s="277" t="s">
        <v>1072</v>
      </c>
      <c r="WVZ65" s="277" t="s">
        <v>1072</v>
      </c>
      <c r="WWA65" s="277" t="s">
        <v>1072</v>
      </c>
      <c r="WWB65" s="277" t="s">
        <v>1072</v>
      </c>
      <c r="WWC65" s="277" t="s">
        <v>1072</v>
      </c>
      <c r="WWD65" s="277" t="s">
        <v>1072</v>
      </c>
      <c r="WWE65" s="277" t="s">
        <v>1072</v>
      </c>
      <c r="WWF65" s="277" t="s">
        <v>1072</v>
      </c>
      <c r="WWG65" s="277" t="s">
        <v>1072</v>
      </c>
      <c r="WWH65" s="277" t="s">
        <v>1072</v>
      </c>
      <c r="WWI65" s="277" t="s">
        <v>1072</v>
      </c>
      <c r="WWJ65" s="277" t="s">
        <v>1072</v>
      </c>
      <c r="WWK65" s="277" t="s">
        <v>1072</v>
      </c>
      <c r="WWL65" s="277" t="s">
        <v>1072</v>
      </c>
      <c r="WWM65" s="277" t="s">
        <v>1072</v>
      </c>
      <c r="WWN65" s="277" t="s">
        <v>1072</v>
      </c>
      <c r="WWO65" s="277" t="s">
        <v>1072</v>
      </c>
      <c r="WWP65" s="277" t="s">
        <v>1072</v>
      </c>
      <c r="WWQ65" s="277" t="s">
        <v>1072</v>
      </c>
      <c r="WWR65" s="277" t="s">
        <v>1072</v>
      </c>
      <c r="WWS65" s="277" t="s">
        <v>1072</v>
      </c>
      <c r="WWT65" s="277" t="s">
        <v>1072</v>
      </c>
      <c r="WWU65" s="277" t="s">
        <v>1072</v>
      </c>
      <c r="WWV65" s="277" t="s">
        <v>1072</v>
      </c>
      <c r="WWW65" s="277" t="s">
        <v>1072</v>
      </c>
      <c r="WWX65" s="277" t="s">
        <v>1072</v>
      </c>
      <c r="WWY65" s="277" t="s">
        <v>1072</v>
      </c>
      <c r="WWZ65" s="277" t="s">
        <v>1072</v>
      </c>
      <c r="WXA65" s="277" t="s">
        <v>1072</v>
      </c>
      <c r="WXB65" s="277" t="s">
        <v>1072</v>
      </c>
      <c r="WXC65" s="277" t="s">
        <v>1072</v>
      </c>
      <c r="WXD65" s="277" t="s">
        <v>1072</v>
      </c>
      <c r="WXE65" s="277" t="s">
        <v>1072</v>
      </c>
      <c r="WXF65" s="277" t="s">
        <v>1072</v>
      </c>
      <c r="WXG65" s="277" t="s">
        <v>1072</v>
      </c>
      <c r="WXH65" s="277" t="s">
        <v>1072</v>
      </c>
      <c r="WXI65" s="277" t="s">
        <v>1072</v>
      </c>
      <c r="WXJ65" s="277" t="s">
        <v>1072</v>
      </c>
      <c r="WXK65" s="277" t="s">
        <v>1072</v>
      </c>
      <c r="WXL65" s="277" t="s">
        <v>1072</v>
      </c>
      <c r="WXM65" s="277" t="s">
        <v>1072</v>
      </c>
      <c r="WXN65" s="277" t="s">
        <v>1072</v>
      </c>
      <c r="WXO65" s="277" t="s">
        <v>1072</v>
      </c>
      <c r="WXP65" s="277" t="s">
        <v>1072</v>
      </c>
      <c r="WXQ65" s="277" t="s">
        <v>1072</v>
      </c>
      <c r="WXR65" s="277" t="s">
        <v>1072</v>
      </c>
      <c r="WXS65" s="277" t="s">
        <v>1072</v>
      </c>
      <c r="WXT65" s="277" t="s">
        <v>1072</v>
      </c>
      <c r="WXU65" s="277" t="s">
        <v>1072</v>
      </c>
      <c r="WXV65" s="277" t="s">
        <v>1072</v>
      </c>
      <c r="WXW65" s="277" t="s">
        <v>1072</v>
      </c>
      <c r="WXX65" s="277" t="s">
        <v>1072</v>
      </c>
      <c r="WXY65" s="277" t="s">
        <v>1072</v>
      </c>
      <c r="WXZ65" s="277" t="s">
        <v>1072</v>
      </c>
      <c r="WYA65" s="277" t="s">
        <v>1072</v>
      </c>
      <c r="WYB65" s="277" t="s">
        <v>1072</v>
      </c>
      <c r="WYC65" s="277" t="s">
        <v>1072</v>
      </c>
      <c r="WYD65" s="277" t="s">
        <v>1072</v>
      </c>
      <c r="WYE65" s="277" t="s">
        <v>1072</v>
      </c>
      <c r="WYF65" s="277" t="s">
        <v>1072</v>
      </c>
      <c r="WYG65" s="277" t="s">
        <v>1072</v>
      </c>
      <c r="WYH65" s="277" t="s">
        <v>1072</v>
      </c>
      <c r="WYI65" s="277" t="s">
        <v>1072</v>
      </c>
      <c r="WYJ65" s="277" t="s">
        <v>1072</v>
      </c>
      <c r="WYK65" s="277" t="s">
        <v>1072</v>
      </c>
      <c r="WYL65" s="277" t="s">
        <v>1072</v>
      </c>
      <c r="WYM65" s="277" t="s">
        <v>1072</v>
      </c>
      <c r="WYN65" s="277" t="s">
        <v>1072</v>
      </c>
      <c r="WYO65" s="277" t="s">
        <v>1072</v>
      </c>
      <c r="WYP65" s="277" t="s">
        <v>1072</v>
      </c>
      <c r="WYQ65" s="277" t="s">
        <v>1072</v>
      </c>
      <c r="WYR65" s="277" t="s">
        <v>1072</v>
      </c>
      <c r="WYS65" s="277" t="s">
        <v>1072</v>
      </c>
      <c r="WYT65" s="277" t="s">
        <v>1072</v>
      </c>
      <c r="WYU65" s="277" t="s">
        <v>1072</v>
      </c>
      <c r="WYV65" s="277" t="s">
        <v>1072</v>
      </c>
      <c r="WYW65" s="277" t="s">
        <v>1072</v>
      </c>
      <c r="WYX65" s="277" t="s">
        <v>1072</v>
      </c>
      <c r="WYY65" s="277" t="s">
        <v>1072</v>
      </c>
      <c r="WYZ65" s="277" t="s">
        <v>1072</v>
      </c>
      <c r="WZA65" s="277" t="s">
        <v>1072</v>
      </c>
      <c r="WZB65" s="277" t="s">
        <v>1072</v>
      </c>
      <c r="WZC65" s="277" t="s">
        <v>1072</v>
      </c>
      <c r="WZD65" s="277" t="s">
        <v>1072</v>
      </c>
      <c r="WZE65" s="277" t="s">
        <v>1072</v>
      </c>
      <c r="WZF65" s="277" t="s">
        <v>1072</v>
      </c>
      <c r="WZG65" s="277" t="s">
        <v>1072</v>
      </c>
      <c r="WZH65" s="277" t="s">
        <v>1072</v>
      </c>
      <c r="WZI65" s="277" t="s">
        <v>1072</v>
      </c>
      <c r="WZJ65" s="277" t="s">
        <v>1072</v>
      </c>
      <c r="WZK65" s="277" t="s">
        <v>1072</v>
      </c>
      <c r="WZL65" s="277" t="s">
        <v>1072</v>
      </c>
      <c r="WZM65" s="277" t="s">
        <v>1072</v>
      </c>
      <c r="WZN65" s="277" t="s">
        <v>1072</v>
      </c>
    </row>
    <row r="66" spans="1:16238" x14ac:dyDescent="0.3">
      <c r="C66" s="675" t="s">
        <v>1025</v>
      </c>
      <c r="D66" s="675" t="s">
        <v>1054</v>
      </c>
      <c r="E66" s="6452"/>
      <c r="F66" s="675"/>
      <c r="G66" s="703"/>
      <c r="H66" s="1361"/>
      <c r="I66" s="1361"/>
      <c r="J66" s="755"/>
      <c r="K66" s="753">
        <f t="shared" si="16"/>
        <v>0</v>
      </c>
      <c r="L66" s="1361"/>
      <c r="M66" s="1361"/>
      <c r="N66" s="760"/>
      <c r="O66" s="758">
        <f t="shared" si="17"/>
        <v>0</v>
      </c>
      <c r="P66" s="2453"/>
      <c r="Q66" s="676">
        <v>0</v>
      </c>
      <c r="R66" s="760"/>
      <c r="S66" s="758">
        <f t="shared" si="47"/>
        <v>0</v>
      </c>
      <c r="T66" s="2768"/>
      <c r="U66" s="676">
        <f>SUMIF('Special -Value added steel '!$D$68:$D$78,$D66,'Special -Value added steel '!$U$68:$U$78)</f>
        <v>0</v>
      </c>
      <c r="V66" s="760"/>
      <c r="W66" s="758">
        <f t="shared" si="60"/>
        <v>0</v>
      </c>
      <c r="X66" s="758"/>
      <c r="Y66" s="676">
        <f>SUMIF('Special -Value added steel '!$D$68:$D$78,$D66,'Special -Value added steel '!$Y$68:$Y$78)</f>
        <v>0</v>
      </c>
      <c r="Z66" s="760"/>
      <c r="AA66" s="3509">
        <f t="shared" si="55"/>
        <v>0</v>
      </c>
      <c r="AB66" s="3605"/>
      <c r="AC66" s="1461">
        <f t="shared" si="5"/>
        <v>0</v>
      </c>
      <c r="AD66" s="758"/>
      <c r="AE66" s="676">
        <f>SUMIF('Special -Value added steel '!$D$68:$D$78,$D66,'Special -Value added steel '!$AE$68:$AE$78)</f>
        <v>0</v>
      </c>
      <c r="AF66" s="760"/>
      <c r="AG66" s="758">
        <f t="shared" si="49"/>
        <v>0</v>
      </c>
      <c r="AH66" s="758"/>
      <c r="AI66" s="676">
        <f>SUMIF('Special -Value added steel '!$D$68:$D$78,$D66,'Special -Value added steel '!$AI$68:$AI$78)</f>
        <v>0</v>
      </c>
      <c r="AJ66" s="760"/>
      <c r="AK66" s="753">
        <f t="shared" si="50"/>
        <v>0</v>
      </c>
      <c r="AL66" s="758"/>
      <c r="AM66" s="676">
        <f>SUMIF('Special -Value added steel '!$D$68:$D$78,$D66,'Special -Value added steel '!$AM$68:$AM$78)</f>
        <v>0</v>
      </c>
      <c r="AN66" s="760"/>
      <c r="AO66" s="3509">
        <f t="shared" si="56"/>
        <v>0</v>
      </c>
      <c r="AP66" s="760"/>
      <c r="AQ66" s="753">
        <f t="shared" si="51"/>
        <v>0</v>
      </c>
      <c r="AR66" s="758"/>
      <c r="AS66" s="676">
        <f>SUMIF('Special -Value added steel '!$D$68:$D$78,$D66,'Special -Value added steel '!$AS$68:$AS$78)</f>
        <v>0</v>
      </c>
      <c r="AT66" s="760"/>
      <c r="AU66" s="753">
        <f t="shared" si="52"/>
        <v>0</v>
      </c>
      <c r="AV66" s="758"/>
      <c r="AW66" s="676">
        <f>SUMIF('Special -Value added steel '!$D$68:$D$78,$D66,'Special -Value added steel '!$AW$68:$AW$78)</f>
        <v>0</v>
      </c>
      <c r="AX66" s="760"/>
      <c r="AY66" s="753">
        <f t="shared" si="53"/>
        <v>0</v>
      </c>
      <c r="AZ66" s="758"/>
      <c r="BA66" s="676">
        <f>SUMIF('Special -Value added steel '!$D$68:$D$78,$D66,'Special -Value added steel '!$BA$68:$BA$78)</f>
        <v>0</v>
      </c>
      <c r="BB66" s="760"/>
      <c r="BC66" s="3509">
        <f t="shared" si="57"/>
        <v>0</v>
      </c>
      <c r="BD66" s="3605"/>
      <c r="BE66" s="1461">
        <f t="shared" si="41"/>
        <v>0</v>
      </c>
      <c r="BF66" s="760"/>
      <c r="BG66" s="753">
        <f t="shared" si="54"/>
        <v>0</v>
      </c>
    </row>
    <row r="67" spans="1:16238" x14ac:dyDescent="0.3">
      <c r="C67" s="6445" t="s">
        <v>1089</v>
      </c>
      <c r="D67" s="6445"/>
      <c r="E67" s="6452"/>
      <c r="F67" s="763"/>
      <c r="G67" s="764">
        <f>SUM(G59:G66)</f>
        <v>2935.7639999999997</v>
      </c>
      <c r="H67" s="766"/>
      <c r="I67" s="764">
        <f>SUM(I59:I66)</f>
        <v>1078.0379999999998</v>
      </c>
      <c r="J67" s="766"/>
      <c r="K67" s="765">
        <f>SUM(K59:K66)</f>
        <v>4013.8019999999992</v>
      </c>
      <c r="L67" s="766"/>
      <c r="M67" s="764">
        <f>SUM(M59:M66)</f>
        <v>433.60199999999998</v>
      </c>
      <c r="N67" s="766"/>
      <c r="O67" s="764">
        <f>SUM(O59:O66)</f>
        <v>4447.4039999999986</v>
      </c>
      <c r="P67" s="2454"/>
      <c r="Q67" s="764">
        <f>SUM(Q59:Q66)</f>
        <v>0</v>
      </c>
      <c r="R67" s="2454"/>
      <c r="S67" s="764">
        <f>SUM(S59:S66)</f>
        <v>4447.4039999999986</v>
      </c>
      <c r="T67" s="2769"/>
      <c r="U67" s="764">
        <f>SUM(U59:U66)</f>
        <v>369.95400000000001</v>
      </c>
      <c r="V67" s="2769"/>
      <c r="W67" s="764">
        <f>SUM(W59:W66)</f>
        <v>4817.3579999999993</v>
      </c>
      <c r="X67" s="764"/>
      <c r="Y67" s="764">
        <f>SUM(Y59:Y66)</f>
        <v>3508.5959999999995</v>
      </c>
      <c r="Z67" s="3456"/>
      <c r="AA67" s="3510">
        <f>SUM(AA59:AA66)</f>
        <v>3878.55</v>
      </c>
      <c r="AB67" s="3605"/>
      <c r="AC67" s="3510">
        <f t="shared" si="5"/>
        <v>8325.9539999999979</v>
      </c>
      <c r="AD67" s="764"/>
      <c r="AE67" s="764">
        <f>SUM(AE59:AE66)</f>
        <v>4749.7319999999991</v>
      </c>
      <c r="AF67" s="4138"/>
      <c r="AG67" s="764">
        <f>SUM(AG59:AG66)</f>
        <v>12136.877999999999</v>
      </c>
      <c r="AH67" s="764"/>
      <c r="AI67" s="764">
        <f>SUM(AI59:AI66)</f>
        <v>0</v>
      </c>
      <c r="AJ67" s="4217"/>
      <c r="AK67" s="764">
        <f>SUM(AK59:AK66)</f>
        <v>13075.685999999996</v>
      </c>
      <c r="AL67" s="764"/>
      <c r="AM67" s="764">
        <f>SUM(AM59:AM66)</f>
        <v>6198</v>
      </c>
      <c r="AN67" s="4373"/>
      <c r="AO67" s="3510">
        <f>SUM(AO59:AO66)</f>
        <v>10947.732</v>
      </c>
      <c r="AP67" s="4373"/>
      <c r="AQ67" s="764">
        <f>SUM(AQ59:AQ66)</f>
        <v>18334.878000000001</v>
      </c>
      <c r="AR67" s="764"/>
      <c r="AS67" s="764">
        <f>SUM(AS59:AS66)</f>
        <v>4583</v>
      </c>
      <c r="AT67" s="4472"/>
      <c r="AU67" s="764">
        <f>SUM(AU59:AU66)</f>
        <v>21728.732</v>
      </c>
      <c r="AV67" s="764"/>
      <c r="AW67" s="764">
        <f>SUM(AW59:AW66)</f>
        <v>2927.808</v>
      </c>
      <c r="AX67" s="4755"/>
      <c r="AY67" s="764">
        <f>SUM(AY59:AY66)</f>
        <v>25845.686000000002</v>
      </c>
      <c r="AZ67" s="764"/>
      <c r="BA67" s="764">
        <f>SUM(BA59:BA66)</f>
        <v>2375</v>
      </c>
      <c r="BB67" s="5243"/>
      <c r="BC67" s="3510">
        <f>SUM(BC59:BC66)</f>
        <v>9885.8080000000009</v>
      </c>
      <c r="BD67" s="3605"/>
      <c r="BE67" s="3510">
        <f t="shared" si="41"/>
        <v>28220.686000000002</v>
      </c>
      <c r="BF67" s="5243"/>
      <c r="BG67" s="764">
        <f>SUM(BG59:BG66)</f>
        <v>27031.54</v>
      </c>
    </row>
    <row r="68" spans="1:16238" x14ac:dyDescent="0.3">
      <c r="C68" s="6456" t="s">
        <v>1026</v>
      </c>
      <c r="D68" s="6456"/>
      <c r="E68" s="6453"/>
      <c r="F68" s="677"/>
      <c r="G68" s="678">
        <f>+G67+G58+G42+G38+G31</f>
        <v>139159.30599999998</v>
      </c>
      <c r="H68" s="678"/>
      <c r="I68" s="678">
        <f>+I67+I58+I42+I38+I31</f>
        <v>106294.07900000003</v>
      </c>
      <c r="J68" s="754"/>
      <c r="K68" s="753">
        <f t="shared" si="16"/>
        <v>245453.38500000001</v>
      </c>
      <c r="L68" s="678"/>
      <c r="M68" s="678">
        <f>+M67+M58+M42+M38+M31</f>
        <v>108899.90600000003</v>
      </c>
      <c r="N68" s="759"/>
      <c r="O68" s="759">
        <f t="shared" si="17"/>
        <v>354353.29100000003</v>
      </c>
      <c r="P68" s="678"/>
      <c r="Q68" s="678">
        <f>+Q67+Q58+Q42+Q38+Q31</f>
        <v>137650.68900000007</v>
      </c>
      <c r="R68" s="759"/>
      <c r="S68" s="759">
        <f t="shared" ref="S68" si="61">O68+Q68</f>
        <v>492003.9800000001</v>
      </c>
      <c r="T68" s="678"/>
      <c r="U68" s="678">
        <f>+U67+U58+U42+U38+U31</f>
        <v>146028.04800000007</v>
      </c>
      <c r="V68" s="759"/>
      <c r="W68" s="759">
        <f t="shared" ref="W68" si="62">S68+U68</f>
        <v>638032.02800000017</v>
      </c>
      <c r="X68" s="759"/>
      <c r="Y68" s="678">
        <f>+Y67+Y58+Y42+Y38+Y31</f>
        <v>135952.35300000009</v>
      </c>
      <c r="Z68" s="759"/>
      <c r="AA68" s="3511">
        <f>Q68+U68+Y68</f>
        <v>419631.0900000002</v>
      </c>
      <c r="AB68" s="3605"/>
      <c r="AC68" s="4012">
        <f t="shared" si="5"/>
        <v>773984.38100000028</v>
      </c>
      <c r="AD68" s="759"/>
      <c r="AE68" s="678">
        <f>+AE67+AE58+AE42+AE38+AE31</f>
        <v>143629.92100000006</v>
      </c>
      <c r="AF68" s="759"/>
      <c r="AG68" s="759">
        <f t="shared" ref="AG68" si="63">AC68+AE68</f>
        <v>917614.30200000037</v>
      </c>
      <c r="AH68" s="759"/>
      <c r="AI68" s="678">
        <f>+AI67+AI58+AI42+AI38+AI31</f>
        <v>131713.14872000006</v>
      </c>
      <c r="AJ68" s="759"/>
      <c r="AK68" s="754">
        <f t="shared" ref="AK68" si="64">AG68+AI68</f>
        <v>1049327.4507200005</v>
      </c>
      <c r="AL68" s="759"/>
      <c r="AM68" s="678">
        <f>+AM67+AM58+AM42+AM38+AM31</f>
        <v>143680.67800000001</v>
      </c>
      <c r="AN68" s="759"/>
      <c r="AO68" s="3511">
        <f>AE68+AI68+AM68</f>
        <v>419023.74772000016</v>
      </c>
      <c r="AP68" s="759"/>
      <c r="AQ68" s="754">
        <f t="shared" ref="AQ68" si="65">AK68+AM68</f>
        <v>1193008.1287200006</v>
      </c>
      <c r="AR68" s="759"/>
      <c r="AS68" s="678">
        <f>+AS67+AS58+AS42+AS38+AS31</f>
        <v>139386.41200000007</v>
      </c>
      <c r="AT68" s="759"/>
      <c r="AU68" s="754">
        <f t="shared" ref="AU68" si="66">AQ68+AS68</f>
        <v>1332394.5407200006</v>
      </c>
      <c r="AV68" s="759"/>
      <c r="AW68" s="678">
        <f>+AW67+AW58+AW42+AW38+AW31</f>
        <v>134243.94900000005</v>
      </c>
      <c r="AX68" s="759"/>
      <c r="AY68" s="754">
        <f t="shared" ref="AY68" si="67">AU68+AW68</f>
        <v>1466638.4897200007</v>
      </c>
      <c r="AZ68" s="759"/>
      <c r="BA68" s="678">
        <f>+BA67+BA58+BA42+BA38+BA31</f>
        <v>140860.21800000008</v>
      </c>
      <c r="BB68" s="759"/>
      <c r="BC68" s="3511">
        <f>AS68+AW68+BA68</f>
        <v>414490.57900000026</v>
      </c>
      <c r="BD68" s="3605"/>
      <c r="BE68" s="4012">
        <f>AO68+BC68</f>
        <v>833514.32672000048</v>
      </c>
      <c r="BF68" s="759"/>
      <c r="BG68" s="754">
        <f t="shared" ref="BG68" si="68">AY68+BA68</f>
        <v>1607498.7077200008</v>
      </c>
    </row>
    <row r="69" spans="1:16238" x14ac:dyDescent="0.3">
      <c r="C69" s="6444" t="s">
        <v>1027</v>
      </c>
      <c r="D69" s="6444"/>
      <c r="E69" s="675" t="s">
        <v>1028</v>
      </c>
      <c r="F69" s="675"/>
      <c r="G69" s="1397">
        <f>+G68/G71</f>
        <v>0.67539637825961785</v>
      </c>
      <c r="H69" s="767"/>
      <c r="I69" s="767">
        <f>+I68/I71</f>
        <v>0.651819171046363</v>
      </c>
      <c r="J69" s="1890"/>
      <c r="K69" s="1890">
        <f>+K68/K71</f>
        <v>0.66498006802225573</v>
      </c>
      <c r="L69" s="767"/>
      <c r="M69" s="767">
        <f>+M68/M71</f>
        <v>0.60841484153137382</v>
      </c>
      <c r="N69" s="836"/>
      <c r="O69" s="836">
        <f>+O68/O71</f>
        <v>0.64650803518007349</v>
      </c>
      <c r="P69" s="767"/>
      <c r="Q69" s="767">
        <f>+Q68/Q71</f>
        <v>0.63876189547701634</v>
      </c>
      <c r="R69" s="836"/>
      <c r="S69" s="836">
        <f>+S68/S71</f>
        <v>0.64432199041102889</v>
      </c>
      <c r="T69" s="767"/>
      <c r="U69" s="767">
        <f>+U68/U71</f>
        <v>0.67457005035850315</v>
      </c>
      <c r="V69" s="836"/>
      <c r="W69" s="836">
        <f>+W68/W71</f>
        <v>0.65100308027072307</v>
      </c>
      <c r="X69" s="836"/>
      <c r="Y69" s="767">
        <f>+Y68/Y71</f>
        <v>0.65989710233998433</v>
      </c>
      <c r="Z69" s="836"/>
      <c r="AA69" s="3512">
        <f>+AA68/AA71</f>
        <v>0.65773686147676558</v>
      </c>
      <c r="AB69" s="3605"/>
      <c r="AC69" s="4011">
        <f>AC68/AC71</f>
        <v>0.65254793958613988</v>
      </c>
      <c r="AD69" s="836"/>
      <c r="AE69" s="767">
        <f>+AE68/AE71</f>
        <v>0.68309455844948919</v>
      </c>
      <c r="AF69" s="836"/>
      <c r="AG69" s="836">
        <f>+AG68/AG71</f>
        <v>0.65714764505996881</v>
      </c>
      <c r="AH69" s="836"/>
      <c r="AI69" s="767">
        <f>+AI68/AI71</f>
        <v>0.71205261139940557</v>
      </c>
      <c r="AJ69" s="836"/>
      <c r="AK69" s="1890">
        <f>+AK68/AK71</f>
        <v>0.66357015057378432</v>
      </c>
      <c r="AL69" s="836"/>
      <c r="AM69" s="767">
        <f>+AM68/AM71</f>
        <v>0.69490229136129922</v>
      </c>
      <c r="AN69" s="836"/>
      <c r="AO69" s="3512">
        <f>+AO68/AO71</f>
        <v>0.69604792019355932</v>
      </c>
      <c r="AP69" s="836"/>
      <c r="AQ69" s="1890">
        <f>+AQ68/AQ71</f>
        <v>0.66719318862630439</v>
      </c>
      <c r="AR69" s="836"/>
      <c r="AS69" s="767">
        <f>+AS68/AS71</f>
        <v>0.66659545419647304</v>
      </c>
      <c r="AT69" s="836"/>
      <c r="AU69" s="1890">
        <f>+AU68/AU71</f>
        <v>0.66713060735448404</v>
      </c>
      <c r="AV69" s="836"/>
      <c r="AW69" s="767">
        <f>+AW68/AW71</f>
        <v>0.65433148216197368</v>
      </c>
      <c r="AX69" s="836"/>
      <c r="AY69" s="1890">
        <f>+AY68/AY71</f>
        <v>0.66593830032316537</v>
      </c>
      <c r="AZ69" s="836"/>
      <c r="BA69" s="767">
        <f>+BA68/BA71</f>
        <v>0.67956427752929882</v>
      </c>
      <c r="BB69" s="836"/>
      <c r="BC69" s="3512">
        <f>+BC68/BC71</f>
        <v>0.66687231202317421</v>
      </c>
      <c r="BD69" s="3605"/>
      <c r="BE69" s="4011">
        <f>BE68/BE71</f>
        <v>0.68122714995634748</v>
      </c>
      <c r="BF69" s="836"/>
      <c r="BG69" s="1890">
        <f>+BG68/BG71</f>
        <v>0.66711042164383749</v>
      </c>
    </row>
    <row r="70" spans="1:16238" s="183" customFormat="1" x14ac:dyDescent="0.3">
      <c r="AC70" s="3521"/>
      <c r="BE70" s="3521"/>
    </row>
    <row r="71" spans="1:16238" x14ac:dyDescent="0.3">
      <c r="C71" s="6652" t="s">
        <v>1087</v>
      </c>
      <c r="D71" s="6653"/>
      <c r="E71" s="677" t="s">
        <v>68</v>
      </c>
      <c r="F71" s="752">
        <f>+'Maj Production Summ'!E35</f>
        <v>213500.48687222728</v>
      </c>
      <c r="G71" s="752">
        <f>+'Maj Production Summ'!F35</f>
        <v>206040.94200000001</v>
      </c>
      <c r="H71" s="752"/>
      <c r="I71" s="752">
        <f>+'Maj Production Summ'!H35</f>
        <v>163072.95600000001</v>
      </c>
      <c r="J71" s="757"/>
      <c r="K71" s="757">
        <f>+'Maj Production Summ'!J35</f>
        <v>369113.89800000004</v>
      </c>
      <c r="L71" s="752">
        <f>+'Maj Production Summ'!K35</f>
        <v>173500.27133862226</v>
      </c>
      <c r="M71" s="752">
        <f>+'Maj Production Summ'!L35</f>
        <v>178989.56200000003</v>
      </c>
      <c r="N71" s="762"/>
      <c r="O71" s="762">
        <f>+G71+I71+M71</f>
        <v>548103.46000000008</v>
      </c>
      <c r="P71" s="752">
        <f>+'Maj Production Summ'!O35</f>
        <v>216500.37423437476</v>
      </c>
      <c r="Q71" s="752">
        <f>+'Maj Production Summ'!P35</f>
        <v>215496.08700000009</v>
      </c>
      <c r="R71" s="762"/>
      <c r="S71" s="762">
        <f t="shared" ref="S71" si="69">O71+Q71</f>
        <v>763599.54700000014</v>
      </c>
      <c r="T71" s="752">
        <f>+'Maj Production Summ'!S35</f>
        <v>216500.37396437474</v>
      </c>
      <c r="U71" s="752">
        <f>+'Maj Production Summ'!T35</f>
        <v>216475.73580000008</v>
      </c>
      <c r="V71" s="762"/>
      <c r="W71" s="762">
        <f t="shared" ref="W71" si="70">S71+U71</f>
        <v>980075.28280000016</v>
      </c>
      <c r="X71" s="762"/>
      <c r="Y71" s="752">
        <f>+'Maj Production Summ'!X35</f>
        <v>206020.5333800001</v>
      </c>
      <c r="Z71" s="762"/>
      <c r="AA71" s="3513">
        <f>Q71+U71+Y71</f>
        <v>637992.35618000035</v>
      </c>
      <c r="AB71" s="3514"/>
      <c r="AC71" s="1461">
        <f>O71+AA71</f>
        <v>1186095.8161800005</v>
      </c>
      <c r="AD71" s="762"/>
      <c r="AE71" s="752">
        <f>+'Maj Production Summ'!AD35</f>
        <v>210263.60000000006</v>
      </c>
      <c r="AF71" s="762"/>
      <c r="AG71" s="762">
        <f t="shared" ref="AG71" si="71">AC71+AE71</f>
        <v>1396359.4161800006</v>
      </c>
      <c r="AH71" s="762"/>
      <c r="AI71" s="752">
        <f>+'Maj Production Summ'!AH35</f>
        <v>184976.70904000005</v>
      </c>
      <c r="AJ71" s="762"/>
      <c r="AK71" s="757">
        <f t="shared" ref="AK71" si="72">AG71+AI71</f>
        <v>1581336.1252200007</v>
      </c>
      <c r="AL71" s="762"/>
      <c r="AM71" s="752">
        <f>+'Maj Production Summ'!AL35</f>
        <v>206763.85700000002</v>
      </c>
      <c r="AN71" s="762"/>
      <c r="AO71" s="3513">
        <f>AE71+AI71+AM71</f>
        <v>602004.16604000004</v>
      </c>
      <c r="AP71" s="762"/>
      <c r="AQ71" s="757">
        <f t="shared" ref="AQ71" si="73">AK71+AM71</f>
        <v>1788099.9822200008</v>
      </c>
      <c r="AR71" s="762"/>
      <c r="AS71" s="752">
        <f>+'Maj Production Summ'!AR35</f>
        <v>209101.95400000009</v>
      </c>
      <c r="AT71" s="762"/>
      <c r="AU71" s="757">
        <f t="shared" ref="AU71" si="74">AQ71+AS71</f>
        <v>1997201.936220001</v>
      </c>
      <c r="AV71" s="762"/>
      <c r="AW71" s="752">
        <f>+'Maj Production Summ'!AV35</f>
        <v>205161.99000000005</v>
      </c>
      <c r="AX71" s="762"/>
      <c r="AY71" s="757">
        <f t="shared" ref="AY71" si="75">AU71+AW71</f>
        <v>2202363.9262200012</v>
      </c>
      <c r="AZ71" s="762"/>
      <c r="BA71" s="752">
        <f>+'Maj Production Summ'!AZ35</f>
        <v>207280.19800000009</v>
      </c>
      <c r="BB71" s="762"/>
      <c r="BC71" s="3513">
        <f>AS71+AW71+BA71</f>
        <v>621544.14200000023</v>
      </c>
      <c r="BD71" s="3514"/>
      <c r="BE71" s="1461">
        <f>AO71+BC71</f>
        <v>1223548.3080400003</v>
      </c>
      <c r="BF71" s="762"/>
      <c r="BG71" s="757">
        <f t="shared" ref="BG71" si="76">AY71+BA71</f>
        <v>2409644.1242200015</v>
      </c>
    </row>
    <row r="74" spans="1:16238" x14ac:dyDescent="0.3">
      <c r="G74" s="26"/>
      <c r="H74" s="26"/>
      <c r="I74" s="26"/>
      <c r="J74" s="26"/>
      <c r="K74" s="26"/>
      <c r="L74" s="26"/>
      <c r="M74" s="26"/>
      <c r="O74" s="26"/>
    </row>
    <row r="75" spans="1:16238" x14ac:dyDescent="0.3">
      <c r="G75" s="26"/>
      <c r="I75" s="26"/>
      <c r="K75" s="26"/>
      <c r="M75" s="26"/>
      <c r="O75" s="26"/>
    </row>
    <row r="76" spans="1:16238" x14ac:dyDescent="0.3">
      <c r="G76" s="26"/>
      <c r="I76" s="26"/>
      <c r="K76" s="26"/>
      <c r="M76" s="26"/>
      <c r="O76" s="26"/>
    </row>
    <row r="77" spans="1:16238" x14ac:dyDescent="0.3">
      <c r="G77" s="26"/>
      <c r="I77" s="26"/>
      <c r="M77" s="26"/>
    </row>
    <row r="78" spans="1:16238" x14ac:dyDescent="0.3">
      <c r="G78" s="26"/>
      <c r="I78" s="26"/>
      <c r="K78" s="26"/>
      <c r="M78" s="26"/>
    </row>
  </sheetData>
  <mergeCells count="37">
    <mergeCell ref="AZ3:BA3"/>
    <mergeCell ref="BF3:BG3"/>
    <mergeCell ref="BB3:BC3"/>
    <mergeCell ref="BD3:BE3"/>
    <mergeCell ref="AV3:AW3"/>
    <mergeCell ref="AX3:AY3"/>
    <mergeCell ref="AR3:AS3"/>
    <mergeCell ref="AT3:AU3"/>
    <mergeCell ref="AL3:AM3"/>
    <mergeCell ref="AP3:AQ3"/>
    <mergeCell ref="AN3:AO3"/>
    <mergeCell ref="C69:D69"/>
    <mergeCell ref="C71:D71"/>
    <mergeCell ref="E4:E68"/>
    <mergeCell ref="C31:D31"/>
    <mergeCell ref="C38:D38"/>
    <mergeCell ref="C42:D42"/>
    <mergeCell ref="C58:D58"/>
    <mergeCell ref="C67:D67"/>
    <mergeCell ref="C68:D68"/>
    <mergeCell ref="X3:Y3"/>
    <mergeCell ref="T3:U3"/>
    <mergeCell ref="V3:W3"/>
    <mergeCell ref="P3:Q3"/>
    <mergeCell ref="C1:O1"/>
    <mergeCell ref="F3:G3"/>
    <mergeCell ref="H3:I3"/>
    <mergeCell ref="J3:K3"/>
    <mergeCell ref="L3:M3"/>
    <mergeCell ref="N3:O3"/>
    <mergeCell ref="R3:S3"/>
    <mergeCell ref="AH3:AI3"/>
    <mergeCell ref="AJ3:AK3"/>
    <mergeCell ref="AD3:AE3"/>
    <mergeCell ref="AF3:AG3"/>
    <mergeCell ref="Z3:AA3"/>
    <mergeCell ref="AB3:AC3"/>
  </mergeCells>
  <printOptions horizontalCentered="1" verticalCentered="1"/>
  <pageMargins left="0" right="0" top="0" bottom="0" header="0" footer="0"/>
  <pageSetup scale="55" orientation="landscape" r:id="rId1"/>
  <legacy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M352"/>
  <sheetViews>
    <sheetView zoomScaleNormal="100" workbookViewId="0">
      <pane xSplit="2" ySplit="4" topLeftCell="C62" activePane="bottomRight" state="frozen"/>
      <selection pane="topRight" activeCell="C1" sqref="C1"/>
      <selection pane="bottomLeft" activeCell="A5" sqref="A5"/>
      <selection pane="bottomRight" activeCell="P92" sqref="P92"/>
    </sheetView>
  </sheetViews>
  <sheetFormatPr defaultColWidth="8.85546875" defaultRowHeight="15" x14ac:dyDescent="0.25"/>
  <cols>
    <col min="1" max="1" width="8.85546875" style="5931" customWidth="1"/>
    <col min="2" max="2" width="21.85546875" style="5931" bestFit="1" customWidth="1"/>
    <col min="3" max="3" width="41.42578125" style="5931" bestFit="1" customWidth="1"/>
    <col min="4" max="4" width="8.140625" style="5931" bestFit="1" customWidth="1"/>
    <col min="5" max="5" width="9.7109375" style="5931" bestFit="1" customWidth="1"/>
    <col min="6" max="6" width="11" style="5931" customWidth="1"/>
    <col min="7" max="7" width="7.42578125" style="5931" bestFit="1" customWidth="1"/>
    <col min="8" max="8" width="11" style="5931" customWidth="1"/>
    <col min="9" max="9" width="12.5703125" style="5931" bestFit="1" customWidth="1"/>
    <col min="10" max="10" width="11" style="5931" customWidth="1"/>
    <col min="11" max="11" width="9.7109375" style="5931" bestFit="1" customWidth="1"/>
    <col min="12" max="12" width="12.5703125" style="5931" bestFit="1" customWidth="1"/>
    <col min="13" max="13" width="9.7109375" style="5931" bestFit="1" customWidth="1"/>
    <col min="14" max="14" width="8.85546875" style="5931"/>
    <col min="15" max="15" width="5.7109375" style="5931" bestFit="1" customWidth="1"/>
    <col min="16" max="16" width="8.85546875" style="5931"/>
    <col min="17" max="17" width="63.85546875" style="5931" bestFit="1" customWidth="1"/>
    <col min="18" max="18" width="10" style="5931" bestFit="1" customWidth="1"/>
    <col min="19" max="16384" width="8.85546875" style="5931"/>
  </cols>
  <sheetData>
    <row r="1" spans="1:13" x14ac:dyDescent="0.25">
      <c r="A1" s="5934"/>
      <c r="B1" s="5935"/>
      <c r="C1" s="5934"/>
      <c r="D1" s="5936"/>
      <c r="E1" s="5936"/>
      <c r="F1" s="5934"/>
      <c r="G1" s="5936"/>
      <c r="H1" s="5936"/>
      <c r="I1" s="5936"/>
      <c r="J1" s="5934"/>
      <c r="K1" s="5936"/>
      <c r="L1" s="5936"/>
      <c r="M1" s="5936"/>
    </row>
    <row r="2" spans="1:13" ht="20.25" x14ac:dyDescent="0.3">
      <c r="A2" s="5934"/>
      <c r="B2" s="6658" t="s">
        <v>2036</v>
      </c>
      <c r="C2" s="6658"/>
      <c r="D2" s="6658"/>
      <c r="E2" s="6658"/>
      <c r="F2" s="6658"/>
      <c r="G2" s="6658"/>
      <c r="H2" s="6658"/>
      <c r="I2" s="6658"/>
      <c r="J2" s="6658"/>
      <c r="K2" s="6658"/>
      <c r="L2" s="6658"/>
      <c r="M2" s="6658"/>
    </row>
    <row r="3" spans="1:13" ht="20.25" x14ac:dyDescent="0.25">
      <c r="A3" s="5934"/>
      <c r="B3" s="6659" t="s">
        <v>1513</v>
      </c>
      <c r="C3" s="6659"/>
      <c r="D3" s="6659"/>
      <c r="E3" s="6659"/>
      <c r="F3" s="6659"/>
      <c r="G3" s="6659"/>
      <c r="H3" s="6659"/>
      <c r="I3" s="6659"/>
      <c r="J3" s="6659"/>
      <c r="K3" s="6659"/>
      <c r="L3" s="6659"/>
      <c r="M3" s="6659"/>
    </row>
    <row r="4" spans="1:13" x14ac:dyDescent="0.25">
      <c r="A4" s="5934"/>
      <c r="B4" s="5937" t="s">
        <v>2037</v>
      </c>
      <c r="C4" s="5938" t="s">
        <v>2037</v>
      </c>
      <c r="D4" s="5939" t="s">
        <v>2038</v>
      </c>
      <c r="E4" s="5939" t="s">
        <v>2039</v>
      </c>
      <c r="F4" s="5939"/>
      <c r="G4" s="5940" t="s">
        <v>2040</v>
      </c>
      <c r="H4" s="5940"/>
      <c r="I4" s="5939" t="s">
        <v>1112</v>
      </c>
      <c r="J4" s="5939"/>
      <c r="K4" s="5939" t="s">
        <v>61</v>
      </c>
      <c r="L4" s="5939" t="s">
        <v>98</v>
      </c>
      <c r="M4" s="5939" t="s">
        <v>1384</v>
      </c>
    </row>
    <row r="5" spans="1:13" x14ac:dyDescent="0.25">
      <c r="A5" s="5934"/>
      <c r="B5" s="6660" t="s">
        <v>2041</v>
      </c>
      <c r="C5" s="5941">
        <v>45017</v>
      </c>
      <c r="D5" s="5937">
        <f>24*30</f>
        <v>720</v>
      </c>
      <c r="E5" s="5937">
        <f>24*30</f>
        <v>720</v>
      </c>
      <c r="F5" s="5937"/>
      <c r="G5" s="5942">
        <f>24*30</f>
        <v>720</v>
      </c>
      <c r="H5" s="5942"/>
      <c r="I5" s="5937">
        <f>24*30*3</f>
        <v>2160</v>
      </c>
      <c r="J5" s="5937"/>
      <c r="K5" s="5937">
        <f>24*30</f>
        <v>720</v>
      </c>
      <c r="L5" s="5937">
        <f>24*30</f>
        <v>720</v>
      </c>
      <c r="M5" s="5937">
        <f>24*30</f>
        <v>720</v>
      </c>
    </row>
    <row r="6" spans="1:13" x14ac:dyDescent="0.25">
      <c r="A6" s="5934"/>
      <c r="B6" s="6660"/>
      <c r="C6" s="5941">
        <v>45047</v>
      </c>
      <c r="D6" s="5937">
        <f>24*31</f>
        <v>744</v>
      </c>
      <c r="E6" s="5937">
        <f>24*31</f>
        <v>744</v>
      </c>
      <c r="F6" s="5943"/>
      <c r="G6" s="5937">
        <f>24*31</f>
        <v>744</v>
      </c>
      <c r="H6" s="5937"/>
      <c r="I6" s="5937">
        <f>24*31*3</f>
        <v>2232</v>
      </c>
      <c r="J6" s="5944"/>
      <c r="K6" s="5937">
        <f>24*31</f>
        <v>744</v>
      </c>
      <c r="L6" s="5937">
        <f>24*31</f>
        <v>744</v>
      </c>
      <c r="M6" s="5937">
        <f>24*31</f>
        <v>744</v>
      </c>
    </row>
    <row r="7" spans="1:13" x14ac:dyDescent="0.25">
      <c r="A7" s="5934"/>
      <c r="B7" s="6660"/>
      <c r="C7" s="5941">
        <v>45078</v>
      </c>
      <c r="D7" s="5937">
        <f>24*30</f>
        <v>720</v>
      </c>
      <c r="E7" s="5937">
        <f>24*30</f>
        <v>720</v>
      </c>
      <c r="F7" s="5937"/>
      <c r="G7" s="5942">
        <f>24*30</f>
        <v>720</v>
      </c>
      <c r="H7" s="5942"/>
      <c r="I7" s="5937">
        <f>24*30*3</f>
        <v>2160</v>
      </c>
      <c r="J7" s="5937"/>
      <c r="K7" s="5937">
        <f>24*30</f>
        <v>720</v>
      </c>
      <c r="L7" s="5937">
        <f>24*30</f>
        <v>720</v>
      </c>
      <c r="M7" s="5937">
        <f>24*30</f>
        <v>720</v>
      </c>
    </row>
    <row r="8" spans="1:13" x14ac:dyDescent="0.25">
      <c r="A8" s="5934"/>
      <c r="B8" s="6660"/>
      <c r="C8" s="5945" t="s">
        <v>2042</v>
      </c>
      <c r="D8" s="5946">
        <f t="shared" ref="D8:E8" si="0">SUM(D5:D7)</f>
        <v>2184</v>
      </c>
      <c r="E8" s="5946">
        <f t="shared" si="0"/>
        <v>2184</v>
      </c>
      <c r="F8" s="5947"/>
      <c r="G8" s="5946">
        <f>SUM(G5:G7)</f>
        <v>2184</v>
      </c>
      <c r="H8" s="5946"/>
      <c r="I8" s="5946">
        <f>SUM(I5:I7)</f>
        <v>6552</v>
      </c>
      <c r="J8" s="5947"/>
      <c r="K8" s="5946">
        <f t="shared" ref="K8:M8" si="1">SUM(K5:K7)</f>
        <v>2184</v>
      </c>
      <c r="L8" s="5946">
        <f t="shared" si="1"/>
        <v>2184</v>
      </c>
      <c r="M8" s="5946">
        <f t="shared" si="1"/>
        <v>2184</v>
      </c>
    </row>
    <row r="9" spans="1:13" x14ac:dyDescent="0.25">
      <c r="A9" s="5934"/>
      <c r="B9" s="6660"/>
      <c r="C9" s="5941">
        <v>45108</v>
      </c>
      <c r="D9" s="5948">
        <v>744</v>
      </c>
      <c r="E9" s="5948">
        <v>744</v>
      </c>
      <c r="F9" s="5944"/>
      <c r="G9" s="5948">
        <v>744</v>
      </c>
      <c r="H9" s="5948"/>
      <c r="I9" s="5948">
        <v>2232</v>
      </c>
      <c r="J9" s="5944"/>
      <c r="K9" s="5948">
        <v>744</v>
      </c>
      <c r="L9" s="5948">
        <v>744</v>
      </c>
      <c r="M9" s="5948">
        <v>744</v>
      </c>
    </row>
    <row r="10" spans="1:13" x14ac:dyDescent="0.25">
      <c r="A10" s="5934"/>
      <c r="B10" s="6660"/>
      <c r="C10" s="5941">
        <v>45139</v>
      </c>
      <c r="D10" s="5948">
        <v>744</v>
      </c>
      <c r="E10" s="5948">
        <v>744</v>
      </c>
      <c r="F10" s="5949"/>
      <c r="G10" s="5948">
        <v>744</v>
      </c>
      <c r="H10" s="5948"/>
      <c r="I10" s="5949">
        <v>2232</v>
      </c>
      <c r="J10" s="5949"/>
      <c r="K10" s="5948">
        <v>744</v>
      </c>
      <c r="L10" s="5948">
        <v>744</v>
      </c>
      <c r="M10" s="5948">
        <v>744</v>
      </c>
    </row>
    <row r="11" spans="1:13" x14ac:dyDescent="0.25">
      <c r="A11" s="5934"/>
      <c r="B11" s="6660"/>
      <c r="C11" s="5941">
        <v>45170</v>
      </c>
      <c r="D11" s="5950">
        <v>720</v>
      </c>
      <c r="E11" s="5950">
        <v>720</v>
      </c>
      <c r="F11" s="5949"/>
      <c r="G11" s="5950">
        <v>720</v>
      </c>
      <c r="H11" s="5950"/>
      <c r="I11" s="5950">
        <v>2160</v>
      </c>
      <c r="J11" s="5949"/>
      <c r="K11" s="5950">
        <v>720</v>
      </c>
      <c r="L11" s="5950">
        <v>720</v>
      </c>
      <c r="M11" s="5950">
        <v>720</v>
      </c>
    </row>
    <row r="12" spans="1:13" x14ac:dyDescent="0.25">
      <c r="A12" s="5934"/>
      <c r="B12" s="6660"/>
      <c r="C12" s="5945" t="s">
        <v>2043</v>
      </c>
      <c r="D12" s="5951">
        <f>D9+D10+D11</f>
        <v>2208</v>
      </c>
      <c r="E12" s="5951">
        <f t="shared" ref="E12:M12" si="2">E9+E10+E11</f>
        <v>2208</v>
      </c>
      <c r="F12" s="5951"/>
      <c r="G12" s="5951">
        <f t="shared" si="2"/>
        <v>2208</v>
      </c>
      <c r="H12" s="5951"/>
      <c r="I12" s="5951">
        <f t="shared" si="2"/>
        <v>6624</v>
      </c>
      <c r="J12" s="5951"/>
      <c r="K12" s="5951">
        <f t="shared" si="2"/>
        <v>2208</v>
      </c>
      <c r="L12" s="5951">
        <f t="shared" si="2"/>
        <v>2208</v>
      </c>
      <c r="M12" s="5951">
        <f t="shared" si="2"/>
        <v>2208</v>
      </c>
    </row>
    <row r="13" spans="1:13" x14ac:dyDescent="0.25">
      <c r="A13" s="5934"/>
      <c r="B13" s="6660"/>
      <c r="C13" s="5941">
        <v>45200</v>
      </c>
      <c r="D13" s="5949">
        <v>744</v>
      </c>
      <c r="E13" s="5949">
        <v>744</v>
      </c>
      <c r="F13" s="5944"/>
      <c r="G13" s="5948">
        <v>744</v>
      </c>
      <c r="H13" s="5948"/>
      <c r="I13" s="5948">
        <v>2232</v>
      </c>
      <c r="J13" s="5944"/>
      <c r="K13" s="5949">
        <v>744</v>
      </c>
      <c r="L13" s="5949">
        <v>744</v>
      </c>
      <c r="M13" s="5949">
        <v>744</v>
      </c>
    </row>
    <row r="14" spans="1:13" x14ac:dyDescent="0.25">
      <c r="A14" s="5934"/>
      <c r="B14" s="6660"/>
      <c r="C14" s="5941">
        <v>45231</v>
      </c>
      <c r="D14" s="5949">
        <v>720</v>
      </c>
      <c r="E14" s="5949">
        <v>720</v>
      </c>
      <c r="F14" s="5944"/>
      <c r="G14" s="5948">
        <v>720</v>
      </c>
      <c r="H14" s="5948"/>
      <c r="I14" s="5948">
        <v>2160</v>
      </c>
      <c r="J14" s="5944"/>
      <c r="K14" s="5949">
        <v>720</v>
      </c>
      <c r="L14" s="5949">
        <v>720</v>
      </c>
      <c r="M14" s="5949">
        <v>720</v>
      </c>
    </row>
    <row r="15" spans="1:13" x14ac:dyDescent="0.25">
      <c r="A15" s="5934"/>
      <c r="B15" s="6660"/>
      <c r="C15" s="5941">
        <v>45261</v>
      </c>
      <c r="D15" s="5948">
        <v>744</v>
      </c>
      <c r="E15" s="5948">
        <v>744</v>
      </c>
      <c r="F15" s="5952"/>
      <c r="G15" s="5948">
        <v>744</v>
      </c>
      <c r="H15" s="5948"/>
      <c r="I15" s="5948">
        <v>2232</v>
      </c>
      <c r="J15" s="5952"/>
      <c r="K15" s="5948">
        <v>744</v>
      </c>
      <c r="L15" s="5948">
        <v>744</v>
      </c>
      <c r="M15" s="5948">
        <v>744</v>
      </c>
    </row>
    <row r="16" spans="1:13" x14ac:dyDescent="0.25">
      <c r="A16" s="5934"/>
      <c r="B16" s="6660"/>
      <c r="C16" s="5945" t="s">
        <v>2044</v>
      </c>
      <c r="D16" s="5946">
        <f>D13+D14+D15</f>
        <v>2208</v>
      </c>
      <c r="E16" s="5946">
        <f t="shared" ref="E16:M16" si="3">E13+E14+E15</f>
        <v>2208</v>
      </c>
      <c r="F16" s="5946"/>
      <c r="G16" s="5946">
        <f t="shared" si="3"/>
        <v>2208</v>
      </c>
      <c r="H16" s="5946"/>
      <c r="I16" s="5946">
        <f t="shared" si="3"/>
        <v>6624</v>
      </c>
      <c r="J16" s="5946"/>
      <c r="K16" s="5946">
        <f t="shared" si="3"/>
        <v>2208</v>
      </c>
      <c r="L16" s="5946">
        <f t="shared" si="3"/>
        <v>2208</v>
      </c>
      <c r="M16" s="5946">
        <f t="shared" si="3"/>
        <v>2208</v>
      </c>
    </row>
    <row r="17" spans="1:13" x14ac:dyDescent="0.25">
      <c r="A17" s="5934"/>
      <c r="B17" s="6660"/>
      <c r="C17" s="5941">
        <v>45292</v>
      </c>
      <c r="D17" s="5948">
        <v>744</v>
      </c>
      <c r="E17" s="5948">
        <v>744</v>
      </c>
      <c r="F17" s="5952"/>
      <c r="G17" s="5948">
        <v>744</v>
      </c>
      <c r="H17" s="5948"/>
      <c r="I17" s="5948">
        <v>2232</v>
      </c>
      <c r="J17" s="5952"/>
      <c r="K17" s="5948">
        <v>744</v>
      </c>
      <c r="L17" s="5948">
        <v>744</v>
      </c>
      <c r="M17" s="5948">
        <v>744</v>
      </c>
    </row>
    <row r="18" spans="1:13" x14ac:dyDescent="0.25">
      <c r="A18" s="5934"/>
      <c r="B18" s="6660"/>
      <c r="C18" s="5941">
        <v>45323</v>
      </c>
      <c r="D18" s="5948">
        <v>696</v>
      </c>
      <c r="E18" s="5948">
        <v>696</v>
      </c>
      <c r="F18" s="5952"/>
      <c r="G18" s="5948">
        <v>696</v>
      </c>
      <c r="H18" s="5948"/>
      <c r="I18" s="5948">
        <f>696*3</f>
        <v>2088</v>
      </c>
      <c r="J18" s="5952"/>
      <c r="K18" s="5948">
        <v>696</v>
      </c>
      <c r="L18" s="5948">
        <v>696</v>
      </c>
      <c r="M18" s="5948">
        <v>696</v>
      </c>
    </row>
    <row r="19" spans="1:13" x14ac:dyDescent="0.25">
      <c r="A19" s="5934"/>
      <c r="B19" s="6660"/>
      <c r="C19" s="5941">
        <v>45352</v>
      </c>
      <c r="D19" s="5948">
        <f>31*24</f>
        <v>744</v>
      </c>
      <c r="E19" s="5948">
        <f>31*24</f>
        <v>744</v>
      </c>
      <c r="F19" s="5944"/>
      <c r="G19" s="5948">
        <f>31*24</f>
        <v>744</v>
      </c>
      <c r="H19" s="5948"/>
      <c r="I19" s="5948">
        <f>31*24*3</f>
        <v>2232</v>
      </c>
      <c r="J19" s="5944"/>
      <c r="K19" s="5948">
        <f t="shared" ref="K19:M19" si="4">31*24</f>
        <v>744</v>
      </c>
      <c r="L19" s="5948">
        <f t="shared" si="4"/>
        <v>744</v>
      </c>
      <c r="M19" s="5948">
        <f t="shared" si="4"/>
        <v>744</v>
      </c>
    </row>
    <row r="20" spans="1:13" x14ac:dyDescent="0.25">
      <c r="A20" s="5934"/>
      <c r="B20" s="6660"/>
      <c r="C20" s="5945" t="s">
        <v>2045</v>
      </c>
      <c r="D20" s="5953">
        <f t="shared" ref="D20:E20" si="5">SUM(D17:D19)</f>
        <v>2184</v>
      </c>
      <c r="E20" s="5953">
        <f t="shared" si="5"/>
        <v>2184</v>
      </c>
      <c r="F20" s="5947"/>
      <c r="G20" s="5953">
        <f>SUM(G17:G19)</f>
        <v>2184</v>
      </c>
      <c r="H20" s="5953"/>
      <c r="I20" s="5953">
        <f>SUM(I17:I19)</f>
        <v>6552</v>
      </c>
      <c r="J20" s="5947"/>
      <c r="K20" s="5953">
        <f t="shared" ref="K20:M20" si="6">SUM(K17:K19)</f>
        <v>2184</v>
      </c>
      <c r="L20" s="5953">
        <f t="shared" si="6"/>
        <v>2184</v>
      </c>
      <c r="M20" s="5953">
        <f t="shared" si="6"/>
        <v>2184</v>
      </c>
    </row>
    <row r="21" spans="1:13" x14ac:dyDescent="0.25">
      <c r="A21" s="5934"/>
      <c r="B21" s="6660"/>
      <c r="C21" s="5945" t="s">
        <v>1513</v>
      </c>
      <c r="D21" s="5953">
        <f t="shared" ref="D21:E21" si="7">D20+D16+D8+D12</f>
        <v>8784</v>
      </c>
      <c r="E21" s="5953">
        <f t="shared" si="7"/>
        <v>8784</v>
      </c>
      <c r="F21" s="5947"/>
      <c r="G21" s="5953">
        <f>G20+G16+G8+G12</f>
        <v>8784</v>
      </c>
      <c r="H21" s="5953"/>
      <c r="I21" s="5953">
        <f>I20+I16+I8+I12</f>
        <v>26352</v>
      </c>
      <c r="J21" s="5947"/>
      <c r="K21" s="5953">
        <f t="shared" ref="K21:M21" si="8">K20+K16+K8+K12</f>
        <v>8784</v>
      </c>
      <c r="L21" s="5953">
        <f t="shared" si="8"/>
        <v>8784</v>
      </c>
      <c r="M21" s="5953">
        <f t="shared" si="8"/>
        <v>8784</v>
      </c>
    </row>
    <row r="22" spans="1:13" x14ac:dyDescent="0.25">
      <c r="A22" s="5934"/>
      <c r="B22" s="5937"/>
      <c r="C22" s="5938"/>
      <c r="D22" s="5937"/>
      <c r="E22" s="5937"/>
      <c r="F22" s="5954"/>
      <c r="G22" s="5937"/>
      <c r="H22" s="5937"/>
      <c r="I22" s="5937"/>
      <c r="J22" s="5954"/>
      <c r="K22" s="5937"/>
      <c r="L22" s="5937"/>
      <c r="M22" s="5937"/>
    </row>
    <row r="23" spans="1:13" x14ac:dyDescent="0.25">
      <c r="A23" s="5934"/>
      <c r="B23" s="5937"/>
      <c r="C23" s="5941"/>
      <c r="D23" s="5937"/>
      <c r="E23" s="5937"/>
      <c r="F23" s="5954"/>
      <c r="G23" s="5937"/>
      <c r="H23" s="5937"/>
      <c r="I23" s="5937"/>
      <c r="J23" s="5954"/>
      <c r="K23" s="5937"/>
      <c r="L23" s="5937"/>
      <c r="M23" s="5937"/>
    </row>
    <row r="24" spans="1:13" x14ac:dyDescent="0.25">
      <c r="A24" s="5934"/>
      <c r="B24" s="5937" t="s">
        <v>2037</v>
      </c>
      <c r="C24" s="5938" t="s">
        <v>2037</v>
      </c>
      <c r="D24" s="5939" t="s">
        <v>2038</v>
      </c>
      <c r="E24" s="5939" t="s">
        <v>2039</v>
      </c>
      <c r="F24" s="5955"/>
      <c r="G24" s="5939" t="s">
        <v>2040</v>
      </c>
      <c r="H24" s="5939"/>
      <c r="I24" s="5939" t="s">
        <v>1112</v>
      </c>
      <c r="J24" s="5955"/>
      <c r="K24" s="5939" t="s">
        <v>61</v>
      </c>
      <c r="L24" s="5939" t="s">
        <v>98</v>
      </c>
      <c r="M24" s="5939" t="s">
        <v>1384</v>
      </c>
    </row>
    <row r="25" spans="1:13" x14ac:dyDescent="0.25">
      <c r="A25" s="5934"/>
      <c r="B25" s="6660" t="s">
        <v>2046</v>
      </c>
      <c r="C25" s="5941">
        <v>45017</v>
      </c>
      <c r="D25" s="5942">
        <f>+D5-D66-D67</f>
        <v>704.17</v>
      </c>
      <c r="E25" s="5942">
        <f>+E5-E66-E67</f>
        <v>698.33</v>
      </c>
      <c r="F25" s="5937"/>
      <c r="G25" s="5942">
        <f>+G5-G66-G67</f>
        <v>708.5</v>
      </c>
      <c r="H25" s="5942"/>
      <c r="I25" s="5942">
        <f>+I5-I66-I67</f>
        <v>1710.3400000000001</v>
      </c>
      <c r="J25" s="5954"/>
      <c r="K25" s="5942">
        <f>+K5-K66-K67</f>
        <v>603.76666666666665</v>
      </c>
      <c r="L25" s="5942">
        <f>+L5-L66-L67</f>
        <v>618.33333333333337</v>
      </c>
      <c r="M25" s="5942">
        <f>+M5-M66-M67</f>
        <v>575.00000000000045</v>
      </c>
    </row>
    <row r="26" spans="1:13" x14ac:dyDescent="0.25">
      <c r="A26" s="5934"/>
      <c r="B26" s="6660"/>
      <c r="C26" s="5941">
        <v>45047</v>
      </c>
      <c r="D26" s="5942">
        <f>+D6-D89-D90</f>
        <v>574.16999999999996</v>
      </c>
      <c r="E26" s="5942">
        <f>+E6-E89-E90</f>
        <v>612.25</v>
      </c>
      <c r="F26" s="5943"/>
      <c r="G26" s="5942">
        <f>+G6-G89-G90</f>
        <v>639</v>
      </c>
      <c r="H26" s="5942"/>
      <c r="I26" s="5942">
        <f>+I6-I89-I90</f>
        <v>2139.25</v>
      </c>
      <c r="J26" s="5944"/>
      <c r="K26" s="5942">
        <f>+K6-K89-K90</f>
        <v>523.80000000000007</v>
      </c>
      <c r="L26" s="5942">
        <f>+L6-L89-L90</f>
        <v>559.98333333333335</v>
      </c>
      <c r="M26" s="5942">
        <f>+M6-M89-M90</f>
        <v>513.74999999999989</v>
      </c>
    </row>
    <row r="27" spans="1:13" x14ac:dyDescent="0.25">
      <c r="A27" s="5934"/>
      <c r="B27" s="6660"/>
      <c r="C27" s="5941">
        <v>45078</v>
      </c>
      <c r="D27" s="5956">
        <f>D7-D112-D113</f>
        <v>580</v>
      </c>
      <c r="E27" s="5956">
        <f t="shared" ref="E27:M27" si="9">E7-E112-E113</f>
        <v>626.5</v>
      </c>
      <c r="F27" s="5956"/>
      <c r="G27" s="5956">
        <f t="shared" si="9"/>
        <v>689.5</v>
      </c>
      <c r="H27" s="5956"/>
      <c r="I27" s="5956">
        <f t="shared" si="9"/>
        <v>1881.8600000000001</v>
      </c>
      <c r="J27" s="5956"/>
      <c r="K27" s="5956">
        <f t="shared" si="9"/>
        <v>479.2166666666667</v>
      </c>
      <c r="L27" s="5956">
        <f t="shared" si="9"/>
        <v>530.43333333333339</v>
      </c>
      <c r="M27" s="5956">
        <f t="shared" si="9"/>
        <v>460.16666666666663</v>
      </c>
    </row>
    <row r="28" spans="1:13" x14ac:dyDescent="0.25">
      <c r="A28" s="5934"/>
      <c r="B28" s="6660"/>
      <c r="C28" s="5945" t="s">
        <v>2042</v>
      </c>
      <c r="D28" s="5957">
        <f>SUM(D25:D27)</f>
        <v>1858.34</v>
      </c>
      <c r="E28" s="5957">
        <f>SUM(E25:E27)</f>
        <v>1937.08</v>
      </c>
      <c r="F28" s="5958"/>
      <c r="G28" s="5957">
        <f>SUM(G25:G27)</f>
        <v>2037</v>
      </c>
      <c r="H28" s="5957"/>
      <c r="I28" s="5957">
        <f>SUM(I25:I27)</f>
        <v>5731.4500000000007</v>
      </c>
      <c r="J28" s="5958"/>
      <c r="K28" s="5957">
        <f t="shared" ref="K28:M28" si="10">SUM(K25:K27)</f>
        <v>1606.7833333333333</v>
      </c>
      <c r="L28" s="5957">
        <f t="shared" si="10"/>
        <v>1708.75</v>
      </c>
      <c r="M28" s="5957">
        <f t="shared" si="10"/>
        <v>1548.916666666667</v>
      </c>
    </row>
    <row r="29" spans="1:13" x14ac:dyDescent="0.25">
      <c r="A29" s="5934"/>
      <c r="B29" s="6660"/>
      <c r="C29" s="5941">
        <v>45108</v>
      </c>
      <c r="D29" s="5956">
        <f>D9-D136-D137</f>
        <v>699.83</v>
      </c>
      <c r="E29" s="5956">
        <f t="shared" ref="E29:M29" si="11">E9-E136-E137</f>
        <v>712.75</v>
      </c>
      <c r="F29" s="5956"/>
      <c r="G29" s="5956">
        <f t="shared" si="11"/>
        <v>732</v>
      </c>
      <c r="H29" s="5956"/>
      <c r="I29" s="5956">
        <f t="shared" si="11"/>
        <v>2070.65</v>
      </c>
      <c r="J29" s="5956"/>
      <c r="K29" s="5956">
        <f t="shared" si="11"/>
        <v>619.7166666666667</v>
      </c>
      <c r="L29" s="5956">
        <f t="shared" si="11"/>
        <v>657.91666666666663</v>
      </c>
      <c r="M29" s="5956">
        <f t="shared" si="11"/>
        <v>526.95000000000005</v>
      </c>
    </row>
    <row r="30" spans="1:13" x14ac:dyDescent="0.25">
      <c r="A30" s="5934"/>
      <c r="B30" s="6660"/>
      <c r="C30" s="5941">
        <v>45139</v>
      </c>
      <c r="D30" s="5959">
        <f>+D10-D159-D160</f>
        <v>730</v>
      </c>
      <c r="E30" s="5959">
        <f>+E10-E159-E160</f>
        <v>708</v>
      </c>
      <c r="F30" s="5959"/>
      <c r="G30" s="5959">
        <f>+G10-G159-G160</f>
        <v>744</v>
      </c>
      <c r="H30" s="5959"/>
      <c r="I30" s="5959">
        <f>+I10-I159-I160</f>
        <v>1669.5</v>
      </c>
      <c r="J30" s="5959"/>
      <c r="K30" s="5959">
        <f>+K10-K159-K160</f>
        <v>624.1</v>
      </c>
      <c r="L30" s="5959">
        <f>+L10-L159-L160</f>
        <v>668.38333333333333</v>
      </c>
      <c r="M30" s="5959">
        <f>+M10-M159-M160</f>
        <v>634.33333333333337</v>
      </c>
    </row>
    <row r="31" spans="1:13" x14ac:dyDescent="0.25">
      <c r="A31" s="5936"/>
      <c r="B31" s="6660"/>
      <c r="C31" s="5941">
        <v>45170</v>
      </c>
      <c r="D31" s="5959">
        <f>D11-D183-D184</f>
        <v>703.5</v>
      </c>
      <c r="E31" s="5959">
        <f>E11-E183-E184</f>
        <v>626.5</v>
      </c>
      <c r="F31" s="5959"/>
      <c r="G31" s="5959">
        <f>G11-G183-G184</f>
        <v>683</v>
      </c>
      <c r="H31" s="5959"/>
      <c r="I31" s="5959">
        <f>I11-I183-I184</f>
        <v>1705.54</v>
      </c>
      <c r="J31" s="5959"/>
      <c r="K31" s="5959">
        <f>K11-K183-K184</f>
        <v>618.9</v>
      </c>
      <c r="L31" s="5959">
        <f>L11-L183-L184</f>
        <v>604.93333333333339</v>
      </c>
      <c r="M31" s="5959">
        <f>M11-M183-M184</f>
        <v>555.75</v>
      </c>
    </row>
    <row r="32" spans="1:13" x14ac:dyDescent="0.25">
      <c r="A32" s="5934"/>
      <c r="B32" s="6660"/>
      <c r="C32" s="5945" t="s">
        <v>2043</v>
      </c>
      <c r="D32" s="5960">
        <f>SUM(D29:D31)</f>
        <v>2133.33</v>
      </c>
      <c r="E32" s="5960">
        <f t="shared" ref="E32:M32" si="12">SUM(E29:E31)</f>
        <v>2047.25</v>
      </c>
      <c r="F32" s="5960"/>
      <c r="G32" s="5960">
        <f t="shared" si="12"/>
        <v>2159</v>
      </c>
      <c r="H32" s="5960"/>
      <c r="I32" s="5960">
        <f t="shared" si="12"/>
        <v>5445.6900000000005</v>
      </c>
      <c r="J32" s="5960"/>
      <c r="K32" s="5960">
        <f t="shared" si="12"/>
        <v>1862.7166666666667</v>
      </c>
      <c r="L32" s="5960">
        <f t="shared" si="12"/>
        <v>1931.2333333333333</v>
      </c>
      <c r="M32" s="5960">
        <f t="shared" si="12"/>
        <v>1717.0333333333333</v>
      </c>
    </row>
    <row r="33" spans="1:13" x14ac:dyDescent="0.25">
      <c r="A33" s="5936"/>
      <c r="B33" s="6660"/>
      <c r="C33" s="5941">
        <v>45200</v>
      </c>
      <c r="D33" s="5956">
        <f>D13-D208-D209</f>
        <v>720</v>
      </c>
      <c r="E33" s="5956">
        <f>E13-E208-E209</f>
        <v>732.25</v>
      </c>
      <c r="F33" s="5961"/>
      <c r="G33" s="5956">
        <f>G13-G208-G209</f>
        <v>732</v>
      </c>
      <c r="H33" s="5956"/>
      <c r="I33" s="5956">
        <f>I13-I208-I209</f>
        <v>1574.0900000000001</v>
      </c>
      <c r="J33" s="5961"/>
      <c r="K33" s="5956">
        <f>K13-K208-K209</f>
        <v>631.9666666666667</v>
      </c>
      <c r="L33" s="5956">
        <f>L13-L208-L209</f>
        <v>585.7166666666667</v>
      </c>
      <c r="M33" s="5956">
        <f>M13-M208-M209</f>
        <v>581.83333333333337</v>
      </c>
    </row>
    <row r="34" spans="1:13" x14ac:dyDescent="0.25">
      <c r="A34" s="5934"/>
      <c r="B34" s="6660"/>
      <c r="C34" s="5941">
        <v>45231</v>
      </c>
      <c r="D34" s="5956">
        <f>D14-D232-D233</f>
        <v>689.08</v>
      </c>
      <c r="E34" s="5956">
        <f>E14-E232-E233</f>
        <v>706</v>
      </c>
      <c r="F34" s="5956"/>
      <c r="G34" s="5956">
        <f>G14-G232-G233</f>
        <v>696</v>
      </c>
      <c r="H34" s="5956"/>
      <c r="I34" s="5956">
        <f>I14-I232-I233</f>
        <v>1470.6</v>
      </c>
      <c r="J34" s="5956"/>
      <c r="K34" s="5956">
        <f>K14-K232-K233</f>
        <v>575.6</v>
      </c>
      <c r="L34" s="5956">
        <f>L14-L232-L233</f>
        <v>566.86666666666667</v>
      </c>
      <c r="M34" s="5956">
        <f>M14-M232-M233</f>
        <v>605</v>
      </c>
    </row>
    <row r="35" spans="1:13" x14ac:dyDescent="0.25">
      <c r="A35" s="5934"/>
      <c r="B35" s="6660"/>
      <c r="C35" s="5941">
        <v>45261</v>
      </c>
      <c r="D35" s="5956">
        <f>D15-D257-D258</f>
        <v>734</v>
      </c>
      <c r="E35" s="5956">
        <f>E15-E257-E258</f>
        <v>722.75</v>
      </c>
      <c r="F35" s="5956"/>
      <c r="G35" s="5956">
        <f>G15-G257-G258</f>
        <v>733</v>
      </c>
      <c r="H35" s="5956"/>
      <c r="I35" s="5956">
        <f>I15-I257-I258</f>
        <v>1734.5</v>
      </c>
      <c r="J35" s="5956"/>
      <c r="K35" s="5956">
        <f>K15-K257-K258</f>
        <v>633.61666666666667</v>
      </c>
      <c r="L35" s="5956">
        <f>L15-L257-L258</f>
        <v>660.63333333333333</v>
      </c>
      <c r="M35" s="5956">
        <f>M15-M257-M258</f>
        <v>593.58333333333337</v>
      </c>
    </row>
    <row r="36" spans="1:13" x14ac:dyDescent="0.25">
      <c r="A36" s="5934"/>
      <c r="B36" s="6660"/>
      <c r="C36" s="5945" t="s">
        <v>2044</v>
      </c>
      <c r="D36" s="5957">
        <f>D33+D35+D34</f>
        <v>2143.08</v>
      </c>
      <c r="E36" s="5957">
        <f t="shared" ref="E36:M36" si="13">E33+E35+E34</f>
        <v>2161</v>
      </c>
      <c r="F36" s="5957"/>
      <c r="G36" s="5957">
        <f t="shared" si="13"/>
        <v>2161</v>
      </c>
      <c r="H36" s="5957"/>
      <c r="I36" s="5957">
        <f t="shared" si="13"/>
        <v>4779.1900000000005</v>
      </c>
      <c r="J36" s="5957"/>
      <c r="K36" s="5957">
        <f t="shared" si="13"/>
        <v>1841.1833333333334</v>
      </c>
      <c r="L36" s="5957">
        <f t="shared" si="13"/>
        <v>1813.2166666666667</v>
      </c>
      <c r="M36" s="5957">
        <f t="shared" si="13"/>
        <v>1780.4166666666667</v>
      </c>
    </row>
    <row r="37" spans="1:13" x14ac:dyDescent="0.25">
      <c r="A37" s="5934"/>
      <c r="B37" s="6660"/>
      <c r="C37" s="5941">
        <v>45292</v>
      </c>
      <c r="D37" s="5956">
        <f>D17-D282-D283</f>
        <v>742.83</v>
      </c>
      <c r="E37" s="5956">
        <f>E17-E282-E283</f>
        <v>727.5</v>
      </c>
      <c r="F37" s="5961"/>
      <c r="G37" s="5956">
        <f>G17-G282-G283</f>
        <v>744</v>
      </c>
      <c r="H37" s="5956"/>
      <c r="I37" s="5956">
        <f>I17-I282-I283</f>
        <v>1784.2</v>
      </c>
      <c r="J37" s="5956"/>
      <c r="K37" s="5956">
        <f>K17-K282-K283</f>
        <v>636.33333333333337</v>
      </c>
      <c r="L37" s="5956">
        <f>L17-L282-L283</f>
        <v>630.0333333333333</v>
      </c>
      <c r="M37" s="5956">
        <f>M17-M282-M283</f>
        <v>607.5</v>
      </c>
    </row>
    <row r="38" spans="1:13" x14ac:dyDescent="0.25">
      <c r="A38" s="5934"/>
      <c r="B38" s="6660"/>
      <c r="C38" s="5941">
        <v>45323</v>
      </c>
      <c r="D38" s="5956">
        <f>D18-D306-D307</f>
        <v>679.25</v>
      </c>
      <c r="E38" s="5956">
        <f>E18-E306-E307</f>
        <v>691.67</v>
      </c>
      <c r="F38" s="5956"/>
      <c r="G38" s="5956">
        <f>G18-G306-G307</f>
        <v>696</v>
      </c>
      <c r="H38" s="5956"/>
      <c r="I38" s="5956">
        <f>I18-I306-I307</f>
        <v>1568.8899999999999</v>
      </c>
      <c r="J38" s="5956"/>
      <c r="K38" s="5956">
        <f>K18-K306-K307</f>
        <v>577.5</v>
      </c>
      <c r="L38" s="5956">
        <f>L18-L306-L307</f>
        <v>618.85</v>
      </c>
      <c r="M38" s="5956">
        <f>M18-M306-M307</f>
        <v>590.5</v>
      </c>
    </row>
    <row r="39" spans="1:13" x14ac:dyDescent="0.25">
      <c r="A39" s="5934"/>
      <c r="B39" s="6660"/>
      <c r="C39" s="5941">
        <v>45352</v>
      </c>
      <c r="D39" s="5956">
        <f>D19-D330-D331</f>
        <v>696.5</v>
      </c>
      <c r="E39" s="5956">
        <f>E19-E330-E331</f>
        <v>692.75</v>
      </c>
      <c r="F39" s="5961"/>
      <c r="G39" s="5956">
        <f>G19-G330-G331</f>
        <v>714.7</v>
      </c>
      <c r="H39" s="5956"/>
      <c r="I39" s="5956">
        <f>I19-I330-I331</f>
        <v>1690</v>
      </c>
      <c r="J39" s="5961"/>
      <c r="K39" s="5956">
        <f>K19-K330-K331</f>
        <v>599.36666666666667</v>
      </c>
      <c r="L39" s="5956">
        <f>L19-L330-L331</f>
        <v>657.4666666666667</v>
      </c>
      <c r="M39" s="5956">
        <f>M19-M330-M331</f>
        <v>607.75</v>
      </c>
    </row>
    <row r="40" spans="1:13" x14ac:dyDescent="0.25">
      <c r="A40" s="5934"/>
      <c r="B40" s="6660"/>
      <c r="C40" s="5945" t="s">
        <v>2045</v>
      </c>
      <c r="D40" s="5957">
        <f t="shared" ref="D40:E40" si="14">SUM(D37:D39)</f>
        <v>2118.58</v>
      </c>
      <c r="E40" s="5957">
        <f t="shared" si="14"/>
        <v>2111.92</v>
      </c>
      <c r="F40" s="5962"/>
      <c r="G40" s="5957">
        <f>SUM(G37:G39)</f>
        <v>2154.6999999999998</v>
      </c>
      <c r="H40" s="5957"/>
      <c r="I40" s="5957">
        <f>SUM(I37:I39)</f>
        <v>5043.09</v>
      </c>
      <c r="J40" s="5962"/>
      <c r="K40" s="5957">
        <f t="shared" ref="K40:M40" si="15">SUM(K37:K39)</f>
        <v>1813.2000000000003</v>
      </c>
      <c r="L40" s="5957">
        <f t="shared" si="15"/>
        <v>1906.35</v>
      </c>
      <c r="M40" s="5957">
        <f t="shared" si="15"/>
        <v>1805.75</v>
      </c>
    </row>
    <row r="41" spans="1:13" x14ac:dyDescent="0.25">
      <c r="A41" s="5934"/>
      <c r="B41" s="6660"/>
      <c r="C41" s="5945" t="s">
        <v>1513</v>
      </c>
      <c r="D41" s="5957">
        <f t="shared" ref="D41:E41" si="16">D40+D36+D32+D28</f>
        <v>8253.33</v>
      </c>
      <c r="E41" s="5957">
        <f t="shared" si="16"/>
        <v>8257.25</v>
      </c>
      <c r="F41" s="5962"/>
      <c r="G41" s="5957">
        <f>G40+G36+G32+G28</f>
        <v>8511.7000000000007</v>
      </c>
      <c r="H41" s="5957"/>
      <c r="I41" s="5963">
        <f>I40+I36+I32+I28</f>
        <v>20999.420000000002</v>
      </c>
      <c r="J41" s="5962"/>
      <c r="K41" s="5957">
        <f t="shared" ref="K41:M41" si="17">K40+K36+K32+K28</f>
        <v>7123.8833333333332</v>
      </c>
      <c r="L41" s="5957">
        <f t="shared" si="17"/>
        <v>7359.55</v>
      </c>
      <c r="M41" s="5957">
        <f t="shared" si="17"/>
        <v>6852.1166666666677</v>
      </c>
    </row>
    <row r="42" spans="1:13" x14ac:dyDescent="0.25">
      <c r="A42" s="5934"/>
      <c r="B42" s="5937"/>
      <c r="C42" s="5938"/>
      <c r="D42" s="5964"/>
      <c r="E42" s="5964"/>
      <c r="F42" s="5942"/>
      <c r="G42" s="5942"/>
      <c r="H42" s="5942"/>
      <c r="I42" s="5942"/>
      <c r="J42" s="5942"/>
      <c r="K42" s="5942"/>
      <c r="L42" s="5942"/>
      <c r="M42" s="5942"/>
    </row>
    <row r="43" spans="1:13" x14ac:dyDescent="0.25">
      <c r="A43" s="5934"/>
      <c r="B43" s="5937"/>
      <c r="C43" s="5938"/>
      <c r="D43" s="5942"/>
      <c r="E43" s="5942"/>
      <c r="F43" s="5942"/>
      <c r="G43" s="5942"/>
      <c r="H43" s="5942"/>
      <c r="I43" s="5942"/>
      <c r="J43" s="5942"/>
      <c r="K43" s="5942"/>
      <c r="L43" s="5942"/>
      <c r="M43" s="5942"/>
    </row>
    <row r="44" spans="1:13" x14ac:dyDescent="0.25">
      <c r="A44" s="5934"/>
      <c r="B44" s="5937" t="s">
        <v>2037</v>
      </c>
      <c r="C44" s="5938" t="s">
        <v>2037</v>
      </c>
      <c r="D44" s="5939" t="s">
        <v>2038</v>
      </c>
      <c r="E44" s="5939" t="s">
        <v>2039</v>
      </c>
      <c r="F44" s="5939"/>
      <c r="G44" s="5939" t="s">
        <v>2040</v>
      </c>
      <c r="H44" s="5939"/>
      <c r="I44" s="5939" t="s">
        <v>1112</v>
      </c>
      <c r="J44" s="5939"/>
      <c r="K44" s="5939" t="s">
        <v>61</v>
      </c>
      <c r="L44" s="5939" t="s">
        <v>98</v>
      </c>
      <c r="M44" s="5939" t="s">
        <v>1384</v>
      </c>
    </row>
    <row r="45" spans="1:13" x14ac:dyDescent="0.25">
      <c r="A45" s="5934"/>
      <c r="B45" s="6660" t="s">
        <v>2047</v>
      </c>
      <c r="C45" s="5941">
        <v>45017</v>
      </c>
      <c r="D45" s="5942">
        <f t="shared" ref="D45:M45" si="18">+D25-SUM(D68:D85)</f>
        <v>659</v>
      </c>
      <c r="E45" s="5942">
        <f t="shared" si="18"/>
        <v>684.66000000000008</v>
      </c>
      <c r="F45" s="5942"/>
      <c r="G45" s="5942">
        <f t="shared" si="18"/>
        <v>705</v>
      </c>
      <c r="H45" s="5942"/>
      <c r="I45" s="5942">
        <f t="shared" si="18"/>
        <v>1115.5700000000002</v>
      </c>
      <c r="J45" s="5942"/>
      <c r="K45" s="5942">
        <f t="shared" si="18"/>
        <v>505.84999999999997</v>
      </c>
      <c r="L45" s="5942">
        <f t="shared" si="18"/>
        <v>531.70000000000005</v>
      </c>
      <c r="M45" s="5942">
        <f t="shared" si="18"/>
        <v>455.58333333333377</v>
      </c>
    </row>
    <row r="46" spans="1:13" x14ac:dyDescent="0.25">
      <c r="A46" s="5934"/>
      <c r="B46" s="6660"/>
      <c r="C46" s="5941">
        <v>45047</v>
      </c>
      <c r="D46" s="5942">
        <f>+D26-SUM(D91:D108)</f>
        <v>507.74999999999994</v>
      </c>
      <c r="E46" s="5942">
        <f t="shared" ref="E46:M46" si="19">+E26-SUM(E91:E108)</f>
        <v>577.16</v>
      </c>
      <c r="F46" s="5942"/>
      <c r="G46" s="5942">
        <f t="shared" si="19"/>
        <v>609.6</v>
      </c>
      <c r="H46" s="5942"/>
      <c r="I46" s="5942">
        <f t="shared" si="19"/>
        <v>917.45</v>
      </c>
      <c r="J46" s="5942"/>
      <c r="K46" s="5942">
        <f t="shared" si="19"/>
        <v>435.05000000000007</v>
      </c>
      <c r="L46" s="5942">
        <f t="shared" si="19"/>
        <v>431.16666666666669</v>
      </c>
      <c r="M46" s="5942">
        <f t="shared" si="19"/>
        <v>390.16666666666657</v>
      </c>
    </row>
    <row r="47" spans="1:13" x14ac:dyDescent="0.25">
      <c r="A47" s="5934"/>
      <c r="B47" s="6660"/>
      <c r="C47" s="5941">
        <v>45078</v>
      </c>
      <c r="D47" s="5956">
        <f>D27-SUM(D114:D131)</f>
        <v>567.29999999999995</v>
      </c>
      <c r="E47" s="5956">
        <f t="shared" ref="E47:M47" si="20">E27-SUM(E114:E131)</f>
        <v>599.9</v>
      </c>
      <c r="F47" s="5956"/>
      <c r="G47" s="5956">
        <f t="shared" si="20"/>
        <v>689.5</v>
      </c>
      <c r="H47" s="5956"/>
      <c r="I47" s="5956">
        <f t="shared" si="20"/>
        <v>1223.94</v>
      </c>
      <c r="J47" s="5956"/>
      <c r="K47" s="5956">
        <f t="shared" si="20"/>
        <v>407.55000000000007</v>
      </c>
      <c r="L47" s="5956">
        <f t="shared" si="20"/>
        <v>417.98333333333335</v>
      </c>
      <c r="M47" s="5956">
        <f t="shared" si="20"/>
        <v>368.41666666666663</v>
      </c>
    </row>
    <row r="48" spans="1:13" x14ac:dyDescent="0.25">
      <c r="A48" s="5934"/>
      <c r="B48" s="6660"/>
      <c r="C48" s="5945" t="s">
        <v>2042</v>
      </c>
      <c r="D48" s="5957">
        <f>SUM(D45:D47)</f>
        <v>1734.05</v>
      </c>
      <c r="E48" s="5957">
        <f t="shared" ref="E48:M48" si="21">SUM(E45:E47)</f>
        <v>1861.7200000000003</v>
      </c>
      <c r="F48" s="5957"/>
      <c r="G48" s="5957">
        <f t="shared" si="21"/>
        <v>2004.1</v>
      </c>
      <c r="H48" s="5957"/>
      <c r="I48" s="5957">
        <f t="shared" si="21"/>
        <v>3256.96</v>
      </c>
      <c r="J48" s="5957"/>
      <c r="K48" s="5957">
        <f t="shared" si="21"/>
        <v>1348.4500000000003</v>
      </c>
      <c r="L48" s="5957">
        <f t="shared" si="21"/>
        <v>1380.8500000000001</v>
      </c>
      <c r="M48" s="5957">
        <f t="shared" si="21"/>
        <v>1214.166666666667</v>
      </c>
    </row>
    <row r="49" spans="1:13" x14ac:dyDescent="0.25">
      <c r="A49" s="5934"/>
      <c r="B49" s="6660"/>
      <c r="C49" s="5941">
        <v>45108</v>
      </c>
      <c r="D49" s="5956">
        <f>D29-SUM(D138:D155)</f>
        <v>657.83</v>
      </c>
      <c r="E49" s="5956">
        <f t="shared" ref="E49:M49" si="22">E29-SUM(E138:E155)</f>
        <v>690.28</v>
      </c>
      <c r="F49" s="5956"/>
      <c r="G49" s="5956">
        <f t="shared" si="22"/>
        <v>732</v>
      </c>
      <c r="H49" s="5956"/>
      <c r="I49" s="5956">
        <f t="shared" si="22"/>
        <v>1692.3200000000002</v>
      </c>
      <c r="J49" s="5956"/>
      <c r="K49" s="5956">
        <f t="shared" si="22"/>
        <v>543.51666666666665</v>
      </c>
      <c r="L49" s="5956">
        <f t="shared" si="22"/>
        <v>531.16666666666663</v>
      </c>
      <c r="M49" s="5956">
        <f t="shared" si="22"/>
        <v>417.61666666666667</v>
      </c>
    </row>
    <row r="50" spans="1:13" x14ac:dyDescent="0.25">
      <c r="A50" s="5934"/>
      <c r="B50" s="6660"/>
      <c r="C50" s="5941">
        <v>45139</v>
      </c>
      <c r="D50" s="5959">
        <f>+D30-SUM(D161:D178)</f>
        <v>673.33</v>
      </c>
      <c r="E50" s="5959">
        <f>+E30-SUM(E161:E178)</f>
        <v>636.59</v>
      </c>
      <c r="F50" s="5959"/>
      <c r="G50" s="5959">
        <f>+G30-SUM(G161:G178)</f>
        <v>744</v>
      </c>
      <c r="H50" s="5959"/>
      <c r="I50" s="5959">
        <f>+I30-SUM(I161:I178)</f>
        <v>1594.43</v>
      </c>
      <c r="J50" s="5959"/>
      <c r="K50" s="5959">
        <f>+K30-SUM(K161:K178)</f>
        <v>530.68333333333339</v>
      </c>
      <c r="L50" s="5959">
        <f>+L30-SUM(L161:L178)</f>
        <v>587.91666666666663</v>
      </c>
      <c r="M50" s="5959">
        <f>+M30-SUM(M161:M178)</f>
        <v>531.66666666666674</v>
      </c>
    </row>
    <row r="51" spans="1:13" x14ac:dyDescent="0.25">
      <c r="A51" s="5934"/>
      <c r="B51" s="6660"/>
      <c r="C51" s="5941">
        <v>45170</v>
      </c>
      <c r="D51" s="5959">
        <f>D31-SUM(D185:D202)</f>
        <v>685.78</v>
      </c>
      <c r="E51" s="5959">
        <f>E31-SUM(E185:E202)</f>
        <v>611.36</v>
      </c>
      <c r="F51" s="5959"/>
      <c r="G51" s="5959">
        <f>G31-SUM(G185:G202)</f>
        <v>683</v>
      </c>
      <c r="H51" s="5959"/>
      <c r="I51" s="5959">
        <f>I31-SUM(I185:I202)</f>
        <v>1508.04</v>
      </c>
      <c r="J51" s="5959"/>
      <c r="K51" s="5959">
        <f>K31-SUM(K185:K202)</f>
        <v>551.48333333333335</v>
      </c>
      <c r="L51" s="5959">
        <f>L31-SUM(L185:L202)</f>
        <v>481.25000000000006</v>
      </c>
      <c r="M51" s="5959">
        <f>M31-SUM(M185:M202)</f>
        <v>460.08333333333331</v>
      </c>
    </row>
    <row r="52" spans="1:13" x14ac:dyDescent="0.25">
      <c r="A52" s="5934"/>
      <c r="B52" s="6660"/>
      <c r="C52" s="5945" t="s">
        <v>2043</v>
      </c>
      <c r="D52" s="5960">
        <f>SUM(D49:D51)</f>
        <v>2016.94</v>
      </c>
      <c r="E52" s="5960">
        <f t="shared" ref="E52:M52" si="23">SUM(E49:E51)</f>
        <v>1938.23</v>
      </c>
      <c r="F52" s="5960"/>
      <c r="G52" s="5960">
        <f t="shared" si="23"/>
        <v>2159</v>
      </c>
      <c r="H52" s="5960"/>
      <c r="I52" s="5960">
        <f t="shared" si="23"/>
        <v>4794.79</v>
      </c>
      <c r="J52" s="5960"/>
      <c r="K52" s="5960">
        <f t="shared" si="23"/>
        <v>1625.6833333333334</v>
      </c>
      <c r="L52" s="5960">
        <f t="shared" si="23"/>
        <v>1600.3333333333333</v>
      </c>
      <c r="M52" s="5960">
        <f t="shared" si="23"/>
        <v>1409.3666666666668</v>
      </c>
    </row>
    <row r="53" spans="1:13" x14ac:dyDescent="0.25">
      <c r="A53" s="5934"/>
      <c r="B53" s="6660"/>
      <c r="C53" s="5941">
        <v>45200</v>
      </c>
      <c r="D53" s="5956">
        <f>D33-SUM(D210:D227)</f>
        <v>675.42</v>
      </c>
      <c r="E53" s="5956">
        <f>E33-SUM(E210:E227)</f>
        <v>685.42</v>
      </c>
      <c r="F53" s="5961"/>
      <c r="G53" s="5956">
        <f>G33-SUM(G210:G227)</f>
        <v>732</v>
      </c>
      <c r="H53" s="5956"/>
      <c r="I53" s="5956">
        <f>I33-SUM(I210:I227)</f>
        <v>1498.64</v>
      </c>
      <c r="J53" s="5961"/>
      <c r="K53" s="5956">
        <f>K33-SUM(K210:K227)</f>
        <v>545.70000000000005</v>
      </c>
      <c r="L53" s="5956">
        <f>L33-SUM(L210:L227)</f>
        <v>453.08333333333337</v>
      </c>
      <c r="M53" s="5956">
        <f>M33-SUM(M210:M227)</f>
        <v>466.16666666666669</v>
      </c>
    </row>
    <row r="54" spans="1:13" x14ac:dyDescent="0.25">
      <c r="A54" s="5934"/>
      <c r="B54" s="6660"/>
      <c r="C54" s="5941">
        <v>45231</v>
      </c>
      <c r="D54" s="5956">
        <f>D34-SUM(D234:D251)</f>
        <v>664.23</v>
      </c>
      <c r="E54" s="5956">
        <f>E34-SUM(E234:E251)</f>
        <v>655.16999999999996</v>
      </c>
      <c r="F54" s="5961"/>
      <c r="G54" s="5956">
        <f>G34-SUM(G234:G251)</f>
        <v>696</v>
      </c>
      <c r="H54" s="5956"/>
      <c r="I54" s="5956">
        <f>I34-SUM(I234:I251)</f>
        <v>1339</v>
      </c>
      <c r="J54" s="5961"/>
      <c r="K54" s="5956">
        <f>K34-SUM(K234:K251)</f>
        <v>505.61666666666667</v>
      </c>
      <c r="L54" s="5956">
        <f>L34-SUM(L234:L251)</f>
        <v>450.43333333333334</v>
      </c>
      <c r="M54" s="5956">
        <f>M34-SUM(M234:M251)</f>
        <v>493.66666666666669</v>
      </c>
    </row>
    <row r="55" spans="1:13" x14ac:dyDescent="0.25">
      <c r="A55" s="5934"/>
      <c r="B55" s="6660"/>
      <c r="C55" s="5941">
        <v>45261</v>
      </c>
      <c r="D55" s="5956">
        <f>D35-SUM(D259:D276)</f>
        <v>703.6</v>
      </c>
      <c r="E55" s="5956">
        <f>E35-SUM(E259:E276)</f>
        <v>695.69</v>
      </c>
      <c r="F55" s="5956"/>
      <c r="G55" s="5956">
        <f>G35-SUM(G259:G276)</f>
        <v>724</v>
      </c>
      <c r="H55" s="5956"/>
      <c r="I55" s="5956">
        <f>I35-SUM(I259:I276)</f>
        <v>1577.35</v>
      </c>
      <c r="J55" s="5956"/>
      <c r="K55" s="5956">
        <f>K35-SUM(K259:K276)</f>
        <v>525.48333333333335</v>
      </c>
      <c r="L55" s="5956">
        <f>L35-SUM(L259:L276)</f>
        <v>526.0333333333333</v>
      </c>
      <c r="M55" s="5956">
        <f>M35-SUM(M259:M276)</f>
        <v>492.58333333333337</v>
      </c>
    </row>
    <row r="56" spans="1:13" x14ac:dyDescent="0.25">
      <c r="A56" s="5934"/>
      <c r="B56" s="6660"/>
      <c r="C56" s="5945" t="s">
        <v>2044</v>
      </c>
      <c r="D56" s="5957">
        <f>D53+D54+D55</f>
        <v>2043.25</v>
      </c>
      <c r="E56" s="5957">
        <f t="shared" ref="E56:M56" si="24">E53+E54+E55</f>
        <v>2036.28</v>
      </c>
      <c r="F56" s="5957"/>
      <c r="G56" s="5957">
        <f t="shared" si="24"/>
        <v>2152</v>
      </c>
      <c r="H56" s="5957"/>
      <c r="I56" s="5957">
        <f t="shared" si="24"/>
        <v>4414.99</v>
      </c>
      <c r="J56" s="5957"/>
      <c r="K56" s="5957">
        <f t="shared" si="24"/>
        <v>1576.8</v>
      </c>
      <c r="L56" s="5957">
        <f t="shared" si="24"/>
        <v>1429.55</v>
      </c>
      <c r="M56" s="5957">
        <f t="shared" si="24"/>
        <v>1452.4166666666667</v>
      </c>
    </row>
    <row r="57" spans="1:13" x14ac:dyDescent="0.25">
      <c r="A57" s="5934"/>
      <c r="B57" s="6660"/>
      <c r="C57" s="5941">
        <v>45292</v>
      </c>
      <c r="D57" s="5956">
        <f>D37-SUM(D284:D301)</f>
        <v>688.13</v>
      </c>
      <c r="E57" s="5956">
        <f>E37-SUM(E284:E301)</f>
        <v>688.59</v>
      </c>
      <c r="F57" s="5943"/>
      <c r="G57" s="5956">
        <f>G37-SUM(G284:G301)</f>
        <v>706.5</v>
      </c>
      <c r="H57" s="5956"/>
      <c r="I57" s="5956">
        <f>I37-SUM(I284:I301)</f>
        <v>1596.65</v>
      </c>
      <c r="J57" s="5948"/>
      <c r="K57" s="5956">
        <f>K37-SUM(K284:K301)</f>
        <v>548.83333333333337</v>
      </c>
      <c r="L57" s="5956">
        <f>L37-SUM(L284:L301)</f>
        <v>545.08333333333326</v>
      </c>
      <c r="M57" s="5956">
        <f>M37-SUM(M284:M301)</f>
        <v>471.75</v>
      </c>
    </row>
    <row r="58" spans="1:13" x14ac:dyDescent="0.25">
      <c r="A58" s="5934"/>
      <c r="B58" s="6660"/>
      <c r="C58" s="5941">
        <v>45323</v>
      </c>
      <c r="D58" s="5956">
        <f>D38-(SUM(D308:D325))</f>
        <v>663.69</v>
      </c>
      <c r="E58" s="5956">
        <f>E38-(SUM(E308:E325))</f>
        <v>674.68999999999994</v>
      </c>
      <c r="F58" s="5948"/>
      <c r="G58" s="5956">
        <f>G38-(SUM(G308:G325))</f>
        <v>696</v>
      </c>
      <c r="H58" s="5956"/>
      <c r="I58" s="5956">
        <f>I38-(SUM(I308:I325))</f>
        <v>1505.58</v>
      </c>
      <c r="J58" s="5948"/>
      <c r="K58" s="5956">
        <f>K38-(SUM(K308:K325))</f>
        <v>460.75</v>
      </c>
      <c r="L58" s="5956">
        <f>L38-(SUM(L308:L325))</f>
        <v>495.28333333333336</v>
      </c>
      <c r="M58" s="5956">
        <f>M38-(SUM(M308:M325))</f>
        <v>491.08333333333331</v>
      </c>
    </row>
    <row r="59" spans="1:13" x14ac:dyDescent="0.25">
      <c r="A59" s="5934"/>
      <c r="B59" s="6660"/>
      <c r="C59" s="5941">
        <v>45352</v>
      </c>
      <c r="D59" s="5965">
        <f>D39-(SUM(D332:D349))</f>
        <v>655.83</v>
      </c>
      <c r="E59" s="5965">
        <f>E39-(SUM(E332:E349))</f>
        <v>626.16999999999996</v>
      </c>
      <c r="F59" s="5943"/>
      <c r="G59" s="5956">
        <f>G39-(SUM(G332:G349))</f>
        <v>714.7</v>
      </c>
      <c r="H59" s="5956"/>
      <c r="I59" s="5956">
        <f>I39-(SUM(I332:I349))</f>
        <v>1549.46</v>
      </c>
      <c r="J59" s="5943"/>
      <c r="K59" s="5956">
        <f>K39-(SUM(K332:K349))</f>
        <v>533.91666666666663</v>
      </c>
      <c r="L59" s="5956">
        <f>L39-(SUM(L332:L349))</f>
        <v>536.55000000000007</v>
      </c>
      <c r="M59" s="5956">
        <f>M39-(SUM(M332:M349))</f>
        <v>517.83333333333337</v>
      </c>
    </row>
    <row r="60" spans="1:13" x14ac:dyDescent="0.25">
      <c r="A60" s="5934"/>
      <c r="B60" s="6660"/>
      <c r="C60" s="5945" t="s">
        <v>2045</v>
      </c>
      <c r="D60" s="5957">
        <f t="shared" ref="D60:E60" si="25">SUM(D57:D59)</f>
        <v>2007.65</v>
      </c>
      <c r="E60" s="5957">
        <f t="shared" si="25"/>
        <v>1989.4499999999998</v>
      </c>
      <c r="F60" s="5962"/>
      <c r="G60" s="5957">
        <f>SUM(G57:G59)</f>
        <v>2117.1999999999998</v>
      </c>
      <c r="H60" s="5957"/>
      <c r="I60" s="5957">
        <f>SUM(I57:I59)</f>
        <v>4651.6900000000005</v>
      </c>
      <c r="J60" s="5962"/>
      <c r="K60" s="5957">
        <f t="shared" ref="K60:M60" si="26">SUM(K57:K59)</f>
        <v>1543.5</v>
      </c>
      <c r="L60" s="5957">
        <f t="shared" si="26"/>
        <v>1576.9166666666665</v>
      </c>
      <c r="M60" s="5957">
        <f t="shared" si="26"/>
        <v>1480.6666666666665</v>
      </c>
    </row>
    <row r="61" spans="1:13" x14ac:dyDescent="0.25">
      <c r="A61" s="5934"/>
      <c r="B61" s="6660"/>
      <c r="C61" s="5945" t="s">
        <v>1513</v>
      </c>
      <c r="D61" s="5957">
        <f t="shared" ref="D61:E61" si="27">D60+D56+D48+D52</f>
        <v>7801.8899999999994</v>
      </c>
      <c r="E61" s="5957">
        <f t="shared" si="27"/>
        <v>7825.68</v>
      </c>
      <c r="F61" s="5962"/>
      <c r="G61" s="5957">
        <f>G60+G56+G48+G52</f>
        <v>8432.2999999999993</v>
      </c>
      <c r="H61" s="5957"/>
      <c r="I61" s="5957">
        <f>I60+I56+I48+I52</f>
        <v>17118.43</v>
      </c>
      <c r="J61" s="5962"/>
      <c r="K61" s="5957">
        <f t="shared" ref="K61:M61" si="28">K60+K56+K48+K52</f>
        <v>6094.4333333333334</v>
      </c>
      <c r="L61" s="5957">
        <f t="shared" si="28"/>
        <v>5987.65</v>
      </c>
      <c r="M61" s="5957">
        <f t="shared" si="28"/>
        <v>5556.6166666666668</v>
      </c>
    </row>
    <row r="62" spans="1:13" x14ac:dyDescent="0.25">
      <c r="A62" s="5934"/>
      <c r="B62" s="5937"/>
      <c r="C62" s="5938"/>
      <c r="D62" s="5959"/>
      <c r="E62" s="5959"/>
      <c r="F62" s="5937"/>
      <c r="G62" s="5937"/>
      <c r="H62" s="5937"/>
      <c r="I62" s="5937"/>
      <c r="J62" s="5937"/>
      <c r="K62" s="5937"/>
      <c r="L62" s="5937"/>
      <c r="M62" s="5937"/>
    </row>
    <row r="63" spans="1:13" x14ac:dyDescent="0.25">
      <c r="A63" s="5934"/>
      <c r="B63" s="5937"/>
      <c r="C63" s="5938"/>
      <c r="D63" s="5937"/>
      <c r="E63" s="5937"/>
      <c r="F63" s="5937"/>
      <c r="G63" s="5937"/>
      <c r="H63" s="5937"/>
      <c r="I63" s="5937"/>
      <c r="J63" s="5937"/>
      <c r="K63" s="5937"/>
      <c r="L63" s="5937"/>
      <c r="M63" s="5937"/>
    </row>
    <row r="64" spans="1:13" x14ac:dyDescent="0.25">
      <c r="A64" s="5934"/>
      <c r="B64" s="5937"/>
      <c r="C64" s="5938" t="s">
        <v>2037</v>
      </c>
      <c r="D64" s="5939" t="s">
        <v>2038</v>
      </c>
      <c r="E64" s="5939" t="s">
        <v>2039</v>
      </c>
      <c r="F64" s="5939"/>
      <c r="G64" s="5939" t="s">
        <v>2040</v>
      </c>
      <c r="H64" s="5939"/>
      <c r="I64" s="5939" t="s">
        <v>1112</v>
      </c>
      <c r="J64" s="5939"/>
      <c r="K64" s="5939" t="s">
        <v>61</v>
      </c>
      <c r="L64" s="5939" t="s">
        <v>98</v>
      </c>
      <c r="M64" s="5939" t="s">
        <v>1384</v>
      </c>
    </row>
    <row r="65" spans="1:13" x14ac:dyDescent="0.25">
      <c r="A65" s="5934"/>
      <c r="B65" s="6661">
        <v>45017</v>
      </c>
      <c r="C65" s="5701"/>
      <c r="D65" s="5937"/>
      <c r="E65" s="5937"/>
      <c r="F65" s="5937"/>
      <c r="G65" s="5952" t="s">
        <v>2037</v>
      </c>
      <c r="H65" s="5952"/>
      <c r="I65" s="5937" t="s">
        <v>2037</v>
      </c>
      <c r="J65" s="5937"/>
      <c r="K65" s="5937" t="s">
        <v>2037</v>
      </c>
      <c r="L65" s="5937" t="s">
        <v>2037</v>
      </c>
      <c r="M65" s="5937" t="s">
        <v>2037</v>
      </c>
    </row>
    <row r="66" spans="1:13" x14ac:dyDescent="0.25">
      <c r="A66" s="5934"/>
      <c r="B66" s="6661"/>
      <c r="C66" s="5966" t="s">
        <v>2048</v>
      </c>
      <c r="D66" s="5967">
        <v>15.83</v>
      </c>
      <c r="E66" s="5967">
        <v>21.67</v>
      </c>
      <c r="F66" s="5967"/>
      <c r="G66" s="5968">
        <v>11.5</v>
      </c>
      <c r="H66" s="5968"/>
      <c r="I66" s="5967">
        <v>185.33</v>
      </c>
      <c r="J66" s="5967"/>
      <c r="K66" s="5967">
        <v>116.23333333333333</v>
      </c>
      <c r="L66" s="5967">
        <v>101.66666666666667</v>
      </c>
      <c r="M66" s="5967">
        <f>115.833333333333+29.1666666666666</f>
        <v>144.9999999999996</v>
      </c>
    </row>
    <row r="67" spans="1:13" x14ac:dyDescent="0.25">
      <c r="A67" s="5934"/>
      <c r="B67" s="6661"/>
      <c r="C67" s="5966" t="s">
        <v>2049</v>
      </c>
      <c r="D67" s="5344">
        <v>0</v>
      </c>
      <c r="E67" s="5344">
        <v>0</v>
      </c>
      <c r="F67" s="5967"/>
      <c r="G67" s="5344">
        <v>0</v>
      </c>
      <c r="H67" s="5968"/>
      <c r="I67" s="5967">
        <v>264.33</v>
      </c>
      <c r="J67" s="5967"/>
      <c r="K67" s="5967">
        <v>0</v>
      </c>
      <c r="L67" s="5967">
        <v>0</v>
      </c>
      <c r="M67" s="5967">
        <v>0</v>
      </c>
    </row>
    <row r="68" spans="1:13" x14ac:dyDescent="0.25">
      <c r="A68" s="5934"/>
      <c r="B68" s="6661"/>
      <c r="C68" s="5966" t="s">
        <v>2050</v>
      </c>
      <c r="D68" s="5967">
        <v>2.78</v>
      </c>
      <c r="E68" s="5967">
        <v>0.5</v>
      </c>
      <c r="F68" s="5967"/>
      <c r="G68" s="5344">
        <v>0</v>
      </c>
      <c r="H68" s="5968"/>
      <c r="I68" s="5344">
        <v>0</v>
      </c>
      <c r="J68" s="5967"/>
      <c r="K68" s="5967">
        <v>21.416666666666668</v>
      </c>
      <c r="L68" s="5967">
        <v>15.866666666666667</v>
      </c>
      <c r="M68" s="5967">
        <v>23.25</v>
      </c>
    </row>
    <row r="69" spans="1:13" x14ac:dyDescent="0.25">
      <c r="A69" s="5934"/>
      <c r="B69" s="6661"/>
      <c r="C69" s="5966" t="s">
        <v>474</v>
      </c>
      <c r="D69" s="5344">
        <v>0</v>
      </c>
      <c r="E69" s="5344">
        <v>0</v>
      </c>
      <c r="F69" s="5967"/>
      <c r="G69" s="5344">
        <v>0</v>
      </c>
      <c r="H69" s="5968"/>
      <c r="I69" s="5344">
        <v>0</v>
      </c>
      <c r="J69" s="5967"/>
      <c r="K69" s="5344"/>
      <c r="L69" s="5344">
        <v>0</v>
      </c>
      <c r="M69" s="5344">
        <v>0</v>
      </c>
    </row>
    <row r="70" spans="1:13" x14ac:dyDescent="0.25">
      <c r="A70" s="5934"/>
      <c r="B70" s="6661"/>
      <c r="C70" s="5966" t="s">
        <v>2051</v>
      </c>
      <c r="D70" s="5344">
        <v>0</v>
      </c>
      <c r="E70" s="5344">
        <v>0</v>
      </c>
      <c r="F70" s="5967"/>
      <c r="G70" s="5344">
        <v>0</v>
      </c>
      <c r="H70" s="5968"/>
      <c r="I70" s="5344">
        <v>0</v>
      </c>
      <c r="J70" s="5967"/>
      <c r="K70" s="5344"/>
      <c r="L70" s="5344">
        <v>0</v>
      </c>
      <c r="M70" s="5344">
        <v>0</v>
      </c>
    </row>
    <row r="71" spans="1:13" x14ac:dyDescent="0.25">
      <c r="A71" s="5934"/>
      <c r="B71" s="6661"/>
      <c r="C71" s="5966" t="s">
        <v>2052</v>
      </c>
      <c r="D71" s="5967">
        <v>30.82</v>
      </c>
      <c r="E71" s="5967">
        <v>0.67</v>
      </c>
      <c r="F71" s="5967"/>
      <c r="G71" s="5968">
        <v>3.5</v>
      </c>
      <c r="H71" s="5968"/>
      <c r="I71" s="5344">
        <v>0</v>
      </c>
      <c r="J71" s="5967"/>
      <c r="K71" s="5967">
        <v>23.383333333333333</v>
      </c>
      <c r="L71" s="5967">
        <v>35.033333333333331</v>
      </c>
      <c r="M71" s="5967">
        <v>33.166666666666664</v>
      </c>
    </row>
    <row r="72" spans="1:13" x14ac:dyDescent="0.25">
      <c r="A72" s="5934"/>
      <c r="B72" s="6661"/>
      <c r="C72" s="5966" t="s">
        <v>2053</v>
      </c>
      <c r="D72" s="5967">
        <v>3.8</v>
      </c>
      <c r="E72" s="5344">
        <v>0</v>
      </c>
      <c r="F72" s="5967"/>
      <c r="G72" s="5344">
        <v>0</v>
      </c>
      <c r="H72" s="5968"/>
      <c r="I72" s="5344">
        <v>0</v>
      </c>
      <c r="J72" s="5967"/>
      <c r="K72" s="5967">
        <v>24.166666666666668</v>
      </c>
      <c r="L72" s="5967">
        <v>11.25</v>
      </c>
      <c r="M72" s="5967">
        <v>14.333333333333334</v>
      </c>
    </row>
    <row r="73" spans="1:13" x14ac:dyDescent="0.25">
      <c r="A73" s="5934"/>
      <c r="B73" s="6661"/>
      <c r="C73" s="5966" t="s">
        <v>2054</v>
      </c>
      <c r="D73" s="5344">
        <v>0</v>
      </c>
      <c r="E73" s="5344">
        <v>0</v>
      </c>
      <c r="F73" s="5967"/>
      <c r="G73" s="5344">
        <v>0</v>
      </c>
      <c r="H73" s="5968"/>
      <c r="I73" s="5344">
        <v>0</v>
      </c>
      <c r="J73" s="5967"/>
      <c r="K73" s="5344"/>
      <c r="L73" s="5344">
        <v>0</v>
      </c>
      <c r="M73" s="5344">
        <v>0</v>
      </c>
    </row>
    <row r="74" spans="1:13" x14ac:dyDescent="0.25">
      <c r="A74" s="5934"/>
      <c r="B74" s="6661"/>
      <c r="C74" s="5966" t="s">
        <v>2055</v>
      </c>
      <c r="D74" s="5344">
        <v>0</v>
      </c>
      <c r="E74" s="5344">
        <v>0</v>
      </c>
      <c r="F74" s="5967"/>
      <c r="G74" s="5344">
        <v>0</v>
      </c>
      <c r="H74" s="5968"/>
      <c r="I74" s="5344">
        <v>0</v>
      </c>
      <c r="J74" s="5967"/>
      <c r="K74" s="5344"/>
      <c r="L74" s="5344">
        <v>0</v>
      </c>
      <c r="M74" s="5344">
        <v>0</v>
      </c>
    </row>
    <row r="75" spans="1:13" x14ac:dyDescent="0.25">
      <c r="A75" s="5934"/>
      <c r="B75" s="6661"/>
      <c r="C75" s="5966" t="s">
        <v>2056</v>
      </c>
      <c r="D75" s="5344">
        <v>0</v>
      </c>
      <c r="E75" s="5344">
        <v>0</v>
      </c>
      <c r="F75" s="5967"/>
      <c r="G75" s="5344">
        <v>0</v>
      </c>
      <c r="H75" s="5968"/>
      <c r="I75" s="5344">
        <v>0</v>
      </c>
      <c r="J75" s="5967"/>
      <c r="K75" s="5344"/>
      <c r="L75" s="5344">
        <v>0</v>
      </c>
      <c r="M75" s="5344">
        <v>0</v>
      </c>
    </row>
    <row r="76" spans="1:13" x14ac:dyDescent="0.25">
      <c r="A76" s="5934"/>
      <c r="B76" s="6661"/>
      <c r="C76" s="5966" t="s">
        <v>2057</v>
      </c>
      <c r="D76" s="5344">
        <v>0</v>
      </c>
      <c r="E76" s="5344">
        <v>0</v>
      </c>
      <c r="F76" s="5967"/>
      <c r="G76" s="5344">
        <v>0</v>
      </c>
      <c r="H76" s="5968"/>
      <c r="I76" s="5344">
        <v>0</v>
      </c>
      <c r="J76" s="5967"/>
      <c r="K76" s="5967">
        <v>28.483333333333334</v>
      </c>
      <c r="L76" s="5967">
        <v>13.433333333333334</v>
      </c>
      <c r="M76" s="5967">
        <v>35.833333333333336</v>
      </c>
    </row>
    <row r="77" spans="1:13" x14ac:dyDescent="0.25">
      <c r="A77" s="5934"/>
      <c r="B77" s="6661"/>
      <c r="C77" s="5966" t="s">
        <v>2058</v>
      </c>
      <c r="D77" s="5344">
        <v>0</v>
      </c>
      <c r="E77" s="5344">
        <v>0</v>
      </c>
      <c r="F77" s="5967"/>
      <c r="G77" s="5344">
        <v>0</v>
      </c>
      <c r="H77" s="5968"/>
      <c r="I77" s="5344">
        <v>0</v>
      </c>
      <c r="J77" s="5967"/>
      <c r="K77" s="5967">
        <v>0.46666666666666667</v>
      </c>
      <c r="L77" s="5967">
        <v>11.05</v>
      </c>
      <c r="M77" s="5967">
        <v>12.833333333333334</v>
      </c>
    </row>
    <row r="78" spans="1:13" x14ac:dyDescent="0.25">
      <c r="A78" s="5934"/>
      <c r="B78" s="6661"/>
      <c r="C78" s="5966" t="s">
        <v>2059</v>
      </c>
      <c r="D78" s="5967">
        <v>0.5</v>
      </c>
      <c r="E78" s="5344">
        <v>0</v>
      </c>
      <c r="F78" s="5967"/>
      <c r="G78" s="5344">
        <v>0</v>
      </c>
      <c r="H78" s="5968"/>
      <c r="I78" s="5344">
        <v>0</v>
      </c>
      <c r="J78" s="5967"/>
      <c r="K78" s="5344"/>
      <c r="L78" s="5344">
        <v>0</v>
      </c>
      <c r="M78" s="5344">
        <v>0</v>
      </c>
    </row>
    <row r="79" spans="1:13" x14ac:dyDescent="0.25">
      <c r="A79" s="5934"/>
      <c r="B79" s="6661"/>
      <c r="C79" s="5966" t="s">
        <v>2060</v>
      </c>
      <c r="D79" s="5967"/>
      <c r="E79" s="5344"/>
      <c r="F79" s="5967"/>
      <c r="G79" s="5344"/>
      <c r="H79" s="5968"/>
      <c r="I79" s="5344"/>
      <c r="J79" s="5967"/>
      <c r="K79" s="5344"/>
      <c r="L79" s="5344"/>
      <c r="M79" s="5344"/>
    </row>
    <row r="80" spans="1:13" x14ac:dyDescent="0.25">
      <c r="A80" s="5934"/>
      <c r="B80" s="6661"/>
      <c r="C80" s="5966" t="s">
        <v>2061</v>
      </c>
      <c r="D80" s="5967">
        <v>0.5</v>
      </c>
      <c r="E80" s="5967">
        <v>1.5</v>
      </c>
      <c r="F80" s="5967"/>
      <c r="G80" s="5344">
        <v>0</v>
      </c>
      <c r="H80" s="5968"/>
      <c r="I80" s="5344">
        <v>0</v>
      </c>
      <c r="J80" s="5967"/>
      <c r="K80" s="5344"/>
      <c r="L80" s="5344">
        <v>0</v>
      </c>
      <c r="M80" s="5344">
        <v>0</v>
      </c>
    </row>
    <row r="81" spans="1:13" x14ac:dyDescent="0.25">
      <c r="A81" s="5934"/>
      <c r="B81" s="6661"/>
      <c r="C81" s="5966" t="s">
        <v>84</v>
      </c>
      <c r="D81" s="5967">
        <v>6.77</v>
      </c>
      <c r="E81" s="5967">
        <v>11</v>
      </c>
      <c r="F81" s="5967"/>
      <c r="G81" s="5344">
        <v>0</v>
      </c>
      <c r="H81" s="5968"/>
      <c r="I81" s="5344">
        <v>0</v>
      </c>
      <c r="J81" s="5967"/>
      <c r="K81" s="5344"/>
      <c r="L81" s="5344">
        <v>0</v>
      </c>
      <c r="M81" s="5344">
        <v>0</v>
      </c>
    </row>
    <row r="82" spans="1:13" x14ac:dyDescent="0.25">
      <c r="A82" s="5934"/>
      <c r="B82" s="6661"/>
      <c r="C82" s="5966" t="s">
        <v>2062</v>
      </c>
      <c r="D82" s="5344">
        <v>0</v>
      </c>
      <c r="E82" s="5344">
        <v>0</v>
      </c>
      <c r="F82" s="5967"/>
      <c r="G82" s="5344">
        <v>0</v>
      </c>
      <c r="H82" s="5968"/>
      <c r="I82" s="5967">
        <v>134.85</v>
      </c>
      <c r="J82" s="5967"/>
      <c r="K82" s="5344"/>
      <c r="L82" s="5344">
        <v>0</v>
      </c>
      <c r="M82" s="5344">
        <v>0</v>
      </c>
    </row>
    <row r="83" spans="1:13" x14ac:dyDescent="0.25">
      <c r="A83" s="5934"/>
      <c r="B83" s="6661"/>
      <c r="C83" s="5966" t="s">
        <v>750</v>
      </c>
      <c r="D83" s="5344">
        <v>0</v>
      </c>
      <c r="E83" s="5344">
        <v>0</v>
      </c>
      <c r="F83" s="5967"/>
      <c r="G83" s="5344">
        <v>0</v>
      </c>
      <c r="H83" s="5968"/>
      <c r="I83" s="5344">
        <v>0</v>
      </c>
      <c r="J83" s="5967"/>
      <c r="K83" s="5344"/>
      <c r="L83" s="5344">
        <v>0</v>
      </c>
      <c r="M83" s="5344">
        <v>0</v>
      </c>
    </row>
    <row r="84" spans="1:13" x14ac:dyDescent="0.25">
      <c r="A84" s="5934"/>
      <c r="B84" s="6661"/>
      <c r="C84" s="5966" t="s">
        <v>60</v>
      </c>
      <c r="D84" s="5344">
        <v>0</v>
      </c>
      <c r="E84" s="5344">
        <v>0</v>
      </c>
      <c r="F84" s="5967"/>
      <c r="G84" s="5344">
        <v>0</v>
      </c>
      <c r="H84" s="5968"/>
      <c r="I84" s="5344">
        <v>0</v>
      </c>
      <c r="J84" s="5967"/>
      <c r="K84" s="5344"/>
      <c r="L84" s="5344">
        <v>0</v>
      </c>
      <c r="M84" s="5344">
        <v>0</v>
      </c>
    </row>
    <row r="85" spans="1:13" ht="28.5" x14ac:dyDescent="0.25">
      <c r="A85" s="5934"/>
      <c r="B85" s="6661"/>
      <c r="C85" s="5966" t="s">
        <v>2063</v>
      </c>
      <c r="D85" s="5344">
        <v>0</v>
      </c>
      <c r="E85" s="5344">
        <v>0</v>
      </c>
      <c r="F85" s="5967"/>
      <c r="G85" s="5344">
        <v>0</v>
      </c>
      <c r="H85" s="5968"/>
      <c r="I85" s="5967">
        <v>459.92</v>
      </c>
      <c r="J85" s="5967"/>
      <c r="K85" s="5344"/>
      <c r="L85" s="5344">
        <v>0</v>
      </c>
      <c r="M85" s="5344">
        <v>0</v>
      </c>
    </row>
    <row r="86" spans="1:13" x14ac:dyDescent="0.25">
      <c r="A86" s="5934"/>
      <c r="B86" s="6661"/>
      <c r="C86" s="5969" t="s">
        <v>2064</v>
      </c>
      <c r="D86" s="5970">
        <f>+SUM(D66:D85)</f>
        <v>61</v>
      </c>
      <c r="E86" s="5970">
        <f>+SUM(E66:E85)</f>
        <v>35.340000000000003</v>
      </c>
      <c r="F86" s="5970"/>
      <c r="G86" s="5970">
        <f>+SUM(G66:G85)</f>
        <v>15</v>
      </c>
      <c r="H86" s="5970"/>
      <c r="I86" s="5971">
        <f>+SUM(I66:I85)</f>
        <v>1044.43</v>
      </c>
      <c r="J86" s="5970"/>
      <c r="K86" s="5971">
        <f>+SUM(K66:K85)</f>
        <v>214.15</v>
      </c>
      <c r="L86" s="5971">
        <f>+SUM(L66:L85)</f>
        <v>188.3</v>
      </c>
      <c r="M86" s="5972">
        <f>+SUM(M66:M85)</f>
        <v>264.41666666666629</v>
      </c>
    </row>
    <row r="87" spans="1:13" x14ac:dyDescent="0.25">
      <c r="A87" s="5934"/>
      <c r="B87" s="5973"/>
      <c r="C87" s="5974"/>
    </row>
    <row r="88" spans="1:13" x14ac:dyDescent="0.25">
      <c r="A88" s="5934"/>
      <c r="B88" s="6654">
        <v>45047</v>
      </c>
      <c r="C88" s="5701"/>
      <c r="D88" s="5939" t="s">
        <v>2038</v>
      </c>
      <c r="E88" s="5939" t="s">
        <v>2039</v>
      </c>
      <c r="F88" s="5975"/>
      <c r="G88" s="5976" t="s">
        <v>2040</v>
      </c>
      <c r="H88" s="5977"/>
      <c r="I88" s="5977" t="s">
        <v>1112</v>
      </c>
      <c r="J88" s="5939"/>
      <c r="K88" s="5939" t="s">
        <v>61</v>
      </c>
      <c r="L88" s="5939" t="s">
        <v>98</v>
      </c>
      <c r="M88" s="5939" t="s">
        <v>1384</v>
      </c>
    </row>
    <row r="89" spans="1:13" x14ac:dyDescent="0.25">
      <c r="A89" s="5934"/>
      <c r="B89" s="6654"/>
      <c r="C89" s="5966" t="s">
        <v>2048</v>
      </c>
      <c r="D89" s="5978">
        <v>49.83</v>
      </c>
      <c r="E89" s="5978">
        <v>33.75</v>
      </c>
      <c r="F89" s="5979"/>
      <c r="G89" s="5980">
        <v>5</v>
      </c>
      <c r="H89" s="5981"/>
      <c r="I89" s="5982">
        <v>92.75</v>
      </c>
      <c r="J89" s="5978"/>
      <c r="K89" s="5978">
        <v>103.28333333333333</v>
      </c>
      <c r="L89" s="5978">
        <v>66.016666666666666</v>
      </c>
      <c r="M89" s="5978">
        <f>89.6666666666667+28.5833333333334</f>
        <v>118.2500000000001</v>
      </c>
    </row>
    <row r="90" spans="1:13" x14ac:dyDescent="0.25">
      <c r="A90" s="5934"/>
      <c r="B90" s="6654"/>
      <c r="C90" s="5966" t="s">
        <v>2049</v>
      </c>
      <c r="D90" s="5978">
        <v>120</v>
      </c>
      <c r="E90" s="5978">
        <v>98</v>
      </c>
      <c r="F90" s="5979"/>
      <c r="G90" s="5980">
        <v>100</v>
      </c>
      <c r="H90" s="5981"/>
      <c r="I90" s="5344">
        <v>0</v>
      </c>
      <c r="J90" s="5978"/>
      <c r="K90" s="5978">
        <v>116.91666666666667</v>
      </c>
      <c r="L90" s="5978">
        <v>118</v>
      </c>
      <c r="M90" s="5978">
        <v>112</v>
      </c>
    </row>
    <row r="91" spans="1:13" x14ac:dyDescent="0.25">
      <c r="A91" s="5934"/>
      <c r="B91" s="6654"/>
      <c r="C91" s="5966" t="s">
        <v>2050</v>
      </c>
      <c r="D91" s="5344">
        <v>0</v>
      </c>
      <c r="E91" s="5978">
        <v>1.5</v>
      </c>
      <c r="F91" s="5979"/>
      <c r="G91" s="5344">
        <v>0</v>
      </c>
      <c r="H91" s="5981"/>
      <c r="I91" s="5344">
        <v>0</v>
      </c>
      <c r="J91" s="5978"/>
      <c r="K91" s="5978">
        <v>21.816666666666666</v>
      </c>
      <c r="L91" s="5978">
        <v>11.616666666666667</v>
      </c>
      <c r="M91" s="5978">
        <v>10.916666666666666</v>
      </c>
    </row>
    <row r="92" spans="1:13" x14ac:dyDescent="0.25">
      <c r="A92" s="5934"/>
      <c r="B92" s="6654"/>
      <c r="C92" s="5966" t="s">
        <v>474</v>
      </c>
      <c r="D92" s="5344">
        <v>0</v>
      </c>
      <c r="E92" s="5344">
        <v>0</v>
      </c>
      <c r="F92" s="5979"/>
      <c r="G92" s="5344">
        <v>0</v>
      </c>
      <c r="H92" s="5981"/>
      <c r="I92" s="5344">
        <v>0</v>
      </c>
      <c r="J92" s="5978"/>
      <c r="K92" s="5344">
        <v>0</v>
      </c>
      <c r="L92" s="5344">
        <v>0</v>
      </c>
      <c r="M92" s="5344">
        <v>0</v>
      </c>
    </row>
    <row r="93" spans="1:13" x14ac:dyDescent="0.25">
      <c r="A93" s="5934"/>
      <c r="B93" s="6654"/>
      <c r="C93" s="5966" t="s">
        <v>2051</v>
      </c>
      <c r="D93" s="5344">
        <v>0</v>
      </c>
      <c r="E93" s="5344">
        <v>0</v>
      </c>
      <c r="F93" s="5979"/>
      <c r="G93" s="5344">
        <v>0</v>
      </c>
      <c r="H93" s="5981"/>
      <c r="I93" s="5344">
        <v>0</v>
      </c>
      <c r="J93" s="5978"/>
      <c r="K93" s="5344">
        <v>0</v>
      </c>
      <c r="L93" s="5344">
        <v>0</v>
      </c>
      <c r="M93" s="5344">
        <v>0</v>
      </c>
    </row>
    <row r="94" spans="1:13" x14ac:dyDescent="0.25">
      <c r="A94" s="5934"/>
      <c r="B94" s="6654"/>
      <c r="C94" s="5966" t="s">
        <v>2052</v>
      </c>
      <c r="D94" s="5978">
        <v>1.91</v>
      </c>
      <c r="E94" s="5978">
        <v>1.83</v>
      </c>
      <c r="F94" s="5979"/>
      <c r="G94" s="5980">
        <v>29.4</v>
      </c>
      <c r="H94" s="5981"/>
      <c r="I94" s="5344">
        <v>0</v>
      </c>
      <c r="J94" s="5978"/>
      <c r="K94" s="5978">
        <v>34.216666666666669</v>
      </c>
      <c r="L94" s="5978">
        <v>44.416666666666664</v>
      </c>
      <c r="M94" s="5978">
        <v>61.583333333333336</v>
      </c>
    </row>
    <row r="95" spans="1:13" x14ac:dyDescent="0.25">
      <c r="A95" s="5934"/>
      <c r="B95" s="6654"/>
      <c r="C95" s="5966" t="s">
        <v>2053</v>
      </c>
      <c r="D95" s="5978">
        <v>1.5</v>
      </c>
      <c r="E95" s="5344">
        <v>0</v>
      </c>
      <c r="F95" s="5979"/>
      <c r="G95" s="5344">
        <v>0</v>
      </c>
      <c r="H95" s="5981"/>
      <c r="I95" s="5344">
        <v>0</v>
      </c>
      <c r="J95" s="5978"/>
      <c r="K95" s="5978">
        <v>6.7833333333333332</v>
      </c>
      <c r="L95" s="5978">
        <v>12.6</v>
      </c>
      <c r="M95" s="5978">
        <v>22</v>
      </c>
    </row>
    <row r="96" spans="1:13" x14ac:dyDescent="0.25">
      <c r="A96" s="5934"/>
      <c r="B96" s="6654"/>
      <c r="C96" s="5966" t="s">
        <v>2054</v>
      </c>
      <c r="D96" s="5344">
        <v>0</v>
      </c>
      <c r="E96" s="5344">
        <v>0</v>
      </c>
      <c r="F96" s="5979"/>
      <c r="G96" s="5344">
        <v>0</v>
      </c>
      <c r="H96" s="5981"/>
      <c r="I96" s="5344">
        <v>0</v>
      </c>
      <c r="J96" s="5978"/>
      <c r="K96" s="5344">
        <v>0</v>
      </c>
      <c r="L96" s="5344">
        <v>0</v>
      </c>
      <c r="M96" s="5344">
        <v>0</v>
      </c>
    </row>
    <row r="97" spans="1:13" x14ac:dyDescent="0.25">
      <c r="A97" s="5934"/>
      <c r="B97" s="6654"/>
      <c r="C97" s="5966" t="s">
        <v>2055</v>
      </c>
      <c r="D97" s="5978">
        <v>60</v>
      </c>
      <c r="E97" s="5978">
        <v>23.67</v>
      </c>
      <c r="F97" s="5979"/>
      <c r="G97" s="5344">
        <v>0</v>
      </c>
      <c r="H97" s="5981"/>
      <c r="I97" s="5344">
        <v>0</v>
      </c>
      <c r="J97" s="5978"/>
      <c r="K97" s="5344">
        <v>0</v>
      </c>
      <c r="L97" s="5344">
        <v>0</v>
      </c>
      <c r="M97" s="5344">
        <v>0</v>
      </c>
    </row>
    <row r="98" spans="1:13" x14ac:dyDescent="0.25">
      <c r="A98" s="5934"/>
      <c r="B98" s="6654"/>
      <c r="C98" s="5966" t="s">
        <v>2056</v>
      </c>
      <c r="D98" s="5344">
        <v>0</v>
      </c>
      <c r="E98" s="5344">
        <v>0</v>
      </c>
      <c r="F98" s="5979"/>
      <c r="G98" s="5344">
        <v>0</v>
      </c>
      <c r="H98" s="5981"/>
      <c r="I98" s="5344">
        <v>0</v>
      </c>
      <c r="J98" s="5978"/>
      <c r="K98" s="5344">
        <v>0</v>
      </c>
      <c r="L98" s="5344">
        <v>0</v>
      </c>
      <c r="M98" s="5344">
        <v>0</v>
      </c>
    </row>
    <row r="99" spans="1:13" x14ac:dyDescent="0.25">
      <c r="A99" s="5934"/>
      <c r="B99" s="6654"/>
      <c r="C99" s="5966" t="s">
        <v>2057</v>
      </c>
      <c r="D99" s="5344">
        <v>0</v>
      </c>
      <c r="E99" s="5344">
        <v>0</v>
      </c>
      <c r="F99" s="5979"/>
      <c r="G99" s="5344">
        <v>0</v>
      </c>
      <c r="H99" s="5981"/>
      <c r="I99" s="5344">
        <v>0</v>
      </c>
      <c r="J99" s="5978"/>
      <c r="K99" s="5978">
        <v>19.649999999999999</v>
      </c>
      <c r="L99" s="5978">
        <v>14.683333333333334</v>
      </c>
      <c r="M99" s="5978">
        <v>24.083333333333332</v>
      </c>
    </row>
    <row r="100" spans="1:13" x14ac:dyDescent="0.25">
      <c r="A100" s="5934"/>
      <c r="B100" s="6654"/>
      <c r="C100" s="5966" t="s">
        <v>2058</v>
      </c>
      <c r="D100" s="5344">
        <v>0</v>
      </c>
      <c r="E100" s="5344">
        <v>0</v>
      </c>
      <c r="F100" s="5979"/>
      <c r="G100" s="5344">
        <v>0</v>
      </c>
      <c r="H100" s="5981"/>
      <c r="I100" s="5344">
        <v>0</v>
      </c>
      <c r="J100" s="5978"/>
      <c r="K100" s="5978">
        <v>6.2833333333333332</v>
      </c>
      <c r="L100" s="5978">
        <v>45.5</v>
      </c>
      <c r="M100" s="5978">
        <v>5</v>
      </c>
    </row>
    <row r="101" spans="1:13" x14ac:dyDescent="0.25">
      <c r="A101" s="5934"/>
      <c r="B101" s="6654"/>
      <c r="C101" s="5966" t="s">
        <v>2059</v>
      </c>
      <c r="D101" s="5978">
        <v>0.17</v>
      </c>
      <c r="E101" s="5344">
        <v>0</v>
      </c>
      <c r="F101" s="5979"/>
      <c r="G101" s="5344">
        <v>0</v>
      </c>
      <c r="H101" s="5981"/>
      <c r="I101" s="5344">
        <v>0</v>
      </c>
      <c r="J101" s="5978"/>
      <c r="K101" s="5344">
        <v>0</v>
      </c>
      <c r="L101" s="5344">
        <v>0</v>
      </c>
      <c r="M101" s="5344">
        <v>0</v>
      </c>
    </row>
    <row r="102" spans="1:13" x14ac:dyDescent="0.25">
      <c r="A102" s="5934"/>
      <c r="B102" s="6654"/>
      <c r="C102" s="5966" t="s">
        <v>2060</v>
      </c>
      <c r="D102" s="5978"/>
      <c r="E102" s="5344"/>
      <c r="F102" s="5979"/>
      <c r="G102" s="5344"/>
      <c r="H102" s="5981"/>
      <c r="I102" s="5344"/>
      <c r="J102" s="5978"/>
      <c r="K102" s="5344"/>
      <c r="L102" s="5344"/>
      <c r="M102" s="5344"/>
    </row>
    <row r="103" spans="1:13" x14ac:dyDescent="0.25">
      <c r="A103" s="5934"/>
      <c r="B103" s="6654"/>
      <c r="C103" s="5966" t="s">
        <v>2061</v>
      </c>
      <c r="D103" s="5344">
        <v>0</v>
      </c>
      <c r="E103" s="5344">
        <v>0</v>
      </c>
      <c r="F103" s="5979"/>
      <c r="G103" s="5344">
        <v>0</v>
      </c>
      <c r="H103" s="5981"/>
      <c r="I103" s="5344">
        <v>0</v>
      </c>
      <c r="J103" s="5978"/>
      <c r="K103" s="5344">
        <v>0</v>
      </c>
      <c r="L103" s="5344">
        <v>0</v>
      </c>
      <c r="M103" s="5344">
        <v>0</v>
      </c>
    </row>
    <row r="104" spans="1:13" x14ac:dyDescent="0.25">
      <c r="A104" s="5934"/>
      <c r="B104" s="6654"/>
      <c r="C104" s="5966" t="s">
        <v>84</v>
      </c>
      <c r="D104" s="5978">
        <v>2.84</v>
      </c>
      <c r="E104" s="5978">
        <v>8.09</v>
      </c>
      <c r="F104" s="5979"/>
      <c r="G104" s="5344">
        <v>0</v>
      </c>
      <c r="H104" s="5981"/>
      <c r="I104" s="5344">
        <v>0</v>
      </c>
      <c r="J104" s="5978"/>
      <c r="K104" s="5344">
        <v>0</v>
      </c>
      <c r="L104" s="5344">
        <v>0</v>
      </c>
      <c r="M104" s="5344">
        <v>0</v>
      </c>
    </row>
    <row r="105" spans="1:13" x14ac:dyDescent="0.25">
      <c r="A105" s="5934"/>
      <c r="B105" s="6654"/>
      <c r="C105" s="5966" t="s">
        <v>2062</v>
      </c>
      <c r="D105" s="5344">
        <v>0</v>
      </c>
      <c r="E105" s="5344">
        <v>0</v>
      </c>
      <c r="F105" s="5979"/>
      <c r="G105" s="5344">
        <v>0</v>
      </c>
      <c r="H105" s="5981"/>
      <c r="I105" s="5982">
        <v>186.8</v>
      </c>
      <c r="J105" s="5978"/>
      <c r="K105" s="5344">
        <v>0</v>
      </c>
      <c r="L105" s="5344">
        <v>0</v>
      </c>
      <c r="M105" s="5344">
        <v>0</v>
      </c>
    </row>
    <row r="106" spans="1:13" x14ac:dyDescent="0.25">
      <c r="A106" s="5934"/>
      <c r="B106" s="6654"/>
      <c r="C106" s="5966" t="s">
        <v>750</v>
      </c>
      <c r="D106" s="5344">
        <v>0</v>
      </c>
      <c r="E106" s="5344">
        <v>0</v>
      </c>
      <c r="F106" s="5979"/>
      <c r="G106" s="5344">
        <v>0</v>
      </c>
      <c r="H106" s="5981"/>
      <c r="I106" s="5344">
        <v>0</v>
      </c>
      <c r="J106" s="5978"/>
      <c r="K106" s="5344">
        <v>0</v>
      </c>
      <c r="L106" s="5344">
        <v>0</v>
      </c>
      <c r="M106" s="5344">
        <v>0</v>
      </c>
    </row>
    <row r="107" spans="1:13" x14ac:dyDescent="0.25">
      <c r="A107" s="5934"/>
      <c r="B107" s="6654"/>
      <c r="C107" s="5966" t="s">
        <v>60</v>
      </c>
      <c r="D107" s="5344">
        <v>0</v>
      </c>
      <c r="E107" s="5344">
        <v>0</v>
      </c>
      <c r="F107" s="5979"/>
      <c r="G107" s="5344">
        <v>0</v>
      </c>
      <c r="H107" s="5981"/>
      <c r="I107" s="5344">
        <v>0</v>
      </c>
      <c r="J107" s="5978"/>
      <c r="K107" s="5344">
        <v>0</v>
      </c>
      <c r="L107" s="5344">
        <v>0</v>
      </c>
      <c r="M107" s="5344">
        <v>0</v>
      </c>
    </row>
    <row r="108" spans="1:13" ht="28.5" x14ac:dyDescent="0.25">
      <c r="A108" s="5934"/>
      <c r="B108" s="6654"/>
      <c r="C108" s="5966" t="s">
        <v>2063</v>
      </c>
      <c r="D108" s="5344">
        <v>0</v>
      </c>
      <c r="E108" s="5344">
        <v>0</v>
      </c>
      <c r="F108" s="5979"/>
      <c r="G108" s="5344">
        <v>0</v>
      </c>
      <c r="H108" s="5981"/>
      <c r="I108" s="5982">
        <v>1035</v>
      </c>
      <c r="J108" s="5978"/>
      <c r="K108" s="5344">
        <v>0</v>
      </c>
      <c r="L108" s="5344">
        <v>0</v>
      </c>
      <c r="M108" s="5344">
        <v>0</v>
      </c>
    </row>
    <row r="109" spans="1:13" x14ac:dyDescent="0.25">
      <c r="A109" s="5934"/>
      <c r="B109" s="6654"/>
      <c r="C109" s="5969" t="s">
        <v>2064</v>
      </c>
      <c r="D109" s="5971">
        <f>SUM(D89:D108)</f>
        <v>236.24999999999997</v>
      </c>
      <c r="E109" s="5971">
        <f t="shared" ref="E109:M109" si="29">SUM(E89:E108)</f>
        <v>166.84</v>
      </c>
      <c r="F109" s="5970"/>
      <c r="G109" s="5971">
        <f t="shared" si="29"/>
        <v>134.4</v>
      </c>
      <c r="H109" s="5971"/>
      <c r="I109" s="5971">
        <f t="shared" si="29"/>
        <v>1314.55</v>
      </c>
      <c r="J109" s="5970"/>
      <c r="K109" s="5971">
        <f t="shared" si="29"/>
        <v>308.95000000000005</v>
      </c>
      <c r="L109" s="5971">
        <f t="shared" si="29"/>
        <v>312.83333333333331</v>
      </c>
      <c r="M109" s="5972">
        <f t="shared" si="29"/>
        <v>353.83333333333343</v>
      </c>
    </row>
    <row r="110" spans="1:13" x14ac:dyDescent="0.25">
      <c r="A110" s="5934"/>
      <c r="B110" s="5983"/>
      <c r="C110" s="5984" t="s">
        <v>2065</v>
      </c>
      <c r="D110" s="5985">
        <f>+D86+D109</f>
        <v>297.25</v>
      </c>
      <c r="E110" s="5985">
        <f t="shared" ref="E110:M110" si="30">+E86+E109</f>
        <v>202.18</v>
      </c>
      <c r="F110" s="5985"/>
      <c r="G110" s="5985">
        <f t="shared" si="30"/>
        <v>149.4</v>
      </c>
      <c r="H110" s="5985"/>
      <c r="I110" s="5985">
        <f t="shared" si="30"/>
        <v>2358.98</v>
      </c>
      <c r="J110" s="5985"/>
      <c r="K110" s="5985">
        <f t="shared" si="30"/>
        <v>523.1</v>
      </c>
      <c r="L110" s="5985">
        <f t="shared" si="30"/>
        <v>501.13333333333333</v>
      </c>
      <c r="M110" s="5985">
        <f t="shared" si="30"/>
        <v>618.24999999999977</v>
      </c>
    </row>
    <row r="111" spans="1:13" x14ac:dyDescent="0.25">
      <c r="A111" s="5934"/>
      <c r="B111" s="6654">
        <v>45078</v>
      </c>
      <c r="C111" s="5701"/>
      <c r="D111" s="5939" t="s">
        <v>2038</v>
      </c>
      <c r="E111" s="5939" t="s">
        <v>2039</v>
      </c>
      <c r="F111" s="5975"/>
      <c r="G111" s="5976" t="s">
        <v>2040</v>
      </c>
      <c r="H111" s="5977"/>
      <c r="I111" s="5977" t="s">
        <v>1112</v>
      </c>
      <c r="J111" s="5939"/>
      <c r="K111" s="5939" t="s">
        <v>61</v>
      </c>
      <c r="L111" s="5939" t="s">
        <v>98</v>
      </c>
      <c r="M111" s="5939" t="s">
        <v>1384</v>
      </c>
    </row>
    <row r="112" spans="1:13" x14ac:dyDescent="0.25">
      <c r="A112" s="5934"/>
      <c r="B112" s="6654"/>
      <c r="C112" s="5986" t="s">
        <v>2048</v>
      </c>
      <c r="D112" s="5978">
        <v>17</v>
      </c>
      <c r="E112" s="5344">
        <v>13.5</v>
      </c>
      <c r="F112" s="5344"/>
      <c r="G112" s="5344">
        <v>30.5</v>
      </c>
      <c r="H112" s="5344"/>
      <c r="I112" s="5344">
        <v>278.14</v>
      </c>
      <c r="J112" s="5344"/>
      <c r="K112" s="5344">
        <v>96.61666666666666</v>
      </c>
      <c r="L112" s="5978">
        <v>71.066666666666663</v>
      </c>
      <c r="M112" s="5978">
        <v>87.5</v>
      </c>
    </row>
    <row r="113" spans="1:13" x14ac:dyDescent="0.25">
      <c r="A113" s="5934"/>
      <c r="B113" s="6654"/>
      <c r="C113" s="5986" t="s">
        <v>2049</v>
      </c>
      <c r="D113" s="5978">
        <v>123</v>
      </c>
      <c r="E113" s="5344">
        <v>80</v>
      </c>
      <c r="F113" s="5344"/>
      <c r="G113" s="5344">
        <v>0</v>
      </c>
      <c r="H113" s="5344"/>
      <c r="I113" s="5344">
        <v>0</v>
      </c>
      <c r="J113" s="5344"/>
      <c r="K113" s="5344">
        <v>144.16666666666666</v>
      </c>
      <c r="L113" s="5978">
        <v>118.5</v>
      </c>
      <c r="M113" s="5978">
        <v>172.33333333333334</v>
      </c>
    </row>
    <row r="114" spans="1:13" x14ac:dyDescent="0.25">
      <c r="A114" s="5934"/>
      <c r="B114" s="6654"/>
      <c r="C114" s="5986" t="s">
        <v>2050</v>
      </c>
      <c r="D114" s="5978">
        <v>0.25</v>
      </c>
      <c r="E114" s="5344">
        <v>2.41</v>
      </c>
      <c r="F114" s="5344"/>
      <c r="G114" s="5344">
        <v>0</v>
      </c>
      <c r="H114" s="5344"/>
      <c r="I114" s="5344">
        <v>7.82</v>
      </c>
      <c r="J114" s="5344"/>
      <c r="K114" s="5344">
        <v>22.5</v>
      </c>
      <c r="L114" s="5978">
        <v>18.933333333333334</v>
      </c>
      <c r="M114" s="5978">
        <v>7</v>
      </c>
    </row>
    <row r="115" spans="1:13" x14ac:dyDescent="0.25">
      <c r="A115" s="5934"/>
      <c r="B115" s="6654"/>
      <c r="C115" s="5986" t="s">
        <v>474</v>
      </c>
      <c r="D115" s="5344">
        <v>0</v>
      </c>
      <c r="E115" s="5344">
        <v>0</v>
      </c>
      <c r="F115" s="5344"/>
      <c r="G115" s="5344">
        <v>0</v>
      </c>
      <c r="H115" s="5344"/>
      <c r="I115" s="5344">
        <v>0</v>
      </c>
      <c r="J115" s="5344"/>
      <c r="K115" s="5344"/>
      <c r="L115" s="5344">
        <v>0</v>
      </c>
      <c r="M115" s="5344">
        <v>0</v>
      </c>
    </row>
    <row r="116" spans="1:13" x14ac:dyDescent="0.25">
      <c r="A116" s="5934"/>
      <c r="B116" s="6654"/>
      <c r="C116" s="5986" t="s">
        <v>2051</v>
      </c>
      <c r="D116" s="5344">
        <v>0</v>
      </c>
      <c r="E116" s="5344">
        <v>0</v>
      </c>
      <c r="F116" s="5344"/>
      <c r="G116" s="5344">
        <v>0</v>
      </c>
      <c r="H116" s="5344"/>
      <c r="I116" s="5344">
        <v>0</v>
      </c>
      <c r="J116" s="5344"/>
      <c r="K116" s="5344"/>
      <c r="L116" s="5344">
        <v>0</v>
      </c>
      <c r="M116" s="5344">
        <v>0</v>
      </c>
    </row>
    <row r="117" spans="1:13" x14ac:dyDescent="0.25">
      <c r="A117" s="5934"/>
      <c r="B117" s="6654"/>
      <c r="C117" s="5986" t="s">
        <v>2052</v>
      </c>
      <c r="D117" s="5978">
        <v>7.84</v>
      </c>
      <c r="E117" s="5344">
        <v>1.42</v>
      </c>
      <c r="F117" s="5344"/>
      <c r="G117" s="5344">
        <v>0</v>
      </c>
      <c r="H117" s="5344"/>
      <c r="I117" s="5344">
        <v>12.45</v>
      </c>
      <c r="J117" s="5344"/>
      <c r="K117" s="5344">
        <v>19.383333333333333</v>
      </c>
      <c r="L117" s="5978">
        <v>48.5</v>
      </c>
      <c r="M117" s="5978">
        <v>54</v>
      </c>
    </row>
    <row r="118" spans="1:13" x14ac:dyDescent="0.25">
      <c r="A118" s="5934"/>
      <c r="B118" s="6654"/>
      <c r="C118" s="5986" t="s">
        <v>2053</v>
      </c>
      <c r="D118" s="5978">
        <v>1.08</v>
      </c>
      <c r="E118" s="5344">
        <v>0.5</v>
      </c>
      <c r="F118" s="5344"/>
      <c r="G118" s="5344">
        <v>0</v>
      </c>
      <c r="H118" s="5344"/>
      <c r="I118" s="5344">
        <v>4.5</v>
      </c>
      <c r="J118" s="5344"/>
      <c r="K118" s="5344">
        <v>12.366666666666667</v>
      </c>
      <c r="L118" s="5978">
        <v>22.966666666666665</v>
      </c>
      <c r="M118" s="5978">
        <v>17.75</v>
      </c>
    </row>
    <row r="119" spans="1:13" x14ac:dyDescent="0.25">
      <c r="A119" s="5934"/>
      <c r="B119" s="6654"/>
      <c r="C119" s="5986" t="s">
        <v>2054</v>
      </c>
      <c r="D119" s="5978">
        <v>2.08</v>
      </c>
      <c r="E119" s="5344">
        <v>1.58</v>
      </c>
      <c r="F119" s="5344"/>
      <c r="G119" s="5344">
        <v>0</v>
      </c>
      <c r="H119" s="5344"/>
      <c r="I119" s="5344">
        <v>0</v>
      </c>
      <c r="J119" s="5344"/>
      <c r="K119" s="5344"/>
      <c r="L119" s="5344">
        <v>0</v>
      </c>
      <c r="M119" s="5344">
        <v>0</v>
      </c>
    </row>
    <row r="120" spans="1:13" x14ac:dyDescent="0.25">
      <c r="A120" s="5934"/>
      <c r="B120" s="6654"/>
      <c r="C120" s="5986" t="s">
        <v>2055</v>
      </c>
      <c r="D120" s="5978">
        <v>1.25</v>
      </c>
      <c r="E120" s="5344">
        <v>18.25</v>
      </c>
      <c r="F120" s="5344"/>
      <c r="G120" s="5344">
        <v>0</v>
      </c>
      <c r="H120" s="5344"/>
      <c r="I120" s="5344">
        <v>0</v>
      </c>
      <c r="J120" s="5344"/>
      <c r="K120" s="5344"/>
      <c r="L120" s="5344">
        <v>0</v>
      </c>
      <c r="M120" s="5344">
        <v>0</v>
      </c>
    </row>
    <row r="121" spans="1:13" x14ac:dyDescent="0.25">
      <c r="A121" s="5934"/>
      <c r="B121" s="6654"/>
      <c r="C121" s="5966" t="s">
        <v>2056</v>
      </c>
      <c r="D121" s="5344">
        <v>0</v>
      </c>
      <c r="E121" s="5344">
        <v>0</v>
      </c>
      <c r="F121" s="5967"/>
      <c r="G121" s="5344">
        <v>0</v>
      </c>
      <c r="H121" s="5968"/>
      <c r="I121" s="5344">
        <v>0</v>
      </c>
      <c r="J121" s="5967"/>
      <c r="K121" s="5344"/>
      <c r="L121" s="5344">
        <v>0</v>
      </c>
      <c r="M121" s="5344">
        <v>0</v>
      </c>
    </row>
    <row r="122" spans="1:13" x14ac:dyDescent="0.25">
      <c r="A122" s="5934"/>
      <c r="B122" s="6654"/>
      <c r="C122" s="5986" t="s">
        <v>2057</v>
      </c>
      <c r="D122" s="5344">
        <v>0</v>
      </c>
      <c r="E122" s="5344">
        <v>0</v>
      </c>
      <c r="F122" s="5344"/>
      <c r="G122" s="5344">
        <v>0</v>
      </c>
      <c r="H122" s="5344"/>
      <c r="I122" s="5344">
        <v>0</v>
      </c>
      <c r="J122" s="5344"/>
      <c r="K122" s="5344">
        <v>14.083333333333334</v>
      </c>
      <c r="L122" s="5978">
        <v>14.866666666666667</v>
      </c>
      <c r="M122" s="5978">
        <v>7.5</v>
      </c>
    </row>
    <row r="123" spans="1:13" x14ac:dyDescent="0.25">
      <c r="A123" s="5934"/>
      <c r="B123" s="6654"/>
      <c r="C123" s="5986" t="s">
        <v>2058</v>
      </c>
      <c r="D123" s="5344">
        <v>0</v>
      </c>
      <c r="E123" s="5344">
        <v>0</v>
      </c>
      <c r="F123" s="5344"/>
      <c r="G123" s="5344">
        <v>0</v>
      </c>
      <c r="H123" s="5344"/>
      <c r="I123" s="5344">
        <v>0</v>
      </c>
      <c r="J123" s="5344"/>
      <c r="K123" s="5344">
        <v>3.3333333333333335</v>
      </c>
      <c r="L123" s="5978">
        <v>7.1833333333333336</v>
      </c>
      <c r="M123" s="5978">
        <v>5.5</v>
      </c>
    </row>
    <row r="124" spans="1:13" x14ac:dyDescent="0.25">
      <c r="A124" s="5934"/>
      <c r="B124" s="6654"/>
      <c r="C124" s="5986" t="s">
        <v>2059</v>
      </c>
      <c r="D124" s="5978">
        <v>0.2</v>
      </c>
      <c r="E124" s="5344">
        <v>2.44</v>
      </c>
      <c r="F124" s="5344"/>
      <c r="G124" s="5344">
        <v>0</v>
      </c>
      <c r="H124" s="5344"/>
      <c r="I124" s="5344">
        <v>0</v>
      </c>
      <c r="J124" s="5344"/>
      <c r="K124" s="5344"/>
      <c r="L124" s="5344">
        <v>0</v>
      </c>
      <c r="M124" s="5344">
        <v>0</v>
      </c>
    </row>
    <row r="125" spans="1:13" x14ac:dyDescent="0.25">
      <c r="A125" s="5934"/>
      <c r="B125" s="6654"/>
      <c r="C125" s="5966" t="s">
        <v>2060</v>
      </c>
      <c r="D125" s="5978"/>
      <c r="E125" s="5344"/>
      <c r="F125" s="5344"/>
      <c r="G125" s="5344"/>
      <c r="H125" s="5344"/>
      <c r="I125" s="5344"/>
      <c r="J125" s="5344"/>
      <c r="K125" s="5344"/>
      <c r="L125" s="5344"/>
      <c r="M125" s="5344"/>
    </row>
    <row r="126" spans="1:13" x14ac:dyDescent="0.25">
      <c r="A126" s="5934"/>
      <c r="B126" s="6654"/>
      <c r="C126" s="5986" t="s">
        <v>2061</v>
      </c>
      <c r="D126" s="5344">
        <v>0</v>
      </c>
      <c r="E126" s="5344">
        <v>0</v>
      </c>
      <c r="F126" s="5344"/>
      <c r="G126" s="5344">
        <v>0</v>
      </c>
      <c r="H126" s="5344"/>
      <c r="I126" s="5344">
        <v>0</v>
      </c>
      <c r="J126" s="5344"/>
      <c r="K126" s="5344"/>
      <c r="L126" s="5344">
        <v>0</v>
      </c>
      <c r="M126" s="5344">
        <v>0</v>
      </c>
    </row>
    <row r="127" spans="1:13" x14ac:dyDescent="0.25">
      <c r="A127" s="5934"/>
      <c r="B127" s="6654"/>
      <c r="C127" s="5987" t="s">
        <v>84</v>
      </c>
      <c r="D127" s="5344">
        <v>0</v>
      </c>
      <c r="E127" s="5344">
        <v>0</v>
      </c>
      <c r="F127" s="5344"/>
      <c r="G127" s="5344">
        <v>0</v>
      </c>
      <c r="H127" s="5344"/>
      <c r="I127" s="5344">
        <v>0</v>
      </c>
      <c r="J127" s="5344"/>
      <c r="K127" s="5344"/>
      <c r="L127" s="5344">
        <v>0</v>
      </c>
      <c r="M127" s="5344">
        <v>0</v>
      </c>
    </row>
    <row r="128" spans="1:13" x14ac:dyDescent="0.25">
      <c r="A128" s="5934"/>
      <c r="B128" s="6654"/>
      <c r="C128" s="5986" t="s">
        <v>2062</v>
      </c>
      <c r="D128" s="5344">
        <v>0</v>
      </c>
      <c r="E128" s="5344">
        <v>0</v>
      </c>
      <c r="F128" s="5344"/>
      <c r="G128" s="5344">
        <v>0</v>
      </c>
      <c r="H128" s="5344"/>
      <c r="I128" s="5344">
        <v>0</v>
      </c>
      <c r="J128" s="5344"/>
      <c r="K128" s="5344"/>
      <c r="L128" s="5344">
        <v>0</v>
      </c>
      <c r="M128" s="5344">
        <v>0</v>
      </c>
    </row>
    <row r="129" spans="1:13" x14ac:dyDescent="0.25">
      <c r="A129" s="5934"/>
      <c r="B129" s="6654"/>
      <c r="C129" s="5986" t="s">
        <v>103</v>
      </c>
      <c r="D129" s="5344">
        <v>0</v>
      </c>
      <c r="E129" s="5344">
        <v>0</v>
      </c>
      <c r="F129" s="5344"/>
      <c r="G129" s="5344">
        <v>0</v>
      </c>
      <c r="H129" s="5344"/>
      <c r="I129" s="5344">
        <v>0</v>
      </c>
      <c r="J129" s="5344"/>
      <c r="K129" s="5344"/>
      <c r="L129" s="5344">
        <v>0</v>
      </c>
      <c r="M129" s="5344">
        <v>0</v>
      </c>
    </row>
    <row r="130" spans="1:13" x14ac:dyDescent="0.25">
      <c r="A130" s="5934"/>
      <c r="B130" s="6654"/>
      <c r="C130" s="5986" t="s">
        <v>60</v>
      </c>
      <c r="D130" s="5344">
        <v>0</v>
      </c>
      <c r="E130" s="5344">
        <v>0</v>
      </c>
      <c r="F130" s="5344"/>
      <c r="G130" s="5344">
        <v>0</v>
      </c>
      <c r="H130" s="5344"/>
      <c r="I130" s="5344">
        <v>0</v>
      </c>
      <c r="J130" s="5344"/>
      <c r="K130" s="5344"/>
      <c r="L130" s="5344">
        <v>0</v>
      </c>
      <c r="M130" s="5344">
        <v>0</v>
      </c>
    </row>
    <row r="131" spans="1:13" ht="28.5" x14ac:dyDescent="0.25">
      <c r="A131" s="5934"/>
      <c r="B131" s="6654"/>
      <c r="C131" s="5988" t="s">
        <v>2063</v>
      </c>
      <c r="D131" s="5344">
        <v>0</v>
      </c>
      <c r="E131" s="5344">
        <v>0</v>
      </c>
      <c r="F131" s="5344"/>
      <c r="G131" s="5344">
        <v>0</v>
      </c>
      <c r="H131" s="5344"/>
      <c r="I131" s="5344">
        <v>633.15</v>
      </c>
      <c r="J131" s="5344"/>
      <c r="K131" s="5344"/>
      <c r="L131" s="5344">
        <v>0</v>
      </c>
      <c r="M131" s="5344">
        <v>0</v>
      </c>
    </row>
    <row r="132" spans="1:13" x14ac:dyDescent="0.25">
      <c r="A132" s="5934"/>
      <c r="B132" s="5983"/>
      <c r="C132" s="5989" t="s">
        <v>2064</v>
      </c>
      <c r="D132" s="5990">
        <f t="shared" ref="D132:M132" si="31">SUM(D112:D131)</f>
        <v>152.70000000000002</v>
      </c>
      <c r="E132" s="5990">
        <f t="shared" si="31"/>
        <v>120.1</v>
      </c>
      <c r="F132" s="5990"/>
      <c r="G132" s="5990">
        <f t="shared" si="31"/>
        <v>30.5</v>
      </c>
      <c r="H132" s="5990"/>
      <c r="I132" s="5990">
        <f t="shared" si="31"/>
        <v>936.06</v>
      </c>
      <c r="J132" s="5990"/>
      <c r="K132" s="5990">
        <f t="shared" si="31"/>
        <v>312.44999999999993</v>
      </c>
      <c r="L132" s="5990">
        <f t="shared" si="31"/>
        <v>302.01666666666665</v>
      </c>
      <c r="M132" s="5991">
        <f t="shared" si="31"/>
        <v>351.58333333333337</v>
      </c>
    </row>
    <row r="133" spans="1:13" ht="15.75" thickBot="1" x14ac:dyDescent="0.3">
      <c r="A133" s="5934"/>
      <c r="B133" s="5992"/>
      <c r="C133" s="5984" t="s">
        <v>658</v>
      </c>
      <c r="D133" s="5985">
        <f t="shared" ref="D133:M133" si="32">+D86+D109+D132</f>
        <v>449.95000000000005</v>
      </c>
      <c r="E133" s="5985">
        <f t="shared" si="32"/>
        <v>322.27999999999997</v>
      </c>
      <c r="F133" s="5985"/>
      <c r="G133" s="5985">
        <f t="shared" si="32"/>
        <v>179.9</v>
      </c>
      <c r="H133" s="5985"/>
      <c r="I133" s="5985">
        <f t="shared" si="32"/>
        <v>3295.04</v>
      </c>
      <c r="J133" s="5985"/>
      <c r="K133" s="5985">
        <f t="shared" si="32"/>
        <v>835.55</v>
      </c>
      <c r="L133" s="5985">
        <f t="shared" si="32"/>
        <v>803.15</v>
      </c>
      <c r="M133" s="5985">
        <f t="shared" si="32"/>
        <v>969.83333333333314</v>
      </c>
    </row>
    <row r="134" spans="1:13" x14ac:dyDescent="0.25">
      <c r="A134" s="5934"/>
      <c r="B134" s="6655">
        <v>45108</v>
      </c>
      <c r="C134" s="5993" t="s">
        <v>2037</v>
      </c>
      <c r="D134" s="5994" t="s">
        <v>2037</v>
      </c>
      <c r="L134" s="5994" t="s">
        <v>2037</v>
      </c>
      <c r="M134" s="5994"/>
    </row>
    <row r="135" spans="1:13" x14ac:dyDescent="0.25">
      <c r="A135" s="5934"/>
      <c r="B135" s="6656"/>
      <c r="C135" s="5995"/>
      <c r="D135" s="5939" t="s">
        <v>2038</v>
      </c>
      <c r="E135" s="5939" t="s">
        <v>2039</v>
      </c>
      <c r="F135" s="5939"/>
      <c r="G135" s="5939" t="s">
        <v>2040</v>
      </c>
      <c r="H135" s="5939"/>
      <c r="I135" s="5939" t="s">
        <v>1112</v>
      </c>
      <c r="J135" s="5939"/>
      <c r="K135" s="5939" t="s">
        <v>61</v>
      </c>
      <c r="L135" s="5939" t="s">
        <v>98</v>
      </c>
      <c r="M135" s="5939" t="s">
        <v>1384</v>
      </c>
    </row>
    <row r="136" spans="1:13" x14ac:dyDescent="0.25">
      <c r="A136" s="5934"/>
      <c r="B136" s="6656"/>
      <c r="C136" s="5996" t="s">
        <v>2048</v>
      </c>
      <c r="D136" s="5978">
        <v>44.17</v>
      </c>
      <c r="E136" s="5344">
        <v>31.25</v>
      </c>
      <c r="F136" s="5344"/>
      <c r="G136" s="5344">
        <v>12</v>
      </c>
      <c r="H136" s="5344"/>
      <c r="I136" s="5344">
        <v>161.35</v>
      </c>
      <c r="J136" s="5344"/>
      <c r="K136" s="5344">
        <v>124.28333333333333</v>
      </c>
      <c r="L136" s="5978">
        <v>86.083333333333329</v>
      </c>
      <c r="M136" s="5978">
        <v>217.05</v>
      </c>
    </row>
    <row r="137" spans="1:13" x14ac:dyDescent="0.25">
      <c r="A137" s="5934"/>
      <c r="B137" s="6656"/>
      <c r="C137" s="5996" t="s">
        <v>2049</v>
      </c>
      <c r="D137" s="5344">
        <v>0</v>
      </c>
      <c r="E137" s="5344">
        <v>0</v>
      </c>
      <c r="F137" s="5344"/>
      <c r="G137" s="5344">
        <v>0</v>
      </c>
      <c r="H137" s="5344"/>
      <c r="I137" s="5344">
        <v>0</v>
      </c>
      <c r="J137" s="5344"/>
      <c r="K137" s="5344">
        <v>0</v>
      </c>
      <c r="L137" s="5344">
        <v>0</v>
      </c>
      <c r="M137" s="5344">
        <v>0</v>
      </c>
    </row>
    <row r="138" spans="1:13" x14ac:dyDescent="0.25">
      <c r="A138" s="5934"/>
      <c r="B138" s="6656"/>
      <c r="C138" s="5996" t="s">
        <v>2050</v>
      </c>
      <c r="D138" s="5978">
        <v>0.92</v>
      </c>
      <c r="E138" s="5344">
        <v>0</v>
      </c>
      <c r="F138" s="5344"/>
      <c r="G138" s="5344">
        <v>0</v>
      </c>
      <c r="H138" s="5344"/>
      <c r="I138" s="5344">
        <v>79.31</v>
      </c>
      <c r="J138" s="5344"/>
      <c r="K138" s="5344">
        <v>21</v>
      </c>
      <c r="L138" s="5978">
        <v>19.916666666666668</v>
      </c>
      <c r="M138" s="5978">
        <v>4.833333333333333</v>
      </c>
    </row>
    <row r="139" spans="1:13" x14ac:dyDescent="0.25">
      <c r="A139" s="5934"/>
      <c r="B139" s="6656"/>
      <c r="C139" s="5996" t="s">
        <v>474</v>
      </c>
      <c r="D139" s="5344">
        <v>0</v>
      </c>
      <c r="E139" s="5344">
        <v>0</v>
      </c>
      <c r="F139" s="5344"/>
      <c r="G139" s="5344">
        <v>0</v>
      </c>
      <c r="H139" s="5344"/>
      <c r="I139" s="5344">
        <v>0</v>
      </c>
      <c r="J139" s="5344"/>
      <c r="K139" s="5344">
        <v>0</v>
      </c>
      <c r="L139" s="5344">
        <v>0</v>
      </c>
      <c r="M139" s="5344">
        <v>0</v>
      </c>
    </row>
    <row r="140" spans="1:13" x14ac:dyDescent="0.25">
      <c r="A140" s="5934"/>
      <c r="B140" s="6656"/>
      <c r="C140" s="5996" t="s">
        <v>2051</v>
      </c>
      <c r="D140" s="5344">
        <v>0</v>
      </c>
      <c r="E140" s="5344">
        <v>0</v>
      </c>
      <c r="F140" s="5344"/>
      <c r="G140" s="5344">
        <v>0</v>
      </c>
      <c r="H140" s="5344"/>
      <c r="I140" s="5344">
        <v>0</v>
      </c>
      <c r="J140" s="5344"/>
      <c r="K140" s="5344">
        <v>0</v>
      </c>
      <c r="L140" s="5344">
        <v>0</v>
      </c>
      <c r="M140" s="5344">
        <v>0</v>
      </c>
    </row>
    <row r="141" spans="1:13" x14ac:dyDescent="0.25">
      <c r="A141" s="5934"/>
      <c r="B141" s="6656"/>
      <c r="C141" s="5996" t="s">
        <v>2052</v>
      </c>
      <c r="D141" s="5978">
        <v>2</v>
      </c>
      <c r="E141" s="5344">
        <v>1.43</v>
      </c>
      <c r="F141" s="5344"/>
      <c r="G141" s="5344">
        <v>0</v>
      </c>
      <c r="H141" s="5344"/>
      <c r="I141" s="5344">
        <v>26.98</v>
      </c>
      <c r="J141" s="5344"/>
      <c r="K141" s="5344">
        <v>19.083333333333332</v>
      </c>
      <c r="L141" s="5978">
        <v>72.033333333333331</v>
      </c>
      <c r="M141" s="5978">
        <v>68.416666666666671</v>
      </c>
    </row>
    <row r="142" spans="1:13" x14ac:dyDescent="0.25">
      <c r="A142" s="5934"/>
      <c r="B142" s="6656"/>
      <c r="C142" s="5996" t="s">
        <v>2053</v>
      </c>
      <c r="D142" s="5344">
        <v>0</v>
      </c>
      <c r="E142" s="5344">
        <v>0.5</v>
      </c>
      <c r="F142" s="5344"/>
      <c r="G142" s="5344">
        <v>0</v>
      </c>
      <c r="H142" s="5344"/>
      <c r="I142" s="5344">
        <v>5.83</v>
      </c>
      <c r="J142" s="5344"/>
      <c r="K142" s="5344">
        <v>11.316666666666666</v>
      </c>
      <c r="L142" s="5978">
        <v>9.1666666666666661</v>
      </c>
      <c r="M142" s="5978">
        <v>23.166666666666668</v>
      </c>
    </row>
    <row r="143" spans="1:13" x14ac:dyDescent="0.25">
      <c r="A143" s="5934"/>
      <c r="B143" s="6656"/>
      <c r="C143" s="5996" t="s">
        <v>2054</v>
      </c>
      <c r="D143" s="5978">
        <v>1.08</v>
      </c>
      <c r="E143" s="5344">
        <v>1.08</v>
      </c>
      <c r="F143" s="5344"/>
      <c r="G143" s="5344">
        <v>0</v>
      </c>
      <c r="H143" s="5344"/>
      <c r="I143" s="5344">
        <v>0</v>
      </c>
      <c r="J143" s="5344"/>
      <c r="K143" s="5344">
        <v>0</v>
      </c>
      <c r="L143" s="5344">
        <v>0</v>
      </c>
      <c r="M143" s="5344">
        <v>0</v>
      </c>
    </row>
    <row r="144" spans="1:13" x14ac:dyDescent="0.25">
      <c r="A144" s="5934"/>
      <c r="B144" s="6656"/>
      <c r="C144" s="5996" t="s">
        <v>2055</v>
      </c>
      <c r="D144" s="5978">
        <v>37.5</v>
      </c>
      <c r="E144" s="5344">
        <v>19.13</v>
      </c>
      <c r="F144" s="5344"/>
      <c r="G144" s="5344">
        <v>0</v>
      </c>
      <c r="H144" s="5344"/>
      <c r="I144" s="5344">
        <v>0</v>
      </c>
      <c r="J144" s="5344"/>
      <c r="K144" s="5344">
        <v>0</v>
      </c>
      <c r="L144" s="5344">
        <v>0</v>
      </c>
      <c r="M144" s="5344">
        <v>0</v>
      </c>
    </row>
    <row r="145" spans="1:13" x14ac:dyDescent="0.25">
      <c r="A145" s="5934"/>
      <c r="B145" s="6656"/>
      <c r="C145" s="5997" t="s">
        <v>2056</v>
      </c>
      <c r="D145" s="5344">
        <v>0</v>
      </c>
      <c r="E145" s="5344">
        <v>0</v>
      </c>
      <c r="F145" s="5967"/>
      <c r="G145" s="5344">
        <v>0</v>
      </c>
      <c r="H145" s="5968"/>
      <c r="I145" s="5344">
        <v>0</v>
      </c>
      <c r="J145" s="5967"/>
      <c r="K145" s="5344">
        <v>0</v>
      </c>
      <c r="L145" s="5344">
        <v>0</v>
      </c>
      <c r="M145" s="5344">
        <v>0</v>
      </c>
    </row>
    <row r="146" spans="1:13" x14ac:dyDescent="0.25">
      <c r="A146" s="5934"/>
      <c r="B146" s="6656"/>
      <c r="C146" s="5996" t="s">
        <v>2057</v>
      </c>
      <c r="D146" s="5344">
        <v>0</v>
      </c>
      <c r="E146" s="5344">
        <v>0</v>
      </c>
      <c r="F146" s="5344"/>
      <c r="G146" s="5344">
        <v>0</v>
      </c>
      <c r="H146" s="5344"/>
      <c r="I146" s="5344">
        <v>0</v>
      </c>
      <c r="J146" s="5344"/>
      <c r="K146" s="5344">
        <v>24.216666666666665</v>
      </c>
      <c r="L146" s="5978">
        <v>23.333333333333332</v>
      </c>
      <c r="M146" s="5978">
        <v>8.9166666666666661</v>
      </c>
    </row>
    <row r="147" spans="1:13" x14ac:dyDescent="0.25">
      <c r="A147" s="5934"/>
      <c r="B147" s="6656"/>
      <c r="C147" s="5996" t="s">
        <v>2058</v>
      </c>
      <c r="D147" s="5344">
        <v>0</v>
      </c>
      <c r="E147" s="5344">
        <v>0</v>
      </c>
      <c r="F147" s="5344"/>
      <c r="G147" s="5344">
        <v>0</v>
      </c>
      <c r="H147" s="5344"/>
      <c r="I147" s="5344">
        <v>0</v>
      </c>
      <c r="J147" s="5344"/>
      <c r="K147" s="5344">
        <v>0.58333333333333337</v>
      </c>
      <c r="L147" s="5978">
        <v>2.2999999999999998</v>
      </c>
      <c r="M147" s="5978">
        <v>4</v>
      </c>
    </row>
    <row r="148" spans="1:13" x14ac:dyDescent="0.25">
      <c r="A148" s="5934"/>
      <c r="B148" s="6656"/>
      <c r="C148" s="5996" t="s">
        <v>2059</v>
      </c>
      <c r="D148" s="5978">
        <v>0.5</v>
      </c>
      <c r="E148" s="5344">
        <v>0.33</v>
      </c>
      <c r="F148" s="5344"/>
      <c r="G148" s="5344">
        <v>0</v>
      </c>
      <c r="H148" s="5344"/>
      <c r="I148" s="5344">
        <v>0</v>
      </c>
      <c r="J148" s="5344"/>
      <c r="K148" s="5344">
        <v>0</v>
      </c>
      <c r="L148" s="5344">
        <v>0</v>
      </c>
      <c r="M148" s="5344">
        <v>0</v>
      </c>
    </row>
    <row r="149" spans="1:13" x14ac:dyDescent="0.25">
      <c r="A149" s="5934"/>
      <c r="B149" s="6656"/>
      <c r="C149" s="5966" t="s">
        <v>2060</v>
      </c>
      <c r="D149" s="5978"/>
      <c r="E149" s="5344"/>
      <c r="F149" s="5344"/>
      <c r="G149" s="5344"/>
      <c r="H149" s="5344"/>
      <c r="I149" s="5344"/>
      <c r="J149" s="5344"/>
      <c r="K149" s="5344"/>
      <c r="L149" s="5344"/>
      <c r="M149" s="5344"/>
    </row>
    <row r="150" spans="1:13" x14ac:dyDescent="0.25">
      <c r="A150" s="5934"/>
      <c r="B150" s="6656"/>
      <c r="C150" s="5996" t="s">
        <v>2061</v>
      </c>
      <c r="D150" s="5344">
        <v>0</v>
      </c>
      <c r="E150" s="5344">
        <v>0</v>
      </c>
      <c r="F150" s="5344"/>
      <c r="G150" s="5344">
        <v>0</v>
      </c>
      <c r="H150" s="5344"/>
      <c r="I150" s="5344">
        <v>0</v>
      </c>
      <c r="J150" s="5344"/>
      <c r="K150" s="5344">
        <v>0</v>
      </c>
      <c r="L150" s="5344">
        <v>0</v>
      </c>
      <c r="M150" s="5344">
        <v>0</v>
      </c>
    </row>
    <row r="151" spans="1:13" x14ac:dyDescent="0.25">
      <c r="A151" s="5934"/>
      <c r="B151" s="6656"/>
      <c r="C151" s="5998" t="s">
        <v>84</v>
      </c>
      <c r="D151" s="5344">
        <v>0</v>
      </c>
      <c r="E151" s="5344">
        <v>0</v>
      </c>
      <c r="F151" s="5344"/>
      <c r="G151" s="5344">
        <v>0</v>
      </c>
      <c r="H151" s="5344"/>
      <c r="I151" s="5344">
        <v>0</v>
      </c>
      <c r="J151" s="5344"/>
      <c r="K151" s="5344">
        <v>0</v>
      </c>
      <c r="L151" s="5344">
        <v>0</v>
      </c>
      <c r="M151" s="5344">
        <v>0</v>
      </c>
    </row>
    <row r="152" spans="1:13" x14ac:dyDescent="0.25">
      <c r="A152" s="5934"/>
      <c r="B152" s="6656"/>
      <c r="C152" s="5996" t="s">
        <v>2062</v>
      </c>
      <c r="D152" s="5344">
        <v>0</v>
      </c>
      <c r="E152" s="5344">
        <v>0</v>
      </c>
      <c r="F152" s="5344"/>
      <c r="G152" s="5344">
        <v>0</v>
      </c>
      <c r="H152" s="5344"/>
      <c r="I152" s="5344">
        <v>0</v>
      </c>
      <c r="J152" s="5344"/>
      <c r="K152" s="5344">
        <v>0</v>
      </c>
      <c r="L152" s="5344">
        <v>0</v>
      </c>
      <c r="M152" s="5344">
        <v>0</v>
      </c>
    </row>
    <row r="153" spans="1:13" x14ac:dyDescent="0.25">
      <c r="A153" s="5934"/>
      <c r="B153" s="6656"/>
      <c r="C153" s="5996" t="s">
        <v>103</v>
      </c>
      <c r="D153" s="5344">
        <v>0</v>
      </c>
      <c r="E153" s="5344">
        <v>0</v>
      </c>
      <c r="F153" s="5344"/>
      <c r="G153" s="5344">
        <v>0</v>
      </c>
      <c r="H153" s="5344"/>
      <c r="I153" s="5344">
        <v>0.73</v>
      </c>
      <c r="J153" s="5344"/>
      <c r="K153" s="5344">
        <v>0</v>
      </c>
      <c r="L153" s="5344">
        <v>0</v>
      </c>
      <c r="M153" s="5344">
        <v>0</v>
      </c>
    </row>
    <row r="154" spans="1:13" x14ac:dyDescent="0.25">
      <c r="A154" s="5934"/>
      <c r="B154" s="6656"/>
      <c r="C154" s="5996" t="s">
        <v>60</v>
      </c>
      <c r="D154" s="5344">
        <v>0</v>
      </c>
      <c r="E154" s="5344">
        <v>0</v>
      </c>
      <c r="F154" s="5344"/>
      <c r="G154" s="5344">
        <v>0</v>
      </c>
      <c r="H154" s="5344"/>
      <c r="I154" s="5344">
        <v>19.8</v>
      </c>
      <c r="J154" s="5344"/>
      <c r="K154" s="5344">
        <v>0</v>
      </c>
      <c r="L154" s="5344">
        <v>0</v>
      </c>
      <c r="M154" s="5344">
        <v>0</v>
      </c>
    </row>
    <row r="155" spans="1:13" ht="29.25" x14ac:dyDescent="0.25">
      <c r="A155" s="5934"/>
      <c r="B155" s="6656"/>
      <c r="C155" s="5996" t="s">
        <v>2063</v>
      </c>
      <c r="D155" s="5344">
        <v>0</v>
      </c>
      <c r="E155" s="5344">
        <v>0</v>
      </c>
      <c r="F155" s="5344"/>
      <c r="G155" s="5344">
        <v>0</v>
      </c>
      <c r="H155" s="5344"/>
      <c r="I155" s="5344">
        <v>245.68</v>
      </c>
      <c r="J155" s="5344"/>
      <c r="K155" s="5344">
        <v>0</v>
      </c>
      <c r="L155" s="5344">
        <v>0</v>
      </c>
      <c r="M155" s="5344">
        <v>0</v>
      </c>
    </row>
    <row r="156" spans="1:13" ht="15.75" thickBot="1" x14ac:dyDescent="0.3">
      <c r="A156" s="5999"/>
      <c r="B156" s="6657"/>
      <c r="C156" s="6000" t="s">
        <v>2064</v>
      </c>
      <c r="D156" s="5990">
        <f t="shared" ref="D156:M156" si="33">SUM(D136:D155)</f>
        <v>86.17</v>
      </c>
      <c r="E156" s="5990">
        <f t="shared" si="33"/>
        <v>53.72</v>
      </c>
      <c r="F156" s="5990"/>
      <c r="G156" s="5990">
        <f t="shared" si="33"/>
        <v>12</v>
      </c>
      <c r="H156" s="5990"/>
      <c r="I156" s="5990">
        <f t="shared" si="33"/>
        <v>539.68000000000006</v>
      </c>
      <c r="J156" s="5990"/>
      <c r="K156" s="5990">
        <f t="shared" si="33"/>
        <v>200.48333333333335</v>
      </c>
      <c r="L156" s="5990">
        <f t="shared" si="33"/>
        <v>212.83333333333334</v>
      </c>
      <c r="M156" s="5991">
        <f t="shared" si="33"/>
        <v>326.38333333333338</v>
      </c>
    </row>
    <row r="157" spans="1:13" x14ac:dyDescent="0.25">
      <c r="B157" s="6654">
        <v>45139</v>
      </c>
      <c r="C157" s="5938" t="s">
        <v>2037</v>
      </c>
      <c r="D157" s="5994" t="s">
        <v>2037</v>
      </c>
      <c r="E157" s="5701"/>
      <c r="F157" s="5701"/>
      <c r="G157" s="5701"/>
      <c r="H157" s="5701"/>
      <c r="I157" s="5701"/>
      <c r="J157" s="5701"/>
      <c r="K157" s="5701"/>
      <c r="L157" s="5994" t="s">
        <v>2037</v>
      </c>
      <c r="M157" s="5994"/>
    </row>
    <row r="158" spans="1:13" x14ac:dyDescent="0.25">
      <c r="B158" s="6654"/>
      <c r="C158" s="6001"/>
      <c r="D158" s="5939" t="s">
        <v>2038</v>
      </c>
      <c r="E158" s="5939" t="s">
        <v>2039</v>
      </c>
      <c r="F158" s="5939"/>
      <c r="G158" s="5939" t="s">
        <v>2040</v>
      </c>
      <c r="H158" s="5939"/>
      <c r="I158" s="5939" t="s">
        <v>1112</v>
      </c>
      <c r="J158" s="5939"/>
      <c r="K158" s="5939" t="s">
        <v>61</v>
      </c>
      <c r="L158" s="5939" t="s">
        <v>98</v>
      </c>
      <c r="M158" s="5939" t="s">
        <v>1384</v>
      </c>
    </row>
    <row r="159" spans="1:13" x14ac:dyDescent="0.25">
      <c r="B159" s="6654"/>
      <c r="C159" s="5986" t="s">
        <v>2048</v>
      </c>
      <c r="D159" s="5978">
        <v>14</v>
      </c>
      <c r="E159" s="5344">
        <v>36</v>
      </c>
      <c r="F159" s="5344"/>
      <c r="G159" s="5344">
        <v>0</v>
      </c>
      <c r="H159" s="5344"/>
      <c r="I159" s="5344">
        <v>562.5</v>
      </c>
      <c r="J159" s="5344"/>
      <c r="K159" s="5344">
        <v>119.9</v>
      </c>
      <c r="L159" s="5978">
        <v>75.61666666666666</v>
      </c>
      <c r="M159" s="5978">
        <v>109.66666666666667</v>
      </c>
    </row>
    <row r="160" spans="1:13" x14ac:dyDescent="0.25">
      <c r="B160" s="6654"/>
      <c r="C160" s="5986" t="s">
        <v>2049</v>
      </c>
      <c r="D160" s="5978">
        <v>0</v>
      </c>
      <c r="E160" s="5344">
        <v>0</v>
      </c>
      <c r="F160" s="5344"/>
      <c r="G160" s="5344">
        <v>0</v>
      </c>
      <c r="H160" s="5344"/>
      <c r="I160" s="5344">
        <v>0</v>
      </c>
      <c r="J160" s="5344"/>
      <c r="K160" s="5344">
        <v>0</v>
      </c>
      <c r="L160" s="5978">
        <v>0</v>
      </c>
      <c r="M160" s="5978">
        <v>0</v>
      </c>
    </row>
    <row r="161" spans="2:13" x14ac:dyDescent="0.25">
      <c r="B161" s="6654"/>
      <c r="C161" s="5986" t="s">
        <v>2050</v>
      </c>
      <c r="D161" s="5978">
        <v>2.42</v>
      </c>
      <c r="E161" s="5344">
        <v>0.75</v>
      </c>
      <c r="F161" s="5344"/>
      <c r="G161" s="5344">
        <v>0</v>
      </c>
      <c r="H161" s="5344"/>
      <c r="I161" s="5344">
        <v>0</v>
      </c>
      <c r="J161" s="5344"/>
      <c r="K161" s="5344">
        <v>26.416666666666668</v>
      </c>
      <c r="L161" s="5978">
        <v>16.183333333333334</v>
      </c>
      <c r="M161" s="5978">
        <v>5.333333333333333</v>
      </c>
    </row>
    <row r="162" spans="2:13" x14ac:dyDescent="0.25">
      <c r="B162" s="6654"/>
      <c r="C162" s="5986" t="s">
        <v>474</v>
      </c>
      <c r="D162" s="5978">
        <v>0</v>
      </c>
      <c r="E162" s="5344">
        <v>0</v>
      </c>
      <c r="F162" s="5344"/>
      <c r="G162" s="5344">
        <v>0</v>
      </c>
      <c r="H162" s="5344"/>
      <c r="I162" s="5344">
        <v>0</v>
      </c>
      <c r="J162" s="5344"/>
      <c r="K162" s="5344">
        <v>0</v>
      </c>
      <c r="L162" s="5344">
        <v>0</v>
      </c>
      <c r="M162" s="5344">
        <v>0</v>
      </c>
    </row>
    <row r="163" spans="2:13" x14ac:dyDescent="0.25">
      <c r="B163" s="6654"/>
      <c r="C163" s="5986" t="s">
        <v>2051</v>
      </c>
      <c r="D163" s="5978">
        <v>0</v>
      </c>
      <c r="E163" s="5344">
        <v>0</v>
      </c>
      <c r="F163" s="5344"/>
      <c r="G163" s="5344">
        <v>0</v>
      </c>
      <c r="H163" s="5344"/>
      <c r="I163" s="5344">
        <v>0</v>
      </c>
      <c r="J163" s="5344"/>
      <c r="K163" s="5344">
        <v>0</v>
      </c>
      <c r="L163" s="5344">
        <v>0</v>
      </c>
      <c r="M163" s="5344">
        <v>0</v>
      </c>
    </row>
    <row r="164" spans="2:13" x14ac:dyDescent="0.25">
      <c r="B164" s="6654"/>
      <c r="C164" s="5986" t="s">
        <v>2052</v>
      </c>
      <c r="D164" s="5344">
        <v>0</v>
      </c>
      <c r="E164" s="5344">
        <v>14.83</v>
      </c>
      <c r="F164" s="5344"/>
      <c r="G164" s="5344">
        <v>0</v>
      </c>
      <c r="H164" s="5344"/>
      <c r="I164" s="5344">
        <v>0.55000000000000004</v>
      </c>
      <c r="J164" s="5344"/>
      <c r="K164" s="5344">
        <v>37.133333333333333</v>
      </c>
      <c r="L164" s="5978">
        <v>42.81666666666667</v>
      </c>
      <c r="M164" s="5978">
        <v>54.833333333333336</v>
      </c>
    </row>
    <row r="165" spans="2:13" x14ac:dyDescent="0.25">
      <c r="B165" s="6654"/>
      <c r="C165" s="5986" t="s">
        <v>2053</v>
      </c>
      <c r="D165" s="5978">
        <v>3</v>
      </c>
      <c r="E165" s="5344">
        <v>1.25</v>
      </c>
      <c r="F165" s="5344"/>
      <c r="G165" s="5344">
        <v>0</v>
      </c>
      <c r="H165" s="5344"/>
      <c r="I165" s="5344">
        <v>8.25</v>
      </c>
      <c r="J165" s="5344"/>
      <c r="K165" s="5344">
        <v>11.333333333333334</v>
      </c>
      <c r="L165" s="5978">
        <v>6.1333333333333337</v>
      </c>
      <c r="M165" s="5978">
        <v>13.916666666666666</v>
      </c>
    </row>
    <row r="166" spans="2:13" x14ac:dyDescent="0.25">
      <c r="B166" s="6654"/>
      <c r="C166" s="5986" t="s">
        <v>2054</v>
      </c>
      <c r="D166" s="5344">
        <v>0</v>
      </c>
      <c r="E166" s="5344">
        <v>0</v>
      </c>
      <c r="F166" s="5344"/>
      <c r="G166" s="5344">
        <v>0</v>
      </c>
      <c r="H166" s="5344"/>
      <c r="I166" s="5344">
        <v>0</v>
      </c>
      <c r="J166" s="5344"/>
      <c r="K166" s="5344">
        <v>0</v>
      </c>
      <c r="L166" s="5344">
        <v>0</v>
      </c>
      <c r="M166" s="5344">
        <v>0</v>
      </c>
    </row>
    <row r="167" spans="2:13" x14ac:dyDescent="0.25">
      <c r="B167" s="6654"/>
      <c r="C167" s="5986" t="s">
        <v>2055</v>
      </c>
      <c r="D167" s="5978">
        <v>40.25</v>
      </c>
      <c r="E167" s="5344">
        <v>44.41</v>
      </c>
      <c r="F167" s="5344"/>
      <c r="G167" s="5344">
        <v>0</v>
      </c>
      <c r="H167" s="5344"/>
      <c r="I167" s="5344">
        <v>0</v>
      </c>
      <c r="J167" s="5344"/>
      <c r="K167" s="5344">
        <v>0</v>
      </c>
      <c r="L167" s="5344">
        <v>0</v>
      </c>
      <c r="M167" s="5344">
        <v>0</v>
      </c>
    </row>
    <row r="168" spans="2:13" x14ac:dyDescent="0.25">
      <c r="B168" s="6654"/>
      <c r="C168" s="5966" t="s">
        <v>2056</v>
      </c>
      <c r="D168" s="5344">
        <v>0</v>
      </c>
      <c r="E168" s="5344">
        <v>0</v>
      </c>
      <c r="F168" s="5967"/>
      <c r="G168" s="5344">
        <v>0</v>
      </c>
      <c r="H168" s="5968"/>
      <c r="I168" s="5344">
        <v>0</v>
      </c>
      <c r="J168" s="5967"/>
      <c r="K168" s="5344">
        <v>0</v>
      </c>
      <c r="L168" s="5344">
        <v>0</v>
      </c>
      <c r="M168" s="5344">
        <v>0</v>
      </c>
    </row>
    <row r="169" spans="2:13" x14ac:dyDescent="0.25">
      <c r="B169" s="6654"/>
      <c r="C169" s="5986" t="s">
        <v>2057</v>
      </c>
      <c r="D169" s="5344">
        <v>0</v>
      </c>
      <c r="E169" s="5344">
        <v>0</v>
      </c>
      <c r="F169" s="5344"/>
      <c r="G169" s="5344">
        <v>0</v>
      </c>
      <c r="H169" s="5344"/>
      <c r="I169" s="5344">
        <v>0</v>
      </c>
      <c r="J169" s="5344"/>
      <c r="K169" s="5344">
        <v>16.183333333333334</v>
      </c>
      <c r="L169" s="5978">
        <v>12.116666666666667</v>
      </c>
      <c r="M169" s="5978">
        <v>27.166666666666668</v>
      </c>
    </row>
    <row r="170" spans="2:13" x14ac:dyDescent="0.25">
      <c r="B170" s="6654"/>
      <c r="C170" s="5986" t="s">
        <v>2058</v>
      </c>
      <c r="D170" s="6002">
        <v>0.5</v>
      </c>
      <c r="E170" s="5319">
        <v>0.5</v>
      </c>
      <c r="F170" s="5344"/>
      <c r="G170" s="5344">
        <v>0</v>
      </c>
      <c r="H170" s="5344"/>
      <c r="I170" s="5344">
        <v>0</v>
      </c>
      <c r="J170" s="5344"/>
      <c r="K170" s="5344">
        <v>2.35</v>
      </c>
      <c r="L170" s="5978">
        <v>3.2166666666666668</v>
      </c>
      <c r="M170" s="5978">
        <v>1.4166666666666667</v>
      </c>
    </row>
    <row r="171" spans="2:13" x14ac:dyDescent="0.25">
      <c r="B171" s="6654"/>
      <c r="C171" s="5986" t="s">
        <v>2059</v>
      </c>
      <c r="D171" s="5344">
        <v>0</v>
      </c>
      <c r="E171" s="5344">
        <v>1.67</v>
      </c>
      <c r="F171" s="5344"/>
      <c r="G171" s="5344">
        <v>0</v>
      </c>
      <c r="H171" s="5344"/>
      <c r="I171" s="5344">
        <v>0</v>
      </c>
      <c r="J171" s="5344"/>
      <c r="K171" s="5344">
        <v>0</v>
      </c>
      <c r="L171" s="5344">
        <v>0</v>
      </c>
      <c r="M171" s="5344">
        <v>0</v>
      </c>
    </row>
    <row r="172" spans="2:13" x14ac:dyDescent="0.25">
      <c r="B172" s="6654"/>
      <c r="C172" s="5966" t="s">
        <v>2060</v>
      </c>
      <c r="D172" s="5344"/>
      <c r="E172" s="5344"/>
      <c r="F172" s="5344"/>
      <c r="G172" s="5344"/>
      <c r="H172" s="5344"/>
      <c r="I172" s="5344"/>
      <c r="J172" s="5344"/>
      <c r="K172" s="5344"/>
      <c r="L172" s="5344"/>
      <c r="M172" s="5344"/>
    </row>
    <row r="173" spans="2:13" x14ac:dyDescent="0.25">
      <c r="B173" s="6654"/>
      <c r="C173" s="5986" t="s">
        <v>2061</v>
      </c>
      <c r="D173" s="5978">
        <v>10.5</v>
      </c>
      <c r="E173" s="5344">
        <v>8</v>
      </c>
      <c r="F173" s="5344"/>
      <c r="G173" s="5344">
        <v>0</v>
      </c>
      <c r="H173" s="5344"/>
      <c r="I173" s="5344">
        <v>0</v>
      </c>
      <c r="J173" s="5344"/>
      <c r="K173" s="5344">
        <v>0</v>
      </c>
      <c r="L173" s="5344">
        <v>0</v>
      </c>
      <c r="M173" s="5344">
        <v>0</v>
      </c>
    </row>
    <row r="174" spans="2:13" x14ac:dyDescent="0.25">
      <c r="B174" s="6654"/>
      <c r="C174" s="5986" t="s">
        <v>84</v>
      </c>
      <c r="D174" s="5344">
        <v>0</v>
      </c>
      <c r="E174" s="5344">
        <v>0</v>
      </c>
      <c r="F174" s="5344"/>
      <c r="G174" s="5344">
        <v>0</v>
      </c>
      <c r="H174" s="5344"/>
      <c r="I174" s="5344">
        <v>0</v>
      </c>
      <c r="J174" s="5344"/>
      <c r="K174" s="5344">
        <v>0</v>
      </c>
      <c r="L174" s="5344">
        <v>0</v>
      </c>
      <c r="M174" s="5344">
        <v>0</v>
      </c>
    </row>
    <row r="175" spans="2:13" x14ac:dyDescent="0.25">
      <c r="B175" s="6654"/>
      <c r="C175" s="5986" t="s">
        <v>2062</v>
      </c>
      <c r="D175" s="5344">
        <v>0</v>
      </c>
      <c r="E175" s="5344">
        <v>0</v>
      </c>
      <c r="F175" s="5344"/>
      <c r="G175" s="5344">
        <v>0</v>
      </c>
      <c r="H175" s="5344"/>
      <c r="I175" s="5344">
        <v>13.72</v>
      </c>
      <c r="J175" s="5344"/>
      <c r="K175" s="5344">
        <v>0</v>
      </c>
      <c r="L175" s="5344">
        <v>0</v>
      </c>
      <c r="M175" s="5344">
        <v>0</v>
      </c>
    </row>
    <row r="176" spans="2:13" x14ac:dyDescent="0.25">
      <c r="B176" s="6654"/>
      <c r="C176" s="5986" t="s">
        <v>103</v>
      </c>
      <c r="D176" s="5344">
        <v>0</v>
      </c>
      <c r="E176" s="5344">
        <v>0</v>
      </c>
      <c r="F176" s="5344"/>
      <c r="G176" s="5344">
        <v>0</v>
      </c>
      <c r="H176" s="5344"/>
      <c r="I176" s="5344">
        <v>0.2</v>
      </c>
      <c r="J176" s="5344"/>
      <c r="K176" s="5344">
        <v>0</v>
      </c>
      <c r="L176" s="5344">
        <v>0</v>
      </c>
      <c r="M176" s="5344">
        <v>0</v>
      </c>
    </row>
    <row r="177" spans="2:13" x14ac:dyDescent="0.25">
      <c r="B177" s="6654"/>
      <c r="C177" s="5986" t="s">
        <v>60</v>
      </c>
      <c r="D177" s="5344">
        <v>0</v>
      </c>
      <c r="E177" s="5344">
        <v>0</v>
      </c>
      <c r="F177" s="5344"/>
      <c r="G177" s="5344">
        <v>0</v>
      </c>
      <c r="H177" s="5344"/>
      <c r="I177" s="5344">
        <v>21.08</v>
      </c>
      <c r="J177" s="5344"/>
      <c r="K177" s="5344">
        <v>0</v>
      </c>
      <c r="L177" s="5344">
        <v>0</v>
      </c>
      <c r="M177" s="5344">
        <v>0</v>
      </c>
    </row>
    <row r="178" spans="2:13" ht="29.25" x14ac:dyDescent="0.25">
      <c r="B178" s="6654"/>
      <c r="C178" s="5986" t="s">
        <v>2063</v>
      </c>
      <c r="D178" s="5344">
        <v>0</v>
      </c>
      <c r="E178" s="5344">
        <v>0</v>
      </c>
      <c r="F178" s="5344"/>
      <c r="G178" s="5344">
        <v>0</v>
      </c>
      <c r="H178" s="5344"/>
      <c r="I178" s="5344">
        <v>31.27</v>
      </c>
      <c r="J178" s="5344"/>
      <c r="K178" s="5344">
        <v>0</v>
      </c>
      <c r="L178" s="5344">
        <v>0</v>
      </c>
      <c r="M178" s="5344">
        <v>0</v>
      </c>
    </row>
    <row r="179" spans="2:13" x14ac:dyDescent="0.25">
      <c r="B179" s="6654"/>
      <c r="C179" s="5989" t="s">
        <v>2064</v>
      </c>
      <c r="D179" s="5971">
        <f>SUM(D159:D178)</f>
        <v>70.67</v>
      </c>
      <c r="E179" s="5971">
        <f t="shared" ref="E179:M179" si="34">SUM(E159:E178)</f>
        <v>107.41</v>
      </c>
      <c r="F179" s="5971"/>
      <c r="G179" s="5971">
        <f t="shared" si="34"/>
        <v>0</v>
      </c>
      <c r="H179" s="5971"/>
      <c r="I179" s="5971">
        <f t="shared" si="34"/>
        <v>637.57000000000005</v>
      </c>
      <c r="J179" s="5971"/>
      <c r="K179" s="5971">
        <f t="shared" si="34"/>
        <v>213.31666666666666</v>
      </c>
      <c r="L179" s="5971">
        <f t="shared" si="34"/>
        <v>156.08333333333334</v>
      </c>
      <c r="M179" s="5972">
        <f t="shared" si="34"/>
        <v>212.33333333333331</v>
      </c>
    </row>
    <row r="180" spans="2:13" x14ac:dyDescent="0.25">
      <c r="B180" s="5852"/>
      <c r="C180" s="5984" t="s">
        <v>2066</v>
      </c>
      <c r="D180" s="5985">
        <f>+D86+D109+D132+D156+D179</f>
        <v>606.79</v>
      </c>
      <c r="E180" s="5985">
        <f>+E86+E109+E132+E156+E179</f>
        <v>483.40999999999997</v>
      </c>
      <c r="F180" s="5985"/>
      <c r="G180" s="5985">
        <f>+G86+G109+G132+G156+G179</f>
        <v>191.9</v>
      </c>
      <c r="H180" s="5985"/>
      <c r="I180" s="5985">
        <f>+I86+I109+I132+I156+I179</f>
        <v>4472.29</v>
      </c>
      <c r="J180" s="5985"/>
      <c r="K180" s="5985">
        <f>+K86+K109+K132+K156+K179</f>
        <v>1249.3499999999999</v>
      </c>
      <c r="L180" s="5985">
        <f>+L86+L109+L132+L156+L179</f>
        <v>1172.0666666666666</v>
      </c>
      <c r="M180" s="5985">
        <f>+M86+M109+M132+M156+M179</f>
        <v>1508.5499999999997</v>
      </c>
    </row>
    <row r="181" spans="2:13" x14ac:dyDescent="0.25">
      <c r="B181" s="6654">
        <v>45170</v>
      </c>
      <c r="C181" s="5938" t="s">
        <v>2037</v>
      </c>
      <c r="D181" s="5994" t="s">
        <v>2037</v>
      </c>
      <c r="E181" s="5701"/>
      <c r="F181" s="5701"/>
      <c r="G181" s="5701"/>
      <c r="H181" s="5701"/>
      <c r="I181" s="5701"/>
      <c r="J181" s="5701"/>
      <c r="K181" s="5701"/>
      <c r="L181" s="5994" t="s">
        <v>2037</v>
      </c>
      <c r="M181" s="5994"/>
    </row>
    <row r="182" spans="2:13" x14ac:dyDescent="0.25">
      <c r="B182" s="6654"/>
      <c r="C182" s="6001"/>
      <c r="D182" s="5939" t="s">
        <v>2038</v>
      </c>
      <c r="E182" s="5939" t="s">
        <v>2039</v>
      </c>
      <c r="F182" s="5939"/>
      <c r="G182" s="5939" t="s">
        <v>2040</v>
      </c>
      <c r="H182" s="5939"/>
      <c r="I182" s="5939" t="s">
        <v>1112</v>
      </c>
      <c r="J182" s="5939"/>
      <c r="K182" s="5939" t="s">
        <v>61</v>
      </c>
      <c r="L182" s="5939" t="s">
        <v>98</v>
      </c>
      <c r="M182" s="5939" t="s">
        <v>1384</v>
      </c>
    </row>
    <row r="183" spans="2:13" x14ac:dyDescent="0.25">
      <c r="B183" s="6654"/>
      <c r="C183" s="5986" t="s">
        <v>2048</v>
      </c>
      <c r="D183" s="5978">
        <v>16.5</v>
      </c>
      <c r="E183" s="5344">
        <v>93.5</v>
      </c>
      <c r="F183" s="5344"/>
      <c r="G183" s="5344">
        <v>37</v>
      </c>
      <c r="H183" s="5344"/>
      <c r="I183" s="5344">
        <v>454.46</v>
      </c>
      <c r="J183" s="5344"/>
      <c r="K183" s="5344">
        <v>101.1</v>
      </c>
      <c r="L183" s="5978">
        <v>115.06666666666666</v>
      </c>
      <c r="M183" s="5978">
        <v>164.25</v>
      </c>
    </row>
    <row r="184" spans="2:13" x14ac:dyDescent="0.25">
      <c r="B184" s="6654"/>
      <c r="C184" s="5986" t="s">
        <v>2049</v>
      </c>
      <c r="D184" s="5978"/>
      <c r="E184" s="5344"/>
      <c r="F184" s="5344"/>
      <c r="G184" s="5344"/>
      <c r="H184" s="5344"/>
      <c r="I184" s="5344"/>
      <c r="J184" s="5344"/>
      <c r="K184" s="5344"/>
      <c r="L184" s="5978"/>
      <c r="M184" s="5978"/>
    </row>
    <row r="185" spans="2:13" x14ac:dyDescent="0.25">
      <c r="B185" s="6654"/>
      <c r="C185" s="5986" t="s">
        <v>2050</v>
      </c>
      <c r="D185" s="5978">
        <v>1.88</v>
      </c>
      <c r="E185" s="5344"/>
      <c r="F185" s="5344"/>
      <c r="G185" s="5344"/>
      <c r="H185" s="5344"/>
      <c r="I185" s="5344"/>
      <c r="J185" s="5344"/>
      <c r="K185" s="5344">
        <v>19.516666666666666</v>
      </c>
      <c r="L185" s="5978">
        <v>32.783333333333331</v>
      </c>
      <c r="M185" s="5978">
        <v>12.583333333333334</v>
      </c>
    </row>
    <row r="186" spans="2:13" x14ac:dyDescent="0.25">
      <c r="B186" s="6654"/>
      <c r="C186" s="5986" t="s">
        <v>474</v>
      </c>
      <c r="D186" s="5978"/>
      <c r="E186" s="5344"/>
      <c r="F186" s="5344"/>
      <c r="G186" s="5344"/>
      <c r="H186" s="5344"/>
      <c r="I186" s="5344"/>
      <c r="J186" s="5344"/>
      <c r="K186" s="5344"/>
      <c r="L186" s="5344"/>
      <c r="M186" s="5344"/>
    </row>
    <row r="187" spans="2:13" x14ac:dyDescent="0.25">
      <c r="B187" s="6654"/>
      <c r="C187" s="5986" t="s">
        <v>2051</v>
      </c>
      <c r="D187" s="5978"/>
      <c r="E187" s="5344"/>
      <c r="F187" s="5344"/>
      <c r="G187" s="5344"/>
      <c r="H187" s="5344"/>
      <c r="I187" s="5344"/>
      <c r="J187" s="5344"/>
      <c r="K187" s="5344"/>
      <c r="L187" s="5344"/>
      <c r="M187" s="5344"/>
    </row>
    <row r="188" spans="2:13" x14ac:dyDescent="0.25">
      <c r="B188" s="6654"/>
      <c r="C188" s="5986" t="s">
        <v>2052</v>
      </c>
      <c r="D188" s="5344">
        <v>5</v>
      </c>
      <c r="E188" s="5344">
        <v>0.7</v>
      </c>
      <c r="F188" s="5344"/>
      <c r="G188" s="5344"/>
      <c r="H188" s="5344"/>
      <c r="I188" s="5344">
        <v>24</v>
      </c>
      <c r="J188" s="5344"/>
      <c r="K188" s="5344">
        <v>17.483333333333334</v>
      </c>
      <c r="L188" s="5978">
        <v>46.883333333333333</v>
      </c>
      <c r="M188" s="5978">
        <v>43.666666666666664</v>
      </c>
    </row>
    <row r="189" spans="2:13" x14ac:dyDescent="0.25">
      <c r="B189" s="6654"/>
      <c r="C189" s="5986" t="s">
        <v>2053</v>
      </c>
      <c r="D189" s="5978"/>
      <c r="E189" s="5344">
        <v>0.37</v>
      </c>
      <c r="F189" s="5344"/>
      <c r="G189" s="5344"/>
      <c r="H189" s="5344"/>
      <c r="I189" s="5344">
        <v>2.8</v>
      </c>
      <c r="J189" s="5344"/>
      <c r="K189" s="5344">
        <v>13.916666666666666</v>
      </c>
      <c r="L189" s="5978">
        <v>14.433333333333334</v>
      </c>
      <c r="M189" s="5978">
        <v>13.5</v>
      </c>
    </row>
    <row r="190" spans="2:13" x14ac:dyDescent="0.25">
      <c r="B190" s="6654"/>
      <c r="C190" s="5986" t="s">
        <v>2054</v>
      </c>
      <c r="D190" s="5344">
        <v>1</v>
      </c>
      <c r="E190" s="5344">
        <v>1</v>
      </c>
      <c r="F190" s="5344"/>
      <c r="G190" s="5344"/>
      <c r="H190" s="5344"/>
      <c r="I190" s="5344"/>
      <c r="J190" s="5344"/>
      <c r="K190" s="5344"/>
      <c r="L190" s="5344"/>
      <c r="M190" s="5344"/>
    </row>
    <row r="191" spans="2:13" x14ac:dyDescent="0.25">
      <c r="B191" s="6654"/>
      <c r="C191" s="5986" t="s">
        <v>2055</v>
      </c>
      <c r="D191" s="5978">
        <v>7.34</v>
      </c>
      <c r="E191" s="5344">
        <v>8.57</v>
      </c>
      <c r="F191" s="5344"/>
      <c r="G191" s="5344"/>
      <c r="H191" s="5344"/>
      <c r="I191" s="5344"/>
      <c r="J191" s="5344"/>
      <c r="K191" s="5344"/>
      <c r="L191" s="5344"/>
      <c r="M191" s="5344"/>
    </row>
    <row r="192" spans="2:13" x14ac:dyDescent="0.25">
      <c r="B192" s="6654"/>
      <c r="C192" s="5966" t="s">
        <v>2056</v>
      </c>
      <c r="D192" s="5344"/>
      <c r="E192" s="5344"/>
      <c r="F192" s="5967"/>
      <c r="G192" s="5344"/>
      <c r="H192" s="5968"/>
      <c r="I192" s="5344"/>
      <c r="J192" s="5967"/>
      <c r="K192" s="5344"/>
      <c r="L192" s="5344"/>
      <c r="M192" s="5344"/>
    </row>
    <row r="193" spans="2:13" x14ac:dyDescent="0.25">
      <c r="B193" s="6654"/>
      <c r="C193" s="5986" t="s">
        <v>2057</v>
      </c>
      <c r="D193" s="5344"/>
      <c r="E193" s="5344"/>
      <c r="F193" s="5344"/>
      <c r="G193" s="5344"/>
      <c r="H193" s="5344"/>
      <c r="I193" s="5344"/>
      <c r="J193" s="5344"/>
      <c r="K193" s="5344">
        <v>15.75</v>
      </c>
      <c r="L193" s="5978">
        <v>28.666666666666668</v>
      </c>
      <c r="M193" s="5978">
        <v>25.916666666666668</v>
      </c>
    </row>
    <row r="194" spans="2:13" x14ac:dyDescent="0.25">
      <c r="B194" s="6654"/>
      <c r="C194" s="5986" t="s">
        <v>2058</v>
      </c>
      <c r="D194" s="6002"/>
      <c r="E194" s="5319"/>
      <c r="F194" s="5344"/>
      <c r="G194" s="5344"/>
      <c r="H194" s="5344"/>
      <c r="I194" s="5344"/>
      <c r="J194" s="5344"/>
      <c r="K194" s="5344">
        <v>0.75</v>
      </c>
      <c r="L194" s="5978">
        <v>0.91666666666666663</v>
      </c>
      <c r="M194" s="5978"/>
    </row>
    <row r="195" spans="2:13" x14ac:dyDescent="0.25">
      <c r="B195" s="6654"/>
      <c r="C195" s="5986" t="s">
        <v>2059</v>
      </c>
      <c r="D195" s="5344"/>
      <c r="E195" s="5344"/>
      <c r="F195" s="5344"/>
      <c r="G195" s="5344"/>
      <c r="H195" s="5344"/>
      <c r="I195" s="5344"/>
      <c r="J195" s="5344"/>
      <c r="K195" s="5344"/>
      <c r="L195" s="5344"/>
      <c r="M195" s="5344"/>
    </row>
    <row r="196" spans="2:13" x14ac:dyDescent="0.25">
      <c r="B196" s="6654"/>
      <c r="C196" s="5966" t="s">
        <v>2060</v>
      </c>
      <c r="D196" s="5344"/>
      <c r="E196" s="5344"/>
      <c r="F196" s="5344"/>
      <c r="G196" s="5344"/>
      <c r="H196" s="5344"/>
      <c r="I196" s="5344"/>
      <c r="J196" s="5344"/>
      <c r="K196" s="5344"/>
      <c r="L196" s="5344"/>
      <c r="M196" s="5344"/>
    </row>
    <row r="197" spans="2:13" x14ac:dyDescent="0.25">
      <c r="B197" s="6654"/>
      <c r="C197" s="5986" t="s">
        <v>2061</v>
      </c>
      <c r="D197" s="5978"/>
      <c r="E197" s="5344"/>
      <c r="F197" s="5344"/>
      <c r="G197" s="5344"/>
      <c r="H197" s="5344"/>
      <c r="I197" s="5344"/>
      <c r="J197" s="5344"/>
      <c r="K197" s="5344"/>
      <c r="L197" s="5344"/>
      <c r="M197" s="5344"/>
    </row>
    <row r="198" spans="2:13" x14ac:dyDescent="0.25">
      <c r="B198" s="6654"/>
      <c r="C198" s="5986" t="s">
        <v>84</v>
      </c>
      <c r="D198" s="5344">
        <v>2.5</v>
      </c>
      <c r="E198" s="5344">
        <v>4.5</v>
      </c>
      <c r="F198" s="5344"/>
      <c r="G198" s="5344"/>
      <c r="H198" s="5344"/>
      <c r="I198" s="5344"/>
      <c r="J198" s="5344"/>
      <c r="K198" s="5344"/>
      <c r="L198" s="5344"/>
      <c r="M198" s="5344"/>
    </row>
    <row r="199" spans="2:13" x14ac:dyDescent="0.25">
      <c r="B199" s="6654"/>
      <c r="C199" s="5986" t="s">
        <v>2062</v>
      </c>
      <c r="D199" s="5344"/>
      <c r="E199" s="5344"/>
      <c r="F199" s="5344"/>
      <c r="G199" s="5344"/>
      <c r="H199" s="5344"/>
      <c r="I199" s="5344">
        <v>11.65</v>
      </c>
      <c r="J199" s="5344"/>
      <c r="K199" s="5344"/>
      <c r="L199" s="5344"/>
      <c r="M199" s="5344"/>
    </row>
    <row r="200" spans="2:13" x14ac:dyDescent="0.25">
      <c r="B200" s="6654"/>
      <c r="C200" s="5986" t="s">
        <v>103</v>
      </c>
      <c r="D200" s="5344"/>
      <c r="E200" s="5344"/>
      <c r="F200" s="5344"/>
      <c r="G200" s="5344"/>
      <c r="H200" s="5344"/>
      <c r="I200" s="5344"/>
      <c r="J200" s="5344"/>
      <c r="K200" s="5344"/>
      <c r="L200" s="5344"/>
      <c r="M200" s="5344"/>
    </row>
    <row r="201" spans="2:13" x14ac:dyDescent="0.25">
      <c r="B201" s="6654"/>
      <c r="C201" s="5986" t="s">
        <v>60</v>
      </c>
      <c r="D201" s="5344"/>
      <c r="E201" s="5344"/>
      <c r="F201" s="5344"/>
      <c r="G201" s="5344"/>
      <c r="H201" s="5344"/>
      <c r="I201" s="5344">
        <v>20.58</v>
      </c>
      <c r="J201" s="5344"/>
      <c r="K201" s="5344"/>
      <c r="L201" s="5344"/>
      <c r="M201" s="5344"/>
    </row>
    <row r="202" spans="2:13" ht="29.25" x14ac:dyDescent="0.25">
      <c r="B202" s="6654"/>
      <c r="C202" s="5986" t="s">
        <v>2063</v>
      </c>
      <c r="D202" s="5344"/>
      <c r="E202" s="5344"/>
      <c r="F202" s="5344"/>
      <c r="G202" s="5344"/>
      <c r="H202" s="5344"/>
      <c r="I202" s="5344">
        <v>138.47</v>
      </c>
      <c r="J202" s="5344"/>
      <c r="K202" s="5344"/>
      <c r="L202" s="5344"/>
      <c r="M202" s="5344"/>
    </row>
    <row r="203" spans="2:13" x14ac:dyDescent="0.25">
      <c r="B203" s="6654"/>
      <c r="C203" s="5989" t="s">
        <v>2064</v>
      </c>
      <c r="D203" s="5971">
        <f>SUM(D183:D202)</f>
        <v>34.22</v>
      </c>
      <c r="E203" s="5971">
        <f t="shared" ref="E203" si="35">SUM(E183:E202)</f>
        <v>108.64000000000001</v>
      </c>
      <c r="F203" s="5971"/>
      <c r="G203" s="5971">
        <f t="shared" ref="G203" si="36">SUM(G183:G202)</f>
        <v>37</v>
      </c>
      <c r="H203" s="5971"/>
      <c r="I203" s="5971">
        <f t="shared" ref="I203" si="37">SUM(I183:I202)</f>
        <v>651.96</v>
      </c>
      <c r="J203" s="5971"/>
      <c r="K203" s="5971">
        <f t="shared" ref="K203:M203" si="38">SUM(K183:K202)</f>
        <v>168.51666666666665</v>
      </c>
      <c r="L203" s="5971">
        <f t="shared" si="38"/>
        <v>238.74999999999997</v>
      </c>
      <c r="M203" s="5972">
        <f t="shared" si="38"/>
        <v>259.91666666666669</v>
      </c>
    </row>
    <row r="204" spans="2:13" x14ac:dyDescent="0.25">
      <c r="B204" s="5852"/>
      <c r="C204" s="6003" t="s">
        <v>2067</v>
      </c>
      <c r="D204" s="5985">
        <f>D203+D156+D179</f>
        <v>191.06</v>
      </c>
      <c r="E204" s="5985">
        <f>E203+E156+E179</f>
        <v>269.77</v>
      </c>
      <c r="F204" s="5985"/>
      <c r="G204" s="5985">
        <f>G203+G156+G179</f>
        <v>49</v>
      </c>
      <c r="H204" s="5985"/>
      <c r="I204" s="5985">
        <f>I203+I156+I179</f>
        <v>1829.21</v>
      </c>
      <c r="J204" s="5985"/>
      <c r="K204" s="5985">
        <f>K203+K156+K179</f>
        <v>582.31666666666661</v>
      </c>
      <c r="L204" s="5985">
        <f>L203+L156+L179</f>
        <v>607.66666666666663</v>
      </c>
      <c r="M204" s="5985">
        <f>M203+M156+M179</f>
        <v>798.63333333333344</v>
      </c>
    </row>
    <row r="205" spans="2:13" x14ac:dyDescent="0.25">
      <c r="B205" s="346"/>
      <c r="C205" s="6003" t="s">
        <v>520</v>
      </c>
      <c r="D205" s="5985">
        <f>D204+D133</f>
        <v>641.01</v>
      </c>
      <c r="E205" s="5985">
        <f>E204+E133</f>
        <v>592.04999999999995</v>
      </c>
      <c r="F205" s="5985"/>
      <c r="G205" s="5985">
        <f>G204+G133</f>
        <v>228.9</v>
      </c>
      <c r="H205" s="5985"/>
      <c r="I205" s="5985">
        <f>I204+I133</f>
        <v>5124.25</v>
      </c>
      <c r="J205" s="5985"/>
      <c r="K205" s="5985">
        <f>K204+K133</f>
        <v>1417.8666666666666</v>
      </c>
      <c r="L205" s="5985">
        <f>L204+L133</f>
        <v>1410.8166666666666</v>
      </c>
      <c r="M205" s="5985">
        <f>M204+M133</f>
        <v>1768.4666666666667</v>
      </c>
    </row>
    <row r="206" spans="2:13" x14ac:dyDescent="0.25">
      <c r="B206" s="6654">
        <v>45200</v>
      </c>
      <c r="C206" s="5938" t="s">
        <v>2037</v>
      </c>
      <c r="D206" s="5994" t="s">
        <v>2037</v>
      </c>
      <c r="E206" s="5701"/>
      <c r="F206" s="5701"/>
      <c r="G206" s="5701"/>
      <c r="H206" s="5701"/>
      <c r="I206" s="5701"/>
      <c r="J206" s="5701"/>
      <c r="K206" s="5701"/>
      <c r="L206" s="5994" t="s">
        <v>2037</v>
      </c>
      <c r="M206" s="5994"/>
    </row>
    <row r="207" spans="2:13" x14ac:dyDescent="0.25">
      <c r="B207" s="6654"/>
      <c r="C207" s="6001"/>
      <c r="D207" s="5939" t="s">
        <v>2038</v>
      </c>
      <c r="E207" s="5939" t="s">
        <v>2039</v>
      </c>
      <c r="F207" s="5939"/>
      <c r="G207" s="5939" t="s">
        <v>2040</v>
      </c>
      <c r="H207" s="5939"/>
      <c r="I207" s="5939" t="s">
        <v>1112</v>
      </c>
      <c r="J207" s="5939"/>
      <c r="K207" s="5939" t="s">
        <v>61</v>
      </c>
      <c r="L207" s="5939" t="s">
        <v>98</v>
      </c>
      <c r="M207" s="5939" t="s">
        <v>1384</v>
      </c>
    </row>
    <row r="208" spans="2:13" x14ac:dyDescent="0.25">
      <c r="B208" s="6654"/>
      <c r="C208" s="5986" t="s">
        <v>2048</v>
      </c>
      <c r="D208" s="5978">
        <v>24</v>
      </c>
      <c r="E208" s="5344">
        <v>11.75</v>
      </c>
      <c r="F208" s="5344"/>
      <c r="G208" s="5344">
        <v>12</v>
      </c>
      <c r="H208" s="5344"/>
      <c r="I208" s="5344">
        <v>287.15999999999997</v>
      </c>
      <c r="J208" s="5344"/>
      <c r="K208" s="5344">
        <v>112.03333333333333</v>
      </c>
      <c r="L208" s="5978">
        <v>158.28333333333333</v>
      </c>
      <c r="M208" s="5978">
        <v>162.16666666666666</v>
      </c>
    </row>
    <row r="209" spans="2:13" x14ac:dyDescent="0.25">
      <c r="B209" s="6654"/>
      <c r="C209" s="5986" t="s">
        <v>2049</v>
      </c>
      <c r="D209" s="5978"/>
      <c r="E209" s="5344"/>
      <c r="F209" s="5344"/>
      <c r="G209" s="5344"/>
      <c r="H209" s="5344"/>
      <c r="I209" s="5344">
        <v>370.75</v>
      </c>
      <c r="J209" s="5344"/>
      <c r="K209" s="5344"/>
      <c r="L209" s="5978"/>
      <c r="M209" s="5978"/>
    </row>
    <row r="210" spans="2:13" x14ac:dyDescent="0.25">
      <c r="B210" s="6654"/>
      <c r="C210" s="5986" t="s">
        <v>2050</v>
      </c>
      <c r="D210" s="5978">
        <v>0.75</v>
      </c>
      <c r="E210" s="5344">
        <v>0.5</v>
      </c>
      <c r="F210" s="5344"/>
      <c r="G210" s="5344"/>
      <c r="H210" s="5344"/>
      <c r="I210" s="5344"/>
      <c r="J210" s="5344"/>
      <c r="K210" s="5344">
        <v>20.816666666666666</v>
      </c>
      <c r="L210" s="5978">
        <v>42.633333333333333</v>
      </c>
      <c r="M210" s="5978">
        <v>12.083333333333334</v>
      </c>
    </row>
    <row r="211" spans="2:13" x14ac:dyDescent="0.25">
      <c r="B211" s="6654"/>
      <c r="C211" s="5986" t="s">
        <v>474</v>
      </c>
      <c r="D211" s="5978"/>
      <c r="E211" s="5344"/>
      <c r="F211" s="5344"/>
      <c r="G211" s="5344"/>
      <c r="H211" s="5344"/>
      <c r="I211" s="5344"/>
      <c r="J211" s="5344"/>
      <c r="K211" s="5344"/>
      <c r="L211" s="5344"/>
      <c r="M211" s="5344"/>
    </row>
    <row r="212" spans="2:13" x14ac:dyDescent="0.25">
      <c r="B212" s="6654"/>
      <c r="C212" s="5986" t="s">
        <v>2051</v>
      </c>
      <c r="D212" s="5978"/>
      <c r="E212" s="5344"/>
      <c r="F212" s="5344"/>
      <c r="G212" s="5344"/>
      <c r="H212" s="5344"/>
      <c r="I212" s="5344"/>
      <c r="J212" s="5344"/>
      <c r="K212" s="5344"/>
      <c r="L212" s="5344"/>
      <c r="M212" s="5344"/>
    </row>
    <row r="213" spans="2:13" x14ac:dyDescent="0.25">
      <c r="B213" s="6654"/>
      <c r="C213" s="5986" t="s">
        <v>2052</v>
      </c>
      <c r="D213" s="5344">
        <v>1</v>
      </c>
      <c r="E213" s="5344">
        <v>0.5</v>
      </c>
      <c r="F213" s="5344"/>
      <c r="G213" s="5344"/>
      <c r="H213" s="5344"/>
      <c r="I213" s="5344"/>
      <c r="J213" s="5344"/>
      <c r="K213" s="5344">
        <v>35.68333333333333</v>
      </c>
      <c r="L213" s="5978">
        <v>53.06666666666667</v>
      </c>
      <c r="M213" s="5978">
        <v>24.25</v>
      </c>
    </row>
    <row r="214" spans="2:13" x14ac:dyDescent="0.25">
      <c r="B214" s="6654"/>
      <c r="C214" s="5986" t="s">
        <v>2053</v>
      </c>
      <c r="D214" s="5978"/>
      <c r="E214" s="5344"/>
      <c r="F214" s="5344"/>
      <c r="G214" s="5344"/>
      <c r="H214" s="5344"/>
      <c r="I214" s="5344">
        <v>5.0999999999999996</v>
      </c>
      <c r="J214" s="5344"/>
      <c r="K214" s="5344">
        <v>13.9</v>
      </c>
      <c r="L214" s="5978">
        <v>9.1833333333333336</v>
      </c>
      <c r="M214" s="5978">
        <v>19.916666666666668</v>
      </c>
    </row>
    <row r="215" spans="2:13" x14ac:dyDescent="0.25">
      <c r="B215" s="6654"/>
      <c r="C215" s="5986" t="s">
        <v>2054</v>
      </c>
      <c r="D215" s="5344"/>
      <c r="E215" s="5344"/>
      <c r="F215" s="5344"/>
      <c r="G215" s="5344"/>
      <c r="H215" s="5344"/>
      <c r="I215" s="5344"/>
      <c r="J215" s="5344"/>
      <c r="K215" s="5344"/>
      <c r="L215" s="5344"/>
      <c r="M215" s="5344"/>
    </row>
    <row r="216" spans="2:13" x14ac:dyDescent="0.25">
      <c r="B216" s="6654"/>
      <c r="C216" s="5986" t="s">
        <v>2055</v>
      </c>
      <c r="D216" s="5978"/>
      <c r="E216" s="5344">
        <v>9.75</v>
      </c>
      <c r="F216" s="5344"/>
      <c r="G216" s="5344"/>
      <c r="H216" s="5344"/>
      <c r="I216" s="5344"/>
      <c r="J216" s="5344"/>
      <c r="K216" s="5344"/>
      <c r="L216" s="5344"/>
      <c r="M216" s="5344"/>
    </row>
    <row r="217" spans="2:13" x14ac:dyDescent="0.25">
      <c r="B217" s="6654"/>
      <c r="C217" s="5966" t="s">
        <v>2056</v>
      </c>
      <c r="D217" s="5344"/>
      <c r="E217" s="5344"/>
      <c r="F217" s="5967"/>
      <c r="G217" s="5344"/>
      <c r="H217" s="5968"/>
      <c r="I217" s="5344"/>
      <c r="J217" s="5967"/>
      <c r="K217" s="5344"/>
      <c r="L217" s="5344"/>
      <c r="M217" s="5344"/>
    </row>
    <row r="218" spans="2:13" x14ac:dyDescent="0.25">
      <c r="B218" s="6654"/>
      <c r="C218" s="5986" t="s">
        <v>2057</v>
      </c>
      <c r="D218" s="5344"/>
      <c r="E218" s="5344"/>
      <c r="F218" s="5344"/>
      <c r="G218" s="5344"/>
      <c r="H218" s="5344"/>
      <c r="I218" s="5344"/>
      <c r="J218" s="5344"/>
      <c r="K218" s="5344">
        <v>15.2</v>
      </c>
      <c r="L218" s="5978">
        <v>20.45</v>
      </c>
      <c r="M218" s="5978">
        <v>53.083333333333336</v>
      </c>
    </row>
    <row r="219" spans="2:13" x14ac:dyDescent="0.25">
      <c r="B219" s="6654"/>
      <c r="C219" s="5986" t="s">
        <v>2058</v>
      </c>
      <c r="D219" s="6002">
        <v>0.5</v>
      </c>
      <c r="E219" s="5319">
        <v>0.5</v>
      </c>
      <c r="F219" s="5344"/>
      <c r="G219" s="5344"/>
      <c r="H219" s="5344"/>
      <c r="I219" s="5344"/>
      <c r="J219" s="5344"/>
      <c r="K219" s="5344">
        <v>0.66666666666666663</v>
      </c>
      <c r="L219" s="5978">
        <v>7.3</v>
      </c>
      <c r="M219" s="5978">
        <v>6.333333333333333</v>
      </c>
    </row>
    <row r="220" spans="2:13" x14ac:dyDescent="0.25">
      <c r="B220" s="6654"/>
      <c r="C220" s="5986" t="s">
        <v>2059</v>
      </c>
      <c r="D220" s="5319">
        <v>0.25</v>
      </c>
      <c r="E220" s="5344"/>
      <c r="F220" s="5344"/>
      <c r="G220" s="5344"/>
      <c r="H220" s="5344"/>
      <c r="I220" s="5319">
        <v>0.25</v>
      </c>
      <c r="J220" s="5344"/>
      <c r="K220" s="5344"/>
      <c r="L220" s="5344"/>
      <c r="M220" s="5344"/>
    </row>
    <row r="221" spans="2:13" x14ac:dyDescent="0.25">
      <c r="B221" s="6654"/>
      <c r="C221" s="5986" t="s">
        <v>2060</v>
      </c>
      <c r="D221" s="5319"/>
      <c r="E221" s="5344"/>
      <c r="F221" s="5344"/>
      <c r="G221" s="5344"/>
      <c r="H221" s="5344"/>
      <c r="I221" s="5319">
        <v>0.15</v>
      </c>
      <c r="J221" s="5344"/>
      <c r="K221" s="5344"/>
      <c r="L221" s="5344"/>
      <c r="M221" s="5344"/>
    </row>
    <row r="222" spans="2:13" x14ac:dyDescent="0.25">
      <c r="B222" s="6654"/>
      <c r="C222" s="5986" t="s">
        <v>2061</v>
      </c>
      <c r="D222" s="5978">
        <v>13.25</v>
      </c>
      <c r="E222" s="5344">
        <v>16.75</v>
      </c>
      <c r="F222" s="5344"/>
      <c r="G222" s="5344"/>
      <c r="H222" s="5344"/>
      <c r="I222" s="5344"/>
      <c r="J222" s="5344"/>
      <c r="K222" s="5344"/>
      <c r="L222" s="5344"/>
      <c r="M222" s="5344"/>
    </row>
    <row r="223" spans="2:13" x14ac:dyDescent="0.25">
      <c r="B223" s="6654"/>
      <c r="C223" s="5986" t="s">
        <v>84</v>
      </c>
      <c r="D223" s="5344">
        <v>28.83</v>
      </c>
      <c r="E223" s="5344">
        <v>18.829999999999998</v>
      </c>
      <c r="F223" s="5344"/>
      <c r="G223" s="5344"/>
      <c r="H223" s="5344"/>
      <c r="I223" s="5344"/>
      <c r="J223" s="5344"/>
      <c r="K223" s="5344"/>
      <c r="L223" s="5344"/>
      <c r="M223" s="5344"/>
    </row>
    <row r="224" spans="2:13" x14ac:dyDescent="0.25">
      <c r="B224" s="6654"/>
      <c r="C224" s="5986" t="s">
        <v>2062</v>
      </c>
      <c r="D224" s="5344"/>
      <c r="E224" s="5344"/>
      <c r="F224" s="5344"/>
      <c r="G224" s="5344"/>
      <c r="H224" s="5344"/>
      <c r="I224" s="5344">
        <v>5.5</v>
      </c>
      <c r="J224" s="5344"/>
      <c r="K224" s="5344"/>
      <c r="L224" s="5344"/>
      <c r="M224" s="5344"/>
    </row>
    <row r="225" spans="2:13" x14ac:dyDescent="0.25">
      <c r="B225" s="6654"/>
      <c r="C225" s="5986" t="s">
        <v>103</v>
      </c>
      <c r="D225" s="5344"/>
      <c r="E225" s="5344"/>
      <c r="F225" s="5344"/>
      <c r="G225" s="5344"/>
      <c r="H225" s="5344"/>
      <c r="I225" s="5344"/>
      <c r="J225" s="5344"/>
      <c r="K225" s="5344"/>
      <c r="L225" s="5344"/>
      <c r="M225" s="5344"/>
    </row>
    <row r="226" spans="2:13" x14ac:dyDescent="0.25">
      <c r="B226" s="6654"/>
      <c r="C226" s="5986" t="s">
        <v>60</v>
      </c>
      <c r="D226" s="5344"/>
      <c r="E226" s="5344"/>
      <c r="F226" s="5344"/>
      <c r="G226" s="5344"/>
      <c r="H226" s="5344"/>
      <c r="I226" s="5344">
        <v>5.29</v>
      </c>
      <c r="J226" s="5344"/>
      <c r="K226" s="5344"/>
      <c r="L226" s="5344"/>
      <c r="M226" s="5344"/>
    </row>
    <row r="227" spans="2:13" ht="29.25" x14ac:dyDescent="0.25">
      <c r="B227" s="6654"/>
      <c r="C227" s="5986" t="s">
        <v>2063</v>
      </c>
      <c r="D227" s="5344"/>
      <c r="E227" s="5344"/>
      <c r="F227" s="5344"/>
      <c r="G227" s="5344"/>
      <c r="H227" s="5344"/>
      <c r="I227" s="5344">
        <v>59.16</v>
      </c>
      <c r="J227" s="5344"/>
      <c r="K227" s="5344"/>
      <c r="L227" s="5344"/>
      <c r="M227" s="5344"/>
    </row>
    <row r="228" spans="2:13" x14ac:dyDescent="0.25">
      <c r="B228" s="6654"/>
      <c r="C228" s="5989" t="s">
        <v>2064</v>
      </c>
      <c r="D228" s="5971">
        <f>SUM(D208:D227)</f>
        <v>68.58</v>
      </c>
      <c r="E228" s="5971">
        <f t="shared" ref="E228" si="39">SUM(E208:E227)</f>
        <v>58.58</v>
      </c>
      <c r="F228" s="5971"/>
      <c r="G228" s="5971">
        <f t="shared" ref="G228" si="40">SUM(G208:G227)</f>
        <v>12</v>
      </c>
      <c r="H228" s="5971"/>
      <c r="I228" s="5971">
        <f t="shared" ref="I228" si="41">SUM(I208:I227)</f>
        <v>733.3599999999999</v>
      </c>
      <c r="J228" s="5971"/>
      <c r="K228" s="5972">
        <f t="shared" ref="K228:M228" si="42">SUM(K208:K227)</f>
        <v>198.29999999999998</v>
      </c>
      <c r="L228" s="5972">
        <f t="shared" si="42"/>
        <v>290.91666666666663</v>
      </c>
      <c r="M228" s="5972">
        <f t="shared" si="42"/>
        <v>277.83333333333331</v>
      </c>
    </row>
    <row r="229" spans="2:13" x14ac:dyDescent="0.25">
      <c r="B229" s="5852"/>
      <c r="C229" s="5984" t="s">
        <v>2068</v>
      </c>
      <c r="D229" s="5985">
        <f>D86+D109+D132+D156+D179+D203+D228</f>
        <v>709.59</v>
      </c>
      <c r="E229" s="5985">
        <f>E86+E109+E132+E156+E179+E203+E228</f>
        <v>650.63</v>
      </c>
      <c r="F229" s="5985"/>
      <c r="G229" s="5985">
        <f>G86+G109+G132+G156+G179+G203+G228</f>
        <v>240.9</v>
      </c>
      <c r="H229" s="5985"/>
      <c r="I229" s="5985">
        <f>I86+I109+I132+I156+I179+I203+I228</f>
        <v>5857.61</v>
      </c>
      <c r="J229" s="5985"/>
      <c r="K229" s="5985">
        <f>K86+K109+K132+K156+K179+K203+K228</f>
        <v>1616.1666666666665</v>
      </c>
      <c r="L229" s="5985">
        <f>L86+L109+L132+L156+L179+L203+L228</f>
        <v>1701.7333333333331</v>
      </c>
      <c r="M229" s="5985">
        <f>M86+M109+M132+M156+M179+M203+M228</f>
        <v>2046.2999999999997</v>
      </c>
    </row>
    <row r="230" spans="2:13" x14ac:dyDescent="0.25">
      <c r="B230" s="6654">
        <v>45231</v>
      </c>
      <c r="C230" s="5938" t="s">
        <v>2037</v>
      </c>
      <c r="D230" s="5994" t="s">
        <v>2037</v>
      </c>
      <c r="E230" s="5701"/>
      <c r="F230" s="5701"/>
      <c r="G230" s="5701"/>
      <c r="H230" s="5701"/>
      <c r="I230" s="5701"/>
      <c r="J230" s="5701"/>
      <c r="K230" s="5701"/>
      <c r="L230" s="5994" t="s">
        <v>2037</v>
      </c>
      <c r="M230" s="5994"/>
    </row>
    <row r="231" spans="2:13" x14ac:dyDescent="0.25">
      <c r="B231" s="6654"/>
      <c r="C231" s="6001"/>
      <c r="D231" s="5939" t="s">
        <v>2038</v>
      </c>
      <c r="E231" s="5939" t="s">
        <v>2039</v>
      </c>
      <c r="F231" s="5939"/>
      <c r="G231" s="5939" t="s">
        <v>2040</v>
      </c>
      <c r="H231" s="5939"/>
      <c r="I231" s="5939" t="s">
        <v>1112</v>
      </c>
      <c r="J231" s="5939"/>
      <c r="K231" s="5939" t="s">
        <v>61</v>
      </c>
      <c r="L231" s="5939" t="s">
        <v>98</v>
      </c>
      <c r="M231" s="5939" t="s">
        <v>1384</v>
      </c>
    </row>
    <row r="232" spans="2:13" x14ac:dyDescent="0.25">
      <c r="B232" s="6654"/>
      <c r="C232" s="5986" t="s">
        <v>2048</v>
      </c>
      <c r="D232" s="5978">
        <v>30.92</v>
      </c>
      <c r="E232" s="5344">
        <v>14</v>
      </c>
      <c r="F232" s="5344"/>
      <c r="G232" s="5344">
        <v>24</v>
      </c>
      <c r="H232" s="5344"/>
      <c r="I232" s="5344">
        <v>689.4</v>
      </c>
      <c r="J232" s="5344"/>
      <c r="K232" s="5344">
        <v>144.4</v>
      </c>
      <c r="L232" s="5978">
        <v>153.13333333333333</v>
      </c>
      <c r="M232" s="5978">
        <v>115</v>
      </c>
    </row>
    <row r="233" spans="2:13" x14ac:dyDescent="0.25">
      <c r="B233" s="6654"/>
      <c r="C233" s="5986" t="s">
        <v>2049</v>
      </c>
      <c r="D233" s="5978"/>
      <c r="E233" s="5344"/>
      <c r="F233" s="5344"/>
      <c r="G233" s="5344"/>
      <c r="H233" s="5344"/>
      <c r="I233" s="5344"/>
      <c r="J233" s="5344"/>
      <c r="K233" s="5344"/>
      <c r="L233" s="5978"/>
      <c r="M233" s="5978"/>
    </row>
    <row r="234" spans="2:13" x14ac:dyDescent="0.25">
      <c r="B234" s="6654"/>
      <c r="C234" s="5986" t="s">
        <v>2050</v>
      </c>
      <c r="D234" s="5978">
        <v>0.92</v>
      </c>
      <c r="E234" s="5344">
        <v>0.83</v>
      </c>
      <c r="F234" s="5344"/>
      <c r="G234" s="5344"/>
      <c r="H234" s="5344"/>
      <c r="I234" s="5344"/>
      <c r="J234" s="5344"/>
      <c r="K234" s="5344">
        <v>10.65</v>
      </c>
      <c r="L234" s="5978">
        <v>40.283333333333331</v>
      </c>
      <c r="M234" s="5978">
        <v>29.083333333333332</v>
      </c>
    </row>
    <row r="235" spans="2:13" x14ac:dyDescent="0.25">
      <c r="B235" s="6654"/>
      <c r="C235" s="5986" t="s">
        <v>474</v>
      </c>
      <c r="D235" s="5978"/>
      <c r="E235" s="5344"/>
      <c r="F235" s="5344"/>
      <c r="G235" s="5344"/>
      <c r="H235" s="5344"/>
      <c r="I235" s="5344"/>
      <c r="J235" s="5344"/>
      <c r="K235" s="5344"/>
      <c r="L235" s="5344"/>
      <c r="M235" s="5344"/>
    </row>
    <row r="236" spans="2:13" x14ac:dyDescent="0.25">
      <c r="B236" s="6654"/>
      <c r="C236" s="5986" t="s">
        <v>2051</v>
      </c>
      <c r="D236" s="5978"/>
      <c r="E236" s="5344"/>
      <c r="F236" s="5344"/>
      <c r="G236" s="5344"/>
      <c r="H236" s="5344"/>
      <c r="I236" s="5344"/>
      <c r="J236" s="5344"/>
      <c r="K236" s="5344"/>
      <c r="L236" s="5344"/>
      <c r="M236" s="5344"/>
    </row>
    <row r="237" spans="2:13" x14ac:dyDescent="0.25">
      <c r="B237" s="6654"/>
      <c r="C237" s="5986" t="s">
        <v>2052</v>
      </c>
      <c r="D237" s="5344">
        <v>2.09</v>
      </c>
      <c r="E237" s="5344">
        <v>32.75</v>
      </c>
      <c r="F237" s="5344"/>
      <c r="G237" s="5344"/>
      <c r="H237" s="5344"/>
      <c r="I237" s="5344">
        <v>1.1200000000000001</v>
      </c>
      <c r="J237" s="5344"/>
      <c r="K237" s="5344">
        <v>21.933333333333334</v>
      </c>
      <c r="L237" s="5978">
        <v>48.883333333333333</v>
      </c>
      <c r="M237" s="5978">
        <v>28.75</v>
      </c>
    </row>
    <row r="238" spans="2:13" x14ac:dyDescent="0.25">
      <c r="B238" s="6654"/>
      <c r="C238" s="5986" t="s">
        <v>2053</v>
      </c>
      <c r="D238" s="5978">
        <v>0.67</v>
      </c>
      <c r="E238" s="5344">
        <v>2.08</v>
      </c>
      <c r="F238" s="5344"/>
      <c r="G238" s="5344"/>
      <c r="H238" s="5344"/>
      <c r="I238" s="5344">
        <v>11.7</v>
      </c>
      <c r="J238" s="5344"/>
      <c r="K238" s="5344">
        <v>5.3</v>
      </c>
      <c r="L238" s="5978">
        <v>12.116666666666667</v>
      </c>
      <c r="M238" s="5978">
        <v>15</v>
      </c>
    </row>
    <row r="239" spans="2:13" x14ac:dyDescent="0.25">
      <c r="B239" s="6654"/>
      <c r="C239" s="5986" t="s">
        <v>2054</v>
      </c>
      <c r="D239" s="5344"/>
      <c r="E239" s="5344"/>
      <c r="F239" s="5344"/>
      <c r="G239" s="5344"/>
      <c r="H239" s="5344"/>
      <c r="I239" s="5344"/>
      <c r="J239" s="5344"/>
      <c r="K239" s="5344"/>
      <c r="L239" s="5344"/>
      <c r="M239" s="5344"/>
    </row>
    <row r="240" spans="2:13" x14ac:dyDescent="0.25">
      <c r="B240" s="6654"/>
      <c r="C240" s="5986" t="s">
        <v>2055</v>
      </c>
      <c r="D240" s="5978">
        <v>19.170000000000002</v>
      </c>
      <c r="E240" s="5344">
        <v>13.5</v>
      </c>
      <c r="F240" s="5344"/>
      <c r="G240" s="5344"/>
      <c r="H240" s="5344"/>
      <c r="I240" s="5344"/>
      <c r="J240" s="5344"/>
      <c r="K240" s="5344"/>
      <c r="L240" s="5344"/>
      <c r="M240" s="5344"/>
    </row>
    <row r="241" spans="2:13" x14ac:dyDescent="0.25">
      <c r="B241" s="6654"/>
      <c r="C241" s="5966" t="s">
        <v>2056</v>
      </c>
      <c r="D241" s="5344"/>
      <c r="E241" s="5344"/>
      <c r="F241" s="5967"/>
      <c r="G241" s="5344"/>
      <c r="H241" s="5968"/>
      <c r="I241" s="5344"/>
      <c r="J241" s="5967"/>
      <c r="K241" s="5344"/>
      <c r="L241" s="5344"/>
      <c r="M241" s="5344"/>
    </row>
    <row r="242" spans="2:13" x14ac:dyDescent="0.25">
      <c r="B242" s="6654"/>
      <c r="C242" s="5986" t="s">
        <v>2057</v>
      </c>
      <c r="D242" s="5344"/>
      <c r="E242" s="5344"/>
      <c r="F242" s="5344"/>
      <c r="G242" s="5344"/>
      <c r="H242" s="5344"/>
      <c r="I242" s="5344"/>
      <c r="J242" s="5344"/>
      <c r="K242" s="5344">
        <v>32.1</v>
      </c>
      <c r="L242" s="5978">
        <v>13.05</v>
      </c>
      <c r="M242" s="5978">
        <v>36.833333333333336</v>
      </c>
    </row>
    <row r="243" spans="2:13" x14ac:dyDescent="0.25">
      <c r="B243" s="6654"/>
      <c r="C243" s="5986" t="s">
        <v>2058</v>
      </c>
      <c r="D243" s="6002"/>
      <c r="E243" s="5319"/>
      <c r="F243" s="5344"/>
      <c r="G243" s="5344"/>
      <c r="H243" s="5344"/>
      <c r="I243" s="5344"/>
      <c r="J243" s="5344"/>
      <c r="K243" s="5344"/>
      <c r="L243" s="5978">
        <v>2.1</v>
      </c>
      <c r="M243" s="5978">
        <v>1.6666666666666665</v>
      </c>
    </row>
    <row r="244" spans="2:13" x14ac:dyDescent="0.25">
      <c r="B244" s="6654"/>
      <c r="C244" s="5986" t="s">
        <v>2059</v>
      </c>
      <c r="D244" s="5319"/>
      <c r="E244" s="5344"/>
      <c r="F244" s="5344"/>
      <c r="G244" s="5344"/>
      <c r="H244" s="5344"/>
      <c r="I244" s="5319"/>
      <c r="J244" s="5344"/>
      <c r="K244" s="5344"/>
      <c r="L244" s="5344"/>
      <c r="M244" s="5344"/>
    </row>
    <row r="245" spans="2:13" x14ac:dyDescent="0.25">
      <c r="B245" s="6654"/>
      <c r="C245" s="5986" t="s">
        <v>2060</v>
      </c>
      <c r="D245" s="5319"/>
      <c r="E245" s="5344"/>
      <c r="F245" s="5344"/>
      <c r="G245" s="5344"/>
      <c r="H245" s="5344"/>
      <c r="I245" s="5319"/>
      <c r="J245" s="5344"/>
      <c r="K245" s="5344"/>
      <c r="L245" s="5344"/>
      <c r="M245" s="5344"/>
    </row>
    <row r="246" spans="2:13" x14ac:dyDescent="0.25">
      <c r="B246" s="6654"/>
      <c r="C246" s="5986" t="s">
        <v>2061</v>
      </c>
      <c r="D246" s="5978"/>
      <c r="E246" s="5344"/>
      <c r="F246" s="5344"/>
      <c r="G246" s="5344"/>
      <c r="H246" s="5344"/>
      <c r="I246" s="5344"/>
      <c r="J246" s="5344"/>
      <c r="K246" s="5344"/>
      <c r="L246" s="5344"/>
      <c r="M246" s="5344"/>
    </row>
    <row r="247" spans="2:13" x14ac:dyDescent="0.25">
      <c r="B247" s="6654"/>
      <c r="C247" s="5986" t="s">
        <v>84</v>
      </c>
      <c r="D247" s="5344">
        <v>2</v>
      </c>
      <c r="E247" s="5344">
        <v>1.67</v>
      </c>
      <c r="F247" s="5344"/>
      <c r="G247" s="5344"/>
      <c r="H247" s="5344"/>
      <c r="I247" s="5344"/>
      <c r="J247" s="5344"/>
      <c r="K247" s="5344"/>
      <c r="L247" s="5344"/>
      <c r="M247" s="5344"/>
    </row>
    <row r="248" spans="2:13" x14ac:dyDescent="0.25">
      <c r="B248" s="6654"/>
      <c r="C248" s="5986" t="s">
        <v>2062</v>
      </c>
      <c r="D248" s="5344"/>
      <c r="E248" s="5344"/>
      <c r="F248" s="5344"/>
      <c r="G248" s="5344"/>
      <c r="H248" s="5344"/>
      <c r="I248" s="5344">
        <v>8.43</v>
      </c>
      <c r="J248" s="5344"/>
      <c r="K248" s="5344"/>
      <c r="L248" s="5344"/>
      <c r="M248" s="5344"/>
    </row>
    <row r="249" spans="2:13" x14ac:dyDescent="0.25">
      <c r="B249" s="6654"/>
      <c r="C249" s="5986" t="s">
        <v>103</v>
      </c>
      <c r="D249" s="5344"/>
      <c r="E249" s="5344"/>
      <c r="F249" s="5344"/>
      <c r="G249" s="5344"/>
      <c r="H249" s="5344"/>
      <c r="I249" s="5344"/>
      <c r="J249" s="5344"/>
      <c r="K249" s="5344"/>
      <c r="L249" s="5344"/>
      <c r="M249" s="5344"/>
    </row>
    <row r="250" spans="2:13" x14ac:dyDescent="0.25">
      <c r="B250" s="6654"/>
      <c r="C250" s="5986" t="s">
        <v>60</v>
      </c>
      <c r="D250" s="5344"/>
      <c r="E250" s="5344"/>
      <c r="F250" s="5344"/>
      <c r="G250" s="5344"/>
      <c r="H250" s="5344"/>
      <c r="I250" s="5344">
        <v>10.6</v>
      </c>
      <c r="J250" s="5344"/>
      <c r="K250" s="5344"/>
      <c r="L250" s="5344"/>
      <c r="M250" s="5344"/>
    </row>
    <row r="251" spans="2:13" ht="29.25" x14ac:dyDescent="0.25">
      <c r="B251" s="6654"/>
      <c r="C251" s="5986" t="s">
        <v>2063</v>
      </c>
      <c r="D251" s="5344"/>
      <c r="E251" s="5344"/>
      <c r="F251" s="5344"/>
      <c r="G251" s="5344"/>
      <c r="H251" s="5344"/>
      <c r="I251" s="5344">
        <v>99.75</v>
      </c>
      <c r="J251" s="5344"/>
      <c r="K251" s="5344"/>
      <c r="L251" s="5344"/>
      <c r="M251" s="5344"/>
    </row>
    <row r="252" spans="2:13" x14ac:dyDescent="0.25">
      <c r="B252" s="6654"/>
      <c r="C252" s="5989" t="s">
        <v>2064</v>
      </c>
      <c r="D252" s="5971">
        <f>SUM(D232:D251)</f>
        <v>55.77000000000001</v>
      </c>
      <c r="E252" s="5971">
        <f t="shared" ref="E252" si="43">SUM(E232:E251)</f>
        <v>64.83</v>
      </c>
      <c r="F252" s="5971"/>
      <c r="G252" s="5971">
        <f t="shared" ref="G252" si="44">SUM(G232:G251)</f>
        <v>24</v>
      </c>
      <c r="H252" s="5971"/>
      <c r="I252" s="5971">
        <f t="shared" ref="I252" si="45">SUM(I232:I251)</f>
        <v>821</v>
      </c>
      <c r="J252" s="5971"/>
      <c r="K252" s="5972">
        <f t="shared" ref="K252:M252" si="46">SUM(K232:K251)</f>
        <v>214.38333333333335</v>
      </c>
      <c r="L252" s="5972">
        <f t="shared" si="46"/>
        <v>269.56666666666666</v>
      </c>
      <c r="M252" s="5972">
        <f t="shared" si="46"/>
        <v>226.33333333333334</v>
      </c>
    </row>
    <row r="253" spans="2:13" x14ac:dyDescent="0.25">
      <c r="B253" s="5852"/>
      <c r="C253" s="5984" t="s">
        <v>2069</v>
      </c>
      <c r="D253" s="5985">
        <f>D252+D228+D203+D179+D156+D132+D109+D86</f>
        <v>765.36</v>
      </c>
      <c r="E253" s="5985">
        <f>E252+E228+E203+E179+E156+E132+E109+E86</f>
        <v>715.46000000000015</v>
      </c>
      <c r="F253" s="5985"/>
      <c r="G253" s="5985">
        <f>G252+G228+G203+G179+G156+G132+G109+G86</f>
        <v>264.89999999999998</v>
      </c>
      <c r="H253" s="5985"/>
      <c r="I253" s="5985">
        <f>I252+I228+I203+I179+I156+I132+I109+I86</f>
        <v>6678.61</v>
      </c>
      <c r="J253" s="5985"/>
      <c r="K253" s="5985">
        <f>K252+K228+K203+K179+K156+K132+K109+K86</f>
        <v>1830.55</v>
      </c>
      <c r="L253" s="5985">
        <f>L252+L228+L203+L179+L156+L132+L109+L86</f>
        <v>1971.3</v>
      </c>
      <c r="M253" s="5985">
        <f>M252+M228+M203+M179+M156+M132+M109+M86</f>
        <v>2272.6333333333332</v>
      </c>
    </row>
    <row r="254" spans="2:13" x14ac:dyDescent="0.25">
      <c r="B254" s="346"/>
    </row>
    <row r="255" spans="2:13" x14ac:dyDescent="0.25">
      <c r="B255" s="6654">
        <v>45261</v>
      </c>
      <c r="C255" s="5938" t="s">
        <v>2037</v>
      </c>
      <c r="D255" s="5994" t="s">
        <v>2037</v>
      </c>
      <c r="E255" s="5701"/>
      <c r="F255" s="5701"/>
      <c r="G255" s="5701"/>
      <c r="H255" s="5701"/>
      <c r="I255" s="5701"/>
      <c r="J255" s="5701"/>
      <c r="K255" s="5701"/>
      <c r="L255" s="5994" t="s">
        <v>2037</v>
      </c>
      <c r="M255" s="5994"/>
    </row>
    <row r="256" spans="2:13" x14ac:dyDescent="0.25">
      <c r="B256" s="6654"/>
      <c r="C256" s="6001"/>
      <c r="D256" s="5939" t="s">
        <v>2038</v>
      </c>
      <c r="E256" s="5939" t="s">
        <v>2039</v>
      </c>
      <c r="F256" s="5939"/>
      <c r="G256" s="5939" t="s">
        <v>2040</v>
      </c>
      <c r="H256" s="5939"/>
      <c r="I256" s="5939" t="s">
        <v>1112</v>
      </c>
      <c r="J256" s="5939"/>
      <c r="K256" s="5939" t="s">
        <v>61</v>
      </c>
      <c r="L256" s="5939" t="s">
        <v>98</v>
      </c>
      <c r="M256" s="5939" t="s">
        <v>1384</v>
      </c>
    </row>
    <row r="257" spans="2:13" x14ac:dyDescent="0.25">
      <c r="B257" s="6654"/>
      <c r="C257" s="5986" t="s">
        <v>2048</v>
      </c>
      <c r="D257" s="5978">
        <v>10</v>
      </c>
      <c r="E257" s="5344">
        <v>21.25</v>
      </c>
      <c r="F257" s="5344"/>
      <c r="G257" s="5344">
        <v>11</v>
      </c>
      <c r="H257" s="5344"/>
      <c r="I257" s="5344">
        <v>497.5</v>
      </c>
      <c r="J257" s="5344"/>
      <c r="K257" s="5344">
        <v>110.38333333333334</v>
      </c>
      <c r="L257" s="5978">
        <v>83.36666666666666</v>
      </c>
      <c r="M257" s="5978">
        <v>150.41666666666666</v>
      </c>
    </row>
    <row r="258" spans="2:13" x14ac:dyDescent="0.25">
      <c r="B258" s="6654"/>
      <c r="C258" s="5986" t="s">
        <v>2049</v>
      </c>
      <c r="D258" s="5978"/>
      <c r="E258" s="5344"/>
      <c r="F258" s="5344"/>
      <c r="G258" s="5344"/>
      <c r="H258" s="5344"/>
      <c r="I258" s="5344"/>
      <c r="J258" s="5344"/>
      <c r="K258" s="5344"/>
      <c r="L258" s="5978"/>
      <c r="M258" s="5978"/>
    </row>
    <row r="259" spans="2:13" x14ac:dyDescent="0.25">
      <c r="B259" s="6654"/>
      <c r="C259" s="5986" t="s">
        <v>2050</v>
      </c>
      <c r="D259" s="5978"/>
      <c r="E259" s="5344">
        <v>0.25</v>
      </c>
      <c r="F259" s="5344"/>
      <c r="G259" s="5344"/>
      <c r="H259" s="5344"/>
      <c r="I259" s="5344"/>
      <c r="J259" s="5344"/>
      <c r="K259" s="5344">
        <v>10.766666666666667</v>
      </c>
      <c r="L259" s="5978">
        <v>38.549999999999997</v>
      </c>
      <c r="M259" s="5978">
        <v>9.8333333333333339</v>
      </c>
    </row>
    <row r="260" spans="2:13" x14ac:dyDescent="0.25">
      <c r="B260" s="6654"/>
      <c r="C260" s="5986" t="s">
        <v>474</v>
      </c>
      <c r="D260" s="5978"/>
      <c r="E260" s="5344"/>
      <c r="F260" s="5344"/>
      <c r="G260" s="5344"/>
      <c r="H260" s="5344"/>
      <c r="I260" s="5344"/>
      <c r="J260" s="5344"/>
      <c r="K260" s="5344"/>
      <c r="L260" s="5344"/>
      <c r="M260" s="5344"/>
    </row>
    <row r="261" spans="2:13" x14ac:dyDescent="0.25">
      <c r="B261" s="6654"/>
      <c r="C261" s="5986" t="s">
        <v>2051</v>
      </c>
      <c r="D261" s="5978"/>
      <c r="E261" s="5344"/>
      <c r="F261" s="5344"/>
      <c r="G261" s="5344"/>
      <c r="H261" s="5344"/>
      <c r="I261" s="5344"/>
      <c r="J261" s="5344"/>
      <c r="K261" s="5344"/>
      <c r="L261" s="5344"/>
      <c r="M261" s="5344"/>
    </row>
    <row r="262" spans="2:13" x14ac:dyDescent="0.25">
      <c r="B262" s="6654"/>
      <c r="C262" s="5986" t="s">
        <v>2052</v>
      </c>
      <c r="D262" s="5344">
        <v>5.08</v>
      </c>
      <c r="E262" s="5344">
        <v>2.75</v>
      </c>
      <c r="F262" s="5344"/>
      <c r="G262" s="5344">
        <v>9</v>
      </c>
      <c r="H262" s="5344"/>
      <c r="I262" s="5344">
        <v>7.6</v>
      </c>
      <c r="J262" s="5344"/>
      <c r="K262" s="5344">
        <v>30.05</v>
      </c>
      <c r="L262" s="5978">
        <v>50.033333333333331</v>
      </c>
      <c r="M262" s="5978">
        <v>33.916666666666664</v>
      </c>
    </row>
    <row r="263" spans="2:13" x14ac:dyDescent="0.25">
      <c r="B263" s="6654"/>
      <c r="C263" s="5986" t="s">
        <v>2053</v>
      </c>
      <c r="D263" s="5978">
        <v>0.5</v>
      </c>
      <c r="E263" s="6004">
        <v>0.42</v>
      </c>
      <c r="F263" s="5344"/>
      <c r="G263" s="5344"/>
      <c r="H263" s="5344"/>
      <c r="I263" s="5344">
        <v>5.95</v>
      </c>
      <c r="J263" s="5344"/>
      <c r="K263" s="5344">
        <v>10.45</v>
      </c>
      <c r="L263" s="5978">
        <v>21.85</v>
      </c>
      <c r="M263" s="5978">
        <v>21.916666666666668</v>
      </c>
    </row>
    <row r="264" spans="2:13" x14ac:dyDescent="0.25">
      <c r="B264" s="6654"/>
      <c r="C264" s="5986" t="s">
        <v>2054</v>
      </c>
      <c r="D264" s="5344"/>
      <c r="E264" s="5344"/>
      <c r="F264" s="5344"/>
      <c r="G264" s="5344"/>
      <c r="H264" s="5344"/>
      <c r="I264" s="5344"/>
      <c r="J264" s="5344"/>
      <c r="K264" s="5344"/>
      <c r="L264" s="5344"/>
      <c r="M264" s="5344"/>
    </row>
    <row r="265" spans="2:13" x14ac:dyDescent="0.25">
      <c r="B265" s="6654"/>
      <c r="C265" s="5986" t="s">
        <v>2055</v>
      </c>
      <c r="D265" s="5978">
        <v>4</v>
      </c>
      <c r="E265" s="5344">
        <v>4</v>
      </c>
      <c r="F265" s="5344"/>
      <c r="G265" s="5344"/>
      <c r="H265" s="5344"/>
      <c r="I265" s="5344"/>
      <c r="J265" s="5344"/>
      <c r="K265" s="5344"/>
      <c r="L265" s="5344"/>
      <c r="M265" s="5344"/>
    </row>
    <row r="266" spans="2:13" x14ac:dyDescent="0.25">
      <c r="B266" s="6654"/>
      <c r="C266" s="5966" t="s">
        <v>2056</v>
      </c>
      <c r="D266" s="5344"/>
      <c r="E266" s="5344"/>
      <c r="F266" s="5967"/>
      <c r="G266" s="5344"/>
      <c r="H266" s="5968"/>
      <c r="I266" s="5344"/>
      <c r="J266" s="5967"/>
      <c r="K266" s="5344"/>
      <c r="L266" s="5344"/>
      <c r="M266" s="5344"/>
    </row>
    <row r="267" spans="2:13" x14ac:dyDescent="0.25">
      <c r="B267" s="6654"/>
      <c r="C267" s="5986" t="s">
        <v>2057</v>
      </c>
      <c r="D267" s="5344"/>
      <c r="E267" s="5344"/>
      <c r="F267" s="5344"/>
      <c r="G267" s="5344"/>
      <c r="H267" s="5344"/>
      <c r="I267" s="5344"/>
      <c r="J267" s="5344"/>
      <c r="K267" s="5344">
        <v>56.266666666666666</v>
      </c>
      <c r="L267" s="5978">
        <v>14.983333333333333</v>
      </c>
      <c r="M267" s="5978">
        <v>34.666666666666664</v>
      </c>
    </row>
    <row r="268" spans="2:13" x14ac:dyDescent="0.25">
      <c r="B268" s="6654"/>
      <c r="C268" s="5986" t="s">
        <v>2058</v>
      </c>
      <c r="D268" s="6002">
        <v>1.33</v>
      </c>
      <c r="E268" s="5319">
        <v>1.33</v>
      </c>
      <c r="F268" s="5344"/>
      <c r="G268" s="5344"/>
      <c r="H268" s="5344"/>
      <c r="I268" s="5344"/>
      <c r="J268" s="5344"/>
      <c r="K268" s="5344">
        <v>0.6</v>
      </c>
      <c r="L268" s="5978">
        <v>9.1833333333333336</v>
      </c>
      <c r="M268" s="5978">
        <v>0.66666666666666663</v>
      </c>
    </row>
    <row r="269" spans="2:13" x14ac:dyDescent="0.25">
      <c r="B269" s="6654"/>
      <c r="C269" s="5986" t="s">
        <v>2059</v>
      </c>
      <c r="D269" s="5344">
        <v>1.08</v>
      </c>
      <c r="E269" s="6004">
        <v>0.42</v>
      </c>
      <c r="F269" s="5344"/>
      <c r="G269" s="5344"/>
      <c r="H269" s="5344"/>
      <c r="I269" s="5344"/>
      <c r="J269" s="5344"/>
      <c r="K269" s="5344"/>
      <c r="L269" s="5344"/>
      <c r="M269" s="5344"/>
    </row>
    <row r="270" spans="2:13" x14ac:dyDescent="0.25">
      <c r="B270" s="6654"/>
      <c r="C270" s="5986" t="s">
        <v>2060</v>
      </c>
      <c r="D270" s="5344"/>
      <c r="E270" s="6004"/>
      <c r="F270" s="5344"/>
      <c r="G270" s="5344"/>
      <c r="H270" s="5344"/>
      <c r="I270" s="5344"/>
      <c r="J270" s="5344"/>
      <c r="K270" s="5344"/>
      <c r="L270" s="5344"/>
      <c r="M270" s="5344"/>
    </row>
    <row r="271" spans="2:13" x14ac:dyDescent="0.25">
      <c r="B271" s="6654"/>
      <c r="C271" s="5986" t="s">
        <v>2061</v>
      </c>
      <c r="D271" s="5978"/>
      <c r="E271" s="5344"/>
      <c r="F271" s="5344"/>
      <c r="G271" s="5344"/>
      <c r="H271" s="5344"/>
      <c r="I271" s="5344"/>
      <c r="J271" s="5344"/>
      <c r="K271" s="5344"/>
      <c r="L271" s="5344"/>
      <c r="M271" s="5344"/>
    </row>
    <row r="272" spans="2:13" x14ac:dyDescent="0.25">
      <c r="B272" s="6654"/>
      <c r="C272" s="5986" t="s">
        <v>84</v>
      </c>
      <c r="D272" s="5344">
        <v>18.41</v>
      </c>
      <c r="E272" s="5344">
        <v>17.89</v>
      </c>
      <c r="F272" s="5344"/>
      <c r="G272" s="5344"/>
      <c r="H272" s="5344"/>
      <c r="I272" s="5344"/>
      <c r="J272" s="5344"/>
      <c r="K272" s="5344"/>
      <c r="L272" s="5344"/>
      <c r="M272" s="5344"/>
    </row>
    <row r="273" spans="2:13" x14ac:dyDescent="0.25">
      <c r="B273" s="6654"/>
      <c r="C273" s="5986" t="s">
        <v>2062</v>
      </c>
      <c r="D273" s="5344"/>
      <c r="E273" s="5344"/>
      <c r="F273" s="5344"/>
      <c r="G273" s="5344"/>
      <c r="H273" s="5344"/>
      <c r="I273" s="5344">
        <v>5.55</v>
      </c>
      <c r="J273" s="5344"/>
      <c r="K273" s="5344"/>
      <c r="L273" s="5344"/>
      <c r="M273" s="5344"/>
    </row>
    <row r="274" spans="2:13" x14ac:dyDescent="0.25">
      <c r="B274" s="6654"/>
      <c r="C274" s="5986" t="s">
        <v>103</v>
      </c>
      <c r="D274" s="5344"/>
      <c r="E274" s="5344"/>
      <c r="F274" s="5344"/>
      <c r="G274" s="5344"/>
      <c r="H274" s="5344"/>
      <c r="I274" s="5344">
        <v>1.5</v>
      </c>
      <c r="J274" s="5344"/>
      <c r="K274" s="5344"/>
      <c r="L274" s="5344"/>
      <c r="M274" s="5344"/>
    </row>
    <row r="275" spans="2:13" x14ac:dyDescent="0.25">
      <c r="B275" s="6654"/>
      <c r="C275" s="5986" t="s">
        <v>60</v>
      </c>
      <c r="D275" s="5344"/>
      <c r="E275" s="5344"/>
      <c r="F275" s="5344"/>
      <c r="G275" s="5344"/>
      <c r="H275" s="5344"/>
      <c r="I275" s="5344">
        <v>18.78</v>
      </c>
      <c r="J275" s="5344"/>
      <c r="K275" s="5344"/>
      <c r="L275" s="5344"/>
      <c r="M275" s="5344"/>
    </row>
    <row r="276" spans="2:13" ht="29.25" x14ac:dyDescent="0.25">
      <c r="B276" s="6654"/>
      <c r="C276" s="5986" t="s">
        <v>2063</v>
      </c>
      <c r="D276" s="5344"/>
      <c r="E276" s="5344"/>
      <c r="F276" s="5344"/>
      <c r="G276" s="5344"/>
      <c r="H276" s="5344"/>
      <c r="I276" s="5344">
        <v>117.77</v>
      </c>
      <c r="J276" s="5344"/>
      <c r="K276" s="5344"/>
      <c r="L276" s="5344"/>
      <c r="M276" s="5344"/>
    </row>
    <row r="277" spans="2:13" x14ac:dyDescent="0.25">
      <c r="B277" s="6654"/>
      <c r="C277" s="5989" t="s">
        <v>2064</v>
      </c>
      <c r="D277" s="5971">
        <f>SUM(D257:D276)</f>
        <v>40.399999999999991</v>
      </c>
      <c r="E277" s="5971">
        <f t="shared" ref="E277" si="47">SUM(E257:E276)</f>
        <v>48.31</v>
      </c>
      <c r="F277" s="5971"/>
      <c r="G277" s="5971">
        <f t="shared" ref="G277" si="48">SUM(G257:G276)</f>
        <v>20</v>
      </c>
      <c r="H277" s="5971"/>
      <c r="I277" s="5971">
        <f t="shared" ref="I277" si="49">SUM(I257:I276)</f>
        <v>654.65</v>
      </c>
      <c r="J277" s="5971"/>
      <c r="K277" s="5972">
        <f t="shared" ref="K277:M277" si="50">SUM(K257:K276)</f>
        <v>218.51666666666668</v>
      </c>
      <c r="L277" s="5972">
        <f t="shared" si="50"/>
        <v>217.96666666666664</v>
      </c>
      <c r="M277" s="5972">
        <f t="shared" si="50"/>
        <v>251.41666666666663</v>
      </c>
    </row>
    <row r="278" spans="2:13" x14ac:dyDescent="0.25">
      <c r="B278" s="5852"/>
      <c r="C278" s="6003" t="s">
        <v>2070</v>
      </c>
      <c r="D278" s="5985">
        <f>D277+D228+D252</f>
        <v>164.75</v>
      </c>
      <c r="E278" s="5985">
        <f>E277+E228+E252</f>
        <v>171.72</v>
      </c>
      <c r="F278" s="5985"/>
      <c r="G278" s="5985">
        <f>G277+G228+G252</f>
        <v>56</v>
      </c>
      <c r="H278" s="5985"/>
      <c r="I278" s="5985">
        <f>I277+I228+I252</f>
        <v>2209.0099999999998</v>
      </c>
      <c r="J278" s="5985"/>
      <c r="K278" s="5985">
        <f>K277+K228+K252</f>
        <v>631.20000000000005</v>
      </c>
      <c r="L278" s="5985">
        <f>L277+L228+L252</f>
        <v>778.44999999999993</v>
      </c>
      <c r="M278" s="5985">
        <f>M277+M228+M252</f>
        <v>755.58333333333337</v>
      </c>
    </row>
    <row r="279" spans="2:13" x14ac:dyDescent="0.25">
      <c r="B279" s="346"/>
      <c r="C279" s="6003" t="s">
        <v>2071</v>
      </c>
      <c r="D279" s="5985">
        <f>D86+D109+D132+D156+D179+D203+D228+D252+D277</f>
        <v>805.76</v>
      </c>
      <c r="E279" s="5985">
        <f>E86+E109+E132+E156+E179+E203+E228+E252+E277</f>
        <v>763.77</v>
      </c>
      <c r="F279" s="5985"/>
      <c r="G279" s="5985">
        <f>G86+G109+G132+G156+G179+G203+G228+G252+G277</f>
        <v>284.89999999999998</v>
      </c>
      <c r="H279" s="5985"/>
      <c r="I279" s="5985">
        <f>I86+I109+I132+I156+I179+I203+I228+I252+I277</f>
        <v>7333.2599999999993</v>
      </c>
      <c r="J279" s="5985"/>
      <c r="K279" s="5985">
        <f>K86+K109+K132+K156+K179+K203+K228+K252+K277</f>
        <v>2049.0666666666666</v>
      </c>
      <c r="L279" s="5985">
        <f>L86+L109+L132+L156+L179+L203+L228+L252+L277</f>
        <v>2189.2666666666664</v>
      </c>
      <c r="M279" s="5985">
        <f>M86+M109+M132+M156+M179+M203+M228+M252+M277</f>
        <v>2524.0499999999997</v>
      </c>
    </row>
    <row r="280" spans="2:13" x14ac:dyDescent="0.25">
      <c r="B280" s="6654">
        <v>45292</v>
      </c>
      <c r="C280" s="5938" t="s">
        <v>2037</v>
      </c>
      <c r="D280" s="5994" t="s">
        <v>2037</v>
      </c>
      <c r="E280" s="5701"/>
      <c r="F280" s="5701"/>
      <c r="G280" s="5701"/>
      <c r="H280" s="5701"/>
      <c r="I280" s="5701"/>
      <c r="J280" s="5701"/>
      <c r="K280" s="5701"/>
      <c r="L280" s="5994" t="s">
        <v>2037</v>
      </c>
      <c r="M280" s="5994"/>
    </row>
    <row r="281" spans="2:13" x14ac:dyDescent="0.25">
      <c r="B281" s="6654"/>
      <c r="C281" s="6001"/>
      <c r="D281" s="5939" t="s">
        <v>2038</v>
      </c>
      <c r="E281" s="5939" t="s">
        <v>2039</v>
      </c>
      <c r="F281" s="5939"/>
      <c r="G281" s="5939" t="s">
        <v>2040</v>
      </c>
      <c r="H281" s="5939"/>
      <c r="I281" s="5939" t="s">
        <v>1112</v>
      </c>
      <c r="J281" s="5939"/>
      <c r="K281" s="5939" t="s">
        <v>61</v>
      </c>
      <c r="L281" s="5939" t="s">
        <v>98</v>
      </c>
      <c r="M281" s="5939" t="s">
        <v>1384</v>
      </c>
    </row>
    <row r="282" spans="2:13" x14ac:dyDescent="0.25">
      <c r="B282" s="6654"/>
      <c r="C282" s="5986" t="s">
        <v>2048</v>
      </c>
      <c r="D282" s="5978">
        <v>1.17</v>
      </c>
      <c r="E282" s="5344">
        <v>16.5</v>
      </c>
      <c r="F282" s="5344"/>
      <c r="G282" s="5344"/>
      <c r="H282" s="5344"/>
      <c r="I282" s="5344">
        <v>447.8</v>
      </c>
      <c r="J282" s="5344"/>
      <c r="K282" s="5344">
        <v>107.66666666666667</v>
      </c>
      <c r="L282" s="5978">
        <v>113.96666666666667</v>
      </c>
      <c r="M282" s="5978">
        <v>136.5</v>
      </c>
    </row>
    <row r="283" spans="2:13" x14ac:dyDescent="0.25">
      <c r="B283" s="6654"/>
      <c r="C283" s="5986" t="s">
        <v>2049</v>
      </c>
      <c r="D283" s="5978"/>
      <c r="E283" s="5344"/>
      <c r="F283" s="5344"/>
      <c r="G283" s="5344"/>
      <c r="H283" s="5344"/>
      <c r="I283" s="5344"/>
      <c r="J283" s="5344"/>
      <c r="K283" s="5344"/>
      <c r="L283" s="5978"/>
      <c r="M283" s="5978"/>
    </row>
    <row r="284" spans="2:13" x14ac:dyDescent="0.25">
      <c r="B284" s="6654"/>
      <c r="C284" s="5986" t="s">
        <v>2050</v>
      </c>
      <c r="D284" s="5978">
        <v>1</v>
      </c>
      <c r="E284" s="5344"/>
      <c r="F284" s="5344"/>
      <c r="G284" s="5344"/>
      <c r="H284" s="5344"/>
      <c r="I284" s="5344"/>
      <c r="J284" s="5344"/>
      <c r="K284" s="5344">
        <v>15.5</v>
      </c>
      <c r="L284" s="5978">
        <v>31.016666666666666</v>
      </c>
      <c r="M284" s="5978">
        <v>9.3333333333333339</v>
      </c>
    </row>
    <row r="285" spans="2:13" x14ac:dyDescent="0.25">
      <c r="B285" s="6654"/>
      <c r="C285" s="5986" t="s">
        <v>474</v>
      </c>
      <c r="D285" s="5978"/>
      <c r="E285" s="5344"/>
      <c r="F285" s="5344"/>
      <c r="G285" s="5344"/>
      <c r="H285" s="5344"/>
      <c r="I285" s="5344"/>
      <c r="J285" s="5344"/>
      <c r="K285" s="5344"/>
      <c r="L285" s="5344"/>
      <c r="M285" s="5344"/>
    </row>
    <row r="286" spans="2:13" x14ac:dyDescent="0.25">
      <c r="B286" s="6654"/>
      <c r="C286" s="5986" t="s">
        <v>2051</v>
      </c>
      <c r="D286" s="5978"/>
      <c r="E286" s="5344"/>
      <c r="F286" s="5344"/>
      <c r="G286" s="5344"/>
      <c r="H286" s="5344"/>
      <c r="I286" s="5344"/>
      <c r="J286" s="5344"/>
      <c r="K286" s="5344"/>
      <c r="L286" s="5344"/>
      <c r="M286" s="5344"/>
    </row>
    <row r="287" spans="2:13" x14ac:dyDescent="0.25">
      <c r="B287" s="6654"/>
      <c r="C287" s="5986" t="s">
        <v>2052</v>
      </c>
      <c r="D287" s="5344">
        <v>3</v>
      </c>
      <c r="E287" s="5344">
        <v>8.09</v>
      </c>
      <c r="F287" s="5344"/>
      <c r="G287" s="5344">
        <v>37.5</v>
      </c>
      <c r="H287" s="5344"/>
      <c r="I287" s="5344">
        <v>6.25</v>
      </c>
      <c r="J287" s="5344"/>
      <c r="K287" s="5344">
        <v>16.083333333333332</v>
      </c>
      <c r="L287" s="5978">
        <v>33.56666666666667</v>
      </c>
      <c r="M287" s="5978">
        <v>35.416666666666664</v>
      </c>
    </row>
    <row r="288" spans="2:13" x14ac:dyDescent="0.25">
      <c r="B288" s="6654"/>
      <c r="C288" s="5986" t="s">
        <v>2053</v>
      </c>
      <c r="D288" s="5978">
        <v>0.95</v>
      </c>
      <c r="E288" s="5344">
        <v>1.82</v>
      </c>
      <c r="F288" s="5344"/>
      <c r="G288" s="5344"/>
      <c r="H288" s="5344"/>
      <c r="I288" s="5344">
        <v>3.3</v>
      </c>
      <c r="J288" s="5344"/>
      <c r="K288" s="5344">
        <v>6.9833333333333334</v>
      </c>
      <c r="L288" s="5978">
        <v>5.9666666666666668</v>
      </c>
      <c r="M288" s="5978">
        <v>12.833333333333334</v>
      </c>
    </row>
    <row r="289" spans="2:13" x14ac:dyDescent="0.25">
      <c r="B289" s="6654"/>
      <c r="C289" s="5986" t="s">
        <v>2054</v>
      </c>
      <c r="D289" s="5344"/>
      <c r="E289" s="5344">
        <v>0.5</v>
      </c>
      <c r="F289" s="5344"/>
      <c r="G289" s="5344"/>
      <c r="H289" s="5344"/>
      <c r="I289" s="5344"/>
      <c r="J289" s="5344"/>
      <c r="K289" s="5344"/>
      <c r="L289" s="5344"/>
      <c r="M289" s="5344"/>
    </row>
    <row r="290" spans="2:13" x14ac:dyDescent="0.25">
      <c r="B290" s="6654"/>
      <c r="C290" s="5986" t="s">
        <v>2055</v>
      </c>
      <c r="D290" s="5978">
        <v>44.5</v>
      </c>
      <c r="E290" s="5344">
        <v>23.25</v>
      </c>
      <c r="F290" s="5344"/>
      <c r="G290" s="5344"/>
      <c r="H290" s="5344"/>
      <c r="I290" s="5344"/>
      <c r="J290" s="5344"/>
      <c r="K290" s="5344"/>
      <c r="L290" s="5344"/>
      <c r="M290" s="5344"/>
    </row>
    <row r="291" spans="2:13" x14ac:dyDescent="0.25">
      <c r="B291" s="6654"/>
      <c r="C291" s="5966" t="s">
        <v>2056</v>
      </c>
      <c r="D291" s="5344"/>
      <c r="E291" s="5344"/>
      <c r="F291" s="5967"/>
      <c r="G291" s="5344"/>
      <c r="H291" s="5968"/>
      <c r="I291" s="5344"/>
      <c r="J291" s="5967"/>
      <c r="K291" s="5344"/>
      <c r="L291" s="5344"/>
      <c r="M291" s="5344"/>
    </row>
    <row r="292" spans="2:13" x14ac:dyDescent="0.25">
      <c r="B292" s="6654"/>
      <c r="C292" s="5986" t="s">
        <v>2057</v>
      </c>
      <c r="D292" s="5344"/>
      <c r="E292" s="5344"/>
      <c r="F292" s="5344"/>
      <c r="G292" s="5344"/>
      <c r="H292" s="5344"/>
      <c r="I292" s="5344"/>
      <c r="J292" s="5344"/>
      <c r="K292" s="5344">
        <v>46.75</v>
      </c>
      <c r="L292" s="5978">
        <v>12.966666666666667</v>
      </c>
      <c r="M292" s="5978">
        <v>74.166666666666671</v>
      </c>
    </row>
    <row r="293" spans="2:13" x14ac:dyDescent="0.25">
      <c r="B293" s="6654"/>
      <c r="C293" s="5986" t="s">
        <v>2058</v>
      </c>
      <c r="D293" s="6002"/>
      <c r="E293" s="5319"/>
      <c r="F293" s="5344"/>
      <c r="G293" s="5344"/>
      <c r="H293" s="5344"/>
      <c r="I293" s="5344"/>
      <c r="J293" s="5344"/>
      <c r="K293" s="5344">
        <v>2.1833333333333331</v>
      </c>
      <c r="L293" s="5978">
        <v>1.4333333333333333</v>
      </c>
      <c r="M293" s="5978">
        <v>4</v>
      </c>
    </row>
    <row r="294" spans="2:13" x14ac:dyDescent="0.25">
      <c r="B294" s="6654"/>
      <c r="C294" s="5986" t="s">
        <v>2059</v>
      </c>
      <c r="D294" s="5319">
        <v>0.33</v>
      </c>
      <c r="E294" s="5344">
        <v>1.25</v>
      </c>
      <c r="F294" s="5344"/>
      <c r="G294" s="5344"/>
      <c r="H294" s="5344"/>
      <c r="I294" s="5319">
        <v>0.4</v>
      </c>
      <c r="J294" s="5344"/>
      <c r="K294" s="5344"/>
      <c r="L294" s="5344"/>
      <c r="M294" s="5344"/>
    </row>
    <row r="295" spans="2:13" x14ac:dyDescent="0.25">
      <c r="B295" s="6654"/>
      <c r="C295" s="5986" t="s">
        <v>2060</v>
      </c>
      <c r="D295" s="5319"/>
      <c r="E295" s="5344"/>
      <c r="F295" s="5344"/>
      <c r="G295" s="5344"/>
      <c r="H295" s="5344"/>
      <c r="I295" s="5319"/>
      <c r="J295" s="5344"/>
      <c r="K295" s="5344"/>
      <c r="L295" s="5344"/>
      <c r="M295" s="5344"/>
    </row>
    <row r="296" spans="2:13" x14ac:dyDescent="0.25">
      <c r="B296" s="6654"/>
      <c r="C296" s="5986" t="s">
        <v>2061</v>
      </c>
      <c r="D296" s="5978"/>
      <c r="E296" s="5344"/>
      <c r="F296" s="5344"/>
      <c r="G296" s="5344"/>
      <c r="H296" s="5344"/>
      <c r="I296" s="5344"/>
      <c r="J296" s="5344"/>
      <c r="K296" s="5344"/>
      <c r="L296" s="5344"/>
      <c r="M296" s="5344"/>
    </row>
    <row r="297" spans="2:13" x14ac:dyDescent="0.25">
      <c r="B297" s="6654"/>
      <c r="C297" s="5986" t="s">
        <v>84</v>
      </c>
      <c r="D297" s="5344">
        <v>4.92</v>
      </c>
      <c r="E297" s="5344">
        <v>4</v>
      </c>
      <c r="F297" s="5344"/>
      <c r="G297" s="5344"/>
      <c r="H297" s="5344"/>
      <c r="I297" s="5344"/>
      <c r="J297" s="5344"/>
      <c r="K297" s="5344"/>
      <c r="L297" s="5344"/>
      <c r="M297" s="5344"/>
    </row>
    <row r="298" spans="2:13" x14ac:dyDescent="0.25">
      <c r="B298" s="6654"/>
      <c r="C298" s="5986" t="s">
        <v>2062</v>
      </c>
      <c r="D298" s="5344"/>
      <c r="E298" s="5344"/>
      <c r="F298" s="5344"/>
      <c r="G298" s="5344"/>
      <c r="H298" s="5344"/>
      <c r="I298" s="5344">
        <v>7.6999999999999993</v>
      </c>
      <c r="J298" s="5344"/>
      <c r="K298" s="5344"/>
      <c r="L298" s="5344"/>
      <c r="M298" s="5344"/>
    </row>
    <row r="299" spans="2:13" x14ac:dyDescent="0.25">
      <c r="B299" s="6654"/>
      <c r="C299" s="5986" t="s">
        <v>103</v>
      </c>
      <c r="D299" s="5344"/>
      <c r="E299" s="5344"/>
      <c r="F299" s="5344"/>
      <c r="G299" s="5344"/>
      <c r="H299" s="5344"/>
      <c r="I299" s="5344"/>
      <c r="J299" s="5344"/>
      <c r="K299" s="5344"/>
      <c r="L299" s="5344"/>
      <c r="M299" s="5344"/>
    </row>
    <row r="300" spans="2:13" x14ac:dyDescent="0.25">
      <c r="B300" s="6654"/>
      <c r="C300" s="5986" t="s">
        <v>60</v>
      </c>
      <c r="D300" s="5344"/>
      <c r="E300" s="5344"/>
      <c r="F300" s="5344"/>
      <c r="G300" s="5344"/>
      <c r="H300" s="5344"/>
      <c r="I300" s="5344">
        <v>9.9</v>
      </c>
      <c r="J300" s="5344"/>
      <c r="K300" s="5344"/>
      <c r="L300" s="5344"/>
      <c r="M300" s="5344"/>
    </row>
    <row r="301" spans="2:13" ht="29.25" x14ac:dyDescent="0.25">
      <c r="B301" s="6654"/>
      <c r="C301" s="5986" t="s">
        <v>2063</v>
      </c>
      <c r="D301" s="5344"/>
      <c r="E301" s="5344"/>
      <c r="F301" s="5344"/>
      <c r="G301" s="5344"/>
      <c r="H301" s="5344"/>
      <c r="I301" s="5344">
        <v>160</v>
      </c>
      <c r="J301" s="5344"/>
      <c r="K301" s="5344"/>
      <c r="L301" s="5344"/>
      <c r="M301" s="5344"/>
    </row>
    <row r="302" spans="2:13" x14ac:dyDescent="0.25">
      <c r="B302" s="6654"/>
      <c r="C302" s="5989" t="s">
        <v>2064</v>
      </c>
      <c r="D302" s="5971">
        <f>SUM(D282:D301)</f>
        <v>55.87</v>
      </c>
      <c r="E302" s="5971">
        <f t="shared" ref="E302" si="51">SUM(E282:E301)</f>
        <v>55.41</v>
      </c>
      <c r="F302" s="5971"/>
      <c r="G302" s="5971">
        <f t="shared" ref="G302" si="52">SUM(G282:G301)</f>
        <v>37.5</v>
      </c>
      <c r="H302" s="5971"/>
      <c r="I302" s="5971">
        <f t="shared" ref="I302" si="53">SUM(I282:I301)</f>
        <v>635.34999999999991</v>
      </c>
      <c r="J302" s="5971"/>
      <c r="K302" s="5971">
        <f t="shared" ref="K302:M302" si="54">SUM(K282:K301)</f>
        <v>195.16666666666666</v>
      </c>
      <c r="L302" s="5971">
        <f t="shared" si="54"/>
        <v>198.91666666666669</v>
      </c>
      <c r="M302" s="5971">
        <f t="shared" si="54"/>
        <v>272.25</v>
      </c>
    </row>
    <row r="303" spans="2:13" x14ac:dyDescent="0.25">
      <c r="B303" s="5852"/>
      <c r="C303" s="5984" t="s">
        <v>2072</v>
      </c>
      <c r="D303" s="5985">
        <f>D86+D109+D132+D156+D179+D203+D228+D252+D277+D302</f>
        <v>861.63</v>
      </c>
      <c r="E303" s="5985">
        <f>E86+E109+E132+E156+E179+E203+E228+E252+E277+E302</f>
        <v>819.18</v>
      </c>
      <c r="F303" s="5985"/>
      <c r="G303" s="5985">
        <f>G86+G109+G132+G156+G179+G203+G228+G252+G277+G302</f>
        <v>322.39999999999998</v>
      </c>
      <c r="H303" s="5985"/>
      <c r="I303" s="5985">
        <f>I86+I109+I132+I156+I179+I203+I228+I252+I277+I302</f>
        <v>7968.6099999999988</v>
      </c>
      <c r="J303" s="5985"/>
      <c r="K303" s="5985">
        <f>K86+K109+K132+K156+K179+K203+K228+K252+K277+K302</f>
        <v>2244.2333333333331</v>
      </c>
      <c r="L303" s="5985">
        <f>L86+L109+L132+L156+L179+L203+L228+L252+L277+L302</f>
        <v>2388.1833333333329</v>
      </c>
      <c r="M303" s="5985">
        <f>M86+M109+M132+M156+M179+M203+M228+M252+M277+M302</f>
        <v>2796.2999999999997</v>
      </c>
    </row>
    <row r="304" spans="2:13" x14ac:dyDescent="0.25">
      <c r="B304" s="6654">
        <v>45323</v>
      </c>
      <c r="C304" s="5938" t="s">
        <v>2037</v>
      </c>
      <c r="D304" s="5994" t="s">
        <v>2037</v>
      </c>
      <c r="E304" s="5701"/>
      <c r="F304" s="5701"/>
      <c r="G304" s="5701"/>
      <c r="H304" s="5701"/>
      <c r="I304" s="5701"/>
      <c r="J304" s="5701"/>
      <c r="K304" s="5701"/>
      <c r="L304" s="5994" t="s">
        <v>2037</v>
      </c>
      <c r="M304" s="5994"/>
    </row>
    <row r="305" spans="2:13" x14ac:dyDescent="0.25">
      <c r="B305" s="6654"/>
      <c r="C305" s="6001"/>
      <c r="D305" s="5939" t="s">
        <v>2038</v>
      </c>
      <c r="E305" s="5939" t="s">
        <v>2039</v>
      </c>
      <c r="F305" s="5939"/>
      <c r="G305" s="5939" t="s">
        <v>2040</v>
      </c>
      <c r="H305" s="5939"/>
      <c r="I305" s="5939" t="s">
        <v>1112</v>
      </c>
      <c r="J305" s="5939"/>
      <c r="K305" s="5939" t="s">
        <v>61</v>
      </c>
      <c r="L305" s="5939" t="s">
        <v>98</v>
      </c>
      <c r="M305" s="5939" t="s">
        <v>1384</v>
      </c>
    </row>
    <row r="306" spans="2:13" x14ac:dyDescent="0.25">
      <c r="B306" s="6654"/>
      <c r="C306" s="5986" t="s">
        <v>2048</v>
      </c>
      <c r="D306" s="5978">
        <v>16.75</v>
      </c>
      <c r="E306" s="5344">
        <v>4.33</v>
      </c>
      <c r="F306" s="5344"/>
      <c r="G306" s="5344"/>
      <c r="H306" s="5344"/>
      <c r="I306" s="5344">
        <v>519.11</v>
      </c>
      <c r="J306" s="5344"/>
      <c r="K306" s="5344">
        <v>118.5</v>
      </c>
      <c r="L306" s="5978">
        <v>77.150000000000006</v>
      </c>
      <c r="M306" s="5978">
        <v>105.5</v>
      </c>
    </row>
    <row r="307" spans="2:13" x14ac:dyDescent="0.25">
      <c r="B307" s="6654"/>
      <c r="C307" s="5986" t="s">
        <v>2049</v>
      </c>
      <c r="D307" s="5978"/>
      <c r="E307" s="5344"/>
      <c r="F307" s="5344"/>
      <c r="G307" s="5344"/>
      <c r="H307" s="5344"/>
      <c r="I307" s="5344"/>
      <c r="J307" s="5344"/>
      <c r="K307" s="5344"/>
      <c r="L307" s="5978"/>
      <c r="M307" s="5978"/>
    </row>
    <row r="308" spans="2:13" x14ac:dyDescent="0.25">
      <c r="B308" s="6654"/>
      <c r="C308" s="5986" t="s">
        <v>2050</v>
      </c>
      <c r="D308" s="5978"/>
      <c r="E308" s="5344"/>
      <c r="F308" s="5344"/>
      <c r="G308" s="5344"/>
      <c r="H308" s="5344"/>
      <c r="I308" s="5344"/>
      <c r="J308" s="5344"/>
      <c r="K308" s="5344">
        <v>20.5</v>
      </c>
      <c r="L308" s="5978">
        <v>40.75</v>
      </c>
      <c r="M308" s="5978">
        <v>2.5</v>
      </c>
    </row>
    <row r="309" spans="2:13" x14ac:dyDescent="0.25">
      <c r="B309" s="6654"/>
      <c r="C309" s="5986" t="s">
        <v>474</v>
      </c>
      <c r="D309" s="5978"/>
      <c r="E309" s="5344"/>
      <c r="F309" s="5344"/>
      <c r="G309" s="5344"/>
      <c r="H309" s="5344"/>
      <c r="I309" s="5344"/>
      <c r="J309" s="5344"/>
      <c r="K309" s="5344"/>
      <c r="L309" s="5344"/>
      <c r="M309" s="5344"/>
    </row>
    <row r="310" spans="2:13" x14ac:dyDescent="0.25">
      <c r="B310" s="6654"/>
      <c r="C310" s="5986" t="s">
        <v>2051</v>
      </c>
      <c r="D310" s="5978"/>
      <c r="E310" s="5344"/>
      <c r="F310" s="5344"/>
      <c r="G310" s="5344"/>
      <c r="H310" s="5344"/>
      <c r="I310" s="5344"/>
      <c r="J310" s="5344"/>
      <c r="K310" s="5344"/>
      <c r="L310" s="5344"/>
      <c r="M310" s="5344"/>
    </row>
    <row r="311" spans="2:13" x14ac:dyDescent="0.25">
      <c r="B311" s="6654"/>
      <c r="C311" s="5986" t="s">
        <v>2052</v>
      </c>
      <c r="D311" s="5344">
        <v>0.57999999999999996</v>
      </c>
      <c r="E311" s="5344"/>
      <c r="F311" s="5344"/>
      <c r="G311" s="5344"/>
      <c r="H311" s="5344"/>
      <c r="I311" s="5344">
        <v>7</v>
      </c>
      <c r="J311" s="5344"/>
      <c r="K311" s="5344">
        <v>31.1</v>
      </c>
      <c r="L311" s="5978">
        <v>58.25</v>
      </c>
      <c r="M311" s="5978">
        <v>29.5</v>
      </c>
    </row>
    <row r="312" spans="2:13" x14ac:dyDescent="0.25">
      <c r="B312" s="6654"/>
      <c r="C312" s="5986" t="s">
        <v>2053</v>
      </c>
      <c r="D312" s="5978"/>
      <c r="E312" s="5344"/>
      <c r="F312" s="5344"/>
      <c r="G312" s="5344"/>
      <c r="H312" s="5344"/>
      <c r="I312" s="5344">
        <v>10.33</v>
      </c>
      <c r="J312" s="5344"/>
      <c r="K312" s="5344">
        <v>7.583333333333333</v>
      </c>
      <c r="L312" s="5978">
        <v>3.5166666666666666</v>
      </c>
      <c r="M312" s="5978">
        <v>16.833333333333332</v>
      </c>
    </row>
    <row r="313" spans="2:13" x14ac:dyDescent="0.25">
      <c r="B313" s="6654"/>
      <c r="C313" s="5986" t="s">
        <v>2054</v>
      </c>
      <c r="D313" s="5344"/>
      <c r="E313" s="5344"/>
      <c r="F313" s="5344"/>
      <c r="G313" s="5344"/>
      <c r="H313" s="5344"/>
      <c r="I313" s="5344"/>
      <c r="J313" s="5344"/>
      <c r="K313" s="5344"/>
      <c r="L313" s="5344"/>
      <c r="M313" s="5344"/>
    </row>
    <row r="314" spans="2:13" x14ac:dyDescent="0.25">
      <c r="B314" s="6654"/>
      <c r="C314" s="5986" t="s">
        <v>2055</v>
      </c>
      <c r="D314" s="5978">
        <v>12.73</v>
      </c>
      <c r="E314" s="5344">
        <v>14.48</v>
      </c>
      <c r="F314" s="5344"/>
      <c r="G314" s="5344"/>
      <c r="H314" s="5344"/>
      <c r="I314" s="5344"/>
      <c r="J314" s="5344"/>
      <c r="K314" s="5344"/>
      <c r="L314" s="5344"/>
      <c r="M314" s="5344"/>
    </row>
    <row r="315" spans="2:13" x14ac:dyDescent="0.25">
      <c r="B315" s="6654"/>
      <c r="C315" s="5966" t="s">
        <v>2056</v>
      </c>
      <c r="D315" s="5344"/>
      <c r="E315" s="5344"/>
      <c r="F315" s="5967"/>
      <c r="G315" s="5344"/>
      <c r="H315" s="5968"/>
      <c r="I315" s="5344"/>
      <c r="J315" s="5967"/>
      <c r="K315" s="5344"/>
      <c r="L315" s="5344"/>
      <c r="M315" s="5344"/>
    </row>
    <row r="316" spans="2:13" x14ac:dyDescent="0.25">
      <c r="B316" s="6654"/>
      <c r="C316" s="5986" t="s">
        <v>2057</v>
      </c>
      <c r="D316" s="5344"/>
      <c r="E316" s="5344"/>
      <c r="F316" s="5344"/>
      <c r="G316" s="5344"/>
      <c r="H316" s="5344"/>
      <c r="I316" s="5344"/>
      <c r="J316" s="5344"/>
      <c r="K316" s="5344">
        <v>57.56666666666667</v>
      </c>
      <c r="L316" s="5978">
        <v>20.8</v>
      </c>
      <c r="M316" s="5978">
        <v>25.666666666666668</v>
      </c>
    </row>
    <row r="317" spans="2:13" x14ac:dyDescent="0.25">
      <c r="B317" s="6654"/>
      <c r="C317" s="5986" t="s">
        <v>2058</v>
      </c>
      <c r="D317" s="6002">
        <v>0.25</v>
      </c>
      <c r="E317" s="5319">
        <v>0.5</v>
      </c>
      <c r="F317" s="5344"/>
      <c r="G317" s="5344"/>
      <c r="H317" s="5344"/>
      <c r="I317" s="5344"/>
      <c r="J317" s="5344"/>
      <c r="K317" s="5344"/>
      <c r="L317" s="5978">
        <v>0.25</v>
      </c>
      <c r="M317" s="5978">
        <v>24.916666666666668</v>
      </c>
    </row>
    <row r="318" spans="2:13" x14ac:dyDescent="0.25">
      <c r="B318" s="6654"/>
      <c r="C318" s="5986" t="s">
        <v>2059</v>
      </c>
      <c r="D318" s="5319"/>
      <c r="E318" s="5344"/>
      <c r="F318" s="5344"/>
      <c r="G318" s="5344"/>
      <c r="H318" s="5344"/>
      <c r="I318" s="5319">
        <v>2</v>
      </c>
      <c r="J318" s="5344"/>
      <c r="K318" s="5344"/>
      <c r="L318" s="5344"/>
      <c r="M318" s="5344"/>
    </row>
    <row r="319" spans="2:13" x14ac:dyDescent="0.25">
      <c r="B319" s="6654"/>
      <c r="C319" s="5986" t="s">
        <v>2060</v>
      </c>
      <c r="D319" s="5319"/>
      <c r="E319" s="5344"/>
      <c r="F319" s="5344"/>
      <c r="G319" s="5344"/>
      <c r="H319" s="5344"/>
      <c r="I319" s="5319"/>
      <c r="J319" s="5344"/>
      <c r="K319" s="5344"/>
      <c r="L319" s="5344"/>
      <c r="M319" s="5344"/>
    </row>
    <row r="320" spans="2:13" x14ac:dyDescent="0.25">
      <c r="B320" s="6654"/>
      <c r="C320" s="5986" t="s">
        <v>2061</v>
      </c>
      <c r="D320" s="5978"/>
      <c r="E320" s="5344"/>
      <c r="F320" s="5344"/>
      <c r="G320" s="5344"/>
      <c r="H320" s="5344"/>
      <c r="I320" s="5344"/>
      <c r="J320" s="5344"/>
      <c r="K320" s="5344"/>
      <c r="L320" s="5344"/>
      <c r="M320" s="5344"/>
    </row>
    <row r="321" spans="2:13" x14ac:dyDescent="0.25">
      <c r="B321" s="6654"/>
      <c r="C321" s="5986" t="s">
        <v>84</v>
      </c>
      <c r="D321" s="5344">
        <v>2</v>
      </c>
      <c r="E321" s="5344">
        <v>2</v>
      </c>
      <c r="F321" s="5344"/>
      <c r="G321" s="5344"/>
      <c r="H321" s="5344"/>
      <c r="I321" s="5344"/>
      <c r="J321" s="5344"/>
      <c r="K321" s="5344"/>
      <c r="L321" s="5344"/>
      <c r="M321" s="5344"/>
    </row>
    <row r="322" spans="2:13" x14ac:dyDescent="0.25">
      <c r="B322" s="6654"/>
      <c r="C322" s="5986" t="s">
        <v>2062</v>
      </c>
      <c r="D322" s="5344"/>
      <c r="E322" s="5344"/>
      <c r="F322" s="5344"/>
      <c r="G322" s="5344"/>
      <c r="H322" s="5344"/>
      <c r="I322" s="5344">
        <v>9.25</v>
      </c>
      <c r="J322" s="5344"/>
      <c r="K322" s="5344"/>
      <c r="L322" s="5344"/>
      <c r="M322" s="5344"/>
    </row>
    <row r="323" spans="2:13" x14ac:dyDescent="0.25">
      <c r="B323" s="6654"/>
      <c r="C323" s="5986" t="s">
        <v>103</v>
      </c>
      <c r="D323" s="5344"/>
      <c r="E323" s="5344"/>
      <c r="F323" s="5344"/>
      <c r="G323" s="5344"/>
      <c r="H323" s="5344"/>
      <c r="I323" s="5344"/>
      <c r="J323" s="5344"/>
      <c r="K323" s="5344"/>
      <c r="L323" s="5344"/>
      <c r="M323" s="5344"/>
    </row>
    <row r="324" spans="2:13" x14ac:dyDescent="0.25">
      <c r="B324" s="6654"/>
      <c r="C324" s="5986" t="s">
        <v>60</v>
      </c>
      <c r="D324" s="5344"/>
      <c r="E324" s="5344"/>
      <c r="F324" s="5344"/>
      <c r="G324" s="5344"/>
      <c r="H324" s="5344"/>
      <c r="I324" s="5344">
        <v>13.5</v>
      </c>
      <c r="J324" s="5344"/>
      <c r="K324" s="5344"/>
      <c r="L324" s="5344"/>
      <c r="M324" s="5344"/>
    </row>
    <row r="325" spans="2:13" ht="29.25" x14ac:dyDescent="0.25">
      <c r="B325" s="6654"/>
      <c r="C325" s="5986" t="s">
        <v>2063</v>
      </c>
      <c r="D325" s="5344"/>
      <c r="E325" s="5344"/>
      <c r="F325" s="5344"/>
      <c r="G325" s="5344"/>
      <c r="H325" s="5344"/>
      <c r="I325" s="5344">
        <v>21.23</v>
      </c>
      <c r="J325" s="5344"/>
      <c r="K325" s="5344"/>
      <c r="L325" s="5344"/>
      <c r="M325" s="5344"/>
    </row>
    <row r="326" spans="2:13" x14ac:dyDescent="0.25">
      <c r="B326" s="6654"/>
      <c r="C326" s="5989" t="s">
        <v>2064</v>
      </c>
      <c r="D326" s="5971">
        <f>SUM(D306:D325)</f>
        <v>32.31</v>
      </c>
      <c r="E326" s="5972">
        <f t="shared" ref="E326" si="55">SUM(E306:E325)</f>
        <v>21.310000000000002</v>
      </c>
      <c r="F326" s="5971"/>
      <c r="G326" s="5971">
        <f t="shared" ref="G326" si="56">SUM(G306:G325)</f>
        <v>0</v>
      </c>
      <c r="H326" s="5971"/>
      <c r="I326" s="5971">
        <f t="shared" ref="I326" si="57">SUM(I306:I325)</f>
        <v>582.42000000000007</v>
      </c>
      <c r="J326" s="5971"/>
      <c r="K326" s="5972">
        <f t="shared" ref="K326:M326" si="58">SUM(K306:K325)</f>
        <v>235.25</v>
      </c>
      <c r="L326" s="5972">
        <f t="shared" si="58"/>
        <v>200.7166666666667</v>
      </c>
      <c r="M326" s="5971">
        <f t="shared" si="58"/>
        <v>204.91666666666666</v>
      </c>
    </row>
    <row r="327" spans="2:13" x14ac:dyDescent="0.25">
      <c r="B327" s="5852"/>
      <c r="C327" s="5984" t="s">
        <v>2073</v>
      </c>
      <c r="D327" s="5985">
        <f>D86+D109+D132+D156+D179+D203+D228+D252+D277+D302+D326</f>
        <v>893.94</v>
      </c>
      <c r="E327" s="6005">
        <f>E86+E109+E132+E156+E179+E203+E228+E252+E277+E302+E326</f>
        <v>840.49</v>
      </c>
      <c r="F327" s="5985"/>
      <c r="G327" s="5985">
        <f>G86+G109+G132+G156+G179+G203+G228+G252+G277+G302+G326</f>
        <v>322.39999999999998</v>
      </c>
      <c r="H327" s="5985"/>
      <c r="I327" s="5985">
        <f>I86+I109+I132+I156+I179+I203+I228+I252+I277+I302+I326</f>
        <v>8551.0299999999988</v>
      </c>
      <c r="J327" s="5985"/>
      <c r="K327" s="5985">
        <f>K86+K109+K132+K156+K179+K203+K228+K252+K277+K302+K326</f>
        <v>2479.4833333333331</v>
      </c>
      <c r="L327" s="5985">
        <f>L86+L109+L132+L156+L179+L203+L228+L252+L277+L302+L326</f>
        <v>2588.8999999999996</v>
      </c>
      <c r="M327" s="5985">
        <f>M86+M109+M132+M156+M179+M203+M228+M252+M277+M302+M326</f>
        <v>3001.2166666666662</v>
      </c>
    </row>
    <row r="328" spans="2:13" x14ac:dyDescent="0.25">
      <c r="B328" s="6654">
        <v>45352</v>
      </c>
      <c r="C328" s="5938" t="s">
        <v>2037</v>
      </c>
      <c r="D328" s="5994" t="s">
        <v>2037</v>
      </c>
      <c r="E328" s="5701"/>
      <c r="F328" s="5701"/>
      <c r="G328" s="5701"/>
      <c r="H328" s="5701"/>
      <c r="I328" s="5701"/>
      <c r="J328" s="5701"/>
      <c r="K328" s="5701"/>
      <c r="L328" s="5994" t="s">
        <v>2037</v>
      </c>
      <c r="M328" s="5994"/>
    </row>
    <row r="329" spans="2:13" x14ac:dyDescent="0.25">
      <c r="B329" s="6654"/>
      <c r="C329" s="6001"/>
      <c r="D329" s="5939" t="s">
        <v>2038</v>
      </c>
      <c r="E329" s="5939" t="s">
        <v>2039</v>
      </c>
      <c r="F329" s="5939"/>
      <c r="G329" s="5939" t="s">
        <v>2040</v>
      </c>
      <c r="H329" s="5939"/>
      <c r="I329" s="5939" t="s">
        <v>1112</v>
      </c>
      <c r="J329" s="5939"/>
      <c r="K329" s="5939" t="s">
        <v>61</v>
      </c>
      <c r="L329" s="5939" t="s">
        <v>98</v>
      </c>
      <c r="M329" s="5939" t="s">
        <v>1384</v>
      </c>
    </row>
    <row r="330" spans="2:13" x14ac:dyDescent="0.25">
      <c r="B330" s="6654"/>
      <c r="C330" s="5986" t="s">
        <v>2048</v>
      </c>
      <c r="D330" s="5978">
        <v>47.5</v>
      </c>
      <c r="E330" s="5978">
        <v>51.25</v>
      </c>
      <c r="F330" s="5344"/>
      <c r="G330" s="5344">
        <v>29.3</v>
      </c>
      <c r="H330" s="5344"/>
      <c r="I330" s="5344">
        <v>542</v>
      </c>
      <c r="J330" s="5344"/>
      <c r="K330" s="5344">
        <v>144.63333333333333</v>
      </c>
      <c r="L330" s="5978">
        <v>86.533333333333331</v>
      </c>
      <c r="M330" s="5978">
        <v>136.25</v>
      </c>
    </row>
    <row r="331" spans="2:13" x14ac:dyDescent="0.25">
      <c r="B331" s="6654"/>
      <c r="C331" s="5986" t="s">
        <v>2049</v>
      </c>
      <c r="D331" s="5978"/>
      <c r="E331" s="5978"/>
      <c r="F331" s="5344"/>
      <c r="G331" s="5344"/>
      <c r="H331" s="5344"/>
      <c r="I331" s="5344"/>
      <c r="J331" s="5344"/>
      <c r="K331" s="5344"/>
      <c r="L331" s="5978"/>
      <c r="M331" s="5978"/>
    </row>
    <row r="332" spans="2:13" x14ac:dyDescent="0.25">
      <c r="B332" s="6654"/>
      <c r="C332" s="5986" t="s">
        <v>2050</v>
      </c>
      <c r="D332" s="5978"/>
      <c r="E332" s="5978"/>
      <c r="F332" s="5344"/>
      <c r="G332" s="5344"/>
      <c r="H332" s="5344"/>
      <c r="I332" s="5344"/>
      <c r="J332" s="5344"/>
      <c r="K332" s="5344">
        <v>17.916666666666668</v>
      </c>
      <c r="L332" s="5978">
        <v>36.983333333333334</v>
      </c>
      <c r="M332" s="5978">
        <v>4.75</v>
      </c>
    </row>
    <row r="333" spans="2:13" x14ac:dyDescent="0.25">
      <c r="B333" s="6654"/>
      <c r="C333" s="5986" t="s">
        <v>474</v>
      </c>
      <c r="D333" s="5978"/>
      <c r="E333" s="5978"/>
      <c r="F333" s="5344"/>
      <c r="G333" s="5344"/>
      <c r="H333" s="5344"/>
      <c r="I333" s="5344"/>
      <c r="J333" s="5344"/>
      <c r="K333" s="5344"/>
      <c r="L333" s="5344"/>
      <c r="M333" s="5344"/>
    </row>
    <row r="334" spans="2:13" x14ac:dyDescent="0.25">
      <c r="B334" s="6654"/>
      <c r="C334" s="5986" t="s">
        <v>2051</v>
      </c>
      <c r="D334" s="5978"/>
      <c r="E334" s="5978"/>
      <c r="F334" s="5344"/>
      <c r="G334" s="5344"/>
      <c r="H334" s="5344"/>
      <c r="I334" s="5344"/>
      <c r="J334" s="5344"/>
      <c r="K334" s="5344"/>
      <c r="L334" s="5344"/>
      <c r="M334" s="5344"/>
    </row>
    <row r="335" spans="2:13" x14ac:dyDescent="0.25">
      <c r="B335" s="6654"/>
      <c r="C335" s="5986" t="s">
        <v>2052</v>
      </c>
      <c r="D335" s="5978">
        <v>2</v>
      </c>
      <c r="E335" s="5978">
        <v>10</v>
      </c>
      <c r="F335" s="5344"/>
      <c r="G335" s="5344"/>
      <c r="H335" s="5344"/>
      <c r="I335" s="5344">
        <v>3.5</v>
      </c>
      <c r="J335" s="5344"/>
      <c r="K335" s="5344">
        <v>22.683333333333334</v>
      </c>
      <c r="L335" s="5978">
        <v>46.033333333333331</v>
      </c>
      <c r="M335" s="5978">
        <v>17.083333333333332</v>
      </c>
    </row>
    <row r="336" spans="2:13" x14ac:dyDescent="0.25">
      <c r="B336" s="6654"/>
      <c r="C336" s="5986" t="s">
        <v>2053</v>
      </c>
      <c r="D336" s="5978"/>
      <c r="E336" s="6002">
        <v>0.42</v>
      </c>
      <c r="F336" s="5344"/>
      <c r="G336" s="5344"/>
      <c r="H336" s="5344"/>
      <c r="I336" s="5344">
        <v>9.77</v>
      </c>
      <c r="J336" s="5344"/>
      <c r="K336" s="5344">
        <v>3.8</v>
      </c>
      <c r="L336" s="5978">
        <v>6.8666666666666671</v>
      </c>
      <c r="M336" s="5978">
        <v>6.833333333333333</v>
      </c>
    </row>
    <row r="337" spans="2:13" x14ac:dyDescent="0.25">
      <c r="B337" s="6654"/>
      <c r="C337" s="5986" t="s">
        <v>2054</v>
      </c>
      <c r="D337" s="5978"/>
      <c r="E337" s="5978"/>
      <c r="F337" s="5344"/>
      <c r="G337" s="5344"/>
      <c r="H337" s="5344"/>
      <c r="I337" s="5344"/>
      <c r="J337" s="5344"/>
      <c r="K337" s="5344"/>
      <c r="L337" s="5344"/>
      <c r="M337" s="5344"/>
    </row>
    <row r="338" spans="2:13" x14ac:dyDescent="0.25">
      <c r="B338" s="6654"/>
      <c r="C338" s="5986" t="s">
        <v>2055</v>
      </c>
      <c r="D338" s="5978">
        <v>38.67</v>
      </c>
      <c r="E338" s="5978">
        <v>56.16</v>
      </c>
      <c r="F338" s="5344"/>
      <c r="G338" s="5344"/>
      <c r="H338" s="5344"/>
      <c r="I338" s="5344"/>
      <c r="J338" s="5344"/>
      <c r="K338" s="5344">
        <v>0</v>
      </c>
      <c r="L338" s="5344">
        <v>0</v>
      </c>
      <c r="M338" s="5344">
        <v>19.833333333333332</v>
      </c>
    </row>
    <row r="339" spans="2:13" x14ac:dyDescent="0.25">
      <c r="B339" s="6654"/>
      <c r="C339" s="5966" t="s">
        <v>2056</v>
      </c>
      <c r="D339" s="5978"/>
      <c r="E339" s="5978"/>
      <c r="F339" s="5967"/>
      <c r="G339" s="5344"/>
      <c r="H339" s="5968"/>
      <c r="I339" s="5344"/>
      <c r="J339" s="5967"/>
      <c r="K339" s="5344"/>
      <c r="L339" s="5344"/>
      <c r="M339" s="5344"/>
    </row>
    <row r="340" spans="2:13" x14ac:dyDescent="0.25">
      <c r="B340" s="6654"/>
      <c r="C340" s="5986" t="s">
        <v>2057</v>
      </c>
      <c r="D340" s="5978"/>
      <c r="E340" s="5978"/>
      <c r="F340" s="5344"/>
      <c r="G340" s="5344"/>
      <c r="H340" s="5344"/>
      <c r="I340" s="5344"/>
      <c r="J340" s="5344"/>
      <c r="K340" s="5344">
        <v>13.3</v>
      </c>
      <c r="L340" s="5978">
        <v>16.45</v>
      </c>
      <c r="M340" s="5978">
        <v>18.833333333333332</v>
      </c>
    </row>
    <row r="341" spans="2:13" x14ac:dyDescent="0.25">
      <c r="B341" s="6654"/>
      <c r="C341" s="5986" t="s">
        <v>2058</v>
      </c>
      <c r="D341" s="6002"/>
      <c r="E341" s="5319"/>
      <c r="F341" s="5344"/>
      <c r="G341" s="5344"/>
      <c r="H341" s="5344"/>
      <c r="I341" s="5344"/>
      <c r="J341" s="5344"/>
      <c r="K341" s="5344">
        <v>7.75</v>
      </c>
      <c r="L341" s="5978">
        <v>14.583333333333334</v>
      </c>
      <c r="M341" s="5978">
        <v>22.583333333333332</v>
      </c>
    </row>
    <row r="342" spans="2:13" x14ac:dyDescent="0.25">
      <c r="B342" s="6654"/>
      <c r="C342" s="5986" t="s">
        <v>2059</v>
      </c>
      <c r="D342" s="5319"/>
      <c r="E342" s="5344"/>
      <c r="F342" s="5344"/>
      <c r="G342" s="5344"/>
      <c r="H342" s="5344"/>
      <c r="I342" s="5319">
        <v>0.5</v>
      </c>
      <c r="J342" s="5344"/>
      <c r="K342" s="5344"/>
      <c r="L342" s="5344"/>
      <c r="M342" s="5344"/>
    </row>
    <row r="343" spans="2:13" x14ac:dyDescent="0.25">
      <c r="B343" s="6654"/>
      <c r="C343" s="5986" t="s">
        <v>2060</v>
      </c>
      <c r="D343" s="5319"/>
      <c r="E343" s="5344"/>
      <c r="F343" s="5344"/>
      <c r="G343" s="5344"/>
      <c r="H343" s="5344"/>
      <c r="I343" s="5319"/>
      <c r="J343" s="5344"/>
      <c r="K343" s="5344"/>
      <c r="L343" s="5344"/>
      <c r="M343" s="5344"/>
    </row>
    <row r="344" spans="2:13" x14ac:dyDescent="0.25">
      <c r="B344" s="6654"/>
      <c r="C344" s="5986" t="s">
        <v>2061</v>
      </c>
      <c r="D344" s="5978"/>
      <c r="E344" s="5344"/>
      <c r="F344" s="5344"/>
      <c r="G344" s="5344"/>
      <c r="H344" s="5344"/>
      <c r="I344" s="5344"/>
      <c r="J344" s="5344"/>
      <c r="K344" s="5344"/>
      <c r="L344" s="5344"/>
      <c r="M344" s="5344"/>
    </row>
    <row r="345" spans="2:13" x14ac:dyDescent="0.25">
      <c r="B345" s="6654"/>
      <c r="C345" s="5986" t="s">
        <v>84</v>
      </c>
      <c r="D345" s="5344"/>
      <c r="E345" s="5344"/>
      <c r="F345" s="5344"/>
      <c r="G345" s="5344"/>
      <c r="H345" s="5344"/>
      <c r="I345" s="5344"/>
      <c r="J345" s="5344"/>
      <c r="K345" s="5344"/>
      <c r="L345" s="5344"/>
      <c r="M345" s="5344"/>
    </row>
    <row r="346" spans="2:13" x14ac:dyDescent="0.25">
      <c r="B346" s="6654"/>
      <c r="C346" s="5986" t="s">
        <v>2062</v>
      </c>
      <c r="D346" s="5344"/>
      <c r="E346" s="5344"/>
      <c r="F346" s="5344"/>
      <c r="G346" s="5344"/>
      <c r="H346" s="5344"/>
      <c r="I346" s="5344">
        <v>6.2</v>
      </c>
      <c r="J346" s="5344"/>
      <c r="K346" s="5344"/>
      <c r="L346" s="5344"/>
      <c r="M346" s="5344"/>
    </row>
    <row r="347" spans="2:13" x14ac:dyDescent="0.25">
      <c r="B347" s="6654"/>
      <c r="C347" s="5986" t="s">
        <v>103</v>
      </c>
      <c r="D347" s="5344"/>
      <c r="E347" s="5344"/>
      <c r="F347" s="5344"/>
      <c r="G347" s="5344"/>
      <c r="H347" s="5344"/>
      <c r="I347" s="5344"/>
      <c r="J347" s="5344"/>
      <c r="K347" s="5344"/>
      <c r="L347" s="5344"/>
      <c r="M347" s="5344"/>
    </row>
    <row r="348" spans="2:13" x14ac:dyDescent="0.25">
      <c r="B348" s="6654"/>
      <c r="C348" s="5986" t="s">
        <v>60</v>
      </c>
      <c r="D348" s="5344"/>
      <c r="E348" s="5344"/>
      <c r="F348" s="5344"/>
      <c r="G348" s="5344"/>
      <c r="H348" s="5344"/>
      <c r="I348" s="5344">
        <v>6.82</v>
      </c>
      <c r="J348" s="5344"/>
      <c r="K348" s="5344"/>
      <c r="L348" s="5344"/>
      <c r="M348" s="5344"/>
    </row>
    <row r="349" spans="2:13" ht="29.25" x14ac:dyDescent="0.25">
      <c r="B349" s="6654"/>
      <c r="C349" s="5986" t="s">
        <v>2063</v>
      </c>
      <c r="D349" s="5344"/>
      <c r="E349" s="5344"/>
      <c r="F349" s="5344"/>
      <c r="G349" s="5344"/>
      <c r="H349" s="5344"/>
      <c r="I349" s="5344">
        <v>113.75</v>
      </c>
      <c r="J349" s="5344"/>
      <c r="K349" s="5344"/>
      <c r="L349" s="5344"/>
      <c r="M349" s="5344"/>
    </row>
    <row r="350" spans="2:13" x14ac:dyDescent="0.25">
      <c r="B350" s="6654"/>
      <c r="C350" s="5989" t="s">
        <v>2064</v>
      </c>
      <c r="D350" s="5972">
        <f>SUM(D330:D349)</f>
        <v>88.17</v>
      </c>
      <c r="E350" s="5972">
        <f t="shared" ref="E350" si="59">SUM(E330:E349)</f>
        <v>117.83</v>
      </c>
      <c r="F350" s="5971"/>
      <c r="G350" s="5971">
        <f t="shared" ref="G350" si="60">SUM(G330:G349)</f>
        <v>29.3</v>
      </c>
      <c r="H350" s="5971"/>
      <c r="I350" s="5971">
        <f t="shared" ref="I350" si="61">SUM(I330:I349)</f>
        <v>682.54000000000008</v>
      </c>
      <c r="J350" s="5971"/>
      <c r="K350" s="5971">
        <f t="shared" ref="K350:M350" si="62">SUM(K330:K349)</f>
        <v>210.08333333333334</v>
      </c>
      <c r="L350" s="5971">
        <f t="shared" si="62"/>
        <v>207.45000000000002</v>
      </c>
      <c r="M350" s="5971">
        <f t="shared" si="62"/>
        <v>226.16666666666671</v>
      </c>
    </row>
    <row r="351" spans="2:13" x14ac:dyDescent="0.25">
      <c r="B351" s="5852"/>
      <c r="C351" s="5984" t="s">
        <v>2074</v>
      </c>
      <c r="D351" s="5985">
        <f>D86+D109+D132+D156+D179+D203+D228+D252+D277+D302+D326+D350</f>
        <v>982.11</v>
      </c>
      <c r="E351" s="5985">
        <f>E86+E109+E132+E156+E179+E203+E228+E252+E277+E302+E326+E350</f>
        <v>958.32</v>
      </c>
      <c r="F351" s="5985"/>
      <c r="G351" s="5985">
        <f>G86+G109+G132+G156+G179+G203+G228+G252+G277+G302+G326+G350</f>
        <v>351.7</v>
      </c>
      <c r="H351" s="5985"/>
      <c r="I351" s="5985">
        <f>I86+I109+I132+I156+I179+I203+I228+I252+I277+I302+I326+I350</f>
        <v>9233.57</v>
      </c>
      <c r="J351" s="5985"/>
      <c r="K351" s="5985">
        <f>K86+K109+K132+K156+K179+K203+K228+K252+K277+K302+K326+K350</f>
        <v>2689.5666666666666</v>
      </c>
      <c r="L351" s="5985">
        <f>L86+L109+L132+L156+L179+L203+L228+L252+L277+L302+L326+L350</f>
        <v>2796.3499999999995</v>
      </c>
      <c r="M351" s="5985">
        <f>M86+M109+M132+M156+M179+M203+M228+M252+M277+M302+M326+M350</f>
        <v>3227.3833333333328</v>
      </c>
    </row>
    <row r="352" spans="2:13" x14ac:dyDescent="0.25">
      <c r="B352" s="346"/>
    </row>
  </sheetData>
  <mergeCells count="17">
    <mergeCell ref="B206:B228"/>
    <mergeCell ref="B2:M2"/>
    <mergeCell ref="B3:M3"/>
    <mergeCell ref="B5:B21"/>
    <mergeCell ref="B25:B41"/>
    <mergeCell ref="B45:B61"/>
    <mergeCell ref="B65:B86"/>
    <mergeCell ref="B88:B109"/>
    <mergeCell ref="B111:B131"/>
    <mergeCell ref="B134:B156"/>
    <mergeCell ref="B157:B179"/>
    <mergeCell ref="B181:B203"/>
    <mergeCell ref="B230:B252"/>
    <mergeCell ref="B255:B277"/>
    <mergeCell ref="B280:B302"/>
    <mergeCell ref="B304:B326"/>
    <mergeCell ref="B328:B350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33</vt:i4>
      </vt:variant>
      <vt:variant>
        <vt:lpstr>Named Ranges</vt:lpstr>
      </vt:variant>
      <vt:variant>
        <vt:i4>27</vt:i4>
      </vt:variant>
    </vt:vector>
  </HeadingPairs>
  <TitlesOfParts>
    <vt:vector size="60" baseType="lpstr">
      <vt:lpstr>Maj Production Summ</vt:lpstr>
      <vt:lpstr>Maj Despatch Summ</vt:lpstr>
      <vt:lpstr>Maj Techno Summ</vt:lpstr>
      <vt:lpstr>Major techno all dept</vt:lpstr>
      <vt:lpstr>Direct sales IPT details</vt:lpstr>
      <vt:lpstr>Coal to Hot Metal</vt:lpstr>
      <vt:lpstr>DETAIL DESP  </vt:lpstr>
      <vt:lpstr>Raw Mat Received</vt:lpstr>
      <vt:lpstr>COKE OVENS</vt:lpstr>
      <vt:lpstr>RMHP</vt:lpstr>
      <vt:lpstr>SINTER</vt:lpstr>
      <vt:lpstr>B-FCE</vt:lpstr>
      <vt:lpstr>SMS</vt:lpstr>
      <vt:lpstr>WRM</vt:lpstr>
      <vt:lpstr>BM</vt:lpstr>
      <vt:lpstr>USM</vt:lpstr>
      <vt:lpstr>GRD SUMM RCL 150X150 </vt:lpstr>
      <vt:lpstr>GRD SUMM RCL CASTER 3</vt:lpstr>
      <vt:lpstr>Special -Value added steel </vt:lpstr>
      <vt:lpstr>POWER DISTRIBUTION</vt:lpstr>
      <vt:lpstr>PBS</vt:lpstr>
      <vt:lpstr>ECD</vt:lpstr>
      <vt:lpstr>EMD</vt:lpstr>
      <vt:lpstr>LDCP</vt:lpstr>
      <vt:lpstr>OXY PL</vt:lpstr>
      <vt:lpstr>SEQR  Prod &amp; Dispatch</vt:lpstr>
      <vt:lpstr>High carbon grades</vt:lpstr>
      <vt:lpstr>SHOPS</vt:lpstr>
      <vt:lpstr>Capital Repair</vt:lpstr>
      <vt:lpstr>Quality</vt:lpstr>
      <vt:lpstr>Slag Rate and IOF</vt:lpstr>
      <vt:lpstr>Special steel </vt:lpstr>
      <vt:lpstr>Delay Analysis</vt:lpstr>
      <vt:lpstr>'B-FCE'!Print_Area</vt:lpstr>
      <vt:lpstr>BM!Print_Area</vt:lpstr>
      <vt:lpstr>'Coal to Hot Metal'!Print_Area</vt:lpstr>
      <vt:lpstr>'COKE OVENS'!Print_Area</vt:lpstr>
      <vt:lpstr>'DETAIL DESP  '!Print_Area</vt:lpstr>
      <vt:lpstr>'Direct sales IPT details'!Print_Area</vt:lpstr>
      <vt:lpstr>EMD!Print_Area</vt:lpstr>
      <vt:lpstr>'GRD SUMM RCL 150X150 '!Print_Area</vt:lpstr>
      <vt:lpstr>'GRD SUMM RCL CASTER 3'!Print_Area</vt:lpstr>
      <vt:lpstr>LDCP!Print_Area</vt:lpstr>
      <vt:lpstr>'Maj Despatch Summ'!Print_Area</vt:lpstr>
      <vt:lpstr>'Maj Production Summ'!Print_Area</vt:lpstr>
      <vt:lpstr>'Maj Techno Summ'!Print_Area</vt:lpstr>
      <vt:lpstr>'Major techno all dept'!Print_Area</vt:lpstr>
      <vt:lpstr>'OXY PL'!Print_Area</vt:lpstr>
      <vt:lpstr>PBS!Print_Area</vt:lpstr>
      <vt:lpstr>'POWER DISTRIBUTION'!Print_Area</vt:lpstr>
      <vt:lpstr>Quality!Print_Area</vt:lpstr>
      <vt:lpstr>RMHP!Print_Area</vt:lpstr>
      <vt:lpstr>'SEQR  Prod &amp; Dispatch'!Print_Area</vt:lpstr>
      <vt:lpstr>SHOPS!Print_Area</vt:lpstr>
      <vt:lpstr>SINTER!Print_Area</vt:lpstr>
      <vt:lpstr>SMS!Print_Area</vt:lpstr>
      <vt:lpstr>'Special steel '!Print_Area</vt:lpstr>
      <vt:lpstr>'Special -Value added steel '!Print_Area</vt:lpstr>
      <vt:lpstr>USM!Print_Area</vt:lpstr>
      <vt:lpstr>WRM!Print_Area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2011-12-12T11:47:48Z</cp:lastPrinted>
  <dcterms:created xsi:type="dcterms:W3CDTF">2006-09-16T00:00:00Z</dcterms:created>
  <dcterms:modified xsi:type="dcterms:W3CDTF">2024-05-11T11:26:57Z</dcterms:modified>
</cp:coreProperties>
</file>